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sergioeblutzer/Downloads/"/>
    </mc:Choice>
  </mc:AlternateContent>
  <xr:revisionPtr revIDLastSave="0" documentId="13_ncr:1_{C68038AE-40AD-E245-80F9-78874A768329}" xr6:coauthVersionLast="47" xr6:coauthVersionMax="47" xr10:uidLastSave="{00000000-0000-0000-0000-000000000000}"/>
  <bookViews>
    <workbookView xWindow="0" yWindow="500" windowWidth="15960" windowHeight="18080" xr2:uid="{00000000-000D-0000-FFFF-FFFF00000000}"/>
  </bookViews>
  <sheets>
    <sheet name="Fevereiro 2023 - Outubro 2022" sheetId="1" r:id="rId1"/>
    <sheet name="Fevereiro 2023 - Valor Real" sheetId="2" r:id="rId2"/>
    <sheet name="Folha 1 - Calculadora de Probab" sheetId="3" r:id="rId3"/>
    <sheet name="Folha 1 - Calculadora de Proba1" sheetId="4" r:id="rId4"/>
    <sheet name="Folha 1 - Calculadora de Proba2" sheetId="5" r:id="rId5"/>
    <sheet name="Folha 1 - Tabela 1" sheetId="6" r:id="rId6"/>
    <sheet name="Projeção Rend. Fixa" sheetId="7" r:id="rId7"/>
    <sheet name="Davi - Investimento de Milhas" sheetId="8" r:id="rId8"/>
    <sheet name="Davi - Tabela 1" sheetId="9" r:id="rId9"/>
    <sheet name="Davi - Tabela 1-1" sheetId="10" r:id="rId10"/>
    <sheet name="Davi - Tabela 2" sheetId="1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4" i="10" l="1"/>
  <c r="T24" i="10"/>
  <c r="Q24" i="10"/>
  <c r="N24" i="10"/>
  <c r="K24" i="10"/>
  <c r="H24" i="10"/>
  <c r="E24" i="10"/>
  <c r="B24" i="10"/>
  <c r="W21" i="10"/>
  <c r="T21" i="10"/>
  <c r="Q21" i="10"/>
  <c r="N21" i="10"/>
  <c r="K21" i="10"/>
  <c r="H21" i="10"/>
  <c r="E21" i="10"/>
  <c r="B21" i="10"/>
  <c r="W18" i="10"/>
  <c r="T18" i="10"/>
  <c r="Q18" i="10"/>
  <c r="N18" i="10"/>
  <c r="K18" i="10"/>
  <c r="H18" i="10"/>
  <c r="E18" i="10"/>
  <c r="B18" i="10"/>
  <c r="W15" i="10"/>
  <c r="T15" i="10"/>
  <c r="Q15" i="10"/>
  <c r="N15" i="10"/>
  <c r="K15" i="10"/>
  <c r="H15" i="10"/>
  <c r="E15" i="10"/>
  <c r="B15" i="10"/>
  <c r="W12" i="10"/>
  <c r="T12" i="10"/>
  <c r="Q12" i="10"/>
  <c r="N12" i="10"/>
  <c r="K12" i="10"/>
  <c r="H12" i="10"/>
  <c r="E12" i="10"/>
  <c r="B12" i="10"/>
  <c r="W9" i="10"/>
  <c r="T9" i="10"/>
  <c r="Q9" i="10"/>
  <c r="N9" i="10"/>
  <c r="K9" i="10"/>
  <c r="H9" i="10"/>
  <c r="E9" i="10"/>
  <c r="B9" i="10"/>
  <c r="W6" i="10"/>
  <c r="T6" i="10"/>
  <c r="Q6" i="10"/>
  <c r="N6" i="10"/>
  <c r="K6" i="10"/>
  <c r="H6" i="10"/>
  <c r="E6" i="10"/>
  <c r="B6" i="10"/>
  <c r="W3" i="10"/>
  <c r="T3" i="10"/>
  <c r="Q3" i="10"/>
  <c r="N3" i="10"/>
  <c r="K3" i="10"/>
  <c r="H3" i="10"/>
  <c r="E3" i="10"/>
  <c r="B3" i="10"/>
  <c r="B86" i="11" s="1"/>
  <c r="W24" i="9"/>
  <c r="T24" i="9"/>
  <c r="Q24" i="9"/>
  <c r="N24" i="9"/>
  <c r="K24" i="9"/>
  <c r="H24" i="9"/>
  <c r="E24" i="9"/>
  <c r="B24" i="9"/>
  <c r="W21" i="9"/>
  <c r="T21" i="9"/>
  <c r="Q21" i="9"/>
  <c r="N21" i="9"/>
  <c r="K21" i="9"/>
  <c r="H21" i="9"/>
  <c r="E21" i="9"/>
  <c r="B21" i="9"/>
  <c r="W18" i="9"/>
  <c r="T18" i="9"/>
  <c r="Q18" i="9"/>
  <c r="N18" i="9"/>
  <c r="K18" i="9"/>
  <c r="H18" i="9"/>
  <c r="E18" i="9"/>
  <c r="B18" i="9"/>
  <c r="W15" i="9"/>
  <c r="T15" i="9"/>
  <c r="Q15" i="9"/>
  <c r="N15" i="9"/>
  <c r="K15" i="9"/>
  <c r="H15" i="9"/>
  <c r="E15" i="9"/>
  <c r="B15" i="9"/>
  <c r="W12" i="9"/>
  <c r="T12" i="9"/>
  <c r="Q12" i="9"/>
  <c r="N12" i="9"/>
  <c r="K12" i="9"/>
  <c r="H12" i="9"/>
  <c r="E12" i="9"/>
  <c r="B12" i="9"/>
  <c r="W9" i="9"/>
  <c r="T9" i="9"/>
  <c r="Q9" i="9"/>
  <c r="N9" i="9"/>
  <c r="K9" i="9"/>
  <c r="H9" i="9"/>
  <c r="E9" i="9"/>
  <c r="B9" i="9"/>
  <c r="W6" i="9"/>
  <c r="T6" i="9"/>
  <c r="Q6" i="9"/>
  <c r="N6" i="9"/>
  <c r="K6" i="9"/>
  <c r="H6" i="9"/>
  <c r="E6" i="9"/>
  <c r="B6" i="9"/>
  <c r="W3" i="9"/>
  <c r="T3" i="9"/>
  <c r="Q3" i="9"/>
  <c r="N3" i="9"/>
  <c r="K3" i="9"/>
  <c r="H3" i="9"/>
  <c r="E3" i="9"/>
  <c r="B3" i="9"/>
  <c r="B48" i="8"/>
  <c r="E47" i="8"/>
  <c r="D47" i="8"/>
  <c r="D46" i="8"/>
  <c r="E46" i="8" s="1"/>
  <c r="E45" i="8"/>
  <c r="D45" i="8"/>
  <c r="D44" i="8"/>
  <c r="E44" i="8" s="1"/>
  <c r="E43" i="8"/>
  <c r="D43" i="8"/>
  <c r="D42" i="8"/>
  <c r="E42" i="8" s="1"/>
  <c r="E41" i="8"/>
  <c r="D41" i="8"/>
  <c r="D40" i="8"/>
  <c r="E40" i="8" s="1"/>
  <c r="F40" i="8" s="1"/>
  <c r="F41" i="8" s="1"/>
  <c r="E39" i="8"/>
  <c r="D39" i="8"/>
  <c r="D38" i="8"/>
  <c r="E38" i="8" s="1"/>
  <c r="J37" i="8"/>
  <c r="D37" i="8"/>
  <c r="E37" i="8" s="1"/>
  <c r="E36" i="8"/>
  <c r="D36" i="8"/>
  <c r="D35" i="8"/>
  <c r="E35" i="8" s="1"/>
  <c r="L34" i="8"/>
  <c r="H35" i="8" s="1"/>
  <c r="I35" i="8" s="1"/>
  <c r="K34" i="8"/>
  <c r="J34" i="8"/>
  <c r="E34" i="8"/>
  <c r="D34" i="8"/>
  <c r="E33" i="8"/>
  <c r="D33" i="8"/>
  <c r="D32" i="8"/>
  <c r="E32" i="8" s="1"/>
  <c r="D31" i="8"/>
  <c r="E31" i="8" s="1"/>
  <c r="E30" i="8"/>
  <c r="D30" i="8"/>
  <c r="I29" i="8"/>
  <c r="E29" i="8"/>
  <c r="D29" i="8"/>
  <c r="E28" i="8"/>
  <c r="D28" i="8"/>
  <c r="E27" i="8"/>
  <c r="D27" i="8"/>
  <c r="I26" i="8"/>
  <c r="E26" i="8"/>
  <c r="D26" i="8"/>
  <c r="J25" i="8"/>
  <c r="I25" i="8"/>
  <c r="D25" i="8"/>
  <c r="E25" i="8" s="1"/>
  <c r="J24" i="8"/>
  <c r="I24" i="8"/>
  <c r="D24" i="8"/>
  <c r="E24" i="8" s="1"/>
  <c r="D23" i="8"/>
  <c r="E23" i="8" s="1"/>
  <c r="E22" i="8"/>
  <c r="D22" i="8"/>
  <c r="D21" i="8"/>
  <c r="E21" i="8" s="1"/>
  <c r="E20" i="8"/>
  <c r="F20" i="8" s="1"/>
  <c r="F21" i="8" s="1"/>
  <c r="D20" i="8"/>
  <c r="D19" i="8"/>
  <c r="E19" i="8" s="1"/>
  <c r="I18" i="8"/>
  <c r="D18" i="8"/>
  <c r="E18" i="8" s="1"/>
  <c r="E17" i="8"/>
  <c r="D17" i="8"/>
  <c r="D16" i="8"/>
  <c r="D15" i="8"/>
  <c r="E15" i="8" s="1"/>
  <c r="D14" i="8"/>
  <c r="E14" i="8" s="1"/>
  <c r="K13" i="8"/>
  <c r="D13" i="8"/>
  <c r="E13" i="8" s="1"/>
  <c r="K12" i="8"/>
  <c r="H12" i="8"/>
  <c r="D12" i="8"/>
  <c r="E12" i="8" s="1"/>
  <c r="K11" i="8"/>
  <c r="H11" i="8"/>
  <c r="D11" i="8"/>
  <c r="E11" i="8" s="1"/>
  <c r="D10" i="8"/>
  <c r="E10" i="8" s="1"/>
  <c r="D9" i="8"/>
  <c r="E9" i="8" s="1"/>
  <c r="E8" i="8"/>
  <c r="D8" i="8"/>
  <c r="D7" i="8"/>
  <c r="E7" i="8" s="1"/>
  <c r="E6" i="8"/>
  <c r="D6" i="8"/>
  <c r="D5" i="8"/>
  <c r="E5" i="8" s="1"/>
  <c r="J4" i="8"/>
  <c r="F4" i="8"/>
  <c r="F5" i="8" s="1"/>
  <c r="F6" i="8" s="1"/>
  <c r="F7" i="8" s="1"/>
  <c r="F8" i="8" s="1"/>
  <c r="F9" i="8" s="1"/>
  <c r="F10" i="8" s="1"/>
  <c r="D4" i="8"/>
  <c r="E4" i="8" s="1"/>
  <c r="E3" i="8"/>
  <c r="F3" i="8" s="1"/>
  <c r="D3" i="8"/>
  <c r="B609" i="7"/>
  <c r="C609" i="7" s="1"/>
  <c r="B608" i="7"/>
  <c r="F602" i="7"/>
  <c r="B602" i="7"/>
  <c r="F601" i="7"/>
  <c r="C601" i="7"/>
  <c r="D601" i="7" s="1"/>
  <c r="B601" i="7"/>
  <c r="C595" i="7"/>
  <c r="B595" i="7"/>
  <c r="F595" i="7" s="1"/>
  <c r="B594" i="7"/>
  <c r="B588" i="7"/>
  <c r="C588" i="7" s="1"/>
  <c r="E587" i="7"/>
  <c r="C587" i="7"/>
  <c r="D587" i="7" s="1"/>
  <c r="B587" i="7"/>
  <c r="F587" i="7" s="1"/>
  <c r="F581" i="7"/>
  <c r="E581" i="7"/>
  <c r="B581" i="7"/>
  <c r="C581" i="7" s="1"/>
  <c r="D581" i="7" s="1"/>
  <c r="B580" i="7"/>
  <c r="C574" i="7"/>
  <c r="B574" i="7"/>
  <c r="F574" i="7" s="1"/>
  <c r="B573" i="7"/>
  <c r="C573" i="7" s="1"/>
  <c r="B567" i="7"/>
  <c r="D566" i="7"/>
  <c r="C566" i="7"/>
  <c r="E566" i="7" s="1"/>
  <c r="B566" i="7"/>
  <c r="F566" i="7" s="1"/>
  <c r="F560" i="7"/>
  <c r="B560" i="7"/>
  <c r="B559" i="7"/>
  <c r="F559" i="7" s="1"/>
  <c r="B553" i="7"/>
  <c r="F552" i="7"/>
  <c r="B552" i="7"/>
  <c r="C552" i="7" s="1"/>
  <c r="D552" i="7" s="1"/>
  <c r="D546" i="7"/>
  <c r="C546" i="7"/>
  <c r="E546" i="7" s="1"/>
  <c r="B546" i="7"/>
  <c r="F546" i="7" s="1"/>
  <c r="E545" i="7"/>
  <c r="D545" i="7"/>
  <c r="B545" i="7"/>
  <c r="C545" i="7" s="1"/>
  <c r="B539" i="7"/>
  <c r="B538" i="7"/>
  <c r="C532" i="7"/>
  <c r="B532" i="7"/>
  <c r="F532" i="7" s="1"/>
  <c r="B531" i="7"/>
  <c r="C531" i="7" s="1"/>
  <c r="B525" i="7"/>
  <c r="D524" i="7"/>
  <c r="C524" i="7"/>
  <c r="E524" i="7" s="1"/>
  <c r="B524" i="7"/>
  <c r="F524" i="7" s="1"/>
  <c r="F518" i="7"/>
  <c r="B518" i="7"/>
  <c r="C517" i="7"/>
  <c r="B517" i="7"/>
  <c r="F517" i="7" s="1"/>
  <c r="B511" i="7"/>
  <c r="F510" i="7"/>
  <c r="E510" i="7"/>
  <c r="B510" i="7"/>
  <c r="C510" i="7" s="1"/>
  <c r="D510" i="7" s="1"/>
  <c r="D504" i="7"/>
  <c r="C504" i="7"/>
  <c r="E504" i="7" s="1"/>
  <c r="B504" i="7"/>
  <c r="F504" i="7" s="1"/>
  <c r="E503" i="7"/>
  <c r="D503" i="7"/>
  <c r="B503" i="7"/>
  <c r="C503" i="7" s="1"/>
  <c r="F497" i="7"/>
  <c r="C497" i="7"/>
  <c r="B497" i="7"/>
  <c r="C496" i="7"/>
  <c r="B496" i="7"/>
  <c r="F496" i="7" s="1"/>
  <c r="B490" i="7"/>
  <c r="F489" i="7"/>
  <c r="C489" i="7"/>
  <c r="B489" i="7"/>
  <c r="B483" i="7"/>
  <c r="B482" i="7"/>
  <c r="B477" i="7"/>
  <c r="C476" i="7"/>
  <c r="B476" i="7"/>
  <c r="F476" i="7" s="1"/>
  <c r="B475" i="7"/>
  <c r="C475" i="7" s="1"/>
  <c r="B469" i="7"/>
  <c r="D468" i="7"/>
  <c r="C468" i="7"/>
  <c r="E468" i="7" s="1"/>
  <c r="B468" i="7"/>
  <c r="F468" i="7" s="1"/>
  <c r="F462" i="7"/>
  <c r="B462" i="7"/>
  <c r="C461" i="7"/>
  <c r="B461" i="7"/>
  <c r="F461" i="7" s="1"/>
  <c r="B455" i="7"/>
  <c r="F454" i="7"/>
  <c r="E454" i="7"/>
  <c r="B454" i="7"/>
  <c r="C454" i="7" s="1"/>
  <c r="D454" i="7" s="1"/>
  <c r="D448" i="7"/>
  <c r="C448" i="7"/>
  <c r="E448" i="7" s="1"/>
  <c r="B448" i="7"/>
  <c r="F448" i="7" s="1"/>
  <c r="E447" i="7"/>
  <c r="D447" i="7"/>
  <c r="B447" i="7"/>
  <c r="C447" i="7" s="1"/>
  <c r="B446" i="7"/>
  <c r="F441" i="7"/>
  <c r="B441" i="7"/>
  <c r="E440" i="7"/>
  <c r="D440" i="7"/>
  <c r="C440" i="7"/>
  <c r="B440" i="7"/>
  <c r="F440" i="7" s="1"/>
  <c r="F434" i="7"/>
  <c r="E434" i="7"/>
  <c r="C434" i="7"/>
  <c r="D434" i="7" s="1"/>
  <c r="B434" i="7"/>
  <c r="F433" i="7"/>
  <c r="D433" i="7"/>
  <c r="C433" i="7"/>
  <c r="E433" i="7" s="1"/>
  <c r="B433" i="7"/>
  <c r="B427" i="7"/>
  <c r="C426" i="7"/>
  <c r="B426" i="7"/>
  <c r="F426" i="7" s="1"/>
  <c r="B420" i="7"/>
  <c r="F419" i="7"/>
  <c r="B419" i="7"/>
  <c r="C419" i="7" s="1"/>
  <c r="E413" i="7"/>
  <c r="D413" i="7"/>
  <c r="C413" i="7"/>
  <c r="B413" i="7"/>
  <c r="F413" i="7" s="1"/>
  <c r="F412" i="7"/>
  <c r="B412" i="7"/>
  <c r="C406" i="7"/>
  <c r="B406" i="7"/>
  <c r="F406" i="7" s="1"/>
  <c r="E405" i="7"/>
  <c r="D405" i="7"/>
  <c r="C405" i="7"/>
  <c r="B405" i="7"/>
  <c r="F405" i="7" s="1"/>
  <c r="F399" i="7"/>
  <c r="C399" i="7"/>
  <c r="B399" i="7"/>
  <c r="C398" i="7"/>
  <c r="B398" i="7"/>
  <c r="F398" i="7" s="1"/>
  <c r="F392" i="7"/>
  <c r="B392" i="7"/>
  <c r="F391" i="7"/>
  <c r="E391" i="7"/>
  <c r="C391" i="7"/>
  <c r="D391" i="7" s="1"/>
  <c r="B391" i="7"/>
  <c r="C385" i="7"/>
  <c r="B385" i="7"/>
  <c r="F385" i="7" s="1"/>
  <c r="B384" i="7"/>
  <c r="F378" i="7"/>
  <c r="B378" i="7"/>
  <c r="C378" i="7" s="1"/>
  <c r="E377" i="7"/>
  <c r="C377" i="7"/>
  <c r="D377" i="7" s="1"/>
  <c r="B377" i="7"/>
  <c r="F377" i="7" s="1"/>
  <c r="F371" i="7"/>
  <c r="E371" i="7"/>
  <c r="B371" i="7"/>
  <c r="C371" i="7" s="1"/>
  <c r="D371" i="7" s="1"/>
  <c r="G370" i="7"/>
  <c r="E370" i="7"/>
  <c r="C370" i="7"/>
  <c r="D370" i="7" s="1"/>
  <c r="B370" i="7"/>
  <c r="F370" i="7" s="1"/>
  <c r="C364" i="7"/>
  <c r="B364" i="7"/>
  <c r="F364" i="7" s="1"/>
  <c r="B363" i="7"/>
  <c r="B357" i="7"/>
  <c r="D356" i="7"/>
  <c r="C356" i="7"/>
  <c r="E356" i="7" s="1"/>
  <c r="B356" i="7"/>
  <c r="F356" i="7" s="1"/>
  <c r="F350" i="7"/>
  <c r="B350" i="7"/>
  <c r="F349" i="7"/>
  <c r="C349" i="7"/>
  <c r="B349" i="7"/>
  <c r="B343" i="7"/>
  <c r="B342" i="7"/>
  <c r="B336" i="7"/>
  <c r="F335" i="7"/>
  <c r="C335" i="7"/>
  <c r="B335" i="7"/>
  <c r="B329" i="7"/>
  <c r="B328" i="7"/>
  <c r="C322" i="7"/>
  <c r="B322" i="7"/>
  <c r="F322" i="7" s="1"/>
  <c r="B321" i="7"/>
  <c r="C321" i="7" s="1"/>
  <c r="B315" i="7"/>
  <c r="D314" i="7"/>
  <c r="C314" i="7"/>
  <c r="E314" i="7" s="1"/>
  <c r="B314" i="7"/>
  <c r="F314" i="7" s="1"/>
  <c r="F308" i="7"/>
  <c r="B308" i="7"/>
  <c r="B307" i="7"/>
  <c r="B301" i="7"/>
  <c r="D300" i="7"/>
  <c r="C300" i="7"/>
  <c r="E300" i="7" s="1"/>
  <c r="B300" i="7"/>
  <c r="F300" i="7" s="1"/>
  <c r="F294" i="7"/>
  <c r="B294" i="7"/>
  <c r="F293" i="7"/>
  <c r="C293" i="7"/>
  <c r="B293" i="7"/>
  <c r="B287" i="7"/>
  <c r="B286" i="7"/>
  <c r="D280" i="7"/>
  <c r="C280" i="7"/>
  <c r="E280" i="7" s="1"/>
  <c r="B280" i="7"/>
  <c r="F280" i="7" s="1"/>
  <c r="E279" i="7"/>
  <c r="D279" i="7"/>
  <c r="B279" i="7"/>
  <c r="C279" i="7" s="1"/>
  <c r="B273" i="7"/>
  <c r="F272" i="7"/>
  <c r="E272" i="7"/>
  <c r="B272" i="7"/>
  <c r="C272" i="7" s="1"/>
  <c r="D272" i="7" s="1"/>
  <c r="D266" i="7"/>
  <c r="C266" i="7"/>
  <c r="E266" i="7" s="1"/>
  <c r="B266" i="7"/>
  <c r="F266" i="7" s="1"/>
  <c r="E265" i="7"/>
  <c r="D265" i="7"/>
  <c r="B265" i="7"/>
  <c r="C265" i="7" s="1"/>
  <c r="F259" i="7"/>
  <c r="C259" i="7"/>
  <c r="B259" i="7"/>
  <c r="C258" i="7"/>
  <c r="B258" i="7"/>
  <c r="F258" i="7" s="1"/>
  <c r="B252" i="7"/>
  <c r="F251" i="7"/>
  <c r="C251" i="7"/>
  <c r="B251" i="7"/>
  <c r="G245" i="7"/>
  <c r="F245" i="7"/>
  <c r="B245" i="7"/>
  <c r="G244" i="7"/>
  <c r="D244" i="7"/>
  <c r="C244" i="7"/>
  <c r="E244" i="7" s="1"/>
  <c r="B244" i="7"/>
  <c r="F244" i="7" s="1"/>
  <c r="F238" i="7"/>
  <c r="E238" i="7"/>
  <c r="C238" i="7"/>
  <c r="D238" i="7" s="1"/>
  <c r="B238" i="7"/>
  <c r="F237" i="7"/>
  <c r="D237" i="7"/>
  <c r="C237" i="7"/>
  <c r="E237" i="7" s="1"/>
  <c r="B237" i="7"/>
  <c r="B231" i="7"/>
  <c r="C230" i="7"/>
  <c r="B230" i="7"/>
  <c r="F230" i="7" s="1"/>
  <c r="E224" i="7"/>
  <c r="D224" i="7"/>
  <c r="C224" i="7"/>
  <c r="B224" i="7"/>
  <c r="F224" i="7" s="1"/>
  <c r="B223" i="7"/>
  <c r="F217" i="7"/>
  <c r="D217" i="7"/>
  <c r="C217" i="7"/>
  <c r="E217" i="7" s="1"/>
  <c r="B217" i="7"/>
  <c r="E216" i="7"/>
  <c r="D216" i="7"/>
  <c r="C216" i="7"/>
  <c r="B216" i="7"/>
  <c r="F216" i="7" s="1"/>
  <c r="E210" i="7"/>
  <c r="D210" i="7"/>
  <c r="C210" i="7"/>
  <c r="B210" i="7"/>
  <c r="F210" i="7" s="1"/>
  <c r="B209" i="7"/>
  <c r="C209" i="7" s="1"/>
  <c r="F203" i="7"/>
  <c r="D203" i="7"/>
  <c r="C203" i="7"/>
  <c r="E203" i="7" s="1"/>
  <c r="B203" i="7"/>
  <c r="E202" i="7"/>
  <c r="D202" i="7"/>
  <c r="C202" i="7"/>
  <c r="B202" i="7"/>
  <c r="F202" i="7" s="1"/>
  <c r="C196" i="7"/>
  <c r="D196" i="7" s="1"/>
  <c r="B196" i="7"/>
  <c r="C195" i="7"/>
  <c r="E195" i="7" s="1"/>
  <c r="B195" i="7"/>
  <c r="F195" i="7" s="1"/>
  <c r="B189" i="7"/>
  <c r="B188" i="7"/>
  <c r="B182" i="7"/>
  <c r="B181" i="7"/>
  <c r="C181" i="7" s="1"/>
  <c r="B175" i="7"/>
  <c r="F175" i="7" s="1"/>
  <c r="C174" i="7"/>
  <c r="B174" i="7"/>
  <c r="F174" i="7" s="1"/>
  <c r="C168" i="7"/>
  <c r="B168" i="7"/>
  <c r="F168" i="7" s="1"/>
  <c r="B167" i="7"/>
  <c r="B161" i="7"/>
  <c r="C161" i="7" s="1"/>
  <c r="E160" i="7"/>
  <c r="D160" i="7"/>
  <c r="C160" i="7"/>
  <c r="B160" i="7"/>
  <c r="F160" i="7" s="1"/>
  <c r="C154" i="7"/>
  <c r="B154" i="7"/>
  <c r="F154" i="7" s="1"/>
  <c r="B153" i="7"/>
  <c r="B152" i="7"/>
  <c r="D147" i="7"/>
  <c r="C147" i="7"/>
  <c r="E147" i="7" s="1"/>
  <c r="B147" i="7"/>
  <c r="F147" i="7" s="1"/>
  <c r="E146" i="7"/>
  <c r="D146" i="7"/>
  <c r="C146" i="7"/>
  <c r="B146" i="7"/>
  <c r="F146" i="7" s="1"/>
  <c r="F140" i="7"/>
  <c r="B140" i="7"/>
  <c r="C140" i="7" s="1"/>
  <c r="D139" i="7"/>
  <c r="C139" i="7"/>
  <c r="E139" i="7" s="1"/>
  <c r="B139" i="7"/>
  <c r="F139" i="7" s="1"/>
  <c r="B133" i="7"/>
  <c r="B132" i="7"/>
  <c r="E126" i="7"/>
  <c r="D126" i="7"/>
  <c r="C126" i="7"/>
  <c r="B126" i="7"/>
  <c r="F126" i="7" s="1"/>
  <c r="B125" i="7"/>
  <c r="F119" i="7"/>
  <c r="B119" i="7"/>
  <c r="F118" i="7"/>
  <c r="C118" i="7"/>
  <c r="B118" i="7"/>
  <c r="E112" i="7"/>
  <c r="D112" i="7"/>
  <c r="C112" i="7"/>
  <c r="B112" i="7"/>
  <c r="F112" i="7" s="1"/>
  <c r="B111" i="7"/>
  <c r="C105" i="7"/>
  <c r="B105" i="7"/>
  <c r="F105" i="7" s="1"/>
  <c r="E104" i="7"/>
  <c r="D104" i="7"/>
  <c r="C104" i="7"/>
  <c r="B104" i="7"/>
  <c r="F104" i="7" s="1"/>
  <c r="B98" i="7"/>
  <c r="C97" i="7"/>
  <c r="E97" i="7" s="1"/>
  <c r="B97" i="7"/>
  <c r="F97" i="7" s="1"/>
  <c r="C91" i="7"/>
  <c r="B91" i="7"/>
  <c r="F91" i="7" s="1"/>
  <c r="E90" i="7"/>
  <c r="D90" i="7"/>
  <c r="C90" i="7"/>
  <c r="B90" i="7"/>
  <c r="F90" i="7" s="1"/>
  <c r="C84" i="7"/>
  <c r="B84" i="7"/>
  <c r="C83" i="7"/>
  <c r="E83" i="7" s="1"/>
  <c r="B83" i="7"/>
  <c r="F83" i="7" s="1"/>
  <c r="F77" i="7"/>
  <c r="B77" i="7"/>
  <c r="F76" i="7"/>
  <c r="C76" i="7"/>
  <c r="B76" i="7"/>
  <c r="E70" i="7"/>
  <c r="D70" i="7"/>
  <c r="C70" i="7"/>
  <c r="B70" i="7"/>
  <c r="F70" i="7" s="1"/>
  <c r="B69" i="7"/>
  <c r="G64" i="7"/>
  <c r="G63" i="7" s="1"/>
  <c r="B63" i="7"/>
  <c r="C62" i="7"/>
  <c r="B62" i="7"/>
  <c r="F62" i="7" s="1"/>
  <c r="F56" i="7"/>
  <c r="B56" i="7"/>
  <c r="C56" i="7" s="1"/>
  <c r="E56" i="7" s="1"/>
  <c r="E55" i="7"/>
  <c r="D55" i="7"/>
  <c r="C55" i="7"/>
  <c r="B55" i="7"/>
  <c r="F55" i="7" s="1"/>
  <c r="B49" i="7"/>
  <c r="C48" i="7"/>
  <c r="B48" i="7"/>
  <c r="F48" i="7" s="1"/>
  <c r="B45" i="7"/>
  <c r="E42" i="7"/>
  <c r="C42" i="7"/>
  <c r="D42" i="7" s="1"/>
  <c r="B42" i="7"/>
  <c r="F42" i="7" s="1"/>
  <c r="B41" i="7"/>
  <c r="C41" i="7" s="1"/>
  <c r="C37" i="7"/>
  <c r="C36" i="7"/>
  <c r="F35" i="7"/>
  <c r="B35" i="7"/>
  <c r="C35" i="7" s="1"/>
  <c r="E34" i="7"/>
  <c r="C34" i="7"/>
  <c r="D34" i="7" s="1"/>
  <c r="B34" i="7"/>
  <c r="F34" i="7" s="1"/>
  <c r="G33" i="7"/>
  <c r="C33" i="7"/>
  <c r="G32" i="7"/>
  <c r="F28" i="7"/>
  <c r="E28" i="7"/>
  <c r="B28" i="7"/>
  <c r="C28" i="7" s="1"/>
  <c r="D28" i="7" s="1"/>
  <c r="F27" i="7"/>
  <c r="B27" i="7"/>
  <c r="C27" i="7" s="1"/>
  <c r="E27" i="7" s="1"/>
  <c r="C25" i="7"/>
  <c r="C23" i="7"/>
  <c r="B21" i="7"/>
  <c r="B20" i="7"/>
  <c r="C20" i="7" s="1"/>
  <c r="D20" i="7" s="1"/>
  <c r="F19" i="7"/>
  <c r="C19" i="7"/>
  <c r="C18" i="7"/>
  <c r="F17" i="7"/>
  <c r="C17" i="7"/>
  <c r="C16" i="7"/>
  <c r="B16" i="7"/>
  <c r="F16" i="7" s="1"/>
  <c r="C15" i="7"/>
  <c r="D14" i="7"/>
  <c r="C14" i="7"/>
  <c r="E14" i="7" s="1"/>
  <c r="B14" i="7"/>
  <c r="F14" i="7" s="1"/>
  <c r="F10" i="7"/>
  <c r="F8" i="7"/>
  <c r="E8" i="7"/>
  <c r="D8" i="7"/>
  <c r="B8" i="7"/>
  <c r="F7" i="7"/>
  <c r="E7" i="7"/>
  <c r="D7" i="7"/>
  <c r="B7" i="7"/>
  <c r="F6" i="7"/>
  <c r="D6" i="7"/>
  <c r="E6" i="7" s="1"/>
  <c r="D5" i="7"/>
  <c r="E5" i="7" s="1"/>
  <c r="B5" i="7"/>
  <c r="F5" i="7" s="1"/>
  <c r="D4" i="7"/>
  <c r="E4" i="7" s="1"/>
  <c r="B4" i="7"/>
  <c r="F4" i="7" s="1"/>
  <c r="C3" i="7"/>
  <c r="D10" i="7" s="1"/>
  <c r="E10" i="7" s="1"/>
  <c r="C8" i="6"/>
  <c r="B8" i="6"/>
  <c r="C7" i="6"/>
  <c r="B7" i="6"/>
  <c r="C6" i="6"/>
  <c r="B6" i="6"/>
  <c r="C5" i="6"/>
  <c r="C9" i="6" s="1"/>
  <c r="B5" i="6"/>
  <c r="B9" i="6" s="1"/>
  <c r="B2" i="6"/>
  <c r="C5" i="5"/>
  <c r="B4" i="5"/>
  <c r="C4" i="5" s="1"/>
  <c r="C3" i="5"/>
  <c r="B3" i="5"/>
  <c r="C2" i="5"/>
  <c r="A2" i="4"/>
  <c r="R16" i="2"/>
  <c r="Q16" i="2"/>
  <c r="O16" i="2"/>
  <c r="N16" i="2"/>
  <c r="H16" i="2"/>
  <c r="B15" i="2"/>
  <c r="B13" i="2"/>
  <c r="B12" i="2"/>
  <c r="B11" i="2"/>
  <c r="B9" i="2"/>
  <c r="B8" i="2"/>
  <c r="I4" i="2"/>
  <c r="DE954" i="1"/>
  <c r="DD954" i="1"/>
  <c r="DC954" i="1"/>
  <c r="DB954" i="1"/>
  <c r="DA954" i="1"/>
  <c r="CZ954" i="1"/>
  <c r="CY954" i="1"/>
  <c r="CX954" i="1"/>
  <c r="CW954" i="1"/>
  <c r="CV954" i="1"/>
  <c r="CU954" i="1"/>
  <c r="CT954" i="1"/>
  <c r="CS954" i="1"/>
  <c r="CR954" i="1"/>
  <c r="CQ954" i="1"/>
  <c r="CP954" i="1"/>
  <c r="CO954" i="1"/>
  <c r="CN954" i="1"/>
  <c r="CM954" i="1"/>
  <c r="CL954" i="1"/>
  <c r="CK954" i="1"/>
  <c r="CJ954" i="1"/>
  <c r="CI954" i="1"/>
  <c r="CH954" i="1"/>
  <c r="CG954" i="1"/>
  <c r="CF954" i="1"/>
  <c r="BR954" i="1"/>
  <c r="BQ954" i="1"/>
  <c r="BP954" i="1"/>
  <c r="BO954" i="1"/>
  <c r="BN954" i="1"/>
  <c r="BM954" i="1"/>
  <c r="BL954" i="1"/>
  <c r="BK954" i="1"/>
  <c r="BI954" i="1"/>
  <c r="BH954" i="1"/>
  <c r="BG954" i="1"/>
  <c r="BF954" i="1"/>
  <c r="BC954" i="1"/>
  <c r="BB954" i="1"/>
  <c r="AY954" i="1"/>
  <c r="AX954" i="1"/>
  <c r="AU954" i="1"/>
  <c r="AT954" i="1"/>
  <c r="AR954" i="1"/>
  <c r="AQ954" i="1"/>
  <c r="AP954" i="1"/>
  <c r="AO954" i="1"/>
  <c r="AN954" i="1"/>
  <c r="AM954" i="1"/>
  <c r="AL954" i="1"/>
  <c r="AK954" i="1"/>
  <c r="AI954" i="1"/>
  <c r="AH954" i="1"/>
  <c r="AG954" i="1"/>
  <c r="AF954" i="1"/>
  <c r="AE954" i="1"/>
  <c r="AD954" i="1"/>
  <c r="DE953" i="1"/>
  <c r="DD953" i="1"/>
  <c r="DC953" i="1"/>
  <c r="DB953" i="1"/>
  <c r="DA953" i="1"/>
  <c r="CZ953" i="1"/>
  <c r="CY953" i="1"/>
  <c r="CX953" i="1"/>
  <c r="CW953" i="1"/>
  <c r="CV953" i="1"/>
  <c r="CU953" i="1"/>
  <c r="CT953" i="1"/>
  <c r="CS953" i="1"/>
  <c r="CR953" i="1"/>
  <c r="CQ953" i="1"/>
  <c r="CP953" i="1"/>
  <c r="CO953" i="1"/>
  <c r="CN953" i="1"/>
  <c r="CM953" i="1"/>
  <c r="CL953" i="1"/>
  <c r="CK953" i="1"/>
  <c r="CJ953" i="1"/>
  <c r="CI953" i="1"/>
  <c r="CH953" i="1"/>
  <c r="CG953" i="1"/>
  <c r="CF953" i="1"/>
  <c r="BR953" i="1"/>
  <c r="BQ953" i="1"/>
  <c r="BP953" i="1"/>
  <c r="BO953" i="1"/>
  <c r="BN953" i="1"/>
  <c r="BM953" i="1"/>
  <c r="BL953" i="1"/>
  <c r="BK953" i="1"/>
  <c r="BJ953" i="1"/>
  <c r="BI953" i="1"/>
  <c r="BH953" i="1"/>
  <c r="BG953" i="1"/>
  <c r="BF953" i="1"/>
  <c r="BC953" i="1"/>
  <c r="BB953" i="1"/>
  <c r="AY953" i="1"/>
  <c r="AX953" i="1"/>
  <c r="AU953" i="1"/>
  <c r="AT953" i="1"/>
  <c r="AR953" i="1"/>
  <c r="AQ953" i="1"/>
  <c r="AP953" i="1"/>
  <c r="AO953" i="1"/>
  <c r="AN953" i="1"/>
  <c r="AM953" i="1"/>
  <c r="AL953" i="1"/>
  <c r="AK953" i="1"/>
  <c r="AI953" i="1"/>
  <c r="AH953" i="1"/>
  <c r="AG953" i="1"/>
  <c r="AF953" i="1"/>
  <c r="AE953" i="1"/>
  <c r="O952" i="1" s="1"/>
  <c r="P952" i="1" s="1"/>
  <c r="AD953" i="1"/>
  <c r="O953" i="1"/>
  <c r="P953" i="1" s="1"/>
  <c r="AJ953" i="1" s="1"/>
  <c r="J953" i="1"/>
  <c r="DE952" i="1"/>
  <c r="DD952" i="1"/>
  <c r="DC952" i="1"/>
  <c r="DB952" i="1"/>
  <c r="DA952" i="1"/>
  <c r="CZ952" i="1"/>
  <c r="CY952" i="1"/>
  <c r="CX952" i="1"/>
  <c r="CW952" i="1"/>
  <c r="CV952" i="1"/>
  <c r="CU952" i="1"/>
  <c r="CT952" i="1"/>
  <c r="CS952" i="1"/>
  <c r="CR952" i="1"/>
  <c r="CQ952" i="1"/>
  <c r="CP952" i="1"/>
  <c r="CO952" i="1"/>
  <c r="CN952" i="1"/>
  <c r="CM952" i="1"/>
  <c r="CL952" i="1"/>
  <c r="CK952" i="1"/>
  <c r="CJ952" i="1"/>
  <c r="CI952" i="1"/>
  <c r="CH952" i="1"/>
  <c r="CG952" i="1"/>
  <c r="CF952" i="1"/>
  <c r="CD952" i="1"/>
  <c r="CC952" i="1"/>
  <c r="BZ952" i="1"/>
  <c r="BY952" i="1"/>
  <c r="BV952" i="1"/>
  <c r="BU952" i="1"/>
  <c r="BR952" i="1"/>
  <c r="BQ952" i="1"/>
  <c r="BP952" i="1"/>
  <c r="BO952" i="1"/>
  <c r="BN952" i="1"/>
  <c r="BM952" i="1"/>
  <c r="BL952" i="1"/>
  <c r="BK952" i="1"/>
  <c r="BJ952" i="1"/>
  <c r="BI952" i="1"/>
  <c r="BH952" i="1"/>
  <c r="BG952" i="1"/>
  <c r="BF952" i="1"/>
  <c r="BE952" i="1"/>
  <c r="BB952" i="1"/>
  <c r="BA952" i="1"/>
  <c r="AX952" i="1"/>
  <c r="AW952" i="1"/>
  <c r="AT952" i="1"/>
  <c r="AS952" i="1"/>
  <c r="AR952" i="1"/>
  <c r="AQ952" i="1"/>
  <c r="AP952" i="1"/>
  <c r="AO952" i="1"/>
  <c r="AN952" i="1"/>
  <c r="AM952" i="1"/>
  <c r="AL952" i="1"/>
  <c r="AK952" i="1"/>
  <c r="AJ952" i="1"/>
  <c r="AI952" i="1"/>
  <c r="AH952" i="1"/>
  <c r="AG952" i="1"/>
  <c r="AF952" i="1"/>
  <c r="AE952" i="1"/>
  <c r="AD952" i="1"/>
  <c r="F952" i="1"/>
  <c r="B952" i="1"/>
  <c r="BE954" i="1" s="1"/>
  <c r="DE951" i="1"/>
  <c r="DD951" i="1"/>
  <c r="DC951" i="1"/>
  <c r="DB951" i="1"/>
  <c r="DA951" i="1"/>
  <c r="CZ951" i="1"/>
  <c r="CY951" i="1"/>
  <c r="CX951" i="1"/>
  <c r="CW951" i="1"/>
  <c r="CV951" i="1"/>
  <c r="CU951" i="1"/>
  <c r="CT951" i="1"/>
  <c r="CS951" i="1"/>
  <c r="CR951" i="1"/>
  <c r="CQ951" i="1"/>
  <c r="CP951" i="1"/>
  <c r="CO951" i="1"/>
  <c r="CN951" i="1"/>
  <c r="CM951" i="1"/>
  <c r="CL951" i="1"/>
  <c r="CK951" i="1"/>
  <c r="CJ951" i="1"/>
  <c r="CI951" i="1"/>
  <c r="CH951" i="1"/>
  <c r="CG951" i="1"/>
  <c r="CF951" i="1"/>
  <c r="BR951" i="1"/>
  <c r="BQ951" i="1"/>
  <c r="BP951" i="1"/>
  <c r="BO951" i="1"/>
  <c r="BN951" i="1"/>
  <c r="BM951" i="1"/>
  <c r="BL951" i="1"/>
  <c r="BK951" i="1"/>
  <c r="BJ951" i="1"/>
  <c r="BI951" i="1"/>
  <c r="BH951" i="1"/>
  <c r="BG951" i="1"/>
  <c r="BF951" i="1"/>
  <c r="BB951" i="1"/>
  <c r="BA951" i="1"/>
  <c r="AX951" i="1"/>
  <c r="AT951" i="1"/>
  <c r="AS951" i="1"/>
  <c r="AR951" i="1"/>
  <c r="AQ951" i="1"/>
  <c r="AP951" i="1"/>
  <c r="AO951" i="1"/>
  <c r="AN951" i="1"/>
  <c r="AM951" i="1"/>
  <c r="AL951" i="1"/>
  <c r="AK951" i="1"/>
  <c r="AI951" i="1"/>
  <c r="AH951" i="1"/>
  <c r="AG951" i="1"/>
  <c r="AF951" i="1"/>
  <c r="AE951" i="1"/>
  <c r="AD951" i="1"/>
  <c r="O951" i="1"/>
  <c r="DE950" i="1"/>
  <c r="DD950" i="1"/>
  <c r="DC950" i="1"/>
  <c r="DB950" i="1"/>
  <c r="DA950" i="1"/>
  <c r="CZ950" i="1"/>
  <c r="CY950" i="1"/>
  <c r="CX950" i="1"/>
  <c r="CW950" i="1"/>
  <c r="CV950" i="1"/>
  <c r="CU950" i="1"/>
  <c r="CT950" i="1"/>
  <c r="CS950" i="1"/>
  <c r="CR950" i="1"/>
  <c r="CQ950" i="1"/>
  <c r="CP950" i="1"/>
  <c r="CO950" i="1"/>
  <c r="CN950" i="1"/>
  <c r="CM950" i="1"/>
  <c r="CL950" i="1"/>
  <c r="CK950" i="1"/>
  <c r="CJ950" i="1"/>
  <c r="CI950" i="1"/>
  <c r="CH950" i="1"/>
  <c r="CG950" i="1"/>
  <c r="CF950" i="1"/>
  <c r="BR950" i="1"/>
  <c r="BQ950" i="1"/>
  <c r="BP950" i="1"/>
  <c r="BO950" i="1"/>
  <c r="BN950" i="1"/>
  <c r="BM950" i="1"/>
  <c r="BL950" i="1"/>
  <c r="BK950" i="1"/>
  <c r="BI950" i="1"/>
  <c r="BH950" i="1"/>
  <c r="BG950" i="1"/>
  <c r="BF950" i="1"/>
  <c r="BE950" i="1"/>
  <c r="BB950" i="1"/>
  <c r="BA950" i="1"/>
  <c r="AW950" i="1"/>
  <c r="AT950" i="1"/>
  <c r="AS950" i="1"/>
  <c r="AR950" i="1"/>
  <c r="AQ950" i="1"/>
  <c r="AP950" i="1"/>
  <c r="AO950" i="1"/>
  <c r="AN950" i="1"/>
  <c r="AM950" i="1"/>
  <c r="AL950" i="1"/>
  <c r="AK950" i="1"/>
  <c r="AI950" i="1"/>
  <c r="AH950" i="1"/>
  <c r="AG950" i="1"/>
  <c r="AF950" i="1"/>
  <c r="AE950" i="1"/>
  <c r="AD950" i="1"/>
  <c r="O950" i="1"/>
  <c r="P950" i="1" s="1"/>
  <c r="AJ950" i="1" s="1"/>
  <c r="DE949" i="1"/>
  <c r="DD949" i="1"/>
  <c r="DC949" i="1"/>
  <c r="DB949" i="1"/>
  <c r="DA949" i="1"/>
  <c r="CZ949" i="1"/>
  <c r="CY949" i="1"/>
  <c r="CX949" i="1"/>
  <c r="CW949" i="1"/>
  <c r="CV949" i="1"/>
  <c r="CU949" i="1"/>
  <c r="CT949" i="1"/>
  <c r="CS949" i="1"/>
  <c r="CR949" i="1"/>
  <c r="CQ949" i="1"/>
  <c r="CP949" i="1"/>
  <c r="CO949" i="1"/>
  <c r="CN949" i="1"/>
  <c r="CM949" i="1"/>
  <c r="CL949" i="1"/>
  <c r="CK949" i="1"/>
  <c r="CJ949" i="1"/>
  <c r="CI949" i="1"/>
  <c r="CH949" i="1"/>
  <c r="CG949" i="1"/>
  <c r="CF949" i="1"/>
  <c r="CE949" i="1"/>
  <c r="CB949" i="1"/>
  <c r="CA949" i="1"/>
  <c r="BT949" i="1"/>
  <c r="BS949" i="1"/>
  <c r="BR949" i="1"/>
  <c r="BQ949" i="1"/>
  <c r="BP949" i="1"/>
  <c r="BO949" i="1"/>
  <c r="BN949" i="1"/>
  <c r="BM949" i="1"/>
  <c r="BL949" i="1"/>
  <c r="BK949" i="1"/>
  <c r="BJ949" i="1"/>
  <c r="BI949" i="1"/>
  <c r="BH949" i="1"/>
  <c r="BG949" i="1"/>
  <c r="BF949" i="1"/>
  <c r="BD949" i="1"/>
  <c r="BC949" i="1"/>
  <c r="AZ949" i="1"/>
  <c r="AV949" i="1"/>
  <c r="AU949" i="1"/>
  <c r="AR949" i="1"/>
  <c r="AQ949" i="1"/>
  <c r="AP949" i="1"/>
  <c r="AO949" i="1"/>
  <c r="AN949" i="1"/>
  <c r="AM949" i="1"/>
  <c r="AL949" i="1"/>
  <c r="AK949" i="1"/>
  <c r="AJ949" i="1"/>
  <c r="AI949" i="1"/>
  <c r="AH949" i="1"/>
  <c r="AG949" i="1"/>
  <c r="AF949" i="1"/>
  <c r="AE949" i="1"/>
  <c r="AD949" i="1"/>
  <c r="S949" i="1"/>
  <c r="BW949" i="1" s="1"/>
  <c r="O949" i="1"/>
  <c r="P949" i="1" s="1"/>
  <c r="F949" i="1"/>
  <c r="B949" i="1"/>
  <c r="DE948" i="1"/>
  <c r="DD948" i="1"/>
  <c r="DC948" i="1"/>
  <c r="DB948" i="1"/>
  <c r="DA948" i="1"/>
  <c r="CZ948" i="1"/>
  <c r="CY948" i="1"/>
  <c r="CX948" i="1"/>
  <c r="CW948" i="1"/>
  <c r="CV948" i="1"/>
  <c r="CU948" i="1"/>
  <c r="CT948" i="1"/>
  <c r="CS948" i="1"/>
  <c r="CR948" i="1"/>
  <c r="CQ948" i="1"/>
  <c r="CP948" i="1"/>
  <c r="CO948" i="1"/>
  <c r="CN948" i="1"/>
  <c r="CM948" i="1"/>
  <c r="CL948" i="1"/>
  <c r="CK948" i="1"/>
  <c r="CJ948" i="1"/>
  <c r="CI948" i="1"/>
  <c r="CH948" i="1"/>
  <c r="CG948" i="1"/>
  <c r="CF948" i="1"/>
  <c r="BR948" i="1"/>
  <c r="BQ948" i="1"/>
  <c r="BP948" i="1"/>
  <c r="BO948" i="1"/>
  <c r="BN948" i="1"/>
  <c r="BM948" i="1"/>
  <c r="BL948" i="1"/>
  <c r="BK948" i="1"/>
  <c r="BJ948" i="1"/>
  <c r="BI948" i="1"/>
  <c r="BH948" i="1"/>
  <c r="BG948" i="1"/>
  <c r="BF948" i="1"/>
  <c r="BD948" i="1"/>
  <c r="BC948" i="1"/>
  <c r="AY948" i="1"/>
  <c r="AV948" i="1"/>
  <c r="AU948" i="1"/>
  <c r="AR948" i="1"/>
  <c r="AQ948" i="1"/>
  <c r="AP948" i="1"/>
  <c r="AO948" i="1"/>
  <c r="AN948" i="1"/>
  <c r="AM948" i="1"/>
  <c r="AL948" i="1"/>
  <c r="AK948" i="1"/>
  <c r="AJ948" i="1"/>
  <c r="AI948" i="1"/>
  <c r="AH948" i="1"/>
  <c r="AG948" i="1"/>
  <c r="AF948" i="1"/>
  <c r="AE948" i="1"/>
  <c r="AD948" i="1"/>
  <c r="R948" i="1"/>
  <c r="Q948" i="1"/>
  <c r="DE947" i="1"/>
  <c r="DD947" i="1"/>
  <c r="DC947" i="1"/>
  <c r="DB947" i="1"/>
  <c r="DA947" i="1"/>
  <c r="CZ947" i="1"/>
  <c r="CY947" i="1"/>
  <c r="CX947" i="1"/>
  <c r="CW947" i="1"/>
  <c r="CV947" i="1"/>
  <c r="CU947" i="1"/>
  <c r="CT947" i="1"/>
  <c r="CS947" i="1"/>
  <c r="CR947" i="1"/>
  <c r="CQ947" i="1"/>
  <c r="CP947" i="1"/>
  <c r="CO947" i="1"/>
  <c r="CN947" i="1"/>
  <c r="CM947" i="1"/>
  <c r="CL947" i="1"/>
  <c r="CK947" i="1"/>
  <c r="CJ947" i="1"/>
  <c r="CI947" i="1"/>
  <c r="CH947" i="1"/>
  <c r="CG947" i="1"/>
  <c r="CF947" i="1"/>
  <c r="BR947" i="1"/>
  <c r="BQ947" i="1"/>
  <c r="BP947" i="1"/>
  <c r="BO947" i="1"/>
  <c r="BN947" i="1"/>
  <c r="BM947" i="1"/>
  <c r="BL947" i="1"/>
  <c r="BK947" i="1"/>
  <c r="BI947" i="1"/>
  <c r="BH947" i="1"/>
  <c r="BG947" i="1"/>
  <c r="BF947" i="1"/>
  <c r="BD947" i="1"/>
  <c r="BC947" i="1"/>
  <c r="AY947" i="1"/>
  <c r="AV947" i="1"/>
  <c r="AU947" i="1"/>
  <c r="AR947" i="1"/>
  <c r="AQ947" i="1"/>
  <c r="AP947" i="1"/>
  <c r="AO947" i="1"/>
  <c r="AN947" i="1"/>
  <c r="AM947" i="1"/>
  <c r="AL947" i="1"/>
  <c r="AK947" i="1"/>
  <c r="AI947" i="1"/>
  <c r="AH947" i="1"/>
  <c r="AG947" i="1"/>
  <c r="AF947" i="1"/>
  <c r="AE947" i="1"/>
  <c r="O946" i="1" s="1"/>
  <c r="AD947" i="1"/>
  <c r="J947" i="1"/>
  <c r="DE946" i="1"/>
  <c r="DD946" i="1"/>
  <c r="DC946" i="1"/>
  <c r="DB946" i="1"/>
  <c r="DA946" i="1"/>
  <c r="CZ946" i="1"/>
  <c r="CY946" i="1"/>
  <c r="CX946" i="1"/>
  <c r="CW946" i="1"/>
  <c r="CV946" i="1"/>
  <c r="CU946" i="1"/>
  <c r="CT946" i="1"/>
  <c r="CS946" i="1"/>
  <c r="CR946" i="1"/>
  <c r="CQ946" i="1"/>
  <c r="CP946" i="1"/>
  <c r="CO946" i="1"/>
  <c r="CN946" i="1"/>
  <c r="CM946" i="1"/>
  <c r="CL946" i="1"/>
  <c r="CK946" i="1"/>
  <c r="CJ946" i="1"/>
  <c r="CI946" i="1"/>
  <c r="CH946" i="1"/>
  <c r="CG946" i="1"/>
  <c r="CF946" i="1"/>
  <c r="CD946" i="1"/>
  <c r="CA946" i="1"/>
  <c r="BZ946" i="1"/>
  <c r="BV946" i="1"/>
  <c r="BS946" i="1"/>
  <c r="BR946" i="1"/>
  <c r="BQ946" i="1"/>
  <c r="BP946" i="1"/>
  <c r="BO946" i="1"/>
  <c r="BN946" i="1"/>
  <c r="BL946" i="1"/>
  <c r="BK946" i="1"/>
  <c r="BJ946" i="1"/>
  <c r="BI946" i="1"/>
  <c r="BH946" i="1"/>
  <c r="BG946" i="1"/>
  <c r="BF946" i="1"/>
  <c r="BC946" i="1"/>
  <c r="AY946" i="1"/>
  <c r="AX946" i="1"/>
  <c r="AU946" i="1"/>
  <c r="AR946" i="1"/>
  <c r="AQ946" i="1"/>
  <c r="AP946" i="1"/>
  <c r="AO946" i="1"/>
  <c r="AN946" i="1"/>
  <c r="AL946" i="1"/>
  <c r="AK946" i="1"/>
  <c r="AJ946" i="1"/>
  <c r="AI946" i="1"/>
  <c r="AH946" i="1"/>
  <c r="AG946" i="1"/>
  <c r="AF946" i="1"/>
  <c r="AE946" i="1"/>
  <c r="AD946" i="1"/>
  <c r="F946" i="1"/>
  <c r="B946" i="1"/>
  <c r="DE945" i="1"/>
  <c r="DD945" i="1"/>
  <c r="DC945" i="1"/>
  <c r="DB945" i="1"/>
  <c r="DA945" i="1"/>
  <c r="CZ945" i="1"/>
  <c r="CY945" i="1"/>
  <c r="CX945" i="1"/>
  <c r="CW945" i="1"/>
  <c r="CV945" i="1"/>
  <c r="CU945" i="1"/>
  <c r="CT945" i="1"/>
  <c r="CS945" i="1"/>
  <c r="CR945" i="1"/>
  <c r="CQ945" i="1"/>
  <c r="CP945" i="1"/>
  <c r="CO945" i="1"/>
  <c r="CN945" i="1"/>
  <c r="CM945" i="1"/>
  <c r="CL945" i="1"/>
  <c r="CK945" i="1"/>
  <c r="CJ945" i="1"/>
  <c r="CI945" i="1"/>
  <c r="CH945" i="1"/>
  <c r="CG945" i="1"/>
  <c r="CF945" i="1"/>
  <c r="BR945" i="1"/>
  <c r="BP945" i="1"/>
  <c r="BO945" i="1"/>
  <c r="BN945" i="1"/>
  <c r="BM945" i="1"/>
  <c r="BL945" i="1"/>
  <c r="BK945" i="1"/>
  <c r="BJ945" i="1"/>
  <c r="BI945" i="1"/>
  <c r="BH945" i="1"/>
  <c r="BG945" i="1"/>
  <c r="BF945" i="1"/>
  <c r="BC945" i="1"/>
  <c r="BB945" i="1"/>
  <c r="AY945" i="1"/>
  <c r="AX945" i="1"/>
  <c r="AU945" i="1"/>
  <c r="AT945" i="1"/>
  <c r="AR945" i="1"/>
  <c r="AP945" i="1"/>
  <c r="AO945" i="1"/>
  <c r="AN945" i="1"/>
  <c r="AM945" i="1"/>
  <c r="AL945" i="1"/>
  <c r="AK945" i="1"/>
  <c r="AJ945" i="1"/>
  <c r="AI945" i="1"/>
  <c r="AH945" i="1"/>
  <c r="AG945" i="1"/>
  <c r="AF945" i="1"/>
  <c r="AE945" i="1"/>
  <c r="AD945" i="1"/>
  <c r="DE944" i="1"/>
  <c r="DD944" i="1"/>
  <c r="DC944" i="1"/>
  <c r="DB944" i="1"/>
  <c r="DA944" i="1"/>
  <c r="CZ944" i="1"/>
  <c r="CY944" i="1"/>
  <c r="CX944" i="1"/>
  <c r="CW944" i="1"/>
  <c r="CV944" i="1"/>
  <c r="CU944" i="1"/>
  <c r="CT944" i="1"/>
  <c r="CS944" i="1"/>
  <c r="CR944" i="1"/>
  <c r="CQ944" i="1"/>
  <c r="CP944" i="1"/>
  <c r="CO944" i="1"/>
  <c r="CN944" i="1"/>
  <c r="CM944" i="1"/>
  <c r="CL944" i="1"/>
  <c r="CK944" i="1"/>
  <c r="CJ944" i="1"/>
  <c r="CI944" i="1"/>
  <c r="CH944" i="1"/>
  <c r="CG944" i="1"/>
  <c r="CF944" i="1"/>
  <c r="BR944" i="1"/>
  <c r="BQ944" i="1"/>
  <c r="BP944" i="1"/>
  <c r="BO944" i="1"/>
  <c r="BN944" i="1"/>
  <c r="BL944" i="1"/>
  <c r="BK944" i="1"/>
  <c r="BJ944" i="1"/>
  <c r="BI944" i="1"/>
  <c r="BH944" i="1"/>
  <c r="BG944" i="1"/>
  <c r="BF944" i="1"/>
  <c r="BC944" i="1"/>
  <c r="BB944" i="1"/>
  <c r="AY944" i="1"/>
  <c r="AX944" i="1"/>
  <c r="AU944" i="1"/>
  <c r="AT944" i="1"/>
  <c r="AR944" i="1"/>
  <c r="AQ944" i="1"/>
  <c r="AP944" i="1"/>
  <c r="AO944" i="1"/>
  <c r="AN944" i="1"/>
  <c r="AL944" i="1"/>
  <c r="AK944" i="1"/>
  <c r="AJ944" i="1"/>
  <c r="AI944" i="1"/>
  <c r="AH944" i="1"/>
  <c r="AG944" i="1"/>
  <c r="AF944" i="1"/>
  <c r="AE944" i="1"/>
  <c r="O943" i="1" s="1"/>
  <c r="AD944" i="1"/>
  <c r="O944" i="1"/>
  <c r="BM944" i="1" s="1"/>
  <c r="DE943" i="1"/>
  <c r="DD943" i="1"/>
  <c r="DC943" i="1"/>
  <c r="DB943" i="1"/>
  <c r="DA943" i="1"/>
  <c r="CZ943" i="1"/>
  <c r="CY943" i="1"/>
  <c r="CX943" i="1"/>
  <c r="CW943" i="1"/>
  <c r="CV943" i="1"/>
  <c r="CU943" i="1"/>
  <c r="CT943" i="1"/>
  <c r="CS943" i="1"/>
  <c r="CR943" i="1"/>
  <c r="CQ943" i="1"/>
  <c r="CP943" i="1"/>
  <c r="CO943" i="1"/>
  <c r="CN943" i="1"/>
  <c r="CM943" i="1"/>
  <c r="CL943" i="1"/>
  <c r="CK943" i="1"/>
  <c r="CJ943" i="1"/>
  <c r="CI943" i="1"/>
  <c r="CH943" i="1"/>
  <c r="CG943" i="1"/>
  <c r="CF943" i="1"/>
  <c r="CC943" i="1"/>
  <c r="CB943" i="1"/>
  <c r="BY943" i="1"/>
  <c r="BX943" i="1"/>
  <c r="BU943" i="1"/>
  <c r="BT943" i="1"/>
  <c r="BR943" i="1"/>
  <c r="BQ943" i="1"/>
  <c r="BP943" i="1"/>
  <c r="BO943" i="1"/>
  <c r="BN943" i="1"/>
  <c r="BM943" i="1"/>
  <c r="BL943" i="1"/>
  <c r="BK943" i="1"/>
  <c r="BJ943" i="1"/>
  <c r="BI943" i="1"/>
  <c r="BH943" i="1"/>
  <c r="BG943" i="1"/>
  <c r="BF943" i="1"/>
  <c r="BE943" i="1"/>
  <c r="BD943" i="1"/>
  <c r="BA943" i="1"/>
  <c r="AZ943" i="1"/>
  <c r="AW943" i="1"/>
  <c r="AV943" i="1"/>
  <c r="AS943" i="1"/>
  <c r="AR943" i="1"/>
  <c r="AQ943" i="1"/>
  <c r="AP943" i="1"/>
  <c r="AO943" i="1"/>
  <c r="AN943" i="1"/>
  <c r="AL943" i="1"/>
  <c r="AK943" i="1"/>
  <c r="AJ943" i="1"/>
  <c r="AI943" i="1"/>
  <c r="AH943" i="1"/>
  <c r="AG943" i="1"/>
  <c r="AF943" i="1"/>
  <c r="AE943" i="1"/>
  <c r="AD943" i="1"/>
  <c r="P943" i="1"/>
  <c r="AM943" i="1" s="1"/>
  <c r="G943" i="1"/>
  <c r="F943" i="1"/>
  <c r="B943" i="1"/>
  <c r="BE945" i="1" s="1"/>
  <c r="DE942" i="1"/>
  <c r="DD942" i="1"/>
  <c r="DC942" i="1"/>
  <c r="DB942" i="1"/>
  <c r="DA942" i="1"/>
  <c r="CZ942" i="1"/>
  <c r="CY942" i="1"/>
  <c r="CX942" i="1"/>
  <c r="CW942" i="1"/>
  <c r="CV942" i="1"/>
  <c r="CU942" i="1"/>
  <c r="CT942" i="1"/>
  <c r="CS942" i="1"/>
  <c r="CR942" i="1"/>
  <c r="CQ942" i="1"/>
  <c r="CP942" i="1"/>
  <c r="CO942" i="1"/>
  <c r="CN942" i="1"/>
  <c r="CM942" i="1"/>
  <c r="CL942" i="1"/>
  <c r="CK942" i="1"/>
  <c r="CJ942" i="1"/>
  <c r="CI942" i="1"/>
  <c r="CH942" i="1"/>
  <c r="CG942" i="1"/>
  <c r="CF942" i="1"/>
  <c r="BR942" i="1"/>
  <c r="BP942" i="1"/>
  <c r="BO942" i="1"/>
  <c r="BN942" i="1"/>
  <c r="BM942" i="1"/>
  <c r="BL942" i="1"/>
  <c r="BK942" i="1"/>
  <c r="BJ942" i="1"/>
  <c r="BI942" i="1"/>
  <c r="BH942" i="1"/>
  <c r="BG942" i="1"/>
  <c r="BF942" i="1"/>
  <c r="BE942" i="1"/>
  <c r="BC942" i="1"/>
  <c r="BB942" i="1"/>
  <c r="BA942" i="1"/>
  <c r="AY942" i="1"/>
  <c r="AX942" i="1"/>
  <c r="AW942" i="1"/>
  <c r="AU942" i="1"/>
  <c r="AT942" i="1"/>
  <c r="AS942" i="1"/>
  <c r="AR942" i="1"/>
  <c r="AP942" i="1"/>
  <c r="AO942" i="1"/>
  <c r="AN942" i="1"/>
  <c r="AM942" i="1"/>
  <c r="AL942" i="1"/>
  <c r="AK942" i="1"/>
  <c r="AJ942" i="1"/>
  <c r="AI942" i="1"/>
  <c r="AH942" i="1"/>
  <c r="AG942" i="1"/>
  <c r="AF942" i="1"/>
  <c r="AE942" i="1"/>
  <c r="AD942" i="1"/>
  <c r="O942" i="1"/>
  <c r="DE941" i="1"/>
  <c r="DD941" i="1"/>
  <c r="DC941" i="1"/>
  <c r="DB941" i="1"/>
  <c r="DA941" i="1"/>
  <c r="CZ941" i="1"/>
  <c r="CY941" i="1"/>
  <c r="CX941" i="1"/>
  <c r="CW941" i="1"/>
  <c r="CV941" i="1"/>
  <c r="CU941" i="1"/>
  <c r="CT941" i="1"/>
  <c r="CS941" i="1"/>
  <c r="CR941" i="1"/>
  <c r="CQ941" i="1"/>
  <c r="CP941" i="1"/>
  <c r="CO941" i="1"/>
  <c r="CN941" i="1"/>
  <c r="CM941" i="1"/>
  <c r="CL941" i="1"/>
  <c r="CK941" i="1"/>
  <c r="CJ941" i="1"/>
  <c r="CI941" i="1"/>
  <c r="CH941" i="1"/>
  <c r="CG941" i="1"/>
  <c r="CF941" i="1"/>
  <c r="BR941" i="1"/>
  <c r="BP941" i="1"/>
  <c r="BO941" i="1"/>
  <c r="BN941" i="1"/>
  <c r="BM941" i="1"/>
  <c r="BL941" i="1"/>
  <c r="BK941" i="1"/>
  <c r="BJ941" i="1"/>
  <c r="BI941" i="1"/>
  <c r="BH941" i="1"/>
  <c r="BG941" i="1"/>
  <c r="BF941" i="1"/>
  <c r="BE941" i="1"/>
  <c r="BC941" i="1"/>
  <c r="BB941" i="1"/>
  <c r="BA941" i="1"/>
  <c r="AY941" i="1"/>
  <c r="AX941" i="1"/>
  <c r="AW941" i="1"/>
  <c r="AU941" i="1"/>
  <c r="AT941" i="1"/>
  <c r="AS941" i="1"/>
  <c r="AR941" i="1"/>
  <c r="AP941" i="1"/>
  <c r="AO941" i="1"/>
  <c r="AN941" i="1"/>
  <c r="AM941" i="1"/>
  <c r="AL941" i="1"/>
  <c r="AK941" i="1"/>
  <c r="AJ941" i="1"/>
  <c r="AI941" i="1"/>
  <c r="AH941" i="1"/>
  <c r="AG941" i="1"/>
  <c r="AF941" i="1"/>
  <c r="AE941" i="1"/>
  <c r="AD941" i="1"/>
  <c r="O941" i="1"/>
  <c r="P941" i="1" s="1"/>
  <c r="AQ941" i="1" s="1"/>
  <c r="DE940" i="1"/>
  <c r="DD940" i="1"/>
  <c r="DC940" i="1"/>
  <c r="DB940" i="1"/>
  <c r="DA940" i="1"/>
  <c r="CZ940" i="1"/>
  <c r="CY940" i="1"/>
  <c r="CX940" i="1"/>
  <c r="CW940" i="1"/>
  <c r="CV940" i="1"/>
  <c r="CU940" i="1"/>
  <c r="CT940" i="1"/>
  <c r="CS940" i="1"/>
  <c r="CR940" i="1"/>
  <c r="CQ940" i="1"/>
  <c r="CP940" i="1"/>
  <c r="CO940" i="1"/>
  <c r="CN940" i="1"/>
  <c r="CM940" i="1"/>
  <c r="CL940" i="1"/>
  <c r="CK940" i="1"/>
  <c r="CJ940" i="1"/>
  <c r="CI940" i="1"/>
  <c r="CH940" i="1"/>
  <c r="CG940" i="1"/>
  <c r="CF940" i="1"/>
  <c r="CE940" i="1"/>
  <c r="CC940" i="1"/>
  <c r="CB940" i="1"/>
  <c r="CA940" i="1"/>
  <c r="BY940" i="1"/>
  <c r="BX940" i="1"/>
  <c r="BW940" i="1"/>
  <c r="BU940" i="1"/>
  <c r="BT940" i="1"/>
  <c r="BS940" i="1"/>
  <c r="BR940" i="1"/>
  <c r="BQ940" i="1"/>
  <c r="BP940" i="1"/>
  <c r="BO940" i="1"/>
  <c r="BN940" i="1"/>
  <c r="BL940" i="1"/>
  <c r="BK940" i="1"/>
  <c r="BJ940" i="1"/>
  <c r="BI940" i="1"/>
  <c r="BH940" i="1"/>
  <c r="BG940" i="1"/>
  <c r="BF940" i="1"/>
  <c r="BE940" i="1"/>
  <c r="BD940" i="1"/>
  <c r="BC940" i="1"/>
  <c r="BA940" i="1"/>
  <c r="AZ940" i="1"/>
  <c r="AY940" i="1"/>
  <c r="AW940" i="1"/>
  <c r="AV940" i="1"/>
  <c r="AU940" i="1"/>
  <c r="AS940" i="1"/>
  <c r="AR940" i="1"/>
  <c r="AQ940" i="1"/>
  <c r="AP940" i="1"/>
  <c r="AO940" i="1"/>
  <c r="AN940" i="1"/>
  <c r="AL940" i="1"/>
  <c r="AK940" i="1"/>
  <c r="AJ940" i="1"/>
  <c r="AI940" i="1"/>
  <c r="AH940" i="1"/>
  <c r="AG940" i="1"/>
  <c r="AF940" i="1"/>
  <c r="AE940" i="1"/>
  <c r="AD940" i="1"/>
  <c r="O940" i="1"/>
  <c r="BM940" i="1" s="1"/>
  <c r="G940" i="1"/>
  <c r="F940" i="1"/>
  <c r="B940" i="1"/>
  <c r="BD942" i="1" s="1"/>
  <c r="DE939" i="1"/>
  <c r="DD939" i="1"/>
  <c r="DC939" i="1"/>
  <c r="DB939" i="1"/>
  <c r="DA939" i="1"/>
  <c r="CZ939" i="1"/>
  <c r="CY939" i="1"/>
  <c r="CX939" i="1"/>
  <c r="CW939" i="1"/>
  <c r="CV939" i="1"/>
  <c r="CU939" i="1"/>
  <c r="CT939" i="1"/>
  <c r="CS939" i="1"/>
  <c r="CR939" i="1"/>
  <c r="CQ939" i="1"/>
  <c r="CP939" i="1"/>
  <c r="CO939" i="1"/>
  <c r="CN939" i="1"/>
  <c r="CM939" i="1"/>
  <c r="CL939" i="1"/>
  <c r="CK939" i="1"/>
  <c r="CJ939" i="1"/>
  <c r="CI939" i="1"/>
  <c r="CH939" i="1"/>
  <c r="CG939" i="1"/>
  <c r="CF939" i="1"/>
  <c r="BR939" i="1"/>
  <c r="BQ939" i="1"/>
  <c r="BP939" i="1"/>
  <c r="BO939" i="1"/>
  <c r="BN939" i="1"/>
  <c r="BM939" i="1"/>
  <c r="BL939" i="1"/>
  <c r="BK939" i="1"/>
  <c r="BJ939" i="1"/>
  <c r="BI939" i="1"/>
  <c r="BH939" i="1"/>
  <c r="BG939" i="1"/>
  <c r="BF939" i="1"/>
  <c r="BE939" i="1"/>
  <c r="BD939" i="1"/>
  <c r="AW939" i="1"/>
  <c r="AV939" i="1"/>
  <c r="AR939" i="1"/>
  <c r="AQ939" i="1"/>
  <c r="AP939" i="1"/>
  <c r="AO939" i="1"/>
  <c r="AN939" i="1"/>
  <c r="AM939" i="1"/>
  <c r="AL939" i="1"/>
  <c r="AK939" i="1"/>
  <c r="AJ939" i="1"/>
  <c r="AI939" i="1"/>
  <c r="AH939" i="1"/>
  <c r="AG939" i="1"/>
  <c r="AF939" i="1"/>
  <c r="AE939" i="1"/>
  <c r="AD939" i="1"/>
  <c r="R939" i="1"/>
  <c r="Q939" i="1"/>
  <c r="DE938" i="1"/>
  <c r="DD938" i="1"/>
  <c r="DC938" i="1"/>
  <c r="DB938" i="1"/>
  <c r="DA938" i="1"/>
  <c r="CZ938" i="1"/>
  <c r="CY938" i="1"/>
  <c r="CX938" i="1"/>
  <c r="CW938" i="1"/>
  <c r="CV938" i="1"/>
  <c r="CU938" i="1"/>
  <c r="CT938" i="1"/>
  <c r="CS938" i="1"/>
  <c r="CR938" i="1"/>
  <c r="CQ938" i="1"/>
  <c r="CP938" i="1"/>
  <c r="CO938" i="1"/>
  <c r="CN938" i="1"/>
  <c r="CM938" i="1"/>
  <c r="CL938" i="1"/>
  <c r="CK938" i="1"/>
  <c r="CJ938" i="1"/>
  <c r="CI938" i="1"/>
  <c r="CH938" i="1"/>
  <c r="CG938" i="1"/>
  <c r="CF938" i="1"/>
  <c r="BR938" i="1"/>
  <c r="BP938" i="1"/>
  <c r="BO938" i="1"/>
  <c r="BN938" i="1"/>
  <c r="BM938" i="1"/>
  <c r="BL938" i="1"/>
  <c r="BK938" i="1"/>
  <c r="BJ938" i="1"/>
  <c r="BI938" i="1"/>
  <c r="BH938" i="1"/>
  <c r="BG938" i="1"/>
  <c r="BF938" i="1"/>
  <c r="BB938" i="1"/>
  <c r="BA938" i="1"/>
  <c r="AW938" i="1"/>
  <c r="AV938" i="1"/>
  <c r="AR938" i="1"/>
  <c r="AP938" i="1"/>
  <c r="AO938" i="1"/>
  <c r="AN938" i="1"/>
  <c r="AM938" i="1"/>
  <c r="AL938" i="1"/>
  <c r="AK938" i="1"/>
  <c r="AJ938" i="1"/>
  <c r="AI938" i="1"/>
  <c r="AH938" i="1"/>
  <c r="AG938" i="1"/>
  <c r="AF938" i="1"/>
  <c r="AE938" i="1"/>
  <c r="AD938" i="1"/>
  <c r="O938" i="1"/>
  <c r="P938" i="1" s="1"/>
  <c r="AQ938" i="1" s="1"/>
  <c r="J938" i="1"/>
  <c r="DE937" i="1"/>
  <c r="DD937" i="1"/>
  <c r="DC937" i="1"/>
  <c r="DB937" i="1"/>
  <c r="DA937" i="1"/>
  <c r="CZ937" i="1"/>
  <c r="CY937" i="1"/>
  <c r="CX937" i="1"/>
  <c r="CW937" i="1"/>
  <c r="CV937" i="1"/>
  <c r="CU937" i="1"/>
  <c r="CT937" i="1"/>
  <c r="CS937" i="1"/>
  <c r="CR937" i="1"/>
  <c r="CQ937" i="1"/>
  <c r="CP937" i="1"/>
  <c r="CO937" i="1"/>
  <c r="CN937" i="1"/>
  <c r="CM937" i="1"/>
  <c r="CL937" i="1"/>
  <c r="CK937" i="1"/>
  <c r="CJ937" i="1"/>
  <c r="CI937" i="1"/>
  <c r="CH937" i="1"/>
  <c r="CG937" i="1"/>
  <c r="CF937" i="1"/>
  <c r="CE937" i="1"/>
  <c r="CC937" i="1"/>
  <c r="BY937" i="1"/>
  <c r="BX937" i="1"/>
  <c r="BT937" i="1"/>
  <c r="BS937" i="1"/>
  <c r="BR937" i="1"/>
  <c r="BQ937" i="1"/>
  <c r="BP937" i="1"/>
  <c r="BO937" i="1"/>
  <c r="BN937" i="1"/>
  <c r="BL937" i="1"/>
  <c r="BK937" i="1"/>
  <c r="BJ937" i="1"/>
  <c r="BI937" i="1"/>
  <c r="BH937" i="1"/>
  <c r="BG937" i="1"/>
  <c r="BF937" i="1"/>
  <c r="BD937" i="1"/>
  <c r="BC937" i="1"/>
  <c r="AY937" i="1"/>
  <c r="AW937" i="1"/>
  <c r="AS937" i="1"/>
  <c r="AR937" i="1"/>
  <c r="AQ937" i="1"/>
  <c r="AP937" i="1"/>
  <c r="AO937" i="1"/>
  <c r="AN937" i="1"/>
  <c r="AL937" i="1"/>
  <c r="AK937" i="1"/>
  <c r="AJ937" i="1"/>
  <c r="AI937" i="1"/>
  <c r="AH937" i="1"/>
  <c r="AG937" i="1"/>
  <c r="AF937" i="1"/>
  <c r="AE937" i="1"/>
  <c r="O939" i="1" s="1"/>
  <c r="P939" i="1" s="1"/>
  <c r="AD937" i="1"/>
  <c r="O937" i="1"/>
  <c r="P937" i="1" s="1"/>
  <c r="F937" i="1"/>
  <c r="B937" i="1"/>
  <c r="DE936" i="1"/>
  <c r="DD936" i="1"/>
  <c r="DC936" i="1"/>
  <c r="DB936" i="1"/>
  <c r="DA936" i="1"/>
  <c r="CZ936" i="1"/>
  <c r="CY936" i="1"/>
  <c r="CX936" i="1"/>
  <c r="CW936" i="1"/>
  <c r="CV936" i="1"/>
  <c r="CU936" i="1"/>
  <c r="CT936" i="1"/>
  <c r="CS936" i="1"/>
  <c r="CR936" i="1"/>
  <c r="CQ936" i="1"/>
  <c r="CP936" i="1"/>
  <c r="CO936" i="1"/>
  <c r="CN936" i="1"/>
  <c r="CM936" i="1"/>
  <c r="CL936" i="1"/>
  <c r="CK936" i="1"/>
  <c r="CJ936" i="1"/>
  <c r="CI936" i="1"/>
  <c r="CH936" i="1"/>
  <c r="CG936" i="1"/>
  <c r="CF936" i="1"/>
  <c r="BR936" i="1"/>
  <c r="BQ936" i="1"/>
  <c r="BP936" i="1"/>
  <c r="BO936" i="1"/>
  <c r="BN936" i="1"/>
  <c r="BM936" i="1"/>
  <c r="BL936" i="1"/>
  <c r="BK936" i="1"/>
  <c r="BJ936" i="1"/>
  <c r="BI936" i="1"/>
  <c r="BH936" i="1"/>
  <c r="BG936" i="1"/>
  <c r="BF936" i="1"/>
  <c r="BD936" i="1"/>
  <c r="BC936" i="1"/>
  <c r="AY936" i="1"/>
  <c r="AW936" i="1"/>
  <c r="AS936" i="1"/>
  <c r="AR936" i="1"/>
  <c r="AQ936" i="1"/>
  <c r="AP936" i="1"/>
  <c r="AO936" i="1"/>
  <c r="AN936" i="1"/>
  <c r="AM936" i="1"/>
  <c r="AL936" i="1"/>
  <c r="AK936" i="1"/>
  <c r="AJ936" i="1"/>
  <c r="AI936" i="1"/>
  <c r="AH936" i="1"/>
  <c r="AG936" i="1"/>
  <c r="AF936" i="1"/>
  <c r="AE936" i="1"/>
  <c r="AD936" i="1"/>
  <c r="R936" i="1"/>
  <c r="Q936" i="1"/>
  <c r="DE935" i="1"/>
  <c r="DD935" i="1"/>
  <c r="DC935" i="1"/>
  <c r="DB935" i="1"/>
  <c r="DA935" i="1"/>
  <c r="CZ935" i="1"/>
  <c r="CY935" i="1"/>
  <c r="CX935" i="1"/>
  <c r="CW935" i="1"/>
  <c r="CV935" i="1"/>
  <c r="CU935" i="1"/>
  <c r="CT935" i="1"/>
  <c r="CS935" i="1"/>
  <c r="CR935" i="1"/>
  <c r="CQ935" i="1"/>
  <c r="CP935" i="1"/>
  <c r="CO935" i="1"/>
  <c r="CN935" i="1"/>
  <c r="CM935" i="1"/>
  <c r="CL935" i="1"/>
  <c r="CK935" i="1"/>
  <c r="CJ935" i="1"/>
  <c r="CI935" i="1"/>
  <c r="CH935" i="1"/>
  <c r="CG935" i="1"/>
  <c r="CF935" i="1"/>
  <c r="BR935" i="1"/>
  <c r="BP935" i="1"/>
  <c r="BO935" i="1"/>
  <c r="BN935" i="1"/>
  <c r="BM935" i="1"/>
  <c r="BL935" i="1"/>
  <c r="BK935" i="1"/>
  <c r="BJ935" i="1"/>
  <c r="BI935" i="1"/>
  <c r="BH935" i="1"/>
  <c r="BG935" i="1"/>
  <c r="BF935" i="1"/>
  <c r="BC935" i="1"/>
  <c r="BA935" i="1"/>
  <c r="AW935" i="1"/>
  <c r="AV935" i="1"/>
  <c r="AR935" i="1"/>
  <c r="AP935" i="1"/>
  <c r="AO935" i="1"/>
  <c r="AN935" i="1"/>
  <c r="AM935" i="1"/>
  <c r="AL935" i="1"/>
  <c r="AK935" i="1"/>
  <c r="AJ935" i="1"/>
  <c r="AI935" i="1"/>
  <c r="AH935" i="1"/>
  <c r="AG935" i="1"/>
  <c r="AF935" i="1"/>
  <c r="AE935" i="1"/>
  <c r="O934" i="1" s="1"/>
  <c r="AD935" i="1"/>
  <c r="J935" i="1"/>
  <c r="DE934" i="1"/>
  <c r="DD934" i="1"/>
  <c r="DC934" i="1"/>
  <c r="DB934" i="1"/>
  <c r="DA934" i="1"/>
  <c r="CZ934" i="1"/>
  <c r="CY934" i="1"/>
  <c r="CX934" i="1"/>
  <c r="CW934" i="1"/>
  <c r="CV934" i="1"/>
  <c r="CU934" i="1"/>
  <c r="CT934" i="1"/>
  <c r="CS934" i="1"/>
  <c r="CR934" i="1"/>
  <c r="CQ934" i="1"/>
  <c r="CP934" i="1"/>
  <c r="CO934" i="1"/>
  <c r="CN934" i="1"/>
  <c r="CM934" i="1"/>
  <c r="CL934" i="1"/>
  <c r="CK934" i="1"/>
  <c r="CJ934" i="1"/>
  <c r="CI934" i="1"/>
  <c r="CH934" i="1"/>
  <c r="CG934" i="1"/>
  <c r="CF934" i="1"/>
  <c r="CB934" i="1"/>
  <c r="CA934" i="1"/>
  <c r="BW934" i="1"/>
  <c r="BV934" i="1"/>
  <c r="BR934" i="1"/>
  <c r="BQ934" i="1"/>
  <c r="BP934" i="1"/>
  <c r="BO934" i="1"/>
  <c r="BN934" i="1"/>
  <c r="BM934" i="1"/>
  <c r="BL934" i="1"/>
  <c r="BK934" i="1"/>
  <c r="BI934" i="1"/>
  <c r="BH934" i="1"/>
  <c r="BG934" i="1"/>
  <c r="BF934" i="1"/>
  <c r="BD934" i="1"/>
  <c r="AZ934" i="1"/>
  <c r="AY934" i="1"/>
  <c r="AU934" i="1"/>
  <c r="AT934" i="1"/>
  <c r="AR934" i="1"/>
  <c r="AQ934" i="1"/>
  <c r="AP934" i="1"/>
  <c r="AO934" i="1"/>
  <c r="AN934" i="1"/>
  <c r="AM934" i="1"/>
  <c r="AL934" i="1"/>
  <c r="AK934" i="1"/>
  <c r="AI934" i="1"/>
  <c r="AH934" i="1"/>
  <c r="AG934" i="1"/>
  <c r="AF934" i="1"/>
  <c r="AE934" i="1"/>
  <c r="AD934" i="1"/>
  <c r="G934" i="1"/>
  <c r="F934" i="1" s="1"/>
  <c r="B934" i="1"/>
  <c r="DE933" i="1"/>
  <c r="DD933" i="1"/>
  <c r="DC933" i="1"/>
  <c r="DB933" i="1"/>
  <c r="DA933" i="1"/>
  <c r="CZ933" i="1"/>
  <c r="CY933" i="1"/>
  <c r="CX933" i="1"/>
  <c r="CW933" i="1"/>
  <c r="CV933" i="1"/>
  <c r="CU933" i="1"/>
  <c r="CT933" i="1"/>
  <c r="CS933" i="1"/>
  <c r="CR933" i="1"/>
  <c r="CQ933" i="1"/>
  <c r="CP933" i="1"/>
  <c r="CO933" i="1"/>
  <c r="CN933" i="1"/>
  <c r="CM933" i="1"/>
  <c r="CL933" i="1"/>
  <c r="CK933" i="1"/>
  <c r="CJ933" i="1"/>
  <c r="CI933" i="1"/>
  <c r="CH933" i="1"/>
  <c r="CG933" i="1"/>
  <c r="CF933" i="1"/>
  <c r="BR933" i="1"/>
  <c r="BQ933" i="1"/>
  <c r="BP933" i="1"/>
  <c r="BO933" i="1"/>
  <c r="BN933" i="1"/>
  <c r="BM933" i="1"/>
  <c r="BL933" i="1"/>
  <c r="BK933" i="1"/>
  <c r="BJ933" i="1"/>
  <c r="BI933" i="1"/>
  <c r="BH933" i="1"/>
  <c r="BG933" i="1"/>
  <c r="BF933" i="1"/>
  <c r="BD933" i="1"/>
  <c r="AY933" i="1"/>
  <c r="AS933" i="1"/>
  <c r="AR933" i="1"/>
  <c r="AQ933" i="1"/>
  <c r="AP933" i="1"/>
  <c r="AO933" i="1"/>
  <c r="AN933" i="1"/>
  <c r="AM933" i="1"/>
  <c r="AL933" i="1"/>
  <c r="AK933" i="1"/>
  <c r="AJ933" i="1"/>
  <c r="AI933" i="1"/>
  <c r="AH933" i="1"/>
  <c r="AG933" i="1"/>
  <c r="AF933" i="1"/>
  <c r="AE933" i="1"/>
  <c r="AD933" i="1"/>
  <c r="R933" i="1"/>
  <c r="Q933" i="1"/>
  <c r="DE932" i="1"/>
  <c r="DD932" i="1"/>
  <c r="DC932" i="1"/>
  <c r="DB932" i="1"/>
  <c r="DA932" i="1"/>
  <c r="CZ932" i="1"/>
  <c r="CY932" i="1"/>
  <c r="CX932" i="1"/>
  <c r="CW932" i="1"/>
  <c r="CV932" i="1"/>
  <c r="CU932" i="1"/>
  <c r="CT932" i="1"/>
  <c r="CS932" i="1"/>
  <c r="CR932" i="1"/>
  <c r="CQ932" i="1"/>
  <c r="CP932" i="1"/>
  <c r="CO932" i="1"/>
  <c r="CN932" i="1"/>
  <c r="CM932" i="1"/>
  <c r="CL932" i="1"/>
  <c r="CK932" i="1"/>
  <c r="CJ932" i="1"/>
  <c r="CI932" i="1"/>
  <c r="CH932" i="1"/>
  <c r="CG932" i="1"/>
  <c r="CF932" i="1"/>
  <c r="BR932" i="1"/>
  <c r="BQ932" i="1"/>
  <c r="BP932" i="1"/>
  <c r="BO932" i="1"/>
  <c r="BN932" i="1"/>
  <c r="BM932" i="1"/>
  <c r="BL932" i="1"/>
  <c r="BK932" i="1"/>
  <c r="BI932" i="1"/>
  <c r="BH932" i="1"/>
  <c r="BG932" i="1"/>
  <c r="BF932" i="1"/>
  <c r="BA932" i="1"/>
  <c r="AV932" i="1"/>
  <c r="AR932" i="1"/>
  <c r="AQ932" i="1"/>
  <c r="AP932" i="1"/>
  <c r="AO932" i="1"/>
  <c r="AN932" i="1"/>
  <c r="AM932" i="1"/>
  <c r="AL932" i="1"/>
  <c r="AK932" i="1"/>
  <c r="AI932" i="1"/>
  <c r="AH932" i="1"/>
  <c r="AG932" i="1"/>
  <c r="AF932" i="1"/>
  <c r="AE932" i="1"/>
  <c r="O931" i="1" s="1"/>
  <c r="AD932" i="1"/>
  <c r="DE931" i="1"/>
  <c r="DD931" i="1"/>
  <c r="DC931" i="1"/>
  <c r="DB931" i="1"/>
  <c r="DA931" i="1"/>
  <c r="CZ931" i="1"/>
  <c r="CY931" i="1"/>
  <c r="CX931" i="1"/>
  <c r="CW931" i="1"/>
  <c r="CV931" i="1"/>
  <c r="CU931" i="1"/>
  <c r="CT931" i="1"/>
  <c r="CS931" i="1"/>
  <c r="CR931" i="1"/>
  <c r="CQ931" i="1"/>
  <c r="CP931" i="1"/>
  <c r="CO931" i="1"/>
  <c r="CN931" i="1"/>
  <c r="CM931" i="1"/>
  <c r="CL931" i="1"/>
  <c r="CK931" i="1"/>
  <c r="CJ931" i="1"/>
  <c r="CI931" i="1"/>
  <c r="CH931" i="1"/>
  <c r="CG931" i="1"/>
  <c r="CF931" i="1"/>
  <c r="CE931" i="1"/>
  <c r="BU931" i="1"/>
  <c r="BR931" i="1"/>
  <c r="BQ931" i="1"/>
  <c r="BP931" i="1"/>
  <c r="BO931" i="1"/>
  <c r="BN931" i="1"/>
  <c r="BL931" i="1"/>
  <c r="BK931" i="1"/>
  <c r="BJ931" i="1"/>
  <c r="BI931" i="1"/>
  <c r="BH931" i="1"/>
  <c r="BG931" i="1"/>
  <c r="BF931" i="1"/>
  <c r="BC931" i="1"/>
  <c r="AX931" i="1"/>
  <c r="AS931" i="1"/>
  <c r="AR931" i="1"/>
  <c r="AQ931" i="1"/>
  <c r="AP931" i="1"/>
  <c r="AO931" i="1"/>
  <c r="AN931" i="1"/>
  <c r="AL931" i="1"/>
  <c r="AK931" i="1"/>
  <c r="AJ931" i="1"/>
  <c r="AI931" i="1"/>
  <c r="AH931" i="1"/>
  <c r="AG931" i="1"/>
  <c r="AF931" i="1"/>
  <c r="AE931" i="1"/>
  <c r="AD931" i="1"/>
  <c r="F931" i="1"/>
  <c r="B931" i="1"/>
  <c r="DE930" i="1"/>
  <c r="DD930" i="1"/>
  <c r="DC930" i="1"/>
  <c r="DB930" i="1"/>
  <c r="DA930" i="1"/>
  <c r="CZ930" i="1"/>
  <c r="CY930" i="1"/>
  <c r="CX930" i="1"/>
  <c r="CW930" i="1"/>
  <c r="CV930" i="1"/>
  <c r="CU930" i="1"/>
  <c r="CT930" i="1"/>
  <c r="CS930" i="1"/>
  <c r="CR930" i="1"/>
  <c r="CQ930" i="1"/>
  <c r="CP930" i="1"/>
  <c r="CO930" i="1"/>
  <c r="CN930" i="1"/>
  <c r="CM930" i="1"/>
  <c r="CL930" i="1"/>
  <c r="CK930" i="1"/>
  <c r="CJ930" i="1"/>
  <c r="CI930" i="1"/>
  <c r="CH930" i="1"/>
  <c r="CG930" i="1"/>
  <c r="CF930" i="1"/>
  <c r="BR930" i="1"/>
  <c r="BQ930" i="1"/>
  <c r="BP930" i="1"/>
  <c r="BO930" i="1"/>
  <c r="BN930" i="1"/>
  <c r="BM930" i="1"/>
  <c r="BL930" i="1"/>
  <c r="BK930" i="1"/>
  <c r="BJ930" i="1"/>
  <c r="BI930" i="1"/>
  <c r="BH930" i="1"/>
  <c r="BG930" i="1"/>
  <c r="BF930" i="1"/>
  <c r="BB930" i="1"/>
  <c r="AW930" i="1"/>
  <c r="AR930" i="1"/>
  <c r="AQ930" i="1"/>
  <c r="AP930" i="1"/>
  <c r="AO930" i="1"/>
  <c r="AN930" i="1"/>
  <c r="AM930" i="1"/>
  <c r="AL930" i="1"/>
  <c r="AK930" i="1"/>
  <c r="AJ930" i="1"/>
  <c r="AI930" i="1"/>
  <c r="AH930" i="1"/>
  <c r="AG930" i="1"/>
  <c r="AF930" i="1"/>
  <c r="AE930" i="1"/>
  <c r="AD930" i="1"/>
  <c r="R930" i="1"/>
  <c r="Q930" i="1"/>
  <c r="DE929" i="1"/>
  <c r="DD929" i="1"/>
  <c r="DC929" i="1"/>
  <c r="DB929" i="1"/>
  <c r="DA929" i="1"/>
  <c r="CZ929" i="1"/>
  <c r="CY929" i="1"/>
  <c r="CX929" i="1"/>
  <c r="CW929" i="1"/>
  <c r="CV929" i="1"/>
  <c r="CU929" i="1"/>
  <c r="CT929" i="1"/>
  <c r="CS929" i="1"/>
  <c r="CR929" i="1"/>
  <c r="CQ929" i="1"/>
  <c r="CP929" i="1"/>
  <c r="CO929" i="1"/>
  <c r="CN929" i="1"/>
  <c r="CM929" i="1"/>
  <c r="CL929" i="1"/>
  <c r="CK929" i="1"/>
  <c r="CJ929" i="1"/>
  <c r="CI929" i="1"/>
  <c r="CH929" i="1"/>
  <c r="CG929" i="1"/>
  <c r="CF929" i="1"/>
  <c r="BR929" i="1"/>
  <c r="BQ929" i="1"/>
  <c r="BP929" i="1"/>
  <c r="BO929" i="1"/>
  <c r="BN929" i="1"/>
  <c r="BM929" i="1"/>
  <c r="BL929" i="1"/>
  <c r="BK929" i="1"/>
  <c r="BJ929" i="1"/>
  <c r="BI929" i="1"/>
  <c r="BG929" i="1"/>
  <c r="BF929" i="1"/>
  <c r="BA929" i="1"/>
  <c r="AU929" i="1"/>
  <c r="AR929" i="1"/>
  <c r="AQ929" i="1"/>
  <c r="AP929" i="1"/>
  <c r="AO929" i="1"/>
  <c r="AN929" i="1"/>
  <c r="AM929" i="1"/>
  <c r="AL929" i="1"/>
  <c r="AK929" i="1"/>
  <c r="AJ929" i="1"/>
  <c r="AI929" i="1"/>
  <c r="AG929" i="1"/>
  <c r="AF929" i="1"/>
  <c r="AE929" i="1"/>
  <c r="O928" i="1" s="1"/>
  <c r="BJ928" i="1" s="1"/>
  <c r="AD929" i="1"/>
  <c r="O929" i="1"/>
  <c r="BH929" i="1" s="1"/>
  <c r="J929" i="1"/>
  <c r="DE928" i="1"/>
  <c r="DD928" i="1"/>
  <c r="DC928" i="1"/>
  <c r="DB928" i="1"/>
  <c r="DA928" i="1"/>
  <c r="CZ928" i="1"/>
  <c r="CY928" i="1"/>
  <c r="CX928" i="1"/>
  <c r="CW928" i="1"/>
  <c r="CV928" i="1"/>
  <c r="CU928" i="1"/>
  <c r="CT928" i="1"/>
  <c r="CS928" i="1"/>
  <c r="CR928" i="1"/>
  <c r="CQ928" i="1"/>
  <c r="CP928" i="1"/>
  <c r="CO928" i="1"/>
  <c r="CN928" i="1"/>
  <c r="CM928" i="1"/>
  <c r="CL928" i="1"/>
  <c r="CK928" i="1"/>
  <c r="CJ928" i="1"/>
  <c r="CI928" i="1"/>
  <c r="CH928" i="1"/>
  <c r="CG928" i="1"/>
  <c r="CF928" i="1"/>
  <c r="CD928" i="1"/>
  <c r="BY928" i="1"/>
  <c r="BT928" i="1"/>
  <c r="BR928" i="1"/>
  <c r="BQ928" i="1"/>
  <c r="BP928" i="1"/>
  <c r="BO928" i="1"/>
  <c r="BN928" i="1"/>
  <c r="BM928" i="1"/>
  <c r="BL928" i="1"/>
  <c r="BK928" i="1"/>
  <c r="BI928" i="1"/>
  <c r="BH928" i="1"/>
  <c r="BG928" i="1"/>
  <c r="BF928" i="1"/>
  <c r="BB928" i="1"/>
  <c r="AW928" i="1"/>
  <c r="AR928" i="1"/>
  <c r="AQ928" i="1"/>
  <c r="AP928" i="1"/>
  <c r="AO928" i="1"/>
  <c r="AN928" i="1"/>
  <c r="AM928" i="1"/>
  <c r="AL928" i="1"/>
  <c r="AK928" i="1"/>
  <c r="AJ928" i="1"/>
  <c r="AI928" i="1"/>
  <c r="AH928" i="1"/>
  <c r="AG928" i="1"/>
  <c r="AF928" i="1"/>
  <c r="AE928" i="1"/>
  <c r="AD928" i="1"/>
  <c r="G928" i="1"/>
  <c r="F928" i="1" s="1"/>
  <c r="B928" i="1"/>
  <c r="DE927" i="1"/>
  <c r="DD927" i="1"/>
  <c r="DC927" i="1"/>
  <c r="DB927" i="1"/>
  <c r="DA927" i="1"/>
  <c r="CZ927" i="1"/>
  <c r="CY927" i="1"/>
  <c r="CX927" i="1"/>
  <c r="CW927" i="1"/>
  <c r="CV927" i="1"/>
  <c r="CU927" i="1"/>
  <c r="CT927" i="1"/>
  <c r="CS927" i="1"/>
  <c r="CR927" i="1"/>
  <c r="CQ927" i="1"/>
  <c r="CP927" i="1"/>
  <c r="CO927" i="1"/>
  <c r="CN927" i="1"/>
  <c r="CM927" i="1"/>
  <c r="CL927" i="1"/>
  <c r="CK927" i="1"/>
  <c r="CJ927" i="1"/>
  <c r="CI927" i="1"/>
  <c r="CH927" i="1"/>
  <c r="CG927" i="1"/>
  <c r="CF927" i="1"/>
  <c r="BR927" i="1"/>
  <c r="BQ927" i="1"/>
  <c r="BP927" i="1"/>
  <c r="BO927" i="1"/>
  <c r="BN927" i="1"/>
  <c r="BM927" i="1"/>
  <c r="BL927" i="1"/>
  <c r="BK927" i="1"/>
  <c r="BJ927" i="1"/>
  <c r="BI927" i="1"/>
  <c r="BH927" i="1"/>
  <c r="BG927" i="1"/>
  <c r="BF927" i="1"/>
  <c r="BB927" i="1"/>
  <c r="BA927" i="1"/>
  <c r="AW927" i="1"/>
  <c r="AU927" i="1"/>
  <c r="AR927" i="1"/>
  <c r="AQ927" i="1"/>
  <c r="AP927" i="1"/>
  <c r="AO927" i="1"/>
  <c r="AN927" i="1"/>
  <c r="AM927" i="1"/>
  <c r="AL927" i="1"/>
  <c r="AK927" i="1"/>
  <c r="AJ927" i="1"/>
  <c r="AI927" i="1"/>
  <c r="AH927" i="1"/>
  <c r="AG927" i="1"/>
  <c r="AF927" i="1"/>
  <c r="AE927" i="1"/>
  <c r="AD927" i="1"/>
  <c r="R927" i="1"/>
  <c r="Q927" i="1"/>
  <c r="DE926" i="1"/>
  <c r="DD926" i="1"/>
  <c r="DC926" i="1"/>
  <c r="DB926" i="1"/>
  <c r="DA926" i="1"/>
  <c r="CZ926" i="1"/>
  <c r="CY926" i="1"/>
  <c r="CX926" i="1"/>
  <c r="CW926" i="1"/>
  <c r="CV926" i="1"/>
  <c r="CU926" i="1"/>
  <c r="CT926" i="1"/>
  <c r="CS926" i="1"/>
  <c r="CR926" i="1"/>
  <c r="CQ926" i="1"/>
  <c r="CP926" i="1"/>
  <c r="CO926" i="1"/>
  <c r="CN926" i="1"/>
  <c r="CM926" i="1"/>
  <c r="CL926" i="1"/>
  <c r="CK926" i="1"/>
  <c r="CJ926" i="1"/>
  <c r="CI926" i="1"/>
  <c r="CH926" i="1"/>
  <c r="CG926" i="1"/>
  <c r="CF926" i="1"/>
  <c r="BR926" i="1"/>
  <c r="BP926" i="1"/>
  <c r="BO926" i="1"/>
  <c r="BN926" i="1"/>
  <c r="BM926" i="1"/>
  <c r="BL926" i="1"/>
  <c r="BK926" i="1"/>
  <c r="BJ926" i="1"/>
  <c r="BI926" i="1"/>
  <c r="BH926" i="1"/>
  <c r="BG926" i="1"/>
  <c r="BF926" i="1"/>
  <c r="BB926" i="1"/>
  <c r="BA926" i="1"/>
  <c r="AW926" i="1"/>
  <c r="AU926" i="1"/>
  <c r="AR926" i="1"/>
  <c r="AP926" i="1"/>
  <c r="AO926" i="1"/>
  <c r="AN926" i="1"/>
  <c r="AM926" i="1"/>
  <c r="AL926" i="1"/>
  <c r="AK926" i="1"/>
  <c r="AJ926" i="1"/>
  <c r="AI926" i="1"/>
  <c r="AH926" i="1"/>
  <c r="AG926" i="1"/>
  <c r="AF926" i="1"/>
  <c r="AE926" i="1"/>
  <c r="O925" i="1" s="1"/>
  <c r="BJ925" i="1" s="1"/>
  <c r="AD926" i="1"/>
  <c r="P926" i="1"/>
  <c r="AQ926" i="1" s="1"/>
  <c r="O926" i="1"/>
  <c r="BQ926" i="1" s="1"/>
  <c r="J926" i="1"/>
  <c r="DE925" i="1"/>
  <c r="DD925" i="1"/>
  <c r="DC925" i="1"/>
  <c r="DB925" i="1"/>
  <c r="DA925" i="1"/>
  <c r="CZ925" i="1"/>
  <c r="CY925" i="1"/>
  <c r="CX925" i="1"/>
  <c r="CW925" i="1"/>
  <c r="CV925" i="1"/>
  <c r="CU925" i="1"/>
  <c r="CT925" i="1"/>
  <c r="CS925" i="1"/>
  <c r="CR925" i="1"/>
  <c r="CQ925" i="1"/>
  <c r="CP925" i="1"/>
  <c r="CO925" i="1"/>
  <c r="CN925" i="1"/>
  <c r="CM925" i="1"/>
  <c r="CL925" i="1"/>
  <c r="CK925" i="1"/>
  <c r="CJ925" i="1"/>
  <c r="CI925" i="1"/>
  <c r="CH925" i="1"/>
  <c r="CG925" i="1"/>
  <c r="CF925" i="1"/>
  <c r="BZ925" i="1"/>
  <c r="BY925" i="1"/>
  <c r="BU925" i="1"/>
  <c r="BT925" i="1"/>
  <c r="BR925" i="1"/>
  <c r="BQ925" i="1"/>
  <c r="BP925" i="1"/>
  <c r="BO925" i="1"/>
  <c r="BN925" i="1"/>
  <c r="BM925" i="1"/>
  <c r="BL925" i="1"/>
  <c r="BK925" i="1"/>
  <c r="BI925" i="1"/>
  <c r="BH925" i="1"/>
  <c r="BG925" i="1"/>
  <c r="BF925" i="1"/>
  <c r="BD925" i="1"/>
  <c r="BB925" i="1"/>
  <c r="AX925" i="1"/>
  <c r="AW925" i="1"/>
  <c r="AS925" i="1"/>
  <c r="AR925" i="1"/>
  <c r="AQ925" i="1"/>
  <c r="AP925" i="1"/>
  <c r="AO925" i="1"/>
  <c r="AN925" i="1"/>
  <c r="AM925" i="1"/>
  <c r="AL925" i="1"/>
  <c r="AK925" i="1"/>
  <c r="AJ925" i="1"/>
  <c r="AI925" i="1"/>
  <c r="AH925" i="1"/>
  <c r="AG925" i="1"/>
  <c r="AF925" i="1"/>
  <c r="AE925" i="1"/>
  <c r="AD925" i="1"/>
  <c r="G925" i="1"/>
  <c r="F925" i="1"/>
  <c r="B925" i="1"/>
  <c r="BC927" i="1" s="1"/>
  <c r="DE924" i="1"/>
  <c r="DD924" i="1"/>
  <c r="DC924" i="1"/>
  <c r="DB924" i="1"/>
  <c r="DA924" i="1"/>
  <c r="CZ924" i="1"/>
  <c r="CY924" i="1"/>
  <c r="CX924" i="1"/>
  <c r="CW924" i="1"/>
  <c r="CV924" i="1"/>
  <c r="CU924" i="1"/>
  <c r="CT924" i="1"/>
  <c r="CS924" i="1"/>
  <c r="CR924" i="1"/>
  <c r="CQ924" i="1"/>
  <c r="CP924" i="1"/>
  <c r="CO924" i="1"/>
  <c r="CN924" i="1"/>
  <c r="CM924" i="1"/>
  <c r="CL924" i="1"/>
  <c r="CK924" i="1"/>
  <c r="CJ924" i="1"/>
  <c r="CI924" i="1"/>
  <c r="CH924" i="1"/>
  <c r="CG924" i="1"/>
  <c r="CF924" i="1"/>
  <c r="BR924" i="1"/>
  <c r="BQ924" i="1"/>
  <c r="BP924" i="1"/>
  <c r="BO924" i="1"/>
  <c r="BN924" i="1"/>
  <c r="BM924" i="1"/>
  <c r="BL924" i="1"/>
  <c r="BK924" i="1"/>
  <c r="BJ924" i="1"/>
  <c r="BI924" i="1"/>
  <c r="BH924" i="1"/>
  <c r="BG924" i="1"/>
  <c r="BF924" i="1"/>
  <c r="BE924" i="1"/>
  <c r="BC924" i="1"/>
  <c r="BB924" i="1"/>
  <c r="BA924" i="1"/>
  <c r="AY924" i="1"/>
  <c r="AX924" i="1"/>
  <c r="AW924" i="1"/>
  <c r="AU924" i="1"/>
  <c r="AT924" i="1"/>
  <c r="AS924" i="1"/>
  <c r="AR924" i="1"/>
  <c r="AQ924" i="1"/>
  <c r="AP924" i="1"/>
  <c r="AO924" i="1"/>
  <c r="AN924" i="1"/>
  <c r="AM924" i="1"/>
  <c r="AL924" i="1"/>
  <c r="AK924" i="1"/>
  <c r="AJ924" i="1"/>
  <c r="AI924" i="1"/>
  <c r="AH924" i="1"/>
  <c r="AG924" i="1"/>
  <c r="AF924" i="1"/>
  <c r="AE924" i="1"/>
  <c r="AD924" i="1"/>
  <c r="R924" i="1"/>
  <c r="Q924" i="1"/>
  <c r="DJ923" i="1"/>
  <c r="DE923" i="1"/>
  <c r="DD923" i="1"/>
  <c r="DC923" i="1"/>
  <c r="DB923" i="1"/>
  <c r="DA923" i="1"/>
  <c r="CZ923" i="1"/>
  <c r="CY923" i="1"/>
  <c r="CX923" i="1"/>
  <c r="CW923" i="1"/>
  <c r="CV923" i="1"/>
  <c r="CU923" i="1"/>
  <c r="CT923" i="1"/>
  <c r="CS923" i="1"/>
  <c r="CR923" i="1"/>
  <c r="CQ923" i="1"/>
  <c r="CP923" i="1"/>
  <c r="CO923" i="1"/>
  <c r="CN923" i="1"/>
  <c r="CM923" i="1"/>
  <c r="CL923" i="1"/>
  <c r="CK923" i="1"/>
  <c r="CJ923" i="1"/>
  <c r="CI923" i="1"/>
  <c r="CH923" i="1"/>
  <c r="CG923" i="1"/>
  <c r="CF923" i="1"/>
  <c r="BR923" i="1"/>
  <c r="BQ923" i="1"/>
  <c r="BP923" i="1"/>
  <c r="BO923" i="1"/>
  <c r="BN923" i="1"/>
  <c r="BM923" i="1"/>
  <c r="BL923" i="1"/>
  <c r="BK923" i="1"/>
  <c r="BI923" i="1"/>
  <c r="BH923" i="1"/>
  <c r="BG923" i="1"/>
  <c r="BF923" i="1"/>
  <c r="BE923" i="1"/>
  <c r="BC923" i="1"/>
  <c r="BB923" i="1"/>
  <c r="BA923" i="1"/>
  <c r="AY923" i="1"/>
  <c r="AX923" i="1"/>
  <c r="AW923" i="1"/>
  <c r="AU923" i="1"/>
  <c r="AT923" i="1"/>
  <c r="AS923" i="1"/>
  <c r="AR923" i="1"/>
  <c r="AQ923" i="1"/>
  <c r="AP923" i="1"/>
  <c r="AO923" i="1"/>
  <c r="AN923" i="1"/>
  <c r="AM923" i="1"/>
  <c r="AL923" i="1"/>
  <c r="AK923" i="1"/>
  <c r="AI923" i="1"/>
  <c r="AH923" i="1"/>
  <c r="AG923" i="1"/>
  <c r="AF923" i="1"/>
  <c r="AE923" i="1"/>
  <c r="O922" i="1" s="1"/>
  <c r="AM922" i="1" s="1"/>
  <c r="AD923" i="1"/>
  <c r="P923" i="1"/>
  <c r="AJ923" i="1" s="1"/>
  <c r="O923" i="1"/>
  <c r="BJ923" i="1" s="1"/>
  <c r="J923" i="1"/>
  <c r="DE922" i="1"/>
  <c r="DD922" i="1"/>
  <c r="DC922" i="1"/>
  <c r="DB922" i="1"/>
  <c r="DA922" i="1"/>
  <c r="CZ922" i="1"/>
  <c r="CY922" i="1"/>
  <c r="CX922" i="1"/>
  <c r="CW922" i="1"/>
  <c r="CV922" i="1"/>
  <c r="CU922" i="1"/>
  <c r="CT922" i="1"/>
  <c r="CS922" i="1"/>
  <c r="CR922" i="1"/>
  <c r="CQ922" i="1"/>
  <c r="CP922" i="1"/>
  <c r="CO922" i="1"/>
  <c r="CN922" i="1"/>
  <c r="CM922" i="1"/>
  <c r="CL922" i="1"/>
  <c r="CK922" i="1"/>
  <c r="CJ922" i="1"/>
  <c r="CI922" i="1"/>
  <c r="CH922" i="1"/>
  <c r="CG922" i="1"/>
  <c r="CF922" i="1"/>
  <c r="CD922" i="1"/>
  <c r="CC922" i="1"/>
  <c r="CB922" i="1"/>
  <c r="BZ922" i="1"/>
  <c r="BY922" i="1"/>
  <c r="BX922" i="1"/>
  <c r="BV922" i="1"/>
  <c r="BU922" i="1"/>
  <c r="BT922" i="1"/>
  <c r="BR922" i="1"/>
  <c r="BQ922" i="1"/>
  <c r="BP922" i="1"/>
  <c r="BO922" i="1"/>
  <c r="BN922" i="1"/>
  <c r="BL922" i="1"/>
  <c r="BK922" i="1"/>
  <c r="BJ922" i="1"/>
  <c r="BI922" i="1"/>
  <c r="BH922" i="1"/>
  <c r="BG922" i="1"/>
  <c r="BF922" i="1"/>
  <c r="BE922" i="1"/>
  <c r="BD922" i="1"/>
  <c r="BB922" i="1"/>
  <c r="BA922" i="1"/>
  <c r="AZ922" i="1"/>
  <c r="AX922" i="1"/>
  <c r="AW922" i="1"/>
  <c r="AV922" i="1"/>
  <c r="AT922" i="1"/>
  <c r="AS922" i="1"/>
  <c r="AR922" i="1"/>
  <c r="AQ922" i="1"/>
  <c r="AP922" i="1"/>
  <c r="AO922" i="1"/>
  <c r="AN922" i="1"/>
  <c r="AL922" i="1"/>
  <c r="AK922" i="1"/>
  <c r="AJ922" i="1"/>
  <c r="AI922" i="1"/>
  <c r="AH922" i="1"/>
  <c r="AG922" i="1"/>
  <c r="AF922" i="1"/>
  <c r="AE922" i="1"/>
  <c r="AD922" i="1"/>
  <c r="P922" i="1"/>
  <c r="F922" i="1"/>
  <c r="D922" i="1"/>
  <c r="B922" i="1"/>
  <c r="BD924" i="1" s="1"/>
  <c r="DJ921" i="1"/>
  <c r="DE921" i="1"/>
  <c r="DD921" i="1"/>
  <c r="DC921" i="1"/>
  <c r="DB921" i="1"/>
  <c r="DA921" i="1"/>
  <c r="CZ921" i="1"/>
  <c r="CY921" i="1"/>
  <c r="CX921" i="1"/>
  <c r="CW921" i="1"/>
  <c r="CV921" i="1"/>
  <c r="CU921" i="1"/>
  <c r="CT921" i="1"/>
  <c r="CS921" i="1"/>
  <c r="CR921" i="1"/>
  <c r="CQ921" i="1"/>
  <c r="CP921" i="1"/>
  <c r="CO921" i="1"/>
  <c r="CN921" i="1"/>
  <c r="CM921" i="1"/>
  <c r="CL921" i="1"/>
  <c r="CK921" i="1"/>
  <c r="CJ921" i="1"/>
  <c r="CI921" i="1"/>
  <c r="CH921" i="1"/>
  <c r="CG921" i="1"/>
  <c r="CF921" i="1"/>
  <c r="BR921" i="1"/>
  <c r="BQ921" i="1"/>
  <c r="BP921" i="1"/>
  <c r="BO921" i="1"/>
  <c r="BN921" i="1"/>
  <c r="BM921" i="1"/>
  <c r="BL921" i="1"/>
  <c r="BK921" i="1"/>
  <c r="BJ921" i="1"/>
  <c r="BI921" i="1"/>
  <c r="BH921" i="1"/>
  <c r="BG921" i="1"/>
  <c r="BF921" i="1"/>
  <c r="BB921" i="1"/>
  <c r="BA921" i="1"/>
  <c r="AW921" i="1"/>
  <c r="AV921" i="1"/>
  <c r="AR921" i="1"/>
  <c r="AQ921" i="1"/>
  <c r="AP921" i="1"/>
  <c r="AO921" i="1"/>
  <c r="AN921" i="1"/>
  <c r="AM921" i="1"/>
  <c r="AL921" i="1"/>
  <c r="AK921" i="1"/>
  <c r="AJ921" i="1"/>
  <c r="AI921" i="1"/>
  <c r="AH921" i="1"/>
  <c r="AG921" i="1"/>
  <c r="AF921" i="1"/>
  <c r="AE921" i="1"/>
  <c r="AD921" i="1"/>
  <c r="R921" i="1"/>
  <c r="Q921" i="1"/>
  <c r="O921" i="1"/>
  <c r="P921" i="1" s="1"/>
  <c r="DE920" i="1"/>
  <c r="DD920" i="1"/>
  <c r="DC920" i="1"/>
  <c r="DB920" i="1"/>
  <c r="DA920" i="1"/>
  <c r="CZ920" i="1"/>
  <c r="CY920" i="1"/>
  <c r="CX920" i="1"/>
  <c r="CW920" i="1"/>
  <c r="CV920" i="1"/>
  <c r="CU920" i="1"/>
  <c r="CT920" i="1"/>
  <c r="CS920" i="1"/>
  <c r="CR920" i="1"/>
  <c r="CQ920" i="1"/>
  <c r="CP920" i="1"/>
  <c r="CO920" i="1"/>
  <c r="CN920" i="1"/>
  <c r="CM920" i="1"/>
  <c r="CL920" i="1"/>
  <c r="CK920" i="1"/>
  <c r="CJ920" i="1"/>
  <c r="CI920" i="1"/>
  <c r="CH920" i="1"/>
  <c r="CG920" i="1"/>
  <c r="CF920" i="1"/>
  <c r="BR920" i="1"/>
  <c r="BQ920" i="1"/>
  <c r="BP920" i="1"/>
  <c r="BO920" i="1"/>
  <c r="BN920" i="1"/>
  <c r="BM920" i="1"/>
  <c r="BL920" i="1"/>
  <c r="BK920" i="1"/>
  <c r="BI920" i="1"/>
  <c r="BH920" i="1"/>
  <c r="BG920" i="1"/>
  <c r="BF920" i="1"/>
  <c r="BE920" i="1"/>
  <c r="BA920" i="1"/>
  <c r="AZ920" i="1"/>
  <c r="AV920" i="1"/>
  <c r="AT920" i="1"/>
  <c r="AR920" i="1"/>
  <c r="AQ920" i="1"/>
  <c r="AP920" i="1"/>
  <c r="AO920" i="1"/>
  <c r="AN920" i="1"/>
  <c r="AM920" i="1"/>
  <c r="AL920" i="1"/>
  <c r="AK920" i="1"/>
  <c r="AI920" i="1"/>
  <c r="AH920" i="1"/>
  <c r="AG920" i="1"/>
  <c r="AF920" i="1"/>
  <c r="AE920" i="1"/>
  <c r="AD920" i="1"/>
  <c r="O920" i="1"/>
  <c r="P920" i="1" s="1"/>
  <c r="AJ920" i="1" s="1"/>
  <c r="J920" i="1"/>
  <c r="DE919" i="1"/>
  <c r="DD919" i="1"/>
  <c r="DC919" i="1"/>
  <c r="DB919" i="1"/>
  <c r="DA919" i="1"/>
  <c r="CZ919" i="1"/>
  <c r="CY919" i="1"/>
  <c r="CX919" i="1"/>
  <c r="CW919" i="1"/>
  <c r="CV919" i="1"/>
  <c r="CU919" i="1"/>
  <c r="CT919" i="1"/>
  <c r="CS919" i="1"/>
  <c r="CR919" i="1"/>
  <c r="CQ919" i="1"/>
  <c r="CP919" i="1"/>
  <c r="CO919" i="1"/>
  <c r="CN919" i="1"/>
  <c r="CM919" i="1"/>
  <c r="CL919" i="1"/>
  <c r="CK919" i="1"/>
  <c r="CJ919" i="1"/>
  <c r="CI919" i="1"/>
  <c r="CH919" i="1"/>
  <c r="CG919" i="1"/>
  <c r="CF919" i="1"/>
  <c r="CE919" i="1"/>
  <c r="CC919" i="1"/>
  <c r="BY919" i="1"/>
  <c r="BX919" i="1"/>
  <c r="BT919" i="1"/>
  <c r="BS919" i="1"/>
  <c r="BR919" i="1"/>
  <c r="BP919" i="1"/>
  <c r="BO919" i="1"/>
  <c r="BN919" i="1"/>
  <c r="BM919" i="1"/>
  <c r="BL919" i="1"/>
  <c r="BK919" i="1"/>
  <c r="BJ919" i="1"/>
  <c r="BI919" i="1"/>
  <c r="BH919" i="1"/>
  <c r="BG919" i="1"/>
  <c r="BF919" i="1"/>
  <c r="BD919" i="1"/>
  <c r="BC919" i="1"/>
  <c r="AY919" i="1"/>
  <c r="AW919" i="1"/>
  <c r="AS919" i="1"/>
  <c r="AR919" i="1"/>
  <c r="AP919" i="1"/>
  <c r="AO919" i="1"/>
  <c r="AN919" i="1"/>
  <c r="AM919" i="1"/>
  <c r="AL919" i="1"/>
  <c r="AK919" i="1"/>
  <c r="AJ919" i="1"/>
  <c r="AI919" i="1"/>
  <c r="AH919" i="1"/>
  <c r="AG919" i="1"/>
  <c r="AF919" i="1"/>
  <c r="AE919" i="1"/>
  <c r="AD919" i="1"/>
  <c r="O919" i="1"/>
  <c r="AQ919" i="1" s="1"/>
  <c r="F919" i="1"/>
  <c r="D919" i="1"/>
  <c r="B919" i="1"/>
  <c r="DJ918" i="1"/>
  <c r="DE918" i="1"/>
  <c r="DD918" i="1"/>
  <c r="DC918" i="1"/>
  <c r="DB918" i="1"/>
  <c r="DA918" i="1"/>
  <c r="CZ918" i="1"/>
  <c r="CY918" i="1"/>
  <c r="CX918" i="1"/>
  <c r="CW918" i="1"/>
  <c r="CV918" i="1"/>
  <c r="CU918" i="1"/>
  <c r="CT918" i="1"/>
  <c r="CS918" i="1"/>
  <c r="CR918" i="1"/>
  <c r="CQ918" i="1"/>
  <c r="CP918" i="1"/>
  <c r="CO918" i="1"/>
  <c r="CN918" i="1"/>
  <c r="CM918" i="1"/>
  <c r="CL918" i="1"/>
  <c r="CK918" i="1"/>
  <c r="CJ918" i="1"/>
  <c r="CI918" i="1"/>
  <c r="CH918" i="1"/>
  <c r="CG918" i="1"/>
  <c r="CF918" i="1"/>
  <c r="BR918" i="1"/>
  <c r="BQ918" i="1"/>
  <c r="BP918" i="1"/>
  <c r="BO918" i="1"/>
  <c r="BN918" i="1"/>
  <c r="BM918" i="1"/>
  <c r="BL918" i="1"/>
  <c r="BK918" i="1"/>
  <c r="BJ918" i="1"/>
  <c r="BI918" i="1"/>
  <c r="BH918" i="1"/>
  <c r="BG918" i="1"/>
  <c r="BF918" i="1"/>
  <c r="BD918" i="1"/>
  <c r="BC918" i="1"/>
  <c r="AY918" i="1"/>
  <c r="AW918" i="1"/>
  <c r="AS918" i="1"/>
  <c r="AR918" i="1"/>
  <c r="AQ918" i="1"/>
  <c r="AP918" i="1"/>
  <c r="AO918" i="1"/>
  <c r="AN918" i="1"/>
  <c r="AM918" i="1"/>
  <c r="AL918" i="1"/>
  <c r="AK918" i="1"/>
  <c r="AJ918" i="1"/>
  <c r="AI918" i="1"/>
  <c r="AH918" i="1"/>
  <c r="AG918" i="1"/>
  <c r="AF918" i="1"/>
  <c r="AE918" i="1"/>
  <c r="AD918" i="1"/>
  <c r="R918" i="1"/>
  <c r="Q918" i="1"/>
  <c r="DJ917" i="1"/>
  <c r="DE917" i="1"/>
  <c r="DD917" i="1"/>
  <c r="DC917" i="1"/>
  <c r="DB917" i="1"/>
  <c r="DA917" i="1"/>
  <c r="CZ917" i="1"/>
  <c r="CY917" i="1"/>
  <c r="CX917" i="1"/>
  <c r="CW917" i="1"/>
  <c r="CV917" i="1"/>
  <c r="CU917" i="1"/>
  <c r="CT917" i="1"/>
  <c r="CS917" i="1"/>
  <c r="CR917" i="1"/>
  <c r="CQ917" i="1"/>
  <c r="CP917" i="1"/>
  <c r="CO917" i="1"/>
  <c r="CN917" i="1"/>
  <c r="CM917" i="1"/>
  <c r="CL917" i="1"/>
  <c r="CK917" i="1"/>
  <c r="CJ917" i="1"/>
  <c r="CI917" i="1"/>
  <c r="CH917" i="1"/>
  <c r="CG917" i="1"/>
  <c r="CF917" i="1"/>
  <c r="BR917" i="1"/>
  <c r="BQ917" i="1"/>
  <c r="BP917" i="1"/>
  <c r="BO917" i="1"/>
  <c r="BN917" i="1"/>
  <c r="BM917" i="1"/>
  <c r="BL917" i="1"/>
  <c r="BK917" i="1"/>
  <c r="BI917" i="1"/>
  <c r="BH917" i="1"/>
  <c r="BG917" i="1"/>
  <c r="BF917" i="1"/>
  <c r="BE917" i="1"/>
  <c r="BA917" i="1"/>
  <c r="AZ917" i="1"/>
  <c r="AV917" i="1"/>
  <c r="AU917" i="1"/>
  <c r="AR917" i="1"/>
  <c r="AQ917" i="1"/>
  <c r="AP917" i="1"/>
  <c r="AO917" i="1"/>
  <c r="AN917" i="1"/>
  <c r="AM917" i="1"/>
  <c r="AL917" i="1"/>
  <c r="AK917" i="1"/>
  <c r="AI917" i="1"/>
  <c r="AH917" i="1"/>
  <c r="AG917" i="1"/>
  <c r="AF917" i="1"/>
  <c r="AE917" i="1"/>
  <c r="AD917" i="1"/>
  <c r="J917" i="1"/>
  <c r="DJ916" i="1"/>
  <c r="DE916" i="1"/>
  <c r="DD916" i="1"/>
  <c r="DC916" i="1"/>
  <c r="DB916" i="1"/>
  <c r="DA916" i="1"/>
  <c r="CZ916" i="1"/>
  <c r="CY916" i="1"/>
  <c r="CX916" i="1"/>
  <c r="CW916" i="1"/>
  <c r="CV916" i="1"/>
  <c r="CU916" i="1"/>
  <c r="CT916" i="1"/>
  <c r="CS916" i="1"/>
  <c r="CR916" i="1"/>
  <c r="CQ916" i="1"/>
  <c r="CP916" i="1"/>
  <c r="CO916" i="1"/>
  <c r="CN916" i="1"/>
  <c r="CM916" i="1"/>
  <c r="CL916" i="1"/>
  <c r="CK916" i="1"/>
  <c r="CJ916" i="1"/>
  <c r="CI916" i="1"/>
  <c r="CH916" i="1"/>
  <c r="CG916" i="1"/>
  <c r="CF916" i="1"/>
  <c r="CE916" i="1"/>
  <c r="CA916" i="1"/>
  <c r="BZ916" i="1"/>
  <c r="BV916" i="1"/>
  <c r="BT916" i="1"/>
  <c r="BR916" i="1"/>
  <c r="BQ916" i="1"/>
  <c r="BP916" i="1"/>
  <c r="BO916" i="1"/>
  <c r="BN916" i="1"/>
  <c r="BM916" i="1"/>
  <c r="BL916" i="1"/>
  <c r="BK916" i="1"/>
  <c r="BJ916" i="1"/>
  <c r="BI916" i="1"/>
  <c r="BH916" i="1"/>
  <c r="BF916" i="1"/>
  <c r="BD916" i="1"/>
  <c r="BC916" i="1"/>
  <c r="AY916" i="1"/>
  <c r="AX916" i="1"/>
  <c r="AT916" i="1"/>
  <c r="AR916" i="1"/>
  <c r="AQ916" i="1"/>
  <c r="AP916" i="1"/>
  <c r="AO916" i="1"/>
  <c r="AN916" i="1"/>
  <c r="AM916" i="1"/>
  <c r="AL916" i="1"/>
  <c r="AK916" i="1"/>
  <c r="AJ916" i="1"/>
  <c r="AI916" i="1"/>
  <c r="AH916" i="1"/>
  <c r="AF916" i="1"/>
  <c r="AE916" i="1"/>
  <c r="AD916" i="1"/>
  <c r="F916" i="1"/>
  <c r="B916" i="1"/>
  <c r="DE915" i="1"/>
  <c r="DD915" i="1"/>
  <c r="DC915" i="1"/>
  <c r="DB915" i="1"/>
  <c r="DA915" i="1"/>
  <c r="CZ915" i="1"/>
  <c r="CY915" i="1"/>
  <c r="CX915" i="1"/>
  <c r="CW915" i="1"/>
  <c r="CV915" i="1"/>
  <c r="CU915" i="1"/>
  <c r="CT915" i="1"/>
  <c r="CS915" i="1"/>
  <c r="CR915" i="1"/>
  <c r="CQ915" i="1"/>
  <c r="CP915" i="1"/>
  <c r="CO915" i="1"/>
  <c r="CN915" i="1"/>
  <c r="CM915" i="1"/>
  <c r="CL915" i="1"/>
  <c r="CK915" i="1"/>
  <c r="CJ915" i="1"/>
  <c r="CI915" i="1"/>
  <c r="CH915" i="1"/>
  <c r="CG915" i="1"/>
  <c r="CF915" i="1"/>
  <c r="BR915" i="1"/>
  <c r="BP915" i="1"/>
  <c r="BO915" i="1"/>
  <c r="BN915" i="1"/>
  <c r="BM915" i="1"/>
  <c r="BL915" i="1"/>
  <c r="BK915" i="1"/>
  <c r="BJ915" i="1"/>
  <c r="BI915" i="1"/>
  <c r="BH915" i="1"/>
  <c r="BG915" i="1"/>
  <c r="BF915" i="1"/>
  <c r="BE915" i="1"/>
  <c r="AX915" i="1"/>
  <c r="AT915" i="1"/>
  <c r="AR915" i="1"/>
  <c r="AP915" i="1"/>
  <c r="AO915" i="1"/>
  <c r="AN915" i="1"/>
  <c r="AM915" i="1"/>
  <c r="AL915" i="1"/>
  <c r="AK915" i="1"/>
  <c r="AJ915" i="1"/>
  <c r="AI915" i="1"/>
  <c r="AH915" i="1"/>
  <c r="AG915" i="1"/>
  <c r="AF915" i="1"/>
  <c r="AE915" i="1"/>
  <c r="AD915" i="1"/>
  <c r="DE914" i="1"/>
  <c r="DD914" i="1"/>
  <c r="DC914" i="1"/>
  <c r="DB914" i="1"/>
  <c r="DA914" i="1"/>
  <c r="CZ914" i="1"/>
  <c r="CY914" i="1"/>
  <c r="CX914" i="1"/>
  <c r="CW914" i="1"/>
  <c r="CV914" i="1"/>
  <c r="CU914" i="1"/>
  <c r="CT914" i="1"/>
  <c r="CS914" i="1"/>
  <c r="CR914" i="1"/>
  <c r="CQ914" i="1"/>
  <c r="CP914" i="1"/>
  <c r="CO914" i="1"/>
  <c r="CN914" i="1"/>
  <c r="CM914" i="1"/>
  <c r="CL914" i="1"/>
  <c r="CK914" i="1"/>
  <c r="CJ914" i="1"/>
  <c r="CI914" i="1"/>
  <c r="CH914" i="1"/>
  <c r="CG914" i="1"/>
  <c r="CF914" i="1"/>
  <c r="BR914" i="1"/>
  <c r="BQ914" i="1"/>
  <c r="BP914" i="1"/>
  <c r="BO914" i="1"/>
  <c r="BN914" i="1"/>
  <c r="BM914" i="1"/>
  <c r="BL914" i="1"/>
  <c r="BK914" i="1"/>
  <c r="BJ914" i="1"/>
  <c r="BH914" i="1"/>
  <c r="BG914" i="1"/>
  <c r="BF914" i="1"/>
  <c r="BE914" i="1"/>
  <c r="BD914" i="1"/>
  <c r="AW914" i="1"/>
  <c r="AV914" i="1"/>
  <c r="AR914" i="1"/>
  <c r="AQ914" i="1"/>
  <c r="AP914" i="1"/>
  <c r="AO914" i="1"/>
  <c r="AN914" i="1"/>
  <c r="AM914" i="1"/>
  <c r="AL914" i="1"/>
  <c r="AK914" i="1"/>
  <c r="AJ914" i="1"/>
  <c r="AH914" i="1"/>
  <c r="AG914" i="1"/>
  <c r="AF914" i="1"/>
  <c r="AE914" i="1"/>
  <c r="AD914" i="1"/>
  <c r="J914" i="1"/>
  <c r="DE913" i="1"/>
  <c r="DD913" i="1"/>
  <c r="DC913" i="1"/>
  <c r="DB913" i="1"/>
  <c r="DA913" i="1"/>
  <c r="CZ913" i="1"/>
  <c r="CY913" i="1"/>
  <c r="CX913" i="1"/>
  <c r="CW913" i="1"/>
  <c r="CV913" i="1"/>
  <c r="CU913" i="1"/>
  <c r="CT913" i="1"/>
  <c r="CS913" i="1"/>
  <c r="CR913" i="1"/>
  <c r="CQ913" i="1"/>
  <c r="CP913" i="1"/>
  <c r="CO913" i="1"/>
  <c r="CN913" i="1"/>
  <c r="CM913" i="1"/>
  <c r="CL913" i="1"/>
  <c r="CK913" i="1"/>
  <c r="CJ913" i="1"/>
  <c r="CI913" i="1"/>
  <c r="CH913" i="1"/>
  <c r="CG913" i="1"/>
  <c r="CF913" i="1"/>
  <c r="CE913" i="1"/>
  <c r="BX913" i="1"/>
  <c r="BW913" i="1"/>
  <c r="BR913" i="1"/>
  <c r="BP913" i="1"/>
  <c r="BO913" i="1"/>
  <c r="BN913" i="1"/>
  <c r="BM913" i="1"/>
  <c r="BL913" i="1"/>
  <c r="BK913" i="1"/>
  <c r="BJ913" i="1"/>
  <c r="BI913" i="1"/>
  <c r="BH913" i="1"/>
  <c r="BG913" i="1"/>
  <c r="BF913" i="1"/>
  <c r="BD913" i="1"/>
  <c r="BC913" i="1"/>
  <c r="AV913" i="1"/>
  <c r="AU913" i="1"/>
  <c r="AR913" i="1"/>
  <c r="AP913" i="1"/>
  <c r="AO913" i="1"/>
  <c r="AN913" i="1"/>
  <c r="AM913" i="1"/>
  <c r="AL913" i="1"/>
  <c r="AK913" i="1"/>
  <c r="AJ913" i="1"/>
  <c r="AI913" i="1"/>
  <c r="AH913" i="1"/>
  <c r="AG913" i="1"/>
  <c r="AF913" i="1"/>
  <c r="AE913" i="1"/>
  <c r="AD913" i="1"/>
  <c r="O913" i="1"/>
  <c r="BQ913" i="1" s="1"/>
  <c r="F913" i="1"/>
  <c r="B913" i="1"/>
  <c r="DE912" i="1"/>
  <c r="DD912" i="1"/>
  <c r="DC912" i="1"/>
  <c r="DB912" i="1"/>
  <c r="DA912" i="1"/>
  <c r="CZ912" i="1"/>
  <c r="CY912" i="1"/>
  <c r="CX912" i="1"/>
  <c r="CW912" i="1"/>
  <c r="CV912" i="1"/>
  <c r="CU912" i="1"/>
  <c r="CT912" i="1"/>
  <c r="CS912" i="1"/>
  <c r="CR912" i="1"/>
  <c r="CQ912" i="1"/>
  <c r="CP912" i="1"/>
  <c r="CO912" i="1"/>
  <c r="CN912" i="1"/>
  <c r="CM912" i="1"/>
  <c r="CL912" i="1"/>
  <c r="CK912" i="1"/>
  <c r="CJ912" i="1"/>
  <c r="CI912" i="1"/>
  <c r="CH912" i="1"/>
  <c r="CG912" i="1"/>
  <c r="CF912" i="1"/>
  <c r="BR912" i="1"/>
  <c r="BQ912" i="1"/>
  <c r="BP912" i="1"/>
  <c r="BO912" i="1"/>
  <c r="BN912" i="1"/>
  <c r="BM912" i="1"/>
  <c r="BL912" i="1"/>
  <c r="BK912" i="1"/>
  <c r="BJ912" i="1"/>
  <c r="BI912" i="1"/>
  <c r="BH912" i="1"/>
  <c r="BG912" i="1"/>
  <c r="BF912" i="1"/>
  <c r="BD912" i="1"/>
  <c r="AY912" i="1"/>
  <c r="AV912" i="1"/>
  <c r="AR912" i="1"/>
  <c r="AQ912" i="1"/>
  <c r="AP912" i="1"/>
  <c r="AO912" i="1"/>
  <c r="AN912" i="1"/>
  <c r="AM912" i="1"/>
  <c r="AL912" i="1"/>
  <c r="AK912" i="1"/>
  <c r="AJ912" i="1"/>
  <c r="AI912" i="1"/>
  <c r="AH912" i="1"/>
  <c r="AG912" i="1"/>
  <c r="AF912" i="1"/>
  <c r="AE912" i="1"/>
  <c r="AD912" i="1"/>
  <c r="R912" i="1"/>
  <c r="Q912" i="1"/>
  <c r="DE911" i="1"/>
  <c r="DD911" i="1"/>
  <c r="DC911" i="1"/>
  <c r="DB911" i="1"/>
  <c r="DA911" i="1"/>
  <c r="CZ911" i="1"/>
  <c r="CY911" i="1"/>
  <c r="CX911" i="1"/>
  <c r="CW911" i="1"/>
  <c r="CV911" i="1"/>
  <c r="CU911" i="1"/>
  <c r="CT911" i="1"/>
  <c r="CS911" i="1"/>
  <c r="CR911" i="1"/>
  <c r="CQ911" i="1"/>
  <c r="CP911" i="1"/>
  <c r="CO911" i="1"/>
  <c r="CN911" i="1"/>
  <c r="CM911" i="1"/>
  <c r="CL911" i="1"/>
  <c r="CK911" i="1"/>
  <c r="CJ911" i="1"/>
  <c r="CI911" i="1"/>
  <c r="CH911" i="1"/>
  <c r="CG911" i="1"/>
  <c r="CF911" i="1"/>
  <c r="BR911" i="1"/>
  <c r="BQ911" i="1"/>
  <c r="BP911" i="1"/>
  <c r="BO911" i="1"/>
  <c r="BN911" i="1"/>
  <c r="BM911" i="1"/>
  <c r="BL911" i="1"/>
  <c r="BK911" i="1"/>
  <c r="BI911" i="1"/>
  <c r="BH911" i="1"/>
  <c r="BG911" i="1"/>
  <c r="BF911" i="1"/>
  <c r="BD911" i="1"/>
  <c r="AY911" i="1"/>
  <c r="AV911" i="1"/>
  <c r="AR911" i="1"/>
  <c r="AQ911" i="1"/>
  <c r="AP911" i="1"/>
  <c r="AO911" i="1"/>
  <c r="AN911" i="1"/>
  <c r="AM911" i="1"/>
  <c r="AL911" i="1"/>
  <c r="AK911" i="1"/>
  <c r="AI911" i="1"/>
  <c r="AH911" i="1"/>
  <c r="AG911" i="1"/>
  <c r="AF911" i="1"/>
  <c r="AE911" i="1"/>
  <c r="AD911" i="1"/>
  <c r="J911" i="1"/>
  <c r="DE910" i="1"/>
  <c r="DD910" i="1"/>
  <c r="DC910" i="1"/>
  <c r="DB910" i="1"/>
  <c r="DA910" i="1"/>
  <c r="CZ910" i="1"/>
  <c r="CY910" i="1"/>
  <c r="CX910" i="1"/>
  <c r="CW910" i="1"/>
  <c r="CV910" i="1"/>
  <c r="CU910" i="1"/>
  <c r="CT910" i="1"/>
  <c r="CS910" i="1"/>
  <c r="CR910" i="1"/>
  <c r="CQ910" i="1"/>
  <c r="CP910" i="1"/>
  <c r="CO910" i="1"/>
  <c r="CN910" i="1"/>
  <c r="CM910" i="1"/>
  <c r="CL910" i="1"/>
  <c r="CK910" i="1"/>
  <c r="CJ910" i="1"/>
  <c r="CI910" i="1"/>
  <c r="CH910" i="1"/>
  <c r="CG910" i="1"/>
  <c r="CF910" i="1"/>
  <c r="CD910" i="1"/>
  <c r="CA910" i="1"/>
  <c r="BV910" i="1"/>
  <c r="BS910" i="1"/>
  <c r="BR910" i="1"/>
  <c r="BP910" i="1"/>
  <c r="BO910" i="1"/>
  <c r="BN910" i="1"/>
  <c r="BM910" i="1"/>
  <c r="BL910" i="1"/>
  <c r="BK910" i="1"/>
  <c r="BJ910" i="1"/>
  <c r="BI910" i="1"/>
  <c r="BH910" i="1"/>
  <c r="BG910" i="1"/>
  <c r="BF910" i="1"/>
  <c r="AY910" i="1"/>
  <c r="AX910" i="1"/>
  <c r="AR910" i="1"/>
  <c r="AP910" i="1"/>
  <c r="AO910" i="1"/>
  <c r="AN910" i="1"/>
  <c r="AM910" i="1"/>
  <c r="AL910" i="1"/>
  <c r="AK910" i="1"/>
  <c r="AJ910" i="1"/>
  <c r="AI910" i="1"/>
  <c r="AH910" i="1"/>
  <c r="AG910" i="1"/>
  <c r="AF910" i="1"/>
  <c r="AE910" i="1"/>
  <c r="AD910" i="1"/>
  <c r="O910" i="1"/>
  <c r="F910" i="1"/>
  <c r="B910" i="1"/>
  <c r="DE909" i="1"/>
  <c r="DD909" i="1"/>
  <c r="DC909" i="1"/>
  <c r="DB909" i="1"/>
  <c r="DA909" i="1"/>
  <c r="CZ909" i="1"/>
  <c r="CY909" i="1"/>
  <c r="CX909" i="1"/>
  <c r="CW909" i="1"/>
  <c r="CV909" i="1"/>
  <c r="CU909" i="1"/>
  <c r="CT909" i="1"/>
  <c r="CS909" i="1"/>
  <c r="CR909" i="1"/>
  <c r="CQ909" i="1"/>
  <c r="CP909" i="1"/>
  <c r="CO909" i="1"/>
  <c r="CN909" i="1"/>
  <c r="CM909" i="1"/>
  <c r="CL909" i="1"/>
  <c r="CK909" i="1"/>
  <c r="CJ909" i="1"/>
  <c r="CI909" i="1"/>
  <c r="CH909" i="1"/>
  <c r="CG909" i="1"/>
  <c r="CF909" i="1"/>
  <c r="BR909" i="1"/>
  <c r="BQ909" i="1"/>
  <c r="BP909" i="1"/>
  <c r="BO909" i="1"/>
  <c r="BN909" i="1"/>
  <c r="BM909" i="1"/>
  <c r="BL909" i="1"/>
  <c r="BK909" i="1"/>
  <c r="BJ909" i="1"/>
  <c r="BI909" i="1"/>
  <c r="BH909" i="1"/>
  <c r="BG909" i="1"/>
  <c r="BF909" i="1"/>
  <c r="BC909" i="1"/>
  <c r="BB909" i="1"/>
  <c r="AY909" i="1"/>
  <c r="AX909" i="1"/>
  <c r="AU909" i="1"/>
  <c r="AT909" i="1"/>
  <c r="AR909" i="1"/>
  <c r="AQ909" i="1"/>
  <c r="AP909" i="1"/>
  <c r="AO909" i="1"/>
  <c r="AN909" i="1"/>
  <c r="AM909" i="1"/>
  <c r="AL909" i="1"/>
  <c r="AK909" i="1"/>
  <c r="AJ909" i="1"/>
  <c r="AI909" i="1"/>
  <c r="AH909" i="1"/>
  <c r="AG909" i="1"/>
  <c r="AF909" i="1"/>
  <c r="AE909" i="1"/>
  <c r="AD909" i="1"/>
  <c r="R909" i="1"/>
  <c r="Q909" i="1"/>
  <c r="DE908" i="1"/>
  <c r="DD908" i="1"/>
  <c r="DC908" i="1"/>
  <c r="DB908" i="1"/>
  <c r="DA908" i="1"/>
  <c r="CZ908" i="1"/>
  <c r="CY908" i="1"/>
  <c r="CX908" i="1"/>
  <c r="CW908" i="1"/>
  <c r="CV908" i="1"/>
  <c r="CU908" i="1"/>
  <c r="CT908" i="1"/>
  <c r="CS908" i="1"/>
  <c r="CR908" i="1"/>
  <c r="CQ908" i="1"/>
  <c r="CP908" i="1"/>
  <c r="CO908" i="1"/>
  <c r="CN908" i="1"/>
  <c r="CM908" i="1"/>
  <c r="CL908" i="1"/>
  <c r="CK908" i="1"/>
  <c r="CJ908" i="1"/>
  <c r="CI908" i="1"/>
  <c r="CH908" i="1"/>
  <c r="CG908" i="1"/>
  <c r="CF908" i="1"/>
  <c r="BR908" i="1"/>
  <c r="BQ908" i="1"/>
  <c r="BP908" i="1"/>
  <c r="BO908" i="1"/>
  <c r="BN908" i="1"/>
  <c r="BM908" i="1"/>
  <c r="BL908" i="1"/>
  <c r="BK908" i="1"/>
  <c r="BI908" i="1"/>
  <c r="BH908" i="1"/>
  <c r="BG908" i="1"/>
  <c r="BF908" i="1"/>
  <c r="BC908" i="1"/>
  <c r="BB908" i="1"/>
  <c r="AY908" i="1"/>
  <c r="AX908" i="1"/>
  <c r="AU908" i="1"/>
  <c r="AT908" i="1"/>
  <c r="AR908" i="1"/>
  <c r="AQ908" i="1"/>
  <c r="AP908" i="1"/>
  <c r="AO908" i="1"/>
  <c r="AN908" i="1"/>
  <c r="AM908" i="1"/>
  <c r="AL908" i="1"/>
  <c r="AK908" i="1"/>
  <c r="AI908" i="1"/>
  <c r="AH908" i="1"/>
  <c r="AG908" i="1"/>
  <c r="AF908" i="1"/>
  <c r="AE908" i="1"/>
  <c r="O907" i="1" s="1"/>
  <c r="BM907" i="1" s="1"/>
  <c r="AD908" i="1"/>
  <c r="O908" i="1"/>
  <c r="BJ908" i="1" s="1"/>
  <c r="J908" i="1"/>
  <c r="DE907" i="1"/>
  <c r="DD907" i="1"/>
  <c r="DC907" i="1"/>
  <c r="DB907" i="1"/>
  <c r="DA907" i="1"/>
  <c r="CZ907" i="1"/>
  <c r="CY907" i="1"/>
  <c r="CX907" i="1"/>
  <c r="CW907" i="1"/>
  <c r="CV907" i="1"/>
  <c r="CU907" i="1"/>
  <c r="CT907" i="1"/>
  <c r="CS907" i="1"/>
  <c r="CR907" i="1"/>
  <c r="CQ907" i="1"/>
  <c r="CP907" i="1"/>
  <c r="CO907" i="1"/>
  <c r="CN907" i="1"/>
  <c r="CM907" i="1"/>
  <c r="CL907" i="1"/>
  <c r="CK907" i="1"/>
  <c r="CJ907" i="1"/>
  <c r="CI907" i="1"/>
  <c r="CH907" i="1"/>
  <c r="CG907" i="1"/>
  <c r="CF907" i="1"/>
  <c r="CD907" i="1"/>
  <c r="CC907" i="1"/>
  <c r="BZ907" i="1"/>
  <c r="BY907" i="1"/>
  <c r="BV907" i="1"/>
  <c r="BU907" i="1"/>
  <c r="BR907" i="1"/>
  <c r="BQ907" i="1"/>
  <c r="BP907" i="1"/>
  <c r="BO907" i="1"/>
  <c r="BN907" i="1"/>
  <c r="BL907" i="1"/>
  <c r="BK907" i="1"/>
  <c r="BJ907" i="1"/>
  <c r="BI907" i="1"/>
  <c r="BH907" i="1"/>
  <c r="BG907" i="1"/>
  <c r="BF907" i="1"/>
  <c r="BE907" i="1"/>
  <c r="BB907" i="1"/>
  <c r="BA907" i="1"/>
  <c r="AX907" i="1"/>
  <c r="AW907" i="1"/>
  <c r="AT907" i="1"/>
  <c r="AS907" i="1"/>
  <c r="AR907" i="1"/>
  <c r="AQ907" i="1"/>
  <c r="AP907" i="1"/>
  <c r="AO907" i="1"/>
  <c r="AN907" i="1"/>
  <c r="AL907" i="1"/>
  <c r="AK907" i="1"/>
  <c r="AJ907" i="1"/>
  <c r="AI907" i="1"/>
  <c r="AH907" i="1"/>
  <c r="AG907" i="1"/>
  <c r="AF907" i="1"/>
  <c r="AE907" i="1"/>
  <c r="AD907" i="1"/>
  <c r="F907" i="1"/>
  <c r="B907" i="1"/>
  <c r="BE909" i="1" s="1"/>
  <c r="DE906" i="1"/>
  <c r="DD906" i="1"/>
  <c r="DC906" i="1"/>
  <c r="DB906" i="1"/>
  <c r="DA906" i="1"/>
  <c r="CZ906" i="1"/>
  <c r="CY906" i="1"/>
  <c r="CX906" i="1"/>
  <c r="CW906" i="1"/>
  <c r="CV906" i="1"/>
  <c r="CU906" i="1"/>
  <c r="CT906" i="1"/>
  <c r="CS906" i="1"/>
  <c r="CR906" i="1"/>
  <c r="CQ906" i="1"/>
  <c r="CP906" i="1"/>
  <c r="CO906" i="1"/>
  <c r="CN906" i="1"/>
  <c r="CM906" i="1"/>
  <c r="CL906" i="1"/>
  <c r="CK906" i="1"/>
  <c r="CJ906" i="1"/>
  <c r="CI906" i="1"/>
  <c r="CH906" i="1"/>
  <c r="CG906" i="1"/>
  <c r="CF906" i="1"/>
  <c r="BR906" i="1"/>
  <c r="BQ906" i="1"/>
  <c r="BP906" i="1"/>
  <c r="BO906" i="1"/>
  <c r="BN906" i="1"/>
  <c r="BM906" i="1"/>
  <c r="BL906" i="1"/>
  <c r="BK906" i="1"/>
  <c r="BJ906" i="1"/>
  <c r="BI906" i="1"/>
  <c r="BH906" i="1"/>
  <c r="BG906" i="1"/>
  <c r="BF906" i="1"/>
  <c r="BE906" i="1"/>
  <c r="BC906" i="1"/>
  <c r="BB906" i="1"/>
  <c r="BA906" i="1"/>
  <c r="AY906" i="1"/>
  <c r="AX906" i="1"/>
  <c r="AW906" i="1"/>
  <c r="AU906" i="1"/>
  <c r="AT906" i="1"/>
  <c r="AS906" i="1"/>
  <c r="AR906" i="1"/>
  <c r="AP906" i="1"/>
  <c r="AO906" i="1"/>
  <c r="AN906" i="1"/>
  <c r="AM906" i="1"/>
  <c r="AL906" i="1"/>
  <c r="AK906" i="1"/>
  <c r="AJ906" i="1"/>
  <c r="AI906" i="1"/>
  <c r="AH906" i="1"/>
  <c r="AG906" i="1"/>
  <c r="AF906" i="1"/>
  <c r="AE906" i="1"/>
  <c r="AD906" i="1"/>
  <c r="O906" i="1"/>
  <c r="DE905" i="1"/>
  <c r="DD905" i="1"/>
  <c r="DC905" i="1"/>
  <c r="DB905" i="1"/>
  <c r="DA905" i="1"/>
  <c r="CZ905" i="1"/>
  <c r="CY905" i="1"/>
  <c r="CX905" i="1"/>
  <c r="CW905" i="1"/>
  <c r="CV905" i="1"/>
  <c r="CU905" i="1"/>
  <c r="CT905" i="1"/>
  <c r="CS905" i="1"/>
  <c r="CR905" i="1"/>
  <c r="CQ905" i="1"/>
  <c r="CP905" i="1"/>
  <c r="CO905" i="1"/>
  <c r="CN905" i="1"/>
  <c r="CM905" i="1"/>
  <c r="CL905" i="1"/>
  <c r="CK905" i="1"/>
  <c r="CJ905" i="1"/>
  <c r="CI905" i="1"/>
  <c r="CH905" i="1"/>
  <c r="CG905" i="1"/>
  <c r="CF905" i="1"/>
  <c r="BR905" i="1"/>
  <c r="BQ905" i="1"/>
  <c r="BP905" i="1"/>
  <c r="BO905" i="1"/>
  <c r="BN905" i="1"/>
  <c r="BM905" i="1"/>
  <c r="BL905" i="1"/>
  <c r="BK905" i="1"/>
  <c r="BJ905" i="1"/>
  <c r="BI905" i="1"/>
  <c r="BH905" i="1"/>
  <c r="BG905" i="1"/>
  <c r="BF905" i="1"/>
  <c r="BE905" i="1"/>
  <c r="BC905" i="1"/>
  <c r="BB905" i="1"/>
  <c r="BA905" i="1"/>
  <c r="AY905" i="1"/>
  <c r="AX905" i="1"/>
  <c r="AW905" i="1"/>
  <c r="AU905" i="1"/>
  <c r="AT905" i="1"/>
  <c r="AS905" i="1"/>
  <c r="AR905" i="1"/>
  <c r="AQ905" i="1"/>
  <c r="AP905" i="1"/>
  <c r="AO905" i="1"/>
  <c r="AN905" i="1"/>
  <c r="AM905" i="1"/>
  <c r="AL905" i="1"/>
  <c r="AK905" i="1"/>
  <c r="AJ905" i="1"/>
  <c r="AH905" i="1"/>
  <c r="AG905" i="1"/>
  <c r="AF905" i="1"/>
  <c r="AE905" i="1"/>
  <c r="O904" i="1" s="1"/>
  <c r="AD905" i="1"/>
  <c r="O905" i="1"/>
  <c r="J905" i="1"/>
  <c r="DE904" i="1"/>
  <c r="DD904" i="1"/>
  <c r="DC904" i="1"/>
  <c r="DB904" i="1"/>
  <c r="DA904" i="1"/>
  <c r="CZ904" i="1"/>
  <c r="CY904" i="1"/>
  <c r="CX904" i="1"/>
  <c r="CW904" i="1"/>
  <c r="CV904" i="1"/>
  <c r="CU904" i="1"/>
  <c r="CT904" i="1"/>
  <c r="CS904" i="1"/>
  <c r="CR904" i="1"/>
  <c r="CQ904" i="1"/>
  <c r="CP904" i="1"/>
  <c r="CO904" i="1"/>
  <c r="CN904" i="1"/>
  <c r="CM904" i="1"/>
  <c r="CL904" i="1"/>
  <c r="CK904" i="1"/>
  <c r="CJ904" i="1"/>
  <c r="CI904" i="1"/>
  <c r="CH904" i="1"/>
  <c r="CG904" i="1"/>
  <c r="CF904" i="1"/>
  <c r="CC904" i="1"/>
  <c r="CB904" i="1"/>
  <c r="BZ904" i="1"/>
  <c r="BY904" i="1"/>
  <c r="BX904" i="1"/>
  <c r="BV904" i="1"/>
  <c r="BU904" i="1"/>
  <c r="BT904" i="1"/>
  <c r="BR904" i="1"/>
  <c r="BQ904" i="1"/>
  <c r="BP904" i="1"/>
  <c r="BO904" i="1"/>
  <c r="BN904" i="1"/>
  <c r="BM904" i="1"/>
  <c r="BL904" i="1"/>
  <c r="BK904" i="1"/>
  <c r="BJ904" i="1"/>
  <c r="BI904" i="1"/>
  <c r="BH904" i="1"/>
  <c r="BG904" i="1"/>
  <c r="BF904" i="1"/>
  <c r="BE904" i="1"/>
  <c r="BD904" i="1"/>
  <c r="BB904" i="1"/>
  <c r="BA904" i="1"/>
  <c r="AZ904" i="1"/>
  <c r="AX904" i="1"/>
  <c r="AW904" i="1"/>
  <c r="AV904" i="1"/>
  <c r="AT904" i="1"/>
  <c r="AS904" i="1"/>
  <c r="AR904" i="1"/>
  <c r="AP904" i="1"/>
  <c r="AO904" i="1"/>
  <c r="AN904" i="1"/>
  <c r="AM904" i="1"/>
  <c r="AL904" i="1"/>
  <c r="AK904" i="1"/>
  <c r="AJ904" i="1"/>
  <c r="AI904" i="1"/>
  <c r="AH904" i="1"/>
  <c r="AG904" i="1"/>
  <c r="AF904" i="1"/>
  <c r="AE904" i="1"/>
  <c r="AD904" i="1"/>
  <c r="P904" i="1"/>
  <c r="AQ904" i="1" s="1"/>
  <c r="F904" i="1"/>
  <c r="B904" i="1"/>
  <c r="BD906" i="1" s="1"/>
  <c r="DE903" i="1"/>
  <c r="DD903" i="1"/>
  <c r="DC903" i="1"/>
  <c r="DB903" i="1"/>
  <c r="DA903" i="1"/>
  <c r="CZ903" i="1"/>
  <c r="CY903" i="1"/>
  <c r="CX903" i="1"/>
  <c r="CW903" i="1"/>
  <c r="CV903" i="1"/>
  <c r="CU903" i="1"/>
  <c r="CT903" i="1"/>
  <c r="CS903" i="1"/>
  <c r="CR903" i="1"/>
  <c r="CQ903" i="1"/>
  <c r="CP903" i="1"/>
  <c r="CO903" i="1"/>
  <c r="CN903" i="1"/>
  <c r="CM903" i="1"/>
  <c r="CL903" i="1"/>
  <c r="CK903" i="1"/>
  <c r="CJ903" i="1"/>
  <c r="CI903" i="1"/>
  <c r="CH903" i="1"/>
  <c r="CG903" i="1"/>
  <c r="CF903" i="1"/>
  <c r="BR903" i="1"/>
  <c r="BQ903" i="1"/>
  <c r="BP903" i="1"/>
  <c r="BO903" i="1"/>
  <c r="BN903" i="1"/>
  <c r="BM903" i="1"/>
  <c r="BL903" i="1"/>
  <c r="BK903" i="1"/>
  <c r="BJ903" i="1"/>
  <c r="BI903" i="1"/>
  <c r="BH903" i="1"/>
  <c r="BG903" i="1"/>
  <c r="BF903" i="1"/>
  <c r="BA903" i="1"/>
  <c r="AS903" i="1"/>
  <c r="AR903" i="1"/>
  <c r="AQ903" i="1"/>
  <c r="AP903" i="1"/>
  <c r="AO903" i="1"/>
  <c r="AN903" i="1"/>
  <c r="AM903" i="1"/>
  <c r="AL903" i="1"/>
  <c r="AK903" i="1"/>
  <c r="AJ903" i="1"/>
  <c r="AI903" i="1"/>
  <c r="AH903" i="1"/>
  <c r="AG903" i="1"/>
  <c r="AF903" i="1"/>
  <c r="AE903" i="1"/>
  <c r="AD903" i="1"/>
  <c r="R903" i="1"/>
  <c r="Q903" i="1"/>
  <c r="DE902" i="1"/>
  <c r="DD902" i="1"/>
  <c r="DC902" i="1"/>
  <c r="DB902" i="1"/>
  <c r="DA902" i="1"/>
  <c r="CZ902" i="1"/>
  <c r="CY902" i="1"/>
  <c r="CX902" i="1"/>
  <c r="CW902" i="1"/>
  <c r="CV902" i="1"/>
  <c r="CU902" i="1"/>
  <c r="CT902" i="1"/>
  <c r="CS902" i="1"/>
  <c r="CR902" i="1"/>
  <c r="CQ902" i="1"/>
  <c r="CP902" i="1"/>
  <c r="CO902" i="1"/>
  <c r="CN902" i="1"/>
  <c r="CM902" i="1"/>
  <c r="CL902" i="1"/>
  <c r="CK902" i="1"/>
  <c r="CJ902" i="1"/>
  <c r="CI902" i="1"/>
  <c r="CH902" i="1"/>
  <c r="CG902" i="1"/>
  <c r="CF902" i="1"/>
  <c r="BR902" i="1"/>
  <c r="BP902" i="1"/>
  <c r="BO902" i="1"/>
  <c r="BN902" i="1"/>
  <c r="BM902" i="1"/>
  <c r="BL902" i="1"/>
  <c r="BK902" i="1"/>
  <c r="BJ902" i="1"/>
  <c r="BI902" i="1"/>
  <c r="BH902" i="1"/>
  <c r="BG902" i="1"/>
  <c r="BF902" i="1"/>
  <c r="BE902" i="1"/>
  <c r="AW902" i="1"/>
  <c r="AR902" i="1"/>
  <c r="AP902" i="1"/>
  <c r="AO902" i="1"/>
  <c r="AN902" i="1"/>
  <c r="AM902" i="1"/>
  <c r="AL902" i="1"/>
  <c r="AK902" i="1"/>
  <c r="AJ902" i="1"/>
  <c r="AI902" i="1"/>
  <c r="AH902" i="1"/>
  <c r="AG902" i="1"/>
  <c r="AF902" i="1"/>
  <c r="AE902" i="1"/>
  <c r="AD902" i="1"/>
  <c r="J902" i="1"/>
  <c r="DE901" i="1"/>
  <c r="DD901" i="1"/>
  <c r="DC901" i="1"/>
  <c r="DB901" i="1"/>
  <c r="DA901" i="1"/>
  <c r="CZ901" i="1"/>
  <c r="CY901" i="1"/>
  <c r="CX901" i="1"/>
  <c r="CW901" i="1"/>
  <c r="CV901" i="1"/>
  <c r="CU901" i="1"/>
  <c r="CT901" i="1"/>
  <c r="CS901" i="1"/>
  <c r="CR901" i="1"/>
  <c r="CQ901" i="1"/>
  <c r="CP901" i="1"/>
  <c r="CO901" i="1"/>
  <c r="CN901" i="1"/>
  <c r="CM901" i="1"/>
  <c r="CL901" i="1"/>
  <c r="CK901" i="1"/>
  <c r="CJ901" i="1"/>
  <c r="CI901" i="1"/>
  <c r="CH901" i="1"/>
  <c r="CG901" i="1"/>
  <c r="CF901" i="1"/>
  <c r="BX901" i="1"/>
  <c r="BR901" i="1"/>
  <c r="BQ901" i="1"/>
  <c r="BP901" i="1"/>
  <c r="BO901" i="1"/>
  <c r="BN901" i="1"/>
  <c r="BL901" i="1"/>
  <c r="BK901" i="1"/>
  <c r="BJ901" i="1"/>
  <c r="BI901" i="1"/>
  <c r="BH901" i="1"/>
  <c r="BG901" i="1"/>
  <c r="BF901" i="1"/>
  <c r="BD901" i="1"/>
  <c r="AV901" i="1"/>
  <c r="AR901" i="1"/>
  <c r="AQ901" i="1"/>
  <c r="AP901" i="1"/>
  <c r="AO901" i="1"/>
  <c r="AN901" i="1"/>
  <c r="AL901" i="1"/>
  <c r="AK901" i="1"/>
  <c r="AJ901" i="1"/>
  <c r="AI901" i="1"/>
  <c r="AH901" i="1"/>
  <c r="AG901" i="1"/>
  <c r="AF901" i="1"/>
  <c r="AE901" i="1"/>
  <c r="AD901" i="1"/>
  <c r="O901" i="1"/>
  <c r="BM901" i="1" s="1"/>
  <c r="F901" i="1"/>
  <c r="B901" i="1"/>
  <c r="DE900" i="1"/>
  <c r="DD900" i="1"/>
  <c r="DC900" i="1"/>
  <c r="DB900" i="1"/>
  <c r="DA900" i="1"/>
  <c r="CZ900" i="1"/>
  <c r="CY900" i="1"/>
  <c r="CX900" i="1"/>
  <c r="CW900" i="1"/>
  <c r="CV900" i="1"/>
  <c r="CU900" i="1"/>
  <c r="CT900" i="1"/>
  <c r="CS900" i="1"/>
  <c r="CR900" i="1"/>
  <c r="CQ900" i="1"/>
  <c r="CP900" i="1"/>
  <c r="CO900" i="1"/>
  <c r="CN900" i="1"/>
  <c r="CM900" i="1"/>
  <c r="CL900" i="1"/>
  <c r="CK900" i="1"/>
  <c r="CJ900" i="1"/>
  <c r="CI900" i="1"/>
  <c r="CH900" i="1"/>
  <c r="CG900" i="1"/>
  <c r="CF900" i="1"/>
  <c r="BR900" i="1"/>
  <c r="BQ900" i="1"/>
  <c r="BP900" i="1"/>
  <c r="BO900" i="1"/>
  <c r="BN900" i="1"/>
  <c r="BM900" i="1"/>
  <c r="BL900" i="1"/>
  <c r="BK900" i="1"/>
  <c r="BJ900" i="1"/>
  <c r="BI900" i="1"/>
  <c r="BH900" i="1"/>
  <c r="BG900" i="1"/>
  <c r="BF900" i="1"/>
  <c r="AY900" i="1"/>
  <c r="AR900" i="1"/>
  <c r="AQ900" i="1"/>
  <c r="AP900" i="1"/>
  <c r="AO900" i="1"/>
  <c r="AN900" i="1"/>
  <c r="AM900" i="1"/>
  <c r="AL900" i="1"/>
  <c r="AK900" i="1"/>
  <c r="AJ900" i="1"/>
  <c r="AI900" i="1"/>
  <c r="AH900" i="1"/>
  <c r="AG900" i="1"/>
  <c r="AF900" i="1"/>
  <c r="AE900" i="1"/>
  <c r="AD900" i="1"/>
  <c r="R900" i="1"/>
  <c r="Q900" i="1"/>
  <c r="DE899" i="1"/>
  <c r="DD899" i="1"/>
  <c r="DC899" i="1"/>
  <c r="DB899" i="1"/>
  <c r="DA899" i="1"/>
  <c r="CZ899" i="1"/>
  <c r="CY899" i="1"/>
  <c r="CX899" i="1"/>
  <c r="CW899" i="1"/>
  <c r="CV899" i="1"/>
  <c r="CU899" i="1"/>
  <c r="CT899" i="1"/>
  <c r="CS899" i="1"/>
  <c r="CR899" i="1"/>
  <c r="CQ899" i="1"/>
  <c r="CP899" i="1"/>
  <c r="CO899" i="1"/>
  <c r="CN899" i="1"/>
  <c r="CM899" i="1"/>
  <c r="CL899" i="1"/>
  <c r="CK899" i="1"/>
  <c r="CJ899" i="1"/>
  <c r="CI899" i="1"/>
  <c r="CH899" i="1"/>
  <c r="CG899" i="1"/>
  <c r="CF899" i="1"/>
  <c r="BR899" i="1"/>
  <c r="BQ899" i="1"/>
  <c r="BP899" i="1"/>
  <c r="BO899" i="1"/>
  <c r="BN899" i="1"/>
  <c r="BM899" i="1"/>
  <c r="BL899" i="1"/>
  <c r="BK899" i="1"/>
  <c r="BI899" i="1"/>
  <c r="BH899" i="1"/>
  <c r="BG899" i="1"/>
  <c r="BF899" i="1"/>
  <c r="AY899" i="1"/>
  <c r="AR899" i="1"/>
  <c r="AQ899" i="1"/>
  <c r="AP899" i="1"/>
  <c r="AO899" i="1"/>
  <c r="AN899" i="1"/>
  <c r="AM899" i="1"/>
  <c r="AL899" i="1"/>
  <c r="AK899" i="1"/>
  <c r="AI899" i="1"/>
  <c r="AH899" i="1"/>
  <c r="AG899" i="1"/>
  <c r="AF899" i="1"/>
  <c r="AE899" i="1"/>
  <c r="O898" i="1" s="1"/>
  <c r="AD899" i="1"/>
  <c r="J899" i="1"/>
  <c r="DE898" i="1"/>
  <c r="DD898" i="1"/>
  <c r="DC898" i="1"/>
  <c r="DB898" i="1"/>
  <c r="DA898" i="1"/>
  <c r="CZ898" i="1"/>
  <c r="CY898" i="1"/>
  <c r="CX898" i="1"/>
  <c r="CW898" i="1"/>
  <c r="CV898" i="1"/>
  <c r="CU898" i="1"/>
  <c r="CT898" i="1"/>
  <c r="CS898" i="1"/>
  <c r="CR898" i="1"/>
  <c r="CQ898" i="1"/>
  <c r="CP898" i="1"/>
  <c r="CO898" i="1"/>
  <c r="CN898" i="1"/>
  <c r="CM898" i="1"/>
  <c r="CL898" i="1"/>
  <c r="CK898" i="1"/>
  <c r="CJ898" i="1"/>
  <c r="CI898" i="1"/>
  <c r="CH898" i="1"/>
  <c r="CG898" i="1"/>
  <c r="CF898" i="1"/>
  <c r="BV898" i="1"/>
  <c r="BR898" i="1"/>
  <c r="BP898" i="1"/>
  <c r="BO898" i="1"/>
  <c r="BN898" i="1"/>
  <c r="BM898" i="1"/>
  <c r="BL898" i="1"/>
  <c r="BK898" i="1"/>
  <c r="BJ898" i="1"/>
  <c r="BI898" i="1"/>
  <c r="BH898" i="1"/>
  <c r="BG898" i="1"/>
  <c r="BF898" i="1"/>
  <c r="AY898" i="1"/>
  <c r="AR898" i="1"/>
  <c r="AP898" i="1"/>
  <c r="AO898" i="1"/>
  <c r="AN898" i="1"/>
  <c r="AM898" i="1"/>
  <c r="AL898" i="1"/>
  <c r="AK898" i="1"/>
  <c r="AJ898" i="1"/>
  <c r="AI898" i="1"/>
  <c r="AH898" i="1"/>
  <c r="AG898" i="1"/>
  <c r="AF898" i="1"/>
  <c r="AE898" i="1"/>
  <c r="AD898" i="1"/>
  <c r="F898" i="1"/>
  <c r="B898" i="1"/>
  <c r="DE897" i="1"/>
  <c r="DD897" i="1"/>
  <c r="DC897" i="1"/>
  <c r="DB897" i="1"/>
  <c r="DA897" i="1"/>
  <c r="CZ897" i="1"/>
  <c r="CY897" i="1"/>
  <c r="CX897" i="1"/>
  <c r="CW897" i="1"/>
  <c r="CV897" i="1"/>
  <c r="CU897" i="1"/>
  <c r="CT897" i="1"/>
  <c r="CS897" i="1"/>
  <c r="CR897" i="1"/>
  <c r="CQ897" i="1"/>
  <c r="CP897" i="1"/>
  <c r="CO897" i="1"/>
  <c r="CN897" i="1"/>
  <c r="CM897" i="1"/>
  <c r="CL897" i="1"/>
  <c r="CK897" i="1"/>
  <c r="CJ897" i="1"/>
  <c r="CI897" i="1"/>
  <c r="CH897" i="1"/>
  <c r="CG897" i="1"/>
  <c r="CF897" i="1"/>
  <c r="BR897" i="1"/>
  <c r="BQ897" i="1"/>
  <c r="BP897" i="1"/>
  <c r="BO897" i="1"/>
  <c r="BN897" i="1"/>
  <c r="BM897" i="1"/>
  <c r="BL897" i="1"/>
  <c r="BK897" i="1"/>
  <c r="BJ897" i="1"/>
  <c r="BI897" i="1"/>
  <c r="BH897" i="1"/>
  <c r="BG897" i="1"/>
  <c r="BF897" i="1"/>
  <c r="BC897" i="1"/>
  <c r="BB897" i="1"/>
  <c r="AY897" i="1"/>
  <c r="AX897" i="1"/>
  <c r="AU897" i="1"/>
  <c r="AT897" i="1"/>
  <c r="AR897" i="1"/>
  <c r="AQ897" i="1"/>
  <c r="AP897" i="1"/>
  <c r="AO897" i="1"/>
  <c r="AN897" i="1"/>
  <c r="AM897" i="1"/>
  <c r="AL897" i="1"/>
  <c r="AK897" i="1"/>
  <c r="AJ897" i="1"/>
  <c r="AI897" i="1"/>
  <c r="AH897" i="1"/>
  <c r="AG897" i="1"/>
  <c r="AF897" i="1"/>
  <c r="AE897" i="1"/>
  <c r="AD897" i="1"/>
  <c r="R897" i="1"/>
  <c r="Q897" i="1"/>
  <c r="DE896" i="1"/>
  <c r="DD896" i="1"/>
  <c r="DC896" i="1"/>
  <c r="DB896" i="1"/>
  <c r="DA896" i="1"/>
  <c r="CZ896" i="1"/>
  <c r="CY896" i="1"/>
  <c r="CX896" i="1"/>
  <c r="CW896" i="1"/>
  <c r="CV896" i="1"/>
  <c r="CU896" i="1"/>
  <c r="CT896" i="1"/>
  <c r="CS896" i="1"/>
  <c r="CR896" i="1"/>
  <c r="CQ896" i="1"/>
  <c r="CP896" i="1"/>
  <c r="CO896" i="1"/>
  <c r="CN896" i="1"/>
  <c r="CM896" i="1"/>
  <c r="CL896" i="1"/>
  <c r="CK896" i="1"/>
  <c r="CJ896" i="1"/>
  <c r="CI896" i="1"/>
  <c r="CH896" i="1"/>
  <c r="CG896" i="1"/>
  <c r="CF896" i="1"/>
  <c r="BR896" i="1"/>
  <c r="BQ896" i="1"/>
  <c r="BP896" i="1"/>
  <c r="BO896" i="1"/>
  <c r="BN896" i="1"/>
  <c r="BL896" i="1"/>
  <c r="BK896" i="1"/>
  <c r="BJ896" i="1"/>
  <c r="BI896" i="1"/>
  <c r="BH896" i="1"/>
  <c r="BG896" i="1"/>
  <c r="BF896" i="1"/>
  <c r="BC896" i="1"/>
  <c r="BB896" i="1"/>
  <c r="AY896" i="1"/>
  <c r="AX896" i="1"/>
  <c r="AU896" i="1"/>
  <c r="AT896" i="1"/>
  <c r="AR896" i="1"/>
  <c r="AQ896" i="1"/>
  <c r="AP896" i="1"/>
  <c r="AO896" i="1"/>
  <c r="AN896" i="1"/>
  <c r="AL896" i="1"/>
  <c r="AK896" i="1"/>
  <c r="AJ896" i="1"/>
  <c r="AI896" i="1"/>
  <c r="AH896" i="1"/>
  <c r="AG896" i="1"/>
  <c r="AF896" i="1"/>
  <c r="AE896" i="1"/>
  <c r="O895" i="1" s="1"/>
  <c r="AD896" i="1"/>
  <c r="J896" i="1"/>
  <c r="DE895" i="1"/>
  <c r="DD895" i="1"/>
  <c r="DC895" i="1"/>
  <c r="DB895" i="1"/>
  <c r="DA895" i="1"/>
  <c r="CZ895" i="1"/>
  <c r="CY895" i="1"/>
  <c r="CX895" i="1"/>
  <c r="CW895" i="1"/>
  <c r="CV895" i="1"/>
  <c r="CU895" i="1"/>
  <c r="CT895" i="1"/>
  <c r="CS895" i="1"/>
  <c r="CR895" i="1"/>
  <c r="CQ895" i="1"/>
  <c r="CP895" i="1"/>
  <c r="CO895" i="1"/>
  <c r="CN895" i="1"/>
  <c r="CM895" i="1"/>
  <c r="CL895" i="1"/>
  <c r="CK895" i="1"/>
  <c r="CJ895" i="1"/>
  <c r="CI895" i="1"/>
  <c r="CH895" i="1"/>
  <c r="CG895" i="1"/>
  <c r="CF895" i="1"/>
  <c r="CD895" i="1"/>
  <c r="CC895" i="1"/>
  <c r="BY895" i="1"/>
  <c r="BV895" i="1"/>
  <c r="BU895" i="1"/>
  <c r="BR895" i="1"/>
  <c r="BQ895" i="1"/>
  <c r="BP895" i="1"/>
  <c r="BO895" i="1"/>
  <c r="BN895" i="1"/>
  <c r="BM895" i="1"/>
  <c r="BL895" i="1"/>
  <c r="BK895" i="1"/>
  <c r="BJ895" i="1"/>
  <c r="BI895" i="1"/>
  <c r="BH895" i="1"/>
  <c r="BG895" i="1"/>
  <c r="BF895" i="1"/>
  <c r="BE895" i="1"/>
  <c r="BB895" i="1"/>
  <c r="BA895" i="1"/>
  <c r="AX895" i="1"/>
  <c r="AW895" i="1"/>
  <c r="AT895" i="1"/>
  <c r="AS895" i="1"/>
  <c r="AR895" i="1"/>
  <c r="AP895" i="1"/>
  <c r="AO895" i="1"/>
  <c r="AN895" i="1"/>
  <c r="AM895" i="1"/>
  <c r="AL895" i="1"/>
  <c r="AK895" i="1"/>
  <c r="AJ895" i="1"/>
  <c r="AI895" i="1"/>
  <c r="AH895" i="1"/>
  <c r="AG895" i="1"/>
  <c r="AF895" i="1"/>
  <c r="AE895" i="1"/>
  <c r="AD895" i="1"/>
  <c r="F895" i="1"/>
  <c r="B895" i="1"/>
  <c r="BE897" i="1" s="1"/>
  <c r="DE894" i="1"/>
  <c r="DD894" i="1"/>
  <c r="DC894" i="1"/>
  <c r="DB894" i="1"/>
  <c r="DA894" i="1"/>
  <c r="CZ894" i="1"/>
  <c r="CY894" i="1"/>
  <c r="CX894" i="1"/>
  <c r="CW894" i="1"/>
  <c r="CV894" i="1"/>
  <c r="CU894" i="1"/>
  <c r="CT894" i="1"/>
  <c r="CS894" i="1"/>
  <c r="CR894" i="1"/>
  <c r="CQ894" i="1"/>
  <c r="CP894" i="1"/>
  <c r="CO894" i="1"/>
  <c r="CN894" i="1"/>
  <c r="CM894" i="1"/>
  <c r="CL894" i="1"/>
  <c r="CK894" i="1"/>
  <c r="CJ894" i="1"/>
  <c r="CI894" i="1"/>
  <c r="CH894" i="1"/>
  <c r="CG894" i="1"/>
  <c r="CF894" i="1"/>
  <c r="BR894" i="1"/>
  <c r="BQ894" i="1"/>
  <c r="BP894" i="1"/>
  <c r="BO894" i="1"/>
  <c r="BN894" i="1"/>
  <c r="BM894" i="1"/>
  <c r="BL894" i="1"/>
  <c r="BK894" i="1"/>
  <c r="BJ894" i="1"/>
  <c r="BI894" i="1"/>
  <c r="BH894" i="1"/>
  <c r="BG894" i="1"/>
  <c r="BF894" i="1"/>
  <c r="BE894" i="1"/>
  <c r="BC894" i="1"/>
  <c r="BB894" i="1"/>
  <c r="BA894" i="1"/>
  <c r="AY894" i="1"/>
  <c r="AX894" i="1"/>
  <c r="AW894" i="1"/>
  <c r="AU894" i="1"/>
  <c r="AT894" i="1"/>
  <c r="AS894" i="1"/>
  <c r="AR894" i="1"/>
  <c r="AQ894" i="1"/>
  <c r="AP894" i="1"/>
  <c r="AO894" i="1"/>
  <c r="AN894" i="1"/>
  <c r="AM894" i="1"/>
  <c r="AL894" i="1"/>
  <c r="AK894" i="1"/>
  <c r="AJ894" i="1"/>
  <c r="AI894" i="1"/>
  <c r="AH894" i="1"/>
  <c r="AG894" i="1"/>
  <c r="AF894" i="1"/>
  <c r="AE894" i="1"/>
  <c r="AD894" i="1"/>
  <c r="R894" i="1"/>
  <c r="Q894" i="1"/>
  <c r="O894" i="1"/>
  <c r="P894" i="1" s="1"/>
  <c r="DE893" i="1"/>
  <c r="DD893" i="1"/>
  <c r="DC893" i="1"/>
  <c r="DB893" i="1"/>
  <c r="DA893" i="1"/>
  <c r="CZ893" i="1"/>
  <c r="CY893" i="1"/>
  <c r="CX893" i="1"/>
  <c r="CW893" i="1"/>
  <c r="CV893" i="1"/>
  <c r="CU893" i="1"/>
  <c r="CT893" i="1"/>
  <c r="CS893" i="1"/>
  <c r="CR893" i="1"/>
  <c r="CQ893" i="1"/>
  <c r="CP893" i="1"/>
  <c r="CO893" i="1"/>
  <c r="CN893" i="1"/>
  <c r="CM893" i="1"/>
  <c r="CL893" i="1"/>
  <c r="CK893" i="1"/>
  <c r="CJ893" i="1"/>
  <c r="CI893" i="1"/>
  <c r="CH893" i="1"/>
  <c r="CG893" i="1"/>
  <c r="CF893" i="1"/>
  <c r="BR893" i="1"/>
  <c r="BQ893" i="1"/>
  <c r="BP893" i="1"/>
  <c r="BO893" i="1"/>
  <c r="BN893" i="1"/>
  <c r="BL893" i="1"/>
  <c r="BK893" i="1"/>
  <c r="BJ893" i="1"/>
  <c r="BI893" i="1"/>
  <c r="BH893" i="1"/>
  <c r="BG893" i="1"/>
  <c r="BF893" i="1"/>
  <c r="BE893" i="1"/>
  <c r="BC893" i="1"/>
  <c r="BB893" i="1"/>
  <c r="BA893" i="1"/>
  <c r="AY893" i="1"/>
  <c r="AX893" i="1"/>
  <c r="AW893" i="1"/>
  <c r="AU893" i="1"/>
  <c r="AT893" i="1"/>
  <c r="AS893" i="1"/>
  <c r="AR893" i="1"/>
  <c r="AQ893" i="1"/>
  <c r="AP893" i="1"/>
  <c r="AO893" i="1"/>
  <c r="AN893" i="1"/>
  <c r="AL893" i="1"/>
  <c r="AK893" i="1"/>
  <c r="AJ893" i="1"/>
  <c r="AI893" i="1"/>
  <c r="AH893" i="1"/>
  <c r="AG893" i="1"/>
  <c r="AF893" i="1"/>
  <c r="AE893" i="1"/>
  <c r="O892" i="1" s="1"/>
  <c r="AQ892" i="1" s="1"/>
  <c r="AD893" i="1"/>
  <c r="O893" i="1"/>
  <c r="P893" i="1" s="1"/>
  <c r="AM893" i="1" s="1"/>
  <c r="J893" i="1"/>
  <c r="DE892" i="1"/>
  <c r="DD892" i="1"/>
  <c r="DC892" i="1"/>
  <c r="DB892" i="1"/>
  <c r="DA892" i="1"/>
  <c r="CZ892" i="1"/>
  <c r="CY892" i="1"/>
  <c r="CX892" i="1"/>
  <c r="CW892" i="1"/>
  <c r="CV892" i="1"/>
  <c r="CU892" i="1"/>
  <c r="CT892" i="1"/>
  <c r="CS892" i="1"/>
  <c r="CR892" i="1"/>
  <c r="CQ892" i="1"/>
  <c r="CP892" i="1"/>
  <c r="CO892" i="1"/>
  <c r="CN892" i="1"/>
  <c r="CM892" i="1"/>
  <c r="CL892" i="1"/>
  <c r="CK892" i="1"/>
  <c r="CJ892" i="1"/>
  <c r="CI892" i="1"/>
  <c r="CH892" i="1"/>
  <c r="CG892" i="1"/>
  <c r="CF892" i="1"/>
  <c r="CD892" i="1"/>
  <c r="CC892" i="1"/>
  <c r="CB892" i="1"/>
  <c r="BY892" i="1"/>
  <c r="BX892" i="1"/>
  <c r="BV892" i="1"/>
  <c r="BU892" i="1"/>
  <c r="BT892" i="1"/>
  <c r="BR892" i="1"/>
  <c r="BQ892" i="1"/>
  <c r="BP892" i="1"/>
  <c r="BO892" i="1"/>
  <c r="BN892" i="1"/>
  <c r="BM892" i="1"/>
  <c r="BL892" i="1"/>
  <c r="BK892" i="1"/>
  <c r="BJ892" i="1"/>
  <c r="BI892" i="1"/>
  <c r="BH892" i="1"/>
  <c r="BG892" i="1"/>
  <c r="BF892" i="1"/>
  <c r="BE892" i="1"/>
  <c r="BD892" i="1"/>
  <c r="BB892" i="1"/>
  <c r="BA892" i="1"/>
  <c r="AZ892" i="1"/>
  <c r="AX892" i="1"/>
  <c r="AW892" i="1"/>
  <c r="AV892" i="1"/>
  <c r="AT892" i="1"/>
  <c r="AS892" i="1"/>
  <c r="AR892" i="1"/>
  <c r="AP892" i="1"/>
  <c r="AO892" i="1"/>
  <c r="AN892" i="1"/>
  <c r="AM892" i="1"/>
  <c r="AL892" i="1"/>
  <c r="AK892" i="1"/>
  <c r="AJ892" i="1"/>
  <c r="AI892" i="1"/>
  <c r="AH892" i="1"/>
  <c r="AG892" i="1"/>
  <c r="AF892" i="1"/>
  <c r="AE892" i="1"/>
  <c r="AD892" i="1"/>
  <c r="P892" i="1"/>
  <c r="F892" i="1"/>
  <c r="B892" i="1"/>
  <c r="BD894" i="1" s="1"/>
  <c r="DE891" i="1"/>
  <c r="DD891" i="1"/>
  <c r="DC891" i="1"/>
  <c r="DB891" i="1"/>
  <c r="DA891" i="1"/>
  <c r="CZ891" i="1"/>
  <c r="CY891" i="1"/>
  <c r="CX891" i="1"/>
  <c r="CW891" i="1"/>
  <c r="CV891" i="1"/>
  <c r="CU891" i="1"/>
  <c r="CT891" i="1"/>
  <c r="CS891" i="1"/>
  <c r="CR891" i="1"/>
  <c r="CQ891" i="1"/>
  <c r="CP891" i="1"/>
  <c r="CO891" i="1"/>
  <c r="CN891" i="1"/>
  <c r="CM891" i="1"/>
  <c r="CL891" i="1"/>
  <c r="CK891" i="1"/>
  <c r="CJ891" i="1"/>
  <c r="CI891" i="1"/>
  <c r="CH891" i="1"/>
  <c r="CG891" i="1"/>
  <c r="CF891" i="1"/>
  <c r="BR891" i="1"/>
  <c r="BQ891" i="1"/>
  <c r="BP891" i="1"/>
  <c r="BO891" i="1"/>
  <c r="BN891" i="1"/>
  <c r="BM891" i="1"/>
  <c r="BL891" i="1"/>
  <c r="BK891" i="1"/>
  <c r="BI891" i="1"/>
  <c r="BH891" i="1"/>
  <c r="BG891" i="1"/>
  <c r="BF891" i="1"/>
  <c r="BE891" i="1"/>
  <c r="BD891" i="1"/>
  <c r="BB891" i="1"/>
  <c r="BA891" i="1"/>
  <c r="AZ891" i="1"/>
  <c r="AX891" i="1"/>
  <c r="AW891" i="1"/>
  <c r="AV891" i="1"/>
  <c r="AT891" i="1"/>
  <c r="AS891" i="1"/>
  <c r="AR891" i="1"/>
  <c r="AQ891" i="1"/>
  <c r="AP891" i="1"/>
  <c r="AO891" i="1"/>
  <c r="AN891" i="1"/>
  <c r="AM891" i="1"/>
  <c r="AL891" i="1"/>
  <c r="AK891" i="1"/>
  <c r="AI891" i="1"/>
  <c r="AH891" i="1"/>
  <c r="AG891" i="1"/>
  <c r="AF891" i="1"/>
  <c r="AE891" i="1"/>
  <c r="AD891" i="1"/>
  <c r="DE890" i="1"/>
  <c r="DD890" i="1"/>
  <c r="DC890" i="1"/>
  <c r="DB890" i="1"/>
  <c r="DA890" i="1"/>
  <c r="CZ890" i="1"/>
  <c r="CY890" i="1"/>
  <c r="CX890" i="1"/>
  <c r="CW890" i="1"/>
  <c r="CV890" i="1"/>
  <c r="CU890" i="1"/>
  <c r="CT890" i="1"/>
  <c r="CS890" i="1"/>
  <c r="CR890" i="1"/>
  <c r="CQ890" i="1"/>
  <c r="CP890" i="1"/>
  <c r="CO890" i="1"/>
  <c r="CN890" i="1"/>
  <c r="CM890" i="1"/>
  <c r="CL890" i="1"/>
  <c r="CK890" i="1"/>
  <c r="CJ890" i="1"/>
  <c r="CI890" i="1"/>
  <c r="CH890" i="1"/>
  <c r="CG890" i="1"/>
  <c r="CF890" i="1"/>
  <c r="BR890" i="1"/>
  <c r="BQ890" i="1"/>
  <c r="BP890" i="1"/>
  <c r="BO890" i="1"/>
  <c r="BN890" i="1"/>
  <c r="BM890" i="1"/>
  <c r="BL890" i="1"/>
  <c r="BK890" i="1"/>
  <c r="BJ890" i="1"/>
  <c r="BI890" i="1"/>
  <c r="BH890" i="1"/>
  <c r="BF890" i="1"/>
  <c r="BE890" i="1"/>
  <c r="BD890" i="1"/>
  <c r="BB890" i="1"/>
  <c r="BA890" i="1"/>
  <c r="AZ890" i="1"/>
  <c r="AX890" i="1"/>
  <c r="AW890" i="1"/>
  <c r="AV890" i="1"/>
  <c r="AT890" i="1"/>
  <c r="AS890" i="1"/>
  <c r="AR890" i="1"/>
  <c r="AQ890" i="1"/>
  <c r="AP890" i="1"/>
  <c r="AO890" i="1"/>
  <c r="AN890" i="1"/>
  <c r="AM890" i="1"/>
  <c r="AL890" i="1"/>
  <c r="AK890" i="1"/>
  <c r="AJ890" i="1"/>
  <c r="AI890" i="1"/>
  <c r="AH890" i="1"/>
  <c r="AF890" i="1"/>
  <c r="AE890" i="1"/>
  <c r="AD890" i="1"/>
  <c r="J890" i="1"/>
  <c r="DK889" i="1"/>
  <c r="DE889" i="1"/>
  <c r="DD889" i="1"/>
  <c r="DC889" i="1"/>
  <c r="DB889" i="1"/>
  <c r="DA889" i="1"/>
  <c r="CZ889" i="1"/>
  <c r="CY889" i="1"/>
  <c r="CX889" i="1"/>
  <c r="CW889" i="1"/>
  <c r="CV889" i="1"/>
  <c r="CU889" i="1"/>
  <c r="CT889" i="1"/>
  <c r="CS889" i="1"/>
  <c r="CR889" i="1"/>
  <c r="CQ889" i="1"/>
  <c r="CP889" i="1"/>
  <c r="CO889" i="1"/>
  <c r="CN889" i="1"/>
  <c r="CM889" i="1"/>
  <c r="CL889" i="1"/>
  <c r="CK889" i="1"/>
  <c r="CJ889" i="1"/>
  <c r="CI889" i="1"/>
  <c r="CH889" i="1"/>
  <c r="CG889" i="1"/>
  <c r="CF889" i="1"/>
  <c r="CE889" i="1"/>
  <c r="CC889" i="1"/>
  <c r="CB889" i="1"/>
  <c r="CA889" i="1"/>
  <c r="BY889" i="1"/>
  <c r="BX889" i="1"/>
  <c r="BU889" i="1"/>
  <c r="BS889" i="1"/>
  <c r="BR889" i="1"/>
  <c r="BP889" i="1"/>
  <c r="BO889" i="1"/>
  <c r="BN889" i="1"/>
  <c r="BM889" i="1"/>
  <c r="BL889" i="1"/>
  <c r="BK889" i="1"/>
  <c r="BJ889" i="1"/>
  <c r="BI889" i="1"/>
  <c r="BH889" i="1"/>
  <c r="BG889" i="1"/>
  <c r="BF889" i="1"/>
  <c r="BE889" i="1"/>
  <c r="BD889" i="1"/>
  <c r="BC889" i="1"/>
  <c r="BA889" i="1"/>
  <c r="AZ889" i="1"/>
  <c r="AY889" i="1"/>
  <c r="AW889" i="1"/>
  <c r="AV889" i="1"/>
  <c r="AU889" i="1"/>
  <c r="AS889" i="1"/>
  <c r="AR889" i="1"/>
  <c r="AP889" i="1"/>
  <c r="AO889" i="1"/>
  <c r="AN889" i="1"/>
  <c r="AM889" i="1"/>
  <c r="AL889" i="1"/>
  <c r="AK889" i="1"/>
  <c r="AJ889" i="1"/>
  <c r="AI889" i="1"/>
  <c r="AH889" i="1"/>
  <c r="AG889" i="1"/>
  <c r="AF889" i="1"/>
  <c r="AE889" i="1"/>
  <c r="AD889" i="1"/>
  <c r="O889" i="1"/>
  <c r="BQ889" i="1" s="1"/>
  <c r="G889" i="1"/>
  <c r="F889" i="1"/>
  <c r="D889" i="1"/>
  <c r="B889" i="1"/>
  <c r="BC891" i="1" s="1"/>
  <c r="DJ888" i="1"/>
  <c r="DE888" i="1"/>
  <c r="DD888" i="1"/>
  <c r="DC888" i="1"/>
  <c r="DB888" i="1"/>
  <c r="DA888" i="1"/>
  <c r="CZ888" i="1"/>
  <c r="CY888" i="1"/>
  <c r="CX888" i="1"/>
  <c r="CW888" i="1"/>
  <c r="CV888" i="1"/>
  <c r="CU888" i="1"/>
  <c r="CT888" i="1"/>
  <c r="CS888" i="1"/>
  <c r="CR888" i="1"/>
  <c r="CQ888" i="1"/>
  <c r="CP888" i="1"/>
  <c r="CO888" i="1"/>
  <c r="CN888" i="1"/>
  <c r="CM888" i="1"/>
  <c r="CL888" i="1"/>
  <c r="CK888" i="1"/>
  <c r="CJ888" i="1"/>
  <c r="CI888" i="1"/>
  <c r="CH888" i="1"/>
  <c r="CG888" i="1"/>
  <c r="CF888" i="1"/>
  <c r="BR888" i="1"/>
  <c r="BQ888" i="1"/>
  <c r="BP888" i="1"/>
  <c r="BO888" i="1"/>
  <c r="BN888" i="1"/>
  <c r="BM888" i="1"/>
  <c r="BL888" i="1"/>
  <c r="BK888" i="1"/>
  <c r="BI888" i="1"/>
  <c r="BH888" i="1"/>
  <c r="BG888" i="1"/>
  <c r="BF888" i="1"/>
  <c r="BA888" i="1"/>
  <c r="AS888" i="1"/>
  <c r="AR888" i="1"/>
  <c r="AQ888" i="1"/>
  <c r="AP888" i="1"/>
  <c r="AO888" i="1"/>
  <c r="AN888" i="1"/>
  <c r="AM888" i="1"/>
  <c r="AL888" i="1"/>
  <c r="AK888" i="1"/>
  <c r="AI888" i="1"/>
  <c r="AH888" i="1"/>
  <c r="AG888" i="1"/>
  <c r="AF888" i="1"/>
  <c r="AE888" i="1"/>
  <c r="AD888" i="1"/>
  <c r="DJ887" i="1"/>
  <c r="DE887" i="1"/>
  <c r="DD887" i="1"/>
  <c r="DC887" i="1"/>
  <c r="DB887" i="1"/>
  <c r="DA887" i="1"/>
  <c r="CZ887" i="1"/>
  <c r="CY887" i="1"/>
  <c r="CX887" i="1"/>
  <c r="CW887" i="1"/>
  <c r="CV887" i="1"/>
  <c r="CU887" i="1"/>
  <c r="CT887" i="1"/>
  <c r="CS887" i="1"/>
  <c r="CR887" i="1"/>
  <c r="CQ887" i="1"/>
  <c r="CP887" i="1"/>
  <c r="CO887" i="1"/>
  <c r="CN887" i="1"/>
  <c r="CM887" i="1"/>
  <c r="CL887" i="1"/>
  <c r="CK887" i="1"/>
  <c r="CJ887" i="1"/>
  <c r="CI887" i="1"/>
  <c r="CH887" i="1"/>
  <c r="CG887" i="1"/>
  <c r="CF887" i="1"/>
  <c r="BR887" i="1"/>
  <c r="BQ887" i="1"/>
  <c r="BP887" i="1"/>
  <c r="BO887" i="1"/>
  <c r="BN887" i="1"/>
  <c r="BM887" i="1"/>
  <c r="BL887" i="1"/>
  <c r="BK887" i="1"/>
  <c r="BJ887" i="1"/>
  <c r="BH887" i="1"/>
  <c r="BG887" i="1"/>
  <c r="BF887" i="1"/>
  <c r="BE887" i="1"/>
  <c r="AW887" i="1"/>
  <c r="AR887" i="1"/>
  <c r="AQ887" i="1"/>
  <c r="AP887" i="1"/>
  <c r="AO887" i="1"/>
  <c r="AN887" i="1"/>
  <c r="AM887" i="1"/>
  <c r="AL887" i="1"/>
  <c r="AK887" i="1"/>
  <c r="AJ887" i="1"/>
  <c r="AH887" i="1"/>
  <c r="AG887" i="1"/>
  <c r="AF887" i="1"/>
  <c r="AE887" i="1"/>
  <c r="AD887" i="1"/>
  <c r="J887" i="1"/>
  <c r="DK886" i="1"/>
  <c r="DJ886" i="1"/>
  <c r="DE886" i="1"/>
  <c r="DD886" i="1"/>
  <c r="DC886" i="1"/>
  <c r="DB886" i="1"/>
  <c r="DA886" i="1"/>
  <c r="CZ886" i="1"/>
  <c r="CY886" i="1"/>
  <c r="CX886" i="1"/>
  <c r="CW886" i="1"/>
  <c r="CV886" i="1"/>
  <c r="CU886" i="1"/>
  <c r="CT886" i="1"/>
  <c r="CS886" i="1"/>
  <c r="CR886" i="1"/>
  <c r="CQ886" i="1"/>
  <c r="CP886" i="1"/>
  <c r="CO886" i="1"/>
  <c r="CN886" i="1"/>
  <c r="CM886" i="1"/>
  <c r="CL886" i="1"/>
  <c r="CK886" i="1"/>
  <c r="CJ886" i="1"/>
  <c r="CI886" i="1"/>
  <c r="CH886" i="1"/>
  <c r="CG886" i="1"/>
  <c r="CF886" i="1"/>
  <c r="CA886" i="1"/>
  <c r="BS886" i="1"/>
  <c r="BR886" i="1"/>
  <c r="BP886" i="1"/>
  <c r="BO886" i="1"/>
  <c r="BN886" i="1"/>
  <c r="BM886" i="1"/>
  <c r="BL886" i="1"/>
  <c r="BK886" i="1"/>
  <c r="BJ886" i="1"/>
  <c r="BI886" i="1"/>
  <c r="BH886" i="1"/>
  <c r="BG886" i="1"/>
  <c r="BF886" i="1"/>
  <c r="AY886" i="1"/>
  <c r="AR886" i="1"/>
  <c r="AP886" i="1"/>
  <c r="AO886" i="1"/>
  <c r="AN886" i="1"/>
  <c r="AM886" i="1"/>
  <c r="AL886" i="1"/>
  <c r="AK886" i="1"/>
  <c r="AJ886" i="1"/>
  <c r="AI886" i="1"/>
  <c r="AH886" i="1"/>
  <c r="AG886" i="1"/>
  <c r="AF886" i="1"/>
  <c r="AE886" i="1"/>
  <c r="AD886" i="1"/>
  <c r="F886" i="1"/>
  <c r="B886" i="1"/>
  <c r="DE885" i="1"/>
  <c r="DD885" i="1"/>
  <c r="DC885" i="1"/>
  <c r="DB885" i="1"/>
  <c r="DA885" i="1"/>
  <c r="CZ885" i="1"/>
  <c r="CY885" i="1"/>
  <c r="CX885" i="1"/>
  <c r="CW885" i="1"/>
  <c r="CV885" i="1"/>
  <c r="CU885" i="1"/>
  <c r="CT885" i="1"/>
  <c r="CS885" i="1"/>
  <c r="CR885" i="1"/>
  <c r="CQ885" i="1"/>
  <c r="CP885" i="1"/>
  <c r="CO885" i="1"/>
  <c r="CN885" i="1"/>
  <c r="CM885" i="1"/>
  <c r="CL885" i="1"/>
  <c r="CK885" i="1"/>
  <c r="CJ885" i="1"/>
  <c r="CI885" i="1"/>
  <c r="CH885" i="1"/>
  <c r="CG885" i="1"/>
  <c r="CF885" i="1"/>
  <c r="BR885" i="1"/>
  <c r="BQ885" i="1"/>
  <c r="BP885" i="1"/>
  <c r="BO885" i="1"/>
  <c r="BN885" i="1"/>
  <c r="BM885" i="1"/>
  <c r="BL885" i="1"/>
  <c r="BK885" i="1"/>
  <c r="BJ885" i="1"/>
  <c r="BI885" i="1"/>
  <c r="BH885" i="1"/>
  <c r="BG885" i="1"/>
  <c r="BF885" i="1"/>
  <c r="BC885" i="1"/>
  <c r="BB885" i="1"/>
  <c r="AY885" i="1"/>
  <c r="AX885" i="1"/>
  <c r="AU885" i="1"/>
  <c r="AT885" i="1"/>
  <c r="AR885" i="1"/>
  <c r="AQ885" i="1"/>
  <c r="AP885" i="1"/>
  <c r="AO885" i="1"/>
  <c r="AN885" i="1"/>
  <c r="AM885" i="1"/>
  <c r="AL885" i="1"/>
  <c r="AK885" i="1"/>
  <c r="AJ885" i="1"/>
  <c r="AI885" i="1"/>
  <c r="AH885" i="1"/>
  <c r="AG885" i="1"/>
  <c r="AF885" i="1"/>
  <c r="AE885" i="1"/>
  <c r="AD885" i="1"/>
  <c r="R885" i="1"/>
  <c r="Q885" i="1"/>
  <c r="DE884" i="1"/>
  <c r="DD884" i="1"/>
  <c r="DC884" i="1"/>
  <c r="DB884" i="1"/>
  <c r="DA884" i="1"/>
  <c r="CZ884" i="1"/>
  <c r="CY884" i="1"/>
  <c r="CX884" i="1"/>
  <c r="CW884" i="1"/>
  <c r="CV884" i="1"/>
  <c r="CU884" i="1"/>
  <c r="CT884" i="1"/>
  <c r="CS884" i="1"/>
  <c r="CR884" i="1"/>
  <c r="CQ884" i="1"/>
  <c r="CP884" i="1"/>
  <c r="CO884" i="1"/>
  <c r="CN884" i="1"/>
  <c r="CM884" i="1"/>
  <c r="CL884" i="1"/>
  <c r="CK884" i="1"/>
  <c r="CJ884" i="1"/>
  <c r="CI884" i="1"/>
  <c r="CH884" i="1"/>
  <c r="CG884" i="1"/>
  <c r="CF884" i="1"/>
  <c r="BR884" i="1"/>
  <c r="BQ884" i="1"/>
  <c r="BP884" i="1"/>
  <c r="BO884" i="1"/>
  <c r="BN884" i="1"/>
  <c r="BM884" i="1"/>
  <c r="BL884" i="1"/>
  <c r="BK884" i="1"/>
  <c r="BJ884" i="1"/>
  <c r="BI884" i="1"/>
  <c r="BH884" i="1"/>
  <c r="BG884" i="1"/>
  <c r="BF884" i="1"/>
  <c r="BC884" i="1"/>
  <c r="BB884" i="1"/>
  <c r="AY884" i="1"/>
  <c r="AX884" i="1"/>
  <c r="AU884" i="1"/>
  <c r="AT884" i="1"/>
  <c r="AR884" i="1"/>
  <c r="AQ884" i="1"/>
  <c r="AP884" i="1"/>
  <c r="AO884" i="1"/>
  <c r="AN884" i="1"/>
  <c r="AM884" i="1"/>
  <c r="AL884" i="1"/>
  <c r="AK884" i="1"/>
  <c r="AJ884" i="1"/>
  <c r="AI884" i="1"/>
  <c r="AH884" i="1"/>
  <c r="AG884" i="1"/>
  <c r="AF884" i="1"/>
  <c r="AE884" i="1"/>
  <c r="O883" i="1" s="1"/>
  <c r="P883" i="1" s="1"/>
  <c r="AD884" i="1"/>
  <c r="J884" i="1"/>
  <c r="DE883" i="1"/>
  <c r="DD883" i="1"/>
  <c r="DC883" i="1"/>
  <c r="DB883" i="1"/>
  <c r="DA883" i="1"/>
  <c r="CZ883" i="1"/>
  <c r="CY883" i="1"/>
  <c r="CX883" i="1"/>
  <c r="CW883" i="1"/>
  <c r="CV883" i="1"/>
  <c r="CU883" i="1"/>
  <c r="CT883" i="1"/>
  <c r="CS883" i="1"/>
  <c r="CR883" i="1"/>
  <c r="CQ883" i="1"/>
  <c r="CP883" i="1"/>
  <c r="CO883" i="1"/>
  <c r="CN883" i="1"/>
  <c r="CM883" i="1"/>
  <c r="CL883" i="1"/>
  <c r="CK883" i="1"/>
  <c r="CJ883" i="1"/>
  <c r="CI883" i="1"/>
  <c r="CH883" i="1"/>
  <c r="CG883" i="1"/>
  <c r="CF883" i="1"/>
  <c r="CD883" i="1"/>
  <c r="CC883" i="1"/>
  <c r="BZ883" i="1"/>
  <c r="BY883" i="1"/>
  <c r="BV883" i="1"/>
  <c r="BU883" i="1"/>
  <c r="BR883" i="1"/>
  <c r="BQ883" i="1"/>
  <c r="BP883" i="1"/>
  <c r="BO883" i="1"/>
  <c r="BN883" i="1"/>
  <c r="BM883" i="1"/>
  <c r="BL883" i="1"/>
  <c r="BK883" i="1"/>
  <c r="BJ883" i="1"/>
  <c r="BI883" i="1"/>
  <c r="BH883" i="1"/>
  <c r="BG883" i="1"/>
  <c r="BF883" i="1"/>
  <c r="BE883" i="1"/>
  <c r="BB883" i="1"/>
  <c r="BA883" i="1"/>
  <c r="AX883" i="1"/>
  <c r="AW883" i="1"/>
  <c r="AT883" i="1"/>
  <c r="AS883" i="1"/>
  <c r="AR883" i="1"/>
  <c r="AQ883" i="1"/>
  <c r="AP883" i="1"/>
  <c r="AO883" i="1"/>
  <c r="AN883" i="1"/>
  <c r="AM883" i="1"/>
  <c r="AL883" i="1"/>
  <c r="AK883" i="1"/>
  <c r="AJ883" i="1"/>
  <c r="AI883" i="1"/>
  <c r="AH883" i="1"/>
  <c r="AG883" i="1"/>
  <c r="AF883" i="1"/>
  <c r="AE883" i="1"/>
  <c r="AD883" i="1"/>
  <c r="F883" i="1"/>
  <c r="B883" i="1"/>
  <c r="BE885" i="1" s="1"/>
  <c r="DE882" i="1"/>
  <c r="DD882" i="1"/>
  <c r="DC882" i="1"/>
  <c r="DB882" i="1"/>
  <c r="DA882" i="1"/>
  <c r="CZ882" i="1"/>
  <c r="CY882" i="1"/>
  <c r="CX882" i="1"/>
  <c r="CW882" i="1"/>
  <c r="CV882" i="1"/>
  <c r="CU882" i="1"/>
  <c r="CT882" i="1"/>
  <c r="CS882" i="1"/>
  <c r="CR882" i="1"/>
  <c r="CQ882" i="1"/>
  <c r="CP882" i="1"/>
  <c r="CO882" i="1"/>
  <c r="CN882" i="1"/>
  <c r="CM882" i="1"/>
  <c r="CL882" i="1"/>
  <c r="CK882" i="1"/>
  <c r="CJ882" i="1"/>
  <c r="CI882" i="1"/>
  <c r="CH882" i="1"/>
  <c r="CG882" i="1"/>
  <c r="CF882" i="1"/>
  <c r="BR882" i="1"/>
  <c r="BQ882" i="1"/>
  <c r="BP882" i="1"/>
  <c r="BO882" i="1"/>
  <c r="BN882" i="1"/>
  <c r="BM882" i="1"/>
  <c r="BL882" i="1"/>
  <c r="BK882" i="1"/>
  <c r="BJ882" i="1"/>
  <c r="BI882" i="1"/>
  <c r="BH882" i="1"/>
  <c r="BG882" i="1"/>
  <c r="BF882" i="1"/>
  <c r="BE882" i="1"/>
  <c r="BC882" i="1"/>
  <c r="BB882" i="1"/>
  <c r="BA882" i="1"/>
  <c r="AY882" i="1"/>
  <c r="AX882" i="1"/>
  <c r="AW882" i="1"/>
  <c r="AU882" i="1"/>
  <c r="AT882" i="1"/>
  <c r="AS882" i="1"/>
  <c r="AR882" i="1"/>
  <c r="AQ882" i="1"/>
  <c r="AP882" i="1"/>
  <c r="AO882" i="1"/>
  <c r="AN882" i="1"/>
  <c r="AM882" i="1"/>
  <c r="AL882" i="1"/>
  <c r="AK882" i="1"/>
  <c r="AJ882" i="1"/>
  <c r="AI882" i="1"/>
  <c r="AH882" i="1"/>
  <c r="AG882" i="1"/>
  <c r="AF882" i="1"/>
  <c r="AE882" i="1"/>
  <c r="AD882" i="1"/>
  <c r="R882" i="1"/>
  <c r="Q882" i="1"/>
  <c r="O882" i="1"/>
  <c r="P882" i="1" s="1"/>
  <c r="DE881" i="1"/>
  <c r="DD881" i="1"/>
  <c r="DC881" i="1"/>
  <c r="DB881" i="1"/>
  <c r="DA881" i="1"/>
  <c r="CZ881" i="1"/>
  <c r="CY881" i="1"/>
  <c r="CX881" i="1"/>
  <c r="CW881" i="1"/>
  <c r="CV881" i="1"/>
  <c r="CU881" i="1"/>
  <c r="CT881" i="1"/>
  <c r="CS881" i="1"/>
  <c r="CR881" i="1"/>
  <c r="CQ881" i="1"/>
  <c r="CP881" i="1"/>
  <c r="CO881" i="1"/>
  <c r="CN881" i="1"/>
  <c r="CM881" i="1"/>
  <c r="CL881" i="1"/>
  <c r="CK881" i="1"/>
  <c r="CJ881" i="1"/>
  <c r="CI881" i="1"/>
  <c r="CH881" i="1"/>
  <c r="CG881" i="1"/>
  <c r="CF881" i="1"/>
  <c r="BR881" i="1"/>
  <c r="BQ881" i="1"/>
  <c r="BP881" i="1"/>
  <c r="BO881" i="1"/>
  <c r="BN881" i="1"/>
  <c r="BM881" i="1"/>
  <c r="BL881" i="1"/>
  <c r="BK881" i="1"/>
  <c r="BJ881" i="1"/>
  <c r="BI881" i="1"/>
  <c r="BH881" i="1"/>
  <c r="BG881" i="1"/>
  <c r="BF881" i="1"/>
  <c r="BE881" i="1"/>
  <c r="BC881" i="1"/>
  <c r="BB881" i="1"/>
  <c r="BA881" i="1"/>
  <c r="AY881" i="1"/>
  <c r="AX881" i="1"/>
  <c r="AW881" i="1"/>
  <c r="AU881" i="1"/>
  <c r="AT881" i="1"/>
  <c r="AS881" i="1"/>
  <c r="AR881" i="1"/>
  <c r="AQ881" i="1"/>
  <c r="AP881" i="1"/>
  <c r="AO881" i="1"/>
  <c r="AN881" i="1"/>
  <c r="AM881" i="1"/>
  <c r="AL881" i="1"/>
  <c r="AK881" i="1"/>
  <c r="AJ881" i="1"/>
  <c r="AI881" i="1"/>
  <c r="AH881" i="1"/>
  <c r="AG881" i="1"/>
  <c r="AE881" i="1"/>
  <c r="O880" i="1" s="1"/>
  <c r="BG880" i="1" s="1"/>
  <c r="AD881" i="1"/>
  <c r="O881" i="1"/>
  <c r="J881" i="1"/>
  <c r="DE880" i="1"/>
  <c r="DD880" i="1"/>
  <c r="DC880" i="1"/>
  <c r="DB880" i="1"/>
  <c r="DA880" i="1"/>
  <c r="CZ880" i="1"/>
  <c r="CY880" i="1"/>
  <c r="CX880" i="1"/>
  <c r="CW880" i="1"/>
  <c r="CV880" i="1"/>
  <c r="CU880" i="1"/>
  <c r="CT880" i="1"/>
  <c r="CS880" i="1"/>
  <c r="CR880" i="1"/>
  <c r="CQ880" i="1"/>
  <c r="CP880" i="1"/>
  <c r="CO880" i="1"/>
  <c r="CN880" i="1"/>
  <c r="CM880" i="1"/>
  <c r="CL880" i="1"/>
  <c r="CK880" i="1"/>
  <c r="CJ880" i="1"/>
  <c r="CI880" i="1"/>
  <c r="CH880" i="1"/>
  <c r="CG880" i="1"/>
  <c r="CF880" i="1"/>
  <c r="CD880" i="1"/>
  <c r="CC880" i="1"/>
  <c r="CB880" i="1"/>
  <c r="BZ880" i="1"/>
  <c r="BY880" i="1"/>
  <c r="BX880" i="1"/>
  <c r="BV880" i="1"/>
  <c r="BU880" i="1"/>
  <c r="BT880" i="1"/>
  <c r="BR880" i="1"/>
  <c r="BQ880" i="1"/>
  <c r="BP880" i="1"/>
  <c r="BO880" i="1"/>
  <c r="BN880" i="1"/>
  <c r="BM880" i="1"/>
  <c r="BL880" i="1"/>
  <c r="BK880" i="1"/>
  <c r="BJ880" i="1"/>
  <c r="BI880" i="1"/>
  <c r="BH880" i="1"/>
  <c r="BF880" i="1"/>
  <c r="BE880" i="1"/>
  <c r="BD880" i="1"/>
  <c r="BB880" i="1"/>
  <c r="BA880" i="1"/>
  <c r="AZ880" i="1"/>
  <c r="AX880" i="1"/>
  <c r="AW880" i="1"/>
  <c r="AV880" i="1"/>
  <c r="AT880" i="1"/>
  <c r="AS880" i="1"/>
  <c r="AR880" i="1"/>
  <c r="AQ880" i="1"/>
  <c r="AP880" i="1"/>
  <c r="AO880" i="1"/>
  <c r="AN880" i="1"/>
  <c r="AM880" i="1"/>
  <c r="AL880" i="1"/>
  <c r="AK880" i="1"/>
  <c r="AJ880" i="1"/>
  <c r="AI880" i="1"/>
  <c r="AH880" i="1"/>
  <c r="AF880" i="1"/>
  <c r="AE880" i="1"/>
  <c r="AD880" i="1"/>
  <c r="F880" i="1"/>
  <c r="B880" i="1"/>
  <c r="BD882" i="1" s="1"/>
  <c r="DE879" i="1"/>
  <c r="DD879" i="1"/>
  <c r="DC879" i="1"/>
  <c r="DB879" i="1"/>
  <c r="DA879" i="1"/>
  <c r="CZ879" i="1"/>
  <c r="CY879" i="1"/>
  <c r="CX879" i="1"/>
  <c r="CW879" i="1"/>
  <c r="CV879" i="1"/>
  <c r="CU879" i="1"/>
  <c r="CT879" i="1"/>
  <c r="CS879" i="1"/>
  <c r="CR879" i="1"/>
  <c r="CQ879" i="1"/>
  <c r="CP879" i="1"/>
  <c r="CO879" i="1"/>
  <c r="CN879" i="1"/>
  <c r="CM879" i="1"/>
  <c r="CL879" i="1"/>
  <c r="CK879" i="1"/>
  <c r="CJ879" i="1"/>
  <c r="CI879" i="1"/>
  <c r="CH879" i="1"/>
  <c r="CG879" i="1"/>
  <c r="CF879" i="1"/>
  <c r="BR879" i="1"/>
  <c r="BQ879" i="1"/>
  <c r="BP879" i="1"/>
  <c r="BO879" i="1"/>
  <c r="BN879" i="1"/>
  <c r="BM879" i="1"/>
  <c r="BL879" i="1"/>
  <c r="BK879" i="1"/>
  <c r="BJ879" i="1"/>
  <c r="BI879" i="1"/>
  <c r="BH879" i="1"/>
  <c r="BG879" i="1"/>
  <c r="BF879" i="1"/>
  <c r="BE879" i="1"/>
  <c r="BD879" i="1"/>
  <c r="BB879" i="1"/>
  <c r="BA879" i="1"/>
  <c r="AZ879" i="1"/>
  <c r="AX879" i="1"/>
  <c r="AW879" i="1"/>
  <c r="AV879" i="1"/>
  <c r="AT879" i="1"/>
  <c r="AS879" i="1"/>
  <c r="AR879" i="1"/>
  <c r="AQ879" i="1"/>
  <c r="AP879" i="1"/>
  <c r="AO879" i="1"/>
  <c r="AN879" i="1"/>
  <c r="AM879" i="1"/>
  <c r="AL879" i="1"/>
  <c r="AK879" i="1"/>
  <c r="AJ879" i="1"/>
  <c r="AI879" i="1"/>
  <c r="AH879" i="1"/>
  <c r="AG879" i="1"/>
  <c r="AF879" i="1"/>
  <c r="AE879" i="1"/>
  <c r="AD879" i="1"/>
  <c r="R879" i="1"/>
  <c r="Q879" i="1"/>
  <c r="DE878" i="1"/>
  <c r="DD878" i="1"/>
  <c r="DC878" i="1"/>
  <c r="DB878" i="1"/>
  <c r="DA878" i="1"/>
  <c r="CZ878" i="1"/>
  <c r="CY878" i="1"/>
  <c r="CX878" i="1"/>
  <c r="CW878" i="1"/>
  <c r="CV878" i="1"/>
  <c r="CU878" i="1"/>
  <c r="CT878" i="1"/>
  <c r="CS878" i="1"/>
  <c r="CR878" i="1"/>
  <c r="CQ878" i="1"/>
  <c r="CP878" i="1"/>
  <c r="CO878" i="1"/>
  <c r="CN878" i="1"/>
  <c r="CM878" i="1"/>
  <c r="CL878" i="1"/>
  <c r="CK878" i="1"/>
  <c r="CJ878" i="1"/>
  <c r="CI878" i="1"/>
  <c r="CH878" i="1"/>
  <c r="CG878" i="1"/>
  <c r="CF878" i="1"/>
  <c r="BR878" i="1"/>
  <c r="BQ878" i="1"/>
  <c r="BP878" i="1"/>
  <c r="BO878" i="1"/>
  <c r="BN878" i="1"/>
  <c r="BM878" i="1"/>
  <c r="BL878" i="1"/>
  <c r="BK878" i="1"/>
  <c r="BI878" i="1"/>
  <c r="BH878" i="1"/>
  <c r="BG878" i="1"/>
  <c r="BF878" i="1"/>
  <c r="BE878" i="1"/>
  <c r="BD878" i="1"/>
  <c r="BB878" i="1"/>
  <c r="BA878" i="1"/>
  <c r="AZ878" i="1"/>
  <c r="AX878" i="1"/>
  <c r="AW878" i="1"/>
  <c r="AV878" i="1"/>
  <c r="AT878" i="1"/>
  <c r="AS878" i="1"/>
  <c r="AR878" i="1"/>
  <c r="AQ878" i="1"/>
  <c r="AP878" i="1"/>
  <c r="AO878" i="1"/>
  <c r="AN878" i="1"/>
  <c r="AM878" i="1"/>
  <c r="AL878" i="1"/>
  <c r="AK878" i="1"/>
  <c r="AI878" i="1"/>
  <c r="AH878" i="1"/>
  <c r="AG878" i="1"/>
  <c r="AF878" i="1"/>
  <c r="AE878" i="1"/>
  <c r="AD878" i="1"/>
  <c r="J878" i="1"/>
  <c r="DE877" i="1"/>
  <c r="DD877" i="1"/>
  <c r="DC877" i="1"/>
  <c r="DB877" i="1"/>
  <c r="DA877" i="1"/>
  <c r="CZ877" i="1"/>
  <c r="CY877" i="1"/>
  <c r="CX877" i="1"/>
  <c r="CW877" i="1"/>
  <c r="CV877" i="1"/>
  <c r="CU877" i="1"/>
  <c r="CT877" i="1"/>
  <c r="CS877" i="1"/>
  <c r="CR877" i="1"/>
  <c r="CQ877" i="1"/>
  <c r="CP877" i="1"/>
  <c r="CO877" i="1"/>
  <c r="CN877" i="1"/>
  <c r="CM877" i="1"/>
  <c r="CL877" i="1"/>
  <c r="CK877" i="1"/>
  <c r="CJ877" i="1"/>
  <c r="CI877" i="1"/>
  <c r="CH877" i="1"/>
  <c r="CG877" i="1"/>
  <c r="CF877" i="1"/>
  <c r="CE877" i="1"/>
  <c r="CC877" i="1"/>
  <c r="CB877" i="1"/>
  <c r="CA877" i="1"/>
  <c r="BY877" i="1"/>
  <c r="BX877" i="1"/>
  <c r="BU877" i="1"/>
  <c r="BT877" i="1"/>
  <c r="BS877" i="1"/>
  <c r="BR877" i="1"/>
  <c r="BQ877" i="1"/>
  <c r="BP877" i="1"/>
  <c r="BO877" i="1"/>
  <c r="BN877" i="1"/>
  <c r="BM877" i="1"/>
  <c r="BL877" i="1"/>
  <c r="BK877" i="1"/>
  <c r="BJ877" i="1"/>
  <c r="BI877" i="1"/>
  <c r="BH877" i="1"/>
  <c r="BG877" i="1"/>
  <c r="BE877" i="1"/>
  <c r="BD877" i="1"/>
  <c r="BC877" i="1"/>
  <c r="BA877" i="1"/>
  <c r="AZ877" i="1"/>
  <c r="AY877" i="1"/>
  <c r="AW877" i="1"/>
  <c r="AV877" i="1"/>
  <c r="AU877" i="1"/>
  <c r="AS877" i="1"/>
  <c r="AR877" i="1"/>
  <c r="AQ877" i="1"/>
  <c r="AP877" i="1"/>
  <c r="AO877" i="1"/>
  <c r="AN877" i="1"/>
  <c r="AM877" i="1"/>
  <c r="AL877" i="1"/>
  <c r="AK877" i="1"/>
  <c r="AJ877" i="1"/>
  <c r="AI877" i="1"/>
  <c r="AH877" i="1"/>
  <c r="AG877" i="1"/>
  <c r="AE877" i="1"/>
  <c r="AD877" i="1"/>
  <c r="O877" i="1"/>
  <c r="BF877" i="1" s="1"/>
  <c r="G877" i="1"/>
  <c r="F877" i="1"/>
  <c r="B877" i="1"/>
  <c r="BC879" i="1" s="1"/>
  <c r="DE876" i="1"/>
  <c r="DD876" i="1"/>
  <c r="DC876" i="1"/>
  <c r="DB876" i="1"/>
  <c r="DA876" i="1"/>
  <c r="CZ876" i="1"/>
  <c r="CY876" i="1"/>
  <c r="CX876" i="1"/>
  <c r="CW876" i="1"/>
  <c r="CV876" i="1"/>
  <c r="CU876" i="1"/>
  <c r="CT876" i="1"/>
  <c r="CS876" i="1"/>
  <c r="CR876" i="1"/>
  <c r="CQ876" i="1"/>
  <c r="CP876" i="1"/>
  <c r="CO876" i="1"/>
  <c r="CN876" i="1"/>
  <c r="CM876" i="1"/>
  <c r="CL876" i="1"/>
  <c r="CK876" i="1"/>
  <c r="CJ876" i="1"/>
  <c r="CI876" i="1"/>
  <c r="CH876" i="1"/>
  <c r="CG876" i="1"/>
  <c r="CF876" i="1"/>
  <c r="BR876" i="1"/>
  <c r="BQ876" i="1"/>
  <c r="BP876" i="1"/>
  <c r="BO876" i="1"/>
  <c r="BN876" i="1"/>
  <c r="BM876" i="1"/>
  <c r="BL876" i="1"/>
  <c r="BK876" i="1"/>
  <c r="BJ876" i="1"/>
  <c r="BI876" i="1"/>
  <c r="BH876" i="1"/>
  <c r="BG876" i="1"/>
  <c r="BF876" i="1"/>
  <c r="AR876" i="1"/>
  <c r="AQ876" i="1"/>
  <c r="AP876" i="1"/>
  <c r="AO876" i="1"/>
  <c r="AN876" i="1"/>
  <c r="AM876" i="1"/>
  <c r="AL876" i="1"/>
  <c r="AK876" i="1"/>
  <c r="AJ876" i="1"/>
  <c r="AI876" i="1"/>
  <c r="AH876" i="1"/>
  <c r="AG876" i="1"/>
  <c r="AF876" i="1"/>
  <c r="AE876" i="1"/>
  <c r="AD876" i="1"/>
  <c r="R876" i="1"/>
  <c r="Q876" i="1"/>
  <c r="DE875" i="1"/>
  <c r="DD875" i="1"/>
  <c r="DC875" i="1"/>
  <c r="DB875" i="1"/>
  <c r="DA875" i="1"/>
  <c r="CZ875" i="1"/>
  <c r="CY875" i="1"/>
  <c r="CX875" i="1"/>
  <c r="CW875" i="1"/>
  <c r="CV875" i="1"/>
  <c r="CU875" i="1"/>
  <c r="CT875" i="1"/>
  <c r="CS875" i="1"/>
  <c r="CR875" i="1"/>
  <c r="CQ875" i="1"/>
  <c r="CP875" i="1"/>
  <c r="CO875" i="1"/>
  <c r="CN875" i="1"/>
  <c r="CM875" i="1"/>
  <c r="CL875" i="1"/>
  <c r="CK875" i="1"/>
  <c r="CJ875" i="1"/>
  <c r="CI875" i="1"/>
  <c r="CH875" i="1"/>
  <c r="CG875" i="1"/>
  <c r="CF875" i="1"/>
  <c r="BR875" i="1"/>
  <c r="BQ875" i="1"/>
  <c r="BP875" i="1"/>
  <c r="BO875" i="1"/>
  <c r="BN875" i="1"/>
  <c r="BM875" i="1"/>
  <c r="BL875" i="1"/>
  <c r="BK875" i="1"/>
  <c r="BI875" i="1"/>
  <c r="BH875" i="1"/>
  <c r="BG875" i="1"/>
  <c r="BF875" i="1"/>
  <c r="AR875" i="1"/>
  <c r="AQ875" i="1"/>
  <c r="AP875" i="1"/>
  <c r="AO875" i="1"/>
  <c r="AN875" i="1"/>
  <c r="AM875" i="1"/>
  <c r="AL875" i="1"/>
  <c r="AK875" i="1"/>
  <c r="AI875" i="1"/>
  <c r="AH875" i="1"/>
  <c r="AG875" i="1"/>
  <c r="AF875" i="1"/>
  <c r="AE875" i="1"/>
  <c r="AD875" i="1"/>
  <c r="J875" i="1"/>
  <c r="DE874" i="1"/>
  <c r="DD874" i="1"/>
  <c r="DC874" i="1"/>
  <c r="DB874" i="1"/>
  <c r="DA874" i="1"/>
  <c r="CZ874" i="1"/>
  <c r="CY874" i="1"/>
  <c r="CX874" i="1"/>
  <c r="CW874" i="1"/>
  <c r="CV874" i="1"/>
  <c r="CU874" i="1"/>
  <c r="CT874" i="1"/>
  <c r="CS874" i="1"/>
  <c r="CR874" i="1"/>
  <c r="CQ874" i="1"/>
  <c r="CP874" i="1"/>
  <c r="CO874" i="1"/>
  <c r="CN874" i="1"/>
  <c r="CM874" i="1"/>
  <c r="CL874" i="1"/>
  <c r="CK874" i="1"/>
  <c r="CJ874" i="1"/>
  <c r="CI874" i="1"/>
  <c r="CH874" i="1"/>
  <c r="CG874" i="1"/>
  <c r="CF874" i="1"/>
  <c r="BR874" i="1"/>
  <c r="BQ874" i="1"/>
  <c r="BP874" i="1"/>
  <c r="BO874" i="1"/>
  <c r="BN874" i="1"/>
  <c r="BM874" i="1"/>
  <c r="BL874" i="1"/>
  <c r="BK874" i="1"/>
  <c r="BJ874" i="1"/>
  <c r="BI874" i="1"/>
  <c r="BH874" i="1"/>
  <c r="BG874" i="1"/>
  <c r="AR874" i="1"/>
  <c r="AQ874" i="1"/>
  <c r="AP874" i="1"/>
  <c r="AO874" i="1"/>
  <c r="AN874" i="1"/>
  <c r="AM874" i="1"/>
  <c r="AL874" i="1"/>
  <c r="AK874" i="1"/>
  <c r="AJ874" i="1"/>
  <c r="AI874" i="1"/>
  <c r="AH874" i="1"/>
  <c r="AG874" i="1"/>
  <c r="AE874" i="1"/>
  <c r="AD874" i="1"/>
  <c r="O874" i="1"/>
  <c r="F874" i="1"/>
  <c r="B874" i="1"/>
  <c r="DE873" i="1"/>
  <c r="DD873" i="1"/>
  <c r="DC873" i="1"/>
  <c r="DB873" i="1"/>
  <c r="DA873" i="1"/>
  <c r="CZ873" i="1"/>
  <c r="CY873" i="1"/>
  <c r="CX873" i="1"/>
  <c r="CW873" i="1"/>
  <c r="CV873" i="1"/>
  <c r="CU873" i="1"/>
  <c r="CT873" i="1"/>
  <c r="CS873" i="1"/>
  <c r="CR873" i="1"/>
  <c r="CQ873" i="1"/>
  <c r="CP873" i="1"/>
  <c r="CO873" i="1"/>
  <c r="CN873" i="1"/>
  <c r="CM873" i="1"/>
  <c r="CL873" i="1"/>
  <c r="CK873" i="1"/>
  <c r="CJ873" i="1"/>
  <c r="CI873" i="1"/>
  <c r="CH873" i="1"/>
  <c r="CG873" i="1"/>
  <c r="CF873" i="1"/>
  <c r="BR873" i="1"/>
  <c r="BQ873" i="1"/>
  <c r="BP873" i="1"/>
  <c r="BO873" i="1"/>
  <c r="BN873" i="1"/>
  <c r="BM873" i="1"/>
  <c r="BL873" i="1"/>
  <c r="BK873" i="1"/>
  <c r="BJ873" i="1"/>
  <c r="BI873" i="1"/>
  <c r="BH873" i="1"/>
  <c r="BG873" i="1"/>
  <c r="BF873" i="1"/>
  <c r="BE873" i="1"/>
  <c r="AZ873" i="1"/>
  <c r="AU873" i="1"/>
  <c r="AR873" i="1"/>
  <c r="AQ873" i="1"/>
  <c r="AP873" i="1"/>
  <c r="AO873" i="1"/>
  <c r="AN873" i="1"/>
  <c r="AM873" i="1"/>
  <c r="AL873" i="1"/>
  <c r="AK873" i="1"/>
  <c r="AJ873" i="1"/>
  <c r="AI873" i="1"/>
  <c r="AH873" i="1"/>
  <c r="AG873" i="1"/>
  <c r="AF873" i="1"/>
  <c r="AE873" i="1"/>
  <c r="AD873" i="1"/>
  <c r="R873" i="1"/>
  <c r="Q873" i="1"/>
  <c r="DE872" i="1"/>
  <c r="DD872" i="1"/>
  <c r="DC872" i="1"/>
  <c r="DB872" i="1"/>
  <c r="DA872" i="1"/>
  <c r="CZ872" i="1"/>
  <c r="CY872" i="1"/>
  <c r="CX872" i="1"/>
  <c r="CW872" i="1"/>
  <c r="CV872" i="1"/>
  <c r="CU872" i="1"/>
  <c r="CT872" i="1"/>
  <c r="CS872" i="1"/>
  <c r="CR872" i="1"/>
  <c r="CQ872" i="1"/>
  <c r="CP872" i="1"/>
  <c r="CO872" i="1"/>
  <c r="CN872" i="1"/>
  <c r="CM872" i="1"/>
  <c r="CL872" i="1"/>
  <c r="CK872" i="1"/>
  <c r="CJ872" i="1"/>
  <c r="CI872" i="1"/>
  <c r="CH872" i="1"/>
  <c r="CG872" i="1"/>
  <c r="CF872" i="1"/>
  <c r="BR872" i="1"/>
  <c r="BQ872" i="1"/>
  <c r="BP872" i="1"/>
  <c r="BO872" i="1"/>
  <c r="BN872" i="1"/>
  <c r="BM872" i="1"/>
  <c r="BL872" i="1"/>
  <c r="BK872" i="1"/>
  <c r="BJ872" i="1"/>
  <c r="BI872" i="1"/>
  <c r="BH872" i="1"/>
  <c r="BF872" i="1"/>
  <c r="BD872" i="1"/>
  <c r="AY872" i="1"/>
  <c r="AS872" i="1"/>
  <c r="AR872" i="1"/>
  <c r="AQ872" i="1"/>
  <c r="AP872" i="1"/>
  <c r="AO872" i="1"/>
  <c r="AN872" i="1"/>
  <c r="AM872" i="1"/>
  <c r="AL872" i="1"/>
  <c r="AK872" i="1"/>
  <c r="AJ872" i="1"/>
  <c r="AI872" i="1"/>
  <c r="AH872" i="1"/>
  <c r="AF872" i="1"/>
  <c r="AE872" i="1"/>
  <c r="AD872" i="1"/>
  <c r="J872" i="1"/>
  <c r="DE871" i="1"/>
  <c r="DD871" i="1"/>
  <c r="DC871" i="1"/>
  <c r="DB871" i="1"/>
  <c r="DA871" i="1"/>
  <c r="CZ871" i="1"/>
  <c r="CY871" i="1"/>
  <c r="CX871" i="1"/>
  <c r="CW871" i="1"/>
  <c r="CV871" i="1"/>
  <c r="CU871" i="1"/>
  <c r="CT871" i="1"/>
  <c r="CS871" i="1"/>
  <c r="CR871" i="1"/>
  <c r="CQ871" i="1"/>
  <c r="CP871" i="1"/>
  <c r="CO871" i="1"/>
  <c r="CN871" i="1"/>
  <c r="CM871" i="1"/>
  <c r="CL871" i="1"/>
  <c r="CK871" i="1"/>
  <c r="CJ871" i="1"/>
  <c r="CI871" i="1"/>
  <c r="CH871" i="1"/>
  <c r="CG871" i="1"/>
  <c r="CF871" i="1"/>
  <c r="CD871" i="1"/>
  <c r="BX871" i="1"/>
  <c r="BS871" i="1"/>
  <c r="BR871" i="1"/>
  <c r="BQ871" i="1"/>
  <c r="BP871" i="1"/>
  <c r="BO871" i="1"/>
  <c r="BN871" i="1"/>
  <c r="BM871" i="1"/>
  <c r="BL871" i="1"/>
  <c r="BK871" i="1"/>
  <c r="BJ871" i="1"/>
  <c r="BI871" i="1"/>
  <c r="BH871" i="1"/>
  <c r="BG871" i="1"/>
  <c r="BB871" i="1"/>
  <c r="AV871" i="1"/>
  <c r="AR871" i="1"/>
  <c r="AQ871" i="1"/>
  <c r="AP871" i="1"/>
  <c r="AO871" i="1"/>
  <c r="AN871" i="1"/>
  <c r="AM871" i="1"/>
  <c r="AL871" i="1"/>
  <c r="AK871" i="1"/>
  <c r="AJ871" i="1"/>
  <c r="AI871" i="1"/>
  <c r="AH871" i="1"/>
  <c r="AG871" i="1"/>
  <c r="AE871" i="1"/>
  <c r="AD871" i="1"/>
  <c r="O871" i="1"/>
  <c r="F871" i="1"/>
  <c r="B871" i="1"/>
  <c r="DE870" i="1"/>
  <c r="DD870" i="1"/>
  <c r="DC870" i="1"/>
  <c r="DB870" i="1"/>
  <c r="DA870" i="1"/>
  <c r="CZ870" i="1"/>
  <c r="CY870" i="1"/>
  <c r="CX870" i="1"/>
  <c r="CW870" i="1"/>
  <c r="CV870" i="1"/>
  <c r="CU870" i="1"/>
  <c r="CT870" i="1"/>
  <c r="CS870" i="1"/>
  <c r="CR870" i="1"/>
  <c r="CQ870" i="1"/>
  <c r="CP870" i="1"/>
  <c r="CO870" i="1"/>
  <c r="CN870" i="1"/>
  <c r="CM870" i="1"/>
  <c r="CL870" i="1"/>
  <c r="CK870" i="1"/>
  <c r="CJ870" i="1"/>
  <c r="CI870" i="1"/>
  <c r="CH870" i="1"/>
  <c r="CG870" i="1"/>
  <c r="CF870" i="1"/>
  <c r="BR870" i="1"/>
  <c r="BQ870" i="1"/>
  <c r="BP870" i="1"/>
  <c r="BO870" i="1"/>
  <c r="BN870" i="1"/>
  <c r="BM870" i="1"/>
  <c r="BL870" i="1"/>
  <c r="BK870" i="1"/>
  <c r="BJ870" i="1"/>
  <c r="BI870" i="1"/>
  <c r="BH870" i="1"/>
  <c r="BG870" i="1"/>
  <c r="BF870" i="1"/>
  <c r="BC870" i="1"/>
  <c r="AX870" i="1"/>
  <c r="AR870" i="1"/>
  <c r="AQ870" i="1"/>
  <c r="AP870" i="1"/>
  <c r="AO870" i="1"/>
  <c r="AN870" i="1"/>
  <c r="AM870" i="1"/>
  <c r="AL870" i="1"/>
  <c r="AK870" i="1"/>
  <c r="AJ870" i="1"/>
  <c r="AI870" i="1"/>
  <c r="AH870" i="1"/>
  <c r="AG870" i="1"/>
  <c r="AF870" i="1"/>
  <c r="AE870" i="1"/>
  <c r="AD870" i="1"/>
  <c r="R870" i="1"/>
  <c r="Q870" i="1"/>
  <c r="DE869" i="1"/>
  <c r="DD869" i="1"/>
  <c r="DC869" i="1"/>
  <c r="DB869" i="1"/>
  <c r="DA869" i="1"/>
  <c r="CZ869" i="1"/>
  <c r="CY869" i="1"/>
  <c r="CX869" i="1"/>
  <c r="CW869" i="1"/>
  <c r="CV869" i="1"/>
  <c r="CU869" i="1"/>
  <c r="CT869" i="1"/>
  <c r="CS869" i="1"/>
  <c r="CR869" i="1"/>
  <c r="CQ869" i="1"/>
  <c r="CP869" i="1"/>
  <c r="CO869" i="1"/>
  <c r="CN869" i="1"/>
  <c r="CM869" i="1"/>
  <c r="CL869" i="1"/>
  <c r="CK869" i="1"/>
  <c r="CJ869" i="1"/>
  <c r="CI869" i="1"/>
  <c r="CH869" i="1"/>
  <c r="CG869" i="1"/>
  <c r="CF869" i="1"/>
  <c r="BR869" i="1"/>
  <c r="BP869" i="1"/>
  <c r="BO869" i="1"/>
  <c r="BN869" i="1"/>
  <c r="BM869" i="1"/>
  <c r="BL869" i="1"/>
  <c r="BK869" i="1"/>
  <c r="BJ869" i="1"/>
  <c r="BI869" i="1"/>
  <c r="BH869" i="1"/>
  <c r="BG869" i="1"/>
  <c r="BF869" i="1"/>
  <c r="BD869" i="1"/>
  <c r="AY869" i="1"/>
  <c r="AT869" i="1"/>
  <c r="AR869" i="1"/>
  <c r="AP869" i="1"/>
  <c r="AO869" i="1"/>
  <c r="AN869" i="1"/>
  <c r="AM869" i="1"/>
  <c r="AL869" i="1"/>
  <c r="AK869" i="1"/>
  <c r="AJ869" i="1"/>
  <c r="AI869" i="1"/>
  <c r="AH869" i="1"/>
  <c r="AG869" i="1"/>
  <c r="AF869" i="1"/>
  <c r="AE869" i="1"/>
  <c r="AD869" i="1"/>
  <c r="J869" i="1"/>
  <c r="DE868" i="1"/>
  <c r="DD868" i="1"/>
  <c r="DC868" i="1"/>
  <c r="DB868" i="1"/>
  <c r="DA868" i="1"/>
  <c r="CZ868" i="1"/>
  <c r="CY868" i="1"/>
  <c r="CX868" i="1"/>
  <c r="CW868" i="1"/>
  <c r="CV868" i="1"/>
  <c r="CU868" i="1"/>
  <c r="CT868" i="1"/>
  <c r="CS868" i="1"/>
  <c r="CR868" i="1"/>
  <c r="CQ868" i="1"/>
  <c r="CP868" i="1"/>
  <c r="CO868" i="1"/>
  <c r="CN868" i="1"/>
  <c r="CM868" i="1"/>
  <c r="CL868" i="1"/>
  <c r="CK868" i="1"/>
  <c r="CJ868" i="1"/>
  <c r="CI868" i="1"/>
  <c r="CH868" i="1"/>
  <c r="CG868" i="1"/>
  <c r="CF868" i="1"/>
  <c r="BY868" i="1"/>
  <c r="BS868" i="1"/>
  <c r="BR868" i="1"/>
  <c r="BQ868" i="1"/>
  <c r="BP868" i="1"/>
  <c r="BO868" i="1"/>
  <c r="BN868" i="1"/>
  <c r="BM868" i="1"/>
  <c r="BL868" i="1"/>
  <c r="BK868" i="1"/>
  <c r="BI868" i="1"/>
  <c r="BH868" i="1"/>
  <c r="BG868" i="1"/>
  <c r="BF868" i="1"/>
  <c r="BB868" i="1"/>
  <c r="AW868" i="1"/>
  <c r="AR868" i="1"/>
  <c r="AQ868" i="1"/>
  <c r="AP868" i="1"/>
  <c r="AO868" i="1"/>
  <c r="AN868" i="1"/>
  <c r="AM868" i="1"/>
  <c r="AL868" i="1"/>
  <c r="AK868" i="1"/>
  <c r="AI868" i="1"/>
  <c r="AH868" i="1"/>
  <c r="AG868" i="1"/>
  <c r="AF868" i="1"/>
  <c r="AE868" i="1"/>
  <c r="AD868" i="1"/>
  <c r="O868" i="1"/>
  <c r="F868" i="1"/>
  <c r="B868" i="1"/>
  <c r="DE867" i="1"/>
  <c r="DD867" i="1"/>
  <c r="DC867" i="1"/>
  <c r="DB867" i="1"/>
  <c r="DA867" i="1"/>
  <c r="CZ867" i="1"/>
  <c r="CY867" i="1"/>
  <c r="CX867" i="1"/>
  <c r="CW867" i="1"/>
  <c r="CV867" i="1"/>
  <c r="CU867" i="1"/>
  <c r="CT867" i="1"/>
  <c r="CS867" i="1"/>
  <c r="CR867" i="1"/>
  <c r="CQ867" i="1"/>
  <c r="CP867" i="1"/>
  <c r="CO867" i="1"/>
  <c r="CN867" i="1"/>
  <c r="CM867" i="1"/>
  <c r="CL867" i="1"/>
  <c r="CK867" i="1"/>
  <c r="CJ867" i="1"/>
  <c r="CI867" i="1"/>
  <c r="CH867" i="1"/>
  <c r="CG867" i="1"/>
  <c r="CF867" i="1"/>
  <c r="BR867" i="1"/>
  <c r="BQ867" i="1"/>
  <c r="BP867" i="1"/>
  <c r="BO867" i="1"/>
  <c r="BN867" i="1"/>
  <c r="BM867" i="1"/>
  <c r="BL867" i="1"/>
  <c r="BK867" i="1"/>
  <c r="BJ867" i="1"/>
  <c r="BI867" i="1"/>
  <c r="BH867" i="1"/>
  <c r="BG867" i="1"/>
  <c r="BE867" i="1"/>
  <c r="BC867" i="1"/>
  <c r="BB867" i="1"/>
  <c r="BA867" i="1"/>
  <c r="AY867" i="1"/>
  <c r="AX867" i="1"/>
  <c r="AW867" i="1"/>
  <c r="AU867" i="1"/>
  <c r="AT867" i="1"/>
  <c r="AS867" i="1"/>
  <c r="AR867" i="1"/>
  <c r="AQ867" i="1"/>
  <c r="AP867" i="1"/>
  <c r="AO867" i="1"/>
  <c r="AN867" i="1"/>
  <c r="AM867" i="1"/>
  <c r="AL867" i="1"/>
  <c r="AK867" i="1"/>
  <c r="AJ867" i="1"/>
  <c r="AI867" i="1"/>
  <c r="AH867" i="1"/>
  <c r="AG867" i="1"/>
  <c r="AE867" i="1"/>
  <c r="AD867" i="1"/>
  <c r="DE866" i="1"/>
  <c r="DD866" i="1"/>
  <c r="DC866" i="1"/>
  <c r="DB866" i="1"/>
  <c r="DA866" i="1"/>
  <c r="CZ866" i="1"/>
  <c r="CY866" i="1"/>
  <c r="CX866" i="1"/>
  <c r="CW866" i="1"/>
  <c r="CV866" i="1"/>
  <c r="CU866" i="1"/>
  <c r="CT866" i="1"/>
  <c r="CS866" i="1"/>
  <c r="CR866" i="1"/>
  <c r="CQ866" i="1"/>
  <c r="CP866" i="1"/>
  <c r="CO866" i="1"/>
  <c r="CN866" i="1"/>
  <c r="CM866" i="1"/>
  <c r="CL866" i="1"/>
  <c r="CK866" i="1"/>
  <c r="CJ866" i="1"/>
  <c r="CI866" i="1"/>
  <c r="CH866" i="1"/>
  <c r="CG866" i="1"/>
  <c r="CF866" i="1"/>
  <c r="BR866" i="1"/>
  <c r="BQ866" i="1"/>
  <c r="BP866" i="1"/>
  <c r="BO866" i="1"/>
  <c r="BN866" i="1"/>
  <c r="BM866" i="1"/>
  <c r="BL866" i="1"/>
  <c r="BK866" i="1"/>
  <c r="BJ866" i="1"/>
  <c r="BI866" i="1"/>
  <c r="BH866" i="1"/>
  <c r="BG866" i="1"/>
  <c r="BF866" i="1"/>
  <c r="BE866" i="1"/>
  <c r="BC866" i="1"/>
  <c r="BB866" i="1"/>
  <c r="BA866" i="1"/>
  <c r="AY866" i="1"/>
  <c r="AX866" i="1"/>
  <c r="AW866" i="1"/>
  <c r="AU866" i="1"/>
  <c r="AT866" i="1"/>
  <c r="AS866" i="1"/>
  <c r="AR866" i="1"/>
  <c r="AQ866" i="1"/>
  <c r="AP866" i="1"/>
  <c r="AO866" i="1"/>
  <c r="AN866" i="1"/>
  <c r="AM866" i="1"/>
  <c r="AL866" i="1"/>
  <c r="AK866" i="1"/>
  <c r="AJ866" i="1"/>
  <c r="AI866" i="1"/>
  <c r="AH866" i="1"/>
  <c r="AG866" i="1"/>
  <c r="AF866" i="1"/>
  <c r="AE866" i="1"/>
  <c r="O865" i="1" s="1"/>
  <c r="BG865" i="1" s="1"/>
  <c r="AD866" i="1"/>
  <c r="P866" i="1"/>
  <c r="O866" i="1"/>
  <c r="J866" i="1"/>
  <c r="DE865" i="1"/>
  <c r="DD865" i="1"/>
  <c r="DC865" i="1"/>
  <c r="DB865" i="1"/>
  <c r="DA865" i="1"/>
  <c r="CZ865" i="1"/>
  <c r="CY865" i="1"/>
  <c r="CX865" i="1"/>
  <c r="CW865" i="1"/>
  <c r="CV865" i="1"/>
  <c r="CU865" i="1"/>
  <c r="CT865" i="1"/>
  <c r="CS865" i="1"/>
  <c r="CR865" i="1"/>
  <c r="CQ865" i="1"/>
  <c r="CP865" i="1"/>
  <c r="CO865" i="1"/>
  <c r="CN865" i="1"/>
  <c r="CM865" i="1"/>
  <c r="CL865" i="1"/>
  <c r="CK865" i="1"/>
  <c r="CJ865" i="1"/>
  <c r="CI865" i="1"/>
  <c r="CH865" i="1"/>
  <c r="CG865" i="1"/>
  <c r="CF865" i="1"/>
  <c r="CD865" i="1"/>
  <c r="CC865" i="1"/>
  <c r="CB865" i="1"/>
  <c r="BZ865" i="1"/>
  <c r="BY865" i="1"/>
  <c r="BX865" i="1"/>
  <c r="BV865" i="1"/>
  <c r="BU865" i="1"/>
  <c r="BR865" i="1"/>
  <c r="BQ865" i="1"/>
  <c r="BP865" i="1"/>
  <c r="BO865" i="1"/>
  <c r="BN865" i="1"/>
  <c r="BM865" i="1"/>
  <c r="BL865" i="1"/>
  <c r="BK865" i="1"/>
  <c r="BJ865" i="1"/>
  <c r="BI865" i="1"/>
  <c r="BH865" i="1"/>
  <c r="BF865" i="1"/>
  <c r="BE865" i="1"/>
  <c r="BD865" i="1"/>
  <c r="BB865" i="1"/>
  <c r="BA865" i="1"/>
  <c r="AZ865" i="1"/>
  <c r="AX865" i="1"/>
  <c r="AW865" i="1"/>
  <c r="AV865" i="1"/>
  <c r="AT865" i="1"/>
  <c r="AS865" i="1"/>
  <c r="AR865" i="1"/>
  <c r="AQ865" i="1"/>
  <c r="AP865" i="1"/>
  <c r="AO865" i="1"/>
  <c r="AN865" i="1"/>
  <c r="AM865" i="1"/>
  <c r="AL865" i="1"/>
  <c r="AK865" i="1"/>
  <c r="AJ865" i="1"/>
  <c r="AI865" i="1"/>
  <c r="AH865" i="1"/>
  <c r="AG865" i="1"/>
  <c r="AF865" i="1"/>
  <c r="AE865" i="1"/>
  <c r="AD865" i="1"/>
  <c r="P865" i="1"/>
  <c r="F865" i="1"/>
  <c r="B865" i="1"/>
  <c r="BD867" i="1" s="1"/>
  <c r="DE864" i="1"/>
  <c r="DD864" i="1"/>
  <c r="DC864" i="1"/>
  <c r="DB864" i="1"/>
  <c r="DA864" i="1"/>
  <c r="CZ864" i="1"/>
  <c r="CY864" i="1"/>
  <c r="CX864" i="1"/>
  <c r="CW864" i="1"/>
  <c r="CV864" i="1"/>
  <c r="CU864" i="1"/>
  <c r="CT864" i="1"/>
  <c r="CS864" i="1"/>
  <c r="CR864" i="1"/>
  <c r="CQ864" i="1"/>
  <c r="CP864" i="1"/>
  <c r="CO864" i="1"/>
  <c r="CN864" i="1"/>
  <c r="CM864" i="1"/>
  <c r="CL864" i="1"/>
  <c r="CK864" i="1"/>
  <c r="CJ864" i="1"/>
  <c r="CI864" i="1"/>
  <c r="CH864" i="1"/>
  <c r="CG864" i="1"/>
  <c r="CF864" i="1"/>
  <c r="BR864" i="1"/>
  <c r="BQ864" i="1"/>
  <c r="BP864" i="1"/>
  <c r="BO864" i="1"/>
  <c r="BN864" i="1"/>
  <c r="BM864" i="1"/>
  <c r="BL864" i="1"/>
  <c r="BK864" i="1"/>
  <c r="BJ864" i="1"/>
  <c r="BI864" i="1"/>
  <c r="BH864" i="1"/>
  <c r="BG864" i="1"/>
  <c r="BF864" i="1"/>
  <c r="AW864" i="1"/>
  <c r="AR864" i="1"/>
  <c r="AQ864" i="1"/>
  <c r="AP864" i="1"/>
  <c r="AO864" i="1"/>
  <c r="AN864" i="1"/>
  <c r="AM864" i="1"/>
  <c r="AL864" i="1"/>
  <c r="AK864" i="1"/>
  <c r="AJ864" i="1"/>
  <c r="AI864" i="1"/>
  <c r="AH864" i="1"/>
  <c r="AG864" i="1"/>
  <c r="AF864" i="1"/>
  <c r="AE864" i="1"/>
  <c r="AD864" i="1"/>
  <c r="R864" i="1"/>
  <c r="Q864" i="1"/>
  <c r="DE863" i="1"/>
  <c r="DD863" i="1"/>
  <c r="DC863" i="1"/>
  <c r="DB863" i="1"/>
  <c r="DA863" i="1"/>
  <c r="CZ863" i="1"/>
  <c r="CY863" i="1"/>
  <c r="CX863" i="1"/>
  <c r="CW863" i="1"/>
  <c r="CV863" i="1"/>
  <c r="CU863" i="1"/>
  <c r="CT863" i="1"/>
  <c r="CS863" i="1"/>
  <c r="CR863" i="1"/>
  <c r="CQ863" i="1"/>
  <c r="CP863" i="1"/>
  <c r="CO863" i="1"/>
  <c r="CN863" i="1"/>
  <c r="CM863" i="1"/>
  <c r="CL863" i="1"/>
  <c r="CK863" i="1"/>
  <c r="CJ863" i="1"/>
  <c r="CI863" i="1"/>
  <c r="CH863" i="1"/>
  <c r="CG863" i="1"/>
  <c r="CF863" i="1"/>
  <c r="BR863" i="1"/>
  <c r="BQ863" i="1"/>
  <c r="BP863" i="1"/>
  <c r="BO863" i="1"/>
  <c r="BN863" i="1"/>
  <c r="BM863" i="1"/>
  <c r="BL863" i="1"/>
  <c r="BK863" i="1"/>
  <c r="BI863" i="1"/>
  <c r="BH863" i="1"/>
  <c r="BG863" i="1"/>
  <c r="BF863" i="1"/>
  <c r="BA863" i="1"/>
  <c r="AR863" i="1"/>
  <c r="AQ863" i="1"/>
  <c r="AP863" i="1"/>
  <c r="AO863" i="1"/>
  <c r="AN863" i="1"/>
  <c r="AM863" i="1"/>
  <c r="AL863" i="1"/>
  <c r="AK863" i="1"/>
  <c r="AI863" i="1"/>
  <c r="AH863" i="1"/>
  <c r="AG863" i="1"/>
  <c r="AF863" i="1"/>
  <c r="AE863" i="1"/>
  <c r="AD863" i="1"/>
  <c r="O863" i="1"/>
  <c r="P863" i="1" s="1"/>
  <c r="AJ863" i="1" s="1"/>
  <c r="DE862" i="1"/>
  <c r="DD862" i="1"/>
  <c r="DC862" i="1"/>
  <c r="DB862" i="1"/>
  <c r="DA862" i="1"/>
  <c r="CZ862" i="1"/>
  <c r="CY862" i="1"/>
  <c r="CX862" i="1"/>
  <c r="CW862" i="1"/>
  <c r="CV862" i="1"/>
  <c r="CU862" i="1"/>
  <c r="CT862" i="1"/>
  <c r="CS862" i="1"/>
  <c r="CR862" i="1"/>
  <c r="CQ862" i="1"/>
  <c r="CP862" i="1"/>
  <c r="CO862" i="1"/>
  <c r="CN862" i="1"/>
  <c r="CM862" i="1"/>
  <c r="CL862" i="1"/>
  <c r="CK862" i="1"/>
  <c r="CJ862" i="1"/>
  <c r="CI862" i="1"/>
  <c r="CH862" i="1"/>
  <c r="CG862" i="1"/>
  <c r="CF862" i="1"/>
  <c r="CE862" i="1"/>
  <c r="BT862" i="1"/>
  <c r="BR862" i="1"/>
  <c r="BQ862" i="1"/>
  <c r="BP862" i="1"/>
  <c r="BO862" i="1"/>
  <c r="BN862" i="1"/>
  <c r="BM862" i="1"/>
  <c r="BL862" i="1"/>
  <c r="BK862" i="1"/>
  <c r="BJ862" i="1"/>
  <c r="BI862" i="1"/>
  <c r="BH862" i="1"/>
  <c r="BF862" i="1"/>
  <c r="BC862" i="1"/>
  <c r="AX862" i="1"/>
  <c r="AR862" i="1"/>
  <c r="AQ862" i="1"/>
  <c r="AP862" i="1"/>
  <c r="AO862" i="1"/>
  <c r="AN862" i="1"/>
  <c r="AM862" i="1"/>
  <c r="AL862" i="1"/>
  <c r="AK862" i="1"/>
  <c r="AJ862" i="1"/>
  <c r="AI862" i="1"/>
  <c r="AH862" i="1"/>
  <c r="AF862" i="1"/>
  <c r="AE862" i="1"/>
  <c r="O864" i="1" s="1"/>
  <c r="P864" i="1" s="1"/>
  <c r="AD862" i="1"/>
  <c r="O862" i="1"/>
  <c r="G862" i="1"/>
  <c r="F862" i="1" s="1"/>
  <c r="B862" i="1"/>
  <c r="DE861" i="1"/>
  <c r="DD861" i="1"/>
  <c r="DC861" i="1"/>
  <c r="DB861" i="1"/>
  <c r="DA861" i="1"/>
  <c r="CZ861" i="1"/>
  <c r="CY861" i="1"/>
  <c r="CX861" i="1"/>
  <c r="CW861" i="1"/>
  <c r="CV861" i="1"/>
  <c r="CU861" i="1"/>
  <c r="CT861" i="1"/>
  <c r="CS861" i="1"/>
  <c r="CR861" i="1"/>
  <c r="CQ861" i="1"/>
  <c r="CP861" i="1"/>
  <c r="CO861" i="1"/>
  <c r="CN861" i="1"/>
  <c r="CM861" i="1"/>
  <c r="CL861" i="1"/>
  <c r="CK861" i="1"/>
  <c r="CJ861" i="1"/>
  <c r="CI861" i="1"/>
  <c r="CH861" i="1"/>
  <c r="CG861" i="1"/>
  <c r="CF861" i="1"/>
  <c r="BR861" i="1"/>
  <c r="BQ861" i="1"/>
  <c r="BP861" i="1"/>
  <c r="BO861" i="1"/>
  <c r="BN861" i="1"/>
  <c r="BM861" i="1"/>
  <c r="BL861" i="1"/>
  <c r="BK861" i="1"/>
  <c r="BJ861" i="1"/>
  <c r="BI861" i="1"/>
  <c r="BH861" i="1"/>
  <c r="BG861" i="1"/>
  <c r="BF861" i="1"/>
  <c r="BE861" i="1"/>
  <c r="BA861" i="1"/>
  <c r="AZ861" i="1"/>
  <c r="AY861" i="1"/>
  <c r="AU861" i="1"/>
  <c r="AS861" i="1"/>
  <c r="AR861" i="1"/>
  <c r="AQ861" i="1"/>
  <c r="AP861" i="1"/>
  <c r="AO861" i="1"/>
  <c r="AN861" i="1"/>
  <c r="AM861" i="1"/>
  <c r="AL861" i="1"/>
  <c r="AK861" i="1"/>
  <c r="AJ861" i="1"/>
  <c r="AI861" i="1"/>
  <c r="AH861" i="1"/>
  <c r="AG861" i="1"/>
  <c r="AF861" i="1"/>
  <c r="AE861" i="1"/>
  <c r="AD861" i="1"/>
  <c r="R861" i="1"/>
  <c r="Q861" i="1"/>
  <c r="DE860" i="1"/>
  <c r="DD860" i="1"/>
  <c r="DC860" i="1"/>
  <c r="DB860" i="1"/>
  <c r="DA860" i="1"/>
  <c r="CZ860" i="1"/>
  <c r="CY860" i="1"/>
  <c r="CX860" i="1"/>
  <c r="CW860" i="1"/>
  <c r="CV860" i="1"/>
  <c r="CU860" i="1"/>
  <c r="CT860" i="1"/>
  <c r="CS860" i="1"/>
  <c r="CR860" i="1"/>
  <c r="CQ860" i="1"/>
  <c r="CP860" i="1"/>
  <c r="CO860" i="1"/>
  <c r="CN860" i="1"/>
  <c r="CM860" i="1"/>
  <c r="CL860" i="1"/>
  <c r="CK860" i="1"/>
  <c r="CJ860" i="1"/>
  <c r="CI860" i="1"/>
  <c r="CH860" i="1"/>
  <c r="CG860" i="1"/>
  <c r="CF860" i="1"/>
  <c r="BR860" i="1"/>
  <c r="BQ860" i="1"/>
  <c r="BP860" i="1"/>
  <c r="BO860" i="1"/>
  <c r="BN860" i="1"/>
  <c r="BM860" i="1"/>
  <c r="BL860" i="1"/>
  <c r="BK860" i="1"/>
  <c r="BI860" i="1"/>
  <c r="BH860" i="1"/>
  <c r="BG860" i="1"/>
  <c r="BF860" i="1"/>
  <c r="BD860" i="1"/>
  <c r="BC860" i="1"/>
  <c r="AY860" i="1"/>
  <c r="AW860" i="1"/>
  <c r="AV860" i="1"/>
  <c r="AR860" i="1"/>
  <c r="AQ860" i="1"/>
  <c r="AP860" i="1"/>
  <c r="AO860" i="1"/>
  <c r="AN860" i="1"/>
  <c r="AM860" i="1"/>
  <c r="AL860" i="1"/>
  <c r="AK860" i="1"/>
  <c r="AI860" i="1"/>
  <c r="AH860" i="1"/>
  <c r="AG860" i="1"/>
  <c r="AF860" i="1"/>
  <c r="AE860" i="1"/>
  <c r="O859" i="1" s="1"/>
  <c r="AD860" i="1"/>
  <c r="J860" i="1"/>
  <c r="DE859" i="1"/>
  <c r="DD859" i="1"/>
  <c r="DC859" i="1"/>
  <c r="DB859" i="1"/>
  <c r="DA859" i="1"/>
  <c r="CZ859" i="1"/>
  <c r="CY859" i="1"/>
  <c r="CX859" i="1"/>
  <c r="CW859" i="1"/>
  <c r="CV859" i="1"/>
  <c r="CU859" i="1"/>
  <c r="CT859" i="1"/>
  <c r="CS859" i="1"/>
  <c r="CR859" i="1"/>
  <c r="CQ859" i="1"/>
  <c r="CP859" i="1"/>
  <c r="CO859" i="1"/>
  <c r="CN859" i="1"/>
  <c r="CM859" i="1"/>
  <c r="CL859" i="1"/>
  <c r="CK859" i="1"/>
  <c r="CJ859" i="1"/>
  <c r="CI859" i="1"/>
  <c r="CH859" i="1"/>
  <c r="CG859" i="1"/>
  <c r="CF859" i="1"/>
  <c r="CD859" i="1"/>
  <c r="CB859" i="1"/>
  <c r="BX859" i="1"/>
  <c r="BV859" i="1"/>
  <c r="BR859" i="1"/>
  <c r="BQ859" i="1"/>
  <c r="BP859" i="1"/>
  <c r="BO859" i="1"/>
  <c r="BN859" i="1"/>
  <c r="BL859" i="1"/>
  <c r="BK859" i="1"/>
  <c r="BJ859" i="1"/>
  <c r="BI859" i="1"/>
  <c r="BH859" i="1"/>
  <c r="BG859" i="1"/>
  <c r="BF859" i="1"/>
  <c r="BD859" i="1"/>
  <c r="BC859" i="1"/>
  <c r="AZ859" i="1"/>
  <c r="AX859" i="1"/>
  <c r="AU859" i="1"/>
  <c r="AT859" i="1"/>
  <c r="AR859" i="1"/>
  <c r="AQ859" i="1"/>
  <c r="AP859" i="1"/>
  <c r="AO859" i="1"/>
  <c r="AN859" i="1"/>
  <c r="AL859" i="1"/>
  <c r="AK859" i="1"/>
  <c r="AJ859" i="1"/>
  <c r="AI859" i="1"/>
  <c r="AH859" i="1"/>
  <c r="AG859" i="1"/>
  <c r="AF859" i="1"/>
  <c r="AE859" i="1"/>
  <c r="AD859" i="1"/>
  <c r="F859" i="1"/>
  <c r="D859" i="1"/>
  <c r="B859" i="1"/>
  <c r="DE858" i="1"/>
  <c r="DD858" i="1"/>
  <c r="DC858" i="1"/>
  <c r="DB858" i="1"/>
  <c r="DA858" i="1"/>
  <c r="CZ858" i="1"/>
  <c r="CY858" i="1"/>
  <c r="CX858" i="1"/>
  <c r="CW858" i="1"/>
  <c r="CV858" i="1"/>
  <c r="CU858" i="1"/>
  <c r="CT858" i="1"/>
  <c r="CS858" i="1"/>
  <c r="CR858" i="1"/>
  <c r="CQ858" i="1"/>
  <c r="CP858" i="1"/>
  <c r="CO858" i="1"/>
  <c r="CN858" i="1"/>
  <c r="CM858" i="1"/>
  <c r="CL858" i="1"/>
  <c r="CK858" i="1"/>
  <c r="CJ858" i="1"/>
  <c r="CI858" i="1"/>
  <c r="CH858" i="1"/>
  <c r="CG858" i="1"/>
  <c r="CF858" i="1"/>
  <c r="BR858" i="1"/>
  <c r="BQ858" i="1"/>
  <c r="BP858" i="1"/>
  <c r="BO858" i="1"/>
  <c r="BN858" i="1"/>
  <c r="BM858" i="1"/>
  <c r="BL858" i="1"/>
  <c r="BK858" i="1"/>
  <c r="BI858" i="1"/>
  <c r="BH858" i="1"/>
  <c r="BG858" i="1"/>
  <c r="BF858" i="1"/>
  <c r="BD858" i="1"/>
  <c r="AV858" i="1"/>
  <c r="AR858" i="1"/>
  <c r="AQ858" i="1"/>
  <c r="AP858" i="1"/>
  <c r="AO858" i="1"/>
  <c r="AN858" i="1"/>
  <c r="AM858" i="1"/>
  <c r="AL858" i="1"/>
  <c r="AK858" i="1"/>
  <c r="AI858" i="1"/>
  <c r="AH858" i="1"/>
  <c r="AG858" i="1"/>
  <c r="AF858" i="1"/>
  <c r="AE858" i="1"/>
  <c r="AD858" i="1"/>
  <c r="DE857" i="1"/>
  <c r="DD857" i="1"/>
  <c r="DC857" i="1"/>
  <c r="DB857" i="1"/>
  <c r="DA857" i="1"/>
  <c r="CZ857" i="1"/>
  <c r="CY857" i="1"/>
  <c r="CX857" i="1"/>
  <c r="CW857" i="1"/>
  <c r="CV857" i="1"/>
  <c r="CU857" i="1"/>
  <c r="CT857" i="1"/>
  <c r="CS857" i="1"/>
  <c r="CR857" i="1"/>
  <c r="CQ857" i="1"/>
  <c r="CP857" i="1"/>
  <c r="CO857" i="1"/>
  <c r="CN857" i="1"/>
  <c r="CM857" i="1"/>
  <c r="CL857" i="1"/>
  <c r="CK857" i="1"/>
  <c r="CJ857" i="1"/>
  <c r="CI857" i="1"/>
  <c r="CH857" i="1"/>
  <c r="CG857" i="1"/>
  <c r="CF857" i="1"/>
  <c r="BR857" i="1"/>
  <c r="BQ857" i="1"/>
  <c r="BP857" i="1"/>
  <c r="BO857" i="1"/>
  <c r="BN857" i="1"/>
  <c r="BM857" i="1"/>
  <c r="BL857" i="1"/>
  <c r="BK857" i="1"/>
  <c r="BI857" i="1"/>
  <c r="BH857" i="1"/>
  <c r="BG857" i="1"/>
  <c r="BF857" i="1"/>
  <c r="BC857" i="1"/>
  <c r="AV857" i="1"/>
  <c r="AR857" i="1"/>
  <c r="AQ857" i="1"/>
  <c r="AP857" i="1"/>
  <c r="AO857" i="1"/>
  <c r="AN857" i="1"/>
  <c r="AM857" i="1"/>
  <c r="AL857" i="1"/>
  <c r="AK857" i="1"/>
  <c r="AI857" i="1"/>
  <c r="AH857" i="1"/>
  <c r="AG857" i="1"/>
  <c r="AF857" i="1"/>
  <c r="AE857" i="1"/>
  <c r="AD857" i="1"/>
  <c r="J857" i="1"/>
  <c r="DJ856" i="1"/>
  <c r="DE856" i="1"/>
  <c r="DD856" i="1"/>
  <c r="DC856" i="1"/>
  <c r="DB856" i="1"/>
  <c r="DA856" i="1"/>
  <c r="CZ856" i="1"/>
  <c r="CY856" i="1"/>
  <c r="CX856" i="1"/>
  <c r="CW856" i="1"/>
  <c r="CV856" i="1"/>
  <c r="CU856" i="1"/>
  <c r="CT856" i="1"/>
  <c r="CS856" i="1"/>
  <c r="CR856" i="1"/>
  <c r="CQ856" i="1"/>
  <c r="CP856" i="1"/>
  <c r="CO856" i="1"/>
  <c r="CN856" i="1"/>
  <c r="CM856" i="1"/>
  <c r="CL856" i="1"/>
  <c r="CK856" i="1"/>
  <c r="CJ856" i="1"/>
  <c r="CI856" i="1"/>
  <c r="CH856" i="1"/>
  <c r="CG856" i="1"/>
  <c r="CF856" i="1"/>
  <c r="BZ856" i="1"/>
  <c r="BR856" i="1"/>
  <c r="BP856" i="1"/>
  <c r="BO856" i="1"/>
  <c r="BN856" i="1"/>
  <c r="BM856" i="1"/>
  <c r="BL856" i="1"/>
  <c r="BK856" i="1"/>
  <c r="BJ856" i="1"/>
  <c r="BI856" i="1"/>
  <c r="BH856" i="1"/>
  <c r="BG856" i="1"/>
  <c r="BF856" i="1"/>
  <c r="AY856" i="1"/>
  <c r="AS856" i="1"/>
  <c r="AR856" i="1"/>
  <c r="AP856" i="1"/>
  <c r="AO856" i="1"/>
  <c r="AN856" i="1"/>
  <c r="AM856" i="1"/>
  <c r="AL856" i="1"/>
  <c r="AK856" i="1"/>
  <c r="AJ856" i="1"/>
  <c r="AI856" i="1"/>
  <c r="AH856" i="1"/>
  <c r="AG856" i="1"/>
  <c r="AF856" i="1"/>
  <c r="AE856" i="1"/>
  <c r="O858" i="1" s="1"/>
  <c r="AD856" i="1"/>
  <c r="O856" i="1"/>
  <c r="P856" i="1" s="1"/>
  <c r="F856" i="1"/>
  <c r="D856" i="1"/>
  <c r="DJ858" i="1" s="1"/>
  <c r="B856" i="1"/>
  <c r="DJ855" i="1"/>
  <c r="DE855" i="1"/>
  <c r="DD855" i="1"/>
  <c r="DC855" i="1"/>
  <c r="DB855" i="1"/>
  <c r="DA855" i="1"/>
  <c r="CZ855" i="1"/>
  <c r="CY855" i="1"/>
  <c r="CX855" i="1"/>
  <c r="CW855" i="1"/>
  <c r="CV855" i="1"/>
  <c r="CU855" i="1"/>
  <c r="CT855" i="1"/>
  <c r="CS855" i="1"/>
  <c r="CR855" i="1"/>
  <c r="CQ855" i="1"/>
  <c r="CP855" i="1"/>
  <c r="CO855" i="1"/>
  <c r="CN855" i="1"/>
  <c r="CM855" i="1"/>
  <c r="CL855" i="1"/>
  <c r="CK855" i="1"/>
  <c r="CJ855" i="1"/>
  <c r="CI855" i="1"/>
  <c r="CH855" i="1"/>
  <c r="CG855" i="1"/>
  <c r="CF855" i="1"/>
  <c r="BR855" i="1"/>
  <c r="BQ855" i="1"/>
  <c r="BP855" i="1"/>
  <c r="BO855" i="1"/>
  <c r="BN855" i="1"/>
  <c r="BM855" i="1"/>
  <c r="BL855" i="1"/>
  <c r="BK855" i="1"/>
  <c r="BJ855" i="1"/>
  <c r="BI855" i="1"/>
  <c r="BH855" i="1"/>
  <c r="BG855" i="1"/>
  <c r="BF855" i="1"/>
  <c r="BE855" i="1"/>
  <c r="BC855" i="1"/>
  <c r="BA855" i="1"/>
  <c r="AY855" i="1"/>
  <c r="AX855" i="1"/>
  <c r="AU855" i="1"/>
  <c r="AT855" i="1"/>
  <c r="AS855" i="1"/>
  <c r="AR855" i="1"/>
  <c r="AQ855" i="1"/>
  <c r="AP855" i="1"/>
  <c r="AO855" i="1"/>
  <c r="AN855" i="1"/>
  <c r="AM855" i="1"/>
  <c r="AL855" i="1"/>
  <c r="AK855" i="1"/>
  <c r="AJ855" i="1"/>
  <c r="AI855" i="1"/>
  <c r="AH855" i="1"/>
  <c r="AG855" i="1"/>
  <c r="AF855" i="1"/>
  <c r="AE855" i="1"/>
  <c r="AD855" i="1"/>
  <c r="R855" i="1"/>
  <c r="Q855" i="1"/>
  <c r="DJ854" i="1"/>
  <c r="DE854" i="1"/>
  <c r="DD854" i="1"/>
  <c r="DC854" i="1"/>
  <c r="DB854" i="1"/>
  <c r="DA854" i="1"/>
  <c r="CZ854" i="1"/>
  <c r="CY854" i="1"/>
  <c r="CX854" i="1"/>
  <c r="CW854" i="1"/>
  <c r="CV854" i="1"/>
  <c r="CU854" i="1"/>
  <c r="CT854" i="1"/>
  <c r="CS854" i="1"/>
  <c r="CR854" i="1"/>
  <c r="CQ854" i="1"/>
  <c r="CP854" i="1"/>
  <c r="CO854" i="1"/>
  <c r="CN854" i="1"/>
  <c r="CM854" i="1"/>
  <c r="CL854" i="1"/>
  <c r="CK854" i="1"/>
  <c r="CJ854" i="1"/>
  <c r="CI854" i="1"/>
  <c r="CH854" i="1"/>
  <c r="CG854" i="1"/>
  <c r="CF854" i="1"/>
  <c r="BR854" i="1"/>
  <c r="BP854" i="1"/>
  <c r="BO854" i="1"/>
  <c r="BN854" i="1"/>
  <c r="BM854" i="1"/>
  <c r="BL854" i="1"/>
  <c r="BK854" i="1"/>
  <c r="BJ854" i="1"/>
  <c r="BI854" i="1"/>
  <c r="BH854" i="1"/>
  <c r="BG854" i="1"/>
  <c r="BF854" i="1"/>
  <c r="BE854" i="1"/>
  <c r="BC854" i="1"/>
  <c r="BA854" i="1"/>
  <c r="AY854" i="1"/>
  <c r="AX854" i="1"/>
  <c r="AU854" i="1"/>
  <c r="AT854" i="1"/>
  <c r="AS854" i="1"/>
  <c r="AR854" i="1"/>
  <c r="AP854" i="1"/>
  <c r="AO854" i="1"/>
  <c r="AN854" i="1"/>
  <c r="AM854" i="1"/>
  <c r="AL854" i="1"/>
  <c r="AK854" i="1"/>
  <c r="AJ854" i="1"/>
  <c r="AI854" i="1"/>
  <c r="AH854" i="1"/>
  <c r="AG854" i="1"/>
  <c r="AF854" i="1"/>
  <c r="AE854" i="1"/>
  <c r="O853" i="1" s="1"/>
  <c r="AM853" i="1" s="1"/>
  <c r="AD854" i="1"/>
  <c r="O854" i="1"/>
  <c r="P854" i="1" s="1"/>
  <c r="AQ854" i="1" s="1"/>
  <c r="J854" i="1"/>
  <c r="DJ853" i="1"/>
  <c r="DE853" i="1"/>
  <c r="DD853" i="1"/>
  <c r="DC853" i="1"/>
  <c r="DB853" i="1"/>
  <c r="DA853" i="1"/>
  <c r="CZ853" i="1"/>
  <c r="CY853" i="1"/>
  <c r="CX853" i="1"/>
  <c r="CW853" i="1"/>
  <c r="CV853" i="1"/>
  <c r="CU853" i="1"/>
  <c r="CT853" i="1"/>
  <c r="CS853" i="1"/>
  <c r="CR853" i="1"/>
  <c r="CQ853" i="1"/>
  <c r="CP853" i="1"/>
  <c r="CO853" i="1"/>
  <c r="CN853" i="1"/>
  <c r="CM853" i="1"/>
  <c r="CL853" i="1"/>
  <c r="CK853" i="1"/>
  <c r="CJ853" i="1"/>
  <c r="CI853" i="1"/>
  <c r="CH853" i="1"/>
  <c r="CG853" i="1"/>
  <c r="CF853" i="1"/>
  <c r="CC853" i="1"/>
  <c r="CB853" i="1"/>
  <c r="BY853" i="1"/>
  <c r="BX853" i="1"/>
  <c r="BV853" i="1"/>
  <c r="BT853" i="1"/>
  <c r="BR853" i="1"/>
  <c r="BQ853" i="1"/>
  <c r="BP853" i="1"/>
  <c r="BO853" i="1"/>
  <c r="BN853" i="1"/>
  <c r="BM853" i="1"/>
  <c r="BL853" i="1"/>
  <c r="BK853" i="1"/>
  <c r="BJ853" i="1"/>
  <c r="BI853" i="1"/>
  <c r="BH853" i="1"/>
  <c r="BG853" i="1"/>
  <c r="BF853" i="1"/>
  <c r="BE853" i="1"/>
  <c r="BB853" i="1"/>
  <c r="BA853" i="1"/>
  <c r="AZ853" i="1"/>
  <c r="AW853" i="1"/>
  <c r="AV853" i="1"/>
  <c r="AT853" i="1"/>
  <c r="AR853" i="1"/>
  <c r="AQ853" i="1"/>
  <c r="AP853" i="1"/>
  <c r="AO853" i="1"/>
  <c r="AN853" i="1"/>
  <c r="AL853" i="1"/>
  <c r="AK853" i="1"/>
  <c r="AJ853" i="1"/>
  <c r="AI853" i="1"/>
  <c r="AH853" i="1"/>
  <c r="AG853" i="1"/>
  <c r="AF853" i="1"/>
  <c r="AE853" i="1"/>
  <c r="AD853" i="1"/>
  <c r="P853" i="1"/>
  <c r="F853" i="1"/>
  <c r="B853" i="1"/>
  <c r="DE852" i="1"/>
  <c r="DD852" i="1"/>
  <c r="DC852" i="1"/>
  <c r="DB852" i="1"/>
  <c r="DA852" i="1"/>
  <c r="CZ852" i="1"/>
  <c r="CY852" i="1"/>
  <c r="CX852" i="1"/>
  <c r="CW852" i="1"/>
  <c r="CV852" i="1"/>
  <c r="CU852" i="1"/>
  <c r="CT852" i="1"/>
  <c r="CS852" i="1"/>
  <c r="CR852" i="1"/>
  <c r="CQ852" i="1"/>
  <c r="CP852" i="1"/>
  <c r="CO852" i="1"/>
  <c r="CN852" i="1"/>
  <c r="CM852" i="1"/>
  <c r="CL852" i="1"/>
  <c r="CK852" i="1"/>
  <c r="CJ852" i="1"/>
  <c r="CI852" i="1"/>
  <c r="CH852" i="1"/>
  <c r="CG852" i="1"/>
  <c r="CF852" i="1"/>
  <c r="BR852" i="1"/>
  <c r="BP852" i="1"/>
  <c r="BO852" i="1"/>
  <c r="BN852" i="1"/>
  <c r="BM852" i="1"/>
  <c r="BL852" i="1"/>
  <c r="BK852" i="1"/>
  <c r="BJ852" i="1"/>
  <c r="BI852" i="1"/>
  <c r="BH852" i="1"/>
  <c r="BG852" i="1"/>
  <c r="BF852" i="1"/>
  <c r="BD852" i="1"/>
  <c r="AY852" i="1"/>
  <c r="AW852" i="1"/>
  <c r="AR852" i="1"/>
  <c r="AP852" i="1"/>
  <c r="AO852" i="1"/>
  <c r="AN852" i="1"/>
  <c r="AM852" i="1"/>
  <c r="AL852" i="1"/>
  <c r="AK852" i="1"/>
  <c r="AJ852" i="1"/>
  <c r="AI852" i="1"/>
  <c r="AH852" i="1"/>
  <c r="AG852" i="1"/>
  <c r="AF852" i="1"/>
  <c r="AE852" i="1"/>
  <c r="AD852" i="1"/>
  <c r="DE851" i="1"/>
  <c r="DD851" i="1"/>
  <c r="DC851" i="1"/>
  <c r="DB851" i="1"/>
  <c r="DA851" i="1"/>
  <c r="CZ851" i="1"/>
  <c r="CY851" i="1"/>
  <c r="CX851" i="1"/>
  <c r="CW851" i="1"/>
  <c r="CV851" i="1"/>
  <c r="CU851" i="1"/>
  <c r="CT851" i="1"/>
  <c r="CS851" i="1"/>
  <c r="CR851" i="1"/>
  <c r="CQ851" i="1"/>
  <c r="CP851" i="1"/>
  <c r="CO851" i="1"/>
  <c r="CN851" i="1"/>
  <c r="CM851" i="1"/>
  <c r="CL851" i="1"/>
  <c r="CK851" i="1"/>
  <c r="CJ851" i="1"/>
  <c r="CI851" i="1"/>
  <c r="CH851" i="1"/>
  <c r="CG851" i="1"/>
  <c r="CF851" i="1"/>
  <c r="BR851" i="1"/>
  <c r="BQ851" i="1"/>
  <c r="BP851" i="1"/>
  <c r="BO851" i="1"/>
  <c r="BN851" i="1"/>
  <c r="BM851" i="1"/>
  <c r="BL851" i="1"/>
  <c r="BK851" i="1"/>
  <c r="BJ851" i="1"/>
  <c r="BH851" i="1"/>
  <c r="BG851" i="1"/>
  <c r="BF851" i="1"/>
  <c r="BE851" i="1"/>
  <c r="BC851" i="1"/>
  <c r="AW851" i="1"/>
  <c r="AV851" i="1"/>
  <c r="AR851" i="1"/>
  <c r="AQ851" i="1"/>
  <c r="AP851" i="1"/>
  <c r="AO851" i="1"/>
  <c r="AN851" i="1"/>
  <c r="AM851" i="1"/>
  <c r="AL851" i="1"/>
  <c r="AK851" i="1"/>
  <c r="AJ851" i="1"/>
  <c r="AH851" i="1"/>
  <c r="AG851" i="1"/>
  <c r="AF851" i="1"/>
  <c r="AE851" i="1"/>
  <c r="O850" i="1" s="1"/>
  <c r="P850" i="1" s="1"/>
  <c r="AD851" i="1"/>
  <c r="J851" i="1"/>
  <c r="DE850" i="1"/>
  <c r="DD850" i="1"/>
  <c r="DC850" i="1"/>
  <c r="DB850" i="1"/>
  <c r="DA850" i="1"/>
  <c r="CZ850" i="1"/>
  <c r="CY850" i="1"/>
  <c r="CX850" i="1"/>
  <c r="CW850" i="1"/>
  <c r="CV850" i="1"/>
  <c r="CU850" i="1"/>
  <c r="CT850" i="1"/>
  <c r="CS850" i="1"/>
  <c r="CR850" i="1"/>
  <c r="CQ850" i="1"/>
  <c r="CP850" i="1"/>
  <c r="CO850" i="1"/>
  <c r="CN850" i="1"/>
  <c r="CM850" i="1"/>
  <c r="CL850" i="1"/>
  <c r="CK850" i="1"/>
  <c r="CJ850" i="1"/>
  <c r="CI850" i="1"/>
  <c r="CH850" i="1"/>
  <c r="CG850" i="1"/>
  <c r="CF850" i="1"/>
  <c r="CA850" i="1"/>
  <c r="BZ850" i="1"/>
  <c r="BT850" i="1"/>
  <c r="BR850" i="1"/>
  <c r="BQ850" i="1"/>
  <c r="BP850" i="1"/>
  <c r="BO850" i="1"/>
  <c r="BN850" i="1"/>
  <c r="BM850" i="1"/>
  <c r="BL850" i="1"/>
  <c r="BK850" i="1"/>
  <c r="BJ850" i="1"/>
  <c r="BI850" i="1"/>
  <c r="BH850" i="1"/>
  <c r="BG850" i="1"/>
  <c r="BF850" i="1"/>
  <c r="AZ850" i="1"/>
  <c r="AY850" i="1"/>
  <c r="AT850" i="1"/>
  <c r="AR850" i="1"/>
  <c r="AQ850" i="1"/>
  <c r="AP850" i="1"/>
  <c r="AO850" i="1"/>
  <c r="AN850" i="1"/>
  <c r="AM850" i="1"/>
  <c r="AL850" i="1"/>
  <c r="AK850" i="1"/>
  <c r="AI850" i="1"/>
  <c r="AH850" i="1"/>
  <c r="AG850" i="1"/>
  <c r="AF850" i="1"/>
  <c r="AE850" i="1"/>
  <c r="AD850" i="1"/>
  <c r="F850" i="1"/>
  <c r="B850" i="1"/>
  <c r="BA852" i="1" s="1"/>
  <c r="DE849" i="1"/>
  <c r="DD849" i="1"/>
  <c r="DC849" i="1"/>
  <c r="DB849" i="1"/>
  <c r="DA849" i="1"/>
  <c r="CZ849" i="1"/>
  <c r="CY849" i="1"/>
  <c r="CX849" i="1"/>
  <c r="CW849" i="1"/>
  <c r="CV849" i="1"/>
  <c r="CU849" i="1"/>
  <c r="CT849" i="1"/>
  <c r="CS849" i="1"/>
  <c r="CR849" i="1"/>
  <c r="CQ849" i="1"/>
  <c r="CP849" i="1"/>
  <c r="CO849" i="1"/>
  <c r="CN849" i="1"/>
  <c r="CM849" i="1"/>
  <c r="CL849" i="1"/>
  <c r="CK849" i="1"/>
  <c r="CJ849" i="1"/>
  <c r="CI849" i="1"/>
  <c r="CH849" i="1"/>
  <c r="CG849" i="1"/>
  <c r="CF849" i="1"/>
  <c r="BR849" i="1"/>
  <c r="BQ849" i="1"/>
  <c r="BP849" i="1"/>
  <c r="BO849" i="1"/>
  <c r="BN849" i="1"/>
  <c r="BM849" i="1"/>
  <c r="BL849" i="1"/>
  <c r="BK849" i="1"/>
  <c r="BJ849" i="1"/>
  <c r="BI849" i="1"/>
  <c r="BH849" i="1"/>
  <c r="BG849" i="1"/>
  <c r="BF849" i="1"/>
  <c r="BD849" i="1"/>
  <c r="AZ849" i="1"/>
  <c r="AY849" i="1"/>
  <c r="AU849" i="1"/>
  <c r="AT849" i="1"/>
  <c r="AR849" i="1"/>
  <c r="AQ849" i="1"/>
  <c r="AP849" i="1"/>
  <c r="AO849" i="1"/>
  <c r="AN849" i="1"/>
  <c r="AM849" i="1"/>
  <c r="AL849" i="1"/>
  <c r="AK849" i="1"/>
  <c r="AJ849" i="1"/>
  <c r="AI849" i="1"/>
  <c r="AH849" i="1"/>
  <c r="AG849" i="1"/>
  <c r="AF849" i="1"/>
  <c r="AE849" i="1"/>
  <c r="AD849" i="1"/>
  <c r="R849" i="1"/>
  <c r="Q849" i="1"/>
  <c r="DE848" i="1"/>
  <c r="DD848" i="1"/>
  <c r="DC848" i="1"/>
  <c r="DB848" i="1"/>
  <c r="DA848" i="1"/>
  <c r="CZ848" i="1"/>
  <c r="CY848" i="1"/>
  <c r="CX848" i="1"/>
  <c r="CW848" i="1"/>
  <c r="CV848" i="1"/>
  <c r="CU848" i="1"/>
  <c r="CT848" i="1"/>
  <c r="CS848" i="1"/>
  <c r="CR848" i="1"/>
  <c r="CQ848" i="1"/>
  <c r="CP848" i="1"/>
  <c r="CO848" i="1"/>
  <c r="CN848" i="1"/>
  <c r="CM848" i="1"/>
  <c r="CL848" i="1"/>
  <c r="CK848" i="1"/>
  <c r="CJ848" i="1"/>
  <c r="CI848" i="1"/>
  <c r="CH848" i="1"/>
  <c r="CG848" i="1"/>
  <c r="CF848" i="1"/>
  <c r="BR848" i="1"/>
  <c r="BQ848" i="1"/>
  <c r="BP848" i="1"/>
  <c r="BO848" i="1"/>
  <c r="BN848" i="1"/>
  <c r="BM848" i="1"/>
  <c r="BL848" i="1"/>
  <c r="BK848" i="1"/>
  <c r="BI848" i="1"/>
  <c r="BH848" i="1"/>
  <c r="BG848" i="1"/>
  <c r="BF848" i="1"/>
  <c r="BC848" i="1"/>
  <c r="BB848" i="1"/>
  <c r="AZ848" i="1"/>
  <c r="AX848" i="1"/>
  <c r="AV848" i="1"/>
  <c r="AU848" i="1"/>
  <c r="AR848" i="1"/>
  <c r="AQ848" i="1"/>
  <c r="AP848" i="1"/>
  <c r="AO848" i="1"/>
  <c r="AN848" i="1"/>
  <c r="AM848" i="1"/>
  <c r="AL848" i="1"/>
  <c r="AK848" i="1"/>
  <c r="AI848" i="1"/>
  <c r="AH848" i="1"/>
  <c r="AG848" i="1"/>
  <c r="AF848" i="1"/>
  <c r="AE848" i="1"/>
  <c r="O847" i="1" s="1"/>
  <c r="AD848" i="1"/>
  <c r="O848" i="1"/>
  <c r="BJ848" i="1" s="1"/>
  <c r="J848" i="1"/>
  <c r="DE847" i="1"/>
  <c r="DD847" i="1"/>
  <c r="DC847" i="1"/>
  <c r="DB847" i="1"/>
  <c r="DA847" i="1"/>
  <c r="CZ847" i="1"/>
  <c r="CY847" i="1"/>
  <c r="CX847" i="1"/>
  <c r="CW847" i="1"/>
  <c r="CV847" i="1"/>
  <c r="CU847" i="1"/>
  <c r="CT847" i="1"/>
  <c r="CS847" i="1"/>
  <c r="CR847" i="1"/>
  <c r="CQ847" i="1"/>
  <c r="CP847" i="1"/>
  <c r="CO847" i="1"/>
  <c r="CN847" i="1"/>
  <c r="CM847" i="1"/>
  <c r="CL847" i="1"/>
  <c r="CK847" i="1"/>
  <c r="CJ847" i="1"/>
  <c r="CI847" i="1"/>
  <c r="CH847" i="1"/>
  <c r="CG847" i="1"/>
  <c r="CF847" i="1"/>
  <c r="CD847" i="1"/>
  <c r="CC847" i="1"/>
  <c r="CB847" i="1"/>
  <c r="BZ847" i="1"/>
  <c r="BY847" i="1"/>
  <c r="BX847" i="1"/>
  <c r="BV847" i="1"/>
  <c r="BU847" i="1"/>
  <c r="BT847" i="1"/>
  <c r="BR847" i="1"/>
  <c r="BQ847" i="1"/>
  <c r="BP847" i="1"/>
  <c r="BO847" i="1"/>
  <c r="BN847" i="1"/>
  <c r="BM847" i="1"/>
  <c r="BL847" i="1"/>
  <c r="BK847" i="1"/>
  <c r="BJ847" i="1"/>
  <c r="BI847" i="1"/>
  <c r="BH847" i="1"/>
  <c r="BG847" i="1"/>
  <c r="BE847" i="1"/>
  <c r="BD847" i="1"/>
  <c r="BB847" i="1"/>
  <c r="BA847" i="1"/>
  <c r="AZ847" i="1"/>
  <c r="AX847" i="1"/>
  <c r="AW847" i="1"/>
  <c r="AV847" i="1"/>
  <c r="AT847" i="1"/>
  <c r="AS847" i="1"/>
  <c r="AR847" i="1"/>
  <c r="AQ847" i="1"/>
  <c r="AP847" i="1"/>
  <c r="AO847" i="1"/>
  <c r="AN847" i="1"/>
  <c r="AM847" i="1"/>
  <c r="AL847" i="1"/>
  <c r="AK847" i="1"/>
  <c r="AJ847" i="1"/>
  <c r="AI847" i="1"/>
  <c r="AH847" i="1"/>
  <c r="AG847" i="1"/>
  <c r="AE847" i="1"/>
  <c r="AD847" i="1"/>
  <c r="F847" i="1"/>
  <c r="B847" i="1"/>
  <c r="DE846" i="1"/>
  <c r="DD846" i="1"/>
  <c r="DC846" i="1"/>
  <c r="DB846" i="1"/>
  <c r="DA846" i="1"/>
  <c r="CZ846" i="1"/>
  <c r="CY846" i="1"/>
  <c r="CX846" i="1"/>
  <c r="CW846" i="1"/>
  <c r="CV846" i="1"/>
  <c r="CU846" i="1"/>
  <c r="CT846" i="1"/>
  <c r="CS846" i="1"/>
  <c r="CR846" i="1"/>
  <c r="CQ846" i="1"/>
  <c r="CP846" i="1"/>
  <c r="CO846" i="1"/>
  <c r="CN846" i="1"/>
  <c r="CM846" i="1"/>
  <c r="CL846" i="1"/>
  <c r="CK846" i="1"/>
  <c r="CJ846" i="1"/>
  <c r="CI846" i="1"/>
  <c r="CH846" i="1"/>
  <c r="CG846" i="1"/>
  <c r="CF846" i="1"/>
  <c r="BR846" i="1"/>
  <c r="BQ846" i="1"/>
  <c r="BP846" i="1"/>
  <c r="BO846" i="1"/>
  <c r="BN846" i="1"/>
  <c r="BM846" i="1"/>
  <c r="BL846" i="1"/>
  <c r="BK846" i="1"/>
  <c r="BJ846" i="1"/>
  <c r="BI846" i="1"/>
  <c r="BH846" i="1"/>
  <c r="BG846" i="1"/>
  <c r="BF846" i="1"/>
  <c r="AR846" i="1"/>
  <c r="AQ846" i="1"/>
  <c r="AP846" i="1"/>
  <c r="AO846" i="1"/>
  <c r="AN846" i="1"/>
  <c r="AM846" i="1"/>
  <c r="AL846" i="1"/>
  <c r="AK846" i="1"/>
  <c r="AJ846" i="1"/>
  <c r="AI846" i="1"/>
  <c r="AH846" i="1"/>
  <c r="AG846" i="1"/>
  <c r="AF846" i="1"/>
  <c r="AE846" i="1"/>
  <c r="AD846" i="1"/>
  <c r="R846" i="1"/>
  <c r="Q846" i="1"/>
  <c r="DE845" i="1"/>
  <c r="DD845" i="1"/>
  <c r="DC845" i="1"/>
  <c r="DB845" i="1"/>
  <c r="DA845" i="1"/>
  <c r="CZ845" i="1"/>
  <c r="CY845" i="1"/>
  <c r="CX845" i="1"/>
  <c r="CW845" i="1"/>
  <c r="CV845" i="1"/>
  <c r="CU845" i="1"/>
  <c r="CT845" i="1"/>
  <c r="CS845" i="1"/>
  <c r="CR845" i="1"/>
  <c r="CQ845" i="1"/>
  <c r="CP845" i="1"/>
  <c r="CO845" i="1"/>
  <c r="CN845" i="1"/>
  <c r="CM845" i="1"/>
  <c r="CL845" i="1"/>
  <c r="CK845" i="1"/>
  <c r="CJ845" i="1"/>
  <c r="CI845" i="1"/>
  <c r="CH845" i="1"/>
  <c r="CG845" i="1"/>
  <c r="CF845" i="1"/>
  <c r="BR845" i="1"/>
  <c r="BQ845" i="1"/>
  <c r="BP845" i="1"/>
  <c r="BO845" i="1"/>
  <c r="BN845" i="1"/>
  <c r="BL845" i="1"/>
  <c r="BK845" i="1"/>
  <c r="BJ845" i="1"/>
  <c r="BI845" i="1"/>
  <c r="BH845" i="1"/>
  <c r="BG845" i="1"/>
  <c r="BF845" i="1"/>
  <c r="AR845" i="1"/>
  <c r="AQ845" i="1"/>
  <c r="AP845" i="1"/>
  <c r="AO845" i="1"/>
  <c r="AN845" i="1"/>
  <c r="AL845" i="1"/>
  <c r="AK845" i="1"/>
  <c r="AJ845" i="1"/>
  <c r="AI845" i="1"/>
  <c r="AH845" i="1"/>
  <c r="AG845" i="1"/>
  <c r="AF845" i="1"/>
  <c r="AE845" i="1"/>
  <c r="AD845" i="1"/>
  <c r="DE844" i="1"/>
  <c r="DD844" i="1"/>
  <c r="DC844" i="1"/>
  <c r="DB844" i="1"/>
  <c r="DA844" i="1"/>
  <c r="CZ844" i="1"/>
  <c r="CY844" i="1"/>
  <c r="CX844" i="1"/>
  <c r="CW844" i="1"/>
  <c r="CV844" i="1"/>
  <c r="CU844" i="1"/>
  <c r="CT844" i="1"/>
  <c r="CS844" i="1"/>
  <c r="CR844" i="1"/>
  <c r="CQ844" i="1"/>
  <c r="CP844" i="1"/>
  <c r="CO844" i="1"/>
  <c r="CN844" i="1"/>
  <c r="CM844" i="1"/>
  <c r="CL844" i="1"/>
  <c r="CK844" i="1"/>
  <c r="CJ844" i="1"/>
  <c r="CI844" i="1"/>
  <c r="CH844" i="1"/>
  <c r="CG844" i="1"/>
  <c r="CF844" i="1"/>
  <c r="BR844" i="1"/>
  <c r="BP844" i="1"/>
  <c r="BO844" i="1"/>
  <c r="BN844" i="1"/>
  <c r="BM844" i="1"/>
  <c r="BL844" i="1"/>
  <c r="BK844" i="1"/>
  <c r="BJ844" i="1"/>
  <c r="BI844" i="1"/>
  <c r="BH844" i="1"/>
  <c r="BG844" i="1"/>
  <c r="BF844" i="1"/>
  <c r="AR844" i="1"/>
  <c r="AP844" i="1"/>
  <c r="AO844" i="1"/>
  <c r="AN844" i="1"/>
  <c r="AM844" i="1"/>
  <c r="AL844" i="1"/>
  <c r="AK844" i="1"/>
  <c r="AJ844" i="1"/>
  <c r="AI844" i="1"/>
  <c r="AH844" i="1"/>
  <c r="AG844" i="1"/>
  <c r="AF844" i="1"/>
  <c r="AE844" i="1"/>
  <c r="O846" i="1" s="1"/>
  <c r="P846" i="1" s="1"/>
  <c r="AD844" i="1"/>
  <c r="O844" i="1"/>
  <c r="BQ844" i="1" s="1"/>
  <c r="F844" i="1"/>
  <c r="B844" i="1"/>
  <c r="BD846" i="1" s="1"/>
  <c r="DE843" i="1"/>
  <c r="DD843" i="1"/>
  <c r="DC843" i="1"/>
  <c r="DB843" i="1"/>
  <c r="DA843" i="1"/>
  <c r="CZ843" i="1"/>
  <c r="CY843" i="1"/>
  <c r="CX843" i="1"/>
  <c r="CW843" i="1"/>
  <c r="CV843" i="1"/>
  <c r="CU843" i="1"/>
  <c r="CT843" i="1"/>
  <c r="CS843" i="1"/>
  <c r="CR843" i="1"/>
  <c r="CQ843" i="1"/>
  <c r="CP843" i="1"/>
  <c r="CO843" i="1"/>
  <c r="CN843" i="1"/>
  <c r="CM843" i="1"/>
  <c r="CL843" i="1"/>
  <c r="CK843" i="1"/>
  <c r="CJ843" i="1"/>
  <c r="CI843" i="1"/>
  <c r="CH843" i="1"/>
  <c r="CG843" i="1"/>
  <c r="CF843" i="1"/>
  <c r="BR843" i="1"/>
  <c r="BQ843" i="1"/>
  <c r="BP843" i="1"/>
  <c r="BO843" i="1"/>
  <c r="BN843" i="1"/>
  <c r="BM843" i="1"/>
  <c r="BL843" i="1"/>
  <c r="BK843" i="1"/>
  <c r="BJ843" i="1"/>
  <c r="BI843" i="1"/>
  <c r="BH843" i="1"/>
  <c r="BG843" i="1"/>
  <c r="BF843" i="1"/>
  <c r="AR843" i="1"/>
  <c r="AQ843" i="1"/>
  <c r="AP843" i="1"/>
  <c r="AO843" i="1"/>
  <c r="AN843" i="1"/>
  <c r="AM843" i="1"/>
  <c r="AL843" i="1"/>
  <c r="AK843" i="1"/>
  <c r="AJ843" i="1"/>
  <c r="AI843" i="1"/>
  <c r="AH843" i="1"/>
  <c r="AG843" i="1"/>
  <c r="AF843" i="1"/>
  <c r="AE843" i="1"/>
  <c r="AD843" i="1"/>
  <c r="R843" i="1"/>
  <c r="Q843" i="1"/>
  <c r="DE842" i="1"/>
  <c r="DD842" i="1"/>
  <c r="DC842" i="1"/>
  <c r="DB842" i="1"/>
  <c r="DA842" i="1"/>
  <c r="CZ842" i="1"/>
  <c r="CY842" i="1"/>
  <c r="CX842" i="1"/>
  <c r="CW842" i="1"/>
  <c r="CV842" i="1"/>
  <c r="CU842" i="1"/>
  <c r="CT842" i="1"/>
  <c r="CS842" i="1"/>
  <c r="CR842" i="1"/>
  <c r="CQ842" i="1"/>
  <c r="CP842" i="1"/>
  <c r="CO842" i="1"/>
  <c r="CN842" i="1"/>
  <c r="CM842" i="1"/>
  <c r="CL842" i="1"/>
  <c r="CK842" i="1"/>
  <c r="CJ842" i="1"/>
  <c r="CI842" i="1"/>
  <c r="CH842" i="1"/>
  <c r="CG842" i="1"/>
  <c r="CF842" i="1"/>
  <c r="BR842" i="1"/>
  <c r="BQ842" i="1"/>
  <c r="BP842" i="1"/>
  <c r="BO842" i="1"/>
  <c r="BN842" i="1"/>
  <c r="BM842" i="1"/>
  <c r="BL842" i="1"/>
  <c r="BK842" i="1"/>
  <c r="BJ842" i="1"/>
  <c r="BI842" i="1"/>
  <c r="BH842" i="1"/>
  <c r="BG842" i="1"/>
  <c r="BF842" i="1"/>
  <c r="AR842" i="1"/>
  <c r="AQ842" i="1"/>
  <c r="AP842" i="1"/>
  <c r="AO842" i="1"/>
  <c r="AN842" i="1"/>
  <c r="AM842" i="1"/>
  <c r="AL842" i="1"/>
  <c r="AK842" i="1"/>
  <c r="AJ842" i="1"/>
  <c r="AI842" i="1"/>
  <c r="AH842" i="1"/>
  <c r="AG842" i="1"/>
  <c r="AF842" i="1"/>
  <c r="AE842" i="1"/>
  <c r="O841" i="1" s="1"/>
  <c r="AD842" i="1"/>
  <c r="J842" i="1"/>
  <c r="DE841" i="1"/>
  <c r="DD841" i="1"/>
  <c r="DC841" i="1"/>
  <c r="DB841" i="1"/>
  <c r="DA841" i="1"/>
  <c r="CZ841" i="1"/>
  <c r="CY841" i="1"/>
  <c r="CX841" i="1"/>
  <c r="CW841" i="1"/>
  <c r="CV841" i="1"/>
  <c r="CU841" i="1"/>
  <c r="CT841" i="1"/>
  <c r="CS841" i="1"/>
  <c r="CR841" i="1"/>
  <c r="CQ841" i="1"/>
  <c r="CP841" i="1"/>
  <c r="CO841" i="1"/>
  <c r="CN841" i="1"/>
  <c r="CM841" i="1"/>
  <c r="CL841" i="1"/>
  <c r="CK841" i="1"/>
  <c r="CJ841" i="1"/>
  <c r="CI841" i="1"/>
  <c r="CH841" i="1"/>
  <c r="CG841" i="1"/>
  <c r="CF841" i="1"/>
  <c r="BR841" i="1"/>
  <c r="BQ841" i="1"/>
  <c r="BP841" i="1"/>
  <c r="BO841" i="1"/>
  <c r="BN841" i="1"/>
  <c r="BM841" i="1"/>
  <c r="BL841" i="1"/>
  <c r="BK841" i="1"/>
  <c r="BJ841" i="1"/>
  <c r="BI841" i="1"/>
  <c r="BH841" i="1"/>
  <c r="BG841" i="1"/>
  <c r="AR841" i="1"/>
  <c r="AQ841" i="1"/>
  <c r="AP841" i="1"/>
  <c r="AO841" i="1"/>
  <c r="AN841" i="1"/>
  <c r="AM841" i="1"/>
  <c r="AL841" i="1"/>
  <c r="AK841" i="1"/>
  <c r="AJ841" i="1"/>
  <c r="AI841" i="1"/>
  <c r="AH841" i="1"/>
  <c r="AG841" i="1"/>
  <c r="AE841" i="1"/>
  <c r="O843" i="1" s="1"/>
  <c r="P843" i="1" s="1"/>
  <c r="AD841" i="1"/>
  <c r="G841" i="1"/>
  <c r="F841" i="1" s="1"/>
  <c r="B841" i="1"/>
  <c r="BB843" i="1" s="1"/>
  <c r="DE840" i="1"/>
  <c r="DD840" i="1"/>
  <c r="DC840" i="1"/>
  <c r="DB840" i="1"/>
  <c r="DA840" i="1"/>
  <c r="CZ840" i="1"/>
  <c r="CY840" i="1"/>
  <c r="CX840" i="1"/>
  <c r="CW840" i="1"/>
  <c r="CV840" i="1"/>
  <c r="CU840" i="1"/>
  <c r="CT840" i="1"/>
  <c r="CS840" i="1"/>
  <c r="CR840" i="1"/>
  <c r="CQ840" i="1"/>
  <c r="CP840" i="1"/>
  <c r="CO840" i="1"/>
  <c r="CN840" i="1"/>
  <c r="CM840" i="1"/>
  <c r="CL840" i="1"/>
  <c r="CK840" i="1"/>
  <c r="CJ840" i="1"/>
  <c r="CI840" i="1"/>
  <c r="CH840" i="1"/>
  <c r="CG840" i="1"/>
  <c r="CF840" i="1"/>
  <c r="BR840" i="1"/>
  <c r="BQ840" i="1"/>
  <c r="BP840" i="1"/>
  <c r="BO840" i="1"/>
  <c r="BN840" i="1"/>
  <c r="BM840" i="1"/>
  <c r="BL840" i="1"/>
  <c r="BK840" i="1"/>
  <c r="BJ840" i="1"/>
  <c r="BI840" i="1"/>
  <c r="BH840" i="1"/>
  <c r="BG840" i="1"/>
  <c r="BF840" i="1"/>
  <c r="AR840" i="1"/>
  <c r="AQ840" i="1"/>
  <c r="AP840" i="1"/>
  <c r="AO840" i="1"/>
  <c r="AN840" i="1"/>
  <c r="AM840" i="1"/>
  <c r="AL840" i="1"/>
  <c r="AK840" i="1"/>
  <c r="AJ840" i="1"/>
  <c r="AI840" i="1"/>
  <c r="AH840" i="1"/>
  <c r="AG840" i="1"/>
  <c r="AF840" i="1"/>
  <c r="AE840" i="1"/>
  <c r="AD840" i="1"/>
  <c r="R840" i="1"/>
  <c r="Q840" i="1"/>
  <c r="DE839" i="1"/>
  <c r="DD839" i="1"/>
  <c r="DC839" i="1"/>
  <c r="DB839" i="1"/>
  <c r="DA839" i="1"/>
  <c r="CZ839" i="1"/>
  <c r="CY839" i="1"/>
  <c r="CX839" i="1"/>
  <c r="CW839" i="1"/>
  <c r="CV839" i="1"/>
  <c r="CU839" i="1"/>
  <c r="CT839" i="1"/>
  <c r="CS839" i="1"/>
  <c r="CR839" i="1"/>
  <c r="CQ839" i="1"/>
  <c r="CP839" i="1"/>
  <c r="CO839" i="1"/>
  <c r="CN839" i="1"/>
  <c r="CM839" i="1"/>
  <c r="CL839" i="1"/>
  <c r="CK839" i="1"/>
  <c r="CJ839" i="1"/>
  <c r="CI839" i="1"/>
  <c r="CH839" i="1"/>
  <c r="CG839" i="1"/>
  <c r="CF839" i="1"/>
  <c r="BR839" i="1"/>
  <c r="BQ839" i="1"/>
  <c r="BP839" i="1"/>
  <c r="BO839" i="1"/>
  <c r="BN839" i="1"/>
  <c r="BM839" i="1"/>
  <c r="BL839" i="1"/>
  <c r="BK839" i="1"/>
  <c r="BI839" i="1"/>
  <c r="BH839" i="1"/>
  <c r="BG839" i="1"/>
  <c r="BF839" i="1"/>
  <c r="AR839" i="1"/>
  <c r="AQ839" i="1"/>
  <c r="AP839" i="1"/>
  <c r="AO839" i="1"/>
  <c r="AN839" i="1"/>
  <c r="AM839" i="1"/>
  <c r="AL839" i="1"/>
  <c r="AK839" i="1"/>
  <c r="AI839" i="1"/>
  <c r="AH839" i="1"/>
  <c r="AG839" i="1"/>
  <c r="AF839" i="1"/>
  <c r="AE839" i="1"/>
  <c r="O838" i="1" s="1"/>
  <c r="AD839" i="1"/>
  <c r="J839" i="1"/>
  <c r="DE838" i="1"/>
  <c r="DD838" i="1"/>
  <c r="DC838" i="1"/>
  <c r="DB838" i="1"/>
  <c r="DA838" i="1"/>
  <c r="CZ838" i="1"/>
  <c r="CY838" i="1"/>
  <c r="CX838" i="1"/>
  <c r="CW838" i="1"/>
  <c r="CV838" i="1"/>
  <c r="CU838" i="1"/>
  <c r="CT838" i="1"/>
  <c r="CS838" i="1"/>
  <c r="CR838" i="1"/>
  <c r="CQ838" i="1"/>
  <c r="CP838" i="1"/>
  <c r="CO838" i="1"/>
  <c r="CN838" i="1"/>
  <c r="CM838" i="1"/>
  <c r="CL838" i="1"/>
  <c r="CK838" i="1"/>
  <c r="CJ838" i="1"/>
  <c r="CI838" i="1"/>
  <c r="CH838" i="1"/>
  <c r="CG838" i="1"/>
  <c r="CF838" i="1"/>
  <c r="BR838" i="1"/>
  <c r="BQ838" i="1"/>
  <c r="BP838" i="1"/>
  <c r="BO838" i="1"/>
  <c r="BN838" i="1"/>
  <c r="BM838" i="1"/>
  <c r="BL838" i="1"/>
  <c r="BK838" i="1"/>
  <c r="BJ838" i="1"/>
  <c r="BI838" i="1"/>
  <c r="BH838" i="1"/>
  <c r="BG838" i="1"/>
  <c r="AR838" i="1"/>
  <c r="AQ838" i="1"/>
  <c r="AP838" i="1"/>
  <c r="AO838" i="1"/>
  <c r="AN838" i="1"/>
  <c r="AM838" i="1"/>
  <c r="AL838" i="1"/>
  <c r="AK838" i="1"/>
  <c r="AJ838" i="1"/>
  <c r="AI838" i="1"/>
  <c r="AH838" i="1"/>
  <c r="AG838" i="1"/>
  <c r="AE838" i="1"/>
  <c r="O840" i="1" s="1"/>
  <c r="P840" i="1" s="1"/>
  <c r="AD838" i="1"/>
  <c r="G838" i="1"/>
  <c r="F838" i="1" s="1"/>
  <c r="B838" i="1"/>
  <c r="BB840" i="1" s="1"/>
  <c r="DE837" i="1"/>
  <c r="DD837" i="1"/>
  <c r="DC837" i="1"/>
  <c r="DB837" i="1"/>
  <c r="DA837" i="1"/>
  <c r="CZ837" i="1"/>
  <c r="CY837" i="1"/>
  <c r="CX837" i="1"/>
  <c r="CW837" i="1"/>
  <c r="CV837" i="1"/>
  <c r="CU837" i="1"/>
  <c r="CT837" i="1"/>
  <c r="CS837" i="1"/>
  <c r="CR837" i="1"/>
  <c r="CQ837" i="1"/>
  <c r="CP837" i="1"/>
  <c r="CO837" i="1"/>
  <c r="CN837" i="1"/>
  <c r="CM837" i="1"/>
  <c r="CL837" i="1"/>
  <c r="CK837" i="1"/>
  <c r="CJ837" i="1"/>
  <c r="CI837" i="1"/>
  <c r="CH837" i="1"/>
  <c r="CG837" i="1"/>
  <c r="CF837" i="1"/>
  <c r="BR837" i="1"/>
  <c r="BQ837" i="1"/>
  <c r="BP837" i="1"/>
  <c r="BO837" i="1"/>
  <c r="BN837" i="1"/>
  <c r="BM837" i="1"/>
  <c r="BL837" i="1"/>
  <c r="BK837" i="1"/>
  <c r="BJ837" i="1"/>
  <c r="BI837" i="1"/>
  <c r="BH837" i="1"/>
  <c r="BG837" i="1"/>
  <c r="BF837" i="1"/>
  <c r="AR837" i="1"/>
  <c r="AQ837" i="1"/>
  <c r="AP837" i="1"/>
  <c r="AO837" i="1"/>
  <c r="AN837" i="1"/>
  <c r="AM837" i="1"/>
  <c r="AL837" i="1"/>
  <c r="AK837" i="1"/>
  <c r="AJ837" i="1"/>
  <c r="AI837" i="1"/>
  <c r="AH837" i="1"/>
  <c r="AG837" i="1"/>
  <c r="AF837" i="1"/>
  <c r="AE837" i="1"/>
  <c r="AD837" i="1"/>
  <c r="R837" i="1"/>
  <c r="Q837" i="1"/>
  <c r="DE836" i="1"/>
  <c r="DD836" i="1"/>
  <c r="DC836" i="1"/>
  <c r="DB836" i="1"/>
  <c r="DA836" i="1"/>
  <c r="CZ836" i="1"/>
  <c r="CY836" i="1"/>
  <c r="CX836" i="1"/>
  <c r="CW836" i="1"/>
  <c r="CV836" i="1"/>
  <c r="CU836" i="1"/>
  <c r="CT836" i="1"/>
  <c r="CS836" i="1"/>
  <c r="CR836" i="1"/>
  <c r="CQ836" i="1"/>
  <c r="CP836" i="1"/>
  <c r="CO836" i="1"/>
  <c r="CN836" i="1"/>
  <c r="CM836" i="1"/>
  <c r="CL836" i="1"/>
  <c r="CK836" i="1"/>
  <c r="CJ836" i="1"/>
  <c r="CI836" i="1"/>
  <c r="CH836" i="1"/>
  <c r="CG836" i="1"/>
  <c r="CF836" i="1"/>
  <c r="BR836" i="1"/>
  <c r="BQ836" i="1"/>
  <c r="BP836" i="1"/>
  <c r="BO836" i="1"/>
  <c r="BN836" i="1"/>
  <c r="BM836" i="1"/>
  <c r="BL836" i="1"/>
  <c r="BK836" i="1"/>
  <c r="BJ836" i="1"/>
  <c r="BI836" i="1"/>
  <c r="BH836" i="1"/>
  <c r="BG836" i="1"/>
  <c r="AR836" i="1"/>
  <c r="AQ836" i="1"/>
  <c r="AP836" i="1"/>
  <c r="AO836" i="1"/>
  <c r="AN836" i="1"/>
  <c r="AM836" i="1"/>
  <c r="AL836" i="1"/>
  <c r="AK836" i="1"/>
  <c r="AJ836" i="1"/>
  <c r="AI836" i="1"/>
  <c r="AH836" i="1"/>
  <c r="AG836" i="1"/>
  <c r="AE836" i="1"/>
  <c r="O835" i="1" s="1"/>
  <c r="AD836" i="1"/>
  <c r="J836" i="1"/>
  <c r="DE835" i="1"/>
  <c r="DD835" i="1"/>
  <c r="DC835" i="1"/>
  <c r="DB835" i="1"/>
  <c r="DA835" i="1"/>
  <c r="CZ835" i="1"/>
  <c r="CY835" i="1"/>
  <c r="CX835" i="1"/>
  <c r="CW835" i="1"/>
  <c r="CV835" i="1"/>
  <c r="CU835" i="1"/>
  <c r="CT835" i="1"/>
  <c r="CS835" i="1"/>
  <c r="CR835" i="1"/>
  <c r="CQ835" i="1"/>
  <c r="CP835" i="1"/>
  <c r="CO835" i="1"/>
  <c r="CN835" i="1"/>
  <c r="CM835" i="1"/>
  <c r="CL835" i="1"/>
  <c r="CK835" i="1"/>
  <c r="CJ835" i="1"/>
  <c r="CI835" i="1"/>
  <c r="CH835" i="1"/>
  <c r="CG835" i="1"/>
  <c r="CF835" i="1"/>
  <c r="BR835" i="1"/>
  <c r="BQ835" i="1"/>
  <c r="BP835" i="1"/>
  <c r="BO835" i="1"/>
  <c r="BN835" i="1"/>
  <c r="BM835" i="1"/>
  <c r="BL835" i="1"/>
  <c r="BK835" i="1"/>
  <c r="BI835" i="1"/>
  <c r="BH835" i="1"/>
  <c r="BG835" i="1"/>
  <c r="BF835" i="1"/>
  <c r="AR835" i="1"/>
  <c r="AQ835" i="1"/>
  <c r="AP835" i="1"/>
  <c r="AO835" i="1"/>
  <c r="AN835" i="1"/>
  <c r="AM835" i="1"/>
  <c r="AL835" i="1"/>
  <c r="AK835" i="1"/>
  <c r="AI835" i="1"/>
  <c r="AH835" i="1"/>
  <c r="AG835" i="1"/>
  <c r="AF835" i="1"/>
  <c r="AE835" i="1"/>
  <c r="O837" i="1" s="1"/>
  <c r="P837" i="1" s="1"/>
  <c r="AD835" i="1"/>
  <c r="G835" i="1"/>
  <c r="F835" i="1" s="1"/>
  <c r="B835" i="1"/>
  <c r="BB837" i="1" s="1"/>
  <c r="DE834" i="1"/>
  <c r="DD834" i="1"/>
  <c r="DC834" i="1"/>
  <c r="DB834" i="1"/>
  <c r="DA834" i="1"/>
  <c r="CZ834" i="1"/>
  <c r="CY834" i="1"/>
  <c r="CX834" i="1"/>
  <c r="CW834" i="1"/>
  <c r="CV834" i="1"/>
  <c r="CU834" i="1"/>
  <c r="CT834" i="1"/>
  <c r="CS834" i="1"/>
  <c r="CR834" i="1"/>
  <c r="CQ834" i="1"/>
  <c r="CP834" i="1"/>
  <c r="CO834" i="1"/>
  <c r="CN834" i="1"/>
  <c r="CM834" i="1"/>
  <c r="CL834" i="1"/>
  <c r="CK834" i="1"/>
  <c r="CJ834" i="1"/>
  <c r="CI834" i="1"/>
  <c r="CH834" i="1"/>
  <c r="CG834" i="1"/>
  <c r="CF834" i="1"/>
  <c r="BR834" i="1"/>
  <c r="BQ834" i="1"/>
  <c r="BP834" i="1"/>
  <c r="BO834" i="1"/>
  <c r="BN834" i="1"/>
  <c r="BM834" i="1"/>
  <c r="BL834" i="1"/>
  <c r="BK834" i="1"/>
  <c r="BJ834" i="1"/>
  <c r="BI834" i="1"/>
  <c r="BH834" i="1"/>
  <c r="BG834" i="1"/>
  <c r="AR834" i="1"/>
  <c r="AQ834" i="1"/>
  <c r="AP834" i="1"/>
  <c r="AO834" i="1"/>
  <c r="AN834" i="1"/>
  <c r="AM834" i="1"/>
  <c r="AL834" i="1"/>
  <c r="AK834" i="1"/>
  <c r="AJ834" i="1"/>
  <c r="AI834" i="1"/>
  <c r="AH834" i="1"/>
  <c r="AG834" i="1"/>
  <c r="AE834" i="1"/>
  <c r="AD834" i="1"/>
  <c r="DE833" i="1"/>
  <c r="DD833" i="1"/>
  <c r="DC833" i="1"/>
  <c r="DB833" i="1"/>
  <c r="DA833" i="1"/>
  <c r="CZ833" i="1"/>
  <c r="CY833" i="1"/>
  <c r="CX833" i="1"/>
  <c r="CW833" i="1"/>
  <c r="CV833" i="1"/>
  <c r="CU833" i="1"/>
  <c r="CT833" i="1"/>
  <c r="CS833" i="1"/>
  <c r="CR833" i="1"/>
  <c r="CQ833" i="1"/>
  <c r="CP833" i="1"/>
  <c r="CO833" i="1"/>
  <c r="CN833" i="1"/>
  <c r="CM833" i="1"/>
  <c r="CL833" i="1"/>
  <c r="CK833" i="1"/>
  <c r="CJ833" i="1"/>
  <c r="CI833" i="1"/>
  <c r="CH833" i="1"/>
  <c r="CG833" i="1"/>
  <c r="CF833" i="1"/>
  <c r="BR833" i="1"/>
  <c r="BQ833" i="1"/>
  <c r="BP833" i="1"/>
  <c r="BO833" i="1"/>
  <c r="BN833" i="1"/>
  <c r="BM833" i="1"/>
  <c r="BL833" i="1"/>
  <c r="BK833" i="1"/>
  <c r="BI833" i="1"/>
  <c r="BH833" i="1"/>
  <c r="BG833" i="1"/>
  <c r="BF833" i="1"/>
  <c r="AR833" i="1"/>
  <c r="AQ833" i="1"/>
  <c r="AP833" i="1"/>
  <c r="AO833" i="1"/>
  <c r="AN833" i="1"/>
  <c r="AM833" i="1"/>
  <c r="AL833" i="1"/>
  <c r="AK833" i="1"/>
  <c r="AI833" i="1"/>
  <c r="AH833" i="1"/>
  <c r="AG833" i="1"/>
  <c r="AF833" i="1"/>
  <c r="AE833" i="1"/>
  <c r="O832" i="1" s="1"/>
  <c r="AD833" i="1"/>
  <c r="J833" i="1"/>
  <c r="DE832" i="1"/>
  <c r="DD832" i="1"/>
  <c r="DC832" i="1"/>
  <c r="DB832" i="1"/>
  <c r="DA832" i="1"/>
  <c r="CZ832" i="1"/>
  <c r="CY832" i="1"/>
  <c r="CX832" i="1"/>
  <c r="CW832" i="1"/>
  <c r="CV832" i="1"/>
  <c r="CU832" i="1"/>
  <c r="CT832" i="1"/>
  <c r="CS832" i="1"/>
  <c r="CR832" i="1"/>
  <c r="CQ832" i="1"/>
  <c r="CP832" i="1"/>
  <c r="CO832" i="1"/>
  <c r="CN832" i="1"/>
  <c r="CM832" i="1"/>
  <c r="CL832" i="1"/>
  <c r="CK832" i="1"/>
  <c r="CJ832" i="1"/>
  <c r="CI832" i="1"/>
  <c r="CH832" i="1"/>
  <c r="CG832" i="1"/>
  <c r="CF832" i="1"/>
  <c r="CD832" i="1"/>
  <c r="BR832" i="1"/>
  <c r="BQ832" i="1"/>
  <c r="BP832" i="1"/>
  <c r="BO832" i="1"/>
  <c r="BN832" i="1"/>
  <c r="BM832" i="1"/>
  <c r="BL832" i="1"/>
  <c r="BK832" i="1"/>
  <c r="BI832" i="1"/>
  <c r="BH832" i="1"/>
  <c r="BG832" i="1"/>
  <c r="BF832" i="1"/>
  <c r="BB832" i="1"/>
  <c r="AR832" i="1"/>
  <c r="AQ832" i="1"/>
  <c r="AP832" i="1"/>
  <c r="AO832" i="1"/>
  <c r="AN832" i="1"/>
  <c r="AM832" i="1"/>
  <c r="AL832" i="1"/>
  <c r="AK832" i="1"/>
  <c r="AI832" i="1"/>
  <c r="AH832" i="1"/>
  <c r="AG832" i="1"/>
  <c r="AF832" i="1"/>
  <c r="AE832" i="1"/>
  <c r="AD832" i="1"/>
  <c r="G832" i="1"/>
  <c r="B832" i="1"/>
  <c r="AU834" i="1" s="1"/>
  <c r="DE831" i="1"/>
  <c r="DD831" i="1"/>
  <c r="DC831" i="1"/>
  <c r="DB831" i="1"/>
  <c r="DA831" i="1"/>
  <c r="CZ831" i="1"/>
  <c r="CY831" i="1"/>
  <c r="CX831" i="1"/>
  <c r="CW831" i="1"/>
  <c r="CV831" i="1"/>
  <c r="CU831" i="1"/>
  <c r="CT831" i="1"/>
  <c r="CS831" i="1"/>
  <c r="CR831" i="1"/>
  <c r="CQ831" i="1"/>
  <c r="CP831" i="1"/>
  <c r="CO831" i="1"/>
  <c r="CN831" i="1"/>
  <c r="CM831" i="1"/>
  <c r="CL831" i="1"/>
  <c r="CK831" i="1"/>
  <c r="CJ831" i="1"/>
  <c r="CI831" i="1"/>
  <c r="CH831" i="1"/>
  <c r="CG831" i="1"/>
  <c r="CF831" i="1"/>
  <c r="BR831" i="1"/>
  <c r="BQ831" i="1"/>
  <c r="BP831" i="1"/>
  <c r="BO831" i="1"/>
  <c r="BN831" i="1"/>
  <c r="BM831" i="1"/>
  <c r="BL831" i="1"/>
  <c r="BK831" i="1"/>
  <c r="BJ831" i="1"/>
  <c r="BI831" i="1"/>
  <c r="BH831" i="1"/>
  <c r="BG831" i="1"/>
  <c r="BF831" i="1"/>
  <c r="BC831" i="1"/>
  <c r="AY831" i="1"/>
  <c r="AU831" i="1"/>
  <c r="AR831" i="1"/>
  <c r="AQ831" i="1"/>
  <c r="AP831" i="1"/>
  <c r="AO831" i="1"/>
  <c r="AN831" i="1"/>
  <c r="AM831" i="1"/>
  <c r="AL831" i="1"/>
  <c r="AK831" i="1"/>
  <c r="AJ831" i="1"/>
  <c r="AI831" i="1"/>
  <c r="AH831" i="1"/>
  <c r="AG831" i="1"/>
  <c r="AF831" i="1"/>
  <c r="AE831" i="1"/>
  <c r="AD831" i="1"/>
  <c r="R831" i="1"/>
  <c r="Q831" i="1"/>
  <c r="DE830" i="1"/>
  <c r="DD830" i="1"/>
  <c r="DC830" i="1"/>
  <c r="DB830" i="1"/>
  <c r="DA830" i="1"/>
  <c r="CZ830" i="1"/>
  <c r="CY830" i="1"/>
  <c r="CX830" i="1"/>
  <c r="CW830" i="1"/>
  <c r="CV830" i="1"/>
  <c r="CU830" i="1"/>
  <c r="CT830" i="1"/>
  <c r="CS830" i="1"/>
  <c r="CR830" i="1"/>
  <c r="CQ830" i="1"/>
  <c r="CP830" i="1"/>
  <c r="CO830" i="1"/>
  <c r="CN830" i="1"/>
  <c r="CM830" i="1"/>
  <c r="CL830" i="1"/>
  <c r="CK830" i="1"/>
  <c r="CJ830" i="1"/>
  <c r="CI830" i="1"/>
  <c r="CH830" i="1"/>
  <c r="CG830" i="1"/>
  <c r="CF830" i="1"/>
  <c r="BR830" i="1"/>
  <c r="BQ830" i="1"/>
  <c r="BP830" i="1"/>
  <c r="BO830" i="1"/>
  <c r="BN830" i="1"/>
  <c r="BM830" i="1"/>
  <c r="BL830" i="1"/>
  <c r="BK830" i="1"/>
  <c r="BI830" i="1"/>
  <c r="BH830" i="1"/>
  <c r="BG830" i="1"/>
  <c r="BF830" i="1"/>
  <c r="BC830" i="1"/>
  <c r="AY830" i="1"/>
  <c r="AU830" i="1"/>
  <c r="AR830" i="1"/>
  <c r="AQ830" i="1"/>
  <c r="AP830" i="1"/>
  <c r="AO830" i="1"/>
  <c r="AN830" i="1"/>
  <c r="AM830" i="1"/>
  <c r="AL830" i="1"/>
  <c r="AK830" i="1"/>
  <c r="AI830" i="1"/>
  <c r="AH830" i="1"/>
  <c r="AG830" i="1"/>
  <c r="AF830" i="1"/>
  <c r="AE830" i="1"/>
  <c r="O829" i="1" s="1"/>
  <c r="AD830" i="1"/>
  <c r="J830" i="1"/>
  <c r="DE829" i="1"/>
  <c r="DD829" i="1"/>
  <c r="DC829" i="1"/>
  <c r="DB829" i="1"/>
  <c r="DA829" i="1"/>
  <c r="CZ829" i="1"/>
  <c r="CY829" i="1"/>
  <c r="CX829" i="1"/>
  <c r="CW829" i="1"/>
  <c r="CV829" i="1"/>
  <c r="CU829" i="1"/>
  <c r="CT829" i="1"/>
  <c r="CS829" i="1"/>
  <c r="CR829" i="1"/>
  <c r="CQ829" i="1"/>
  <c r="CP829" i="1"/>
  <c r="CO829" i="1"/>
  <c r="CN829" i="1"/>
  <c r="CM829" i="1"/>
  <c r="CL829" i="1"/>
  <c r="CK829" i="1"/>
  <c r="CJ829" i="1"/>
  <c r="CI829" i="1"/>
  <c r="CH829" i="1"/>
  <c r="CG829" i="1"/>
  <c r="CF829" i="1"/>
  <c r="CD829" i="1"/>
  <c r="BZ829" i="1"/>
  <c r="BV829" i="1"/>
  <c r="BR829" i="1"/>
  <c r="BQ829" i="1"/>
  <c r="BP829" i="1"/>
  <c r="BO829" i="1"/>
  <c r="BN829" i="1"/>
  <c r="BL829" i="1"/>
  <c r="BK829" i="1"/>
  <c r="BJ829" i="1"/>
  <c r="BI829" i="1"/>
  <c r="BH829" i="1"/>
  <c r="BG829" i="1"/>
  <c r="BF829" i="1"/>
  <c r="BB829" i="1"/>
  <c r="AX829" i="1"/>
  <c r="AT829" i="1"/>
  <c r="AR829" i="1"/>
  <c r="AQ829" i="1"/>
  <c r="AP829" i="1"/>
  <c r="AO829" i="1"/>
  <c r="AN829" i="1"/>
  <c r="AL829" i="1"/>
  <c r="AK829" i="1"/>
  <c r="AJ829" i="1"/>
  <c r="AI829" i="1"/>
  <c r="AH829" i="1"/>
  <c r="AG829" i="1"/>
  <c r="AF829" i="1"/>
  <c r="AE829" i="1"/>
  <c r="AD829" i="1"/>
  <c r="F829" i="1"/>
  <c r="B829" i="1"/>
  <c r="BB831" i="1" s="1"/>
  <c r="DE828" i="1"/>
  <c r="DD828" i="1"/>
  <c r="DC828" i="1"/>
  <c r="DB828" i="1"/>
  <c r="DA828" i="1"/>
  <c r="CZ828" i="1"/>
  <c r="CY828" i="1"/>
  <c r="CX828" i="1"/>
  <c r="CW828" i="1"/>
  <c r="CV828" i="1"/>
  <c r="CU828" i="1"/>
  <c r="CT828" i="1"/>
  <c r="CS828" i="1"/>
  <c r="CR828" i="1"/>
  <c r="CQ828" i="1"/>
  <c r="CP828" i="1"/>
  <c r="CO828" i="1"/>
  <c r="CN828" i="1"/>
  <c r="CM828" i="1"/>
  <c r="CL828" i="1"/>
  <c r="CK828" i="1"/>
  <c r="CJ828" i="1"/>
  <c r="CI828" i="1"/>
  <c r="CH828" i="1"/>
  <c r="CG828" i="1"/>
  <c r="CF828" i="1"/>
  <c r="BR828" i="1"/>
  <c r="BQ828" i="1"/>
  <c r="BP828" i="1"/>
  <c r="BO828" i="1"/>
  <c r="BN828" i="1"/>
  <c r="BM828" i="1"/>
  <c r="BL828" i="1"/>
  <c r="BK828" i="1"/>
  <c r="BJ828" i="1"/>
  <c r="BI828" i="1"/>
  <c r="BH828" i="1"/>
  <c r="BG828" i="1"/>
  <c r="BF828" i="1"/>
  <c r="BC828" i="1"/>
  <c r="BB828" i="1"/>
  <c r="AY828" i="1"/>
  <c r="AX828" i="1"/>
  <c r="AU828" i="1"/>
  <c r="AT828" i="1"/>
  <c r="AR828" i="1"/>
  <c r="AQ828" i="1"/>
  <c r="AP828" i="1"/>
  <c r="AO828" i="1"/>
  <c r="AN828" i="1"/>
  <c r="AM828" i="1"/>
  <c r="AL828" i="1"/>
  <c r="AK828" i="1"/>
  <c r="AJ828" i="1"/>
  <c r="AI828" i="1"/>
  <c r="AH828" i="1"/>
  <c r="AG828" i="1"/>
  <c r="AF828" i="1"/>
  <c r="AE828" i="1"/>
  <c r="AD828" i="1"/>
  <c r="R828" i="1"/>
  <c r="Q828" i="1"/>
  <c r="O828" i="1"/>
  <c r="P828" i="1" s="1"/>
  <c r="DE827" i="1"/>
  <c r="DD827" i="1"/>
  <c r="DC827" i="1"/>
  <c r="DB827" i="1"/>
  <c r="DA827" i="1"/>
  <c r="CZ827" i="1"/>
  <c r="CY827" i="1"/>
  <c r="CX827" i="1"/>
  <c r="CW827" i="1"/>
  <c r="CV827" i="1"/>
  <c r="CU827" i="1"/>
  <c r="CT827" i="1"/>
  <c r="CS827" i="1"/>
  <c r="CR827" i="1"/>
  <c r="CQ827" i="1"/>
  <c r="CP827" i="1"/>
  <c r="CO827" i="1"/>
  <c r="CN827" i="1"/>
  <c r="CM827" i="1"/>
  <c r="CL827" i="1"/>
  <c r="CK827" i="1"/>
  <c r="CJ827" i="1"/>
  <c r="CI827" i="1"/>
  <c r="CH827" i="1"/>
  <c r="CG827" i="1"/>
  <c r="CF827" i="1"/>
  <c r="BR827" i="1"/>
  <c r="BQ827" i="1"/>
  <c r="BP827" i="1"/>
  <c r="BO827" i="1"/>
  <c r="BN827" i="1"/>
  <c r="BM827" i="1"/>
  <c r="BL827" i="1"/>
  <c r="BK827" i="1"/>
  <c r="BJ827" i="1"/>
  <c r="BI827" i="1"/>
  <c r="BH827" i="1"/>
  <c r="BF827" i="1"/>
  <c r="BE827" i="1"/>
  <c r="BC827" i="1"/>
  <c r="BB827" i="1"/>
  <c r="BA827" i="1"/>
  <c r="AY827" i="1"/>
  <c r="AX827" i="1"/>
  <c r="AW827" i="1"/>
  <c r="AU827" i="1"/>
  <c r="AT827" i="1"/>
  <c r="AS827" i="1"/>
  <c r="AR827" i="1"/>
  <c r="AQ827" i="1"/>
  <c r="AP827" i="1"/>
  <c r="AO827" i="1"/>
  <c r="AN827" i="1"/>
  <c r="AM827" i="1"/>
  <c r="AL827" i="1"/>
  <c r="AK827" i="1"/>
  <c r="AJ827" i="1"/>
  <c r="AI827" i="1"/>
  <c r="AH827" i="1"/>
  <c r="AF827" i="1"/>
  <c r="AE827" i="1"/>
  <c r="O826" i="1" s="1"/>
  <c r="AD827" i="1"/>
  <c r="O827" i="1"/>
  <c r="J827" i="1"/>
  <c r="DE826" i="1"/>
  <c r="DD826" i="1"/>
  <c r="DC826" i="1"/>
  <c r="DB826" i="1"/>
  <c r="DA826" i="1"/>
  <c r="CZ826" i="1"/>
  <c r="CY826" i="1"/>
  <c r="CX826" i="1"/>
  <c r="CW826" i="1"/>
  <c r="CV826" i="1"/>
  <c r="CU826" i="1"/>
  <c r="CT826" i="1"/>
  <c r="CS826" i="1"/>
  <c r="CR826" i="1"/>
  <c r="CQ826" i="1"/>
  <c r="CP826" i="1"/>
  <c r="CO826" i="1"/>
  <c r="CN826" i="1"/>
  <c r="CM826" i="1"/>
  <c r="CL826" i="1"/>
  <c r="CK826" i="1"/>
  <c r="CJ826" i="1"/>
  <c r="CI826" i="1"/>
  <c r="CH826" i="1"/>
  <c r="CG826" i="1"/>
  <c r="CF826" i="1"/>
  <c r="CD826" i="1"/>
  <c r="CC826" i="1"/>
  <c r="CB826" i="1"/>
  <c r="BZ826" i="1"/>
  <c r="BY826" i="1"/>
  <c r="BX826" i="1"/>
  <c r="BV826" i="1"/>
  <c r="BU826" i="1"/>
  <c r="BR826" i="1"/>
  <c r="BQ826" i="1"/>
  <c r="BP826" i="1"/>
  <c r="BO826" i="1"/>
  <c r="BN826" i="1"/>
  <c r="BM826" i="1"/>
  <c r="BL826" i="1"/>
  <c r="BK826" i="1"/>
  <c r="BI826" i="1"/>
  <c r="BH826" i="1"/>
  <c r="BG826" i="1"/>
  <c r="BF826" i="1"/>
  <c r="BE826" i="1"/>
  <c r="BD826" i="1"/>
  <c r="BB826" i="1"/>
  <c r="BA826" i="1"/>
  <c r="AZ826" i="1"/>
  <c r="AX826" i="1"/>
  <c r="AW826" i="1"/>
  <c r="AV826" i="1"/>
  <c r="AT826" i="1"/>
  <c r="AS826" i="1"/>
  <c r="AR826" i="1"/>
  <c r="AQ826" i="1"/>
  <c r="AP826" i="1"/>
  <c r="AO826" i="1"/>
  <c r="AN826" i="1"/>
  <c r="AM826" i="1"/>
  <c r="AL826" i="1"/>
  <c r="AK826" i="1"/>
  <c r="AI826" i="1"/>
  <c r="AH826" i="1"/>
  <c r="AG826" i="1"/>
  <c r="AF826" i="1"/>
  <c r="AE826" i="1"/>
  <c r="AD826" i="1"/>
  <c r="F826" i="1"/>
  <c r="B826" i="1"/>
  <c r="BE828" i="1" s="1"/>
  <c r="DE825" i="1"/>
  <c r="DD825" i="1"/>
  <c r="DC825" i="1"/>
  <c r="DB825" i="1"/>
  <c r="DA825" i="1"/>
  <c r="CZ825" i="1"/>
  <c r="CY825" i="1"/>
  <c r="CX825" i="1"/>
  <c r="CW825" i="1"/>
  <c r="CV825" i="1"/>
  <c r="CU825" i="1"/>
  <c r="CT825" i="1"/>
  <c r="CS825" i="1"/>
  <c r="CR825" i="1"/>
  <c r="CQ825" i="1"/>
  <c r="CP825" i="1"/>
  <c r="CO825" i="1"/>
  <c r="CN825" i="1"/>
  <c r="CM825" i="1"/>
  <c r="CL825" i="1"/>
  <c r="CK825" i="1"/>
  <c r="CJ825" i="1"/>
  <c r="CI825" i="1"/>
  <c r="CH825" i="1"/>
  <c r="CG825" i="1"/>
  <c r="CF825" i="1"/>
  <c r="BR825" i="1"/>
  <c r="BQ825" i="1"/>
  <c r="BP825" i="1"/>
  <c r="BO825" i="1"/>
  <c r="BN825" i="1"/>
  <c r="BM825" i="1"/>
  <c r="BL825" i="1"/>
  <c r="BK825" i="1"/>
  <c r="BJ825" i="1"/>
  <c r="BI825" i="1"/>
  <c r="BH825" i="1"/>
  <c r="BG825" i="1"/>
  <c r="BF825" i="1"/>
  <c r="BE825" i="1"/>
  <c r="BB825" i="1"/>
  <c r="BA825" i="1"/>
  <c r="AX825" i="1"/>
  <c r="AW825" i="1"/>
  <c r="AT825" i="1"/>
  <c r="AS825" i="1"/>
  <c r="AR825" i="1"/>
  <c r="AQ825" i="1"/>
  <c r="AP825" i="1"/>
  <c r="AO825" i="1"/>
  <c r="AN825" i="1"/>
  <c r="AM825" i="1"/>
  <c r="AL825" i="1"/>
  <c r="AK825" i="1"/>
  <c r="AJ825" i="1"/>
  <c r="AI825" i="1"/>
  <c r="AH825" i="1"/>
  <c r="AG825" i="1"/>
  <c r="AF825" i="1"/>
  <c r="AE825" i="1"/>
  <c r="AD825" i="1"/>
  <c r="R825" i="1"/>
  <c r="Q825" i="1"/>
  <c r="O825" i="1"/>
  <c r="P825" i="1" s="1"/>
  <c r="DE824" i="1"/>
  <c r="DD824" i="1"/>
  <c r="DC824" i="1"/>
  <c r="DB824" i="1"/>
  <c r="DA824" i="1"/>
  <c r="CZ824" i="1"/>
  <c r="CY824" i="1"/>
  <c r="CX824" i="1"/>
  <c r="CW824" i="1"/>
  <c r="CV824" i="1"/>
  <c r="CU824" i="1"/>
  <c r="CT824" i="1"/>
  <c r="CS824" i="1"/>
  <c r="CR824" i="1"/>
  <c r="CQ824" i="1"/>
  <c r="CP824" i="1"/>
  <c r="CO824" i="1"/>
  <c r="CN824" i="1"/>
  <c r="CM824" i="1"/>
  <c r="CL824" i="1"/>
  <c r="CK824" i="1"/>
  <c r="CJ824" i="1"/>
  <c r="CI824" i="1"/>
  <c r="CH824" i="1"/>
  <c r="CG824" i="1"/>
  <c r="CF824" i="1"/>
  <c r="BR824" i="1"/>
  <c r="BQ824" i="1"/>
  <c r="BP824" i="1"/>
  <c r="BO824" i="1"/>
  <c r="BN824" i="1"/>
  <c r="BM824" i="1"/>
  <c r="BL824" i="1"/>
  <c r="BK824" i="1"/>
  <c r="BJ824" i="1"/>
  <c r="BI824" i="1"/>
  <c r="BH824" i="1"/>
  <c r="BG824" i="1"/>
  <c r="BF824" i="1"/>
  <c r="BE824" i="1"/>
  <c r="BB824" i="1"/>
  <c r="BA824" i="1"/>
  <c r="AX824" i="1"/>
  <c r="AW824" i="1"/>
  <c r="AT824" i="1"/>
  <c r="AS824" i="1"/>
  <c r="AR824" i="1"/>
  <c r="AQ824" i="1"/>
  <c r="AP824" i="1"/>
  <c r="AO824" i="1"/>
  <c r="AN824" i="1"/>
  <c r="AL824" i="1"/>
  <c r="AK824" i="1"/>
  <c r="AJ824" i="1"/>
  <c r="AI824" i="1"/>
  <c r="AH824" i="1"/>
  <c r="AG824" i="1"/>
  <c r="AF824" i="1"/>
  <c r="AE824" i="1"/>
  <c r="AD824" i="1"/>
  <c r="O824" i="1"/>
  <c r="P824" i="1" s="1"/>
  <c r="AM824" i="1" s="1"/>
  <c r="J824" i="1"/>
  <c r="DE823" i="1"/>
  <c r="DD823" i="1"/>
  <c r="DC823" i="1"/>
  <c r="DB823" i="1"/>
  <c r="DA823" i="1"/>
  <c r="CZ823" i="1"/>
  <c r="CY823" i="1"/>
  <c r="CX823" i="1"/>
  <c r="CW823" i="1"/>
  <c r="CV823" i="1"/>
  <c r="CU823" i="1"/>
  <c r="CT823" i="1"/>
  <c r="CS823" i="1"/>
  <c r="CR823" i="1"/>
  <c r="CQ823" i="1"/>
  <c r="CP823" i="1"/>
  <c r="CO823" i="1"/>
  <c r="CN823" i="1"/>
  <c r="CM823" i="1"/>
  <c r="CL823" i="1"/>
  <c r="CK823" i="1"/>
  <c r="CJ823" i="1"/>
  <c r="CI823" i="1"/>
  <c r="CH823" i="1"/>
  <c r="CG823" i="1"/>
  <c r="CF823" i="1"/>
  <c r="CC823" i="1"/>
  <c r="CB823" i="1"/>
  <c r="BY823" i="1"/>
  <c r="BX823" i="1"/>
  <c r="BU823" i="1"/>
  <c r="BT823" i="1"/>
  <c r="BR823" i="1"/>
  <c r="BQ823" i="1"/>
  <c r="BP823" i="1"/>
  <c r="BO823" i="1"/>
  <c r="BN823" i="1"/>
  <c r="BM823" i="1"/>
  <c r="BL823" i="1"/>
  <c r="BK823" i="1"/>
  <c r="BI823" i="1"/>
  <c r="BH823" i="1"/>
  <c r="BG823" i="1"/>
  <c r="BF823" i="1"/>
  <c r="BE823" i="1"/>
  <c r="BD823" i="1"/>
  <c r="BA823" i="1"/>
  <c r="AZ823" i="1"/>
  <c r="AW823" i="1"/>
  <c r="AV823" i="1"/>
  <c r="AS823" i="1"/>
  <c r="AR823" i="1"/>
  <c r="AQ823" i="1"/>
  <c r="AP823" i="1"/>
  <c r="AO823" i="1"/>
  <c r="AN823" i="1"/>
  <c r="AM823" i="1"/>
  <c r="AL823" i="1"/>
  <c r="AK823" i="1"/>
  <c r="AJ823" i="1"/>
  <c r="AI823" i="1"/>
  <c r="AH823" i="1"/>
  <c r="AG823" i="1"/>
  <c r="AF823" i="1"/>
  <c r="AE823" i="1"/>
  <c r="AD823" i="1"/>
  <c r="P823" i="1"/>
  <c r="O823" i="1"/>
  <c r="BJ823" i="1" s="1"/>
  <c r="F823" i="1"/>
  <c r="B823" i="1"/>
  <c r="BD825" i="1" s="1"/>
  <c r="DE822" i="1"/>
  <c r="DD822" i="1"/>
  <c r="DC822" i="1"/>
  <c r="DB822" i="1"/>
  <c r="DA822" i="1"/>
  <c r="CZ822" i="1"/>
  <c r="CY822" i="1"/>
  <c r="CX822" i="1"/>
  <c r="CW822" i="1"/>
  <c r="CV822" i="1"/>
  <c r="CU822" i="1"/>
  <c r="CT822" i="1"/>
  <c r="CS822" i="1"/>
  <c r="CR822" i="1"/>
  <c r="CQ822" i="1"/>
  <c r="CP822" i="1"/>
  <c r="CO822" i="1"/>
  <c r="CN822" i="1"/>
  <c r="CM822" i="1"/>
  <c r="CL822" i="1"/>
  <c r="CK822" i="1"/>
  <c r="CJ822" i="1"/>
  <c r="CI822" i="1"/>
  <c r="CH822" i="1"/>
  <c r="CG822" i="1"/>
  <c r="CF822" i="1"/>
  <c r="BR822" i="1"/>
  <c r="BQ822" i="1"/>
  <c r="BP822" i="1"/>
  <c r="BO822" i="1"/>
  <c r="BN822" i="1"/>
  <c r="BM822" i="1"/>
  <c r="BL822" i="1"/>
  <c r="BK822" i="1"/>
  <c r="BJ822" i="1"/>
  <c r="BI822" i="1"/>
  <c r="BH822" i="1"/>
  <c r="BG822" i="1"/>
  <c r="BF822" i="1"/>
  <c r="AR822" i="1"/>
  <c r="AQ822" i="1"/>
  <c r="AP822" i="1"/>
  <c r="AO822" i="1"/>
  <c r="AN822" i="1"/>
  <c r="AM822" i="1"/>
  <c r="AL822" i="1"/>
  <c r="AK822" i="1"/>
  <c r="AJ822" i="1"/>
  <c r="AI822" i="1"/>
  <c r="AH822" i="1"/>
  <c r="AG822" i="1"/>
  <c r="AF822" i="1"/>
  <c r="AE822" i="1"/>
  <c r="AD822" i="1"/>
  <c r="R822" i="1"/>
  <c r="Q822" i="1"/>
  <c r="DE821" i="1"/>
  <c r="DD821" i="1"/>
  <c r="DC821" i="1"/>
  <c r="DB821" i="1"/>
  <c r="DA821" i="1"/>
  <c r="CZ821" i="1"/>
  <c r="CY821" i="1"/>
  <c r="CX821" i="1"/>
  <c r="CW821" i="1"/>
  <c r="CV821" i="1"/>
  <c r="CU821" i="1"/>
  <c r="CT821" i="1"/>
  <c r="CS821" i="1"/>
  <c r="CR821" i="1"/>
  <c r="CQ821" i="1"/>
  <c r="CP821" i="1"/>
  <c r="CO821" i="1"/>
  <c r="CN821" i="1"/>
  <c r="CM821" i="1"/>
  <c r="CL821" i="1"/>
  <c r="CK821" i="1"/>
  <c r="CJ821" i="1"/>
  <c r="CI821" i="1"/>
  <c r="CH821" i="1"/>
  <c r="CG821" i="1"/>
  <c r="CF821" i="1"/>
  <c r="BR821" i="1"/>
  <c r="BQ821" i="1"/>
  <c r="BP821" i="1"/>
  <c r="BO821" i="1"/>
  <c r="BN821" i="1"/>
  <c r="BM821" i="1"/>
  <c r="BL821" i="1"/>
  <c r="BK821" i="1"/>
  <c r="BI821" i="1"/>
  <c r="BH821" i="1"/>
  <c r="BG821" i="1"/>
  <c r="BF821" i="1"/>
  <c r="AR821" i="1"/>
  <c r="AQ821" i="1"/>
  <c r="AP821" i="1"/>
  <c r="AO821" i="1"/>
  <c r="AN821" i="1"/>
  <c r="AM821" i="1"/>
  <c r="AL821" i="1"/>
  <c r="AK821" i="1"/>
  <c r="AI821" i="1"/>
  <c r="AH821" i="1"/>
  <c r="AG821" i="1"/>
  <c r="AF821" i="1"/>
  <c r="AE821" i="1"/>
  <c r="AD821" i="1"/>
  <c r="J821" i="1"/>
  <c r="DE820" i="1"/>
  <c r="DD820" i="1"/>
  <c r="DC820" i="1"/>
  <c r="DB820" i="1"/>
  <c r="DA820" i="1"/>
  <c r="CZ820" i="1"/>
  <c r="CY820" i="1"/>
  <c r="CX820" i="1"/>
  <c r="CW820" i="1"/>
  <c r="CV820" i="1"/>
  <c r="CU820" i="1"/>
  <c r="CT820" i="1"/>
  <c r="CS820" i="1"/>
  <c r="CR820" i="1"/>
  <c r="CQ820" i="1"/>
  <c r="CP820" i="1"/>
  <c r="CO820" i="1"/>
  <c r="CN820" i="1"/>
  <c r="CM820" i="1"/>
  <c r="CL820" i="1"/>
  <c r="CK820" i="1"/>
  <c r="CJ820" i="1"/>
  <c r="CI820" i="1"/>
  <c r="CH820" i="1"/>
  <c r="CG820" i="1"/>
  <c r="CF820" i="1"/>
  <c r="BR820" i="1"/>
  <c r="BQ820" i="1"/>
  <c r="BP820" i="1"/>
  <c r="BO820" i="1"/>
  <c r="BN820" i="1"/>
  <c r="BM820" i="1"/>
  <c r="BL820" i="1"/>
  <c r="BK820" i="1"/>
  <c r="BJ820" i="1"/>
  <c r="BI820" i="1"/>
  <c r="BH820" i="1"/>
  <c r="BF820" i="1"/>
  <c r="AR820" i="1"/>
  <c r="AQ820" i="1"/>
  <c r="AP820" i="1"/>
  <c r="AO820" i="1"/>
  <c r="AN820" i="1"/>
  <c r="AM820" i="1"/>
  <c r="AL820" i="1"/>
  <c r="AK820" i="1"/>
  <c r="AJ820" i="1"/>
  <c r="AI820" i="1"/>
  <c r="AH820" i="1"/>
  <c r="AF820" i="1"/>
  <c r="AE820" i="1"/>
  <c r="AD820" i="1"/>
  <c r="F820" i="1"/>
  <c r="B820" i="1"/>
  <c r="DE819" i="1"/>
  <c r="DD819" i="1"/>
  <c r="DC819" i="1"/>
  <c r="DB819" i="1"/>
  <c r="DA819" i="1"/>
  <c r="CZ819" i="1"/>
  <c r="CY819" i="1"/>
  <c r="CX819" i="1"/>
  <c r="CW819" i="1"/>
  <c r="CV819" i="1"/>
  <c r="CU819" i="1"/>
  <c r="CT819" i="1"/>
  <c r="CS819" i="1"/>
  <c r="CR819" i="1"/>
  <c r="CQ819" i="1"/>
  <c r="CP819" i="1"/>
  <c r="CO819" i="1"/>
  <c r="CN819" i="1"/>
  <c r="CM819" i="1"/>
  <c r="CL819" i="1"/>
  <c r="CK819" i="1"/>
  <c r="CJ819" i="1"/>
  <c r="CI819" i="1"/>
  <c r="CH819" i="1"/>
  <c r="CG819" i="1"/>
  <c r="CF819" i="1"/>
  <c r="BR819" i="1"/>
  <c r="BQ819" i="1"/>
  <c r="BP819" i="1"/>
  <c r="BO819" i="1"/>
  <c r="BN819" i="1"/>
  <c r="BM819" i="1"/>
  <c r="BL819" i="1"/>
  <c r="BK819" i="1"/>
  <c r="BJ819" i="1"/>
  <c r="BI819" i="1"/>
  <c r="BH819" i="1"/>
  <c r="BG819" i="1"/>
  <c r="BF819" i="1"/>
  <c r="AR819" i="1"/>
  <c r="AQ819" i="1"/>
  <c r="AP819" i="1"/>
  <c r="AO819" i="1"/>
  <c r="AN819" i="1"/>
  <c r="AM819" i="1"/>
  <c r="AL819" i="1"/>
  <c r="AK819" i="1"/>
  <c r="AJ819" i="1"/>
  <c r="AI819" i="1"/>
  <c r="AH819" i="1"/>
  <c r="AG819" i="1"/>
  <c r="AF819" i="1"/>
  <c r="AE819" i="1"/>
  <c r="AD819" i="1"/>
  <c r="R819" i="1"/>
  <c r="Q819" i="1"/>
  <c r="DE818" i="1"/>
  <c r="DD818" i="1"/>
  <c r="DC818" i="1"/>
  <c r="DB818" i="1"/>
  <c r="DA818" i="1"/>
  <c r="CZ818" i="1"/>
  <c r="CY818" i="1"/>
  <c r="CX818" i="1"/>
  <c r="CW818" i="1"/>
  <c r="CV818" i="1"/>
  <c r="CU818" i="1"/>
  <c r="CT818" i="1"/>
  <c r="CS818" i="1"/>
  <c r="CR818" i="1"/>
  <c r="CQ818" i="1"/>
  <c r="CP818" i="1"/>
  <c r="CO818" i="1"/>
  <c r="CN818" i="1"/>
  <c r="CM818" i="1"/>
  <c r="CL818" i="1"/>
  <c r="CK818" i="1"/>
  <c r="CJ818" i="1"/>
  <c r="CI818" i="1"/>
  <c r="CH818" i="1"/>
  <c r="CG818" i="1"/>
  <c r="CF818" i="1"/>
  <c r="BR818" i="1"/>
  <c r="BQ818" i="1"/>
  <c r="BP818" i="1"/>
  <c r="BO818" i="1"/>
  <c r="BN818" i="1"/>
  <c r="BL818" i="1"/>
  <c r="BK818" i="1"/>
  <c r="BJ818" i="1"/>
  <c r="BI818" i="1"/>
  <c r="BH818" i="1"/>
  <c r="BG818" i="1"/>
  <c r="BF818" i="1"/>
  <c r="AR818" i="1"/>
  <c r="AQ818" i="1"/>
  <c r="AP818" i="1"/>
  <c r="AO818" i="1"/>
  <c r="AN818" i="1"/>
  <c r="AL818" i="1"/>
  <c r="AK818" i="1"/>
  <c r="AJ818" i="1"/>
  <c r="AI818" i="1"/>
  <c r="AH818" i="1"/>
  <c r="AG818" i="1"/>
  <c r="AF818" i="1"/>
  <c r="AE818" i="1"/>
  <c r="O817" i="1" s="1"/>
  <c r="AD818" i="1"/>
  <c r="J818" i="1"/>
  <c r="DE817" i="1"/>
  <c r="DD817" i="1"/>
  <c r="DC817" i="1"/>
  <c r="DB817" i="1"/>
  <c r="DA817" i="1"/>
  <c r="CZ817" i="1"/>
  <c r="CY817" i="1"/>
  <c r="CX817" i="1"/>
  <c r="CW817" i="1"/>
  <c r="CV817" i="1"/>
  <c r="CU817" i="1"/>
  <c r="CT817" i="1"/>
  <c r="CS817" i="1"/>
  <c r="CR817" i="1"/>
  <c r="CQ817" i="1"/>
  <c r="CP817" i="1"/>
  <c r="CO817" i="1"/>
  <c r="CN817" i="1"/>
  <c r="CM817" i="1"/>
  <c r="CL817" i="1"/>
  <c r="CK817" i="1"/>
  <c r="CJ817" i="1"/>
  <c r="CI817" i="1"/>
  <c r="CH817" i="1"/>
  <c r="CG817" i="1"/>
  <c r="CF817" i="1"/>
  <c r="BR817" i="1"/>
  <c r="BQ817" i="1"/>
  <c r="BP817" i="1"/>
  <c r="BO817" i="1"/>
  <c r="BN817" i="1"/>
  <c r="BM817" i="1"/>
  <c r="BL817" i="1"/>
  <c r="BK817" i="1"/>
  <c r="BI817" i="1"/>
  <c r="BH817" i="1"/>
  <c r="BG817" i="1"/>
  <c r="BF817" i="1"/>
  <c r="AR817" i="1"/>
  <c r="AQ817" i="1"/>
  <c r="AP817" i="1"/>
  <c r="AO817" i="1"/>
  <c r="AN817" i="1"/>
  <c r="AM817" i="1"/>
  <c r="AL817" i="1"/>
  <c r="AK817" i="1"/>
  <c r="AI817" i="1"/>
  <c r="AH817" i="1"/>
  <c r="AG817" i="1"/>
  <c r="AF817" i="1"/>
  <c r="AE817" i="1"/>
  <c r="AD817" i="1"/>
  <c r="F817" i="1"/>
  <c r="B817" i="1"/>
  <c r="DE816" i="1"/>
  <c r="DD816" i="1"/>
  <c r="DC816" i="1"/>
  <c r="DB816" i="1"/>
  <c r="DA816" i="1"/>
  <c r="CZ816" i="1"/>
  <c r="CY816" i="1"/>
  <c r="CX816" i="1"/>
  <c r="CW816" i="1"/>
  <c r="CV816" i="1"/>
  <c r="CU816" i="1"/>
  <c r="CT816" i="1"/>
  <c r="CS816" i="1"/>
  <c r="CR816" i="1"/>
  <c r="CQ816" i="1"/>
  <c r="CP816" i="1"/>
  <c r="CO816" i="1"/>
  <c r="CN816" i="1"/>
  <c r="CM816" i="1"/>
  <c r="CL816" i="1"/>
  <c r="CK816" i="1"/>
  <c r="CJ816" i="1"/>
  <c r="CI816" i="1"/>
  <c r="CH816" i="1"/>
  <c r="CG816" i="1"/>
  <c r="CF816" i="1"/>
  <c r="BR816" i="1"/>
  <c r="BQ816" i="1"/>
  <c r="BP816" i="1"/>
  <c r="BO816" i="1"/>
  <c r="BN816" i="1"/>
  <c r="BM816" i="1"/>
  <c r="BL816" i="1"/>
  <c r="BK816" i="1"/>
  <c r="BJ816" i="1"/>
  <c r="BI816" i="1"/>
  <c r="BH816" i="1"/>
  <c r="BG816" i="1"/>
  <c r="BF816" i="1"/>
  <c r="BE816" i="1"/>
  <c r="BC816" i="1"/>
  <c r="BB816" i="1"/>
  <c r="BA816" i="1"/>
  <c r="AY816" i="1"/>
  <c r="AX816" i="1"/>
  <c r="AW816" i="1"/>
  <c r="AU816" i="1"/>
  <c r="AT816" i="1"/>
  <c r="AS816" i="1"/>
  <c r="AR816" i="1"/>
  <c r="AQ816" i="1"/>
  <c r="AP816" i="1"/>
  <c r="AO816" i="1"/>
  <c r="AN816" i="1"/>
  <c r="AM816" i="1"/>
  <c r="AL816" i="1"/>
  <c r="AK816" i="1"/>
  <c r="AJ816" i="1"/>
  <c r="AI816" i="1"/>
  <c r="AH816" i="1"/>
  <c r="AG816" i="1"/>
  <c r="AF816" i="1"/>
  <c r="AE816" i="1"/>
  <c r="AD816" i="1"/>
  <c r="R816" i="1"/>
  <c r="Q816" i="1"/>
  <c r="DE815" i="1"/>
  <c r="DD815" i="1"/>
  <c r="DC815" i="1"/>
  <c r="DB815" i="1"/>
  <c r="DA815" i="1"/>
  <c r="CZ815" i="1"/>
  <c r="CY815" i="1"/>
  <c r="CX815" i="1"/>
  <c r="CW815" i="1"/>
  <c r="CV815" i="1"/>
  <c r="CU815" i="1"/>
  <c r="CT815" i="1"/>
  <c r="CS815" i="1"/>
  <c r="CR815" i="1"/>
  <c r="CQ815" i="1"/>
  <c r="CP815" i="1"/>
  <c r="CO815" i="1"/>
  <c r="CN815" i="1"/>
  <c r="CM815" i="1"/>
  <c r="CL815" i="1"/>
  <c r="CK815" i="1"/>
  <c r="CJ815" i="1"/>
  <c r="CI815" i="1"/>
  <c r="CH815" i="1"/>
  <c r="CG815" i="1"/>
  <c r="CF815" i="1"/>
  <c r="BR815" i="1"/>
  <c r="BQ815" i="1"/>
  <c r="BP815" i="1"/>
  <c r="BO815" i="1"/>
  <c r="BN815" i="1"/>
  <c r="BM815" i="1"/>
  <c r="BL815" i="1"/>
  <c r="BK815" i="1"/>
  <c r="BI815" i="1"/>
  <c r="BH815" i="1"/>
  <c r="BG815" i="1"/>
  <c r="BF815" i="1"/>
  <c r="BE815" i="1"/>
  <c r="BC815" i="1"/>
  <c r="BB815" i="1"/>
  <c r="BA815" i="1"/>
  <c r="AY815" i="1"/>
  <c r="AX815" i="1"/>
  <c r="AW815" i="1"/>
  <c r="AU815" i="1"/>
  <c r="AT815" i="1"/>
  <c r="AS815" i="1"/>
  <c r="AR815" i="1"/>
  <c r="AQ815" i="1"/>
  <c r="AP815" i="1"/>
  <c r="AO815" i="1"/>
  <c r="AN815" i="1"/>
  <c r="AM815" i="1"/>
  <c r="AL815" i="1"/>
  <c r="AK815" i="1"/>
  <c r="AI815" i="1"/>
  <c r="AH815" i="1"/>
  <c r="AG815" i="1"/>
  <c r="AF815" i="1"/>
  <c r="AE815" i="1"/>
  <c r="O814" i="1" s="1"/>
  <c r="AD815" i="1"/>
  <c r="J815" i="1"/>
  <c r="DJ814" i="1"/>
  <c r="DE814" i="1"/>
  <c r="DD814" i="1"/>
  <c r="DC814" i="1"/>
  <c r="DB814" i="1"/>
  <c r="DA814" i="1"/>
  <c r="CZ814" i="1"/>
  <c r="CY814" i="1"/>
  <c r="CX814" i="1"/>
  <c r="CW814" i="1"/>
  <c r="CV814" i="1"/>
  <c r="CU814" i="1"/>
  <c r="CT814" i="1"/>
  <c r="CS814" i="1"/>
  <c r="CR814" i="1"/>
  <c r="CQ814" i="1"/>
  <c r="CP814" i="1"/>
  <c r="CO814" i="1"/>
  <c r="CN814" i="1"/>
  <c r="CM814" i="1"/>
  <c r="CL814" i="1"/>
  <c r="CK814" i="1"/>
  <c r="CJ814" i="1"/>
  <c r="CI814" i="1"/>
  <c r="CH814" i="1"/>
  <c r="CG814" i="1"/>
  <c r="CF814" i="1"/>
  <c r="CD814" i="1"/>
  <c r="CC814" i="1"/>
  <c r="CB814" i="1"/>
  <c r="BZ814" i="1"/>
  <c r="BY814" i="1"/>
  <c r="BX814" i="1"/>
  <c r="BV814" i="1"/>
  <c r="BU814" i="1"/>
  <c r="BT814" i="1"/>
  <c r="BR814" i="1"/>
  <c r="BQ814" i="1"/>
  <c r="BP814" i="1"/>
  <c r="BO814" i="1"/>
  <c r="BN814" i="1"/>
  <c r="BM814" i="1"/>
  <c r="BL814" i="1"/>
  <c r="BK814" i="1"/>
  <c r="BJ814" i="1"/>
  <c r="BI814" i="1"/>
  <c r="BH814" i="1"/>
  <c r="BG814" i="1"/>
  <c r="BF814" i="1"/>
  <c r="BE814" i="1"/>
  <c r="BD814" i="1"/>
  <c r="BB814" i="1"/>
  <c r="BA814" i="1"/>
  <c r="AZ814" i="1"/>
  <c r="AX814" i="1"/>
  <c r="AW814" i="1"/>
  <c r="AV814" i="1"/>
  <c r="AT814" i="1"/>
  <c r="AS814" i="1"/>
  <c r="AR814" i="1"/>
  <c r="AQ814" i="1"/>
  <c r="AP814" i="1"/>
  <c r="AO814" i="1"/>
  <c r="AN814" i="1"/>
  <c r="AL814" i="1"/>
  <c r="AK814" i="1"/>
  <c r="AJ814" i="1"/>
  <c r="AI814" i="1"/>
  <c r="AH814" i="1"/>
  <c r="AG814" i="1"/>
  <c r="AF814" i="1"/>
  <c r="AE814" i="1"/>
  <c r="AD814" i="1"/>
  <c r="F814" i="1"/>
  <c r="D814" i="1"/>
  <c r="DJ816" i="1" s="1"/>
  <c r="B814" i="1"/>
  <c r="BD816" i="1" s="1"/>
  <c r="DJ813" i="1"/>
  <c r="DE813" i="1"/>
  <c r="DD813" i="1"/>
  <c r="DC813" i="1"/>
  <c r="DB813" i="1"/>
  <c r="DA813" i="1"/>
  <c r="CZ813" i="1"/>
  <c r="CY813" i="1"/>
  <c r="CX813" i="1"/>
  <c r="CW813" i="1"/>
  <c r="CV813" i="1"/>
  <c r="CU813" i="1"/>
  <c r="CT813" i="1"/>
  <c r="CS813" i="1"/>
  <c r="CR813" i="1"/>
  <c r="CQ813" i="1"/>
  <c r="CP813" i="1"/>
  <c r="CO813" i="1"/>
  <c r="CN813" i="1"/>
  <c r="CM813" i="1"/>
  <c r="CL813" i="1"/>
  <c r="CK813" i="1"/>
  <c r="CJ813" i="1"/>
  <c r="CI813" i="1"/>
  <c r="CH813" i="1"/>
  <c r="CG813" i="1"/>
  <c r="CF813" i="1"/>
  <c r="BR813" i="1"/>
  <c r="BQ813" i="1"/>
  <c r="BP813" i="1"/>
  <c r="BO813" i="1"/>
  <c r="BN813" i="1"/>
  <c r="BM813" i="1"/>
  <c r="BL813" i="1"/>
  <c r="BK813" i="1"/>
  <c r="BJ813" i="1"/>
  <c r="BI813" i="1"/>
  <c r="BH813" i="1"/>
  <c r="BG813" i="1"/>
  <c r="BF813" i="1"/>
  <c r="AR813" i="1"/>
  <c r="AQ813" i="1"/>
  <c r="AP813" i="1"/>
  <c r="AO813" i="1"/>
  <c r="AN813" i="1"/>
  <c r="AM813" i="1"/>
  <c r="AL813" i="1"/>
  <c r="AK813" i="1"/>
  <c r="AJ813" i="1"/>
  <c r="AI813" i="1"/>
  <c r="AH813" i="1"/>
  <c r="AG813" i="1"/>
  <c r="AF813" i="1"/>
  <c r="AE813" i="1"/>
  <c r="AD813" i="1"/>
  <c r="R813" i="1"/>
  <c r="Q813" i="1"/>
  <c r="O813" i="1"/>
  <c r="P813" i="1" s="1"/>
  <c r="DJ812" i="1"/>
  <c r="DE812" i="1"/>
  <c r="DD812" i="1"/>
  <c r="DC812" i="1"/>
  <c r="DB812" i="1"/>
  <c r="DA812" i="1"/>
  <c r="CZ812" i="1"/>
  <c r="CY812" i="1"/>
  <c r="CX812" i="1"/>
  <c r="CW812" i="1"/>
  <c r="CV812" i="1"/>
  <c r="CU812" i="1"/>
  <c r="CT812" i="1"/>
  <c r="CS812" i="1"/>
  <c r="CR812" i="1"/>
  <c r="CQ812" i="1"/>
  <c r="CP812" i="1"/>
  <c r="CO812" i="1"/>
  <c r="CN812" i="1"/>
  <c r="CM812" i="1"/>
  <c r="CL812" i="1"/>
  <c r="CK812" i="1"/>
  <c r="CJ812" i="1"/>
  <c r="CI812" i="1"/>
  <c r="CH812" i="1"/>
  <c r="CG812" i="1"/>
  <c r="CF812" i="1"/>
  <c r="BR812" i="1"/>
  <c r="BQ812" i="1"/>
  <c r="BP812" i="1"/>
  <c r="BO812" i="1"/>
  <c r="BN812" i="1"/>
  <c r="BM812" i="1"/>
  <c r="BL812" i="1"/>
  <c r="BK812" i="1"/>
  <c r="BJ812" i="1"/>
  <c r="BI812" i="1"/>
  <c r="BH812" i="1"/>
  <c r="BG812" i="1"/>
  <c r="BF812" i="1"/>
  <c r="AR812" i="1"/>
  <c r="AQ812" i="1"/>
  <c r="AP812" i="1"/>
  <c r="AO812" i="1"/>
  <c r="AN812" i="1"/>
  <c r="AM812" i="1"/>
  <c r="AL812" i="1"/>
  <c r="AK812" i="1"/>
  <c r="AI812" i="1"/>
  <c r="AH812" i="1"/>
  <c r="AG812" i="1"/>
  <c r="AF812" i="1"/>
  <c r="AE812" i="1"/>
  <c r="AD812" i="1"/>
  <c r="O812" i="1"/>
  <c r="P812" i="1" s="1"/>
  <c r="AJ812" i="1" s="1"/>
  <c r="J812" i="1"/>
  <c r="DJ811" i="1"/>
  <c r="DE811" i="1"/>
  <c r="DD811" i="1"/>
  <c r="DC811" i="1"/>
  <c r="DB811" i="1"/>
  <c r="DA811" i="1"/>
  <c r="CZ811" i="1"/>
  <c r="CY811" i="1"/>
  <c r="CX811" i="1"/>
  <c r="CW811" i="1"/>
  <c r="CV811" i="1"/>
  <c r="CU811" i="1"/>
  <c r="CT811" i="1"/>
  <c r="CS811" i="1"/>
  <c r="CR811" i="1"/>
  <c r="CQ811" i="1"/>
  <c r="CP811" i="1"/>
  <c r="CO811" i="1"/>
  <c r="CN811" i="1"/>
  <c r="CM811" i="1"/>
  <c r="CL811" i="1"/>
  <c r="CK811" i="1"/>
  <c r="CJ811" i="1"/>
  <c r="CI811" i="1"/>
  <c r="CH811" i="1"/>
  <c r="CG811" i="1"/>
  <c r="CF811" i="1"/>
  <c r="BR811" i="1"/>
  <c r="BQ811" i="1"/>
  <c r="BP811" i="1"/>
  <c r="BO811" i="1"/>
  <c r="BN811" i="1"/>
  <c r="BM811" i="1"/>
  <c r="BL811" i="1"/>
  <c r="BK811" i="1"/>
  <c r="BJ811" i="1"/>
  <c r="BI811" i="1"/>
  <c r="BH811" i="1"/>
  <c r="BG811" i="1"/>
  <c r="BF811" i="1"/>
  <c r="AR811" i="1"/>
  <c r="AQ811" i="1"/>
  <c r="AP811" i="1"/>
  <c r="AO811" i="1"/>
  <c r="AN811" i="1"/>
  <c r="AM811" i="1"/>
  <c r="AL811" i="1"/>
  <c r="AK811" i="1"/>
  <c r="AJ811" i="1"/>
  <c r="AH811" i="1"/>
  <c r="AG811" i="1"/>
  <c r="AF811" i="1"/>
  <c r="AE811" i="1"/>
  <c r="AD811" i="1"/>
  <c r="P811" i="1"/>
  <c r="O811" i="1"/>
  <c r="AI811" i="1" s="1"/>
  <c r="F811" i="1"/>
  <c r="B811" i="1"/>
  <c r="DE810" i="1"/>
  <c r="DD810" i="1"/>
  <c r="DC810" i="1"/>
  <c r="DB810" i="1"/>
  <c r="DA810" i="1"/>
  <c r="CZ810" i="1"/>
  <c r="CY810" i="1"/>
  <c r="CX810" i="1"/>
  <c r="CW810" i="1"/>
  <c r="CV810" i="1"/>
  <c r="CU810" i="1"/>
  <c r="CT810" i="1"/>
  <c r="CS810" i="1"/>
  <c r="CR810" i="1"/>
  <c r="CQ810" i="1"/>
  <c r="CP810" i="1"/>
  <c r="CO810" i="1"/>
  <c r="CN810" i="1"/>
  <c r="CM810" i="1"/>
  <c r="CL810" i="1"/>
  <c r="CK810" i="1"/>
  <c r="CJ810" i="1"/>
  <c r="CI810" i="1"/>
  <c r="CH810" i="1"/>
  <c r="CG810" i="1"/>
  <c r="CF810" i="1"/>
  <c r="BR810" i="1"/>
  <c r="BQ810" i="1"/>
  <c r="BP810" i="1"/>
  <c r="BO810" i="1"/>
  <c r="BN810" i="1"/>
  <c r="BM810" i="1"/>
  <c r="BL810" i="1"/>
  <c r="BK810" i="1"/>
  <c r="BJ810" i="1"/>
  <c r="BI810" i="1"/>
  <c r="BH810" i="1"/>
  <c r="BG810" i="1"/>
  <c r="BF810" i="1"/>
  <c r="AR810" i="1"/>
  <c r="AQ810" i="1"/>
  <c r="AP810" i="1"/>
  <c r="AO810" i="1"/>
  <c r="AN810" i="1"/>
  <c r="AM810" i="1"/>
  <c r="AL810" i="1"/>
  <c r="AK810" i="1"/>
  <c r="AJ810" i="1"/>
  <c r="AI810" i="1"/>
  <c r="AH810" i="1"/>
  <c r="AG810" i="1"/>
  <c r="AF810" i="1"/>
  <c r="AE810" i="1"/>
  <c r="AD810" i="1"/>
  <c r="R810" i="1"/>
  <c r="Q810" i="1"/>
  <c r="DE809" i="1"/>
  <c r="DD809" i="1"/>
  <c r="DC809" i="1"/>
  <c r="DB809" i="1"/>
  <c r="DA809" i="1"/>
  <c r="CZ809" i="1"/>
  <c r="CY809" i="1"/>
  <c r="CX809" i="1"/>
  <c r="CW809" i="1"/>
  <c r="CV809" i="1"/>
  <c r="CU809" i="1"/>
  <c r="CT809" i="1"/>
  <c r="CS809" i="1"/>
  <c r="CR809" i="1"/>
  <c r="CQ809" i="1"/>
  <c r="CP809" i="1"/>
  <c r="CO809" i="1"/>
  <c r="CN809" i="1"/>
  <c r="CM809" i="1"/>
  <c r="CL809" i="1"/>
  <c r="CK809" i="1"/>
  <c r="CJ809" i="1"/>
  <c r="CI809" i="1"/>
  <c r="CH809" i="1"/>
  <c r="CG809" i="1"/>
  <c r="CF809" i="1"/>
  <c r="BR809" i="1"/>
  <c r="BP809" i="1"/>
  <c r="BO809" i="1"/>
  <c r="BN809" i="1"/>
  <c r="BM809" i="1"/>
  <c r="BL809" i="1"/>
  <c r="BK809" i="1"/>
  <c r="BJ809" i="1"/>
  <c r="BI809" i="1"/>
  <c r="BH809" i="1"/>
  <c r="BG809" i="1"/>
  <c r="BF809" i="1"/>
  <c r="AR809" i="1"/>
  <c r="AP809" i="1"/>
  <c r="AO809" i="1"/>
  <c r="AN809" i="1"/>
  <c r="AM809" i="1"/>
  <c r="AL809" i="1"/>
  <c r="AK809" i="1"/>
  <c r="AJ809" i="1"/>
  <c r="AI809" i="1"/>
  <c r="AH809" i="1"/>
  <c r="AG809" i="1"/>
  <c r="AF809" i="1"/>
  <c r="AE809" i="1"/>
  <c r="O808" i="1" s="1"/>
  <c r="AD809" i="1"/>
  <c r="J809" i="1"/>
  <c r="DE808" i="1"/>
  <c r="DD808" i="1"/>
  <c r="DC808" i="1"/>
  <c r="DB808" i="1"/>
  <c r="DA808" i="1"/>
  <c r="CZ808" i="1"/>
  <c r="CY808" i="1"/>
  <c r="CX808" i="1"/>
  <c r="CW808" i="1"/>
  <c r="CV808" i="1"/>
  <c r="CU808" i="1"/>
  <c r="CT808" i="1"/>
  <c r="CS808" i="1"/>
  <c r="CR808" i="1"/>
  <c r="CQ808" i="1"/>
  <c r="CP808" i="1"/>
  <c r="CO808" i="1"/>
  <c r="CN808" i="1"/>
  <c r="CM808" i="1"/>
  <c r="CL808" i="1"/>
  <c r="CK808" i="1"/>
  <c r="CJ808" i="1"/>
  <c r="CI808" i="1"/>
  <c r="CH808" i="1"/>
  <c r="CG808" i="1"/>
  <c r="CF808" i="1"/>
  <c r="BR808" i="1"/>
  <c r="BQ808" i="1"/>
  <c r="BP808" i="1"/>
  <c r="BO808" i="1"/>
  <c r="BN808" i="1"/>
  <c r="BM808" i="1"/>
  <c r="BL808" i="1"/>
  <c r="BK808" i="1"/>
  <c r="BJ808" i="1"/>
  <c r="BH808" i="1"/>
  <c r="BG808" i="1"/>
  <c r="BF808" i="1"/>
  <c r="AR808" i="1"/>
  <c r="AQ808" i="1"/>
  <c r="AP808" i="1"/>
  <c r="AO808" i="1"/>
  <c r="AN808" i="1"/>
  <c r="AM808" i="1"/>
  <c r="AL808" i="1"/>
  <c r="AK808" i="1"/>
  <c r="AJ808" i="1"/>
  <c r="AH808" i="1"/>
  <c r="AG808" i="1"/>
  <c r="AF808" i="1"/>
  <c r="AE808" i="1"/>
  <c r="AD808" i="1"/>
  <c r="F808" i="1"/>
  <c r="B808" i="1"/>
  <c r="DE807" i="1"/>
  <c r="DD807" i="1"/>
  <c r="DC807" i="1"/>
  <c r="DB807" i="1"/>
  <c r="DA807" i="1"/>
  <c r="CZ807" i="1"/>
  <c r="CY807" i="1"/>
  <c r="CX807" i="1"/>
  <c r="CW807" i="1"/>
  <c r="CV807" i="1"/>
  <c r="CU807" i="1"/>
  <c r="CT807" i="1"/>
  <c r="CS807" i="1"/>
  <c r="CR807" i="1"/>
  <c r="CQ807" i="1"/>
  <c r="CP807" i="1"/>
  <c r="CO807" i="1"/>
  <c r="CN807" i="1"/>
  <c r="CM807" i="1"/>
  <c r="CL807" i="1"/>
  <c r="CK807" i="1"/>
  <c r="CJ807" i="1"/>
  <c r="CI807" i="1"/>
  <c r="CH807" i="1"/>
  <c r="CG807" i="1"/>
  <c r="CF807" i="1"/>
  <c r="BR807" i="1"/>
  <c r="BQ807" i="1"/>
  <c r="BP807" i="1"/>
  <c r="BO807" i="1"/>
  <c r="BN807" i="1"/>
  <c r="BM807" i="1"/>
  <c r="BL807" i="1"/>
  <c r="BK807" i="1"/>
  <c r="BJ807" i="1"/>
  <c r="BI807" i="1"/>
  <c r="BH807" i="1"/>
  <c r="BG807" i="1"/>
  <c r="BF807" i="1"/>
  <c r="BE807" i="1"/>
  <c r="BC807" i="1"/>
  <c r="BB807" i="1"/>
  <c r="BA807" i="1"/>
  <c r="AY807" i="1"/>
  <c r="AX807" i="1"/>
  <c r="AW807" i="1"/>
  <c r="AU807" i="1"/>
  <c r="AT807" i="1"/>
  <c r="AS807" i="1"/>
  <c r="AR807" i="1"/>
  <c r="AQ807" i="1"/>
  <c r="AP807" i="1"/>
  <c r="AO807" i="1"/>
  <c r="AN807" i="1"/>
  <c r="AM807" i="1"/>
  <c r="AL807" i="1"/>
  <c r="AK807" i="1"/>
  <c r="AJ807" i="1"/>
  <c r="AI807" i="1"/>
  <c r="AH807" i="1"/>
  <c r="AG807" i="1"/>
  <c r="AF807" i="1"/>
  <c r="AE807" i="1"/>
  <c r="AD807" i="1"/>
  <c r="R807" i="1"/>
  <c r="Q807" i="1"/>
  <c r="DE806" i="1"/>
  <c r="DD806" i="1"/>
  <c r="DC806" i="1"/>
  <c r="DB806" i="1"/>
  <c r="DA806" i="1"/>
  <c r="CZ806" i="1"/>
  <c r="CY806" i="1"/>
  <c r="CX806" i="1"/>
  <c r="CW806" i="1"/>
  <c r="CV806" i="1"/>
  <c r="CU806" i="1"/>
  <c r="CT806" i="1"/>
  <c r="CS806" i="1"/>
  <c r="CR806" i="1"/>
  <c r="CQ806" i="1"/>
  <c r="CP806" i="1"/>
  <c r="CO806" i="1"/>
  <c r="CN806" i="1"/>
  <c r="CM806" i="1"/>
  <c r="CL806" i="1"/>
  <c r="CK806" i="1"/>
  <c r="CJ806" i="1"/>
  <c r="CI806" i="1"/>
  <c r="CH806" i="1"/>
  <c r="CG806" i="1"/>
  <c r="CF806" i="1"/>
  <c r="BR806" i="1"/>
  <c r="BQ806" i="1"/>
  <c r="BP806" i="1"/>
  <c r="BO806" i="1"/>
  <c r="BN806" i="1"/>
  <c r="BM806" i="1"/>
  <c r="BL806" i="1"/>
  <c r="BK806" i="1"/>
  <c r="BI806" i="1"/>
  <c r="BH806" i="1"/>
  <c r="BG806" i="1"/>
  <c r="BF806" i="1"/>
  <c r="BE806" i="1"/>
  <c r="BC806" i="1"/>
  <c r="BB806" i="1"/>
  <c r="BA806" i="1"/>
  <c r="AY806" i="1"/>
  <c r="AX806" i="1"/>
  <c r="AW806" i="1"/>
  <c r="AU806" i="1"/>
  <c r="AT806" i="1"/>
  <c r="AS806" i="1"/>
  <c r="AR806" i="1"/>
  <c r="AQ806" i="1"/>
  <c r="AP806" i="1"/>
  <c r="AO806" i="1"/>
  <c r="AN806" i="1"/>
  <c r="AM806" i="1"/>
  <c r="AL806" i="1"/>
  <c r="AK806" i="1"/>
  <c r="AI806" i="1"/>
  <c r="AH806" i="1"/>
  <c r="AG806" i="1"/>
  <c r="AF806" i="1"/>
  <c r="AE806" i="1"/>
  <c r="O805" i="1" s="1"/>
  <c r="AD806" i="1"/>
  <c r="J806" i="1"/>
  <c r="DE805" i="1"/>
  <c r="DD805" i="1"/>
  <c r="DC805" i="1"/>
  <c r="DB805" i="1"/>
  <c r="DA805" i="1"/>
  <c r="CZ805" i="1"/>
  <c r="CY805" i="1"/>
  <c r="CX805" i="1"/>
  <c r="CW805" i="1"/>
  <c r="CV805" i="1"/>
  <c r="CU805" i="1"/>
  <c r="CT805" i="1"/>
  <c r="CS805" i="1"/>
  <c r="CR805" i="1"/>
  <c r="CQ805" i="1"/>
  <c r="CP805" i="1"/>
  <c r="CO805" i="1"/>
  <c r="CN805" i="1"/>
  <c r="CM805" i="1"/>
  <c r="CL805" i="1"/>
  <c r="CK805" i="1"/>
  <c r="CJ805" i="1"/>
  <c r="CI805" i="1"/>
  <c r="CH805" i="1"/>
  <c r="CG805" i="1"/>
  <c r="CF805" i="1"/>
  <c r="CD805" i="1"/>
  <c r="CC805" i="1"/>
  <c r="CB805" i="1"/>
  <c r="BZ805" i="1"/>
  <c r="BY805" i="1"/>
  <c r="BX805" i="1"/>
  <c r="BV805" i="1"/>
  <c r="BU805" i="1"/>
  <c r="BT805" i="1"/>
  <c r="BR805" i="1"/>
  <c r="BQ805" i="1"/>
  <c r="BP805" i="1"/>
  <c r="BO805" i="1"/>
  <c r="BN805" i="1"/>
  <c r="BM805" i="1"/>
  <c r="BL805" i="1"/>
  <c r="BK805" i="1"/>
  <c r="BJ805" i="1"/>
  <c r="BI805" i="1"/>
  <c r="BH805" i="1"/>
  <c r="BG805" i="1"/>
  <c r="BF805" i="1"/>
  <c r="BE805" i="1"/>
  <c r="BD805" i="1"/>
  <c r="BB805" i="1"/>
  <c r="BA805" i="1"/>
  <c r="AZ805" i="1"/>
  <c r="AX805" i="1"/>
  <c r="AW805" i="1"/>
  <c r="AV805" i="1"/>
  <c r="AT805" i="1"/>
  <c r="AS805" i="1"/>
  <c r="AR805" i="1"/>
  <c r="AP805" i="1"/>
  <c r="AO805" i="1"/>
  <c r="AN805" i="1"/>
  <c r="AM805" i="1"/>
  <c r="AL805" i="1"/>
  <c r="AK805" i="1"/>
  <c r="AJ805" i="1"/>
  <c r="AI805" i="1"/>
  <c r="AH805" i="1"/>
  <c r="AG805" i="1"/>
  <c r="AF805" i="1"/>
  <c r="AE805" i="1"/>
  <c r="AD805" i="1"/>
  <c r="F805" i="1"/>
  <c r="B805" i="1"/>
  <c r="BD807" i="1" s="1"/>
  <c r="DE804" i="1"/>
  <c r="DD804" i="1"/>
  <c r="DC804" i="1"/>
  <c r="DB804" i="1"/>
  <c r="DA804" i="1"/>
  <c r="CZ804" i="1"/>
  <c r="CY804" i="1"/>
  <c r="CX804" i="1"/>
  <c r="CW804" i="1"/>
  <c r="CV804" i="1"/>
  <c r="CU804" i="1"/>
  <c r="CT804" i="1"/>
  <c r="CS804" i="1"/>
  <c r="CR804" i="1"/>
  <c r="CQ804" i="1"/>
  <c r="CP804" i="1"/>
  <c r="CO804" i="1"/>
  <c r="CN804" i="1"/>
  <c r="CM804" i="1"/>
  <c r="CL804" i="1"/>
  <c r="CK804" i="1"/>
  <c r="CJ804" i="1"/>
  <c r="CI804" i="1"/>
  <c r="CH804" i="1"/>
  <c r="CG804" i="1"/>
  <c r="CF804" i="1"/>
  <c r="BR804" i="1"/>
  <c r="BQ804" i="1"/>
  <c r="BP804" i="1"/>
  <c r="BO804" i="1"/>
  <c r="BN804" i="1"/>
  <c r="BM804" i="1"/>
  <c r="BL804" i="1"/>
  <c r="BK804" i="1"/>
  <c r="BJ804" i="1"/>
  <c r="BI804" i="1"/>
  <c r="BH804" i="1"/>
  <c r="BG804" i="1"/>
  <c r="BF804" i="1"/>
  <c r="BE804" i="1"/>
  <c r="BB804" i="1"/>
  <c r="BA804" i="1"/>
  <c r="AX804" i="1"/>
  <c r="AW804" i="1"/>
  <c r="AT804" i="1"/>
  <c r="AS804" i="1"/>
  <c r="AR804" i="1"/>
  <c r="AQ804" i="1"/>
  <c r="AP804" i="1"/>
  <c r="AO804" i="1"/>
  <c r="AN804" i="1"/>
  <c r="AM804" i="1"/>
  <c r="AL804" i="1"/>
  <c r="AK804" i="1"/>
  <c r="AJ804" i="1"/>
  <c r="AI804" i="1"/>
  <c r="AH804" i="1"/>
  <c r="AG804" i="1"/>
  <c r="AF804" i="1"/>
  <c r="AE804" i="1"/>
  <c r="AD804" i="1"/>
  <c r="R804" i="1"/>
  <c r="Q804" i="1"/>
  <c r="O804" i="1"/>
  <c r="P804" i="1" s="1"/>
  <c r="DE803" i="1"/>
  <c r="DD803" i="1"/>
  <c r="DC803" i="1"/>
  <c r="DB803" i="1"/>
  <c r="DA803" i="1"/>
  <c r="CZ803" i="1"/>
  <c r="CY803" i="1"/>
  <c r="CX803" i="1"/>
  <c r="CW803" i="1"/>
  <c r="CV803" i="1"/>
  <c r="CU803" i="1"/>
  <c r="CT803" i="1"/>
  <c r="CS803" i="1"/>
  <c r="CR803" i="1"/>
  <c r="CQ803" i="1"/>
  <c r="CP803" i="1"/>
  <c r="CO803" i="1"/>
  <c r="CN803" i="1"/>
  <c r="CM803" i="1"/>
  <c r="CL803" i="1"/>
  <c r="CK803" i="1"/>
  <c r="CJ803" i="1"/>
  <c r="CI803" i="1"/>
  <c r="CH803" i="1"/>
  <c r="CG803" i="1"/>
  <c r="CF803" i="1"/>
  <c r="BR803" i="1"/>
  <c r="BQ803" i="1"/>
  <c r="BP803" i="1"/>
  <c r="BO803" i="1"/>
  <c r="BN803" i="1"/>
  <c r="BM803" i="1"/>
  <c r="BL803" i="1"/>
  <c r="BK803" i="1"/>
  <c r="BI803" i="1"/>
  <c r="BH803" i="1"/>
  <c r="BG803" i="1"/>
  <c r="BF803" i="1"/>
  <c r="BE803" i="1"/>
  <c r="BB803" i="1"/>
  <c r="BA803" i="1"/>
  <c r="AX803" i="1"/>
  <c r="AW803" i="1"/>
  <c r="AT803" i="1"/>
  <c r="AS803" i="1"/>
  <c r="AR803" i="1"/>
  <c r="AQ803" i="1"/>
  <c r="AP803" i="1"/>
  <c r="AO803" i="1"/>
  <c r="AN803" i="1"/>
  <c r="AM803" i="1"/>
  <c r="AL803" i="1"/>
  <c r="AK803" i="1"/>
  <c r="AI803" i="1"/>
  <c r="AH803" i="1"/>
  <c r="AG803" i="1"/>
  <c r="AF803" i="1"/>
  <c r="AE803" i="1"/>
  <c r="AD803" i="1"/>
  <c r="O803" i="1"/>
  <c r="P803" i="1" s="1"/>
  <c r="AJ803" i="1" s="1"/>
  <c r="J803" i="1"/>
  <c r="DE802" i="1"/>
  <c r="DD802" i="1"/>
  <c r="DC802" i="1"/>
  <c r="DB802" i="1"/>
  <c r="DA802" i="1"/>
  <c r="CZ802" i="1"/>
  <c r="CY802" i="1"/>
  <c r="CX802" i="1"/>
  <c r="CW802" i="1"/>
  <c r="CV802" i="1"/>
  <c r="CU802" i="1"/>
  <c r="CT802" i="1"/>
  <c r="CS802" i="1"/>
  <c r="CR802" i="1"/>
  <c r="CQ802" i="1"/>
  <c r="CP802" i="1"/>
  <c r="CO802" i="1"/>
  <c r="CN802" i="1"/>
  <c r="CM802" i="1"/>
  <c r="CL802" i="1"/>
  <c r="CK802" i="1"/>
  <c r="CJ802" i="1"/>
  <c r="CI802" i="1"/>
  <c r="CH802" i="1"/>
  <c r="CG802" i="1"/>
  <c r="CF802" i="1"/>
  <c r="CC802" i="1"/>
  <c r="CB802" i="1"/>
  <c r="BY802" i="1"/>
  <c r="BX802" i="1"/>
  <c r="BU802" i="1"/>
  <c r="BT802" i="1"/>
  <c r="BR802" i="1"/>
  <c r="BQ802" i="1"/>
  <c r="BP802" i="1"/>
  <c r="BO802" i="1"/>
  <c r="BN802" i="1"/>
  <c r="BM802" i="1"/>
  <c r="BL802" i="1"/>
  <c r="BK802" i="1"/>
  <c r="BJ802" i="1"/>
  <c r="BI802" i="1"/>
  <c r="BH802" i="1"/>
  <c r="BG802" i="1"/>
  <c r="BF802" i="1"/>
  <c r="BE802" i="1"/>
  <c r="BD802" i="1"/>
  <c r="BA802" i="1"/>
  <c r="AZ802" i="1"/>
  <c r="AW802" i="1"/>
  <c r="AV802" i="1"/>
  <c r="AS802" i="1"/>
  <c r="AR802" i="1"/>
  <c r="AP802" i="1"/>
  <c r="AO802" i="1"/>
  <c r="AN802" i="1"/>
  <c r="AM802" i="1"/>
  <c r="AL802" i="1"/>
  <c r="AK802" i="1"/>
  <c r="AJ802" i="1"/>
  <c r="AI802" i="1"/>
  <c r="AH802" i="1"/>
  <c r="AG802" i="1"/>
  <c r="AF802" i="1"/>
  <c r="AE802" i="1"/>
  <c r="AD802" i="1"/>
  <c r="P802" i="1"/>
  <c r="O802" i="1"/>
  <c r="AQ802" i="1" s="1"/>
  <c r="F802" i="1"/>
  <c r="B802" i="1"/>
  <c r="BD804" i="1" s="1"/>
  <c r="DE801" i="1"/>
  <c r="DD801" i="1"/>
  <c r="DC801" i="1"/>
  <c r="DB801" i="1"/>
  <c r="DA801" i="1"/>
  <c r="CZ801" i="1"/>
  <c r="CY801" i="1"/>
  <c r="CX801" i="1"/>
  <c r="CW801" i="1"/>
  <c r="CV801" i="1"/>
  <c r="CU801" i="1"/>
  <c r="CT801" i="1"/>
  <c r="CS801" i="1"/>
  <c r="CR801" i="1"/>
  <c r="CQ801" i="1"/>
  <c r="CP801" i="1"/>
  <c r="CO801" i="1"/>
  <c r="CN801" i="1"/>
  <c r="CM801" i="1"/>
  <c r="CL801" i="1"/>
  <c r="CK801" i="1"/>
  <c r="CJ801" i="1"/>
  <c r="CI801" i="1"/>
  <c r="CH801" i="1"/>
  <c r="CG801" i="1"/>
  <c r="CF801" i="1"/>
  <c r="BR801" i="1"/>
  <c r="BQ801" i="1"/>
  <c r="BP801" i="1"/>
  <c r="BO801" i="1"/>
  <c r="BN801" i="1"/>
  <c r="BM801" i="1"/>
  <c r="BL801" i="1"/>
  <c r="BK801" i="1"/>
  <c r="BJ801" i="1"/>
  <c r="BI801" i="1"/>
  <c r="BH801" i="1"/>
  <c r="BG801" i="1"/>
  <c r="BF801" i="1"/>
  <c r="BE801" i="1"/>
  <c r="BD801" i="1"/>
  <c r="BA801" i="1"/>
  <c r="AZ801" i="1"/>
  <c r="AW801" i="1"/>
  <c r="AV801" i="1"/>
  <c r="AS801" i="1"/>
  <c r="AR801" i="1"/>
  <c r="AQ801" i="1"/>
  <c r="AP801" i="1"/>
  <c r="AO801" i="1"/>
  <c r="AN801" i="1"/>
  <c r="AM801" i="1"/>
  <c r="AL801" i="1"/>
  <c r="AK801" i="1"/>
  <c r="AJ801" i="1"/>
  <c r="AI801" i="1"/>
  <c r="AH801" i="1"/>
  <c r="AG801" i="1"/>
  <c r="AF801" i="1"/>
  <c r="AE801" i="1"/>
  <c r="AD801" i="1"/>
  <c r="R801" i="1"/>
  <c r="Q801" i="1"/>
  <c r="DE800" i="1"/>
  <c r="DD800" i="1"/>
  <c r="DC800" i="1"/>
  <c r="DB800" i="1"/>
  <c r="DA800" i="1"/>
  <c r="CZ800" i="1"/>
  <c r="CY800" i="1"/>
  <c r="CX800" i="1"/>
  <c r="CW800" i="1"/>
  <c r="CV800" i="1"/>
  <c r="CU800" i="1"/>
  <c r="CT800" i="1"/>
  <c r="CS800" i="1"/>
  <c r="CR800" i="1"/>
  <c r="CQ800" i="1"/>
  <c r="CP800" i="1"/>
  <c r="CO800" i="1"/>
  <c r="CN800" i="1"/>
  <c r="CM800" i="1"/>
  <c r="CL800" i="1"/>
  <c r="CK800" i="1"/>
  <c r="CJ800" i="1"/>
  <c r="CI800" i="1"/>
  <c r="CH800" i="1"/>
  <c r="CG800" i="1"/>
  <c r="CF800" i="1"/>
  <c r="BR800" i="1"/>
  <c r="BQ800" i="1"/>
  <c r="BP800" i="1"/>
  <c r="BO800" i="1"/>
  <c r="BN800" i="1"/>
  <c r="BM800" i="1"/>
  <c r="BL800" i="1"/>
  <c r="BK800" i="1"/>
  <c r="BI800" i="1"/>
  <c r="BH800" i="1"/>
  <c r="BG800" i="1"/>
  <c r="BF800" i="1"/>
  <c r="BE800" i="1"/>
  <c r="BD800" i="1"/>
  <c r="BA800" i="1"/>
  <c r="AZ800" i="1"/>
  <c r="AW800" i="1"/>
  <c r="AV800" i="1"/>
  <c r="AS800" i="1"/>
  <c r="AR800" i="1"/>
  <c r="AQ800" i="1"/>
  <c r="AP800" i="1"/>
  <c r="AO800" i="1"/>
  <c r="AN800" i="1"/>
  <c r="AM800" i="1"/>
  <c r="AL800" i="1"/>
  <c r="AK800" i="1"/>
  <c r="AI800" i="1"/>
  <c r="AH800" i="1"/>
  <c r="AG800" i="1"/>
  <c r="AF800" i="1"/>
  <c r="AE800" i="1"/>
  <c r="AD800" i="1"/>
  <c r="J800" i="1"/>
  <c r="DE799" i="1"/>
  <c r="DD799" i="1"/>
  <c r="DC799" i="1"/>
  <c r="DB799" i="1"/>
  <c r="DA799" i="1"/>
  <c r="CZ799" i="1"/>
  <c r="CY799" i="1"/>
  <c r="CX799" i="1"/>
  <c r="CW799" i="1"/>
  <c r="CV799" i="1"/>
  <c r="CU799" i="1"/>
  <c r="CT799" i="1"/>
  <c r="CS799" i="1"/>
  <c r="CR799" i="1"/>
  <c r="CQ799" i="1"/>
  <c r="CP799" i="1"/>
  <c r="CO799" i="1"/>
  <c r="CN799" i="1"/>
  <c r="CM799" i="1"/>
  <c r="CL799" i="1"/>
  <c r="CK799" i="1"/>
  <c r="CJ799" i="1"/>
  <c r="CI799" i="1"/>
  <c r="CH799" i="1"/>
  <c r="CG799" i="1"/>
  <c r="CF799" i="1"/>
  <c r="CE799" i="1"/>
  <c r="CB799" i="1"/>
  <c r="CA799" i="1"/>
  <c r="BX799" i="1"/>
  <c r="BT799" i="1"/>
  <c r="BS799" i="1"/>
  <c r="BR799" i="1"/>
  <c r="BP799" i="1"/>
  <c r="BO799" i="1"/>
  <c r="BN799" i="1"/>
  <c r="BM799" i="1"/>
  <c r="BL799" i="1"/>
  <c r="BK799" i="1"/>
  <c r="BJ799" i="1"/>
  <c r="BI799" i="1"/>
  <c r="BH799" i="1"/>
  <c r="BG799" i="1"/>
  <c r="BF799" i="1"/>
  <c r="BD799" i="1"/>
  <c r="BC799" i="1"/>
  <c r="AZ799" i="1"/>
  <c r="AY799" i="1"/>
  <c r="AV799" i="1"/>
  <c r="AU799" i="1"/>
  <c r="AR799" i="1"/>
  <c r="AP799" i="1"/>
  <c r="AO799" i="1"/>
  <c r="AN799" i="1"/>
  <c r="AM799" i="1"/>
  <c r="AL799" i="1"/>
  <c r="AK799" i="1"/>
  <c r="AJ799" i="1"/>
  <c r="AI799" i="1"/>
  <c r="AH799" i="1"/>
  <c r="AG799" i="1"/>
  <c r="AF799" i="1"/>
  <c r="AE799" i="1"/>
  <c r="AD799" i="1"/>
  <c r="O799" i="1"/>
  <c r="BQ799" i="1" s="1"/>
  <c r="G799" i="1"/>
  <c r="F799" i="1" s="1"/>
  <c r="B799" i="1"/>
  <c r="BC801" i="1" s="1"/>
  <c r="DE798" i="1"/>
  <c r="DD798" i="1"/>
  <c r="DC798" i="1"/>
  <c r="DB798" i="1"/>
  <c r="DA798" i="1"/>
  <c r="CZ798" i="1"/>
  <c r="CY798" i="1"/>
  <c r="CX798" i="1"/>
  <c r="CW798" i="1"/>
  <c r="CV798" i="1"/>
  <c r="CU798" i="1"/>
  <c r="CT798" i="1"/>
  <c r="CS798" i="1"/>
  <c r="CR798" i="1"/>
  <c r="CQ798" i="1"/>
  <c r="CP798" i="1"/>
  <c r="CO798" i="1"/>
  <c r="CN798" i="1"/>
  <c r="CM798" i="1"/>
  <c r="CL798" i="1"/>
  <c r="CK798" i="1"/>
  <c r="CJ798" i="1"/>
  <c r="CI798" i="1"/>
  <c r="CH798" i="1"/>
  <c r="CG798" i="1"/>
  <c r="CF798" i="1"/>
  <c r="BR798" i="1"/>
  <c r="BQ798" i="1"/>
  <c r="BP798" i="1"/>
  <c r="BO798" i="1"/>
  <c r="BN798" i="1"/>
  <c r="BM798" i="1"/>
  <c r="BL798" i="1"/>
  <c r="BK798" i="1"/>
  <c r="BJ798" i="1"/>
  <c r="BI798" i="1"/>
  <c r="BH798" i="1"/>
  <c r="BF798" i="1"/>
  <c r="BD798" i="1"/>
  <c r="BA798" i="1"/>
  <c r="AV798" i="1"/>
  <c r="AS798" i="1"/>
  <c r="AR798" i="1"/>
  <c r="AQ798" i="1"/>
  <c r="AP798" i="1"/>
  <c r="AO798" i="1"/>
  <c r="AN798" i="1"/>
  <c r="AM798" i="1"/>
  <c r="AL798" i="1"/>
  <c r="AK798" i="1"/>
  <c r="AJ798" i="1"/>
  <c r="AI798" i="1"/>
  <c r="AH798" i="1"/>
  <c r="AF798" i="1"/>
  <c r="AE798" i="1"/>
  <c r="AD798" i="1"/>
  <c r="DE797" i="1"/>
  <c r="DD797" i="1"/>
  <c r="DC797" i="1"/>
  <c r="DB797" i="1"/>
  <c r="DA797" i="1"/>
  <c r="CZ797" i="1"/>
  <c r="CY797" i="1"/>
  <c r="CX797" i="1"/>
  <c r="CW797" i="1"/>
  <c r="CV797" i="1"/>
  <c r="CU797" i="1"/>
  <c r="CT797" i="1"/>
  <c r="CS797" i="1"/>
  <c r="CR797" i="1"/>
  <c r="CQ797" i="1"/>
  <c r="CP797" i="1"/>
  <c r="CO797" i="1"/>
  <c r="CN797" i="1"/>
  <c r="CM797" i="1"/>
  <c r="CL797" i="1"/>
  <c r="CK797" i="1"/>
  <c r="CJ797" i="1"/>
  <c r="CI797" i="1"/>
  <c r="CH797" i="1"/>
  <c r="CG797" i="1"/>
  <c r="CF797" i="1"/>
  <c r="BR797" i="1"/>
  <c r="BQ797" i="1"/>
  <c r="BP797" i="1"/>
  <c r="BO797" i="1"/>
  <c r="BN797" i="1"/>
  <c r="BM797" i="1"/>
  <c r="BL797" i="1"/>
  <c r="BK797" i="1"/>
  <c r="BJ797" i="1"/>
  <c r="BI797" i="1"/>
  <c r="BH797" i="1"/>
  <c r="BF797" i="1"/>
  <c r="BE797" i="1"/>
  <c r="BD797" i="1"/>
  <c r="AW797" i="1"/>
  <c r="AV797" i="1"/>
  <c r="AR797" i="1"/>
  <c r="AQ797" i="1"/>
  <c r="AP797" i="1"/>
  <c r="AO797" i="1"/>
  <c r="AN797" i="1"/>
  <c r="AM797" i="1"/>
  <c r="AL797" i="1"/>
  <c r="AK797" i="1"/>
  <c r="AJ797" i="1"/>
  <c r="AI797" i="1"/>
  <c r="AH797" i="1"/>
  <c r="AF797" i="1"/>
  <c r="AE797" i="1"/>
  <c r="AD797" i="1"/>
  <c r="DE796" i="1"/>
  <c r="DD796" i="1"/>
  <c r="DC796" i="1"/>
  <c r="DB796" i="1"/>
  <c r="DA796" i="1"/>
  <c r="CZ796" i="1"/>
  <c r="CY796" i="1"/>
  <c r="CX796" i="1"/>
  <c r="CW796" i="1"/>
  <c r="CV796" i="1"/>
  <c r="CU796" i="1"/>
  <c r="CT796" i="1"/>
  <c r="CS796" i="1"/>
  <c r="CR796" i="1"/>
  <c r="CQ796" i="1"/>
  <c r="CP796" i="1"/>
  <c r="CO796" i="1"/>
  <c r="CN796" i="1"/>
  <c r="CM796" i="1"/>
  <c r="CL796" i="1"/>
  <c r="CK796" i="1"/>
  <c r="CJ796" i="1"/>
  <c r="CI796" i="1"/>
  <c r="CH796" i="1"/>
  <c r="CG796" i="1"/>
  <c r="CF796" i="1"/>
  <c r="CA796" i="1"/>
  <c r="BZ796" i="1"/>
  <c r="BS796" i="1"/>
  <c r="BR796" i="1"/>
  <c r="BQ796" i="1"/>
  <c r="BP796" i="1"/>
  <c r="BO796" i="1"/>
  <c r="BN796" i="1"/>
  <c r="BM796" i="1"/>
  <c r="BL796" i="1"/>
  <c r="BK796" i="1"/>
  <c r="BJ796" i="1"/>
  <c r="BI796" i="1"/>
  <c r="BH796" i="1"/>
  <c r="BG796" i="1"/>
  <c r="BF796" i="1"/>
  <c r="AY796" i="1"/>
  <c r="AX796" i="1"/>
  <c r="AR796" i="1"/>
  <c r="AQ796" i="1"/>
  <c r="AP796" i="1"/>
  <c r="AO796" i="1"/>
  <c r="AN796" i="1"/>
  <c r="AM796" i="1"/>
  <c r="AL796" i="1"/>
  <c r="AK796" i="1"/>
  <c r="AI796" i="1"/>
  <c r="AH796" i="1"/>
  <c r="AG796" i="1"/>
  <c r="AF796" i="1"/>
  <c r="AE796" i="1"/>
  <c r="AD796" i="1"/>
  <c r="O796" i="1"/>
  <c r="F796" i="1"/>
  <c r="B796" i="1"/>
  <c r="BE798" i="1" s="1"/>
  <c r="DE795" i="1"/>
  <c r="DD795" i="1"/>
  <c r="DC795" i="1"/>
  <c r="DB795" i="1"/>
  <c r="DA795" i="1"/>
  <c r="CZ795" i="1"/>
  <c r="CY795" i="1"/>
  <c r="CX795" i="1"/>
  <c r="CW795" i="1"/>
  <c r="CV795" i="1"/>
  <c r="CU795" i="1"/>
  <c r="CT795" i="1"/>
  <c r="CS795" i="1"/>
  <c r="CR795" i="1"/>
  <c r="CQ795" i="1"/>
  <c r="CP795" i="1"/>
  <c r="CO795" i="1"/>
  <c r="CN795" i="1"/>
  <c r="CM795" i="1"/>
  <c r="CL795" i="1"/>
  <c r="CK795" i="1"/>
  <c r="CJ795" i="1"/>
  <c r="CI795" i="1"/>
  <c r="CH795" i="1"/>
  <c r="CG795" i="1"/>
  <c r="CF795" i="1"/>
  <c r="BR795" i="1"/>
  <c r="BQ795" i="1"/>
  <c r="BP795" i="1"/>
  <c r="BO795" i="1"/>
  <c r="BN795" i="1"/>
  <c r="BM795" i="1"/>
  <c r="BL795" i="1"/>
  <c r="BK795" i="1"/>
  <c r="BJ795" i="1"/>
  <c r="BI795" i="1"/>
  <c r="BH795" i="1"/>
  <c r="BG795" i="1"/>
  <c r="BF795" i="1"/>
  <c r="BE795" i="1"/>
  <c r="BC795" i="1"/>
  <c r="BB795" i="1"/>
  <c r="BA795" i="1"/>
  <c r="AY795" i="1"/>
  <c r="AX795" i="1"/>
  <c r="AW795" i="1"/>
  <c r="AU795" i="1"/>
  <c r="AT795" i="1"/>
  <c r="AS795" i="1"/>
  <c r="AR795" i="1"/>
  <c r="AQ795" i="1"/>
  <c r="AP795" i="1"/>
  <c r="AO795" i="1"/>
  <c r="AN795" i="1"/>
  <c r="AM795" i="1"/>
  <c r="AL795" i="1"/>
  <c r="AK795" i="1"/>
  <c r="AJ795" i="1"/>
  <c r="AI795" i="1"/>
  <c r="AH795" i="1"/>
  <c r="AG795" i="1"/>
  <c r="AF795" i="1"/>
  <c r="AE795" i="1"/>
  <c r="AD795" i="1"/>
  <c r="R795" i="1"/>
  <c r="Q795" i="1"/>
  <c r="DE794" i="1"/>
  <c r="DD794" i="1"/>
  <c r="DC794" i="1"/>
  <c r="DB794" i="1"/>
  <c r="DA794" i="1"/>
  <c r="CZ794" i="1"/>
  <c r="CY794" i="1"/>
  <c r="CX794" i="1"/>
  <c r="CW794" i="1"/>
  <c r="CV794" i="1"/>
  <c r="CU794" i="1"/>
  <c r="CT794" i="1"/>
  <c r="CS794" i="1"/>
  <c r="CR794" i="1"/>
  <c r="CQ794" i="1"/>
  <c r="CP794" i="1"/>
  <c r="CO794" i="1"/>
  <c r="CN794" i="1"/>
  <c r="CM794" i="1"/>
  <c r="CL794" i="1"/>
  <c r="CK794" i="1"/>
  <c r="CJ794" i="1"/>
  <c r="CI794" i="1"/>
  <c r="CH794" i="1"/>
  <c r="CG794" i="1"/>
  <c r="CF794" i="1"/>
  <c r="BR794" i="1"/>
  <c r="BP794" i="1"/>
  <c r="BO794" i="1"/>
  <c r="BN794" i="1"/>
  <c r="BM794" i="1"/>
  <c r="BL794" i="1"/>
  <c r="BK794" i="1"/>
  <c r="BJ794" i="1"/>
  <c r="BI794" i="1"/>
  <c r="BH794" i="1"/>
  <c r="BG794" i="1"/>
  <c r="BF794" i="1"/>
  <c r="BE794" i="1"/>
  <c r="BC794" i="1"/>
  <c r="BB794" i="1"/>
  <c r="BA794" i="1"/>
  <c r="AY794" i="1"/>
  <c r="AX794" i="1"/>
  <c r="AW794" i="1"/>
  <c r="AU794" i="1"/>
  <c r="AT794" i="1"/>
  <c r="AS794" i="1"/>
  <c r="AR794" i="1"/>
  <c r="AP794" i="1"/>
  <c r="AO794" i="1"/>
  <c r="AN794" i="1"/>
  <c r="AM794" i="1"/>
  <c r="AL794" i="1"/>
  <c r="AK794" i="1"/>
  <c r="AJ794" i="1"/>
  <c r="AI794" i="1"/>
  <c r="AH794" i="1"/>
  <c r="AG794" i="1"/>
  <c r="AF794" i="1"/>
  <c r="AE794" i="1"/>
  <c r="O793" i="1" s="1"/>
  <c r="AD794" i="1"/>
  <c r="DE793" i="1"/>
  <c r="DD793" i="1"/>
  <c r="DC793" i="1"/>
  <c r="DB793" i="1"/>
  <c r="DA793" i="1"/>
  <c r="CZ793" i="1"/>
  <c r="CY793" i="1"/>
  <c r="CX793" i="1"/>
  <c r="CW793" i="1"/>
  <c r="CV793" i="1"/>
  <c r="CU793" i="1"/>
  <c r="CT793" i="1"/>
  <c r="CS793" i="1"/>
  <c r="CR793" i="1"/>
  <c r="CQ793" i="1"/>
  <c r="CP793" i="1"/>
  <c r="CO793" i="1"/>
  <c r="CN793" i="1"/>
  <c r="CM793" i="1"/>
  <c r="CL793" i="1"/>
  <c r="CK793" i="1"/>
  <c r="CJ793" i="1"/>
  <c r="CI793" i="1"/>
  <c r="CH793" i="1"/>
  <c r="CG793" i="1"/>
  <c r="CF793" i="1"/>
  <c r="CE793" i="1"/>
  <c r="CC793" i="1"/>
  <c r="CB793" i="1"/>
  <c r="CA793" i="1"/>
  <c r="BY793" i="1"/>
  <c r="BX793" i="1"/>
  <c r="BW793" i="1"/>
  <c r="BU793" i="1"/>
  <c r="BT793" i="1"/>
  <c r="BS793" i="1"/>
  <c r="BR793" i="1"/>
  <c r="BQ793" i="1"/>
  <c r="BP793" i="1"/>
  <c r="BO793" i="1"/>
  <c r="BN793" i="1"/>
  <c r="BM793" i="1"/>
  <c r="BL793" i="1"/>
  <c r="BK793" i="1"/>
  <c r="BI793" i="1"/>
  <c r="BH793" i="1"/>
  <c r="BG793" i="1"/>
  <c r="BF793" i="1"/>
  <c r="BE793" i="1"/>
  <c r="BD793" i="1"/>
  <c r="BC793" i="1"/>
  <c r="BA793" i="1"/>
  <c r="AZ793" i="1"/>
  <c r="AY793" i="1"/>
  <c r="AW793" i="1"/>
  <c r="AV793" i="1"/>
  <c r="AU793" i="1"/>
  <c r="AS793" i="1"/>
  <c r="AR793" i="1"/>
  <c r="AQ793" i="1"/>
  <c r="AP793" i="1"/>
  <c r="AO793" i="1"/>
  <c r="AN793" i="1"/>
  <c r="AM793" i="1"/>
  <c r="AL793" i="1"/>
  <c r="AK793" i="1"/>
  <c r="AJ793" i="1"/>
  <c r="AI793" i="1"/>
  <c r="AH793" i="1"/>
  <c r="AG793" i="1"/>
  <c r="AF793" i="1"/>
  <c r="AE793" i="1"/>
  <c r="AD793" i="1"/>
  <c r="G793" i="1"/>
  <c r="F793" i="1"/>
  <c r="B793" i="1"/>
  <c r="BD795" i="1" s="1"/>
  <c r="DE792" i="1"/>
  <c r="DD792" i="1"/>
  <c r="DC792" i="1"/>
  <c r="DB792" i="1"/>
  <c r="DA792" i="1"/>
  <c r="CZ792" i="1"/>
  <c r="CY792" i="1"/>
  <c r="CX792" i="1"/>
  <c r="CW792" i="1"/>
  <c r="CV792" i="1"/>
  <c r="CU792" i="1"/>
  <c r="CT792" i="1"/>
  <c r="CS792" i="1"/>
  <c r="CR792" i="1"/>
  <c r="CQ792" i="1"/>
  <c r="CP792" i="1"/>
  <c r="CO792" i="1"/>
  <c r="CN792" i="1"/>
  <c r="CM792" i="1"/>
  <c r="CL792" i="1"/>
  <c r="CK792" i="1"/>
  <c r="CJ792" i="1"/>
  <c r="CI792" i="1"/>
  <c r="CH792" i="1"/>
  <c r="CG792" i="1"/>
  <c r="CF792" i="1"/>
  <c r="BR792" i="1"/>
  <c r="BQ792" i="1"/>
  <c r="BP792" i="1"/>
  <c r="BO792" i="1"/>
  <c r="BN792" i="1"/>
  <c r="BM792" i="1"/>
  <c r="BL792" i="1"/>
  <c r="BK792" i="1"/>
  <c r="BJ792" i="1"/>
  <c r="BI792" i="1"/>
  <c r="BH792" i="1"/>
  <c r="BG792" i="1"/>
  <c r="BF792" i="1"/>
  <c r="BE792" i="1"/>
  <c r="BB792" i="1"/>
  <c r="BA792" i="1"/>
  <c r="AX792" i="1"/>
  <c r="AW792" i="1"/>
  <c r="AT792" i="1"/>
  <c r="AS792" i="1"/>
  <c r="AR792" i="1"/>
  <c r="AQ792" i="1"/>
  <c r="AP792" i="1"/>
  <c r="AO792" i="1"/>
  <c r="AN792" i="1"/>
  <c r="AM792" i="1"/>
  <c r="AL792" i="1"/>
  <c r="AK792" i="1"/>
  <c r="AJ792" i="1"/>
  <c r="AI792" i="1"/>
  <c r="AH792" i="1"/>
  <c r="AG792" i="1"/>
  <c r="AF792" i="1"/>
  <c r="AE792" i="1"/>
  <c r="AD792" i="1"/>
  <c r="R792" i="1"/>
  <c r="Q792" i="1"/>
  <c r="O792" i="1"/>
  <c r="P792" i="1" s="1"/>
  <c r="DE791" i="1"/>
  <c r="DD791" i="1"/>
  <c r="DC791" i="1"/>
  <c r="DB791" i="1"/>
  <c r="DA791" i="1"/>
  <c r="CZ791" i="1"/>
  <c r="CY791" i="1"/>
  <c r="CX791" i="1"/>
  <c r="CW791" i="1"/>
  <c r="CV791" i="1"/>
  <c r="CU791" i="1"/>
  <c r="CT791" i="1"/>
  <c r="CS791" i="1"/>
  <c r="CR791" i="1"/>
  <c r="CQ791" i="1"/>
  <c r="CP791" i="1"/>
  <c r="CO791" i="1"/>
  <c r="CN791" i="1"/>
  <c r="CM791" i="1"/>
  <c r="CL791" i="1"/>
  <c r="CK791" i="1"/>
  <c r="CJ791" i="1"/>
  <c r="CI791" i="1"/>
  <c r="CH791" i="1"/>
  <c r="CG791" i="1"/>
  <c r="CF791" i="1"/>
  <c r="BR791" i="1"/>
  <c r="BP791" i="1"/>
  <c r="BO791" i="1"/>
  <c r="BN791" i="1"/>
  <c r="BM791" i="1"/>
  <c r="BL791" i="1"/>
  <c r="BK791" i="1"/>
  <c r="BJ791" i="1"/>
  <c r="BI791" i="1"/>
  <c r="BH791" i="1"/>
  <c r="BG791" i="1"/>
  <c r="BF791" i="1"/>
  <c r="BE791" i="1"/>
  <c r="BB791" i="1"/>
  <c r="BA791" i="1"/>
  <c r="AX791" i="1"/>
  <c r="AW791" i="1"/>
  <c r="AT791" i="1"/>
  <c r="AS791" i="1"/>
  <c r="AR791" i="1"/>
  <c r="AP791" i="1"/>
  <c r="AO791" i="1"/>
  <c r="AN791" i="1"/>
  <c r="AM791" i="1"/>
  <c r="AL791" i="1"/>
  <c r="AK791" i="1"/>
  <c r="AJ791" i="1"/>
  <c r="AI791" i="1"/>
  <c r="AH791" i="1"/>
  <c r="AG791" i="1"/>
  <c r="AF791" i="1"/>
  <c r="AE791" i="1"/>
  <c r="AD791" i="1"/>
  <c r="O791" i="1"/>
  <c r="P791" i="1" s="1"/>
  <c r="AQ791" i="1" s="1"/>
  <c r="J791" i="1"/>
  <c r="DE790" i="1"/>
  <c r="DD790" i="1"/>
  <c r="DC790" i="1"/>
  <c r="DB790" i="1"/>
  <c r="DA790" i="1"/>
  <c r="CZ790" i="1"/>
  <c r="CY790" i="1"/>
  <c r="CX790" i="1"/>
  <c r="CW790" i="1"/>
  <c r="CV790" i="1"/>
  <c r="CU790" i="1"/>
  <c r="CT790" i="1"/>
  <c r="CS790" i="1"/>
  <c r="CR790" i="1"/>
  <c r="CQ790" i="1"/>
  <c r="CP790" i="1"/>
  <c r="CO790" i="1"/>
  <c r="CN790" i="1"/>
  <c r="CM790" i="1"/>
  <c r="CL790" i="1"/>
  <c r="CK790" i="1"/>
  <c r="CJ790" i="1"/>
  <c r="CI790" i="1"/>
  <c r="CH790" i="1"/>
  <c r="CG790" i="1"/>
  <c r="CF790" i="1"/>
  <c r="CC790" i="1"/>
  <c r="CB790" i="1"/>
  <c r="BY790" i="1"/>
  <c r="BX790" i="1"/>
  <c r="BU790" i="1"/>
  <c r="BT790" i="1"/>
  <c r="BR790" i="1"/>
  <c r="BQ790" i="1"/>
  <c r="BP790" i="1"/>
  <c r="BO790" i="1"/>
  <c r="BN790" i="1"/>
  <c r="BM790" i="1"/>
  <c r="BL790" i="1"/>
  <c r="BK790" i="1"/>
  <c r="BI790" i="1"/>
  <c r="BH790" i="1"/>
  <c r="BG790" i="1"/>
  <c r="BF790" i="1"/>
  <c r="BE790" i="1"/>
  <c r="BD790" i="1"/>
  <c r="BA790" i="1"/>
  <c r="AZ790" i="1"/>
  <c r="AW790" i="1"/>
  <c r="AV790" i="1"/>
  <c r="AS790" i="1"/>
  <c r="AR790" i="1"/>
  <c r="AQ790" i="1"/>
  <c r="AP790" i="1"/>
  <c r="AO790" i="1"/>
  <c r="AN790" i="1"/>
  <c r="AM790" i="1"/>
  <c r="AL790" i="1"/>
  <c r="AK790" i="1"/>
  <c r="AJ790" i="1"/>
  <c r="AI790" i="1"/>
  <c r="AH790" i="1"/>
  <c r="AG790" i="1"/>
  <c r="AF790" i="1"/>
  <c r="AE790" i="1"/>
  <c r="AD790" i="1"/>
  <c r="P790" i="1"/>
  <c r="O790" i="1"/>
  <c r="BJ790" i="1" s="1"/>
  <c r="F790" i="1"/>
  <c r="B790" i="1"/>
  <c r="BD792" i="1" s="1"/>
  <c r="DE789" i="1"/>
  <c r="DD789" i="1"/>
  <c r="DC789" i="1"/>
  <c r="DB789" i="1"/>
  <c r="DA789" i="1"/>
  <c r="CZ789" i="1"/>
  <c r="CY789" i="1"/>
  <c r="CX789" i="1"/>
  <c r="CW789" i="1"/>
  <c r="CV789" i="1"/>
  <c r="CU789" i="1"/>
  <c r="CT789" i="1"/>
  <c r="CS789" i="1"/>
  <c r="CR789" i="1"/>
  <c r="CQ789" i="1"/>
  <c r="CP789" i="1"/>
  <c r="CO789" i="1"/>
  <c r="CN789" i="1"/>
  <c r="CM789" i="1"/>
  <c r="CL789" i="1"/>
  <c r="CK789" i="1"/>
  <c r="CJ789" i="1"/>
  <c r="CI789" i="1"/>
  <c r="CH789" i="1"/>
  <c r="CG789" i="1"/>
  <c r="CF789" i="1"/>
  <c r="BR789" i="1"/>
  <c r="BQ789" i="1"/>
  <c r="BP789" i="1"/>
  <c r="BO789" i="1"/>
  <c r="BN789" i="1"/>
  <c r="BM789" i="1"/>
  <c r="BL789" i="1"/>
  <c r="BK789" i="1"/>
  <c r="BJ789" i="1"/>
  <c r="BI789" i="1"/>
  <c r="BH789" i="1"/>
  <c r="BG789" i="1"/>
  <c r="BF789" i="1"/>
  <c r="BE789" i="1"/>
  <c r="AZ789" i="1"/>
  <c r="AW789" i="1"/>
  <c r="AR789" i="1"/>
  <c r="AQ789" i="1"/>
  <c r="AP789" i="1"/>
  <c r="AO789" i="1"/>
  <c r="AN789" i="1"/>
  <c r="AM789" i="1"/>
  <c r="AL789" i="1"/>
  <c r="AK789" i="1"/>
  <c r="AJ789" i="1"/>
  <c r="AI789" i="1"/>
  <c r="AH789" i="1"/>
  <c r="AG789" i="1"/>
  <c r="AF789" i="1"/>
  <c r="AE789" i="1"/>
  <c r="AD789" i="1"/>
  <c r="R789" i="1"/>
  <c r="Q789" i="1"/>
  <c r="DE788" i="1"/>
  <c r="DD788" i="1"/>
  <c r="DC788" i="1"/>
  <c r="DB788" i="1"/>
  <c r="DA788" i="1"/>
  <c r="CZ788" i="1"/>
  <c r="CY788" i="1"/>
  <c r="CX788" i="1"/>
  <c r="CW788" i="1"/>
  <c r="CV788" i="1"/>
  <c r="CU788" i="1"/>
  <c r="CT788" i="1"/>
  <c r="CS788" i="1"/>
  <c r="CR788" i="1"/>
  <c r="CQ788" i="1"/>
  <c r="CP788" i="1"/>
  <c r="CO788" i="1"/>
  <c r="CN788" i="1"/>
  <c r="CM788" i="1"/>
  <c r="CL788" i="1"/>
  <c r="CK788" i="1"/>
  <c r="CJ788" i="1"/>
  <c r="CI788" i="1"/>
  <c r="CH788" i="1"/>
  <c r="CG788" i="1"/>
  <c r="CF788" i="1"/>
  <c r="BR788" i="1"/>
  <c r="BQ788" i="1"/>
  <c r="BP788" i="1"/>
  <c r="BO788" i="1"/>
  <c r="BN788" i="1"/>
  <c r="BM788" i="1"/>
  <c r="BL788" i="1"/>
  <c r="BK788" i="1"/>
  <c r="BI788" i="1"/>
  <c r="BH788" i="1"/>
  <c r="BG788" i="1"/>
  <c r="BF788" i="1"/>
  <c r="BA788" i="1"/>
  <c r="AZ788" i="1"/>
  <c r="AS788" i="1"/>
  <c r="AR788" i="1"/>
  <c r="AQ788" i="1"/>
  <c r="AP788" i="1"/>
  <c r="AO788" i="1"/>
  <c r="AN788" i="1"/>
  <c r="AM788" i="1"/>
  <c r="AL788" i="1"/>
  <c r="AK788" i="1"/>
  <c r="AI788" i="1"/>
  <c r="AH788" i="1"/>
  <c r="AG788" i="1"/>
  <c r="AF788" i="1"/>
  <c r="AE788" i="1"/>
  <c r="AD788" i="1"/>
  <c r="J788" i="1"/>
  <c r="DE787" i="1"/>
  <c r="DD787" i="1"/>
  <c r="DC787" i="1"/>
  <c r="DB787" i="1"/>
  <c r="DA787" i="1"/>
  <c r="CZ787" i="1"/>
  <c r="CY787" i="1"/>
  <c r="CX787" i="1"/>
  <c r="CW787" i="1"/>
  <c r="CV787" i="1"/>
  <c r="CU787" i="1"/>
  <c r="CT787" i="1"/>
  <c r="CS787" i="1"/>
  <c r="CR787" i="1"/>
  <c r="CQ787" i="1"/>
  <c r="CP787" i="1"/>
  <c r="CO787" i="1"/>
  <c r="CN787" i="1"/>
  <c r="CM787" i="1"/>
  <c r="CL787" i="1"/>
  <c r="CK787" i="1"/>
  <c r="CJ787" i="1"/>
  <c r="CI787" i="1"/>
  <c r="CH787" i="1"/>
  <c r="CG787" i="1"/>
  <c r="CF787" i="1"/>
  <c r="CE787" i="1"/>
  <c r="CB787" i="1"/>
  <c r="BT787" i="1"/>
  <c r="BR787" i="1"/>
  <c r="BQ787" i="1"/>
  <c r="BP787" i="1"/>
  <c r="BO787" i="1"/>
  <c r="BN787" i="1"/>
  <c r="BL787" i="1"/>
  <c r="BK787" i="1"/>
  <c r="BJ787" i="1"/>
  <c r="BI787" i="1"/>
  <c r="BH787" i="1"/>
  <c r="BG787" i="1"/>
  <c r="BF787" i="1"/>
  <c r="BC787" i="1"/>
  <c r="AZ787" i="1"/>
  <c r="AU787" i="1"/>
  <c r="AR787" i="1"/>
  <c r="AQ787" i="1"/>
  <c r="AP787" i="1"/>
  <c r="AO787" i="1"/>
  <c r="AN787" i="1"/>
  <c r="AL787" i="1"/>
  <c r="AK787" i="1"/>
  <c r="AJ787" i="1"/>
  <c r="AI787" i="1"/>
  <c r="AH787" i="1"/>
  <c r="AG787" i="1"/>
  <c r="AF787" i="1"/>
  <c r="AE787" i="1"/>
  <c r="O787" i="1" s="1"/>
  <c r="AD787" i="1"/>
  <c r="F787" i="1"/>
  <c r="B787" i="1"/>
  <c r="BA789" i="1" s="1"/>
  <c r="DE786" i="1"/>
  <c r="DD786" i="1"/>
  <c r="DC786" i="1"/>
  <c r="DB786" i="1"/>
  <c r="DA786" i="1"/>
  <c r="CZ786" i="1"/>
  <c r="CY786" i="1"/>
  <c r="CX786" i="1"/>
  <c r="CW786" i="1"/>
  <c r="CV786" i="1"/>
  <c r="CU786" i="1"/>
  <c r="CT786" i="1"/>
  <c r="CS786" i="1"/>
  <c r="CR786" i="1"/>
  <c r="CQ786" i="1"/>
  <c r="CP786" i="1"/>
  <c r="CO786" i="1"/>
  <c r="CN786" i="1"/>
  <c r="CM786" i="1"/>
  <c r="CL786" i="1"/>
  <c r="CK786" i="1"/>
  <c r="CJ786" i="1"/>
  <c r="CI786" i="1"/>
  <c r="CH786" i="1"/>
  <c r="CG786" i="1"/>
  <c r="CF786" i="1"/>
  <c r="BR786" i="1"/>
  <c r="BQ786" i="1"/>
  <c r="BP786" i="1"/>
  <c r="BO786" i="1"/>
  <c r="BN786" i="1"/>
  <c r="BM786" i="1"/>
  <c r="BL786" i="1"/>
  <c r="BK786" i="1"/>
  <c r="BJ786" i="1"/>
  <c r="BI786" i="1"/>
  <c r="BH786" i="1"/>
  <c r="BG786" i="1"/>
  <c r="BF786" i="1"/>
  <c r="BE786" i="1"/>
  <c r="BD786" i="1"/>
  <c r="AZ786" i="1"/>
  <c r="AY786" i="1"/>
  <c r="AU786" i="1"/>
  <c r="AS786" i="1"/>
  <c r="AR786" i="1"/>
  <c r="AQ786" i="1"/>
  <c r="AP786" i="1"/>
  <c r="AO786" i="1"/>
  <c r="AN786" i="1"/>
  <c r="AM786" i="1"/>
  <c r="AL786" i="1"/>
  <c r="AK786" i="1"/>
  <c r="AJ786" i="1"/>
  <c r="AI786" i="1"/>
  <c r="AH786" i="1"/>
  <c r="AG786" i="1"/>
  <c r="AF786" i="1"/>
  <c r="AE786" i="1"/>
  <c r="AD786" i="1"/>
  <c r="R786" i="1"/>
  <c r="Q786" i="1"/>
  <c r="DE785" i="1"/>
  <c r="DD785" i="1"/>
  <c r="DC785" i="1"/>
  <c r="DB785" i="1"/>
  <c r="DA785" i="1"/>
  <c r="CZ785" i="1"/>
  <c r="CY785" i="1"/>
  <c r="CX785" i="1"/>
  <c r="CW785" i="1"/>
  <c r="CV785" i="1"/>
  <c r="CU785" i="1"/>
  <c r="CT785" i="1"/>
  <c r="CS785" i="1"/>
  <c r="CR785" i="1"/>
  <c r="CQ785" i="1"/>
  <c r="CP785" i="1"/>
  <c r="CO785" i="1"/>
  <c r="CN785" i="1"/>
  <c r="CM785" i="1"/>
  <c r="CL785" i="1"/>
  <c r="CK785" i="1"/>
  <c r="CJ785" i="1"/>
  <c r="CI785" i="1"/>
  <c r="CH785" i="1"/>
  <c r="CG785" i="1"/>
  <c r="CF785" i="1"/>
  <c r="BR785" i="1"/>
  <c r="BQ785" i="1"/>
  <c r="BP785" i="1"/>
  <c r="BO785" i="1"/>
  <c r="BN785" i="1"/>
  <c r="BM785" i="1"/>
  <c r="BL785" i="1"/>
  <c r="BK785" i="1"/>
  <c r="BI785" i="1"/>
  <c r="BH785" i="1"/>
  <c r="BG785" i="1"/>
  <c r="BF785" i="1"/>
  <c r="BC785" i="1"/>
  <c r="BA785" i="1"/>
  <c r="AW785" i="1"/>
  <c r="AV785" i="1"/>
  <c r="AR785" i="1"/>
  <c r="AQ785" i="1"/>
  <c r="AP785" i="1"/>
  <c r="AO785" i="1"/>
  <c r="AN785" i="1"/>
  <c r="AM785" i="1"/>
  <c r="AL785" i="1"/>
  <c r="AK785" i="1"/>
  <c r="AI785" i="1"/>
  <c r="AH785" i="1"/>
  <c r="AG785" i="1"/>
  <c r="AF785" i="1"/>
  <c r="AE785" i="1"/>
  <c r="O784" i="1" s="1"/>
  <c r="AD785" i="1"/>
  <c r="J785" i="1"/>
  <c r="DE784" i="1"/>
  <c r="DD784" i="1"/>
  <c r="DC784" i="1"/>
  <c r="DB784" i="1"/>
  <c r="DA784" i="1"/>
  <c r="CZ784" i="1"/>
  <c r="CY784" i="1"/>
  <c r="CX784" i="1"/>
  <c r="CW784" i="1"/>
  <c r="CV784" i="1"/>
  <c r="CU784" i="1"/>
  <c r="CT784" i="1"/>
  <c r="CS784" i="1"/>
  <c r="CR784" i="1"/>
  <c r="CQ784" i="1"/>
  <c r="CP784" i="1"/>
  <c r="CO784" i="1"/>
  <c r="CN784" i="1"/>
  <c r="CM784" i="1"/>
  <c r="CL784" i="1"/>
  <c r="CK784" i="1"/>
  <c r="CJ784" i="1"/>
  <c r="CI784" i="1"/>
  <c r="CH784" i="1"/>
  <c r="CG784" i="1"/>
  <c r="CF784" i="1"/>
  <c r="CB784" i="1"/>
  <c r="CA784" i="1"/>
  <c r="BV784" i="1"/>
  <c r="BR784" i="1"/>
  <c r="BQ784" i="1"/>
  <c r="BP784" i="1"/>
  <c r="BO784" i="1"/>
  <c r="BN784" i="1"/>
  <c r="BM784" i="1"/>
  <c r="BL784" i="1"/>
  <c r="BK784" i="1"/>
  <c r="BJ784" i="1"/>
  <c r="BI784" i="1"/>
  <c r="BH784" i="1"/>
  <c r="BG784" i="1"/>
  <c r="BD784" i="1"/>
  <c r="AZ784" i="1"/>
  <c r="AY784" i="1"/>
  <c r="AU784" i="1"/>
  <c r="AT784" i="1"/>
  <c r="AR784" i="1"/>
  <c r="AQ784" i="1"/>
  <c r="AP784" i="1"/>
  <c r="AO784" i="1"/>
  <c r="AN784" i="1"/>
  <c r="AM784" i="1"/>
  <c r="AL784" i="1"/>
  <c r="AK784" i="1"/>
  <c r="AJ784" i="1"/>
  <c r="AI784" i="1"/>
  <c r="AH784" i="1"/>
  <c r="AG784" i="1"/>
  <c r="AE784" i="1"/>
  <c r="AD784" i="1"/>
  <c r="F784" i="1"/>
  <c r="B784" i="1"/>
  <c r="BA786" i="1" s="1"/>
  <c r="DE783" i="1"/>
  <c r="DD783" i="1"/>
  <c r="DC783" i="1"/>
  <c r="DB783" i="1"/>
  <c r="DA783" i="1"/>
  <c r="CZ783" i="1"/>
  <c r="CY783" i="1"/>
  <c r="CX783" i="1"/>
  <c r="CW783" i="1"/>
  <c r="CV783" i="1"/>
  <c r="CU783" i="1"/>
  <c r="CT783" i="1"/>
  <c r="CS783" i="1"/>
  <c r="CR783" i="1"/>
  <c r="CQ783" i="1"/>
  <c r="CP783" i="1"/>
  <c r="CO783" i="1"/>
  <c r="CN783" i="1"/>
  <c r="CM783" i="1"/>
  <c r="CL783" i="1"/>
  <c r="CK783" i="1"/>
  <c r="CJ783" i="1"/>
  <c r="CI783" i="1"/>
  <c r="CH783" i="1"/>
  <c r="CG783" i="1"/>
  <c r="CF783" i="1"/>
  <c r="BR783" i="1"/>
  <c r="BQ783" i="1"/>
  <c r="BP783" i="1"/>
  <c r="BO783" i="1"/>
  <c r="BN783" i="1"/>
  <c r="BM783" i="1"/>
  <c r="BL783" i="1"/>
  <c r="BK783" i="1"/>
  <c r="BJ783" i="1"/>
  <c r="BI783" i="1"/>
  <c r="BH783" i="1"/>
  <c r="BG783" i="1"/>
  <c r="BF783" i="1"/>
  <c r="AZ783" i="1"/>
  <c r="AU783" i="1"/>
  <c r="AR783" i="1"/>
  <c r="AQ783" i="1"/>
  <c r="AP783" i="1"/>
  <c r="AO783" i="1"/>
  <c r="AN783" i="1"/>
  <c r="AM783" i="1"/>
  <c r="AL783" i="1"/>
  <c r="AK783" i="1"/>
  <c r="AJ783" i="1"/>
  <c r="AI783" i="1"/>
  <c r="AH783" i="1"/>
  <c r="AG783" i="1"/>
  <c r="AF783" i="1"/>
  <c r="AE783" i="1"/>
  <c r="AD783" i="1"/>
  <c r="R783" i="1"/>
  <c r="Q783" i="1"/>
  <c r="O783" i="1"/>
  <c r="P783" i="1" s="1"/>
  <c r="DE782" i="1"/>
  <c r="DD782" i="1"/>
  <c r="DC782" i="1"/>
  <c r="DB782" i="1"/>
  <c r="DA782" i="1"/>
  <c r="CZ782" i="1"/>
  <c r="CY782" i="1"/>
  <c r="CX782" i="1"/>
  <c r="CW782" i="1"/>
  <c r="CV782" i="1"/>
  <c r="CU782" i="1"/>
  <c r="CT782" i="1"/>
  <c r="CS782" i="1"/>
  <c r="CR782" i="1"/>
  <c r="CQ782" i="1"/>
  <c r="CP782" i="1"/>
  <c r="CO782" i="1"/>
  <c r="CN782" i="1"/>
  <c r="CM782" i="1"/>
  <c r="CL782" i="1"/>
  <c r="CK782" i="1"/>
  <c r="CJ782" i="1"/>
  <c r="CI782" i="1"/>
  <c r="CH782" i="1"/>
  <c r="CG782" i="1"/>
  <c r="CF782" i="1"/>
  <c r="BR782" i="1"/>
  <c r="BQ782" i="1"/>
  <c r="BP782" i="1"/>
  <c r="BO782" i="1"/>
  <c r="BN782" i="1"/>
  <c r="BM782" i="1"/>
  <c r="BL782" i="1"/>
  <c r="BK782" i="1"/>
  <c r="BI782" i="1"/>
  <c r="BH782" i="1"/>
  <c r="BG782" i="1"/>
  <c r="BF782" i="1"/>
  <c r="BC782" i="1"/>
  <c r="AX782" i="1"/>
  <c r="AR782" i="1"/>
  <c r="AQ782" i="1"/>
  <c r="AP782" i="1"/>
  <c r="AO782" i="1"/>
  <c r="AN782" i="1"/>
  <c r="AM782" i="1"/>
  <c r="AL782" i="1"/>
  <c r="AK782" i="1"/>
  <c r="AI782" i="1"/>
  <c r="AH782" i="1"/>
  <c r="AG782" i="1"/>
  <c r="AF782" i="1"/>
  <c r="AE782" i="1"/>
  <c r="AD782" i="1"/>
  <c r="J782" i="1"/>
  <c r="DE781" i="1"/>
  <c r="DD781" i="1"/>
  <c r="DC781" i="1"/>
  <c r="DB781" i="1"/>
  <c r="DA781" i="1"/>
  <c r="CZ781" i="1"/>
  <c r="CY781" i="1"/>
  <c r="CX781" i="1"/>
  <c r="CW781" i="1"/>
  <c r="CV781" i="1"/>
  <c r="CU781" i="1"/>
  <c r="CT781" i="1"/>
  <c r="CS781" i="1"/>
  <c r="CR781" i="1"/>
  <c r="CQ781" i="1"/>
  <c r="CP781" i="1"/>
  <c r="CO781" i="1"/>
  <c r="CN781" i="1"/>
  <c r="CM781" i="1"/>
  <c r="CL781" i="1"/>
  <c r="CK781" i="1"/>
  <c r="CJ781" i="1"/>
  <c r="CI781" i="1"/>
  <c r="CH781" i="1"/>
  <c r="CG781" i="1"/>
  <c r="CF781" i="1"/>
  <c r="CC781" i="1"/>
  <c r="BR781" i="1"/>
  <c r="BQ781" i="1"/>
  <c r="BP781" i="1"/>
  <c r="BO781" i="1"/>
  <c r="BN781" i="1"/>
  <c r="BM781" i="1"/>
  <c r="BL781" i="1"/>
  <c r="BK781" i="1"/>
  <c r="BJ781" i="1"/>
  <c r="BI781" i="1"/>
  <c r="BH781" i="1"/>
  <c r="BG781" i="1"/>
  <c r="BF781" i="1"/>
  <c r="BA781" i="1"/>
  <c r="AU781" i="1"/>
  <c r="AR781" i="1"/>
  <c r="AQ781" i="1"/>
  <c r="AP781" i="1"/>
  <c r="AO781" i="1"/>
  <c r="AN781" i="1"/>
  <c r="AM781" i="1"/>
  <c r="AL781" i="1"/>
  <c r="AK781" i="1"/>
  <c r="AJ781" i="1"/>
  <c r="AI781" i="1"/>
  <c r="AH781" i="1"/>
  <c r="AG781" i="1"/>
  <c r="AE781" i="1"/>
  <c r="O782" i="1" s="1"/>
  <c r="AD781" i="1"/>
  <c r="O781" i="1"/>
  <c r="G781" i="1"/>
  <c r="B781" i="1"/>
  <c r="DE780" i="1"/>
  <c r="DD780" i="1"/>
  <c r="DC780" i="1"/>
  <c r="DB780" i="1"/>
  <c r="DA780" i="1"/>
  <c r="CZ780" i="1"/>
  <c r="CY780" i="1"/>
  <c r="CX780" i="1"/>
  <c r="CW780" i="1"/>
  <c r="CV780" i="1"/>
  <c r="CU780" i="1"/>
  <c r="CT780" i="1"/>
  <c r="CS780" i="1"/>
  <c r="CR780" i="1"/>
  <c r="CQ780" i="1"/>
  <c r="CP780" i="1"/>
  <c r="CO780" i="1"/>
  <c r="CN780" i="1"/>
  <c r="CM780" i="1"/>
  <c r="CL780" i="1"/>
  <c r="CK780" i="1"/>
  <c r="CJ780" i="1"/>
  <c r="CI780" i="1"/>
  <c r="CH780" i="1"/>
  <c r="CG780" i="1"/>
  <c r="CF780" i="1"/>
  <c r="BR780" i="1"/>
  <c r="BQ780" i="1"/>
  <c r="BP780" i="1"/>
  <c r="BO780" i="1"/>
  <c r="BN780" i="1"/>
  <c r="BM780" i="1"/>
  <c r="BL780" i="1"/>
  <c r="BK780" i="1"/>
  <c r="BJ780" i="1"/>
  <c r="BI780" i="1"/>
  <c r="BH780" i="1"/>
  <c r="BG780" i="1"/>
  <c r="BF780" i="1"/>
  <c r="BC780" i="1"/>
  <c r="AX780" i="1"/>
  <c r="AR780" i="1"/>
  <c r="AQ780" i="1"/>
  <c r="AP780" i="1"/>
  <c r="AO780" i="1"/>
  <c r="AN780" i="1"/>
  <c r="AM780" i="1"/>
  <c r="AL780" i="1"/>
  <c r="AK780" i="1"/>
  <c r="AJ780" i="1"/>
  <c r="AI780" i="1"/>
  <c r="AH780" i="1"/>
  <c r="AG780" i="1"/>
  <c r="AF780" i="1"/>
  <c r="AE780" i="1"/>
  <c r="AD780" i="1"/>
  <c r="R780" i="1"/>
  <c r="Q780" i="1"/>
  <c r="DE779" i="1"/>
  <c r="DD779" i="1"/>
  <c r="DC779" i="1"/>
  <c r="DB779" i="1"/>
  <c r="DA779" i="1"/>
  <c r="CZ779" i="1"/>
  <c r="CY779" i="1"/>
  <c r="CX779" i="1"/>
  <c r="CW779" i="1"/>
  <c r="CV779" i="1"/>
  <c r="CU779" i="1"/>
  <c r="CT779" i="1"/>
  <c r="CS779" i="1"/>
  <c r="CR779" i="1"/>
  <c r="CQ779" i="1"/>
  <c r="CP779" i="1"/>
  <c r="CO779" i="1"/>
  <c r="CN779" i="1"/>
  <c r="CM779" i="1"/>
  <c r="CL779" i="1"/>
  <c r="CK779" i="1"/>
  <c r="CJ779" i="1"/>
  <c r="CI779" i="1"/>
  <c r="CH779" i="1"/>
  <c r="CG779" i="1"/>
  <c r="CF779" i="1"/>
  <c r="BR779" i="1"/>
  <c r="BQ779" i="1"/>
  <c r="BP779" i="1"/>
  <c r="BO779" i="1"/>
  <c r="BN779" i="1"/>
  <c r="BM779" i="1"/>
  <c r="BL779" i="1"/>
  <c r="BK779" i="1"/>
  <c r="BJ779" i="1"/>
  <c r="BI779" i="1"/>
  <c r="BH779" i="1"/>
  <c r="BF779" i="1"/>
  <c r="AZ779" i="1"/>
  <c r="AU779" i="1"/>
  <c r="AR779" i="1"/>
  <c r="AQ779" i="1"/>
  <c r="AP779" i="1"/>
  <c r="AO779" i="1"/>
  <c r="AN779" i="1"/>
  <c r="AM779" i="1"/>
  <c r="AL779" i="1"/>
  <c r="AK779" i="1"/>
  <c r="AJ779" i="1"/>
  <c r="AI779" i="1"/>
  <c r="AH779" i="1"/>
  <c r="AF779" i="1"/>
  <c r="AE779" i="1"/>
  <c r="AD779" i="1"/>
  <c r="J779" i="1"/>
  <c r="DE778" i="1"/>
  <c r="DD778" i="1"/>
  <c r="DC778" i="1"/>
  <c r="DB778" i="1"/>
  <c r="DA778" i="1"/>
  <c r="CZ778" i="1"/>
  <c r="CY778" i="1"/>
  <c r="CX778" i="1"/>
  <c r="CW778" i="1"/>
  <c r="CV778" i="1"/>
  <c r="CU778" i="1"/>
  <c r="CT778" i="1"/>
  <c r="CS778" i="1"/>
  <c r="CR778" i="1"/>
  <c r="CQ778" i="1"/>
  <c r="CP778" i="1"/>
  <c r="CO778" i="1"/>
  <c r="CN778" i="1"/>
  <c r="CM778" i="1"/>
  <c r="CL778" i="1"/>
  <c r="CK778" i="1"/>
  <c r="CJ778" i="1"/>
  <c r="CI778" i="1"/>
  <c r="CH778" i="1"/>
  <c r="CG778" i="1"/>
  <c r="CF778" i="1"/>
  <c r="CD778" i="1"/>
  <c r="BY778" i="1"/>
  <c r="BS778" i="1"/>
  <c r="BR778" i="1"/>
  <c r="BQ778" i="1"/>
  <c r="BP778" i="1"/>
  <c r="BO778" i="1"/>
  <c r="BN778" i="1"/>
  <c r="BM778" i="1"/>
  <c r="BL778" i="1"/>
  <c r="BK778" i="1"/>
  <c r="BJ778" i="1"/>
  <c r="BI778" i="1"/>
  <c r="BH778" i="1"/>
  <c r="BG778" i="1"/>
  <c r="BB778" i="1"/>
  <c r="AW778" i="1"/>
  <c r="AR778" i="1"/>
  <c r="AQ778" i="1"/>
  <c r="AP778" i="1"/>
  <c r="AO778" i="1"/>
  <c r="AN778" i="1"/>
  <c r="AM778" i="1"/>
  <c r="AL778" i="1"/>
  <c r="AK778" i="1"/>
  <c r="AJ778" i="1"/>
  <c r="AI778" i="1"/>
  <c r="AH778" i="1"/>
  <c r="AG778" i="1"/>
  <c r="AE778" i="1"/>
  <c r="O780" i="1" s="1"/>
  <c r="P780" i="1" s="1"/>
  <c r="AD778" i="1"/>
  <c r="O778" i="1"/>
  <c r="F778" i="1"/>
  <c r="B778" i="1"/>
  <c r="DE777" i="1"/>
  <c r="DD777" i="1"/>
  <c r="DC777" i="1"/>
  <c r="DB777" i="1"/>
  <c r="DA777" i="1"/>
  <c r="CZ777" i="1"/>
  <c r="CY777" i="1"/>
  <c r="CX777" i="1"/>
  <c r="CW777" i="1"/>
  <c r="CV777" i="1"/>
  <c r="CU777" i="1"/>
  <c r="CT777" i="1"/>
  <c r="CS777" i="1"/>
  <c r="CR777" i="1"/>
  <c r="CQ777" i="1"/>
  <c r="CP777" i="1"/>
  <c r="CO777" i="1"/>
  <c r="CN777" i="1"/>
  <c r="CM777" i="1"/>
  <c r="CL777" i="1"/>
  <c r="CK777" i="1"/>
  <c r="CJ777" i="1"/>
  <c r="CI777" i="1"/>
  <c r="CH777" i="1"/>
  <c r="CG777" i="1"/>
  <c r="CF777" i="1"/>
  <c r="BR777" i="1"/>
  <c r="BQ777" i="1"/>
  <c r="BP777" i="1"/>
  <c r="BO777" i="1"/>
  <c r="BN777" i="1"/>
  <c r="BM777" i="1"/>
  <c r="BL777" i="1"/>
  <c r="BK777" i="1"/>
  <c r="BJ777" i="1"/>
  <c r="BI777" i="1"/>
  <c r="BH777" i="1"/>
  <c r="BG777" i="1"/>
  <c r="BF777" i="1"/>
  <c r="BE777" i="1"/>
  <c r="AY777" i="1"/>
  <c r="AT777" i="1"/>
  <c r="AR777" i="1"/>
  <c r="AQ777" i="1"/>
  <c r="AP777" i="1"/>
  <c r="AO777" i="1"/>
  <c r="AN777" i="1"/>
  <c r="AM777" i="1"/>
  <c r="AL777" i="1"/>
  <c r="AK777" i="1"/>
  <c r="AJ777" i="1"/>
  <c r="AI777" i="1"/>
  <c r="AH777" i="1"/>
  <c r="AG777" i="1"/>
  <c r="AF777" i="1"/>
  <c r="AE777" i="1"/>
  <c r="AD777" i="1"/>
  <c r="R777" i="1"/>
  <c r="Q777" i="1"/>
  <c r="O777" i="1"/>
  <c r="P777" i="1" s="1"/>
  <c r="DE776" i="1"/>
  <c r="DD776" i="1"/>
  <c r="DC776" i="1"/>
  <c r="DB776" i="1"/>
  <c r="DA776" i="1"/>
  <c r="CZ776" i="1"/>
  <c r="CY776" i="1"/>
  <c r="CX776" i="1"/>
  <c r="CW776" i="1"/>
  <c r="CV776" i="1"/>
  <c r="CU776" i="1"/>
  <c r="CT776" i="1"/>
  <c r="CS776" i="1"/>
  <c r="CR776" i="1"/>
  <c r="CQ776" i="1"/>
  <c r="CP776" i="1"/>
  <c r="CO776" i="1"/>
  <c r="CN776" i="1"/>
  <c r="CM776" i="1"/>
  <c r="CL776" i="1"/>
  <c r="CK776" i="1"/>
  <c r="CJ776" i="1"/>
  <c r="CI776" i="1"/>
  <c r="CH776" i="1"/>
  <c r="CG776" i="1"/>
  <c r="CF776" i="1"/>
  <c r="BR776" i="1"/>
  <c r="BQ776" i="1"/>
  <c r="BP776" i="1"/>
  <c r="BO776" i="1"/>
  <c r="BN776" i="1"/>
  <c r="BM776" i="1"/>
  <c r="BL776" i="1"/>
  <c r="BK776" i="1"/>
  <c r="BJ776" i="1"/>
  <c r="BI776" i="1"/>
  <c r="BH776" i="1"/>
  <c r="BG776" i="1"/>
  <c r="BF776" i="1"/>
  <c r="BE776" i="1"/>
  <c r="AY776" i="1"/>
  <c r="AT776" i="1"/>
  <c r="AR776" i="1"/>
  <c r="AQ776" i="1"/>
  <c r="AP776" i="1"/>
  <c r="AO776" i="1"/>
  <c r="AN776" i="1"/>
  <c r="AM776" i="1"/>
  <c r="AL776" i="1"/>
  <c r="AK776" i="1"/>
  <c r="AJ776" i="1"/>
  <c r="AI776" i="1"/>
  <c r="AH776" i="1"/>
  <c r="AG776" i="1"/>
  <c r="AE776" i="1"/>
  <c r="O775" i="1" s="1"/>
  <c r="AD776" i="1"/>
  <c r="P776" i="1"/>
  <c r="AF776" i="1" s="1"/>
  <c r="O776" i="1"/>
  <c r="J776" i="1"/>
  <c r="DE775" i="1"/>
  <c r="DD775" i="1"/>
  <c r="DC775" i="1"/>
  <c r="DB775" i="1"/>
  <c r="DA775" i="1"/>
  <c r="CZ775" i="1"/>
  <c r="CY775" i="1"/>
  <c r="CX775" i="1"/>
  <c r="CW775" i="1"/>
  <c r="CV775" i="1"/>
  <c r="CU775" i="1"/>
  <c r="CT775" i="1"/>
  <c r="CS775" i="1"/>
  <c r="CR775" i="1"/>
  <c r="CQ775" i="1"/>
  <c r="CP775" i="1"/>
  <c r="CO775" i="1"/>
  <c r="CN775" i="1"/>
  <c r="CM775" i="1"/>
  <c r="CL775" i="1"/>
  <c r="CK775" i="1"/>
  <c r="CJ775" i="1"/>
  <c r="CI775" i="1"/>
  <c r="CH775" i="1"/>
  <c r="CG775" i="1"/>
  <c r="CF775" i="1"/>
  <c r="CB775" i="1"/>
  <c r="BV775" i="1"/>
  <c r="BR775" i="1"/>
  <c r="BQ775" i="1"/>
  <c r="BP775" i="1"/>
  <c r="BO775" i="1"/>
  <c r="BN775" i="1"/>
  <c r="BM775" i="1"/>
  <c r="BL775" i="1"/>
  <c r="BK775" i="1"/>
  <c r="BJ775" i="1"/>
  <c r="BI775" i="1"/>
  <c r="BH775" i="1"/>
  <c r="BG775" i="1"/>
  <c r="BF775" i="1"/>
  <c r="BE775" i="1"/>
  <c r="AZ775" i="1"/>
  <c r="AT775" i="1"/>
  <c r="AR775" i="1"/>
  <c r="AQ775" i="1"/>
  <c r="AP775" i="1"/>
  <c r="AO775" i="1"/>
  <c r="AN775" i="1"/>
  <c r="AM775" i="1"/>
  <c r="AL775" i="1"/>
  <c r="AK775" i="1"/>
  <c r="AJ775" i="1"/>
  <c r="AI775" i="1"/>
  <c r="AH775" i="1"/>
  <c r="AG775" i="1"/>
  <c r="AF775" i="1"/>
  <c r="AE775" i="1"/>
  <c r="AD775" i="1"/>
  <c r="P775" i="1"/>
  <c r="G775" i="1"/>
  <c r="B775" i="1"/>
  <c r="DE774" i="1"/>
  <c r="DD774" i="1"/>
  <c r="DC774" i="1"/>
  <c r="DB774" i="1"/>
  <c r="DA774" i="1"/>
  <c r="CZ774" i="1"/>
  <c r="CY774" i="1"/>
  <c r="CX774" i="1"/>
  <c r="CW774" i="1"/>
  <c r="CV774" i="1"/>
  <c r="CU774" i="1"/>
  <c r="CT774" i="1"/>
  <c r="CS774" i="1"/>
  <c r="CR774" i="1"/>
  <c r="CQ774" i="1"/>
  <c r="CP774" i="1"/>
  <c r="CO774" i="1"/>
  <c r="CN774" i="1"/>
  <c r="CM774" i="1"/>
  <c r="CL774" i="1"/>
  <c r="CK774" i="1"/>
  <c r="CJ774" i="1"/>
  <c r="CI774" i="1"/>
  <c r="CH774" i="1"/>
  <c r="CG774" i="1"/>
  <c r="CF774" i="1"/>
  <c r="BR774" i="1"/>
  <c r="BQ774" i="1"/>
  <c r="BP774" i="1"/>
  <c r="BO774" i="1"/>
  <c r="BN774" i="1"/>
  <c r="BM774" i="1"/>
  <c r="BL774" i="1"/>
  <c r="BK774" i="1"/>
  <c r="BJ774" i="1"/>
  <c r="BI774" i="1"/>
  <c r="BH774" i="1"/>
  <c r="BG774" i="1"/>
  <c r="BF774" i="1"/>
  <c r="BE774" i="1"/>
  <c r="AY774" i="1"/>
  <c r="AT774" i="1"/>
  <c r="AR774" i="1"/>
  <c r="AQ774" i="1"/>
  <c r="AP774" i="1"/>
  <c r="AO774" i="1"/>
  <c r="AN774" i="1"/>
  <c r="AM774" i="1"/>
  <c r="AL774" i="1"/>
  <c r="AK774" i="1"/>
  <c r="AJ774" i="1"/>
  <c r="AI774" i="1"/>
  <c r="AH774" i="1"/>
  <c r="AG774" i="1"/>
  <c r="AF774" i="1"/>
  <c r="AE774" i="1"/>
  <c r="AD774" i="1"/>
  <c r="R774" i="1"/>
  <c r="Q774" i="1"/>
  <c r="O774" i="1"/>
  <c r="P774" i="1" s="1"/>
  <c r="DE773" i="1"/>
  <c r="DD773" i="1"/>
  <c r="DC773" i="1"/>
  <c r="DB773" i="1"/>
  <c r="DA773" i="1"/>
  <c r="CZ773" i="1"/>
  <c r="CY773" i="1"/>
  <c r="CX773" i="1"/>
  <c r="CW773" i="1"/>
  <c r="CV773" i="1"/>
  <c r="CU773" i="1"/>
  <c r="CT773" i="1"/>
  <c r="CS773" i="1"/>
  <c r="CR773" i="1"/>
  <c r="CQ773" i="1"/>
  <c r="CP773" i="1"/>
  <c r="CO773" i="1"/>
  <c r="CN773" i="1"/>
  <c r="CM773" i="1"/>
  <c r="CL773" i="1"/>
  <c r="CK773" i="1"/>
  <c r="CJ773" i="1"/>
  <c r="CI773" i="1"/>
  <c r="CH773" i="1"/>
  <c r="CG773" i="1"/>
  <c r="CF773" i="1"/>
  <c r="BR773" i="1"/>
  <c r="BQ773" i="1"/>
  <c r="BP773" i="1"/>
  <c r="BO773" i="1"/>
  <c r="BN773" i="1"/>
  <c r="BM773" i="1"/>
  <c r="BL773" i="1"/>
  <c r="BK773" i="1"/>
  <c r="BJ773" i="1"/>
  <c r="BI773" i="1"/>
  <c r="BH773" i="1"/>
  <c r="BG773" i="1"/>
  <c r="BF773" i="1"/>
  <c r="BE773" i="1"/>
  <c r="AY773" i="1"/>
  <c r="AT773" i="1"/>
  <c r="AR773" i="1"/>
  <c r="AQ773" i="1"/>
  <c r="AP773" i="1"/>
  <c r="AO773" i="1"/>
  <c r="AN773" i="1"/>
  <c r="AM773" i="1"/>
  <c r="AL773" i="1"/>
  <c r="AK773" i="1"/>
  <c r="AJ773" i="1"/>
  <c r="AI773" i="1"/>
  <c r="AH773" i="1"/>
  <c r="AG773" i="1"/>
  <c r="AE773" i="1"/>
  <c r="O772" i="1" s="1"/>
  <c r="AD773" i="1"/>
  <c r="P773" i="1"/>
  <c r="AF773" i="1" s="1"/>
  <c r="O773" i="1"/>
  <c r="J773" i="1"/>
  <c r="DE772" i="1"/>
  <c r="DD772" i="1"/>
  <c r="DC772" i="1"/>
  <c r="DB772" i="1"/>
  <c r="DA772" i="1"/>
  <c r="CZ772" i="1"/>
  <c r="CY772" i="1"/>
  <c r="CX772" i="1"/>
  <c r="CW772" i="1"/>
  <c r="CV772" i="1"/>
  <c r="CU772" i="1"/>
  <c r="CT772" i="1"/>
  <c r="CS772" i="1"/>
  <c r="CR772" i="1"/>
  <c r="CQ772" i="1"/>
  <c r="CP772" i="1"/>
  <c r="CO772" i="1"/>
  <c r="CN772" i="1"/>
  <c r="CM772" i="1"/>
  <c r="CL772" i="1"/>
  <c r="CK772" i="1"/>
  <c r="CJ772" i="1"/>
  <c r="CI772" i="1"/>
  <c r="CH772" i="1"/>
  <c r="CG772" i="1"/>
  <c r="CF772" i="1"/>
  <c r="CB772" i="1"/>
  <c r="BV772" i="1"/>
  <c r="BR772" i="1"/>
  <c r="BQ772" i="1"/>
  <c r="BP772" i="1"/>
  <c r="BO772" i="1"/>
  <c r="BN772" i="1"/>
  <c r="BM772" i="1"/>
  <c r="BL772" i="1"/>
  <c r="BK772" i="1"/>
  <c r="BJ772" i="1"/>
  <c r="BI772" i="1"/>
  <c r="BH772" i="1"/>
  <c r="BG772" i="1"/>
  <c r="BF772" i="1"/>
  <c r="BE772" i="1"/>
  <c r="AZ772" i="1"/>
  <c r="AT772" i="1"/>
  <c r="AR772" i="1"/>
  <c r="AQ772" i="1"/>
  <c r="AP772" i="1"/>
  <c r="AO772" i="1"/>
  <c r="AN772" i="1"/>
  <c r="AM772" i="1"/>
  <c r="AL772" i="1"/>
  <c r="AK772" i="1"/>
  <c r="AJ772" i="1"/>
  <c r="AI772" i="1"/>
  <c r="AH772" i="1"/>
  <c r="AG772" i="1"/>
  <c r="AF772" i="1"/>
  <c r="AE772" i="1"/>
  <c r="AD772" i="1"/>
  <c r="P772" i="1"/>
  <c r="G772" i="1"/>
  <c r="B772" i="1"/>
  <c r="DE771" i="1"/>
  <c r="DD771" i="1"/>
  <c r="DC771" i="1"/>
  <c r="DB771" i="1"/>
  <c r="DA771" i="1"/>
  <c r="CZ771" i="1"/>
  <c r="CY771" i="1"/>
  <c r="CX771" i="1"/>
  <c r="CW771" i="1"/>
  <c r="CV771" i="1"/>
  <c r="CU771" i="1"/>
  <c r="CT771" i="1"/>
  <c r="CS771" i="1"/>
  <c r="CR771" i="1"/>
  <c r="CQ771" i="1"/>
  <c r="CP771" i="1"/>
  <c r="CO771" i="1"/>
  <c r="CN771" i="1"/>
  <c r="CM771" i="1"/>
  <c r="CL771" i="1"/>
  <c r="CK771" i="1"/>
  <c r="CJ771" i="1"/>
  <c r="CI771" i="1"/>
  <c r="CH771" i="1"/>
  <c r="CG771" i="1"/>
  <c r="CF771" i="1"/>
  <c r="BR771" i="1"/>
  <c r="BQ771" i="1"/>
  <c r="BP771" i="1"/>
  <c r="BO771" i="1"/>
  <c r="BN771" i="1"/>
  <c r="BM771" i="1"/>
  <c r="BL771" i="1"/>
  <c r="BK771" i="1"/>
  <c r="BJ771" i="1"/>
  <c r="BI771" i="1"/>
  <c r="BH771" i="1"/>
  <c r="BG771" i="1"/>
  <c r="BF771" i="1"/>
  <c r="BE771" i="1"/>
  <c r="AY771" i="1"/>
  <c r="AT771" i="1"/>
  <c r="AR771" i="1"/>
  <c r="AQ771" i="1"/>
  <c r="AP771" i="1"/>
  <c r="AO771" i="1"/>
  <c r="AN771" i="1"/>
  <c r="AM771" i="1"/>
  <c r="AL771" i="1"/>
  <c r="AK771" i="1"/>
  <c r="AJ771" i="1"/>
  <c r="AI771" i="1"/>
  <c r="AH771" i="1"/>
  <c r="AG771" i="1"/>
  <c r="AF771" i="1"/>
  <c r="AE771" i="1"/>
  <c r="AD771" i="1"/>
  <c r="R771" i="1"/>
  <c r="Q771" i="1"/>
  <c r="O771" i="1"/>
  <c r="P771" i="1" s="1"/>
  <c r="DE770" i="1"/>
  <c r="DD770" i="1"/>
  <c r="DC770" i="1"/>
  <c r="DB770" i="1"/>
  <c r="DA770" i="1"/>
  <c r="CZ770" i="1"/>
  <c r="CY770" i="1"/>
  <c r="CX770" i="1"/>
  <c r="CW770" i="1"/>
  <c r="CV770" i="1"/>
  <c r="CU770" i="1"/>
  <c r="CT770" i="1"/>
  <c r="CS770" i="1"/>
  <c r="CR770" i="1"/>
  <c r="CQ770" i="1"/>
  <c r="CP770" i="1"/>
  <c r="CO770" i="1"/>
  <c r="CN770" i="1"/>
  <c r="CM770" i="1"/>
  <c r="CL770" i="1"/>
  <c r="CK770" i="1"/>
  <c r="CJ770" i="1"/>
  <c r="CI770" i="1"/>
  <c r="CH770" i="1"/>
  <c r="CG770" i="1"/>
  <c r="CF770" i="1"/>
  <c r="BR770" i="1"/>
  <c r="BQ770" i="1"/>
  <c r="BP770" i="1"/>
  <c r="BO770" i="1"/>
  <c r="BN770" i="1"/>
  <c r="BM770" i="1"/>
  <c r="BL770" i="1"/>
  <c r="BK770" i="1"/>
  <c r="BJ770" i="1"/>
  <c r="BI770" i="1"/>
  <c r="BH770" i="1"/>
  <c r="BG770" i="1"/>
  <c r="BF770" i="1"/>
  <c r="BE770" i="1"/>
  <c r="AY770" i="1"/>
  <c r="AT770" i="1"/>
  <c r="AR770" i="1"/>
  <c r="AQ770" i="1"/>
  <c r="AP770" i="1"/>
  <c r="AO770" i="1"/>
  <c r="AN770" i="1"/>
  <c r="AM770" i="1"/>
  <c r="AL770" i="1"/>
  <c r="AK770" i="1"/>
  <c r="AI770" i="1"/>
  <c r="AH770" i="1"/>
  <c r="AG770" i="1"/>
  <c r="AF770" i="1"/>
  <c r="AE770" i="1"/>
  <c r="O769" i="1" s="1"/>
  <c r="AD770" i="1"/>
  <c r="P770" i="1"/>
  <c r="AJ770" i="1" s="1"/>
  <c r="O770" i="1"/>
  <c r="J770" i="1"/>
  <c r="DE769" i="1"/>
  <c r="DD769" i="1"/>
  <c r="DC769" i="1"/>
  <c r="DB769" i="1"/>
  <c r="DA769" i="1"/>
  <c r="CZ769" i="1"/>
  <c r="CY769" i="1"/>
  <c r="CX769" i="1"/>
  <c r="CW769" i="1"/>
  <c r="CV769" i="1"/>
  <c r="CU769" i="1"/>
  <c r="CT769" i="1"/>
  <c r="CS769" i="1"/>
  <c r="CR769" i="1"/>
  <c r="CQ769" i="1"/>
  <c r="CP769" i="1"/>
  <c r="CO769" i="1"/>
  <c r="CN769" i="1"/>
  <c r="CM769" i="1"/>
  <c r="CL769" i="1"/>
  <c r="CK769" i="1"/>
  <c r="CJ769" i="1"/>
  <c r="CI769" i="1"/>
  <c r="CH769" i="1"/>
  <c r="CG769" i="1"/>
  <c r="CF769" i="1"/>
  <c r="CB769" i="1"/>
  <c r="BV769" i="1"/>
  <c r="BR769" i="1"/>
  <c r="BQ769" i="1"/>
  <c r="BP769" i="1"/>
  <c r="BO769" i="1"/>
  <c r="BN769" i="1"/>
  <c r="BM769" i="1"/>
  <c r="BL769" i="1"/>
  <c r="BK769" i="1"/>
  <c r="BJ769" i="1"/>
  <c r="BI769" i="1"/>
  <c r="BH769" i="1"/>
  <c r="BG769" i="1"/>
  <c r="BF769" i="1"/>
  <c r="BE769" i="1"/>
  <c r="AZ769" i="1"/>
  <c r="AT769" i="1"/>
  <c r="AR769" i="1"/>
  <c r="AQ769" i="1"/>
  <c r="AP769" i="1"/>
  <c r="AO769" i="1"/>
  <c r="AN769" i="1"/>
  <c r="AM769" i="1"/>
  <c r="AL769" i="1"/>
  <c r="AK769" i="1"/>
  <c r="AJ769" i="1"/>
  <c r="AI769" i="1"/>
  <c r="AH769" i="1"/>
  <c r="AG769" i="1"/>
  <c r="AF769" i="1"/>
  <c r="AE769" i="1"/>
  <c r="AD769" i="1"/>
  <c r="P769" i="1"/>
  <c r="G769" i="1"/>
  <c r="B769" i="1"/>
  <c r="DE768" i="1"/>
  <c r="DD768" i="1"/>
  <c r="DC768" i="1"/>
  <c r="DB768" i="1"/>
  <c r="DA768" i="1"/>
  <c r="CZ768" i="1"/>
  <c r="CY768" i="1"/>
  <c r="CX768" i="1"/>
  <c r="CW768" i="1"/>
  <c r="CV768" i="1"/>
  <c r="CU768" i="1"/>
  <c r="CT768" i="1"/>
  <c r="CS768" i="1"/>
  <c r="CR768" i="1"/>
  <c r="CQ768" i="1"/>
  <c r="CP768" i="1"/>
  <c r="CO768" i="1"/>
  <c r="CN768" i="1"/>
  <c r="CM768" i="1"/>
  <c r="CL768" i="1"/>
  <c r="CK768" i="1"/>
  <c r="CJ768" i="1"/>
  <c r="CI768" i="1"/>
  <c r="CH768" i="1"/>
  <c r="CG768" i="1"/>
  <c r="CF768" i="1"/>
  <c r="BR768" i="1"/>
  <c r="BQ768" i="1"/>
  <c r="BP768" i="1"/>
  <c r="BO768" i="1"/>
  <c r="BN768" i="1"/>
  <c r="BM768" i="1"/>
  <c r="BL768" i="1"/>
  <c r="BK768" i="1"/>
  <c r="BJ768" i="1"/>
  <c r="BI768" i="1"/>
  <c r="BH768" i="1"/>
  <c r="BG768" i="1"/>
  <c r="BF768" i="1"/>
  <c r="BE768" i="1"/>
  <c r="AY768" i="1"/>
  <c r="AT768" i="1"/>
  <c r="AR768" i="1"/>
  <c r="AQ768" i="1"/>
  <c r="AP768" i="1"/>
  <c r="AO768" i="1"/>
  <c r="AN768" i="1"/>
  <c r="AM768" i="1"/>
  <c r="AL768" i="1"/>
  <c r="AK768" i="1"/>
  <c r="AJ768" i="1"/>
  <c r="AI768" i="1"/>
  <c r="AH768" i="1"/>
  <c r="AG768" i="1"/>
  <c r="AF768" i="1"/>
  <c r="AE768" i="1"/>
  <c r="AD768" i="1"/>
  <c r="R768" i="1"/>
  <c r="Q768" i="1"/>
  <c r="O768" i="1"/>
  <c r="P768" i="1" s="1"/>
  <c r="DE767" i="1"/>
  <c r="DD767" i="1"/>
  <c r="DC767" i="1"/>
  <c r="DB767" i="1"/>
  <c r="DA767" i="1"/>
  <c r="CZ767" i="1"/>
  <c r="CY767" i="1"/>
  <c r="CX767" i="1"/>
  <c r="CW767" i="1"/>
  <c r="CV767" i="1"/>
  <c r="CU767" i="1"/>
  <c r="CT767" i="1"/>
  <c r="CS767" i="1"/>
  <c r="CR767" i="1"/>
  <c r="CQ767" i="1"/>
  <c r="CP767" i="1"/>
  <c r="CO767" i="1"/>
  <c r="CN767" i="1"/>
  <c r="CM767" i="1"/>
  <c r="CL767" i="1"/>
  <c r="CK767" i="1"/>
  <c r="CJ767" i="1"/>
  <c r="CI767" i="1"/>
  <c r="CH767" i="1"/>
  <c r="CG767" i="1"/>
  <c r="CF767" i="1"/>
  <c r="BR767" i="1"/>
  <c r="BQ767" i="1"/>
  <c r="BP767" i="1"/>
  <c r="BO767" i="1"/>
  <c r="BN767" i="1"/>
  <c r="BM767" i="1"/>
  <c r="BL767" i="1"/>
  <c r="BK767" i="1"/>
  <c r="BJ767" i="1"/>
  <c r="BI767" i="1"/>
  <c r="BH767" i="1"/>
  <c r="BG767" i="1"/>
  <c r="BF767" i="1"/>
  <c r="BE767" i="1"/>
  <c r="AY767" i="1"/>
  <c r="AT767" i="1"/>
  <c r="AR767" i="1"/>
  <c r="AQ767" i="1"/>
  <c r="AP767" i="1"/>
  <c r="AO767" i="1"/>
  <c r="AN767" i="1"/>
  <c r="AM767" i="1"/>
  <c r="AL767" i="1"/>
  <c r="AK767" i="1"/>
  <c r="AI767" i="1"/>
  <c r="AH767" i="1"/>
  <c r="AG767" i="1"/>
  <c r="AF767" i="1"/>
  <c r="AE767" i="1"/>
  <c r="O766" i="1" s="1"/>
  <c r="AD767" i="1"/>
  <c r="P767" i="1"/>
  <c r="AJ767" i="1" s="1"/>
  <c r="O767" i="1"/>
  <c r="J767" i="1"/>
  <c r="DE766" i="1"/>
  <c r="DD766" i="1"/>
  <c r="DC766" i="1"/>
  <c r="DB766" i="1"/>
  <c r="DA766" i="1"/>
  <c r="CZ766" i="1"/>
  <c r="CY766" i="1"/>
  <c r="CX766" i="1"/>
  <c r="CW766" i="1"/>
  <c r="CV766" i="1"/>
  <c r="CU766" i="1"/>
  <c r="CT766" i="1"/>
  <c r="CS766" i="1"/>
  <c r="CR766" i="1"/>
  <c r="CQ766" i="1"/>
  <c r="CP766" i="1"/>
  <c r="CO766" i="1"/>
  <c r="CN766" i="1"/>
  <c r="CM766" i="1"/>
  <c r="CL766" i="1"/>
  <c r="CK766" i="1"/>
  <c r="CJ766" i="1"/>
  <c r="CI766" i="1"/>
  <c r="CH766" i="1"/>
  <c r="CG766" i="1"/>
  <c r="CF766" i="1"/>
  <c r="CB766" i="1"/>
  <c r="BV766" i="1"/>
  <c r="BR766" i="1"/>
  <c r="BQ766" i="1"/>
  <c r="BP766" i="1"/>
  <c r="BO766" i="1"/>
  <c r="BN766" i="1"/>
  <c r="BM766" i="1"/>
  <c r="BL766" i="1"/>
  <c r="BK766" i="1"/>
  <c r="BJ766" i="1"/>
  <c r="BI766" i="1"/>
  <c r="BH766" i="1"/>
  <c r="BG766" i="1"/>
  <c r="BF766" i="1"/>
  <c r="BE766" i="1"/>
  <c r="AZ766" i="1"/>
  <c r="AT766" i="1"/>
  <c r="AR766" i="1"/>
  <c r="AQ766" i="1"/>
  <c r="AP766" i="1"/>
  <c r="AO766" i="1"/>
  <c r="AN766" i="1"/>
  <c r="AM766" i="1"/>
  <c r="AL766" i="1"/>
  <c r="AK766" i="1"/>
  <c r="AJ766" i="1"/>
  <c r="AI766" i="1"/>
  <c r="AH766" i="1"/>
  <c r="AG766" i="1"/>
  <c r="AF766" i="1"/>
  <c r="AE766" i="1"/>
  <c r="AD766" i="1"/>
  <c r="P766" i="1"/>
  <c r="G766" i="1"/>
  <c r="B766" i="1"/>
  <c r="DJ765" i="1"/>
  <c r="DE765" i="1"/>
  <c r="DD765" i="1"/>
  <c r="DC765" i="1"/>
  <c r="DB765" i="1"/>
  <c r="DA765" i="1"/>
  <c r="CZ765" i="1"/>
  <c r="CY765" i="1"/>
  <c r="CX765" i="1"/>
  <c r="CW765" i="1"/>
  <c r="CV765" i="1"/>
  <c r="CU765" i="1"/>
  <c r="CT765" i="1"/>
  <c r="CS765" i="1"/>
  <c r="CR765" i="1"/>
  <c r="CQ765" i="1"/>
  <c r="CP765" i="1"/>
  <c r="CO765" i="1"/>
  <c r="CN765" i="1"/>
  <c r="CM765" i="1"/>
  <c r="CL765" i="1"/>
  <c r="CK765" i="1"/>
  <c r="CJ765" i="1"/>
  <c r="CI765" i="1"/>
  <c r="CH765" i="1"/>
  <c r="CG765" i="1"/>
  <c r="CF765" i="1"/>
  <c r="BR765" i="1"/>
  <c r="BQ765" i="1"/>
  <c r="BP765" i="1"/>
  <c r="BO765" i="1"/>
  <c r="BN765" i="1"/>
  <c r="BM765" i="1"/>
  <c r="BL765" i="1"/>
  <c r="BK765" i="1"/>
  <c r="BJ765" i="1"/>
  <c r="BI765" i="1"/>
  <c r="BH765" i="1"/>
  <c r="BG765" i="1"/>
  <c r="BF765" i="1"/>
  <c r="BE765" i="1"/>
  <c r="BA765" i="1"/>
  <c r="AY765" i="1"/>
  <c r="AU765" i="1"/>
  <c r="AT765" i="1"/>
  <c r="AR765" i="1"/>
  <c r="AQ765" i="1"/>
  <c r="AP765" i="1"/>
  <c r="AO765" i="1"/>
  <c r="AN765" i="1"/>
  <c r="AM765" i="1"/>
  <c r="AL765" i="1"/>
  <c r="AK765" i="1"/>
  <c r="AJ765" i="1"/>
  <c r="AI765" i="1"/>
  <c r="AH765" i="1"/>
  <c r="AG765" i="1"/>
  <c r="AF765" i="1"/>
  <c r="AE765" i="1"/>
  <c r="AD765" i="1"/>
  <c r="R765" i="1"/>
  <c r="Q765" i="1"/>
  <c r="O765" i="1"/>
  <c r="P765" i="1" s="1"/>
  <c r="DJ764" i="1"/>
  <c r="DE764" i="1"/>
  <c r="DD764" i="1"/>
  <c r="DC764" i="1"/>
  <c r="DB764" i="1"/>
  <c r="DA764" i="1"/>
  <c r="CZ764" i="1"/>
  <c r="CY764" i="1"/>
  <c r="CX764" i="1"/>
  <c r="CW764" i="1"/>
  <c r="CV764" i="1"/>
  <c r="CU764" i="1"/>
  <c r="CT764" i="1"/>
  <c r="CS764" i="1"/>
  <c r="CR764" i="1"/>
  <c r="CQ764" i="1"/>
  <c r="CP764" i="1"/>
  <c r="CO764" i="1"/>
  <c r="CN764" i="1"/>
  <c r="CM764" i="1"/>
  <c r="CL764" i="1"/>
  <c r="CK764" i="1"/>
  <c r="CJ764" i="1"/>
  <c r="CI764" i="1"/>
  <c r="CH764" i="1"/>
  <c r="CG764" i="1"/>
  <c r="CF764" i="1"/>
  <c r="BR764" i="1"/>
  <c r="BQ764" i="1"/>
  <c r="BP764" i="1"/>
  <c r="BO764" i="1"/>
  <c r="BN764" i="1"/>
  <c r="BM764" i="1"/>
  <c r="BL764" i="1"/>
  <c r="BK764" i="1"/>
  <c r="BJ764" i="1"/>
  <c r="BI764" i="1"/>
  <c r="BH764" i="1"/>
  <c r="BG764" i="1"/>
  <c r="BF764" i="1"/>
  <c r="BE764" i="1"/>
  <c r="BA764" i="1"/>
  <c r="AY764" i="1"/>
  <c r="AU764" i="1"/>
  <c r="AT764" i="1"/>
  <c r="AR764" i="1"/>
  <c r="AQ764" i="1"/>
  <c r="AP764" i="1"/>
  <c r="AO764" i="1"/>
  <c r="AN764" i="1"/>
  <c r="AM764" i="1"/>
  <c r="AL764" i="1"/>
  <c r="AK764" i="1"/>
  <c r="AI764" i="1"/>
  <c r="AH764" i="1"/>
  <c r="AG764" i="1"/>
  <c r="AF764" i="1"/>
  <c r="AE764" i="1"/>
  <c r="O763" i="1" s="1"/>
  <c r="AD764" i="1"/>
  <c r="P764" i="1"/>
  <c r="AJ764" i="1" s="1"/>
  <c r="O764" i="1"/>
  <c r="J764" i="1"/>
  <c r="DJ763" i="1"/>
  <c r="DE763" i="1"/>
  <c r="DD763" i="1"/>
  <c r="DC763" i="1"/>
  <c r="DB763" i="1"/>
  <c r="DA763" i="1"/>
  <c r="CZ763" i="1"/>
  <c r="CY763" i="1"/>
  <c r="CX763" i="1"/>
  <c r="CW763" i="1"/>
  <c r="CV763" i="1"/>
  <c r="CU763" i="1"/>
  <c r="CT763" i="1"/>
  <c r="CS763" i="1"/>
  <c r="CR763" i="1"/>
  <c r="CQ763" i="1"/>
  <c r="CP763" i="1"/>
  <c r="CO763" i="1"/>
  <c r="CN763" i="1"/>
  <c r="CM763" i="1"/>
  <c r="CL763" i="1"/>
  <c r="CK763" i="1"/>
  <c r="CJ763" i="1"/>
  <c r="CI763" i="1"/>
  <c r="CH763" i="1"/>
  <c r="CG763" i="1"/>
  <c r="CF763" i="1"/>
  <c r="CC763" i="1"/>
  <c r="CB763" i="1"/>
  <c r="BX763" i="1"/>
  <c r="BV763" i="1"/>
  <c r="BR763" i="1"/>
  <c r="BQ763" i="1"/>
  <c r="BP763" i="1"/>
  <c r="BO763" i="1"/>
  <c r="BN763" i="1"/>
  <c r="BM763" i="1"/>
  <c r="BL763" i="1"/>
  <c r="BK763" i="1"/>
  <c r="BJ763" i="1"/>
  <c r="BI763" i="1"/>
  <c r="BH763" i="1"/>
  <c r="BG763" i="1"/>
  <c r="BF763" i="1"/>
  <c r="BE763" i="1"/>
  <c r="BA763" i="1"/>
  <c r="AZ763" i="1"/>
  <c r="AV763" i="1"/>
  <c r="AT763" i="1"/>
  <c r="AR763" i="1"/>
  <c r="AQ763" i="1"/>
  <c r="AP763" i="1"/>
  <c r="AO763" i="1"/>
  <c r="AN763" i="1"/>
  <c r="AM763" i="1"/>
  <c r="AL763" i="1"/>
  <c r="AK763" i="1"/>
  <c r="AJ763" i="1"/>
  <c r="AI763" i="1"/>
  <c r="AH763" i="1"/>
  <c r="AG763" i="1"/>
  <c r="AF763" i="1"/>
  <c r="AE763" i="1"/>
  <c r="AD763" i="1"/>
  <c r="P763" i="1"/>
  <c r="F763" i="1"/>
  <c r="B763" i="1"/>
  <c r="DE762" i="1"/>
  <c r="DD762" i="1"/>
  <c r="DC762" i="1"/>
  <c r="DB762" i="1"/>
  <c r="DA762" i="1"/>
  <c r="CZ762" i="1"/>
  <c r="CY762" i="1"/>
  <c r="CX762" i="1"/>
  <c r="CW762" i="1"/>
  <c r="CV762" i="1"/>
  <c r="CU762" i="1"/>
  <c r="CT762" i="1"/>
  <c r="CS762" i="1"/>
  <c r="CR762" i="1"/>
  <c r="CQ762" i="1"/>
  <c r="CP762" i="1"/>
  <c r="CO762" i="1"/>
  <c r="CN762" i="1"/>
  <c r="CM762" i="1"/>
  <c r="CL762" i="1"/>
  <c r="CK762" i="1"/>
  <c r="CJ762" i="1"/>
  <c r="CI762" i="1"/>
  <c r="CH762" i="1"/>
  <c r="CG762" i="1"/>
  <c r="CF762" i="1"/>
  <c r="BR762" i="1"/>
  <c r="BQ762" i="1"/>
  <c r="BP762" i="1"/>
  <c r="BO762" i="1"/>
  <c r="BN762" i="1"/>
  <c r="BM762" i="1"/>
  <c r="BL762" i="1"/>
  <c r="BK762" i="1"/>
  <c r="BJ762" i="1"/>
  <c r="BI762" i="1"/>
  <c r="BH762" i="1"/>
  <c r="BG762" i="1"/>
  <c r="BF762" i="1"/>
  <c r="AR762" i="1"/>
  <c r="AQ762" i="1"/>
  <c r="AP762" i="1"/>
  <c r="AO762" i="1"/>
  <c r="AN762" i="1"/>
  <c r="AM762" i="1"/>
  <c r="AL762" i="1"/>
  <c r="AK762" i="1"/>
  <c r="AJ762" i="1"/>
  <c r="AI762" i="1"/>
  <c r="AH762" i="1"/>
  <c r="AG762" i="1"/>
  <c r="AF762" i="1"/>
  <c r="AE762" i="1"/>
  <c r="AD762" i="1"/>
  <c r="R762" i="1"/>
  <c r="Q762" i="1"/>
  <c r="DE761" i="1"/>
  <c r="DD761" i="1"/>
  <c r="DC761" i="1"/>
  <c r="DB761" i="1"/>
  <c r="DA761" i="1"/>
  <c r="CZ761" i="1"/>
  <c r="CY761" i="1"/>
  <c r="CX761" i="1"/>
  <c r="CW761" i="1"/>
  <c r="CV761" i="1"/>
  <c r="CU761" i="1"/>
  <c r="CT761" i="1"/>
  <c r="CS761" i="1"/>
  <c r="CR761" i="1"/>
  <c r="CQ761" i="1"/>
  <c r="CP761" i="1"/>
  <c r="CO761" i="1"/>
  <c r="CN761" i="1"/>
  <c r="CM761" i="1"/>
  <c r="CL761" i="1"/>
  <c r="CK761" i="1"/>
  <c r="CJ761" i="1"/>
  <c r="CI761" i="1"/>
  <c r="CH761" i="1"/>
  <c r="CG761" i="1"/>
  <c r="CF761" i="1"/>
  <c r="BR761" i="1"/>
  <c r="BQ761" i="1"/>
  <c r="BP761" i="1"/>
  <c r="BO761" i="1"/>
  <c r="BN761" i="1"/>
  <c r="BM761" i="1"/>
  <c r="BL761" i="1"/>
  <c r="BK761" i="1"/>
  <c r="BI761" i="1"/>
  <c r="BH761" i="1"/>
  <c r="BG761" i="1"/>
  <c r="BF761" i="1"/>
  <c r="AR761" i="1"/>
  <c r="AQ761" i="1"/>
  <c r="AP761" i="1"/>
  <c r="AO761" i="1"/>
  <c r="AN761" i="1"/>
  <c r="AM761" i="1"/>
  <c r="AL761" i="1"/>
  <c r="AK761" i="1"/>
  <c r="AI761" i="1"/>
  <c r="AH761" i="1"/>
  <c r="AG761" i="1"/>
  <c r="AF761" i="1"/>
  <c r="AE761" i="1"/>
  <c r="AD761" i="1"/>
  <c r="J761" i="1"/>
  <c r="DE760" i="1"/>
  <c r="DD760" i="1"/>
  <c r="DC760" i="1"/>
  <c r="DB760" i="1"/>
  <c r="DA760" i="1"/>
  <c r="CZ760" i="1"/>
  <c r="CY760" i="1"/>
  <c r="CX760" i="1"/>
  <c r="CW760" i="1"/>
  <c r="CV760" i="1"/>
  <c r="CU760" i="1"/>
  <c r="CT760" i="1"/>
  <c r="CS760" i="1"/>
  <c r="CR760" i="1"/>
  <c r="CQ760" i="1"/>
  <c r="CP760" i="1"/>
  <c r="CO760" i="1"/>
  <c r="CN760" i="1"/>
  <c r="CM760" i="1"/>
  <c r="CL760" i="1"/>
  <c r="CK760" i="1"/>
  <c r="CJ760" i="1"/>
  <c r="CI760" i="1"/>
  <c r="CH760" i="1"/>
  <c r="CG760" i="1"/>
  <c r="CF760" i="1"/>
  <c r="BR760" i="1"/>
  <c r="BP760" i="1"/>
  <c r="BO760" i="1"/>
  <c r="BN760" i="1"/>
  <c r="BM760" i="1"/>
  <c r="BL760" i="1"/>
  <c r="BK760" i="1"/>
  <c r="BJ760" i="1"/>
  <c r="BI760" i="1"/>
  <c r="BH760" i="1"/>
  <c r="BG760" i="1"/>
  <c r="BF760" i="1"/>
  <c r="AR760" i="1"/>
  <c r="AP760" i="1"/>
  <c r="AO760" i="1"/>
  <c r="AN760" i="1"/>
  <c r="AM760" i="1"/>
  <c r="AL760" i="1"/>
  <c r="AK760" i="1"/>
  <c r="AJ760" i="1"/>
  <c r="AI760" i="1"/>
  <c r="AH760" i="1"/>
  <c r="AG760" i="1"/>
  <c r="AF760" i="1"/>
  <c r="AE760" i="1"/>
  <c r="AD760" i="1"/>
  <c r="O760" i="1"/>
  <c r="BQ760" i="1" s="1"/>
  <c r="G760" i="1"/>
  <c r="F760" i="1" s="1"/>
  <c r="B760" i="1"/>
  <c r="DE759" i="1"/>
  <c r="DD759" i="1"/>
  <c r="DC759" i="1"/>
  <c r="DB759" i="1"/>
  <c r="DA759" i="1"/>
  <c r="CZ759" i="1"/>
  <c r="CY759" i="1"/>
  <c r="CX759" i="1"/>
  <c r="CW759" i="1"/>
  <c r="CV759" i="1"/>
  <c r="CU759" i="1"/>
  <c r="CT759" i="1"/>
  <c r="CS759" i="1"/>
  <c r="CR759" i="1"/>
  <c r="CQ759" i="1"/>
  <c r="CP759" i="1"/>
  <c r="CO759" i="1"/>
  <c r="CN759" i="1"/>
  <c r="CM759" i="1"/>
  <c r="CL759" i="1"/>
  <c r="CK759" i="1"/>
  <c r="CJ759" i="1"/>
  <c r="CI759" i="1"/>
  <c r="CH759" i="1"/>
  <c r="CG759" i="1"/>
  <c r="CF759" i="1"/>
  <c r="BR759" i="1"/>
  <c r="BQ759" i="1"/>
  <c r="BP759" i="1"/>
  <c r="BO759" i="1"/>
  <c r="BN759" i="1"/>
  <c r="BM759" i="1"/>
  <c r="BL759" i="1"/>
  <c r="BK759" i="1"/>
  <c r="BJ759" i="1"/>
  <c r="BI759" i="1"/>
  <c r="BH759" i="1"/>
  <c r="BG759" i="1"/>
  <c r="BF759" i="1"/>
  <c r="BE759" i="1"/>
  <c r="BD759" i="1"/>
  <c r="BA759" i="1"/>
  <c r="AZ759" i="1"/>
  <c r="AY759" i="1"/>
  <c r="AV759" i="1"/>
  <c r="AU759" i="1"/>
  <c r="AS759" i="1"/>
  <c r="AR759" i="1"/>
  <c r="AQ759" i="1"/>
  <c r="AP759" i="1"/>
  <c r="AO759" i="1"/>
  <c r="AN759" i="1"/>
  <c r="AM759" i="1"/>
  <c r="AL759" i="1"/>
  <c r="AK759" i="1"/>
  <c r="AJ759" i="1"/>
  <c r="AI759" i="1"/>
  <c r="AH759" i="1"/>
  <c r="AG759" i="1"/>
  <c r="AF759" i="1"/>
  <c r="AE759" i="1"/>
  <c r="AD759" i="1"/>
  <c r="R759" i="1"/>
  <c r="Q759" i="1"/>
  <c r="DE758" i="1"/>
  <c r="DD758" i="1"/>
  <c r="DC758" i="1"/>
  <c r="DB758" i="1"/>
  <c r="DA758" i="1"/>
  <c r="CZ758" i="1"/>
  <c r="CY758" i="1"/>
  <c r="CX758" i="1"/>
  <c r="CW758" i="1"/>
  <c r="CV758" i="1"/>
  <c r="CU758" i="1"/>
  <c r="CT758" i="1"/>
  <c r="CS758" i="1"/>
  <c r="CR758" i="1"/>
  <c r="CQ758" i="1"/>
  <c r="CP758" i="1"/>
  <c r="CO758" i="1"/>
  <c r="CN758" i="1"/>
  <c r="CM758" i="1"/>
  <c r="CL758" i="1"/>
  <c r="CK758" i="1"/>
  <c r="CJ758" i="1"/>
  <c r="CI758" i="1"/>
  <c r="CH758" i="1"/>
  <c r="CG758" i="1"/>
  <c r="CF758" i="1"/>
  <c r="BR758" i="1"/>
  <c r="BQ758" i="1"/>
  <c r="BP758" i="1"/>
  <c r="BO758" i="1"/>
  <c r="BN758" i="1"/>
  <c r="BM758" i="1"/>
  <c r="BL758" i="1"/>
  <c r="BK758" i="1"/>
  <c r="BI758" i="1"/>
  <c r="BH758" i="1"/>
  <c r="BG758" i="1"/>
  <c r="BF758" i="1"/>
  <c r="BD758" i="1"/>
  <c r="BC758" i="1"/>
  <c r="BA758" i="1"/>
  <c r="AY758" i="1"/>
  <c r="AW758" i="1"/>
  <c r="AV758" i="1"/>
  <c r="AS758" i="1"/>
  <c r="AR758" i="1"/>
  <c r="AQ758" i="1"/>
  <c r="AP758" i="1"/>
  <c r="AO758" i="1"/>
  <c r="AN758" i="1"/>
  <c r="AM758" i="1"/>
  <c r="AL758" i="1"/>
  <c r="AK758" i="1"/>
  <c r="AI758" i="1"/>
  <c r="AH758" i="1"/>
  <c r="AG758" i="1"/>
  <c r="AF758" i="1"/>
  <c r="AE758" i="1"/>
  <c r="O757" i="1" s="1"/>
  <c r="AD758" i="1"/>
  <c r="J758" i="1"/>
  <c r="DE757" i="1"/>
  <c r="DD757" i="1"/>
  <c r="DC757" i="1"/>
  <c r="DB757" i="1"/>
  <c r="DA757" i="1"/>
  <c r="CZ757" i="1"/>
  <c r="CY757" i="1"/>
  <c r="CX757" i="1"/>
  <c r="CW757" i="1"/>
  <c r="CV757" i="1"/>
  <c r="CU757" i="1"/>
  <c r="CT757" i="1"/>
  <c r="CS757" i="1"/>
  <c r="CR757" i="1"/>
  <c r="CQ757" i="1"/>
  <c r="CP757" i="1"/>
  <c r="CO757" i="1"/>
  <c r="CN757" i="1"/>
  <c r="CM757" i="1"/>
  <c r="CL757" i="1"/>
  <c r="CK757" i="1"/>
  <c r="CJ757" i="1"/>
  <c r="CI757" i="1"/>
  <c r="CH757" i="1"/>
  <c r="CG757" i="1"/>
  <c r="CF757" i="1"/>
  <c r="CD757" i="1"/>
  <c r="CB757" i="1"/>
  <c r="CA757" i="1"/>
  <c r="BX757" i="1"/>
  <c r="BV757" i="1"/>
  <c r="BS757" i="1"/>
  <c r="BR757" i="1"/>
  <c r="BP757" i="1"/>
  <c r="BO757" i="1"/>
  <c r="BN757" i="1"/>
  <c r="BM757" i="1"/>
  <c r="BL757" i="1"/>
  <c r="BK757" i="1"/>
  <c r="BJ757" i="1"/>
  <c r="BI757" i="1"/>
  <c r="BH757" i="1"/>
  <c r="BG757" i="1"/>
  <c r="BF757" i="1"/>
  <c r="BD757" i="1"/>
  <c r="BC757" i="1"/>
  <c r="AZ757" i="1"/>
  <c r="AY757" i="1"/>
  <c r="AX757" i="1"/>
  <c r="AU757" i="1"/>
  <c r="AT757" i="1"/>
  <c r="AR757" i="1"/>
  <c r="AP757" i="1"/>
  <c r="AO757" i="1"/>
  <c r="AN757" i="1"/>
  <c r="AM757" i="1"/>
  <c r="AL757" i="1"/>
  <c r="AK757" i="1"/>
  <c r="AJ757" i="1"/>
  <c r="AI757" i="1"/>
  <c r="AH757" i="1"/>
  <c r="AG757" i="1"/>
  <c r="AF757" i="1"/>
  <c r="AE757" i="1"/>
  <c r="AD757" i="1"/>
  <c r="G757" i="1"/>
  <c r="F757" i="1" s="1"/>
  <c r="B757" i="1"/>
  <c r="DE756" i="1"/>
  <c r="DD756" i="1"/>
  <c r="DC756" i="1"/>
  <c r="DB756" i="1"/>
  <c r="DA756" i="1"/>
  <c r="CZ756" i="1"/>
  <c r="CY756" i="1"/>
  <c r="CX756" i="1"/>
  <c r="CW756" i="1"/>
  <c r="CV756" i="1"/>
  <c r="CU756" i="1"/>
  <c r="CT756" i="1"/>
  <c r="CS756" i="1"/>
  <c r="CR756" i="1"/>
  <c r="CQ756" i="1"/>
  <c r="CP756" i="1"/>
  <c r="CO756" i="1"/>
  <c r="CN756" i="1"/>
  <c r="CM756" i="1"/>
  <c r="CL756" i="1"/>
  <c r="CK756" i="1"/>
  <c r="CJ756" i="1"/>
  <c r="CI756" i="1"/>
  <c r="CH756" i="1"/>
  <c r="CG756" i="1"/>
  <c r="CF756" i="1"/>
  <c r="BR756" i="1"/>
  <c r="BQ756" i="1"/>
  <c r="BP756" i="1"/>
  <c r="BO756" i="1"/>
  <c r="BN756" i="1"/>
  <c r="BM756" i="1"/>
  <c r="BL756" i="1"/>
  <c r="BK756" i="1"/>
  <c r="BJ756" i="1"/>
  <c r="BI756" i="1"/>
  <c r="BH756" i="1"/>
  <c r="BG756" i="1"/>
  <c r="BF756" i="1"/>
  <c r="AR756" i="1"/>
  <c r="AQ756" i="1"/>
  <c r="AP756" i="1"/>
  <c r="AO756" i="1"/>
  <c r="AN756" i="1"/>
  <c r="AM756" i="1"/>
  <c r="AL756" i="1"/>
  <c r="AK756" i="1"/>
  <c r="AJ756" i="1"/>
  <c r="AI756" i="1"/>
  <c r="AH756" i="1"/>
  <c r="AG756" i="1"/>
  <c r="AF756" i="1"/>
  <c r="AE756" i="1"/>
  <c r="AD756" i="1"/>
  <c r="R756" i="1"/>
  <c r="Q756" i="1"/>
  <c r="DE755" i="1"/>
  <c r="DD755" i="1"/>
  <c r="DC755" i="1"/>
  <c r="DB755" i="1"/>
  <c r="DA755" i="1"/>
  <c r="CZ755" i="1"/>
  <c r="CY755" i="1"/>
  <c r="CX755" i="1"/>
  <c r="CW755" i="1"/>
  <c r="CV755" i="1"/>
  <c r="CU755" i="1"/>
  <c r="CT755" i="1"/>
  <c r="CS755" i="1"/>
  <c r="CR755" i="1"/>
  <c r="CQ755" i="1"/>
  <c r="CP755" i="1"/>
  <c r="CO755" i="1"/>
  <c r="CN755" i="1"/>
  <c r="CM755" i="1"/>
  <c r="CL755" i="1"/>
  <c r="CK755" i="1"/>
  <c r="CJ755" i="1"/>
  <c r="CI755" i="1"/>
  <c r="CH755" i="1"/>
  <c r="CG755" i="1"/>
  <c r="CF755" i="1"/>
  <c r="BR755" i="1"/>
  <c r="BQ755" i="1"/>
  <c r="BP755" i="1"/>
  <c r="BO755" i="1"/>
  <c r="BN755" i="1"/>
  <c r="BM755" i="1"/>
  <c r="BL755" i="1"/>
  <c r="BK755" i="1"/>
  <c r="BI755" i="1"/>
  <c r="BH755" i="1"/>
  <c r="BG755" i="1"/>
  <c r="BF755" i="1"/>
  <c r="AR755" i="1"/>
  <c r="AQ755" i="1"/>
  <c r="AP755" i="1"/>
  <c r="AO755" i="1"/>
  <c r="AN755" i="1"/>
  <c r="AM755" i="1"/>
  <c r="AL755" i="1"/>
  <c r="AK755" i="1"/>
  <c r="AI755" i="1"/>
  <c r="AH755" i="1"/>
  <c r="AG755" i="1"/>
  <c r="AF755" i="1"/>
  <c r="AE755" i="1"/>
  <c r="AD755" i="1"/>
  <c r="J755" i="1"/>
  <c r="DE754" i="1"/>
  <c r="DD754" i="1"/>
  <c r="DC754" i="1"/>
  <c r="DB754" i="1"/>
  <c r="DA754" i="1"/>
  <c r="CZ754" i="1"/>
  <c r="CY754" i="1"/>
  <c r="CX754" i="1"/>
  <c r="CW754" i="1"/>
  <c r="CV754" i="1"/>
  <c r="CU754" i="1"/>
  <c r="CT754" i="1"/>
  <c r="CS754" i="1"/>
  <c r="CR754" i="1"/>
  <c r="CQ754" i="1"/>
  <c r="CP754" i="1"/>
  <c r="CO754" i="1"/>
  <c r="CN754" i="1"/>
  <c r="CM754" i="1"/>
  <c r="CL754" i="1"/>
  <c r="CK754" i="1"/>
  <c r="CJ754" i="1"/>
  <c r="CI754" i="1"/>
  <c r="CH754" i="1"/>
  <c r="CG754" i="1"/>
  <c r="CF754" i="1"/>
  <c r="BR754" i="1"/>
  <c r="BP754" i="1"/>
  <c r="BO754" i="1"/>
  <c r="BN754" i="1"/>
  <c r="BM754" i="1"/>
  <c r="BL754" i="1"/>
  <c r="BK754" i="1"/>
  <c r="BJ754" i="1"/>
  <c r="BI754" i="1"/>
  <c r="BH754" i="1"/>
  <c r="BG754" i="1"/>
  <c r="BF754" i="1"/>
  <c r="AR754" i="1"/>
  <c r="AP754" i="1"/>
  <c r="AO754" i="1"/>
  <c r="AN754" i="1"/>
  <c r="AM754" i="1"/>
  <c r="AL754" i="1"/>
  <c r="AK754" i="1"/>
  <c r="AJ754" i="1"/>
  <c r="AI754" i="1"/>
  <c r="AH754" i="1"/>
  <c r="AG754" i="1"/>
  <c r="AF754" i="1"/>
  <c r="AE754" i="1"/>
  <c r="AD754" i="1"/>
  <c r="O754" i="1"/>
  <c r="G754" i="1"/>
  <c r="F754" i="1" s="1"/>
  <c r="B754" i="1"/>
  <c r="BC756" i="1" s="1"/>
  <c r="DE753" i="1"/>
  <c r="DD753" i="1"/>
  <c r="DC753" i="1"/>
  <c r="DB753" i="1"/>
  <c r="DA753" i="1"/>
  <c r="CZ753" i="1"/>
  <c r="CY753" i="1"/>
  <c r="CX753" i="1"/>
  <c r="CW753" i="1"/>
  <c r="CV753" i="1"/>
  <c r="CU753" i="1"/>
  <c r="CT753" i="1"/>
  <c r="CS753" i="1"/>
  <c r="CR753" i="1"/>
  <c r="CQ753" i="1"/>
  <c r="CP753" i="1"/>
  <c r="CO753" i="1"/>
  <c r="CN753" i="1"/>
  <c r="CM753" i="1"/>
  <c r="CL753" i="1"/>
  <c r="CK753" i="1"/>
  <c r="CJ753" i="1"/>
  <c r="CI753" i="1"/>
  <c r="CH753" i="1"/>
  <c r="CG753" i="1"/>
  <c r="CF753" i="1"/>
  <c r="BR753" i="1"/>
  <c r="BQ753" i="1"/>
  <c r="BP753" i="1"/>
  <c r="BO753" i="1"/>
  <c r="BN753" i="1"/>
  <c r="BM753" i="1"/>
  <c r="BL753" i="1"/>
  <c r="BK753" i="1"/>
  <c r="BJ753" i="1"/>
  <c r="BI753" i="1"/>
  <c r="BH753" i="1"/>
  <c r="BG753" i="1"/>
  <c r="BF753" i="1"/>
  <c r="BE753" i="1"/>
  <c r="BA753" i="1"/>
  <c r="AZ753" i="1"/>
  <c r="AV753" i="1"/>
  <c r="AU753" i="1"/>
  <c r="AR753" i="1"/>
  <c r="AQ753" i="1"/>
  <c r="AP753" i="1"/>
  <c r="AO753" i="1"/>
  <c r="AN753" i="1"/>
  <c r="AM753" i="1"/>
  <c r="AL753" i="1"/>
  <c r="AK753" i="1"/>
  <c r="AJ753" i="1"/>
  <c r="AI753" i="1"/>
  <c r="AH753" i="1"/>
  <c r="AG753" i="1"/>
  <c r="AF753" i="1"/>
  <c r="AE753" i="1"/>
  <c r="AD753" i="1"/>
  <c r="R753" i="1"/>
  <c r="Q753" i="1"/>
  <c r="DE752" i="1"/>
  <c r="DD752" i="1"/>
  <c r="DC752" i="1"/>
  <c r="DB752" i="1"/>
  <c r="DA752" i="1"/>
  <c r="CZ752" i="1"/>
  <c r="CY752" i="1"/>
  <c r="CX752" i="1"/>
  <c r="CW752" i="1"/>
  <c r="CV752" i="1"/>
  <c r="CU752" i="1"/>
  <c r="CT752" i="1"/>
  <c r="CS752" i="1"/>
  <c r="CR752" i="1"/>
  <c r="CQ752" i="1"/>
  <c r="CP752" i="1"/>
  <c r="CO752" i="1"/>
  <c r="CN752" i="1"/>
  <c r="CM752" i="1"/>
  <c r="CL752" i="1"/>
  <c r="CK752" i="1"/>
  <c r="CJ752" i="1"/>
  <c r="CI752" i="1"/>
  <c r="CH752" i="1"/>
  <c r="CG752" i="1"/>
  <c r="CF752" i="1"/>
  <c r="BR752" i="1"/>
  <c r="BQ752" i="1"/>
  <c r="BP752" i="1"/>
  <c r="BO752" i="1"/>
  <c r="BN752" i="1"/>
  <c r="BM752" i="1"/>
  <c r="BL752" i="1"/>
  <c r="BK752" i="1"/>
  <c r="BI752" i="1"/>
  <c r="BH752" i="1"/>
  <c r="BG752" i="1"/>
  <c r="BF752" i="1"/>
  <c r="BD752" i="1"/>
  <c r="BC752" i="1"/>
  <c r="AY752" i="1"/>
  <c r="AW752" i="1"/>
  <c r="AS752" i="1"/>
  <c r="AR752" i="1"/>
  <c r="AQ752" i="1"/>
  <c r="AP752" i="1"/>
  <c r="AO752" i="1"/>
  <c r="AN752" i="1"/>
  <c r="AM752" i="1"/>
  <c r="AL752" i="1"/>
  <c r="AK752" i="1"/>
  <c r="AI752" i="1"/>
  <c r="AH752" i="1"/>
  <c r="AG752" i="1"/>
  <c r="AF752" i="1"/>
  <c r="AE752" i="1"/>
  <c r="O751" i="1" s="1"/>
  <c r="AD752" i="1"/>
  <c r="J752" i="1"/>
  <c r="DE751" i="1"/>
  <c r="DD751" i="1"/>
  <c r="DC751" i="1"/>
  <c r="DB751" i="1"/>
  <c r="DA751" i="1"/>
  <c r="CZ751" i="1"/>
  <c r="CY751" i="1"/>
  <c r="CX751" i="1"/>
  <c r="CW751" i="1"/>
  <c r="CV751" i="1"/>
  <c r="CU751" i="1"/>
  <c r="CT751" i="1"/>
  <c r="CS751" i="1"/>
  <c r="CR751" i="1"/>
  <c r="CQ751" i="1"/>
  <c r="CP751" i="1"/>
  <c r="CO751" i="1"/>
  <c r="CN751" i="1"/>
  <c r="CM751" i="1"/>
  <c r="CL751" i="1"/>
  <c r="CK751" i="1"/>
  <c r="CJ751" i="1"/>
  <c r="CI751" i="1"/>
  <c r="CH751" i="1"/>
  <c r="CG751" i="1"/>
  <c r="CF751" i="1"/>
  <c r="CD751" i="1"/>
  <c r="CB751" i="1"/>
  <c r="BX751" i="1"/>
  <c r="BS751" i="1"/>
  <c r="BR751" i="1"/>
  <c r="BP751" i="1"/>
  <c r="BO751" i="1"/>
  <c r="BN751" i="1"/>
  <c r="BM751" i="1"/>
  <c r="BL751" i="1"/>
  <c r="BK751" i="1"/>
  <c r="BJ751" i="1"/>
  <c r="BI751" i="1"/>
  <c r="BH751" i="1"/>
  <c r="BG751" i="1"/>
  <c r="BF751" i="1"/>
  <c r="BD751" i="1"/>
  <c r="AZ751" i="1"/>
  <c r="AY751" i="1"/>
  <c r="AU751" i="1"/>
  <c r="AT751" i="1"/>
  <c r="AR751" i="1"/>
  <c r="AP751" i="1"/>
  <c r="AO751" i="1"/>
  <c r="AN751" i="1"/>
  <c r="AM751" i="1"/>
  <c r="AL751" i="1"/>
  <c r="AK751" i="1"/>
  <c r="AJ751" i="1"/>
  <c r="AI751" i="1"/>
  <c r="AH751" i="1"/>
  <c r="AG751" i="1"/>
  <c r="AF751" i="1"/>
  <c r="AE751" i="1"/>
  <c r="AD751" i="1"/>
  <c r="F751" i="1"/>
  <c r="B751" i="1"/>
  <c r="BC753" i="1" s="1"/>
  <c r="DE750" i="1"/>
  <c r="DD750" i="1"/>
  <c r="DC750" i="1"/>
  <c r="DB750" i="1"/>
  <c r="DA750" i="1"/>
  <c r="CZ750" i="1"/>
  <c r="CY750" i="1"/>
  <c r="CX750" i="1"/>
  <c r="CW750" i="1"/>
  <c r="CV750" i="1"/>
  <c r="CU750" i="1"/>
  <c r="CT750" i="1"/>
  <c r="CS750" i="1"/>
  <c r="CR750" i="1"/>
  <c r="CQ750" i="1"/>
  <c r="CP750" i="1"/>
  <c r="CO750" i="1"/>
  <c r="CN750" i="1"/>
  <c r="CM750" i="1"/>
  <c r="CL750" i="1"/>
  <c r="CK750" i="1"/>
  <c r="CJ750" i="1"/>
  <c r="CI750" i="1"/>
  <c r="CH750" i="1"/>
  <c r="CG750" i="1"/>
  <c r="CF750" i="1"/>
  <c r="BR750" i="1"/>
  <c r="BQ750" i="1"/>
  <c r="BP750" i="1"/>
  <c r="BO750" i="1"/>
  <c r="BN750" i="1"/>
  <c r="BM750" i="1"/>
  <c r="BL750" i="1"/>
  <c r="BK750" i="1"/>
  <c r="BJ750" i="1"/>
  <c r="BI750" i="1"/>
  <c r="BH750" i="1"/>
  <c r="BG750" i="1"/>
  <c r="BF750" i="1"/>
  <c r="AZ750" i="1"/>
  <c r="AU750" i="1"/>
  <c r="AR750" i="1"/>
  <c r="AQ750" i="1"/>
  <c r="AP750" i="1"/>
  <c r="AO750" i="1"/>
  <c r="AN750" i="1"/>
  <c r="AM750" i="1"/>
  <c r="AL750" i="1"/>
  <c r="AK750" i="1"/>
  <c r="AJ750" i="1"/>
  <c r="AI750" i="1"/>
  <c r="AH750" i="1"/>
  <c r="AG750" i="1"/>
  <c r="AF750" i="1"/>
  <c r="AE750" i="1"/>
  <c r="R750" i="1"/>
  <c r="Q750" i="1"/>
  <c r="O750" i="1"/>
  <c r="DE749" i="1"/>
  <c r="DD749" i="1"/>
  <c r="DC749" i="1"/>
  <c r="DB749" i="1"/>
  <c r="DA749" i="1"/>
  <c r="CZ749" i="1"/>
  <c r="CY749" i="1"/>
  <c r="CX749" i="1"/>
  <c r="CW749" i="1"/>
  <c r="CV749" i="1"/>
  <c r="CU749" i="1"/>
  <c r="CT749" i="1"/>
  <c r="CS749" i="1"/>
  <c r="CR749" i="1"/>
  <c r="CQ749" i="1"/>
  <c r="CP749" i="1"/>
  <c r="CO749" i="1"/>
  <c r="CN749" i="1"/>
  <c r="CM749" i="1"/>
  <c r="CL749" i="1"/>
  <c r="CK749" i="1"/>
  <c r="CJ749" i="1"/>
  <c r="CI749" i="1"/>
  <c r="CH749" i="1"/>
  <c r="CG749" i="1"/>
  <c r="CF749" i="1"/>
  <c r="BR749" i="1"/>
  <c r="BQ749" i="1"/>
  <c r="BP749" i="1"/>
  <c r="BO749" i="1"/>
  <c r="BN749" i="1"/>
  <c r="BM749" i="1"/>
  <c r="BL749" i="1"/>
  <c r="BK749" i="1"/>
  <c r="BJ749" i="1"/>
  <c r="BI749" i="1"/>
  <c r="BG749" i="1"/>
  <c r="BF749" i="1"/>
  <c r="BB749" i="1"/>
  <c r="AW749" i="1"/>
  <c r="AR749" i="1"/>
  <c r="AQ749" i="1"/>
  <c r="AP749" i="1"/>
  <c r="AO749" i="1"/>
  <c r="AN749" i="1"/>
  <c r="AM749" i="1"/>
  <c r="AL749" i="1"/>
  <c r="AK749" i="1"/>
  <c r="AJ749" i="1"/>
  <c r="AI749" i="1"/>
  <c r="AG749" i="1"/>
  <c r="AF749" i="1"/>
  <c r="AE749" i="1"/>
  <c r="O749" i="1"/>
  <c r="J749" i="1"/>
  <c r="DE748" i="1"/>
  <c r="DD748" i="1"/>
  <c r="DC748" i="1"/>
  <c r="DB748" i="1"/>
  <c r="DA748" i="1"/>
  <c r="CZ748" i="1"/>
  <c r="CY748" i="1"/>
  <c r="CX748" i="1"/>
  <c r="CW748" i="1"/>
  <c r="CV748" i="1"/>
  <c r="CU748" i="1"/>
  <c r="CT748" i="1"/>
  <c r="CS748" i="1"/>
  <c r="CR748" i="1"/>
  <c r="CQ748" i="1"/>
  <c r="CP748" i="1"/>
  <c r="CO748" i="1"/>
  <c r="CN748" i="1"/>
  <c r="CM748" i="1"/>
  <c r="CL748" i="1"/>
  <c r="CK748" i="1"/>
  <c r="CJ748" i="1"/>
  <c r="CI748" i="1"/>
  <c r="CH748" i="1"/>
  <c r="CG748" i="1"/>
  <c r="CF748" i="1"/>
  <c r="CE748" i="1"/>
  <c r="BY748" i="1"/>
  <c r="BT748" i="1"/>
  <c r="BR748" i="1"/>
  <c r="BQ748" i="1"/>
  <c r="BP748" i="1"/>
  <c r="BO748" i="1"/>
  <c r="BN748" i="1"/>
  <c r="BM748" i="1"/>
  <c r="BL748" i="1"/>
  <c r="BK748" i="1"/>
  <c r="BJ748" i="1"/>
  <c r="BI748" i="1"/>
  <c r="BH748" i="1"/>
  <c r="BF748" i="1"/>
  <c r="BD748" i="1"/>
  <c r="AY748" i="1"/>
  <c r="AS748" i="1"/>
  <c r="AR748" i="1"/>
  <c r="AQ748" i="1"/>
  <c r="AP748" i="1"/>
  <c r="AO748" i="1"/>
  <c r="AN748" i="1"/>
  <c r="AM748" i="1"/>
  <c r="AL748" i="1"/>
  <c r="AK748" i="1"/>
  <c r="AJ748" i="1"/>
  <c r="AI748" i="1"/>
  <c r="AH748" i="1"/>
  <c r="AG748" i="1"/>
  <c r="AF748" i="1"/>
  <c r="AE748" i="1"/>
  <c r="AD748" i="1"/>
  <c r="O748" i="1"/>
  <c r="BG748" i="1" s="1"/>
  <c r="F748" i="1"/>
  <c r="B748" i="1"/>
  <c r="DE747" i="1"/>
  <c r="DD747" i="1"/>
  <c r="DC747" i="1"/>
  <c r="DB747" i="1"/>
  <c r="DA747" i="1"/>
  <c r="CZ747" i="1"/>
  <c r="CY747" i="1"/>
  <c r="CX747" i="1"/>
  <c r="CW747" i="1"/>
  <c r="CV747" i="1"/>
  <c r="CU747" i="1"/>
  <c r="CT747" i="1"/>
  <c r="CS747" i="1"/>
  <c r="CR747" i="1"/>
  <c r="CQ747" i="1"/>
  <c r="CP747" i="1"/>
  <c r="CO747" i="1"/>
  <c r="CN747" i="1"/>
  <c r="CM747" i="1"/>
  <c r="CL747" i="1"/>
  <c r="CK747" i="1"/>
  <c r="CJ747" i="1"/>
  <c r="CI747" i="1"/>
  <c r="CH747" i="1"/>
  <c r="CG747" i="1"/>
  <c r="CF747" i="1"/>
  <c r="BR747" i="1"/>
  <c r="BQ747" i="1"/>
  <c r="BP747" i="1"/>
  <c r="BO747" i="1"/>
  <c r="BN747" i="1"/>
  <c r="BM747" i="1"/>
  <c r="BL747" i="1"/>
  <c r="BK747" i="1"/>
  <c r="BJ747" i="1"/>
  <c r="BI747" i="1"/>
  <c r="BH747" i="1"/>
  <c r="BG747" i="1"/>
  <c r="BF747" i="1"/>
  <c r="BE747" i="1"/>
  <c r="BD747" i="1"/>
  <c r="AZ747" i="1"/>
  <c r="AY747" i="1"/>
  <c r="AU747" i="1"/>
  <c r="AS747" i="1"/>
  <c r="AR747" i="1"/>
  <c r="AQ747" i="1"/>
  <c r="AP747" i="1"/>
  <c r="AO747" i="1"/>
  <c r="AN747" i="1"/>
  <c r="AM747" i="1"/>
  <c r="AL747" i="1"/>
  <c r="AK747" i="1"/>
  <c r="AJ747" i="1"/>
  <c r="AI747" i="1"/>
  <c r="AH747" i="1"/>
  <c r="AG747" i="1"/>
  <c r="AF747" i="1"/>
  <c r="AE747" i="1"/>
  <c r="AD747" i="1"/>
  <c r="R747" i="1"/>
  <c r="Q747" i="1"/>
  <c r="DE746" i="1"/>
  <c r="DD746" i="1"/>
  <c r="DC746" i="1"/>
  <c r="DB746" i="1"/>
  <c r="DA746" i="1"/>
  <c r="CZ746" i="1"/>
  <c r="CY746" i="1"/>
  <c r="CX746" i="1"/>
  <c r="CW746" i="1"/>
  <c r="CV746" i="1"/>
  <c r="CU746" i="1"/>
  <c r="CT746" i="1"/>
  <c r="CS746" i="1"/>
  <c r="CR746" i="1"/>
  <c r="CQ746" i="1"/>
  <c r="CP746" i="1"/>
  <c r="CO746" i="1"/>
  <c r="CN746" i="1"/>
  <c r="CM746" i="1"/>
  <c r="CL746" i="1"/>
  <c r="CK746" i="1"/>
  <c r="CJ746" i="1"/>
  <c r="CI746" i="1"/>
  <c r="CH746" i="1"/>
  <c r="CG746" i="1"/>
  <c r="CF746" i="1"/>
  <c r="BR746" i="1"/>
  <c r="BP746" i="1"/>
  <c r="BO746" i="1"/>
  <c r="BN746" i="1"/>
  <c r="BM746" i="1"/>
  <c r="BL746" i="1"/>
  <c r="BK746" i="1"/>
  <c r="BJ746" i="1"/>
  <c r="BI746" i="1"/>
  <c r="BH746" i="1"/>
  <c r="BG746" i="1"/>
  <c r="BF746" i="1"/>
  <c r="BD746" i="1"/>
  <c r="BC746" i="1"/>
  <c r="AY746" i="1"/>
  <c r="AW746" i="1"/>
  <c r="AS746" i="1"/>
  <c r="AR746" i="1"/>
  <c r="AP746" i="1"/>
  <c r="AO746" i="1"/>
  <c r="AN746" i="1"/>
  <c r="AM746" i="1"/>
  <c r="AL746" i="1"/>
  <c r="AK746" i="1"/>
  <c r="AJ746" i="1"/>
  <c r="AI746" i="1"/>
  <c r="AH746" i="1"/>
  <c r="AG746" i="1"/>
  <c r="AF746" i="1"/>
  <c r="AE746" i="1"/>
  <c r="O745" i="1" s="1"/>
  <c r="AD746" i="1"/>
  <c r="J746" i="1"/>
  <c r="DE745" i="1"/>
  <c r="DD745" i="1"/>
  <c r="DC745" i="1"/>
  <c r="DB745" i="1"/>
  <c r="DA745" i="1"/>
  <c r="CZ745" i="1"/>
  <c r="CY745" i="1"/>
  <c r="CX745" i="1"/>
  <c r="CW745" i="1"/>
  <c r="CV745" i="1"/>
  <c r="CU745" i="1"/>
  <c r="CT745" i="1"/>
  <c r="CS745" i="1"/>
  <c r="CR745" i="1"/>
  <c r="CQ745" i="1"/>
  <c r="CP745" i="1"/>
  <c r="CO745" i="1"/>
  <c r="CN745" i="1"/>
  <c r="CM745" i="1"/>
  <c r="CL745" i="1"/>
  <c r="CK745" i="1"/>
  <c r="CJ745" i="1"/>
  <c r="CI745" i="1"/>
  <c r="CH745" i="1"/>
  <c r="CG745" i="1"/>
  <c r="CF745" i="1"/>
  <c r="CB745" i="1"/>
  <c r="BX745" i="1"/>
  <c r="BW745" i="1"/>
  <c r="BS745" i="1"/>
  <c r="BR745" i="1"/>
  <c r="BQ745" i="1"/>
  <c r="BP745" i="1"/>
  <c r="BO745" i="1"/>
  <c r="BN745" i="1"/>
  <c r="BL745" i="1"/>
  <c r="BK745" i="1"/>
  <c r="BJ745" i="1"/>
  <c r="BI745" i="1"/>
  <c r="BH745" i="1"/>
  <c r="BG745" i="1"/>
  <c r="BF745" i="1"/>
  <c r="BD745" i="1"/>
  <c r="AZ745" i="1"/>
  <c r="AY745" i="1"/>
  <c r="AU745" i="1"/>
  <c r="AT745" i="1"/>
  <c r="AR745" i="1"/>
  <c r="AQ745" i="1"/>
  <c r="AP745" i="1"/>
  <c r="AO745" i="1"/>
  <c r="AN745" i="1"/>
  <c r="AL745" i="1"/>
  <c r="AK745" i="1"/>
  <c r="AJ745" i="1"/>
  <c r="AI745" i="1"/>
  <c r="AH745" i="1"/>
  <c r="AG745" i="1"/>
  <c r="AF745" i="1"/>
  <c r="AE745" i="1"/>
  <c r="AD745" i="1"/>
  <c r="F745" i="1"/>
  <c r="B745" i="1"/>
  <c r="BA747" i="1" s="1"/>
  <c r="DE744" i="1"/>
  <c r="DD744" i="1"/>
  <c r="DC744" i="1"/>
  <c r="DB744" i="1"/>
  <c r="DA744" i="1"/>
  <c r="CZ744" i="1"/>
  <c r="CY744" i="1"/>
  <c r="CX744" i="1"/>
  <c r="CW744" i="1"/>
  <c r="CV744" i="1"/>
  <c r="CU744" i="1"/>
  <c r="CT744" i="1"/>
  <c r="CS744" i="1"/>
  <c r="CR744" i="1"/>
  <c r="CQ744" i="1"/>
  <c r="CP744" i="1"/>
  <c r="CO744" i="1"/>
  <c r="CN744" i="1"/>
  <c r="CM744" i="1"/>
  <c r="CL744" i="1"/>
  <c r="CK744" i="1"/>
  <c r="CJ744" i="1"/>
  <c r="CI744" i="1"/>
  <c r="CH744" i="1"/>
  <c r="CG744" i="1"/>
  <c r="CF744" i="1"/>
  <c r="BR744" i="1"/>
  <c r="BQ744" i="1"/>
  <c r="BP744" i="1"/>
  <c r="BO744" i="1"/>
  <c r="BN744" i="1"/>
  <c r="BM744" i="1"/>
  <c r="BL744" i="1"/>
  <c r="BK744" i="1"/>
  <c r="BJ744" i="1"/>
  <c r="BI744" i="1"/>
  <c r="BH744" i="1"/>
  <c r="BG744" i="1"/>
  <c r="BF744" i="1"/>
  <c r="BB744" i="1"/>
  <c r="AZ744" i="1"/>
  <c r="AV744" i="1"/>
  <c r="AU744" i="1"/>
  <c r="AR744" i="1"/>
  <c r="AQ744" i="1"/>
  <c r="AP744" i="1"/>
  <c r="AO744" i="1"/>
  <c r="AN744" i="1"/>
  <c r="AM744" i="1"/>
  <c r="AL744" i="1"/>
  <c r="AK744" i="1"/>
  <c r="AJ744" i="1"/>
  <c r="AI744" i="1"/>
  <c r="AH744" i="1"/>
  <c r="AG744" i="1"/>
  <c r="AF744" i="1"/>
  <c r="AE744" i="1"/>
  <c r="R744" i="1"/>
  <c r="Q744" i="1"/>
  <c r="O744" i="1"/>
  <c r="P744" i="1" s="1"/>
  <c r="DE743" i="1"/>
  <c r="DD743" i="1"/>
  <c r="DC743" i="1"/>
  <c r="DB743" i="1"/>
  <c r="DA743" i="1"/>
  <c r="CZ743" i="1"/>
  <c r="CY743" i="1"/>
  <c r="CX743" i="1"/>
  <c r="CW743" i="1"/>
  <c r="CV743" i="1"/>
  <c r="CU743" i="1"/>
  <c r="CT743" i="1"/>
  <c r="CS743" i="1"/>
  <c r="CR743" i="1"/>
  <c r="CQ743" i="1"/>
  <c r="CP743" i="1"/>
  <c r="CO743" i="1"/>
  <c r="CN743" i="1"/>
  <c r="CM743" i="1"/>
  <c r="CL743" i="1"/>
  <c r="CK743" i="1"/>
  <c r="CJ743" i="1"/>
  <c r="CI743" i="1"/>
  <c r="CH743" i="1"/>
  <c r="CG743" i="1"/>
  <c r="CF743" i="1"/>
  <c r="BR743" i="1"/>
  <c r="BP743" i="1"/>
  <c r="BO743" i="1"/>
  <c r="BN743" i="1"/>
  <c r="BM743" i="1"/>
  <c r="BL743" i="1"/>
  <c r="BK743" i="1"/>
  <c r="BJ743" i="1"/>
  <c r="BI743" i="1"/>
  <c r="BH743" i="1"/>
  <c r="BG743" i="1"/>
  <c r="BF743" i="1"/>
  <c r="BE743" i="1"/>
  <c r="BC743" i="1"/>
  <c r="AY743" i="1"/>
  <c r="AX743" i="1"/>
  <c r="AT743" i="1"/>
  <c r="AS743" i="1"/>
  <c r="AR743" i="1"/>
  <c r="AP743" i="1"/>
  <c r="AO743" i="1"/>
  <c r="AN743" i="1"/>
  <c r="AM743" i="1"/>
  <c r="AL743" i="1"/>
  <c r="AK743" i="1"/>
  <c r="AJ743" i="1"/>
  <c r="AI743" i="1"/>
  <c r="AH743" i="1"/>
  <c r="AG743" i="1"/>
  <c r="AF743" i="1"/>
  <c r="AE743" i="1"/>
  <c r="DE742" i="1"/>
  <c r="DD742" i="1"/>
  <c r="DC742" i="1"/>
  <c r="DB742" i="1"/>
  <c r="DA742" i="1"/>
  <c r="CZ742" i="1"/>
  <c r="CY742" i="1"/>
  <c r="CX742" i="1"/>
  <c r="CW742" i="1"/>
  <c r="CV742" i="1"/>
  <c r="CU742" i="1"/>
  <c r="CT742" i="1"/>
  <c r="CS742" i="1"/>
  <c r="CR742" i="1"/>
  <c r="CQ742" i="1"/>
  <c r="CP742" i="1"/>
  <c r="CO742" i="1"/>
  <c r="CN742" i="1"/>
  <c r="CM742" i="1"/>
  <c r="CL742" i="1"/>
  <c r="CK742" i="1"/>
  <c r="CJ742" i="1"/>
  <c r="CI742" i="1"/>
  <c r="CH742" i="1"/>
  <c r="CG742" i="1"/>
  <c r="CF742" i="1"/>
  <c r="CB742" i="1"/>
  <c r="CA742" i="1"/>
  <c r="BW742" i="1"/>
  <c r="BV742" i="1"/>
  <c r="BR742" i="1"/>
  <c r="BQ742" i="1"/>
  <c r="BP742" i="1"/>
  <c r="BO742" i="1"/>
  <c r="BN742" i="1"/>
  <c r="BM742" i="1"/>
  <c r="BL742" i="1"/>
  <c r="BK742" i="1"/>
  <c r="BJ742" i="1"/>
  <c r="BI742" i="1"/>
  <c r="BH742" i="1"/>
  <c r="BF742" i="1"/>
  <c r="BD742" i="1"/>
  <c r="AZ742" i="1"/>
  <c r="AY742" i="1"/>
  <c r="AU742" i="1"/>
  <c r="AT742" i="1"/>
  <c r="AR742" i="1"/>
  <c r="AQ742" i="1"/>
  <c r="AP742" i="1"/>
  <c r="AO742" i="1"/>
  <c r="AN742" i="1"/>
  <c r="AM742" i="1"/>
  <c r="AL742" i="1"/>
  <c r="AK742" i="1"/>
  <c r="AJ742" i="1"/>
  <c r="AI742" i="1"/>
  <c r="AH742" i="1"/>
  <c r="AF742" i="1"/>
  <c r="AE742" i="1"/>
  <c r="O743" i="1" s="1"/>
  <c r="AD742" i="1"/>
  <c r="P742" i="1"/>
  <c r="O742" i="1"/>
  <c r="AG742" i="1" s="1"/>
  <c r="G742" i="1"/>
  <c r="F742" i="1" s="1"/>
  <c r="B742" i="1"/>
  <c r="BC744" i="1" s="1"/>
  <c r="DE741" i="1"/>
  <c r="DD741" i="1"/>
  <c r="DC741" i="1"/>
  <c r="DB741" i="1"/>
  <c r="DA741" i="1"/>
  <c r="CZ741" i="1"/>
  <c r="CY741" i="1"/>
  <c r="CX741" i="1"/>
  <c r="CW741" i="1"/>
  <c r="CV741" i="1"/>
  <c r="CU741" i="1"/>
  <c r="CT741" i="1"/>
  <c r="CS741" i="1"/>
  <c r="CR741" i="1"/>
  <c r="CQ741" i="1"/>
  <c r="CP741" i="1"/>
  <c r="CO741" i="1"/>
  <c r="CN741" i="1"/>
  <c r="CM741" i="1"/>
  <c r="CL741" i="1"/>
  <c r="CK741" i="1"/>
  <c r="CJ741" i="1"/>
  <c r="CI741" i="1"/>
  <c r="CH741" i="1"/>
  <c r="CG741" i="1"/>
  <c r="CF741" i="1"/>
  <c r="BR741" i="1"/>
  <c r="BP741" i="1"/>
  <c r="BO741" i="1"/>
  <c r="BN741" i="1"/>
  <c r="BM741" i="1"/>
  <c r="BL741" i="1"/>
  <c r="BK741" i="1"/>
  <c r="BJ741" i="1"/>
  <c r="BI741" i="1"/>
  <c r="BH741" i="1"/>
  <c r="BG741" i="1"/>
  <c r="BF741" i="1"/>
  <c r="AR741" i="1"/>
  <c r="AP741" i="1"/>
  <c r="AO741" i="1"/>
  <c r="AN741" i="1"/>
  <c r="AM741" i="1"/>
  <c r="AL741" i="1"/>
  <c r="AK741" i="1"/>
  <c r="AJ741" i="1"/>
  <c r="AI741" i="1"/>
  <c r="AH741" i="1"/>
  <c r="AG741" i="1"/>
  <c r="AF741" i="1"/>
  <c r="AE741" i="1"/>
  <c r="AD741" i="1"/>
  <c r="DE740" i="1"/>
  <c r="DD740" i="1"/>
  <c r="DC740" i="1"/>
  <c r="DB740" i="1"/>
  <c r="DA740" i="1"/>
  <c r="CZ740" i="1"/>
  <c r="CY740" i="1"/>
  <c r="CX740" i="1"/>
  <c r="CW740" i="1"/>
  <c r="CV740" i="1"/>
  <c r="CU740" i="1"/>
  <c r="CT740" i="1"/>
  <c r="CS740" i="1"/>
  <c r="CR740" i="1"/>
  <c r="CQ740" i="1"/>
  <c r="CP740" i="1"/>
  <c r="CO740" i="1"/>
  <c r="CN740" i="1"/>
  <c r="CM740" i="1"/>
  <c r="CL740" i="1"/>
  <c r="CK740" i="1"/>
  <c r="CJ740" i="1"/>
  <c r="CI740" i="1"/>
  <c r="CH740" i="1"/>
  <c r="CG740" i="1"/>
  <c r="CF740" i="1"/>
  <c r="BR740" i="1"/>
  <c r="BQ740" i="1"/>
  <c r="BP740" i="1"/>
  <c r="BO740" i="1"/>
  <c r="BN740" i="1"/>
  <c r="BM740" i="1"/>
  <c r="BL740" i="1"/>
  <c r="BK740" i="1"/>
  <c r="BJ740" i="1"/>
  <c r="BI740" i="1"/>
  <c r="BH740" i="1"/>
  <c r="BF740" i="1"/>
  <c r="AU740" i="1"/>
  <c r="AR740" i="1"/>
  <c r="AQ740" i="1"/>
  <c r="AP740" i="1"/>
  <c r="AO740" i="1"/>
  <c r="AN740" i="1"/>
  <c r="AM740" i="1"/>
  <c r="AL740" i="1"/>
  <c r="AK740" i="1"/>
  <c r="AJ740" i="1"/>
  <c r="AI740" i="1"/>
  <c r="AH740" i="1"/>
  <c r="AF740" i="1"/>
  <c r="AE740" i="1"/>
  <c r="AD740" i="1"/>
  <c r="J740" i="1"/>
  <c r="DE739" i="1"/>
  <c r="DD739" i="1"/>
  <c r="DC739" i="1"/>
  <c r="DB739" i="1"/>
  <c r="DA739" i="1"/>
  <c r="CZ739" i="1"/>
  <c r="CY739" i="1"/>
  <c r="CX739" i="1"/>
  <c r="CW739" i="1"/>
  <c r="CV739" i="1"/>
  <c r="CU739" i="1"/>
  <c r="CT739" i="1"/>
  <c r="CS739" i="1"/>
  <c r="CR739" i="1"/>
  <c r="CQ739" i="1"/>
  <c r="CP739" i="1"/>
  <c r="CO739" i="1"/>
  <c r="CN739" i="1"/>
  <c r="CM739" i="1"/>
  <c r="CL739" i="1"/>
  <c r="CK739" i="1"/>
  <c r="CJ739" i="1"/>
  <c r="CI739" i="1"/>
  <c r="CH739" i="1"/>
  <c r="CG739" i="1"/>
  <c r="CF739" i="1"/>
  <c r="BZ739" i="1"/>
  <c r="BR739" i="1"/>
  <c r="BQ739" i="1"/>
  <c r="BP739" i="1"/>
  <c r="BO739" i="1"/>
  <c r="BN739" i="1"/>
  <c r="BM739" i="1"/>
  <c r="BL739" i="1"/>
  <c r="BK739" i="1"/>
  <c r="BJ739" i="1"/>
  <c r="BH739" i="1"/>
  <c r="BG739" i="1"/>
  <c r="BF739" i="1"/>
  <c r="AR739" i="1"/>
  <c r="AQ739" i="1"/>
  <c r="AP739" i="1"/>
  <c r="AO739" i="1"/>
  <c r="AN739" i="1"/>
  <c r="AM739" i="1"/>
  <c r="AL739" i="1"/>
  <c r="AK739" i="1"/>
  <c r="AJ739" i="1"/>
  <c r="AH739" i="1"/>
  <c r="AG739" i="1"/>
  <c r="AF739" i="1"/>
  <c r="AE739" i="1"/>
  <c r="AD739" i="1"/>
  <c r="O739" i="1"/>
  <c r="G739" i="1"/>
  <c r="F739" i="1" s="1"/>
  <c r="B739" i="1"/>
  <c r="DE738" i="1"/>
  <c r="DD738" i="1"/>
  <c r="DC738" i="1"/>
  <c r="DB738" i="1"/>
  <c r="DA738" i="1"/>
  <c r="CZ738" i="1"/>
  <c r="CY738" i="1"/>
  <c r="CX738" i="1"/>
  <c r="CW738" i="1"/>
  <c r="CV738" i="1"/>
  <c r="CU738" i="1"/>
  <c r="CT738" i="1"/>
  <c r="CS738" i="1"/>
  <c r="CR738" i="1"/>
  <c r="CQ738" i="1"/>
  <c r="CP738" i="1"/>
  <c r="CO738" i="1"/>
  <c r="CN738" i="1"/>
  <c r="CM738" i="1"/>
  <c r="CL738" i="1"/>
  <c r="CK738" i="1"/>
  <c r="CJ738" i="1"/>
  <c r="CI738" i="1"/>
  <c r="CH738" i="1"/>
  <c r="CG738" i="1"/>
  <c r="CF738" i="1"/>
  <c r="BR738" i="1"/>
  <c r="BQ738" i="1"/>
  <c r="BP738" i="1"/>
  <c r="BO738" i="1"/>
  <c r="BN738" i="1"/>
  <c r="BM738" i="1"/>
  <c r="BL738" i="1"/>
  <c r="BK738" i="1"/>
  <c r="BJ738" i="1"/>
  <c r="BI738" i="1"/>
  <c r="BH738" i="1"/>
  <c r="BG738" i="1"/>
  <c r="BF738" i="1"/>
  <c r="BE738" i="1"/>
  <c r="BD738" i="1"/>
  <c r="BC738" i="1"/>
  <c r="BA738" i="1"/>
  <c r="AZ738" i="1"/>
  <c r="AY738" i="1"/>
  <c r="AW738" i="1"/>
  <c r="AV738" i="1"/>
  <c r="AU738" i="1"/>
  <c r="AS738" i="1"/>
  <c r="AR738" i="1"/>
  <c r="AQ738" i="1"/>
  <c r="AP738" i="1"/>
  <c r="AO738" i="1"/>
  <c r="AN738" i="1"/>
  <c r="AM738" i="1"/>
  <c r="AL738" i="1"/>
  <c r="AK738" i="1"/>
  <c r="AJ738" i="1"/>
  <c r="AI738" i="1"/>
  <c r="AH738" i="1"/>
  <c r="AG738" i="1"/>
  <c r="AF738" i="1"/>
  <c r="AE738" i="1"/>
  <c r="R738" i="1"/>
  <c r="Q738" i="1"/>
  <c r="DE737" i="1"/>
  <c r="DD737" i="1"/>
  <c r="DC737" i="1"/>
  <c r="DB737" i="1"/>
  <c r="DA737" i="1"/>
  <c r="CZ737" i="1"/>
  <c r="CY737" i="1"/>
  <c r="CX737" i="1"/>
  <c r="CW737" i="1"/>
  <c r="CV737" i="1"/>
  <c r="CU737" i="1"/>
  <c r="CT737" i="1"/>
  <c r="CS737" i="1"/>
  <c r="CR737" i="1"/>
  <c r="CQ737" i="1"/>
  <c r="CP737" i="1"/>
  <c r="CO737" i="1"/>
  <c r="CN737" i="1"/>
  <c r="CM737" i="1"/>
  <c r="CL737" i="1"/>
  <c r="CK737" i="1"/>
  <c r="CJ737" i="1"/>
  <c r="CI737" i="1"/>
  <c r="CH737" i="1"/>
  <c r="CG737" i="1"/>
  <c r="CF737" i="1"/>
  <c r="BR737" i="1"/>
  <c r="BP737" i="1"/>
  <c r="BO737" i="1"/>
  <c r="BN737" i="1"/>
  <c r="BM737" i="1"/>
  <c r="BL737" i="1"/>
  <c r="BK737" i="1"/>
  <c r="BJ737" i="1"/>
  <c r="BI737" i="1"/>
  <c r="BH737" i="1"/>
  <c r="BG737" i="1"/>
  <c r="BF737" i="1"/>
  <c r="BD737" i="1"/>
  <c r="BC737" i="1"/>
  <c r="BB737" i="1"/>
  <c r="AZ737" i="1"/>
  <c r="AY737" i="1"/>
  <c r="AX737" i="1"/>
  <c r="AV737" i="1"/>
  <c r="AU737" i="1"/>
  <c r="AT737" i="1"/>
  <c r="AR737" i="1"/>
  <c r="AP737" i="1"/>
  <c r="AO737" i="1"/>
  <c r="AN737" i="1"/>
  <c r="AM737" i="1"/>
  <c r="AL737" i="1"/>
  <c r="AK737" i="1"/>
  <c r="AJ737" i="1"/>
  <c r="AI737" i="1"/>
  <c r="AH737" i="1"/>
  <c r="AG737" i="1"/>
  <c r="AF737" i="1"/>
  <c r="AE737" i="1"/>
  <c r="O736" i="1" s="1"/>
  <c r="BG736" i="1" s="1"/>
  <c r="J737" i="1"/>
  <c r="DE736" i="1"/>
  <c r="DD736" i="1"/>
  <c r="DC736" i="1"/>
  <c r="DB736" i="1"/>
  <c r="DA736" i="1"/>
  <c r="CZ736" i="1"/>
  <c r="CY736" i="1"/>
  <c r="CX736" i="1"/>
  <c r="CW736" i="1"/>
  <c r="CV736" i="1"/>
  <c r="CU736" i="1"/>
  <c r="CT736" i="1"/>
  <c r="CS736" i="1"/>
  <c r="CR736" i="1"/>
  <c r="CQ736" i="1"/>
  <c r="CP736" i="1"/>
  <c r="CO736" i="1"/>
  <c r="CN736" i="1"/>
  <c r="CM736" i="1"/>
  <c r="CL736" i="1"/>
  <c r="CK736" i="1"/>
  <c r="CJ736" i="1"/>
  <c r="CI736" i="1"/>
  <c r="CH736" i="1"/>
  <c r="CG736" i="1"/>
  <c r="CF736" i="1"/>
  <c r="CC736" i="1"/>
  <c r="CB736" i="1"/>
  <c r="BZ736" i="1"/>
  <c r="BY736" i="1"/>
  <c r="BX736" i="1"/>
  <c r="BV736" i="1"/>
  <c r="BU736" i="1"/>
  <c r="BT736" i="1"/>
  <c r="BR736" i="1"/>
  <c r="BQ736" i="1"/>
  <c r="BP736" i="1"/>
  <c r="BO736" i="1"/>
  <c r="BN736" i="1"/>
  <c r="BM736" i="1"/>
  <c r="BL736" i="1"/>
  <c r="BK736" i="1"/>
  <c r="BJ736" i="1"/>
  <c r="BI736" i="1"/>
  <c r="BH736" i="1"/>
  <c r="BF736" i="1"/>
  <c r="BE736" i="1"/>
  <c r="BD736" i="1"/>
  <c r="BB736" i="1"/>
  <c r="BA736" i="1"/>
  <c r="AZ736" i="1"/>
  <c r="AX736" i="1"/>
  <c r="AW736" i="1"/>
  <c r="AV736" i="1"/>
  <c r="AT736" i="1"/>
  <c r="AS736" i="1"/>
  <c r="AR736" i="1"/>
  <c r="AQ736" i="1"/>
  <c r="AP736" i="1"/>
  <c r="AO736" i="1"/>
  <c r="AN736" i="1"/>
  <c r="AM736" i="1"/>
  <c r="AL736" i="1"/>
  <c r="AK736" i="1"/>
  <c r="AJ736" i="1"/>
  <c r="AI736" i="1"/>
  <c r="AH736" i="1"/>
  <c r="AG736" i="1"/>
  <c r="AF736" i="1"/>
  <c r="AE736" i="1"/>
  <c r="AD736" i="1"/>
  <c r="F736" i="1"/>
  <c r="B736" i="1"/>
  <c r="BB738" i="1" s="1"/>
  <c r="DE735" i="1"/>
  <c r="DD735" i="1"/>
  <c r="DC735" i="1"/>
  <c r="DB735" i="1"/>
  <c r="DA735" i="1"/>
  <c r="CZ735" i="1"/>
  <c r="CY735" i="1"/>
  <c r="CX735" i="1"/>
  <c r="CW735" i="1"/>
  <c r="CV735" i="1"/>
  <c r="CU735" i="1"/>
  <c r="CT735" i="1"/>
  <c r="CS735" i="1"/>
  <c r="CR735" i="1"/>
  <c r="CQ735" i="1"/>
  <c r="CP735" i="1"/>
  <c r="CO735" i="1"/>
  <c r="CN735" i="1"/>
  <c r="CM735" i="1"/>
  <c r="CL735" i="1"/>
  <c r="CK735" i="1"/>
  <c r="CJ735" i="1"/>
  <c r="CI735" i="1"/>
  <c r="CH735" i="1"/>
  <c r="CG735" i="1"/>
  <c r="CF735" i="1"/>
  <c r="BR735" i="1"/>
  <c r="BQ735" i="1"/>
  <c r="BP735" i="1"/>
  <c r="BO735" i="1"/>
  <c r="BN735" i="1"/>
  <c r="BM735" i="1"/>
  <c r="BL735" i="1"/>
  <c r="BK735" i="1"/>
  <c r="BJ735" i="1"/>
  <c r="BI735" i="1"/>
  <c r="BH735" i="1"/>
  <c r="BG735" i="1"/>
  <c r="BF735" i="1"/>
  <c r="BE735" i="1"/>
  <c r="BD735" i="1"/>
  <c r="BB735" i="1"/>
  <c r="AZ735" i="1"/>
  <c r="AX735" i="1"/>
  <c r="AW735" i="1"/>
  <c r="AT735" i="1"/>
  <c r="AS735" i="1"/>
  <c r="AR735" i="1"/>
  <c r="AQ735" i="1"/>
  <c r="AP735" i="1"/>
  <c r="AO735" i="1"/>
  <c r="AN735" i="1"/>
  <c r="AM735" i="1"/>
  <c r="AL735" i="1"/>
  <c r="AK735" i="1"/>
  <c r="AJ735" i="1"/>
  <c r="AI735" i="1"/>
  <c r="AH735" i="1"/>
  <c r="AG735" i="1"/>
  <c r="AF735" i="1"/>
  <c r="AE735" i="1"/>
  <c r="AD735" i="1"/>
  <c r="R735" i="1"/>
  <c r="Q735" i="1"/>
  <c r="DE734" i="1"/>
  <c r="DD734" i="1"/>
  <c r="DC734" i="1"/>
  <c r="DB734" i="1"/>
  <c r="DA734" i="1"/>
  <c r="CZ734" i="1"/>
  <c r="CY734" i="1"/>
  <c r="CX734" i="1"/>
  <c r="CW734" i="1"/>
  <c r="CV734" i="1"/>
  <c r="CU734" i="1"/>
  <c r="CT734" i="1"/>
  <c r="CS734" i="1"/>
  <c r="CR734" i="1"/>
  <c r="CQ734" i="1"/>
  <c r="CP734" i="1"/>
  <c r="CO734" i="1"/>
  <c r="CN734" i="1"/>
  <c r="CM734" i="1"/>
  <c r="CL734" i="1"/>
  <c r="CK734" i="1"/>
  <c r="CJ734" i="1"/>
  <c r="CI734" i="1"/>
  <c r="CH734" i="1"/>
  <c r="CG734" i="1"/>
  <c r="CF734" i="1"/>
  <c r="BR734" i="1"/>
  <c r="BP734" i="1"/>
  <c r="BO734" i="1"/>
  <c r="BN734" i="1"/>
  <c r="BM734" i="1"/>
  <c r="BL734" i="1"/>
  <c r="BK734" i="1"/>
  <c r="BJ734" i="1"/>
  <c r="BI734" i="1"/>
  <c r="BH734" i="1"/>
  <c r="BG734" i="1"/>
  <c r="BF734" i="1"/>
  <c r="BD734" i="1"/>
  <c r="BB734" i="1"/>
  <c r="BA734" i="1"/>
  <c r="AX734" i="1"/>
  <c r="AW734" i="1"/>
  <c r="AV734" i="1"/>
  <c r="AS734" i="1"/>
  <c r="AR734" i="1"/>
  <c r="AP734" i="1"/>
  <c r="AO734" i="1"/>
  <c r="AN734" i="1"/>
  <c r="AM734" i="1"/>
  <c r="AL734" i="1"/>
  <c r="AK734" i="1"/>
  <c r="AJ734" i="1"/>
  <c r="AI734" i="1"/>
  <c r="AH734" i="1"/>
  <c r="AG734" i="1"/>
  <c r="AF734" i="1"/>
  <c r="AE734" i="1"/>
  <c r="AD734" i="1"/>
  <c r="O734" i="1"/>
  <c r="J734" i="1"/>
  <c r="DE733" i="1"/>
  <c r="DD733" i="1"/>
  <c r="DC733" i="1"/>
  <c r="DB733" i="1"/>
  <c r="DA733" i="1"/>
  <c r="CZ733" i="1"/>
  <c r="CY733" i="1"/>
  <c r="CX733" i="1"/>
  <c r="CW733" i="1"/>
  <c r="CV733" i="1"/>
  <c r="CU733" i="1"/>
  <c r="CT733" i="1"/>
  <c r="CS733" i="1"/>
  <c r="CR733" i="1"/>
  <c r="CQ733" i="1"/>
  <c r="CP733" i="1"/>
  <c r="CO733" i="1"/>
  <c r="CN733" i="1"/>
  <c r="CM733" i="1"/>
  <c r="CL733" i="1"/>
  <c r="CK733" i="1"/>
  <c r="CJ733" i="1"/>
  <c r="CI733" i="1"/>
  <c r="CH733" i="1"/>
  <c r="CG733" i="1"/>
  <c r="CF733" i="1"/>
  <c r="CE733" i="1"/>
  <c r="CC733" i="1"/>
  <c r="CA733" i="1"/>
  <c r="BY733" i="1"/>
  <c r="BX733" i="1"/>
  <c r="BU733" i="1"/>
  <c r="BT733" i="1"/>
  <c r="BS733" i="1"/>
  <c r="BR733" i="1"/>
  <c r="BQ733" i="1"/>
  <c r="BP733" i="1"/>
  <c r="BO733" i="1"/>
  <c r="BN733" i="1"/>
  <c r="BM733" i="1"/>
  <c r="BL733" i="1"/>
  <c r="BK733" i="1"/>
  <c r="BI733" i="1"/>
  <c r="BH733" i="1"/>
  <c r="BG733" i="1"/>
  <c r="BF733" i="1"/>
  <c r="BD733" i="1"/>
  <c r="BC733" i="1"/>
  <c r="BA733" i="1"/>
  <c r="AY733" i="1"/>
  <c r="AW733" i="1"/>
  <c r="AV733" i="1"/>
  <c r="AS733" i="1"/>
  <c r="AR733" i="1"/>
  <c r="AQ733" i="1"/>
  <c r="AP733" i="1"/>
  <c r="AO733" i="1"/>
  <c r="AN733" i="1"/>
  <c r="AM733" i="1"/>
  <c r="AL733" i="1"/>
  <c r="AK733" i="1"/>
  <c r="AI733" i="1"/>
  <c r="AH733" i="1"/>
  <c r="AG733" i="1"/>
  <c r="AF733" i="1"/>
  <c r="AE733" i="1"/>
  <c r="O735" i="1" s="1"/>
  <c r="P735" i="1" s="1"/>
  <c r="AD733" i="1"/>
  <c r="F733" i="1"/>
  <c r="B733" i="1"/>
  <c r="DE732" i="1"/>
  <c r="DD732" i="1"/>
  <c r="DC732" i="1"/>
  <c r="DB732" i="1"/>
  <c r="DA732" i="1"/>
  <c r="CZ732" i="1"/>
  <c r="CY732" i="1"/>
  <c r="CX732" i="1"/>
  <c r="CW732" i="1"/>
  <c r="CV732" i="1"/>
  <c r="CU732" i="1"/>
  <c r="CT732" i="1"/>
  <c r="CS732" i="1"/>
  <c r="CR732" i="1"/>
  <c r="CQ732" i="1"/>
  <c r="CP732" i="1"/>
  <c r="CO732" i="1"/>
  <c r="CN732" i="1"/>
  <c r="CM732" i="1"/>
  <c r="CL732" i="1"/>
  <c r="CK732" i="1"/>
  <c r="CJ732" i="1"/>
  <c r="CI732" i="1"/>
  <c r="CH732" i="1"/>
  <c r="CG732" i="1"/>
  <c r="CF732" i="1"/>
  <c r="BR732" i="1"/>
  <c r="BQ732" i="1"/>
  <c r="BP732" i="1"/>
  <c r="BO732" i="1"/>
  <c r="BN732" i="1"/>
  <c r="BM732" i="1"/>
  <c r="BL732" i="1"/>
  <c r="BK732" i="1"/>
  <c r="BJ732" i="1"/>
  <c r="BI732" i="1"/>
  <c r="BH732" i="1"/>
  <c r="BG732" i="1"/>
  <c r="BF732" i="1"/>
  <c r="BD732" i="1"/>
  <c r="BC732" i="1"/>
  <c r="AY732" i="1"/>
  <c r="AW732" i="1"/>
  <c r="AS732" i="1"/>
  <c r="AR732" i="1"/>
  <c r="AQ732" i="1"/>
  <c r="AP732" i="1"/>
  <c r="AO732" i="1"/>
  <c r="AN732" i="1"/>
  <c r="AM732" i="1"/>
  <c r="AL732" i="1"/>
  <c r="AK732" i="1"/>
  <c r="AJ732" i="1"/>
  <c r="AI732" i="1"/>
  <c r="AH732" i="1"/>
  <c r="AG732" i="1"/>
  <c r="AF732" i="1"/>
  <c r="AE732" i="1"/>
  <c r="R732" i="1"/>
  <c r="Q732" i="1"/>
  <c r="P732" i="1"/>
  <c r="O732" i="1"/>
  <c r="DE731" i="1"/>
  <c r="DD731" i="1"/>
  <c r="DC731" i="1"/>
  <c r="DB731" i="1"/>
  <c r="DA731" i="1"/>
  <c r="CZ731" i="1"/>
  <c r="CY731" i="1"/>
  <c r="CX731" i="1"/>
  <c r="CW731" i="1"/>
  <c r="CV731" i="1"/>
  <c r="CU731" i="1"/>
  <c r="CT731" i="1"/>
  <c r="CS731" i="1"/>
  <c r="CR731" i="1"/>
  <c r="CQ731" i="1"/>
  <c r="CP731" i="1"/>
  <c r="CO731" i="1"/>
  <c r="CN731" i="1"/>
  <c r="CM731" i="1"/>
  <c r="CL731" i="1"/>
  <c r="CK731" i="1"/>
  <c r="CJ731" i="1"/>
  <c r="CI731" i="1"/>
  <c r="CH731" i="1"/>
  <c r="CG731" i="1"/>
  <c r="CF731" i="1"/>
  <c r="BR731" i="1"/>
  <c r="BQ731" i="1"/>
  <c r="BP731" i="1"/>
  <c r="BO731" i="1"/>
  <c r="BN731" i="1"/>
  <c r="BM731" i="1"/>
  <c r="BL731" i="1"/>
  <c r="BK731" i="1"/>
  <c r="BJ731" i="1"/>
  <c r="BI731" i="1"/>
  <c r="BH731" i="1"/>
  <c r="BG731" i="1"/>
  <c r="BF731" i="1"/>
  <c r="BD731" i="1"/>
  <c r="AZ731" i="1"/>
  <c r="AY731" i="1"/>
  <c r="AU731" i="1"/>
  <c r="AT731" i="1"/>
  <c r="AR731" i="1"/>
  <c r="AQ731" i="1"/>
  <c r="AP731" i="1"/>
  <c r="AO731" i="1"/>
  <c r="AN731" i="1"/>
  <c r="AM731" i="1"/>
  <c r="AL731" i="1"/>
  <c r="AK731" i="1"/>
  <c r="AI731" i="1"/>
  <c r="AH731" i="1"/>
  <c r="AG731" i="1"/>
  <c r="AF731" i="1"/>
  <c r="AE731" i="1"/>
  <c r="O730" i="1" s="1"/>
  <c r="AI730" i="1" s="1"/>
  <c r="P731" i="1"/>
  <c r="AJ731" i="1" s="1"/>
  <c r="O731" i="1"/>
  <c r="J731" i="1"/>
  <c r="DE730" i="1"/>
  <c r="DD730" i="1"/>
  <c r="DC730" i="1"/>
  <c r="DB730" i="1"/>
  <c r="DA730" i="1"/>
  <c r="CZ730" i="1"/>
  <c r="CY730" i="1"/>
  <c r="CX730" i="1"/>
  <c r="CW730" i="1"/>
  <c r="CV730" i="1"/>
  <c r="CU730" i="1"/>
  <c r="CT730" i="1"/>
  <c r="CS730" i="1"/>
  <c r="CR730" i="1"/>
  <c r="CQ730" i="1"/>
  <c r="CP730" i="1"/>
  <c r="CO730" i="1"/>
  <c r="CN730" i="1"/>
  <c r="CM730" i="1"/>
  <c r="CL730" i="1"/>
  <c r="CK730" i="1"/>
  <c r="CJ730" i="1"/>
  <c r="CI730" i="1"/>
  <c r="CH730" i="1"/>
  <c r="CG730" i="1"/>
  <c r="CF730" i="1"/>
  <c r="CB730" i="1"/>
  <c r="BZ730" i="1"/>
  <c r="BV730" i="1"/>
  <c r="BU730" i="1"/>
  <c r="BR730" i="1"/>
  <c r="BQ730" i="1"/>
  <c r="BP730" i="1"/>
  <c r="BO730" i="1"/>
  <c r="BN730" i="1"/>
  <c r="BM730" i="1"/>
  <c r="BL730" i="1"/>
  <c r="BK730" i="1"/>
  <c r="BJ730" i="1"/>
  <c r="BI730" i="1"/>
  <c r="BH730" i="1"/>
  <c r="BG730" i="1"/>
  <c r="BF730" i="1"/>
  <c r="BE730" i="1"/>
  <c r="BD730" i="1"/>
  <c r="AZ730" i="1"/>
  <c r="AX730" i="1"/>
  <c r="AT730" i="1"/>
  <c r="AS730" i="1"/>
  <c r="AR730" i="1"/>
  <c r="AQ730" i="1"/>
  <c r="AP730" i="1"/>
  <c r="AO730" i="1"/>
  <c r="AN730" i="1"/>
  <c r="AM730" i="1"/>
  <c r="AL730" i="1"/>
  <c r="AK730" i="1"/>
  <c r="AJ730" i="1"/>
  <c r="AH730" i="1"/>
  <c r="AG730" i="1"/>
  <c r="AF730" i="1"/>
  <c r="AE730" i="1"/>
  <c r="AD730" i="1"/>
  <c r="P730" i="1"/>
  <c r="G730" i="1"/>
  <c r="F730" i="1"/>
  <c r="B730" i="1"/>
  <c r="BE732" i="1" s="1"/>
  <c r="DE729" i="1"/>
  <c r="DD729" i="1"/>
  <c r="DC729" i="1"/>
  <c r="DB729" i="1"/>
  <c r="DA729" i="1"/>
  <c r="CZ729" i="1"/>
  <c r="CY729" i="1"/>
  <c r="CX729" i="1"/>
  <c r="CW729" i="1"/>
  <c r="CV729" i="1"/>
  <c r="CU729" i="1"/>
  <c r="CT729" i="1"/>
  <c r="CS729" i="1"/>
  <c r="CR729" i="1"/>
  <c r="CQ729" i="1"/>
  <c r="CP729" i="1"/>
  <c r="CO729" i="1"/>
  <c r="CN729" i="1"/>
  <c r="CM729" i="1"/>
  <c r="CL729" i="1"/>
  <c r="CK729" i="1"/>
  <c r="CJ729" i="1"/>
  <c r="CI729" i="1"/>
  <c r="CH729" i="1"/>
  <c r="CG729" i="1"/>
  <c r="CF729" i="1"/>
  <c r="BR729" i="1"/>
  <c r="BQ729" i="1"/>
  <c r="BP729" i="1"/>
  <c r="BO729" i="1"/>
  <c r="BN729" i="1"/>
  <c r="BM729" i="1"/>
  <c r="BL729" i="1"/>
  <c r="BK729" i="1"/>
  <c r="BJ729" i="1"/>
  <c r="BI729" i="1"/>
  <c r="BH729" i="1"/>
  <c r="BG729" i="1"/>
  <c r="BF729" i="1"/>
  <c r="BE729" i="1"/>
  <c r="BC729" i="1"/>
  <c r="BB729" i="1"/>
  <c r="BA729" i="1"/>
  <c r="AY729" i="1"/>
  <c r="AX729" i="1"/>
  <c r="AW729" i="1"/>
  <c r="AU729" i="1"/>
  <c r="AT729" i="1"/>
  <c r="AS729" i="1"/>
  <c r="AR729" i="1"/>
  <c r="AQ729" i="1"/>
  <c r="AP729" i="1"/>
  <c r="AO729" i="1"/>
  <c r="AN729" i="1"/>
  <c r="AM729" i="1"/>
  <c r="AL729" i="1"/>
  <c r="AK729" i="1"/>
  <c r="AJ729" i="1"/>
  <c r="AI729" i="1"/>
  <c r="AH729" i="1"/>
  <c r="AG729" i="1"/>
  <c r="AF729" i="1"/>
  <c r="AE729" i="1"/>
  <c r="AD729" i="1"/>
  <c r="R729" i="1"/>
  <c r="Q729" i="1"/>
  <c r="DE728" i="1"/>
  <c r="DD728" i="1"/>
  <c r="DC728" i="1"/>
  <c r="DB728" i="1"/>
  <c r="DA728" i="1"/>
  <c r="CZ728" i="1"/>
  <c r="CY728" i="1"/>
  <c r="CX728" i="1"/>
  <c r="CW728" i="1"/>
  <c r="CV728" i="1"/>
  <c r="CU728" i="1"/>
  <c r="CT728" i="1"/>
  <c r="CS728" i="1"/>
  <c r="CR728" i="1"/>
  <c r="CQ728" i="1"/>
  <c r="CP728" i="1"/>
  <c r="CO728" i="1"/>
  <c r="CN728" i="1"/>
  <c r="CM728" i="1"/>
  <c r="CL728" i="1"/>
  <c r="CK728" i="1"/>
  <c r="CJ728" i="1"/>
  <c r="CI728" i="1"/>
  <c r="CH728" i="1"/>
  <c r="CG728" i="1"/>
  <c r="CF728" i="1"/>
  <c r="BR728" i="1"/>
  <c r="BQ728" i="1"/>
  <c r="BP728" i="1"/>
  <c r="BO728" i="1"/>
  <c r="BN728" i="1"/>
  <c r="BM728" i="1"/>
  <c r="BL728" i="1"/>
  <c r="BK728" i="1"/>
  <c r="BI728" i="1"/>
  <c r="BH728" i="1"/>
  <c r="BG728" i="1"/>
  <c r="BF728" i="1"/>
  <c r="BE728" i="1"/>
  <c r="BC728" i="1"/>
  <c r="BB728" i="1"/>
  <c r="BA728" i="1"/>
  <c r="AY728" i="1"/>
  <c r="AX728" i="1"/>
  <c r="AW728" i="1"/>
  <c r="AU728" i="1"/>
  <c r="AT728" i="1"/>
  <c r="AS728" i="1"/>
  <c r="AR728" i="1"/>
  <c r="AQ728" i="1"/>
  <c r="AP728" i="1"/>
  <c r="AO728" i="1"/>
  <c r="AN728" i="1"/>
  <c r="AM728" i="1"/>
  <c r="AL728" i="1"/>
  <c r="AK728" i="1"/>
  <c r="AI728" i="1"/>
  <c r="AH728" i="1"/>
  <c r="AG728" i="1"/>
  <c r="AF728" i="1"/>
  <c r="AE728" i="1"/>
  <c r="AD728" i="1"/>
  <c r="O728" i="1"/>
  <c r="BJ728" i="1" s="1"/>
  <c r="J728" i="1"/>
  <c r="DE727" i="1"/>
  <c r="DD727" i="1"/>
  <c r="DC727" i="1"/>
  <c r="DB727" i="1"/>
  <c r="DA727" i="1"/>
  <c r="CZ727" i="1"/>
  <c r="CY727" i="1"/>
  <c r="CX727" i="1"/>
  <c r="CW727" i="1"/>
  <c r="CV727" i="1"/>
  <c r="CU727" i="1"/>
  <c r="CT727" i="1"/>
  <c r="CS727" i="1"/>
  <c r="CR727" i="1"/>
  <c r="CQ727" i="1"/>
  <c r="CP727" i="1"/>
  <c r="CO727" i="1"/>
  <c r="CN727" i="1"/>
  <c r="CM727" i="1"/>
  <c r="CL727" i="1"/>
  <c r="CK727" i="1"/>
  <c r="CJ727" i="1"/>
  <c r="CI727" i="1"/>
  <c r="CH727" i="1"/>
  <c r="CG727" i="1"/>
  <c r="CF727" i="1"/>
  <c r="CD727" i="1"/>
  <c r="CC727" i="1"/>
  <c r="CB727" i="1"/>
  <c r="BZ727" i="1"/>
  <c r="BY727" i="1"/>
  <c r="BX727" i="1"/>
  <c r="BV727" i="1"/>
  <c r="BU727" i="1"/>
  <c r="BT727" i="1"/>
  <c r="BR727" i="1"/>
  <c r="BQ727" i="1"/>
  <c r="BP727" i="1"/>
  <c r="BO727" i="1"/>
  <c r="BN727" i="1"/>
  <c r="BM727" i="1"/>
  <c r="BL727" i="1"/>
  <c r="BK727" i="1"/>
  <c r="BJ727" i="1"/>
  <c r="BH727" i="1"/>
  <c r="BG727" i="1"/>
  <c r="BF727" i="1"/>
  <c r="BE727" i="1"/>
  <c r="BD727" i="1"/>
  <c r="BB727" i="1"/>
  <c r="BA727" i="1"/>
  <c r="AZ727" i="1"/>
  <c r="AX727" i="1"/>
  <c r="AW727" i="1"/>
  <c r="AV727" i="1"/>
  <c r="AT727" i="1"/>
  <c r="AS727" i="1"/>
  <c r="AR727" i="1"/>
  <c r="AQ727" i="1"/>
  <c r="AP727" i="1"/>
  <c r="AO727" i="1"/>
  <c r="AN727" i="1"/>
  <c r="AM727" i="1"/>
  <c r="AL727" i="1"/>
  <c r="AK727" i="1"/>
  <c r="AJ727" i="1"/>
  <c r="AH727" i="1"/>
  <c r="AG727" i="1"/>
  <c r="AF727" i="1"/>
  <c r="AE727" i="1"/>
  <c r="AD727" i="1"/>
  <c r="F727" i="1"/>
  <c r="B727" i="1"/>
  <c r="BD729" i="1" s="1"/>
  <c r="DE726" i="1"/>
  <c r="DD726" i="1"/>
  <c r="DC726" i="1"/>
  <c r="DB726" i="1"/>
  <c r="DA726" i="1"/>
  <c r="CZ726" i="1"/>
  <c r="CY726" i="1"/>
  <c r="CX726" i="1"/>
  <c r="CW726" i="1"/>
  <c r="CV726" i="1"/>
  <c r="CU726" i="1"/>
  <c r="CT726" i="1"/>
  <c r="CS726" i="1"/>
  <c r="CR726" i="1"/>
  <c r="CQ726" i="1"/>
  <c r="CP726" i="1"/>
  <c r="CO726" i="1"/>
  <c r="CN726" i="1"/>
  <c r="CM726" i="1"/>
  <c r="CL726" i="1"/>
  <c r="CK726" i="1"/>
  <c r="CJ726" i="1"/>
  <c r="CI726" i="1"/>
  <c r="CH726" i="1"/>
  <c r="CG726" i="1"/>
  <c r="CF726" i="1"/>
  <c r="BR726" i="1"/>
  <c r="BQ726" i="1"/>
  <c r="BP726" i="1"/>
  <c r="BO726" i="1"/>
  <c r="BN726" i="1"/>
  <c r="BM726" i="1"/>
  <c r="BL726" i="1"/>
  <c r="BK726" i="1"/>
  <c r="BJ726" i="1"/>
  <c r="BI726" i="1"/>
  <c r="BH726" i="1"/>
  <c r="BG726" i="1"/>
  <c r="BF726" i="1"/>
  <c r="BE726" i="1"/>
  <c r="BB726" i="1"/>
  <c r="BA726" i="1"/>
  <c r="AZ726" i="1"/>
  <c r="AW726" i="1"/>
  <c r="AV726" i="1"/>
  <c r="AT726" i="1"/>
  <c r="AR726" i="1"/>
  <c r="AQ726" i="1"/>
  <c r="AP726" i="1"/>
  <c r="AO726" i="1"/>
  <c r="AN726" i="1"/>
  <c r="AM726" i="1"/>
  <c r="AL726" i="1"/>
  <c r="AK726" i="1"/>
  <c r="AJ726" i="1"/>
  <c r="AI726" i="1"/>
  <c r="AH726" i="1"/>
  <c r="AG726" i="1"/>
  <c r="AF726" i="1"/>
  <c r="AE726" i="1"/>
  <c r="R726" i="1"/>
  <c r="Q726" i="1"/>
  <c r="P726" i="1"/>
  <c r="DE725" i="1"/>
  <c r="DD725" i="1"/>
  <c r="DC725" i="1"/>
  <c r="DB725" i="1"/>
  <c r="DA725" i="1"/>
  <c r="CZ725" i="1"/>
  <c r="CY725" i="1"/>
  <c r="CX725" i="1"/>
  <c r="CW725" i="1"/>
  <c r="CV725" i="1"/>
  <c r="CU725" i="1"/>
  <c r="CT725" i="1"/>
  <c r="CS725" i="1"/>
  <c r="CR725" i="1"/>
  <c r="CQ725" i="1"/>
  <c r="CP725" i="1"/>
  <c r="CO725" i="1"/>
  <c r="CN725" i="1"/>
  <c r="CM725" i="1"/>
  <c r="CL725" i="1"/>
  <c r="CK725" i="1"/>
  <c r="CJ725" i="1"/>
  <c r="CI725" i="1"/>
  <c r="CH725" i="1"/>
  <c r="CG725" i="1"/>
  <c r="CF725" i="1"/>
  <c r="BR725" i="1"/>
  <c r="BQ725" i="1"/>
  <c r="BP725" i="1"/>
  <c r="BO725" i="1"/>
  <c r="BN725" i="1"/>
  <c r="BM725" i="1"/>
  <c r="BL725" i="1"/>
  <c r="BK725" i="1"/>
  <c r="BI725" i="1"/>
  <c r="BH725" i="1"/>
  <c r="BG725" i="1"/>
  <c r="BF725" i="1"/>
  <c r="BD725" i="1"/>
  <c r="BC725" i="1"/>
  <c r="BA725" i="1"/>
  <c r="AY725" i="1"/>
  <c r="AW725" i="1"/>
  <c r="AV725" i="1"/>
  <c r="AS725" i="1"/>
  <c r="AR725" i="1"/>
  <c r="AQ725" i="1"/>
  <c r="AP725" i="1"/>
  <c r="AO725" i="1"/>
  <c r="AN725" i="1"/>
  <c r="AM725" i="1"/>
  <c r="AL725" i="1"/>
  <c r="AK725" i="1"/>
  <c r="AI725" i="1"/>
  <c r="AH725" i="1"/>
  <c r="AG725" i="1"/>
  <c r="AF725" i="1"/>
  <c r="AE725" i="1"/>
  <c r="O725" i="1"/>
  <c r="BJ725" i="1" s="1"/>
  <c r="J725" i="1"/>
  <c r="DE724" i="1"/>
  <c r="DD724" i="1"/>
  <c r="DC724" i="1"/>
  <c r="DB724" i="1"/>
  <c r="DA724" i="1"/>
  <c r="CZ724" i="1"/>
  <c r="CY724" i="1"/>
  <c r="CX724" i="1"/>
  <c r="CW724" i="1"/>
  <c r="CV724" i="1"/>
  <c r="CU724" i="1"/>
  <c r="CT724" i="1"/>
  <c r="CS724" i="1"/>
  <c r="CR724" i="1"/>
  <c r="CQ724" i="1"/>
  <c r="CP724" i="1"/>
  <c r="CO724" i="1"/>
  <c r="CN724" i="1"/>
  <c r="CM724" i="1"/>
  <c r="CL724" i="1"/>
  <c r="CK724" i="1"/>
  <c r="CJ724" i="1"/>
  <c r="CI724" i="1"/>
  <c r="CH724" i="1"/>
  <c r="CG724" i="1"/>
  <c r="CF724" i="1"/>
  <c r="CE724" i="1"/>
  <c r="CC724" i="1"/>
  <c r="CA724" i="1"/>
  <c r="BZ724" i="1"/>
  <c r="BV724" i="1"/>
  <c r="BU724" i="1"/>
  <c r="BR724" i="1"/>
  <c r="BQ724" i="1"/>
  <c r="BP724" i="1"/>
  <c r="BO724" i="1"/>
  <c r="BN724" i="1"/>
  <c r="BL724" i="1"/>
  <c r="BK724" i="1"/>
  <c r="BJ724" i="1"/>
  <c r="BI724" i="1"/>
  <c r="BH724" i="1"/>
  <c r="BG724" i="1"/>
  <c r="BF724" i="1"/>
  <c r="BE724" i="1"/>
  <c r="BC724" i="1"/>
  <c r="BA724" i="1"/>
  <c r="AY724" i="1"/>
  <c r="AX724" i="1"/>
  <c r="AU724" i="1"/>
  <c r="AT724" i="1"/>
  <c r="AS724" i="1"/>
  <c r="AR724" i="1"/>
  <c r="AQ724" i="1"/>
  <c r="AP724" i="1"/>
  <c r="AO724" i="1"/>
  <c r="AN724" i="1"/>
  <c r="AL724" i="1"/>
  <c r="AK724" i="1"/>
  <c r="AJ724" i="1"/>
  <c r="AI724" i="1"/>
  <c r="AH724" i="1"/>
  <c r="AG724" i="1"/>
  <c r="AF724" i="1"/>
  <c r="AE724" i="1"/>
  <c r="O726" i="1" s="1"/>
  <c r="AD724" i="1"/>
  <c r="O724" i="1"/>
  <c r="P724" i="1" s="1"/>
  <c r="F724" i="1"/>
  <c r="B724" i="1"/>
  <c r="DE723" i="1"/>
  <c r="DD723" i="1"/>
  <c r="DC723" i="1"/>
  <c r="DB723" i="1"/>
  <c r="DA723" i="1"/>
  <c r="CZ723" i="1"/>
  <c r="CY723" i="1"/>
  <c r="CX723" i="1"/>
  <c r="CW723" i="1"/>
  <c r="CV723" i="1"/>
  <c r="CU723" i="1"/>
  <c r="CT723" i="1"/>
  <c r="CS723" i="1"/>
  <c r="CR723" i="1"/>
  <c r="CQ723" i="1"/>
  <c r="CP723" i="1"/>
  <c r="CO723" i="1"/>
  <c r="CN723" i="1"/>
  <c r="CM723" i="1"/>
  <c r="CL723" i="1"/>
  <c r="CK723" i="1"/>
  <c r="CJ723" i="1"/>
  <c r="CI723" i="1"/>
  <c r="CH723" i="1"/>
  <c r="CG723" i="1"/>
  <c r="CF723" i="1"/>
  <c r="BR723" i="1"/>
  <c r="BQ723" i="1"/>
  <c r="BP723" i="1"/>
  <c r="BO723" i="1"/>
  <c r="BN723" i="1"/>
  <c r="BM723" i="1"/>
  <c r="BL723" i="1"/>
  <c r="BK723" i="1"/>
  <c r="BJ723" i="1"/>
  <c r="BI723" i="1"/>
  <c r="BH723" i="1"/>
  <c r="BF723" i="1"/>
  <c r="BE723" i="1"/>
  <c r="BC723" i="1"/>
  <c r="BB723" i="1"/>
  <c r="BA723" i="1"/>
  <c r="AY723" i="1"/>
  <c r="AX723" i="1"/>
  <c r="AW723" i="1"/>
  <c r="AU723" i="1"/>
  <c r="AT723" i="1"/>
  <c r="AS723" i="1"/>
  <c r="AR723" i="1"/>
  <c r="AQ723" i="1"/>
  <c r="AP723" i="1"/>
  <c r="AO723" i="1"/>
  <c r="AN723" i="1"/>
  <c r="AM723" i="1"/>
  <c r="AL723" i="1"/>
  <c r="AK723" i="1"/>
  <c r="AJ723" i="1"/>
  <c r="AI723" i="1"/>
  <c r="AH723" i="1"/>
  <c r="AF723" i="1"/>
  <c r="AE723" i="1"/>
  <c r="AD723" i="1"/>
  <c r="DE722" i="1"/>
  <c r="DD722" i="1"/>
  <c r="DC722" i="1"/>
  <c r="DB722" i="1"/>
  <c r="DA722" i="1"/>
  <c r="CZ722" i="1"/>
  <c r="CY722" i="1"/>
  <c r="CX722" i="1"/>
  <c r="CW722" i="1"/>
  <c r="CV722" i="1"/>
  <c r="CU722" i="1"/>
  <c r="CT722" i="1"/>
  <c r="CS722" i="1"/>
  <c r="CR722" i="1"/>
  <c r="CQ722" i="1"/>
  <c r="CP722" i="1"/>
  <c r="CO722" i="1"/>
  <c r="CN722" i="1"/>
  <c r="CM722" i="1"/>
  <c r="CL722" i="1"/>
  <c r="CK722" i="1"/>
  <c r="CJ722" i="1"/>
  <c r="CI722" i="1"/>
  <c r="CH722" i="1"/>
  <c r="CG722" i="1"/>
  <c r="CF722" i="1"/>
  <c r="BR722" i="1"/>
  <c r="BQ722" i="1"/>
  <c r="BP722" i="1"/>
  <c r="BO722" i="1"/>
  <c r="BN722" i="1"/>
  <c r="BM722" i="1"/>
  <c r="BL722" i="1"/>
  <c r="BK722" i="1"/>
  <c r="BJ722" i="1"/>
  <c r="BI722" i="1"/>
  <c r="BH722" i="1"/>
  <c r="BF722" i="1"/>
  <c r="BE722" i="1"/>
  <c r="BC722" i="1"/>
  <c r="BB722" i="1"/>
  <c r="BA722" i="1"/>
  <c r="AY722" i="1"/>
  <c r="AX722" i="1"/>
  <c r="AW722" i="1"/>
  <c r="AU722" i="1"/>
  <c r="AT722" i="1"/>
  <c r="AS722" i="1"/>
  <c r="AR722" i="1"/>
  <c r="AQ722" i="1"/>
  <c r="AP722" i="1"/>
  <c r="AO722" i="1"/>
  <c r="AN722" i="1"/>
  <c r="AM722" i="1"/>
  <c r="AL722" i="1"/>
  <c r="AK722" i="1"/>
  <c r="AJ722" i="1"/>
  <c r="AI722" i="1"/>
  <c r="AH722" i="1"/>
  <c r="AF722" i="1"/>
  <c r="AE722" i="1"/>
  <c r="AD722" i="1"/>
  <c r="O722" i="1"/>
  <c r="BG722" i="1" s="1"/>
  <c r="J722" i="1"/>
  <c r="DE721" i="1"/>
  <c r="DD721" i="1"/>
  <c r="DC721" i="1"/>
  <c r="DB721" i="1"/>
  <c r="DA721" i="1"/>
  <c r="CZ721" i="1"/>
  <c r="CY721" i="1"/>
  <c r="CX721" i="1"/>
  <c r="CW721" i="1"/>
  <c r="CV721" i="1"/>
  <c r="CU721" i="1"/>
  <c r="CT721" i="1"/>
  <c r="CS721" i="1"/>
  <c r="CR721" i="1"/>
  <c r="CQ721" i="1"/>
  <c r="CP721" i="1"/>
  <c r="CO721" i="1"/>
  <c r="CN721" i="1"/>
  <c r="CM721" i="1"/>
  <c r="CL721" i="1"/>
  <c r="CK721" i="1"/>
  <c r="CJ721" i="1"/>
  <c r="CI721" i="1"/>
  <c r="CH721" i="1"/>
  <c r="CG721" i="1"/>
  <c r="CF721" i="1"/>
  <c r="CD721" i="1"/>
  <c r="CC721" i="1"/>
  <c r="CB721" i="1"/>
  <c r="BZ721" i="1"/>
  <c r="BY721" i="1"/>
  <c r="BX721" i="1"/>
  <c r="BV721" i="1"/>
  <c r="BU721" i="1"/>
  <c r="BR721" i="1"/>
  <c r="BQ721" i="1"/>
  <c r="BP721" i="1"/>
  <c r="BO721" i="1"/>
  <c r="BN721" i="1"/>
  <c r="BM721" i="1"/>
  <c r="BL721" i="1"/>
  <c r="BK721" i="1"/>
  <c r="BJ721" i="1"/>
  <c r="BI721" i="1"/>
  <c r="BG721" i="1"/>
  <c r="BF721" i="1"/>
  <c r="BE721" i="1"/>
  <c r="BD721" i="1"/>
  <c r="BB721" i="1"/>
  <c r="BA721" i="1"/>
  <c r="AZ721" i="1"/>
  <c r="AX721" i="1"/>
  <c r="AW721" i="1"/>
  <c r="AV721" i="1"/>
  <c r="AT721" i="1"/>
  <c r="AS721" i="1"/>
  <c r="AR721" i="1"/>
  <c r="AQ721" i="1"/>
  <c r="AP721" i="1"/>
  <c r="AO721" i="1"/>
  <c r="AN721" i="1"/>
  <c r="AM721" i="1"/>
  <c r="AL721" i="1"/>
  <c r="AK721" i="1"/>
  <c r="AJ721" i="1"/>
  <c r="AI721" i="1"/>
  <c r="AG721" i="1"/>
  <c r="AF721" i="1"/>
  <c r="AE721" i="1"/>
  <c r="AD721" i="1"/>
  <c r="F721" i="1"/>
  <c r="B721" i="1"/>
  <c r="BD723" i="1" s="1"/>
  <c r="DE720" i="1"/>
  <c r="DD720" i="1"/>
  <c r="DC720" i="1"/>
  <c r="DB720" i="1"/>
  <c r="DA720" i="1"/>
  <c r="CZ720" i="1"/>
  <c r="CY720" i="1"/>
  <c r="CX720" i="1"/>
  <c r="CW720" i="1"/>
  <c r="CV720" i="1"/>
  <c r="CU720" i="1"/>
  <c r="CT720" i="1"/>
  <c r="CS720" i="1"/>
  <c r="CR720" i="1"/>
  <c r="CQ720" i="1"/>
  <c r="CP720" i="1"/>
  <c r="CO720" i="1"/>
  <c r="CN720" i="1"/>
  <c r="CM720" i="1"/>
  <c r="CL720" i="1"/>
  <c r="CK720" i="1"/>
  <c r="CJ720" i="1"/>
  <c r="CI720" i="1"/>
  <c r="CH720" i="1"/>
  <c r="CG720" i="1"/>
  <c r="CF720" i="1"/>
  <c r="BR720" i="1"/>
  <c r="BQ720" i="1"/>
  <c r="BP720" i="1"/>
  <c r="BO720" i="1"/>
  <c r="BN720" i="1"/>
  <c r="BM720" i="1"/>
  <c r="BL720" i="1"/>
  <c r="BK720" i="1"/>
  <c r="BJ720" i="1"/>
  <c r="BI720" i="1"/>
  <c r="BH720" i="1"/>
  <c r="BG720" i="1"/>
  <c r="BF720" i="1"/>
  <c r="AZ720" i="1"/>
  <c r="AS720" i="1"/>
  <c r="AR720" i="1"/>
  <c r="AQ720" i="1"/>
  <c r="AP720" i="1"/>
  <c r="AO720" i="1"/>
  <c r="AN720" i="1"/>
  <c r="AM720" i="1"/>
  <c r="AL720" i="1"/>
  <c r="AK720" i="1"/>
  <c r="AJ720" i="1"/>
  <c r="AI720" i="1"/>
  <c r="AH720" i="1"/>
  <c r="AG720" i="1"/>
  <c r="AF720" i="1"/>
  <c r="AE720" i="1"/>
  <c r="R720" i="1"/>
  <c r="Q720" i="1"/>
  <c r="DE719" i="1"/>
  <c r="DD719" i="1"/>
  <c r="DC719" i="1"/>
  <c r="DB719" i="1"/>
  <c r="DA719" i="1"/>
  <c r="CZ719" i="1"/>
  <c r="CY719" i="1"/>
  <c r="CX719" i="1"/>
  <c r="CW719" i="1"/>
  <c r="CV719" i="1"/>
  <c r="CU719" i="1"/>
  <c r="CT719" i="1"/>
  <c r="CS719" i="1"/>
  <c r="CR719" i="1"/>
  <c r="CQ719" i="1"/>
  <c r="CP719" i="1"/>
  <c r="CO719" i="1"/>
  <c r="CN719" i="1"/>
  <c r="CM719" i="1"/>
  <c r="CL719" i="1"/>
  <c r="CK719" i="1"/>
  <c r="CJ719" i="1"/>
  <c r="CI719" i="1"/>
  <c r="CH719" i="1"/>
  <c r="CG719" i="1"/>
  <c r="CF719" i="1"/>
  <c r="BR719" i="1"/>
  <c r="BQ719" i="1"/>
  <c r="BP719" i="1"/>
  <c r="BO719" i="1"/>
  <c r="BN719" i="1"/>
  <c r="BM719" i="1"/>
  <c r="BL719" i="1"/>
  <c r="BK719" i="1"/>
  <c r="BI719" i="1"/>
  <c r="BH719" i="1"/>
  <c r="BG719" i="1"/>
  <c r="BF719" i="1"/>
  <c r="BD719" i="1"/>
  <c r="AV719" i="1"/>
  <c r="AR719" i="1"/>
  <c r="AQ719" i="1"/>
  <c r="AP719" i="1"/>
  <c r="AO719" i="1"/>
  <c r="AN719" i="1"/>
  <c r="AM719" i="1"/>
  <c r="AL719" i="1"/>
  <c r="AK719" i="1"/>
  <c r="AI719" i="1"/>
  <c r="AH719" i="1"/>
  <c r="AG719" i="1"/>
  <c r="AF719" i="1"/>
  <c r="AE719" i="1"/>
  <c r="J719" i="1"/>
  <c r="DE718" i="1"/>
  <c r="DD718" i="1"/>
  <c r="DC718" i="1"/>
  <c r="DB718" i="1"/>
  <c r="DA718" i="1"/>
  <c r="CZ718" i="1"/>
  <c r="CY718" i="1"/>
  <c r="CX718" i="1"/>
  <c r="CW718" i="1"/>
  <c r="CV718" i="1"/>
  <c r="CU718" i="1"/>
  <c r="CT718" i="1"/>
  <c r="CS718" i="1"/>
  <c r="CR718" i="1"/>
  <c r="CQ718" i="1"/>
  <c r="CP718" i="1"/>
  <c r="CO718" i="1"/>
  <c r="CN718" i="1"/>
  <c r="CM718" i="1"/>
  <c r="CL718" i="1"/>
  <c r="CK718" i="1"/>
  <c r="CJ718" i="1"/>
  <c r="CI718" i="1"/>
  <c r="CH718" i="1"/>
  <c r="CG718" i="1"/>
  <c r="CF718" i="1"/>
  <c r="BZ718" i="1"/>
  <c r="BS718" i="1"/>
  <c r="BR718" i="1"/>
  <c r="BQ718" i="1"/>
  <c r="BP718" i="1"/>
  <c r="BO718" i="1"/>
  <c r="BN718" i="1"/>
  <c r="BM718" i="1"/>
  <c r="BL718" i="1"/>
  <c r="BK718" i="1"/>
  <c r="BJ718" i="1"/>
  <c r="BH718" i="1"/>
  <c r="BG718" i="1"/>
  <c r="BF718" i="1"/>
  <c r="AX718" i="1"/>
  <c r="AR718" i="1"/>
  <c r="AQ718" i="1"/>
  <c r="AP718" i="1"/>
  <c r="AO718" i="1"/>
  <c r="AN718" i="1"/>
  <c r="AM718" i="1"/>
  <c r="AL718" i="1"/>
  <c r="AK718" i="1"/>
  <c r="AJ718" i="1"/>
  <c r="AH718" i="1"/>
  <c r="AG718" i="1"/>
  <c r="AF718" i="1"/>
  <c r="AE718" i="1"/>
  <c r="AD718" i="1"/>
  <c r="F718" i="1"/>
  <c r="B718" i="1"/>
  <c r="DE717" i="1"/>
  <c r="DD717" i="1"/>
  <c r="DC717" i="1"/>
  <c r="DB717" i="1"/>
  <c r="DA717" i="1"/>
  <c r="CZ717" i="1"/>
  <c r="CY717" i="1"/>
  <c r="CX717" i="1"/>
  <c r="CW717" i="1"/>
  <c r="CV717" i="1"/>
  <c r="CU717" i="1"/>
  <c r="CT717" i="1"/>
  <c r="CS717" i="1"/>
  <c r="CR717" i="1"/>
  <c r="CQ717" i="1"/>
  <c r="CP717" i="1"/>
  <c r="CO717" i="1"/>
  <c r="CN717" i="1"/>
  <c r="CM717" i="1"/>
  <c r="CL717" i="1"/>
  <c r="CK717" i="1"/>
  <c r="CJ717" i="1"/>
  <c r="CI717" i="1"/>
  <c r="CH717" i="1"/>
  <c r="CG717" i="1"/>
  <c r="CF717" i="1"/>
  <c r="BR717" i="1"/>
  <c r="BQ717" i="1"/>
  <c r="BP717" i="1"/>
  <c r="BO717" i="1"/>
  <c r="BN717" i="1"/>
  <c r="BM717" i="1"/>
  <c r="BL717" i="1"/>
  <c r="BK717" i="1"/>
  <c r="BJ717" i="1"/>
  <c r="BI717" i="1"/>
  <c r="BH717" i="1"/>
  <c r="BG717" i="1"/>
  <c r="BF717" i="1"/>
  <c r="BE717" i="1"/>
  <c r="BC717" i="1"/>
  <c r="BB717" i="1"/>
  <c r="BA717" i="1"/>
  <c r="AY717" i="1"/>
  <c r="AX717" i="1"/>
  <c r="AW717" i="1"/>
  <c r="AU717" i="1"/>
  <c r="AT717" i="1"/>
  <c r="AS717" i="1"/>
  <c r="AR717" i="1"/>
  <c r="AQ717" i="1"/>
  <c r="AP717" i="1"/>
  <c r="AO717" i="1"/>
  <c r="AN717" i="1"/>
  <c r="AM717" i="1"/>
  <c r="AL717" i="1"/>
  <c r="AK717" i="1"/>
  <c r="AJ717" i="1"/>
  <c r="AI717" i="1"/>
  <c r="AH717" i="1"/>
  <c r="AG717" i="1"/>
  <c r="AF717" i="1"/>
  <c r="AE717" i="1"/>
  <c r="AD717" i="1"/>
  <c r="R717" i="1"/>
  <c r="Q717" i="1"/>
  <c r="DE716" i="1"/>
  <c r="DD716" i="1"/>
  <c r="DC716" i="1"/>
  <c r="DB716" i="1"/>
  <c r="DA716" i="1"/>
  <c r="CZ716" i="1"/>
  <c r="CY716" i="1"/>
  <c r="CX716" i="1"/>
  <c r="CW716" i="1"/>
  <c r="CV716" i="1"/>
  <c r="CU716" i="1"/>
  <c r="CT716" i="1"/>
  <c r="CS716" i="1"/>
  <c r="CR716" i="1"/>
  <c r="CQ716" i="1"/>
  <c r="CP716" i="1"/>
  <c r="CO716" i="1"/>
  <c r="CN716" i="1"/>
  <c r="CM716" i="1"/>
  <c r="CL716" i="1"/>
  <c r="CK716" i="1"/>
  <c r="CJ716" i="1"/>
  <c r="CI716" i="1"/>
  <c r="CH716" i="1"/>
  <c r="CG716" i="1"/>
  <c r="CF716" i="1"/>
  <c r="BR716" i="1"/>
  <c r="BQ716" i="1"/>
  <c r="BP716" i="1"/>
  <c r="BO716" i="1"/>
  <c r="BN716" i="1"/>
  <c r="BL716" i="1"/>
  <c r="BK716" i="1"/>
  <c r="BJ716" i="1"/>
  <c r="BI716" i="1"/>
  <c r="BH716" i="1"/>
  <c r="BG716" i="1"/>
  <c r="BF716" i="1"/>
  <c r="BE716" i="1"/>
  <c r="BC716" i="1"/>
  <c r="BB716" i="1"/>
  <c r="BA716" i="1"/>
  <c r="AY716" i="1"/>
  <c r="AX716" i="1"/>
  <c r="AW716" i="1"/>
  <c r="AU716" i="1"/>
  <c r="AT716" i="1"/>
  <c r="AS716" i="1"/>
  <c r="AR716" i="1"/>
  <c r="AQ716" i="1"/>
  <c r="AP716" i="1"/>
  <c r="AO716" i="1"/>
  <c r="AN716" i="1"/>
  <c r="AL716" i="1"/>
  <c r="AK716" i="1"/>
  <c r="AJ716" i="1"/>
  <c r="AI716" i="1"/>
  <c r="AH716" i="1"/>
  <c r="AG716" i="1"/>
  <c r="AF716" i="1"/>
  <c r="AE716" i="1"/>
  <c r="O715" i="1" s="1"/>
  <c r="P715" i="1" s="1"/>
  <c r="AD716" i="1"/>
  <c r="J716" i="1"/>
  <c r="DE715" i="1"/>
  <c r="DD715" i="1"/>
  <c r="DC715" i="1"/>
  <c r="DB715" i="1"/>
  <c r="DA715" i="1"/>
  <c r="CZ715" i="1"/>
  <c r="CY715" i="1"/>
  <c r="CX715" i="1"/>
  <c r="CW715" i="1"/>
  <c r="CV715" i="1"/>
  <c r="CU715" i="1"/>
  <c r="CT715" i="1"/>
  <c r="CS715" i="1"/>
  <c r="CR715" i="1"/>
  <c r="CQ715" i="1"/>
  <c r="CP715" i="1"/>
  <c r="CO715" i="1"/>
  <c r="CN715" i="1"/>
  <c r="CM715" i="1"/>
  <c r="CL715" i="1"/>
  <c r="CK715" i="1"/>
  <c r="CJ715" i="1"/>
  <c r="CI715" i="1"/>
  <c r="CH715" i="1"/>
  <c r="CG715" i="1"/>
  <c r="CF715" i="1"/>
  <c r="CD715" i="1"/>
  <c r="CC715" i="1"/>
  <c r="CB715" i="1"/>
  <c r="BY715" i="1"/>
  <c r="BX715" i="1"/>
  <c r="BV715" i="1"/>
  <c r="BU715" i="1"/>
  <c r="BT715" i="1"/>
  <c r="BR715" i="1"/>
  <c r="BQ715" i="1"/>
  <c r="BP715" i="1"/>
  <c r="BO715" i="1"/>
  <c r="BN715" i="1"/>
  <c r="BM715" i="1"/>
  <c r="BL715" i="1"/>
  <c r="BK715" i="1"/>
  <c r="BJ715" i="1"/>
  <c r="BI715" i="1"/>
  <c r="BH715" i="1"/>
  <c r="BF715" i="1"/>
  <c r="BE715" i="1"/>
  <c r="BD715" i="1"/>
  <c r="BB715" i="1"/>
  <c r="BA715" i="1"/>
  <c r="AZ715" i="1"/>
  <c r="AX715" i="1"/>
  <c r="AW715" i="1"/>
  <c r="AV715" i="1"/>
  <c r="AT715" i="1"/>
  <c r="AS715" i="1"/>
  <c r="AR715" i="1"/>
  <c r="AQ715" i="1"/>
  <c r="AP715" i="1"/>
  <c r="AO715" i="1"/>
  <c r="AN715" i="1"/>
  <c r="AM715" i="1"/>
  <c r="AL715" i="1"/>
  <c r="AK715" i="1"/>
  <c r="AJ715" i="1"/>
  <c r="AI715" i="1"/>
  <c r="AH715" i="1"/>
  <c r="AF715" i="1"/>
  <c r="AE715" i="1"/>
  <c r="AD715" i="1"/>
  <c r="F715" i="1"/>
  <c r="B715" i="1"/>
  <c r="BD717" i="1" s="1"/>
  <c r="DE714" i="1"/>
  <c r="DD714" i="1"/>
  <c r="DC714" i="1"/>
  <c r="DB714" i="1"/>
  <c r="DA714" i="1"/>
  <c r="CZ714" i="1"/>
  <c r="CY714" i="1"/>
  <c r="CX714" i="1"/>
  <c r="CW714" i="1"/>
  <c r="CV714" i="1"/>
  <c r="CU714" i="1"/>
  <c r="CT714" i="1"/>
  <c r="CS714" i="1"/>
  <c r="CR714" i="1"/>
  <c r="CQ714" i="1"/>
  <c r="CP714" i="1"/>
  <c r="CO714" i="1"/>
  <c r="CN714" i="1"/>
  <c r="CM714" i="1"/>
  <c r="CL714" i="1"/>
  <c r="CK714" i="1"/>
  <c r="CJ714" i="1"/>
  <c r="CI714" i="1"/>
  <c r="CH714" i="1"/>
  <c r="CG714" i="1"/>
  <c r="CF714" i="1"/>
  <c r="BR714" i="1"/>
  <c r="BQ714" i="1"/>
  <c r="BP714" i="1"/>
  <c r="BO714" i="1"/>
  <c r="BN714" i="1"/>
  <c r="BM714" i="1"/>
  <c r="BL714" i="1"/>
  <c r="BK714" i="1"/>
  <c r="BJ714" i="1"/>
  <c r="BI714" i="1"/>
  <c r="BH714" i="1"/>
  <c r="BG714" i="1"/>
  <c r="BF714" i="1"/>
  <c r="AR714" i="1"/>
  <c r="AQ714" i="1"/>
  <c r="AP714" i="1"/>
  <c r="AO714" i="1"/>
  <c r="AN714" i="1"/>
  <c r="AM714" i="1"/>
  <c r="AL714" i="1"/>
  <c r="AK714" i="1"/>
  <c r="AJ714" i="1"/>
  <c r="AI714" i="1"/>
  <c r="AH714" i="1"/>
  <c r="AG714" i="1"/>
  <c r="AF714" i="1"/>
  <c r="AE714" i="1"/>
  <c r="R714" i="1"/>
  <c r="Q714" i="1"/>
  <c r="P714" i="1"/>
  <c r="DE713" i="1"/>
  <c r="DD713" i="1"/>
  <c r="DC713" i="1"/>
  <c r="DB713" i="1"/>
  <c r="DA713" i="1"/>
  <c r="CZ713" i="1"/>
  <c r="CY713" i="1"/>
  <c r="CX713" i="1"/>
  <c r="CW713" i="1"/>
  <c r="CV713" i="1"/>
  <c r="CU713" i="1"/>
  <c r="CT713" i="1"/>
  <c r="CS713" i="1"/>
  <c r="CR713" i="1"/>
  <c r="CQ713" i="1"/>
  <c r="CP713" i="1"/>
  <c r="CO713" i="1"/>
  <c r="CN713" i="1"/>
  <c r="CM713" i="1"/>
  <c r="CL713" i="1"/>
  <c r="CK713" i="1"/>
  <c r="CJ713" i="1"/>
  <c r="CI713" i="1"/>
  <c r="CH713" i="1"/>
  <c r="CG713" i="1"/>
  <c r="CF713" i="1"/>
  <c r="BR713" i="1"/>
  <c r="BP713" i="1"/>
  <c r="BO713" i="1"/>
  <c r="BN713" i="1"/>
  <c r="BM713" i="1"/>
  <c r="BL713" i="1"/>
  <c r="BK713" i="1"/>
  <c r="BJ713" i="1"/>
  <c r="BI713" i="1"/>
  <c r="BH713" i="1"/>
  <c r="BG713" i="1"/>
  <c r="BF713" i="1"/>
  <c r="AR713" i="1"/>
  <c r="AP713" i="1"/>
  <c r="AO713" i="1"/>
  <c r="AN713" i="1"/>
  <c r="AM713" i="1"/>
  <c r="AL713" i="1"/>
  <c r="AK713" i="1"/>
  <c r="AJ713" i="1"/>
  <c r="AI713" i="1"/>
  <c r="AH713" i="1"/>
  <c r="AG713" i="1"/>
  <c r="AF713" i="1"/>
  <c r="AE713" i="1"/>
  <c r="J713" i="1"/>
  <c r="DE712" i="1"/>
  <c r="DD712" i="1"/>
  <c r="DC712" i="1"/>
  <c r="DB712" i="1"/>
  <c r="DA712" i="1"/>
  <c r="CZ712" i="1"/>
  <c r="CY712" i="1"/>
  <c r="CX712" i="1"/>
  <c r="CW712" i="1"/>
  <c r="CV712" i="1"/>
  <c r="CU712" i="1"/>
  <c r="CT712" i="1"/>
  <c r="CS712" i="1"/>
  <c r="CR712" i="1"/>
  <c r="CQ712" i="1"/>
  <c r="CP712" i="1"/>
  <c r="CO712" i="1"/>
  <c r="CN712" i="1"/>
  <c r="CM712" i="1"/>
  <c r="CL712" i="1"/>
  <c r="CK712" i="1"/>
  <c r="CJ712" i="1"/>
  <c r="CI712" i="1"/>
  <c r="CH712" i="1"/>
  <c r="CG712" i="1"/>
  <c r="CF712" i="1"/>
  <c r="BR712" i="1"/>
  <c r="BQ712" i="1"/>
  <c r="BP712" i="1"/>
  <c r="BO712" i="1"/>
  <c r="BN712" i="1"/>
  <c r="BM712" i="1"/>
  <c r="BL712" i="1"/>
  <c r="BK712" i="1"/>
  <c r="BJ712" i="1"/>
  <c r="BI712" i="1"/>
  <c r="BH712" i="1"/>
  <c r="BF712" i="1"/>
  <c r="AR712" i="1"/>
  <c r="AQ712" i="1"/>
  <c r="AP712" i="1"/>
  <c r="AO712" i="1"/>
  <c r="AN712" i="1"/>
  <c r="AM712" i="1"/>
  <c r="AL712" i="1"/>
  <c r="AK712" i="1"/>
  <c r="AJ712" i="1"/>
  <c r="AI712" i="1"/>
  <c r="AH712" i="1"/>
  <c r="AF712" i="1"/>
  <c r="AE712" i="1"/>
  <c r="O714" i="1" s="1"/>
  <c r="AD712" i="1"/>
  <c r="F712" i="1"/>
  <c r="B712" i="1"/>
  <c r="BE714" i="1" s="1"/>
  <c r="DJ711" i="1"/>
  <c r="DE711" i="1"/>
  <c r="DD711" i="1"/>
  <c r="DC711" i="1"/>
  <c r="DB711" i="1"/>
  <c r="DA711" i="1"/>
  <c r="CZ711" i="1"/>
  <c r="CY711" i="1"/>
  <c r="CX711" i="1"/>
  <c r="CW711" i="1"/>
  <c r="CV711" i="1"/>
  <c r="CU711" i="1"/>
  <c r="CT711" i="1"/>
  <c r="CS711" i="1"/>
  <c r="CR711" i="1"/>
  <c r="CQ711" i="1"/>
  <c r="CP711" i="1"/>
  <c r="CO711" i="1"/>
  <c r="CN711" i="1"/>
  <c r="CM711" i="1"/>
  <c r="CL711" i="1"/>
  <c r="CK711" i="1"/>
  <c r="CJ711" i="1"/>
  <c r="CI711" i="1"/>
  <c r="CH711" i="1"/>
  <c r="CG711" i="1"/>
  <c r="CF711" i="1"/>
  <c r="BR711" i="1"/>
  <c r="BQ711" i="1"/>
  <c r="BP711" i="1"/>
  <c r="BO711" i="1"/>
  <c r="BN711" i="1"/>
  <c r="BM711" i="1"/>
  <c r="BL711" i="1"/>
  <c r="BK711" i="1"/>
  <c r="BJ711" i="1"/>
  <c r="BI711" i="1"/>
  <c r="BH711" i="1"/>
  <c r="BG711" i="1"/>
  <c r="BF711" i="1"/>
  <c r="BE711" i="1"/>
  <c r="BC711" i="1"/>
  <c r="BB711" i="1"/>
  <c r="BA711" i="1"/>
  <c r="AY711" i="1"/>
  <c r="AX711" i="1"/>
  <c r="AW711" i="1"/>
  <c r="AU711" i="1"/>
  <c r="AT711" i="1"/>
  <c r="AS711" i="1"/>
  <c r="AR711" i="1"/>
  <c r="AQ711" i="1"/>
  <c r="AP711" i="1"/>
  <c r="AO711" i="1"/>
  <c r="AN711" i="1"/>
  <c r="AM711" i="1"/>
  <c r="AL711" i="1"/>
  <c r="AK711" i="1"/>
  <c r="AJ711" i="1"/>
  <c r="AI711" i="1"/>
  <c r="AH711" i="1"/>
  <c r="AG711" i="1"/>
  <c r="AF711" i="1"/>
  <c r="AE711" i="1"/>
  <c r="AD711" i="1"/>
  <c r="R711" i="1"/>
  <c r="Q711" i="1"/>
  <c r="O711" i="1"/>
  <c r="P711" i="1" s="1"/>
  <c r="DJ710" i="1"/>
  <c r="DE710" i="1"/>
  <c r="DD710" i="1"/>
  <c r="DC710" i="1"/>
  <c r="DB710" i="1"/>
  <c r="DA710" i="1"/>
  <c r="CZ710" i="1"/>
  <c r="CY710" i="1"/>
  <c r="CX710" i="1"/>
  <c r="CW710" i="1"/>
  <c r="CV710" i="1"/>
  <c r="CU710" i="1"/>
  <c r="CT710" i="1"/>
  <c r="CS710" i="1"/>
  <c r="CR710" i="1"/>
  <c r="CQ710" i="1"/>
  <c r="CP710" i="1"/>
  <c r="CO710" i="1"/>
  <c r="CN710" i="1"/>
  <c r="CM710" i="1"/>
  <c r="CL710" i="1"/>
  <c r="CK710" i="1"/>
  <c r="CJ710" i="1"/>
  <c r="CI710" i="1"/>
  <c r="CH710" i="1"/>
  <c r="CG710" i="1"/>
  <c r="CF710" i="1"/>
  <c r="BR710" i="1"/>
  <c r="BQ710" i="1"/>
  <c r="BP710" i="1"/>
  <c r="BO710" i="1"/>
  <c r="BN710" i="1"/>
  <c r="BM710" i="1"/>
  <c r="BL710" i="1"/>
  <c r="BK710" i="1"/>
  <c r="BJ710" i="1"/>
  <c r="BI710" i="1"/>
  <c r="BH710" i="1"/>
  <c r="BF710" i="1"/>
  <c r="BE710" i="1"/>
  <c r="BC710" i="1"/>
  <c r="BB710" i="1"/>
  <c r="BA710" i="1"/>
  <c r="AY710" i="1"/>
  <c r="AX710" i="1"/>
  <c r="AW710" i="1"/>
  <c r="AU710" i="1"/>
  <c r="AT710" i="1"/>
  <c r="AS710" i="1"/>
  <c r="AR710" i="1"/>
  <c r="AQ710" i="1"/>
  <c r="AP710" i="1"/>
  <c r="AO710" i="1"/>
  <c r="AN710" i="1"/>
  <c r="AM710" i="1"/>
  <c r="AL710" i="1"/>
  <c r="AK710" i="1"/>
  <c r="AJ710" i="1"/>
  <c r="AI710" i="1"/>
  <c r="AH710" i="1"/>
  <c r="AF710" i="1"/>
  <c r="AE710" i="1"/>
  <c r="O709" i="1" s="1"/>
  <c r="AI709" i="1" s="1"/>
  <c r="AD710" i="1"/>
  <c r="O710" i="1"/>
  <c r="J710" i="1"/>
  <c r="DJ709" i="1"/>
  <c r="DE709" i="1"/>
  <c r="DD709" i="1"/>
  <c r="DC709" i="1"/>
  <c r="DB709" i="1"/>
  <c r="DA709" i="1"/>
  <c r="CZ709" i="1"/>
  <c r="CY709" i="1"/>
  <c r="CX709" i="1"/>
  <c r="CW709" i="1"/>
  <c r="CV709" i="1"/>
  <c r="CU709" i="1"/>
  <c r="CT709" i="1"/>
  <c r="CS709" i="1"/>
  <c r="CR709" i="1"/>
  <c r="CQ709" i="1"/>
  <c r="CP709" i="1"/>
  <c r="CO709" i="1"/>
  <c r="CN709" i="1"/>
  <c r="CM709" i="1"/>
  <c r="CL709" i="1"/>
  <c r="CK709" i="1"/>
  <c r="CJ709" i="1"/>
  <c r="CI709" i="1"/>
  <c r="CH709" i="1"/>
  <c r="CG709" i="1"/>
  <c r="CF709" i="1"/>
  <c r="CD709" i="1"/>
  <c r="CC709" i="1"/>
  <c r="CB709" i="1"/>
  <c r="BZ709" i="1"/>
  <c r="BY709" i="1"/>
  <c r="BX709" i="1"/>
  <c r="BV709" i="1"/>
  <c r="BU709" i="1"/>
  <c r="BR709" i="1"/>
  <c r="BQ709" i="1"/>
  <c r="BP709" i="1"/>
  <c r="BO709" i="1"/>
  <c r="BN709" i="1"/>
  <c r="BM709" i="1"/>
  <c r="BL709" i="1"/>
  <c r="BK709" i="1"/>
  <c r="BJ709" i="1"/>
  <c r="BI709" i="1"/>
  <c r="BH709" i="1"/>
  <c r="BG709" i="1"/>
  <c r="BF709" i="1"/>
  <c r="BE709" i="1"/>
  <c r="BD709" i="1"/>
  <c r="BB709" i="1"/>
  <c r="BA709" i="1"/>
  <c r="AZ709" i="1"/>
  <c r="AX709" i="1"/>
  <c r="AW709" i="1"/>
  <c r="AV709" i="1"/>
  <c r="AT709" i="1"/>
  <c r="AS709" i="1"/>
  <c r="AR709" i="1"/>
  <c r="AQ709" i="1"/>
  <c r="AP709" i="1"/>
  <c r="AO709" i="1"/>
  <c r="AN709" i="1"/>
  <c r="AM709" i="1"/>
  <c r="AL709" i="1"/>
  <c r="AK709" i="1"/>
  <c r="AJ709" i="1"/>
  <c r="AH709" i="1"/>
  <c r="AG709" i="1"/>
  <c r="AF709" i="1"/>
  <c r="AE709" i="1"/>
  <c r="AD709" i="1"/>
  <c r="P709" i="1"/>
  <c r="F709" i="1"/>
  <c r="D709" i="1"/>
  <c r="B709" i="1"/>
  <c r="BD711" i="1" s="1"/>
  <c r="DJ708" i="1"/>
  <c r="DE708" i="1"/>
  <c r="DD708" i="1"/>
  <c r="DC708" i="1"/>
  <c r="DB708" i="1"/>
  <c r="DA708" i="1"/>
  <c r="CZ708" i="1"/>
  <c r="CY708" i="1"/>
  <c r="CX708" i="1"/>
  <c r="CW708" i="1"/>
  <c r="CV708" i="1"/>
  <c r="CU708" i="1"/>
  <c r="CT708" i="1"/>
  <c r="CS708" i="1"/>
  <c r="CR708" i="1"/>
  <c r="CQ708" i="1"/>
  <c r="CP708" i="1"/>
  <c r="CO708" i="1"/>
  <c r="CN708" i="1"/>
  <c r="CM708" i="1"/>
  <c r="CL708" i="1"/>
  <c r="CK708" i="1"/>
  <c r="CJ708" i="1"/>
  <c r="CI708" i="1"/>
  <c r="CH708" i="1"/>
  <c r="CG708" i="1"/>
  <c r="CF708" i="1"/>
  <c r="BR708" i="1"/>
  <c r="BQ708" i="1"/>
  <c r="BP708" i="1"/>
  <c r="BO708" i="1"/>
  <c r="BN708" i="1"/>
  <c r="BM708" i="1"/>
  <c r="BL708" i="1"/>
  <c r="BK708" i="1"/>
  <c r="BJ708" i="1"/>
  <c r="BI708" i="1"/>
  <c r="BH708" i="1"/>
  <c r="BG708" i="1"/>
  <c r="BF708" i="1"/>
  <c r="BE708" i="1"/>
  <c r="BD708" i="1"/>
  <c r="BB708" i="1"/>
  <c r="BA708" i="1"/>
  <c r="AZ708" i="1"/>
  <c r="AX708" i="1"/>
  <c r="AW708" i="1"/>
  <c r="AV708" i="1"/>
  <c r="AT708" i="1"/>
  <c r="AS708" i="1"/>
  <c r="AR708" i="1"/>
  <c r="AQ708" i="1"/>
  <c r="AP708" i="1"/>
  <c r="AO708" i="1"/>
  <c r="AN708" i="1"/>
  <c r="AM708" i="1"/>
  <c r="AL708" i="1"/>
  <c r="AK708" i="1"/>
  <c r="AJ708" i="1"/>
  <c r="AI708" i="1"/>
  <c r="AG708" i="1"/>
  <c r="AF708" i="1"/>
  <c r="AE708" i="1"/>
  <c r="DJ707" i="1"/>
  <c r="DE707" i="1"/>
  <c r="DD707" i="1"/>
  <c r="DC707" i="1"/>
  <c r="DB707" i="1"/>
  <c r="DA707" i="1"/>
  <c r="CZ707" i="1"/>
  <c r="CY707" i="1"/>
  <c r="CX707" i="1"/>
  <c r="CW707" i="1"/>
  <c r="CV707" i="1"/>
  <c r="CU707" i="1"/>
  <c r="CT707" i="1"/>
  <c r="CS707" i="1"/>
  <c r="CR707" i="1"/>
  <c r="CQ707" i="1"/>
  <c r="CP707" i="1"/>
  <c r="CO707" i="1"/>
  <c r="CN707" i="1"/>
  <c r="CM707" i="1"/>
  <c r="CL707" i="1"/>
  <c r="CK707" i="1"/>
  <c r="CJ707" i="1"/>
  <c r="CI707" i="1"/>
  <c r="CH707" i="1"/>
  <c r="CG707" i="1"/>
  <c r="CF707" i="1"/>
  <c r="BR707" i="1"/>
  <c r="BQ707" i="1"/>
  <c r="BP707" i="1"/>
  <c r="BO707" i="1"/>
  <c r="BN707" i="1"/>
  <c r="BM707" i="1"/>
  <c r="BL707" i="1"/>
  <c r="BK707" i="1"/>
  <c r="BJ707" i="1"/>
  <c r="BI707" i="1"/>
  <c r="BH707" i="1"/>
  <c r="BF707" i="1"/>
  <c r="BE707" i="1"/>
  <c r="BD707" i="1"/>
  <c r="BC707" i="1"/>
  <c r="BA707" i="1"/>
  <c r="AZ707" i="1"/>
  <c r="AY707" i="1"/>
  <c r="AW707" i="1"/>
  <c r="AV707" i="1"/>
  <c r="AU707" i="1"/>
  <c r="AS707" i="1"/>
  <c r="AR707" i="1"/>
  <c r="AQ707" i="1"/>
  <c r="AP707" i="1"/>
  <c r="AO707" i="1"/>
  <c r="AN707" i="1"/>
  <c r="AM707" i="1"/>
  <c r="AL707" i="1"/>
  <c r="AK707" i="1"/>
  <c r="AJ707" i="1"/>
  <c r="AI707" i="1"/>
  <c r="AH707" i="1"/>
  <c r="AF707" i="1"/>
  <c r="AE707" i="1"/>
  <c r="O707" i="1"/>
  <c r="P707" i="1" s="1"/>
  <c r="J707" i="1"/>
  <c r="DK706" i="1"/>
  <c r="DJ706" i="1"/>
  <c r="DE706" i="1"/>
  <c r="DD706" i="1"/>
  <c r="DC706" i="1"/>
  <c r="DB706" i="1"/>
  <c r="DA706" i="1"/>
  <c r="CZ706" i="1"/>
  <c r="CY706" i="1"/>
  <c r="CX706" i="1"/>
  <c r="CW706" i="1"/>
  <c r="CV706" i="1"/>
  <c r="CU706" i="1"/>
  <c r="CT706" i="1"/>
  <c r="CS706" i="1"/>
  <c r="CR706" i="1"/>
  <c r="CQ706" i="1"/>
  <c r="CP706" i="1"/>
  <c r="CO706" i="1"/>
  <c r="CN706" i="1"/>
  <c r="CM706" i="1"/>
  <c r="CL706" i="1"/>
  <c r="CK706" i="1"/>
  <c r="CJ706" i="1"/>
  <c r="CI706" i="1"/>
  <c r="CH706" i="1"/>
  <c r="CG706" i="1"/>
  <c r="CF706" i="1"/>
  <c r="CE706" i="1"/>
  <c r="CD706" i="1"/>
  <c r="CC706" i="1"/>
  <c r="CA706" i="1"/>
  <c r="BZ706" i="1"/>
  <c r="BY706" i="1"/>
  <c r="BW706" i="1"/>
  <c r="BV706" i="1"/>
  <c r="BU706" i="1"/>
  <c r="BS706" i="1"/>
  <c r="BR706" i="1"/>
  <c r="BQ706" i="1"/>
  <c r="BP706" i="1"/>
  <c r="BO706" i="1"/>
  <c r="BN706" i="1"/>
  <c r="BM706" i="1"/>
  <c r="BL706" i="1"/>
  <c r="BK706" i="1"/>
  <c r="BJ706" i="1"/>
  <c r="BI706" i="1"/>
  <c r="BH706" i="1"/>
  <c r="BF706" i="1"/>
  <c r="BE706" i="1"/>
  <c r="BC706" i="1"/>
  <c r="BB706" i="1"/>
  <c r="BA706" i="1"/>
  <c r="AY706" i="1"/>
  <c r="AX706" i="1"/>
  <c r="AW706" i="1"/>
  <c r="AU706" i="1"/>
  <c r="AT706" i="1"/>
  <c r="AS706" i="1"/>
  <c r="AR706" i="1"/>
  <c r="AQ706" i="1"/>
  <c r="AP706" i="1"/>
  <c r="AO706" i="1"/>
  <c r="AN706" i="1"/>
  <c r="AM706" i="1"/>
  <c r="AL706" i="1"/>
  <c r="AK706" i="1"/>
  <c r="AJ706" i="1"/>
  <c r="AI706" i="1"/>
  <c r="AH706" i="1"/>
  <c r="AF706" i="1"/>
  <c r="AE706" i="1"/>
  <c r="O708" i="1" s="1"/>
  <c r="P708" i="1" s="1"/>
  <c r="AH708" i="1" s="1"/>
  <c r="AD706" i="1"/>
  <c r="F706" i="1"/>
  <c r="B706" i="1"/>
  <c r="BC708" i="1" s="1"/>
  <c r="DE705" i="1"/>
  <c r="DD705" i="1"/>
  <c r="DC705" i="1"/>
  <c r="DB705" i="1"/>
  <c r="DA705" i="1"/>
  <c r="CZ705" i="1"/>
  <c r="CY705" i="1"/>
  <c r="CX705" i="1"/>
  <c r="CW705" i="1"/>
  <c r="CV705" i="1"/>
  <c r="CU705" i="1"/>
  <c r="CT705" i="1"/>
  <c r="CS705" i="1"/>
  <c r="CR705" i="1"/>
  <c r="CQ705" i="1"/>
  <c r="CP705" i="1"/>
  <c r="CO705" i="1"/>
  <c r="CN705" i="1"/>
  <c r="CM705" i="1"/>
  <c r="CL705" i="1"/>
  <c r="CK705" i="1"/>
  <c r="CJ705" i="1"/>
  <c r="CI705" i="1"/>
  <c r="CH705" i="1"/>
  <c r="CG705" i="1"/>
  <c r="CF705" i="1"/>
  <c r="BR705" i="1"/>
  <c r="BQ705" i="1"/>
  <c r="BP705" i="1"/>
  <c r="BO705" i="1"/>
  <c r="BN705" i="1"/>
  <c r="BM705" i="1"/>
  <c r="BL705" i="1"/>
  <c r="BK705" i="1"/>
  <c r="BJ705" i="1"/>
  <c r="BI705" i="1"/>
  <c r="BH705" i="1"/>
  <c r="BG705" i="1"/>
  <c r="BF705" i="1"/>
  <c r="BE705" i="1"/>
  <c r="BA705" i="1"/>
  <c r="AZ705" i="1"/>
  <c r="AV705" i="1"/>
  <c r="AT705" i="1"/>
  <c r="AR705" i="1"/>
  <c r="AQ705" i="1"/>
  <c r="AP705" i="1"/>
  <c r="AO705" i="1"/>
  <c r="AN705" i="1"/>
  <c r="AM705" i="1"/>
  <c r="AL705" i="1"/>
  <c r="AK705" i="1"/>
  <c r="AJ705" i="1"/>
  <c r="AI705" i="1"/>
  <c r="AH705" i="1"/>
  <c r="AG705" i="1"/>
  <c r="AF705" i="1"/>
  <c r="AE705" i="1"/>
  <c r="AD705" i="1"/>
  <c r="R705" i="1"/>
  <c r="Q705" i="1"/>
  <c r="O705" i="1"/>
  <c r="P705" i="1" s="1"/>
  <c r="DE704" i="1"/>
  <c r="DD704" i="1"/>
  <c r="DC704" i="1"/>
  <c r="DB704" i="1"/>
  <c r="DA704" i="1"/>
  <c r="CZ704" i="1"/>
  <c r="CY704" i="1"/>
  <c r="CX704" i="1"/>
  <c r="CW704" i="1"/>
  <c r="CV704" i="1"/>
  <c r="CU704" i="1"/>
  <c r="CT704" i="1"/>
  <c r="CS704" i="1"/>
  <c r="CR704" i="1"/>
  <c r="CQ704" i="1"/>
  <c r="CP704" i="1"/>
  <c r="CO704" i="1"/>
  <c r="CN704" i="1"/>
  <c r="CM704" i="1"/>
  <c r="CL704" i="1"/>
  <c r="CK704" i="1"/>
  <c r="CJ704" i="1"/>
  <c r="CI704" i="1"/>
  <c r="CH704" i="1"/>
  <c r="CG704" i="1"/>
  <c r="CF704" i="1"/>
  <c r="BR704" i="1"/>
  <c r="BQ704" i="1"/>
  <c r="BP704" i="1"/>
  <c r="BO704" i="1"/>
  <c r="BN704" i="1"/>
  <c r="BM704" i="1"/>
  <c r="BL704" i="1"/>
  <c r="BK704" i="1"/>
  <c r="BI704" i="1"/>
  <c r="BH704" i="1"/>
  <c r="BG704" i="1"/>
  <c r="BF704" i="1"/>
  <c r="BE704" i="1"/>
  <c r="BD704" i="1"/>
  <c r="BA704" i="1"/>
  <c r="AZ704" i="1"/>
  <c r="AX704" i="1"/>
  <c r="AV704" i="1"/>
  <c r="AT704" i="1"/>
  <c r="AS704" i="1"/>
  <c r="AR704" i="1"/>
  <c r="AQ704" i="1"/>
  <c r="AP704" i="1"/>
  <c r="AO704" i="1"/>
  <c r="AN704" i="1"/>
  <c r="AM704" i="1"/>
  <c r="AL704" i="1"/>
  <c r="AK704" i="1"/>
  <c r="AI704" i="1"/>
  <c r="AH704" i="1"/>
  <c r="AG704" i="1"/>
  <c r="AF704" i="1"/>
  <c r="AE704" i="1"/>
  <c r="AD704" i="1"/>
  <c r="J704" i="1"/>
  <c r="DE703" i="1"/>
  <c r="DD703" i="1"/>
  <c r="DC703" i="1"/>
  <c r="DB703" i="1"/>
  <c r="DA703" i="1"/>
  <c r="CZ703" i="1"/>
  <c r="CY703" i="1"/>
  <c r="CX703" i="1"/>
  <c r="CW703" i="1"/>
  <c r="CV703" i="1"/>
  <c r="CU703" i="1"/>
  <c r="CT703" i="1"/>
  <c r="CS703" i="1"/>
  <c r="CR703" i="1"/>
  <c r="CQ703" i="1"/>
  <c r="CP703" i="1"/>
  <c r="CO703" i="1"/>
  <c r="CN703" i="1"/>
  <c r="CM703" i="1"/>
  <c r="CL703" i="1"/>
  <c r="CK703" i="1"/>
  <c r="CJ703" i="1"/>
  <c r="CI703" i="1"/>
  <c r="CH703" i="1"/>
  <c r="CG703" i="1"/>
  <c r="CF703" i="1"/>
  <c r="CE703" i="1"/>
  <c r="CC703" i="1"/>
  <c r="CB703" i="1"/>
  <c r="BY703" i="1"/>
  <c r="BX703" i="1"/>
  <c r="BT703" i="1"/>
  <c r="BS703" i="1"/>
  <c r="BR703" i="1"/>
  <c r="BP703" i="1"/>
  <c r="BO703" i="1"/>
  <c r="BN703" i="1"/>
  <c r="BM703" i="1"/>
  <c r="BL703" i="1"/>
  <c r="BK703" i="1"/>
  <c r="BJ703" i="1"/>
  <c r="BI703" i="1"/>
  <c r="BH703" i="1"/>
  <c r="BG703" i="1"/>
  <c r="BF703" i="1"/>
  <c r="BD703" i="1"/>
  <c r="BC703" i="1"/>
  <c r="BA703" i="1"/>
  <c r="AY703" i="1"/>
  <c r="AW703" i="1"/>
  <c r="AV703" i="1"/>
  <c r="AS703" i="1"/>
  <c r="AR703" i="1"/>
  <c r="AP703" i="1"/>
  <c r="AO703" i="1"/>
  <c r="AN703" i="1"/>
  <c r="AM703" i="1"/>
  <c r="AL703" i="1"/>
  <c r="AK703" i="1"/>
  <c r="AJ703" i="1"/>
  <c r="AI703" i="1"/>
  <c r="AH703" i="1"/>
  <c r="AG703" i="1"/>
  <c r="AF703" i="1"/>
  <c r="AE703" i="1"/>
  <c r="O703" i="1" s="1"/>
  <c r="AD703" i="1"/>
  <c r="F703" i="1"/>
  <c r="B703" i="1"/>
  <c r="BB705" i="1" s="1"/>
  <c r="DE702" i="1"/>
  <c r="DD702" i="1"/>
  <c r="DC702" i="1"/>
  <c r="DB702" i="1"/>
  <c r="DA702" i="1"/>
  <c r="CZ702" i="1"/>
  <c r="CY702" i="1"/>
  <c r="CX702" i="1"/>
  <c r="CW702" i="1"/>
  <c r="CV702" i="1"/>
  <c r="CU702" i="1"/>
  <c r="CT702" i="1"/>
  <c r="CS702" i="1"/>
  <c r="CR702" i="1"/>
  <c r="CQ702" i="1"/>
  <c r="CP702" i="1"/>
  <c r="CO702" i="1"/>
  <c r="CN702" i="1"/>
  <c r="CM702" i="1"/>
  <c r="CL702" i="1"/>
  <c r="CK702" i="1"/>
  <c r="CJ702" i="1"/>
  <c r="CI702" i="1"/>
  <c r="CH702" i="1"/>
  <c r="CG702" i="1"/>
  <c r="CF702" i="1"/>
  <c r="BR702" i="1"/>
  <c r="BQ702" i="1"/>
  <c r="BP702" i="1"/>
  <c r="BO702" i="1"/>
  <c r="BN702" i="1"/>
  <c r="BM702" i="1"/>
  <c r="BL702" i="1"/>
  <c r="BK702" i="1"/>
  <c r="BJ702" i="1"/>
  <c r="BI702" i="1"/>
  <c r="BH702" i="1"/>
  <c r="BG702" i="1"/>
  <c r="BF702" i="1"/>
  <c r="BE702" i="1"/>
  <c r="BD702" i="1"/>
  <c r="BC702" i="1"/>
  <c r="BA702" i="1"/>
  <c r="AZ702" i="1"/>
  <c r="AY702" i="1"/>
  <c r="AW702" i="1"/>
  <c r="AV702" i="1"/>
  <c r="AU702" i="1"/>
  <c r="AS702" i="1"/>
  <c r="AR702" i="1"/>
  <c r="AQ702" i="1"/>
  <c r="AP702" i="1"/>
  <c r="AO702" i="1"/>
  <c r="AN702" i="1"/>
  <c r="AM702" i="1"/>
  <c r="AL702" i="1"/>
  <c r="AK702" i="1"/>
  <c r="AJ702" i="1"/>
  <c r="AI702" i="1"/>
  <c r="AH702" i="1"/>
  <c r="AG702" i="1"/>
  <c r="AF702" i="1"/>
  <c r="AE702" i="1"/>
  <c r="R702" i="1"/>
  <c r="Q702" i="1"/>
  <c r="DE701" i="1"/>
  <c r="DD701" i="1"/>
  <c r="DC701" i="1"/>
  <c r="DB701" i="1"/>
  <c r="DA701" i="1"/>
  <c r="CZ701" i="1"/>
  <c r="CY701" i="1"/>
  <c r="CX701" i="1"/>
  <c r="CW701" i="1"/>
  <c r="CV701" i="1"/>
  <c r="CU701" i="1"/>
  <c r="CT701" i="1"/>
  <c r="CS701" i="1"/>
  <c r="CR701" i="1"/>
  <c r="CQ701" i="1"/>
  <c r="CP701" i="1"/>
  <c r="CO701" i="1"/>
  <c r="CN701" i="1"/>
  <c r="CM701" i="1"/>
  <c r="CL701" i="1"/>
  <c r="CK701" i="1"/>
  <c r="CJ701" i="1"/>
  <c r="CI701" i="1"/>
  <c r="CH701" i="1"/>
  <c r="CG701" i="1"/>
  <c r="CF701" i="1"/>
  <c r="BR701" i="1"/>
  <c r="BQ701" i="1"/>
  <c r="BP701" i="1"/>
  <c r="BO701" i="1"/>
  <c r="BN701" i="1"/>
  <c r="BM701" i="1"/>
  <c r="BL701" i="1"/>
  <c r="BK701" i="1"/>
  <c r="BJ701" i="1"/>
  <c r="BI701" i="1"/>
  <c r="BH701" i="1"/>
  <c r="BF701" i="1"/>
  <c r="BD701" i="1"/>
  <c r="BC701" i="1"/>
  <c r="BB701" i="1"/>
  <c r="AZ701" i="1"/>
  <c r="AY701" i="1"/>
  <c r="AX701" i="1"/>
  <c r="AV701" i="1"/>
  <c r="AU701" i="1"/>
  <c r="AT701" i="1"/>
  <c r="AR701" i="1"/>
  <c r="AQ701" i="1"/>
  <c r="AP701" i="1"/>
  <c r="AO701" i="1"/>
  <c r="AN701" i="1"/>
  <c r="AM701" i="1"/>
  <c r="AL701" i="1"/>
  <c r="AK701" i="1"/>
  <c r="AJ701" i="1"/>
  <c r="AI701" i="1"/>
  <c r="AH701" i="1"/>
  <c r="AF701" i="1"/>
  <c r="AE701" i="1"/>
  <c r="O700" i="1" s="1"/>
  <c r="AQ700" i="1" s="1"/>
  <c r="O701" i="1"/>
  <c r="BG701" i="1" s="1"/>
  <c r="J701" i="1"/>
  <c r="DE700" i="1"/>
  <c r="DD700" i="1"/>
  <c r="DC700" i="1"/>
  <c r="DB700" i="1"/>
  <c r="DA700" i="1"/>
  <c r="CZ700" i="1"/>
  <c r="CY700" i="1"/>
  <c r="CX700" i="1"/>
  <c r="CW700" i="1"/>
  <c r="CV700" i="1"/>
  <c r="CU700" i="1"/>
  <c r="CT700" i="1"/>
  <c r="CS700" i="1"/>
  <c r="CR700" i="1"/>
  <c r="CQ700" i="1"/>
  <c r="CP700" i="1"/>
  <c r="CO700" i="1"/>
  <c r="CN700" i="1"/>
  <c r="CM700" i="1"/>
  <c r="CL700" i="1"/>
  <c r="CK700" i="1"/>
  <c r="CJ700" i="1"/>
  <c r="CI700" i="1"/>
  <c r="CH700" i="1"/>
  <c r="CG700" i="1"/>
  <c r="CF700" i="1"/>
  <c r="CD700" i="1"/>
  <c r="CC700" i="1"/>
  <c r="CB700" i="1"/>
  <c r="BZ700" i="1"/>
  <c r="BY700" i="1"/>
  <c r="BX700" i="1"/>
  <c r="BV700" i="1"/>
  <c r="BU700" i="1"/>
  <c r="BR700" i="1"/>
  <c r="BP700" i="1"/>
  <c r="BO700" i="1"/>
  <c r="BN700" i="1"/>
  <c r="BM700" i="1"/>
  <c r="BL700" i="1"/>
  <c r="BK700" i="1"/>
  <c r="BJ700" i="1"/>
  <c r="BI700" i="1"/>
  <c r="BH700" i="1"/>
  <c r="BG700" i="1"/>
  <c r="BF700" i="1"/>
  <c r="BE700" i="1"/>
  <c r="BD700" i="1"/>
  <c r="BB700" i="1"/>
  <c r="BA700" i="1"/>
  <c r="AZ700" i="1"/>
  <c r="AX700" i="1"/>
  <c r="AW700" i="1"/>
  <c r="AV700" i="1"/>
  <c r="AT700" i="1"/>
  <c r="AS700" i="1"/>
  <c r="AR700" i="1"/>
  <c r="AP700" i="1"/>
  <c r="AO700" i="1"/>
  <c r="AN700" i="1"/>
  <c r="AM700" i="1"/>
  <c r="AL700" i="1"/>
  <c r="AK700" i="1"/>
  <c r="AJ700" i="1"/>
  <c r="AI700" i="1"/>
  <c r="AH700" i="1"/>
  <c r="AG700" i="1"/>
  <c r="AF700" i="1"/>
  <c r="AE700" i="1"/>
  <c r="AD700" i="1"/>
  <c r="P700" i="1"/>
  <c r="F700" i="1"/>
  <c r="B700" i="1"/>
  <c r="BB702" i="1" s="1"/>
  <c r="DE699" i="1"/>
  <c r="DD699" i="1"/>
  <c r="DC699" i="1"/>
  <c r="DB699" i="1"/>
  <c r="DA699" i="1"/>
  <c r="CZ699" i="1"/>
  <c r="CY699" i="1"/>
  <c r="CX699" i="1"/>
  <c r="CW699" i="1"/>
  <c r="CV699" i="1"/>
  <c r="CU699" i="1"/>
  <c r="CT699" i="1"/>
  <c r="CS699" i="1"/>
  <c r="CR699" i="1"/>
  <c r="CQ699" i="1"/>
  <c r="CP699" i="1"/>
  <c r="CO699" i="1"/>
  <c r="CN699" i="1"/>
  <c r="CM699" i="1"/>
  <c r="CL699" i="1"/>
  <c r="CK699" i="1"/>
  <c r="CJ699" i="1"/>
  <c r="CI699" i="1"/>
  <c r="CH699" i="1"/>
  <c r="CG699" i="1"/>
  <c r="CF699" i="1"/>
  <c r="BR699" i="1"/>
  <c r="BQ699" i="1"/>
  <c r="BP699" i="1"/>
  <c r="BO699" i="1"/>
  <c r="BN699" i="1"/>
  <c r="BM699" i="1"/>
  <c r="BL699" i="1"/>
  <c r="BK699" i="1"/>
  <c r="BJ699" i="1"/>
  <c r="BI699" i="1"/>
  <c r="BH699" i="1"/>
  <c r="BG699" i="1"/>
  <c r="BF699" i="1"/>
  <c r="BE699" i="1"/>
  <c r="BD699" i="1"/>
  <c r="BB699" i="1"/>
  <c r="BA699" i="1"/>
  <c r="AZ699" i="1"/>
  <c r="AX699" i="1"/>
  <c r="AW699" i="1"/>
  <c r="AV699" i="1"/>
  <c r="AT699" i="1"/>
  <c r="AS699" i="1"/>
  <c r="AR699" i="1"/>
  <c r="AQ699" i="1"/>
  <c r="AP699" i="1"/>
  <c r="AO699" i="1"/>
  <c r="AN699" i="1"/>
  <c r="AM699" i="1"/>
  <c r="AL699" i="1"/>
  <c r="AK699" i="1"/>
  <c r="AJ699" i="1"/>
  <c r="AI699" i="1"/>
  <c r="AH699" i="1"/>
  <c r="AG699" i="1"/>
  <c r="AF699" i="1"/>
  <c r="AE699" i="1"/>
  <c r="AD699" i="1"/>
  <c r="R699" i="1"/>
  <c r="Q699" i="1"/>
  <c r="O699" i="1"/>
  <c r="P699" i="1" s="1"/>
  <c r="DE698" i="1"/>
  <c r="DD698" i="1"/>
  <c r="DC698" i="1"/>
  <c r="DB698" i="1"/>
  <c r="DA698" i="1"/>
  <c r="CZ698" i="1"/>
  <c r="CY698" i="1"/>
  <c r="CX698" i="1"/>
  <c r="CW698" i="1"/>
  <c r="CV698" i="1"/>
  <c r="CU698" i="1"/>
  <c r="CT698" i="1"/>
  <c r="CS698" i="1"/>
  <c r="CR698" i="1"/>
  <c r="CQ698" i="1"/>
  <c r="CP698" i="1"/>
  <c r="CO698" i="1"/>
  <c r="CN698" i="1"/>
  <c r="CM698" i="1"/>
  <c r="CL698" i="1"/>
  <c r="CK698" i="1"/>
  <c r="CJ698" i="1"/>
  <c r="CI698" i="1"/>
  <c r="CH698" i="1"/>
  <c r="CG698" i="1"/>
  <c r="CF698" i="1"/>
  <c r="BR698" i="1"/>
  <c r="BQ698" i="1"/>
  <c r="BP698" i="1"/>
  <c r="BO698" i="1"/>
  <c r="BN698" i="1"/>
  <c r="BL698" i="1"/>
  <c r="BK698" i="1"/>
  <c r="BJ698" i="1"/>
  <c r="BI698" i="1"/>
  <c r="BH698" i="1"/>
  <c r="BG698" i="1"/>
  <c r="BF698" i="1"/>
  <c r="BE698" i="1"/>
  <c r="BD698" i="1"/>
  <c r="BB698" i="1"/>
  <c r="BA698" i="1"/>
  <c r="AZ698" i="1"/>
  <c r="AX698" i="1"/>
  <c r="AW698" i="1"/>
  <c r="AV698" i="1"/>
  <c r="AT698" i="1"/>
  <c r="AS698" i="1"/>
  <c r="AR698" i="1"/>
  <c r="AQ698" i="1"/>
  <c r="AP698" i="1"/>
  <c r="AO698" i="1"/>
  <c r="AN698" i="1"/>
  <c r="AL698" i="1"/>
  <c r="AK698" i="1"/>
  <c r="AJ698" i="1"/>
  <c r="AI698" i="1"/>
  <c r="AH698" i="1"/>
  <c r="AG698" i="1"/>
  <c r="AF698" i="1"/>
  <c r="AE698" i="1"/>
  <c r="AD698" i="1"/>
  <c r="J698" i="1"/>
  <c r="DE697" i="1"/>
  <c r="DD697" i="1"/>
  <c r="DC697" i="1"/>
  <c r="DB697" i="1"/>
  <c r="DA697" i="1"/>
  <c r="CZ697" i="1"/>
  <c r="CY697" i="1"/>
  <c r="CX697" i="1"/>
  <c r="CW697" i="1"/>
  <c r="CV697" i="1"/>
  <c r="CU697" i="1"/>
  <c r="CT697" i="1"/>
  <c r="CS697" i="1"/>
  <c r="CR697" i="1"/>
  <c r="CQ697" i="1"/>
  <c r="CP697" i="1"/>
  <c r="CO697" i="1"/>
  <c r="CN697" i="1"/>
  <c r="CM697" i="1"/>
  <c r="CL697" i="1"/>
  <c r="CK697" i="1"/>
  <c r="CJ697" i="1"/>
  <c r="CI697" i="1"/>
  <c r="CH697" i="1"/>
  <c r="CG697" i="1"/>
  <c r="CF697" i="1"/>
  <c r="CE697" i="1"/>
  <c r="CC697" i="1"/>
  <c r="CB697" i="1"/>
  <c r="CA697" i="1"/>
  <c r="BY697" i="1"/>
  <c r="BX697" i="1"/>
  <c r="BW697" i="1"/>
  <c r="BU697" i="1"/>
  <c r="BT697" i="1"/>
  <c r="BS697" i="1"/>
  <c r="BR697" i="1"/>
  <c r="BQ697" i="1"/>
  <c r="BP697" i="1"/>
  <c r="BO697" i="1"/>
  <c r="BN697" i="1"/>
  <c r="BM697" i="1"/>
  <c r="BL697" i="1"/>
  <c r="BK697" i="1"/>
  <c r="BI697" i="1"/>
  <c r="BH697" i="1"/>
  <c r="BG697" i="1"/>
  <c r="BF697" i="1"/>
  <c r="BE697" i="1"/>
  <c r="BD697" i="1"/>
  <c r="BC697" i="1"/>
  <c r="BA697" i="1"/>
  <c r="AZ697" i="1"/>
  <c r="AY697" i="1"/>
  <c r="AW697" i="1"/>
  <c r="AV697" i="1"/>
  <c r="AU697" i="1"/>
  <c r="AS697" i="1"/>
  <c r="AR697" i="1"/>
  <c r="AQ697" i="1"/>
  <c r="AP697" i="1"/>
  <c r="AO697" i="1"/>
  <c r="AN697" i="1"/>
  <c r="AM697" i="1"/>
  <c r="AL697" i="1"/>
  <c r="AK697" i="1"/>
  <c r="AI697" i="1"/>
  <c r="AH697" i="1"/>
  <c r="AG697" i="1"/>
  <c r="AF697" i="1"/>
  <c r="AE697" i="1"/>
  <c r="O698" i="1" s="1"/>
  <c r="AD697" i="1"/>
  <c r="O697" i="1"/>
  <c r="BJ697" i="1" s="1"/>
  <c r="G697" i="1"/>
  <c r="F697" i="1"/>
  <c r="B697" i="1"/>
  <c r="BC699" i="1" s="1"/>
  <c r="DE696" i="1"/>
  <c r="DD696" i="1"/>
  <c r="DC696" i="1"/>
  <c r="DB696" i="1"/>
  <c r="DA696" i="1"/>
  <c r="CZ696" i="1"/>
  <c r="CY696" i="1"/>
  <c r="CX696" i="1"/>
  <c r="CW696" i="1"/>
  <c r="CV696" i="1"/>
  <c r="CU696" i="1"/>
  <c r="CT696" i="1"/>
  <c r="CS696" i="1"/>
  <c r="CR696" i="1"/>
  <c r="CQ696" i="1"/>
  <c r="CP696" i="1"/>
  <c r="CO696" i="1"/>
  <c r="CN696" i="1"/>
  <c r="CM696" i="1"/>
  <c r="CL696" i="1"/>
  <c r="CK696" i="1"/>
  <c r="CJ696" i="1"/>
  <c r="CI696" i="1"/>
  <c r="CH696" i="1"/>
  <c r="CG696" i="1"/>
  <c r="CF696" i="1"/>
  <c r="BR696" i="1"/>
  <c r="BQ696" i="1"/>
  <c r="BP696" i="1"/>
  <c r="BO696" i="1"/>
  <c r="BN696" i="1"/>
  <c r="BM696" i="1"/>
  <c r="BL696" i="1"/>
  <c r="BK696" i="1"/>
  <c r="BJ696" i="1"/>
  <c r="BI696" i="1"/>
  <c r="BH696" i="1"/>
  <c r="BG696" i="1"/>
  <c r="BF696" i="1"/>
  <c r="BB696" i="1"/>
  <c r="BA696" i="1"/>
  <c r="AW696" i="1"/>
  <c r="AV696" i="1"/>
  <c r="AR696" i="1"/>
  <c r="AQ696" i="1"/>
  <c r="AP696" i="1"/>
  <c r="AO696" i="1"/>
  <c r="AN696" i="1"/>
  <c r="AM696" i="1"/>
  <c r="AL696" i="1"/>
  <c r="AK696" i="1"/>
  <c r="AJ696" i="1"/>
  <c r="AI696" i="1"/>
  <c r="AH696" i="1"/>
  <c r="AG696" i="1"/>
  <c r="AF696" i="1"/>
  <c r="AE696" i="1"/>
  <c r="R696" i="1"/>
  <c r="Q696" i="1"/>
  <c r="DE695" i="1"/>
  <c r="DD695" i="1"/>
  <c r="DC695" i="1"/>
  <c r="DB695" i="1"/>
  <c r="DA695" i="1"/>
  <c r="CZ695" i="1"/>
  <c r="CY695" i="1"/>
  <c r="CX695" i="1"/>
  <c r="CW695" i="1"/>
  <c r="CV695" i="1"/>
  <c r="CU695" i="1"/>
  <c r="CT695" i="1"/>
  <c r="CS695" i="1"/>
  <c r="CR695" i="1"/>
  <c r="CQ695" i="1"/>
  <c r="CP695" i="1"/>
  <c r="CO695" i="1"/>
  <c r="CN695" i="1"/>
  <c r="CM695" i="1"/>
  <c r="CL695" i="1"/>
  <c r="CK695" i="1"/>
  <c r="CJ695" i="1"/>
  <c r="CI695" i="1"/>
  <c r="CH695" i="1"/>
  <c r="CG695" i="1"/>
  <c r="CF695" i="1"/>
  <c r="BR695" i="1"/>
  <c r="BQ695" i="1"/>
  <c r="BP695" i="1"/>
  <c r="BO695" i="1"/>
  <c r="BN695" i="1"/>
  <c r="BL695" i="1"/>
  <c r="BK695" i="1"/>
  <c r="BJ695" i="1"/>
  <c r="BI695" i="1"/>
  <c r="BH695" i="1"/>
  <c r="BG695" i="1"/>
  <c r="BF695" i="1"/>
  <c r="BE695" i="1"/>
  <c r="BD695" i="1"/>
  <c r="AZ695" i="1"/>
  <c r="AY695" i="1"/>
  <c r="AU695" i="1"/>
  <c r="AS695" i="1"/>
  <c r="AR695" i="1"/>
  <c r="AQ695" i="1"/>
  <c r="AP695" i="1"/>
  <c r="AO695" i="1"/>
  <c r="AN695" i="1"/>
  <c r="AL695" i="1"/>
  <c r="AK695" i="1"/>
  <c r="AJ695" i="1"/>
  <c r="AI695" i="1"/>
  <c r="AH695" i="1"/>
  <c r="AG695" i="1"/>
  <c r="AF695" i="1"/>
  <c r="AE695" i="1"/>
  <c r="J695" i="1"/>
  <c r="DE694" i="1"/>
  <c r="DD694" i="1"/>
  <c r="DC694" i="1"/>
  <c r="DB694" i="1"/>
  <c r="DA694" i="1"/>
  <c r="CZ694" i="1"/>
  <c r="CY694" i="1"/>
  <c r="CX694" i="1"/>
  <c r="CW694" i="1"/>
  <c r="CV694" i="1"/>
  <c r="CU694" i="1"/>
  <c r="CT694" i="1"/>
  <c r="CS694" i="1"/>
  <c r="CR694" i="1"/>
  <c r="CQ694" i="1"/>
  <c r="CP694" i="1"/>
  <c r="CO694" i="1"/>
  <c r="CN694" i="1"/>
  <c r="CM694" i="1"/>
  <c r="CL694" i="1"/>
  <c r="CK694" i="1"/>
  <c r="CJ694" i="1"/>
  <c r="CI694" i="1"/>
  <c r="CH694" i="1"/>
  <c r="CG694" i="1"/>
  <c r="CF694" i="1"/>
  <c r="CD694" i="1"/>
  <c r="CC694" i="1"/>
  <c r="BY694" i="1"/>
  <c r="BW694" i="1"/>
  <c r="BS694" i="1"/>
  <c r="BR694" i="1"/>
  <c r="BQ694" i="1"/>
  <c r="BP694" i="1"/>
  <c r="BO694" i="1"/>
  <c r="BN694" i="1"/>
  <c r="BM694" i="1"/>
  <c r="BL694" i="1"/>
  <c r="BK694" i="1"/>
  <c r="BI694" i="1"/>
  <c r="BH694" i="1"/>
  <c r="BG694" i="1"/>
  <c r="BF694" i="1"/>
  <c r="BB694" i="1"/>
  <c r="BA694" i="1"/>
  <c r="AW694" i="1"/>
  <c r="AU694" i="1"/>
  <c r="AR694" i="1"/>
  <c r="AQ694" i="1"/>
  <c r="AP694" i="1"/>
  <c r="AO694" i="1"/>
  <c r="AN694" i="1"/>
  <c r="AM694" i="1"/>
  <c r="AL694" i="1"/>
  <c r="AK694" i="1"/>
  <c r="AI694" i="1"/>
  <c r="AH694" i="1"/>
  <c r="AG694" i="1"/>
  <c r="AF694" i="1"/>
  <c r="AE694" i="1"/>
  <c r="O696" i="1" s="1"/>
  <c r="P696" i="1" s="1"/>
  <c r="AD694" i="1"/>
  <c r="O694" i="1"/>
  <c r="BJ694" i="1" s="1"/>
  <c r="F694" i="1"/>
  <c r="B694" i="1"/>
  <c r="DE693" i="1"/>
  <c r="DD693" i="1"/>
  <c r="DC693" i="1"/>
  <c r="DB693" i="1"/>
  <c r="DA693" i="1"/>
  <c r="CZ693" i="1"/>
  <c r="CY693" i="1"/>
  <c r="CX693" i="1"/>
  <c r="CW693" i="1"/>
  <c r="CV693" i="1"/>
  <c r="CU693" i="1"/>
  <c r="CT693" i="1"/>
  <c r="CS693" i="1"/>
  <c r="CR693" i="1"/>
  <c r="CQ693" i="1"/>
  <c r="CP693" i="1"/>
  <c r="CO693" i="1"/>
  <c r="CN693" i="1"/>
  <c r="CM693" i="1"/>
  <c r="CL693" i="1"/>
  <c r="CK693" i="1"/>
  <c r="CJ693" i="1"/>
  <c r="CI693" i="1"/>
  <c r="CH693" i="1"/>
  <c r="CG693" i="1"/>
  <c r="CF693" i="1"/>
  <c r="BR693" i="1"/>
  <c r="BQ693" i="1"/>
  <c r="BP693" i="1"/>
  <c r="BO693" i="1"/>
  <c r="BN693" i="1"/>
  <c r="BM693" i="1"/>
  <c r="BL693" i="1"/>
  <c r="BK693" i="1"/>
  <c r="BJ693" i="1"/>
  <c r="BI693" i="1"/>
  <c r="BH693" i="1"/>
  <c r="BG693" i="1"/>
  <c r="BF693" i="1"/>
  <c r="BE693" i="1"/>
  <c r="BC693" i="1"/>
  <c r="BB693" i="1"/>
  <c r="BA693" i="1"/>
  <c r="AY693" i="1"/>
  <c r="AX693" i="1"/>
  <c r="AW693" i="1"/>
  <c r="AU693" i="1"/>
  <c r="AT693" i="1"/>
  <c r="AS693" i="1"/>
  <c r="AR693" i="1"/>
  <c r="AQ693" i="1"/>
  <c r="AP693" i="1"/>
  <c r="AO693" i="1"/>
  <c r="AN693" i="1"/>
  <c r="AM693" i="1"/>
  <c r="AL693" i="1"/>
  <c r="AK693" i="1"/>
  <c r="AJ693" i="1"/>
  <c r="AI693" i="1"/>
  <c r="AH693" i="1"/>
  <c r="AG693" i="1"/>
  <c r="AF693" i="1"/>
  <c r="AE693" i="1"/>
  <c r="AD693" i="1"/>
  <c r="R693" i="1"/>
  <c r="Q693" i="1"/>
  <c r="O693" i="1"/>
  <c r="P693" i="1" s="1"/>
  <c r="DE692" i="1"/>
  <c r="DD692" i="1"/>
  <c r="DC692" i="1"/>
  <c r="DB692" i="1"/>
  <c r="DA692" i="1"/>
  <c r="CZ692" i="1"/>
  <c r="CY692" i="1"/>
  <c r="CX692" i="1"/>
  <c r="CW692" i="1"/>
  <c r="CV692" i="1"/>
  <c r="CU692" i="1"/>
  <c r="CT692" i="1"/>
  <c r="CS692" i="1"/>
  <c r="CR692" i="1"/>
  <c r="CQ692" i="1"/>
  <c r="CP692" i="1"/>
  <c r="CO692" i="1"/>
  <c r="CN692" i="1"/>
  <c r="CM692" i="1"/>
  <c r="CL692" i="1"/>
  <c r="CK692" i="1"/>
  <c r="CJ692" i="1"/>
  <c r="CI692" i="1"/>
  <c r="CH692" i="1"/>
  <c r="CG692" i="1"/>
  <c r="CF692" i="1"/>
  <c r="BR692" i="1"/>
  <c r="BQ692" i="1"/>
  <c r="BP692" i="1"/>
  <c r="BO692" i="1"/>
  <c r="BN692" i="1"/>
  <c r="BM692" i="1"/>
  <c r="BL692" i="1"/>
  <c r="BK692" i="1"/>
  <c r="BJ692" i="1"/>
  <c r="BI692" i="1"/>
  <c r="BH692" i="1"/>
  <c r="BG692" i="1"/>
  <c r="BF692" i="1"/>
  <c r="BE692" i="1"/>
  <c r="BC692" i="1"/>
  <c r="BB692" i="1"/>
  <c r="BA692" i="1"/>
  <c r="AY692" i="1"/>
  <c r="AX692" i="1"/>
  <c r="AW692" i="1"/>
  <c r="AU692" i="1"/>
  <c r="AT692" i="1"/>
  <c r="AS692" i="1"/>
  <c r="AR692" i="1"/>
  <c r="AP692" i="1"/>
  <c r="AO692" i="1"/>
  <c r="AN692" i="1"/>
  <c r="AM692" i="1"/>
  <c r="AL692" i="1"/>
  <c r="AK692" i="1"/>
  <c r="AJ692" i="1"/>
  <c r="AI692" i="1"/>
  <c r="AH692" i="1"/>
  <c r="AG692" i="1"/>
  <c r="AF692" i="1"/>
  <c r="AE692" i="1"/>
  <c r="O691" i="1" s="1"/>
  <c r="BG691" i="1" s="1"/>
  <c r="AD692" i="1"/>
  <c r="O692" i="1"/>
  <c r="P692" i="1" s="1"/>
  <c r="AQ692" i="1" s="1"/>
  <c r="J692" i="1"/>
  <c r="DE691" i="1"/>
  <c r="DD691" i="1"/>
  <c r="DC691" i="1"/>
  <c r="DB691" i="1"/>
  <c r="DA691" i="1"/>
  <c r="CZ691" i="1"/>
  <c r="CY691" i="1"/>
  <c r="CX691" i="1"/>
  <c r="CW691" i="1"/>
  <c r="CV691" i="1"/>
  <c r="CU691" i="1"/>
  <c r="CT691" i="1"/>
  <c r="CS691" i="1"/>
  <c r="CR691" i="1"/>
  <c r="CQ691" i="1"/>
  <c r="CP691" i="1"/>
  <c r="CO691" i="1"/>
  <c r="CN691" i="1"/>
  <c r="CM691" i="1"/>
  <c r="CL691" i="1"/>
  <c r="CK691" i="1"/>
  <c r="CJ691" i="1"/>
  <c r="CI691" i="1"/>
  <c r="CH691" i="1"/>
  <c r="CG691" i="1"/>
  <c r="CF691" i="1"/>
  <c r="CC691" i="1"/>
  <c r="CB691" i="1"/>
  <c r="BZ691" i="1"/>
  <c r="BY691" i="1"/>
  <c r="BX691" i="1"/>
  <c r="BV691" i="1"/>
  <c r="BU691" i="1"/>
  <c r="BT691" i="1"/>
  <c r="BR691" i="1"/>
  <c r="BQ691" i="1"/>
  <c r="BP691" i="1"/>
  <c r="BO691" i="1"/>
  <c r="BN691" i="1"/>
  <c r="BM691" i="1"/>
  <c r="BL691" i="1"/>
  <c r="BK691" i="1"/>
  <c r="BJ691" i="1"/>
  <c r="BI691" i="1"/>
  <c r="BH691" i="1"/>
  <c r="BF691" i="1"/>
  <c r="BE691" i="1"/>
  <c r="BD691" i="1"/>
  <c r="BB691" i="1"/>
  <c r="BA691" i="1"/>
  <c r="AZ691" i="1"/>
  <c r="AX691" i="1"/>
  <c r="AW691" i="1"/>
  <c r="AV691" i="1"/>
  <c r="AT691" i="1"/>
  <c r="AS691" i="1"/>
  <c r="AR691" i="1"/>
  <c r="AQ691" i="1"/>
  <c r="AP691" i="1"/>
  <c r="AO691" i="1"/>
  <c r="AN691" i="1"/>
  <c r="AM691" i="1"/>
  <c r="AL691" i="1"/>
  <c r="AK691" i="1"/>
  <c r="AJ691" i="1"/>
  <c r="AI691" i="1"/>
  <c r="AH691" i="1"/>
  <c r="AG691" i="1"/>
  <c r="AF691" i="1"/>
  <c r="AE691" i="1"/>
  <c r="AD691" i="1"/>
  <c r="P691" i="1"/>
  <c r="F691" i="1"/>
  <c r="B691" i="1"/>
  <c r="BD693" i="1" s="1"/>
  <c r="DE690" i="1"/>
  <c r="DD690" i="1"/>
  <c r="DC690" i="1"/>
  <c r="DB690" i="1"/>
  <c r="DA690" i="1"/>
  <c r="CZ690" i="1"/>
  <c r="CY690" i="1"/>
  <c r="CX690" i="1"/>
  <c r="CW690" i="1"/>
  <c r="CV690" i="1"/>
  <c r="CU690" i="1"/>
  <c r="CT690" i="1"/>
  <c r="CS690" i="1"/>
  <c r="CR690" i="1"/>
  <c r="CQ690" i="1"/>
  <c r="CP690" i="1"/>
  <c r="CO690" i="1"/>
  <c r="CN690" i="1"/>
  <c r="CM690" i="1"/>
  <c r="CL690" i="1"/>
  <c r="CK690" i="1"/>
  <c r="CJ690" i="1"/>
  <c r="CI690" i="1"/>
  <c r="CH690" i="1"/>
  <c r="CG690" i="1"/>
  <c r="CF690" i="1"/>
  <c r="BR690" i="1"/>
  <c r="BQ690" i="1"/>
  <c r="BP690" i="1"/>
  <c r="BO690" i="1"/>
  <c r="BN690" i="1"/>
  <c r="BM690" i="1"/>
  <c r="BL690" i="1"/>
  <c r="BK690" i="1"/>
  <c r="BJ690" i="1"/>
  <c r="BI690" i="1"/>
  <c r="BH690" i="1"/>
  <c r="BG690" i="1"/>
  <c r="BF690" i="1"/>
  <c r="AR690" i="1"/>
  <c r="AQ690" i="1"/>
  <c r="AP690" i="1"/>
  <c r="AO690" i="1"/>
  <c r="AN690" i="1"/>
  <c r="AM690" i="1"/>
  <c r="AL690" i="1"/>
  <c r="AK690" i="1"/>
  <c r="AJ690" i="1"/>
  <c r="AI690" i="1"/>
  <c r="AH690" i="1"/>
  <c r="AG690" i="1"/>
  <c r="AF690" i="1"/>
  <c r="AE690" i="1"/>
  <c r="R690" i="1"/>
  <c r="Q690" i="1"/>
  <c r="DE689" i="1"/>
  <c r="DD689" i="1"/>
  <c r="DC689" i="1"/>
  <c r="DB689" i="1"/>
  <c r="DA689" i="1"/>
  <c r="CZ689" i="1"/>
  <c r="CY689" i="1"/>
  <c r="CX689" i="1"/>
  <c r="CW689" i="1"/>
  <c r="CV689" i="1"/>
  <c r="CU689" i="1"/>
  <c r="CT689" i="1"/>
  <c r="CS689" i="1"/>
  <c r="CR689" i="1"/>
  <c r="CQ689" i="1"/>
  <c r="CP689" i="1"/>
  <c r="CO689" i="1"/>
  <c r="CN689" i="1"/>
  <c r="CM689" i="1"/>
  <c r="CL689" i="1"/>
  <c r="CK689" i="1"/>
  <c r="CJ689" i="1"/>
  <c r="CI689" i="1"/>
  <c r="CH689" i="1"/>
  <c r="CG689" i="1"/>
  <c r="CF689" i="1"/>
  <c r="BR689" i="1"/>
  <c r="BP689" i="1"/>
  <c r="BO689" i="1"/>
  <c r="BN689" i="1"/>
  <c r="BM689" i="1"/>
  <c r="BL689" i="1"/>
  <c r="BK689" i="1"/>
  <c r="BJ689" i="1"/>
  <c r="BI689" i="1"/>
  <c r="BH689" i="1"/>
  <c r="BG689" i="1"/>
  <c r="BF689" i="1"/>
  <c r="BC689" i="1"/>
  <c r="AW689" i="1"/>
  <c r="AR689" i="1"/>
  <c r="AP689" i="1"/>
  <c r="AO689" i="1"/>
  <c r="AN689" i="1"/>
  <c r="AM689" i="1"/>
  <c r="AL689" i="1"/>
  <c r="AK689" i="1"/>
  <c r="AJ689" i="1"/>
  <c r="AI689" i="1"/>
  <c r="AH689" i="1"/>
  <c r="AG689" i="1"/>
  <c r="AF689" i="1"/>
  <c r="AE689" i="1"/>
  <c r="O688" i="1" s="1"/>
  <c r="O689" i="1"/>
  <c r="BQ689" i="1" s="1"/>
  <c r="J689" i="1"/>
  <c r="DE688" i="1"/>
  <c r="DD688" i="1"/>
  <c r="DC688" i="1"/>
  <c r="DB688" i="1"/>
  <c r="DA688" i="1"/>
  <c r="CZ688" i="1"/>
  <c r="CY688" i="1"/>
  <c r="CX688" i="1"/>
  <c r="CW688" i="1"/>
  <c r="CV688" i="1"/>
  <c r="CU688" i="1"/>
  <c r="CT688" i="1"/>
  <c r="CS688" i="1"/>
  <c r="CR688" i="1"/>
  <c r="CQ688" i="1"/>
  <c r="CP688" i="1"/>
  <c r="CO688" i="1"/>
  <c r="CN688" i="1"/>
  <c r="CM688" i="1"/>
  <c r="CL688" i="1"/>
  <c r="CK688" i="1"/>
  <c r="CJ688" i="1"/>
  <c r="CI688" i="1"/>
  <c r="CH688" i="1"/>
  <c r="CG688" i="1"/>
  <c r="CF688" i="1"/>
  <c r="CA688" i="1"/>
  <c r="BV688" i="1"/>
  <c r="BR688" i="1"/>
  <c r="BQ688" i="1"/>
  <c r="BP688" i="1"/>
  <c r="BO688" i="1"/>
  <c r="BN688" i="1"/>
  <c r="BM688" i="1"/>
  <c r="BL688" i="1"/>
  <c r="BK688" i="1"/>
  <c r="BI688" i="1"/>
  <c r="BH688" i="1"/>
  <c r="BG688" i="1"/>
  <c r="BF688" i="1"/>
  <c r="BE688" i="1"/>
  <c r="AY688" i="1"/>
  <c r="AT688" i="1"/>
  <c r="AR688" i="1"/>
  <c r="AQ688" i="1"/>
  <c r="AP688" i="1"/>
  <c r="AO688" i="1"/>
  <c r="AN688" i="1"/>
  <c r="AM688" i="1"/>
  <c r="AL688" i="1"/>
  <c r="AK688" i="1"/>
  <c r="AI688" i="1"/>
  <c r="AH688" i="1"/>
  <c r="AG688" i="1"/>
  <c r="AF688" i="1"/>
  <c r="AE688" i="1"/>
  <c r="AD688" i="1"/>
  <c r="F688" i="1"/>
  <c r="B688" i="1"/>
  <c r="DE687" i="1"/>
  <c r="DD687" i="1"/>
  <c r="DC687" i="1"/>
  <c r="DB687" i="1"/>
  <c r="DA687" i="1"/>
  <c r="CZ687" i="1"/>
  <c r="CY687" i="1"/>
  <c r="CX687" i="1"/>
  <c r="CW687" i="1"/>
  <c r="CV687" i="1"/>
  <c r="CU687" i="1"/>
  <c r="CT687" i="1"/>
  <c r="CS687" i="1"/>
  <c r="CR687" i="1"/>
  <c r="CQ687" i="1"/>
  <c r="CP687" i="1"/>
  <c r="CO687" i="1"/>
  <c r="CN687" i="1"/>
  <c r="CM687" i="1"/>
  <c r="CL687" i="1"/>
  <c r="CK687" i="1"/>
  <c r="CJ687" i="1"/>
  <c r="CI687" i="1"/>
  <c r="CH687" i="1"/>
  <c r="CG687" i="1"/>
  <c r="CF687" i="1"/>
  <c r="BR687" i="1"/>
  <c r="BQ687" i="1"/>
  <c r="BP687" i="1"/>
  <c r="BO687" i="1"/>
  <c r="BN687" i="1"/>
  <c r="BM687" i="1"/>
  <c r="BL687" i="1"/>
  <c r="BK687" i="1"/>
  <c r="BJ687" i="1"/>
  <c r="BI687" i="1"/>
  <c r="BH687" i="1"/>
  <c r="BG687" i="1"/>
  <c r="BF687" i="1"/>
  <c r="AR687" i="1"/>
  <c r="AQ687" i="1"/>
  <c r="AP687" i="1"/>
  <c r="AO687" i="1"/>
  <c r="AN687" i="1"/>
  <c r="AM687" i="1"/>
  <c r="AL687" i="1"/>
  <c r="AK687" i="1"/>
  <c r="AJ687" i="1"/>
  <c r="AI687" i="1"/>
  <c r="AH687" i="1"/>
  <c r="AG687" i="1"/>
  <c r="AF687" i="1"/>
  <c r="AE687" i="1"/>
  <c r="AD687" i="1"/>
  <c r="R687" i="1"/>
  <c r="Q687" i="1"/>
  <c r="DE686" i="1"/>
  <c r="DD686" i="1"/>
  <c r="DC686" i="1"/>
  <c r="DB686" i="1"/>
  <c r="DA686" i="1"/>
  <c r="CZ686" i="1"/>
  <c r="CY686" i="1"/>
  <c r="CX686" i="1"/>
  <c r="CW686" i="1"/>
  <c r="CV686" i="1"/>
  <c r="CU686" i="1"/>
  <c r="CT686" i="1"/>
  <c r="CS686" i="1"/>
  <c r="CR686" i="1"/>
  <c r="CQ686" i="1"/>
  <c r="CP686" i="1"/>
  <c r="CO686" i="1"/>
  <c r="CN686" i="1"/>
  <c r="CM686" i="1"/>
  <c r="CL686" i="1"/>
  <c r="CK686" i="1"/>
  <c r="CJ686" i="1"/>
  <c r="CI686" i="1"/>
  <c r="CH686" i="1"/>
  <c r="CG686" i="1"/>
  <c r="CF686" i="1"/>
  <c r="BR686" i="1"/>
  <c r="BQ686" i="1"/>
  <c r="BP686" i="1"/>
  <c r="BO686" i="1"/>
  <c r="BN686" i="1"/>
  <c r="BL686" i="1"/>
  <c r="BK686" i="1"/>
  <c r="BJ686" i="1"/>
  <c r="BI686" i="1"/>
  <c r="BH686" i="1"/>
  <c r="BG686" i="1"/>
  <c r="BF686" i="1"/>
  <c r="AW686" i="1"/>
  <c r="AR686" i="1"/>
  <c r="AQ686" i="1"/>
  <c r="AP686" i="1"/>
  <c r="AO686" i="1"/>
  <c r="AN686" i="1"/>
  <c r="AL686" i="1"/>
  <c r="AK686" i="1"/>
  <c r="AJ686" i="1"/>
  <c r="AI686" i="1"/>
  <c r="AH686" i="1"/>
  <c r="AG686" i="1"/>
  <c r="AF686" i="1"/>
  <c r="AE686" i="1"/>
  <c r="O685" i="1" s="1"/>
  <c r="BG685" i="1" s="1"/>
  <c r="AD686" i="1"/>
  <c r="P686" i="1"/>
  <c r="AM686" i="1" s="1"/>
  <c r="O686" i="1"/>
  <c r="BM686" i="1" s="1"/>
  <c r="J686" i="1"/>
  <c r="DE685" i="1"/>
  <c r="DD685" i="1"/>
  <c r="DC685" i="1"/>
  <c r="DB685" i="1"/>
  <c r="DA685" i="1"/>
  <c r="CZ685" i="1"/>
  <c r="CY685" i="1"/>
  <c r="CX685" i="1"/>
  <c r="CW685" i="1"/>
  <c r="CV685" i="1"/>
  <c r="CU685" i="1"/>
  <c r="CT685" i="1"/>
  <c r="CS685" i="1"/>
  <c r="CR685" i="1"/>
  <c r="CQ685" i="1"/>
  <c r="CP685" i="1"/>
  <c r="CO685" i="1"/>
  <c r="CN685" i="1"/>
  <c r="CM685" i="1"/>
  <c r="CL685" i="1"/>
  <c r="CK685" i="1"/>
  <c r="CJ685" i="1"/>
  <c r="CI685" i="1"/>
  <c r="CH685" i="1"/>
  <c r="CG685" i="1"/>
  <c r="CF685" i="1"/>
  <c r="BU685" i="1"/>
  <c r="BR685" i="1"/>
  <c r="BQ685" i="1"/>
  <c r="BP685" i="1"/>
  <c r="BO685" i="1"/>
  <c r="BN685" i="1"/>
  <c r="BM685" i="1"/>
  <c r="BL685" i="1"/>
  <c r="BK685" i="1"/>
  <c r="BJ685" i="1"/>
  <c r="BI685" i="1"/>
  <c r="BH685" i="1"/>
  <c r="BF685" i="1"/>
  <c r="BB685" i="1"/>
  <c r="AW685" i="1"/>
  <c r="AR685" i="1"/>
  <c r="AQ685" i="1"/>
  <c r="AP685" i="1"/>
  <c r="AO685" i="1"/>
  <c r="AN685" i="1"/>
  <c r="AM685" i="1"/>
  <c r="AL685" i="1"/>
  <c r="AK685" i="1"/>
  <c r="AJ685" i="1"/>
  <c r="AI685" i="1"/>
  <c r="AH685" i="1"/>
  <c r="AF685" i="1"/>
  <c r="AE685" i="1"/>
  <c r="AD685" i="1"/>
  <c r="P685" i="1"/>
  <c r="G685" i="1"/>
  <c r="F685" i="1" s="1"/>
  <c r="B685" i="1"/>
  <c r="DJ684" i="1"/>
  <c r="DE684" i="1"/>
  <c r="DD684" i="1"/>
  <c r="DC684" i="1"/>
  <c r="DB684" i="1"/>
  <c r="DA684" i="1"/>
  <c r="CZ684" i="1"/>
  <c r="CY684" i="1"/>
  <c r="CX684" i="1"/>
  <c r="CW684" i="1"/>
  <c r="CV684" i="1"/>
  <c r="CU684" i="1"/>
  <c r="CT684" i="1"/>
  <c r="CS684" i="1"/>
  <c r="CR684" i="1"/>
  <c r="CQ684" i="1"/>
  <c r="CP684" i="1"/>
  <c r="CO684" i="1"/>
  <c r="CN684" i="1"/>
  <c r="CM684" i="1"/>
  <c r="CL684" i="1"/>
  <c r="CK684" i="1"/>
  <c r="CJ684" i="1"/>
  <c r="CI684" i="1"/>
  <c r="CH684" i="1"/>
  <c r="CG684" i="1"/>
  <c r="CF684" i="1"/>
  <c r="BR684" i="1"/>
  <c r="BQ684" i="1"/>
  <c r="BP684" i="1"/>
  <c r="BO684" i="1"/>
  <c r="BN684" i="1"/>
  <c r="BM684" i="1"/>
  <c r="BL684" i="1"/>
  <c r="BK684" i="1"/>
  <c r="BJ684" i="1"/>
  <c r="BI684" i="1"/>
  <c r="BH684" i="1"/>
  <c r="BG684" i="1"/>
  <c r="BF684" i="1"/>
  <c r="BB684" i="1"/>
  <c r="AW684" i="1"/>
  <c r="AR684" i="1"/>
  <c r="AQ684" i="1"/>
  <c r="AP684" i="1"/>
  <c r="AO684" i="1"/>
  <c r="AN684" i="1"/>
  <c r="AM684" i="1"/>
  <c r="AL684" i="1"/>
  <c r="AK684" i="1"/>
  <c r="AJ684" i="1"/>
  <c r="AI684" i="1"/>
  <c r="AH684" i="1"/>
  <c r="AG684" i="1"/>
  <c r="AF684" i="1"/>
  <c r="AE684" i="1"/>
  <c r="R684" i="1"/>
  <c r="Q684" i="1"/>
  <c r="O684" i="1"/>
  <c r="P684" i="1" s="1"/>
  <c r="DJ683" i="1"/>
  <c r="DE683" i="1"/>
  <c r="DD683" i="1"/>
  <c r="DC683" i="1"/>
  <c r="DB683" i="1"/>
  <c r="DA683" i="1"/>
  <c r="CZ683" i="1"/>
  <c r="CY683" i="1"/>
  <c r="CX683" i="1"/>
  <c r="CW683" i="1"/>
  <c r="CV683" i="1"/>
  <c r="CU683" i="1"/>
  <c r="CT683" i="1"/>
  <c r="CS683" i="1"/>
  <c r="CR683" i="1"/>
  <c r="CQ683" i="1"/>
  <c r="CP683" i="1"/>
  <c r="CO683" i="1"/>
  <c r="CN683" i="1"/>
  <c r="CM683" i="1"/>
  <c r="CL683" i="1"/>
  <c r="CK683" i="1"/>
  <c r="CJ683" i="1"/>
  <c r="CI683" i="1"/>
  <c r="CH683" i="1"/>
  <c r="CG683" i="1"/>
  <c r="CF683" i="1"/>
  <c r="BR683" i="1"/>
  <c r="BQ683" i="1"/>
  <c r="BP683" i="1"/>
  <c r="BO683" i="1"/>
  <c r="BN683" i="1"/>
  <c r="BM683" i="1"/>
  <c r="BL683" i="1"/>
  <c r="BK683" i="1"/>
  <c r="BI683" i="1"/>
  <c r="BH683" i="1"/>
  <c r="BG683" i="1"/>
  <c r="BF683" i="1"/>
  <c r="BE683" i="1"/>
  <c r="AZ683" i="1"/>
  <c r="AT683" i="1"/>
  <c r="AR683" i="1"/>
  <c r="AQ683" i="1"/>
  <c r="AP683" i="1"/>
  <c r="AO683" i="1"/>
  <c r="AN683" i="1"/>
  <c r="AM683" i="1"/>
  <c r="AL683" i="1"/>
  <c r="AK683" i="1"/>
  <c r="AI683" i="1"/>
  <c r="AH683" i="1"/>
  <c r="AG683" i="1"/>
  <c r="AF683" i="1"/>
  <c r="AE683" i="1"/>
  <c r="P683" i="1"/>
  <c r="AJ683" i="1" s="1"/>
  <c r="J683" i="1"/>
  <c r="DK682" i="1"/>
  <c r="DJ682" i="1"/>
  <c r="DE682" i="1"/>
  <c r="DD682" i="1"/>
  <c r="DC682" i="1"/>
  <c r="DB682" i="1"/>
  <c r="DA682" i="1"/>
  <c r="CZ682" i="1"/>
  <c r="CY682" i="1"/>
  <c r="CX682" i="1"/>
  <c r="CW682" i="1"/>
  <c r="CV682" i="1"/>
  <c r="CU682" i="1"/>
  <c r="CT682" i="1"/>
  <c r="CS682" i="1"/>
  <c r="CR682" i="1"/>
  <c r="CQ682" i="1"/>
  <c r="CP682" i="1"/>
  <c r="CO682" i="1"/>
  <c r="CN682" i="1"/>
  <c r="CM682" i="1"/>
  <c r="CL682" i="1"/>
  <c r="CK682" i="1"/>
  <c r="CJ682" i="1"/>
  <c r="CI682" i="1"/>
  <c r="CH682" i="1"/>
  <c r="CG682" i="1"/>
  <c r="CF682" i="1"/>
  <c r="CD682" i="1"/>
  <c r="BX682" i="1"/>
  <c r="BS682" i="1"/>
  <c r="BR682" i="1"/>
  <c r="BP682" i="1"/>
  <c r="BO682" i="1"/>
  <c r="BN682" i="1"/>
  <c r="BM682" i="1"/>
  <c r="BL682" i="1"/>
  <c r="BK682" i="1"/>
  <c r="BJ682" i="1"/>
  <c r="BI682" i="1"/>
  <c r="BH682" i="1"/>
  <c r="BG682" i="1"/>
  <c r="BF682" i="1"/>
  <c r="AZ682" i="1"/>
  <c r="AU682" i="1"/>
  <c r="AR682" i="1"/>
  <c r="AP682" i="1"/>
  <c r="AO682" i="1"/>
  <c r="AN682" i="1"/>
  <c r="AM682" i="1"/>
  <c r="AL682" i="1"/>
  <c r="AK682" i="1"/>
  <c r="AJ682" i="1"/>
  <c r="AI682" i="1"/>
  <c r="AH682" i="1"/>
  <c r="AG682" i="1"/>
  <c r="AF682" i="1"/>
  <c r="AE682" i="1"/>
  <c r="O683" i="1" s="1"/>
  <c r="BJ683" i="1" s="1"/>
  <c r="AD682" i="1"/>
  <c r="S682" i="1"/>
  <c r="T682" i="1" s="1"/>
  <c r="P682" i="1"/>
  <c r="O682" i="1"/>
  <c r="BQ682" i="1" s="1"/>
  <c r="F682" i="1"/>
  <c r="B682" i="1"/>
  <c r="DE681" i="1"/>
  <c r="DD681" i="1"/>
  <c r="DC681" i="1"/>
  <c r="DB681" i="1"/>
  <c r="DA681" i="1"/>
  <c r="CZ681" i="1"/>
  <c r="CY681" i="1"/>
  <c r="CX681" i="1"/>
  <c r="CW681" i="1"/>
  <c r="CV681" i="1"/>
  <c r="CU681" i="1"/>
  <c r="CT681" i="1"/>
  <c r="CS681" i="1"/>
  <c r="CR681" i="1"/>
  <c r="CQ681" i="1"/>
  <c r="CP681" i="1"/>
  <c r="CO681" i="1"/>
  <c r="CN681" i="1"/>
  <c r="CM681" i="1"/>
  <c r="CL681" i="1"/>
  <c r="CK681" i="1"/>
  <c r="CJ681" i="1"/>
  <c r="CI681" i="1"/>
  <c r="CH681" i="1"/>
  <c r="CG681" i="1"/>
  <c r="CF681" i="1"/>
  <c r="BR681" i="1"/>
  <c r="BQ681" i="1"/>
  <c r="BP681" i="1"/>
  <c r="BO681" i="1"/>
  <c r="BN681" i="1"/>
  <c r="BM681" i="1"/>
  <c r="BL681" i="1"/>
  <c r="BK681" i="1"/>
  <c r="BJ681" i="1"/>
  <c r="BI681" i="1"/>
  <c r="BH681" i="1"/>
  <c r="BG681" i="1"/>
  <c r="BF681" i="1"/>
  <c r="BB681" i="1"/>
  <c r="AW681" i="1"/>
  <c r="AR681" i="1"/>
  <c r="AQ681" i="1"/>
  <c r="AP681" i="1"/>
  <c r="AO681" i="1"/>
  <c r="AN681" i="1"/>
  <c r="AM681" i="1"/>
  <c r="AL681" i="1"/>
  <c r="AK681" i="1"/>
  <c r="AJ681" i="1"/>
  <c r="AI681" i="1"/>
  <c r="AH681" i="1"/>
  <c r="AG681" i="1"/>
  <c r="AF681" i="1"/>
  <c r="AE681" i="1"/>
  <c r="AD681" i="1"/>
  <c r="R681" i="1"/>
  <c r="Q681" i="1"/>
  <c r="DE680" i="1"/>
  <c r="DD680" i="1"/>
  <c r="DC680" i="1"/>
  <c r="DB680" i="1"/>
  <c r="DA680" i="1"/>
  <c r="CZ680" i="1"/>
  <c r="CY680" i="1"/>
  <c r="CX680" i="1"/>
  <c r="CW680" i="1"/>
  <c r="CV680" i="1"/>
  <c r="CU680" i="1"/>
  <c r="CT680" i="1"/>
  <c r="CS680" i="1"/>
  <c r="CR680" i="1"/>
  <c r="CQ680" i="1"/>
  <c r="CP680" i="1"/>
  <c r="CO680" i="1"/>
  <c r="CN680" i="1"/>
  <c r="CM680" i="1"/>
  <c r="CL680" i="1"/>
  <c r="CK680" i="1"/>
  <c r="CJ680" i="1"/>
  <c r="CI680" i="1"/>
  <c r="CH680" i="1"/>
  <c r="CG680" i="1"/>
  <c r="CF680" i="1"/>
  <c r="BR680" i="1"/>
  <c r="BQ680" i="1"/>
  <c r="BP680" i="1"/>
  <c r="BO680" i="1"/>
  <c r="BN680" i="1"/>
  <c r="BM680" i="1"/>
  <c r="BL680" i="1"/>
  <c r="BK680" i="1"/>
  <c r="BJ680" i="1"/>
  <c r="BI680" i="1"/>
  <c r="BG680" i="1"/>
  <c r="BF680" i="1"/>
  <c r="BE680" i="1"/>
  <c r="BA680" i="1"/>
  <c r="AY680" i="1"/>
  <c r="AU680" i="1"/>
  <c r="AT680" i="1"/>
  <c r="AR680" i="1"/>
  <c r="AQ680" i="1"/>
  <c r="AP680" i="1"/>
  <c r="AO680" i="1"/>
  <c r="AN680" i="1"/>
  <c r="AM680" i="1"/>
  <c r="AL680" i="1"/>
  <c r="AK680" i="1"/>
  <c r="AJ680" i="1"/>
  <c r="AI680" i="1"/>
  <c r="AG680" i="1"/>
  <c r="AF680" i="1"/>
  <c r="AE680" i="1"/>
  <c r="O679" i="1" s="1"/>
  <c r="P679" i="1" s="1"/>
  <c r="AD680" i="1"/>
  <c r="O680" i="1"/>
  <c r="BH680" i="1" s="1"/>
  <c r="J680" i="1"/>
  <c r="DE679" i="1"/>
  <c r="DD679" i="1"/>
  <c r="DC679" i="1"/>
  <c r="DB679" i="1"/>
  <c r="DA679" i="1"/>
  <c r="CZ679" i="1"/>
  <c r="CY679" i="1"/>
  <c r="CX679" i="1"/>
  <c r="CW679" i="1"/>
  <c r="CV679" i="1"/>
  <c r="CU679" i="1"/>
  <c r="CT679" i="1"/>
  <c r="CS679" i="1"/>
  <c r="CR679" i="1"/>
  <c r="CQ679" i="1"/>
  <c r="CP679" i="1"/>
  <c r="CO679" i="1"/>
  <c r="CN679" i="1"/>
  <c r="CM679" i="1"/>
  <c r="CL679" i="1"/>
  <c r="CK679" i="1"/>
  <c r="CJ679" i="1"/>
  <c r="CI679" i="1"/>
  <c r="CH679" i="1"/>
  <c r="CG679" i="1"/>
  <c r="CF679" i="1"/>
  <c r="CD679" i="1"/>
  <c r="CC679" i="1"/>
  <c r="BY679" i="1"/>
  <c r="BX679" i="1"/>
  <c r="BT679" i="1"/>
  <c r="BS679" i="1"/>
  <c r="BR679" i="1"/>
  <c r="BQ679" i="1"/>
  <c r="BP679" i="1"/>
  <c r="BO679" i="1"/>
  <c r="BN679" i="1"/>
  <c r="BM679" i="1"/>
  <c r="BL679" i="1"/>
  <c r="BK679" i="1"/>
  <c r="BJ679" i="1"/>
  <c r="BI679" i="1"/>
  <c r="BH679" i="1"/>
  <c r="BG679" i="1"/>
  <c r="BF679" i="1"/>
  <c r="BD679" i="1"/>
  <c r="BC679" i="1"/>
  <c r="AZ679" i="1"/>
  <c r="AY679" i="1"/>
  <c r="AV679" i="1"/>
  <c r="AU679" i="1"/>
  <c r="AR679" i="1"/>
  <c r="AQ679" i="1"/>
  <c r="AP679" i="1"/>
  <c r="AO679" i="1"/>
  <c r="AN679" i="1"/>
  <c r="AM679" i="1"/>
  <c r="AL679" i="1"/>
  <c r="AK679" i="1"/>
  <c r="AJ679" i="1"/>
  <c r="AI679" i="1"/>
  <c r="AH679" i="1"/>
  <c r="AG679" i="1"/>
  <c r="AF679" i="1"/>
  <c r="AE679" i="1"/>
  <c r="O681" i="1" s="1"/>
  <c r="AD679" i="1"/>
  <c r="G679" i="1"/>
  <c r="F679" i="1" s="1"/>
  <c r="B679" i="1"/>
  <c r="BC681" i="1" s="1"/>
  <c r="DE678" i="1"/>
  <c r="DD678" i="1"/>
  <c r="DC678" i="1"/>
  <c r="DB678" i="1"/>
  <c r="DA678" i="1"/>
  <c r="CZ678" i="1"/>
  <c r="CY678" i="1"/>
  <c r="CX678" i="1"/>
  <c r="CW678" i="1"/>
  <c r="CV678" i="1"/>
  <c r="CU678" i="1"/>
  <c r="CT678" i="1"/>
  <c r="CS678" i="1"/>
  <c r="CR678" i="1"/>
  <c r="CQ678" i="1"/>
  <c r="CP678" i="1"/>
  <c r="CO678" i="1"/>
  <c r="CN678" i="1"/>
  <c r="CM678" i="1"/>
  <c r="CL678" i="1"/>
  <c r="CK678" i="1"/>
  <c r="CJ678" i="1"/>
  <c r="CI678" i="1"/>
  <c r="CH678" i="1"/>
  <c r="CG678" i="1"/>
  <c r="CF678" i="1"/>
  <c r="BR678" i="1"/>
  <c r="BQ678" i="1"/>
  <c r="BP678" i="1"/>
  <c r="BO678" i="1"/>
  <c r="BN678" i="1"/>
  <c r="BM678" i="1"/>
  <c r="BL678" i="1"/>
  <c r="BK678" i="1"/>
  <c r="BJ678" i="1"/>
  <c r="BI678" i="1"/>
  <c r="BH678" i="1"/>
  <c r="BG678" i="1"/>
  <c r="BF678" i="1"/>
  <c r="BE678" i="1"/>
  <c r="BD678" i="1"/>
  <c r="BC678" i="1"/>
  <c r="BA678" i="1"/>
  <c r="AZ678" i="1"/>
  <c r="AY678" i="1"/>
  <c r="AW678" i="1"/>
  <c r="AV678" i="1"/>
  <c r="AU678" i="1"/>
  <c r="AS678" i="1"/>
  <c r="AR678" i="1"/>
  <c r="AQ678" i="1"/>
  <c r="AP678" i="1"/>
  <c r="AO678" i="1"/>
  <c r="AN678" i="1"/>
  <c r="AM678" i="1"/>
  <c r="AL678" i="1"/>
  <c r="AK678" i="1"/>
  <c r="AJ678" i="1"/>
  <c r="AI678" i="1"/>
  <c r="AH678" i="1"/>
  <c r="AG678" i="1"/>
  <c r="AF678" i="1"/>
  <c r="AE678" i="1"/>
  <c r="R678" i="1"/>
  <c r="Q678" i="1"/>
  <c r="DE677" i="1"/>
  <c r="DD677" i="1"/>
  <c r="DC677" i="1"/>
  <c r="DB677" i="1"/>
  <c r="DA677" i="1"/>
  <c r="CZ677" i="1"/>
  <c r="CY677" i="1"/>
  <c r="CX677" i="1"/>
  <c r="CW677" i="1"/>
  <c r="CV677" i="1"/>
  <c r="CU677" i="1"/>
  <c r="CT677" i="1"/>
  <c r="CS677" i="1"/>
  <c r="CR677" i="1"/>
  <c r="CQ677" i="1"/>
  <c r="CP677" i="1"/>
  <c r="CO677" i="1"/>
  <c r="CN677" i="1"/>
  <c r="CM677" i="1"/>
  <c r="CL677" i="1"/>
  <c r="CK677" i="1"/>
  <c r="CJ677" i="1"/>
  <c r="CI677" i="1"/>
  <c r="CH677" i="1"/>
  <c r="CG677" i="1"/>
  <c r="CF677" i="1"/>
  <c r="BR677" i="1"/>
  <c r="BP677" i="1"/>
  <c r="BO677" i="1"/>
  <c r="BN677" i="1"/>
  <c r="BM677" i="1"/>
  <c r="BL677" i="1"/>
  <c r="BK677" i="1"/>
  <c r="BJ677" i="1"/>
  <c r="BI677" i="1"/>
  <c r="BH677" i="1"/>
  <c r="BG677" i="1"/>
  <c r="BF677" i="1"/>
  <c r="BD677" i="1"/>
  <c r="BC677" i="1"/>
  <c r="BB677" i="1"/>
  <c r="AZ677" i="1"/>
  <c r="AY677" i="1"/>
  <c r="AX677" i="1"/>
  <c r="AV677" i="1"/>
  <c r="AU677" i="1"/>
  <c r="AT677" i="1"/>
  <c r="AR677" i="1"/>
  <c r="AP677" i="1"/>
  <c r="AO677" i="1"/>
  <c r="AN677" i="1"/>
  <c r="AM677" i="1"/>
  <c r="AL677" i="1"/>
  <c r="AK677" i="1"/>
  <c r="AJ677" i="1"/>
  <c r="AI677" i="1"/>
  <c r="AH677" i="1"/>
  <c r="AG677" i="1"/>
  <c r="AF677" i="1"/>
  <c r="AE677" i="1"/>
  <c r="O678" i="1" s="1"/>
  <c r="P678" i="1" s="1"/>
  <c r="P677" i="1"/>
  <c r="AQ677" i="1" s="1"/>
  <c r="O677" i="1"/>
  <c r="BQ677" i="1" s="1"/>
  <c r="J677" i="1"/>
  <c r="DE676" i="1"/>
  <c r="DD676" i="1"/>
  <c r="DC676" i="1"/>
  <c r="DB676" i="1"/>
  <c r="DA676" i="1"/>
  <c r="CZ676" i="1"/>
  <c r="CY676" i="1"/>
  <c r="CX676" i="1"/>
  <c r="CW676" i="1"/>
  <c r="CV676" i="1"/>
  <c r="CU676" i="1"/>
  <c r="CT676" i="1"/>
  <c r="CS676" i="1"/>
  <c r="CR676" i="1"/>
  <c r="CQ676" i="1"/>
  <c r="CP676" i="1"/>
  <c r="CO676" i="1"/>
  <c r="CN676" i="1"/>
  <c r="CM676" i="1"/>
  <c r="CL676" i="1"/>
  <c r="CK676" i="1"/>
  <c r="CJ676" i="1"/>
  <c r="CI676" i="1"/>
  <c r="CH676" i="1"/>
  <c r="CG676" i="1"/>
  <c r="CF676" i="1"/>
  <c r="CC676" i="1"/>
  <c r="CB676" i="1"/>
  <c r="BZ676" i="1"/>
  <c r="BY676" i="1"/>
  <c r="BX676" i="1"/>
  <c r="BV676" i="1"/>
  <c r="BU676" i="1"/>
  <c r="BT676" i="1"/>
  <c r="BR676" i="1"/>
  <c r="BQ676" i="1"/>
  <c r="BP676" i="1"/>
  <c r="BO676" i="1"/>
  <c r="BN676" i="1"/>
  <c r="BM676" i="1"/>
  <c r="BL676" i="1"/>
  <c r="BK676" i="1"/>
  <c r="BI676" i="1"/>
  <c r="BH676" i="1"/>
  <c r="BG676" i="1"/>
  <c r="BF676" i="1"/>
  <c r="BE676" i="1"/>
  <c r="BD676" i="1"/>
  <c r="BB676" i="1"/>
  <c r="BA676" i="1"/>
  <c r="AZ676" i="1"/>
  <c r="AX676" i="1"/>
  <c r="AW676" i="1"/>
  <c r="AV676" i="1"/>
  <c r="AT676" i="1"/>
  <c r="AS676" i="1"/>
  <c r="AR676" i="1"/>
  <c r="AQ676" i="1"/>
  <c r="AP676" i="1"/>
  <c r="AO676" i="1"/>
  <c r="AN676" i="1"/>
  <c r="AM676" i="1"/>
  <c r="AL676" i="1"/>
  <c r="AK676" i="1"/>
  <c r="AI676" i="1"/>
  <c r="AH676" i="1"/>
  <c r="AG676" i="1"/>
  <c r="AF676" i="1"/>
  <c r="AE676" i="1"/>
  <c r="AD676" i="1"/>
  <c r="F676" i="1"/>
  <c r="B676" i="1"/>
  <c r="BB678" i="1" s="1"/>
  <c r="DE675" i="1"/>
  <c r="DD675" i="1"/>
  <c r="DC675" i="1"/>
  <c r="DB675" i="1"/>
  <c r="DA675" i="1"/>
  <c r="CZ675" i="1"/>
  <c r="CY675" i="1"/>
  <c r="CX675" i="1"/>
  <c r="CW675" i="1"/>
  <c r="CV675" i="1"/>
  <c r="CU675" i="1"/>
  <c r="CT675" i="1"/>
  <c r="CS675" i="1"/>
  <c r="CR675" i="1"/>
  <c r="CQ675" i="1"/>
  <c r="CP675" i="1"/>
  <c r="CO675" i="1"/>
  <c r="CN675" i="1"/>
  <c r="CM675" i="1"/>
  <c r="CL675" i="1"/>
  <c r="CK675" i="1"/>
  <c r="CJ675" i="1"/>
  <c r="CI675" i="1"/>
  <c r="CH675" i="1"/>
  <c r="CG675" i="1"/>
  <c r="CF675" i="1"/>
  <c r="BR675" i="1"/>
  <c r="BQ675" i="1"/>
  <c r="BP675" i="1"/>
  <c r="BO675" i="1"/>
  <c r="BN675" i="1"/>
  <c r="BM675" i="1"/>
  <c r="BL675" i="1"/>
  <c r="BK675" i="1"/>
  <c r="BJ675" i="1"/>
  <c r="BI675" i="1"/>
  <c r="BH675" i="1"/>
  <c r="BG675" i="1"/>
  <c r="BF675" i="1"/>
  <c r="BE675" i="1"/>
  <c r="BB675" i="1"/>
  <c r="BA675" i="1"/>
  <c r="AX675" i="1"/>
  <c r="AW675" i="1"/>
  <c r="AT675" i="1"/>
  <c r="AS675" i="1"/>
  <c r="AR675" i="1"/>
  <c r="AQ675" i="1"/>
  <c r="AP675" i="1"/>
  <c r="AO675" i="1"/>
  <c r="AN675" i="1"/>
  <c r="AM675" i="1"/>
  <c r="AL675" i="1"/>
  <c r="AK675" i="1"/>
  <c r="AJ675" i="1"/>
  <c r="AI675" i="1"/>
  <c r="AH675" i="1"/>
  <c r="AG675" i="1"/>
  <c r="AF675" i="1"/>
  <c r="AE675" i="1"/>
  <c r="AD675" i="1"/>
  <c r="R675" i="1"/>
  <c r="Q675" i="1"/>
  <c r="O675" i="1"/>
  <c r="P675" i="1" s="1"/>
  <c r="DE674" i="1"/>
  <c r="DD674" i="1"/>
  <c r="DC674" i="1"/>
  <c r="DB674" i="1"/>
  <c r="DA674" i="1"/>
  <c r="CZ674" i="1"/>
  <c r="CY674" i="1"/>
  <c r="CX674" i="1"/>
  <c r="CW674" i="1"/>
  <c r="CV674" i="1"/>
  <c r="CU674" i="1"/>
  <c r="CT674" i="1"/>
  <c r="CS674" i="1"/>
  <c r="CR674" i="1"/>
  <c r="CQ674" i="1"/>
  <c r="CP674" i="1"/>
  <c r="CO674" i="1"/>
  <c r="CN674" i="1"/>
  <c r="CM674" i="1"/>
  <c r="CL674" i="1"/>
  <c r="CK674" i="1"/>
  <c r="CJ674" i="1"/>
  <c r="CI674" i="1"/>
  <c r="CH674" i="1"/>
  <c r="CG674" i="1"/>
  <c r="CF674" i="1"/>
  <c r="BR674" i="1"/>
  <c r="BQ674" i="1"/>
  <c r="BP674" i="1"/>
  <c r="BO674" i="1"/>
  <c r="BN674" i="1"/>
  <c r="BM674" i="1"/>
  <c r="BL674" i="1"/>
  <c r="BK674" i="1"/>
  <c r="BI674" i="1"/>
  <c r="BH674" i="1"/>
  <c r="BG674" i="1"/>
  <c r="BF674" i="1"/>
  <c r="BE674" i="1"/>
  <c r="BB674" i="1"/>
  <c r="BA674" i="1"/>
  <c r="AX674" i="1"/>
  <c r="AW674" i="1"/>
  <c r="AT674" i="1"/>
  <c r="AS674" i="1"/>
  <c r="AR674" i="1"/>
  <c r="AQ674" i="1"/>
  <c r="AP674" i="1"/>
  <c r="AO674" i="1"/>
  <c r="AN674" i="1"/>
  <c r="AM674" i="1"/>
  <c r="AL674" i="1"/>
  <c r="AK674" i="1"/>
  <c r="AI674" i="1"/>
  <c r="AH674" i="1"/>
  <c r="AG674" i="1"/>
  <c r="AF674" i="1"/>
  <c r="AE674" i="1"/>
  <c r="AD674" i="1"/>
  <c r="O674" i="1"/>
  <c r="P674" i="1" s="1"/>
  <c r="AJ674" i="1" s="1"/>
  <c r="J674" i="1"/>
  <c r="DE673" i="1"/>
  <c r="DD673" i="1"/>
  <c r="DC673" i="1"/>
  <c r="DB673" i="1"/>
  <c r="DA673" i="1"/>
  <c r="CZ673" i="1"/>
  <c r="CY673" i="1"/>
  <c r="CX673" i="1"/>
  <c r="CW673" i="1"/>
  <c r="CV673" i="1"/>
  <c r="CU673" i="1"/>
  <c r="CT673" i="1"/>
  <c r="CS673" i="1"/>
  <c r="CR673" i="1"/>
  <c r="CQ673" i="1"/>
  <c r="CP673" i="1"/>
  <c r="CO673" i="1"/>
  <c r="CN673" i="1"/>
  <c r="CM673" i="1"/>
  <c r="CL673" i="1"/>
  <c r="CK673" i="1"/>
  <c r="CJ673" i="1"/>
  <c r="CI673" i="1"/>
  <c r="CH673" i="1"/>
  <c r="CG673" i="1"/>
  <c r="CF673" i="1"/>
  <c r="CC673" i="1"/>
  <c r="CB673" i="1"/>
  <c r="BY673" i="1"/>
  <c r="BX673" i="1"/>
  <c r="BU673" i="1"/>
  <c r="BT673" i="1"/>
  <c r="BR673" i="1"/>
  <c r="BQ673" i="1"/>
  <c r="BP673" i="1"/>
  <c r="BO673" i="1"/>
  <c r="BN673" i="1"/>
  <c r="BM673" i="1"/>
  <c r="BL673" i="1"/>
  <c r="BK673" i="1"/>
  <c r="BJ673" i="1"/>
  <c r="BI673" i="1"/>
  <c r="BH673" i="1"/>
  <c r="BF673" i="1"/>
  <c r="BE673" i="1"/>
  <c r="BD673" i="1"/>
  <c r="BA673" i="1"/>
  <c r="AZ673" i="1"/>
  <c r="AW673" i="1"/>
  <c r="AV673" i="1"/>
  <c r="AS673" i="1"/>
  <c r="AR673" i="1"/>
  <c r="AQ673" i="1"/>
  <c r="AP673" i="1"/>
  <c r="AO673" i="1"/>
  <c r="AN673" i="1"/>
  <c r="AM673" i="1"/>
  <c r="AL673" i="1"/>
  <c r="AK673" i="1"/>
  <c r="AJ673" i="1"/>
  <c r="AI673" i="1"/>
  <c r="AH673" i="1"/>
  <c r="AG673" i="1"/>
  <c r="AF673" i="1"/>
  <c r="AE673" i="1"/>
  <c r="AD673" i="1"/>
  <c r="P673" i="1"/>
  <c r="O673" i="1"/>
  <c r="BG673" i="1" s="1"/>
  <c r="F673" i="1"/>
  <c r="B673" i="1"/>
  <c r="BD675" i="1" s="1"/>
  <c r="DE672" i="1"/>
  <c r="DD672" i="1"/>
  <c r="DC672" i="1"/>
  <c r="DB672" i="1"/>
  <c r="DA672" i="1"/>
  <c r="CZ672" i="1"/>
  <c r="CY672" i="1"/>
  <c r="CX672" i="1"/>
  <c r="CW672" i="1"/>
  <c r="CV672" i="1"/>
  <c r="CU672" i="1"/>
  <c r="CT672" i="1"/>
  <c r="CS672" i="1"/>
  <c r="CR672" i="1"/>
  <c r="CQ672" i="1"/>
  <c r="CP672" i="1"/>
  <c r="CO672" i="1"/>
  <c r="CN672" i="1"/>
  <c r="CM672" i="1"/>
  <c r="CL672" i="1"/>
  <c r="CK672" i="1"/>
  <c r="CJ672" i="1"/>
  <c r="CI672" i="1"/>
  <c r="CH672" i="1"/>
  <c r="CG672" i="1"/>
  <c r="CF672" i="1"/>
  <c r="BR672" i="1"/>
  <c r="BQ672" i="1"/>
  <c r="BP672" i="1"/>
  <c r="BO672" i="1"/>
  <c r="BN672" i="1"/>
  <c r="BM672" i="1"/>
  <c r="BL672" i="1"/>
  <c r="BK672" i="1"/>
  <c r="BJ672" i="1"/>
  <c r="BI672" i="1"/>
  <c r="BG672" i="1"/>
  <c r="BF672" i="1"/>
  <c r="BE672" i="1"/>
  <c r="BA672" i="1"/>
  <c r="AW672" i="1"/>
  <c r="AS672" i="1"/>
  <c r="AR672" i="1"/>
  <c r="AQ672" i="1"/>
  <c r="AP672" i="1"/>
  <c r="AO672" i="1"/>
  <c r="AN672" i="1"/>
  <c r="AM672" i="1"/>
  <c r="AL672" i="1"/>
  <c r="AK672" i="1"/>
  <c r="AJ672" i="1"/>
  <c r="AI672" i="1"/>
  <c r="AG672" i="1"/>
  <c r="AF672" i="1"/>
  <c r="AE672" i="1"/>
  <c r="DE671" i="1"/>
  <c r="DD671" i="1"/>
  <c r="DC671" i="1"/>
  <c r="DB671" i="1"/>
  <c r="DA671" i="1"/>
  <c r="CZ671" i="1"/>
  <c r="CY671" i="1"/>
  <c r="CX671" i="1"/>
  <c r="CW671" i="1"/>
  <c r="CV671" i="1"/>
  <c r="CU671" i="1"/>
  <c r="CT671" i="1"/>
  <c r="CS671" i="1"/>
  <c r="CR671" i="1"/>
  <c r="CQ671" i="1"/>
  <c r="CP671" i="1"/>
  <c r="CO671" i="1"/>
  <c r="CN671" i="1"/>
  <c r="CM671" i="1"/>
  <c r="CL671" i="1"/>
  <c r="CK671" i="1"/>
  <c r="CJ671" i="1"/>
  <c r="CI671" i="1"/>
  <c r="CH671" i="1"/>
  <c r="CG671" i="1"/>
  <c r="CF671" i="1"/>
  <c r="BR671" i="1"/>
  <c r="BQ671" i="1"/>
  <c r="BP671" i="1"/>
  <c r="BO671" i="1"/>
  <c r="BN671" i="1"/>
  <c r="BM671" i="1"/>
  <c r="BL671" i="1"/>
  <c r="BK671" i="1"/>
  <c r="BJ671" i="1"/>
  <c r="BI671" i="1"/>
  <c r="BH671" i="1"/>
  <c r="BF671" i="1"/>
  <c r="BD671" i="1"/>
  <c r="AZ671" i="1"/>
  <c r="AV671" i="1"/>
  <c r="AR671" i="1"/>
  <c r="AQ671" i="1"/>
  <c r="AP671" i="1"/>
  <c r="AO671" i="1"/>
  <c r="AN671" i="1"/>
  <c r="AM671" i="1"/>
  <c r="AL671" i="1"/>
  <c r="AK671" i="1"/>
  <c r="AJ671" i="1"/>
  <c r="AI671" i="1"/>
  <c r="AH671" i="1"/>
  <c r="AF671" i="1"/>
  <c r="AE671" i="1"/>
  <c r="O670" i="1" s="1"/>
  <c r="P671" i="1"/>
  <c r="AG671" i="1" s="1"/>
  <c r="O671" i="1"/>
  <c r="BG671" i="1" s="1"/>
  <c r="DE670" i="1"/>
  <c r="DD670" i="1"/>
  <c r="DC670" i="1"/>
  <c r="DB670" i="1"/>
  <c r="DA670" i="1"/>
  <c r="CZ670" i="1"/>
  <c r="CY670" i="1"/>
  <c r="CX670" i="1"/>
  <c r="CW670" i="1"/>
  <c r="CV670" i="1"/>
  <c r="CU670" i="1"/>
  <c r="CT670" i="1"/>
  <c r="CS670" i="1"/>
  <c r="CR670" i="1"/>
  <c r="CQ670" i="1"/>
  <c r="CP670" i="1"/>
  <c r="CO670" i="1"/>
  <c r="CN670" i="1"/>
  <c r="CM670" i="1"/>
  <c r="CL670" i="1"/>
  <c r="CK670" i="1"/>
  <c r="CJ670" i="1"/>
  <c r="CI670" i="1"/>
  <c r="CH670" i="1"/>
  <c r="CG670" i="1"/>
  <c r="CF670" i="1"/>
  <c r="CC670" i="1"/>
  <c r="CB670" i="1"/>
  <c r="BY670" i="1"/>
  <c r="BX670" i="1"/>
  <c r="BU670" i="1"/>
  <c r="BR670" i="1"/>
  <c r="BQ670" i="1"/>
  <c r="BP670" i="1"/>
  <c r="BO670" i="1"/>
  <c r="BN670" i="1"/>
  <c r="BM670" i="1"/>
  <c r="BL670" i="1"/>
  <c r="BK670" i="1"/>
  <c r="BJ670" i="1"/>
  <c r="BI670" i="1"/>
  <c r="BH670" i="1"/>
  <c r="BF670" i="1"/>
  <c r="BE670" i="1"/>
  <c r="BD670" i="1"/>
  <c r="BA670" i="1"/>
  <c r="AZ670" i="1"/>
  <c r="AW670" i="1"/>
  <c r="AV670" i="1"/>
  <c r="AS670" i="1"/>
  <c r="AR670" i="1"/>
  <c r="AQ670" i="1"/>
  <c r="AP670" i="1"/>
  <c r="AO670" i="1"/>
  <c r="AN670" i="1"/>
  <c r="AM670" i="1"/>
  <c r="AL670" i="1"/>
  <c r="AK670" i="1"/>
  <c r="AJ670" i="1"/>
  <c r="AI670" i="1"/>
  <c r="AH670" i="1"/>
  <c r="AF670" i="1"/>
  <c r="AE670" i="1"/>
  <c r="O672" i="1" s="1"/>
  <c r="AD670" i="1"/>
  <c r="F670" i="1"/>
  <c r="B670" i="1"/>
  <c r="BC672" i="1" s="1"/>
  <c r="DE669" i="1"/>
  <c r="DD669" i="1"/>
  <c r="DC669" i="1"/>
  <c r="DB669" i="1"/>
  <c r="DA669" i="1"/>
  <c r="CZ669" i="1"/>
  <c r="CY669" i="1"/>
  <c r="CX669" i="1"/>
  <c r="CW669" i="1"/>
  <c r="CV669" i="1"/>
  <c r="CU669" i="1"/>
  <c r="CT669" i="1"/>
  <c r="CS669" i="1"/>
  <c r="CR669" i="1"/>
  <c r="CQ669" i="1"/>
  <c r="CP669" i="1"/>
  <c r="CO669" i="1"/>
  <c r="CN669" i="1"/>
  <c r="CM669" i="1"/>
  <c r="CL669" i="1"/>
  <c r="CK669" i="1"/>
  <c r="CJ669" i="1"/>
  <c r="CI669" i="1"/>
  <c r="CH669" i="1"/>
  <c r="CG669" i="1"/>
  <c r="CF669" i="1"/>
  <c r="BR669" i="1"/>
  <c r="BQ669" i="1"/>
  <c r="BP669" i="1"/>
  <c r="BO669" i="1"/>
  <c r="BN669" i="1"/>
  <c r="BM669" i="1"/>
  <c r="BL669" i="1"/>
  <c r="BK669" i="1"/>
  <c r="BJ669" i="1"/>
  <c r="BI669" i="1"/>
  <c r="BH669" i="1"/>
  <c r="BG669" i="1"/>
  <c r="BF669" i="1"/>
  <c r="BE669" i="1"/>
  <c r="BA669" i="1"/>
  <c r="AW669" i="1"/>
  <c r="AS669" i="1"/>
  <c r="AR669" i="1"/>
  <c r="AQ669" i="1"/>
  <c r="AP669" i="1"/>
  <c r="AO669" i="1"/>
  <c r="AN669" i="1"/>
  <c r="AM669" i="1"/>
  <c r="AL669" i="1"/>
  <c r="AK669" i="1"/>
  <c r="AJ669" i="1"/>
  <c r="AI669" i="1"/>
  <c r="AH669" i="1"/>
  <c r="AG669" i="1"/>
  <c r="AF669" i="1"/>
  <c r="AE669" i="1"/>
  <c r="AD669" i="1"/>
  <c r="R669" i="1"/>
  <c r="Q669" i="1"/>
  <c r="DE668" i="1"/>
  <c r="DD668" i="1"/>
  <c r="DC668" i="1"/>
  <c r="DB668" i="1"/>
  <c r="DA668" i="1"/>
  <c r="CZ668" i="1"/>
  <c r="CY668" i="1"/>
  <c r="CX668" i="1"/>
  <c r="CW668" i="1"/>
  <c r="CV668" i="1"/>
  <c r="CU668" i="1"/>
  <c r="CT668" i="1"/>
  <c r="CS668" i="1"/>
  <c r="CR668" i="1"/>
  <c r="CQ668" i="1"/>
  <c r="CP668" i="1"/>
  <c r="CO668" i="1"/>
  <c r="CN668" i="1"/>
  <c r="CM668" i="1"/>
  <c r="CL668" i="1"/>
  <c r="CK668" i="1"/>
  <c r="CJ668" i="1"/>
  <c r="CI668" i="1"/>
  <c r="CH668" i="1"/>
  <c r="CG668" i="1"/>
  <c r="CF668" i="1"/>
  <c r="BR668" i="1"/>
  <c r="BQ668" i="1"/>
  <c r="BP668" i="1"/>
  <c r="BO668" i="1"/>
  <c r="BN668" i="1"/>
  <c r="BM668" i="1"/>
  <c r="BL668" i="1"/>
  <c r="BK668" i="1"/>
  <c r="BJ668" i="1"/>
  <c r="BI668" i="1"/>
  <c r="BG668" i="1"/>
  <c r="BF668" i="1"/>
  <c r="BE668" i="1"/>
  <c r="BA668" i="1"/>
  <c r="AW668" i="1"/>
  <c r="AS668" i="1"/>
  <c r="AR668" i="1"/>
  <c r="AQ668" i="1"/>
  <c r="AP668" i="1"/>
  <c r="AO668" i="1"/>
  <c r="AN668" i="1"/>
  <c r="AM668" i="1"/>
  <c r="AL668" i="1"/>
  <c r="AK668" i="1"/>
  <c r="AJ668" i="1"/>
  <c r="AI668" i="1"/>
  <c r="AG668" i="1"/>
  <c r="AF668" i="1"/>
  <c r="AE668" i="1"/>
  <c r="AD668" i="1"/>
  <c r="J668" i="1"/>
  <c r="DE667" i="1"/>
  <c r="DD667" i="1"/>
  <c r="DC667" i="1"/>
  <c r="DB667" i="1"/>
  <c r="DA667" i="1"/>
  <c r="CZ667" i="1"/>
  <c r="CY667" i="1"/>
  <c r="CX667" i="1"/>
  <c r="CW667" i="1"/>
  <c r="CV667" i="1"/>
  <c r="CU667" i="1"/>
  <c r="CT667" i="1"/>
  <c r="CS667" i="1"/>
  <c r="CR667" i="1"/>
  <c r="CQ667" i="1"/>
  <c r="CP667" i="1"/>
  <c r="CO667" i="1"/>
  <c r="CN667" i="1"/>
  <c r="CM667" i="1"/>
  <c r="CL667" i="1"/>
  <c r="CK667" i="1"/>
  <c r="CJ667" i="1"/>
  <c r="CI667" i="1"/>
  <c r="CH667" i="1"/>
  <c r="CG667" i="1"/>
  <c r="CF667" i="1"/>
  <c r="CB667" i="1"/>
  <c r="BX667" i="1"/>
  <c r="BT667" i="1"/>
  <c r="BR667" i="1"/>
  <c r="BP667" i="1"/>
  <c r="BO667" i="1"/>
  <c r="BN667" i="1"/>
  <c r="BM667" i="1"/>
  <c r="BL667" i="1"/>
  <c r="BK667" i="1"/>
  <c r="BJ667" i="1"/>
  <c r="BI667" i="1"/>
  <c r="BH667" i="1"/>
  <c r="BG667" i="1"/>
  <c r="BF667" i="1"/>
  <c r="BD667" i="1"/>
  <c r="AZ667" i="1"/>
  <c r="AV667" i="1"/>
  <c r="AR667" i="1"/>
  <c r="AP667" i="1"/>
  <c r="AO667" i="1"/>
  <c r="AN667" i="1"/>
  <c r="AM667" i="1"/>
  <c r="AL667" i="1"/>
  <c r="AK667" i="1"/>
  <c r="AJ667" i="1"/>
  <c r="AI667" i="1"/>
  <c r="AH667" i="1"/>
  <c r="AG667" i="1"/>
  <c r="AF667" i="1"/>
  <c r="AE667" i="1"/>
  <c r="O669" i="1" s="1"/>
  <c r="AD667" i="1"/>
  <c r="P667" i="1"/>
  <c r="O667" i="1"/>
  <c r="BQ667" i="1" s="1"/>
  <c r="F667" i="1"/>
  <c r="B667" i="1"/>
  <c r="BC669" i="1" s="1"/>
  <c r="DE666" i="1"/>
  <c r="DD666" i="1"/>
  <c r="DC666" i="1"/>
  <c r="DB666" i="1"/>
  <c r="DA666" i="1"/>
  <c r="CZ666" i="1"/>
  <c r="CY666" i="1"/>
  <c r="CX666" i="1"/>
  <c r="CW666" i="1"/>
  <c r="CV666" i="1"/>
  <c r="CU666" i="1"/>
  <c r="CT666" i="1"/>
  <c r="CS666" i="1"/>
  <c r="CR666" i="1"/>
  <c r="CQ666" i="1"/>
  <c r="CP666" i="1"/>
  <c r="CO666" i="1"/>
  <c r="CN666" i="1"/>
  <c r="CM666" i="1"/>
  <c r="CL666" i="1"/>
  <c r="CK666" i="1"/>
  <c r="CJ666" i="1"/>
  <c r="CI666" i="1"/>
  <c r="CH666" i="1"/>
  <c r="CG666" i="1"/>
  <c r="CF666" i="1"/>
  <c r="BR666" i="1"/>
  <c r="BQ666" i="1"/>
  <c r="BP666" i="1"/>
  <c r="BO666" i="1"/>
  <c r="BN666" i="1"/>
  <c r="BM666" i="1"/>
  <c r="BL666" i="1"/>
  <c r="BK666" i="1"/>
  <c r="BJ666" i="1"/>
  <c r="BI666" i="1"/>
  <c r="BH666" i="1"/>
  <c r="BG666" i="1"/>
  <c r="BF666" i="1"/>
  <c r="BD666" i="1"/>
  <c r="BC666" i="1"/>
  <c r="AZ666" i="1"/>
  <c r="AY666" i="1"/>
  <c r="AV666" i="1"/>
  <c r="AU666" i="1"/>
  <c r="AR666" i="1"/>
  <c r="AQ666" i="1"/>
  <c r="AP666" i="1"/>
  <c r="AO666" i="1"/>
  <c r="AN666" i="1"/>
  <c r="AM666" i="1"/>
  <c r="AL666" i="1"/>
  <c r="AK666" i="1"/>
  <c r="AJ666" i="1"/>
  <c r="AI666" i="1"/>
  <c r="AH666" i="1"/>
  <c r="AG666" i="1"/>
  <c r="AF666" i="1"/>
  <c r="AE666" i="1"/>
  <c r="R666" i="1"/>
  <c r="Q666" i="1"/>
  <c r="DE665" i="1"/>
  <c r="DD665" i="1"/>
  <c r="DC665" i="1"/>
  <c r="DB665" i="1"/>
  <c r="DA665" i="1"/>
  <c r="CZ665" i="1"/>
  <c r="CY665" i="1"/>
  <c r="CX665" i="1"/>
  <c r="CW665" i="1"/>
  <c r="CV665" i="1"/>
  <c r="CU665" i="1"/>
  <c r="CT665" i="1"/>
  <c r="CS665" i="1"/>
  <c r="CR665" i="1"/>
  <c r="CQ665" i="1"/>
  <c r="CP665" i="1"/>
  <c r="CO665" i="1"/>
  <c r="CN665" i="1"/>
  <c r="CM665" i="1"/>
  <c r="CL665" i="1"/>
  <c r="CK665" i="1"/>
  <c r="CJ665" i="1"/>
  <c r="CI665" i="1"/>
  <c r="CH665" i="1"/>
  <c r="CG665" i="1"/>
  <c r="CF665" i="1"/>
  <c r="BR665" i="1"/>
  <c r="BQ665" i="1"/>
  <c r="BP665" i="1"/>
  <c r="BO665" i="1"/>
  <c r="BN665" i="1"/>
  <c r="BM665" i="1"/>
  <c r="BL665" i="1"/>
  <c r="BK665" i="1"/>
  <c r="BI665" i="1"/>
  <c r="BH665" i="1"/>
  <c r="BG665" i="1"/>
  <c r="BF665" i="1"/>
  <c r="BC665" i="1"/>
  <c r="BB665" i="1"/>
  <c r="AY665" i="1"/>
  <c r="AX665" i="1"/>
  <c r="AU665" i="1"/>
  <c r="AT665" i="1"/>
  <c r="AR665" i="1"/>
  <c r="AQ665" i="1"/>
  <c r="AP665" i="1"/>
  <c r="AO665" i="1"/>
  <c r="AN665" i="1"/>
  <c r="AM665" i="1"/>
  <c r="AL665" i="1"/>
  <c r="AK665" i="1"/>
  <c r="AI665" i="1"/>
  <c r="AH665" i="1"/>
  <c r="AG665" i="1"/>
  <c r="AF665" i="1"/>
  <c r="AE665" i="1"/>
  <c r="O664" i="1" s="1"/>
  <c r="O665" i="1"/>
  <c r="P665" i="1" s="1"/>
  <c r="AJ665" i="1" s="1"/>
  <c r="J665" i="1"/>
  <c r="DE664" i="1"/>
  <c r="DD664" i="1"/>
  <c r="DC664" i="1"/>
  <c r="DB664" i="1"/>
  <c r="DA664" i="1"/>
  <c r="CZ664" i="1"/>
  <c r="CY664" i="1"/>
  <c r="CX664" i="1"/>
  <c r="CW664" i="1"/>
  <c r="CV664" i="1"/>
  <c r="CU664" i="1"/>
  <c r="CT664" i="1"/>
  <c r="CS664" i="1"/>
  <c r="CR664" i="1"/>
  <c r="CQ664" i="1"/>
  <c r="CP664" i="1"/>
  <c r="CO664" i="1"/>
  <c r="CN664" i="1"/>
  <c r="CM664" i="1"/>
  <c r="CL664" i="1"/>
  <c r="CK664" i="1"/>
  <c r="CJ664" i="1"/>
  <c r="CI664" i="1"/>
  <c r="CH664" i="1"/>
  <c r="CG664" i="1"/>
  <c r="CF664" i="1"/>
  <c r="CC664" i="1"/>
  <c r="CB664" i="1"/>
  <c r="BY664" i="1"/>
  <c r="BX664" i="1"/>
  <c r="BU664" i="1"/>
  <c r="BT664" i="1"/>
  <c r="BR664" i="1"/>
  <c r="BP664" i="1"/>
  <c r="BO664" i="1"/>
  <c r="BN664" i="1"/>
  <c r="BM664" i="1"/>
  <c r="BL664" i="1"/>
  <c r="BK664" i="1"/>
  <c r="BJ664" i="1"/>
  <c r="BI664" i="1"/>
  <c r="BH664" i="1"/>
  <c r="BG664" i="1"/>
  <c r="BF664" i="1"/>
  <c r="BE664" i="1"/>
  <c r="BD664" i="1"/>
  <c r="BA664" i="1"/>
  <c r="AZ664" i="1"/>
  <c r="AW664" i="1"/>
  <c r="AV664" i="1"/>
  <c r="AS664" i="1"/>
  <c r="AR664" i="1"/>
  <c r="AP664" i="1"/>
  <c r="AO664" i="1"/>
  <c r="AN664" i="1"/>
  <c r="AM664" i="1"/>
  <c r="AL664" i="1"/>
  <c r="AK664" i="1"/>
  <c r="AJ664" i="1"/>
  <c r="AI664" i="1"/>
  <c r="AH664" i="1"/>
  <c r="AG664" i="1"/>
  <c r="AF664" i="1"/>
  <c r="AE664" i="1"/>
  <c r="AD664" i="1"/>
  <c r="F664" i="1"/>
  <c r="B664" i="1"/>
  <c r="BB666" i="1" s="1"/>
  <c r="DE663" i="1"/>
  <c r="DD663" i="1"/>
  <c r="DC663" i="1"/>
  <c r="DB663" i="1"/>
  <c r="DA663" i="1"/>
  <c r="CZ663" i="1"/>
  <c r="CY663" i="1"/>
  <c r="CX663" i="1"/>
  <c r="CW663" i="1"/>
  <c r="CV663" i="1"/>
  <c r="CU663" i="1"/>
  <c r="CT663" i="1"/>
  <c r="CS663" i="1"/>
  <c r="CR663" i="1"/>
  <c r="CQ663" i="1"/>
  <c r="CP663" i="1"/>
  <c r="CO663" i="1"/>
  <c r="CN663" i="1"/>
  <c r="CM663" i="1"/>
  <c r="CL663" i="1"/>
  <c r="CK663" i="1"/>
  <c r="CJ663" i="1"/>
  <c r="CI663" i="1"/>
  <c r="CH663" i="1"/>
  <c r="CG663" i="1"/>
  <c r="CF663" i="1"/>
  <c r="BR663" i="1"/>
  <c r="BQ663" i="1"/>
  <c r="BP663" i="1"/>
  <c r="BO663" i="1"/>
  <c r="BN663" i="1"/>
  <c r="BM663" i="1"/>
  <c r="BL663" i="1"/>
  <c r="BK663" i="1"/>
  <c r="BJ663" i="1"/>
  <c r="BI663" i="1"/>
  <c r="BH663" i="1"/>
  <c r="BG663" i="1"/>
  <c r="BF663" i="1"/>
  <c r="BE663" i="1"/>
  <c r="BA663" i="1"/>
  <c r="AW663" i="1"/>
  <c r="AS663" i="1"/>
  <c r="AR663" i="1"/>
  <c r="AQ663" i="1"/>
  <c r="AP663" i="1"/>
  <c r="AO663" i="1"/>
  <c r="AN663" i="1"/>
  <c r="AM663" i="1"/>
  <c r="AL663" i="1"/>
  <c r="AK663" i="1"/>
  <c r="AJ663" i="1"/>
  <c r="AI663" i="1"/>
  <c r="AH663" i="1"/>
  <c r="AG663" i="1"/>
  <c r="AF663" i="1"/>
  <c r="AE663" i="1"/>
  <c r="AD663" i="1"/>
  <c r="R663" i="1"/>
  <c r="Q663" i="1"/>
  <c r="DE662" i="1"/>
  <c r="DD662" i="1"/>
  <c r="DC662" i="1"/>
  <c r="DB662" i="1"/>
  <c r="DA662" i="1"/>
  <c r="CZ662" i="1"/>
  <c r="CY662" i="1"/>
  <c r="CX662" i="1"/>
  <c r="CW662" i="1"/>
  <c r="CV662" i="1"/>
  <c r="CU662" i="1"/>
  <c r="CT662" i="1"/>
  <c r="CS662" i="1"/>
  <c r="CR662" i="1"/>
  <c r="CQ662" i="1"/>
  <c r="CP662" i="1"/>
  <c r="CO662" i="1"/>
  <c r="CN662" i="1"/>
  <c r="CM662" i="1"/>
  <c r="CL662" i="1"/>
  <c r="CK662" i="1"/>
  <c r="CJ662" i="1"/>
  <c r="CI662" i="1"/>
  <c r="CH662" i="1"/>
  <c r="CG662" i="1"/>
  <c r="CF662" i="1"/>
  <c r="BR662" i="1"/>
  <c r="BQ662" i="1"/>
  <c r="BP662" i="1"/>
  <c r="BO662" i="1"/>
  <c r="BN662" i="1"/>
  <c r="BL662" i="1"/>
  <c r="BK662" i="1"/>
  <c r="BJ662" i="1"/>
  <c r="BI662" i="1"/>
  <c r="BH662" i="1"/>
  <c r="BG662" i="1"/>
  <c r="BF662" i="1"/>
  <c r="BE662" i="1"/>
  <c r="BA662" i="1"/>
  <c r="AW662" i="1"/>
  <c r="AS662" i="1"/>
  <c r="AR662" i="1"/>
  <c r="AQ662" i="1"/>
  <c r="AP662" i="1"/>
  <c r="AO662" i="1"/>
  <c r="AN662" i="1"/>
  <c r="AL662" i="1"/>
  <c r="AK662" i="1"/>
  <c r="AJ662" i="1"/>
  <c r="AI662" i="1"/>
  <c r="AH662" i="1"/>
  <c r="AG662" i="1"/>
  <c r="AF662" i="1"/>
  <c r="AE662" i="1"/>
  <c r="AD662" i="1"/>
  <c r="J662" i="1"/>
  <c r="DE661" i="1"/>
  <c r="DD661" i="1"/>
  <c r="DC661" i="1"/>
  <c r="DB661" i="1"/>
  <c r="DA661" i="1"/>
  <c r="CZ661" i="1"/>
  <c r="CY661" i="1"/>
  <c r="CX661" i="1"/>
  <c r="CW661" i="1"/>
  <c r="CV661" i="1"/>
  <c r="CU661" i="1"/>
  <c r="CT661" i="1"/>
  <c r="CS661" i="1"/>
  <c r="CR661" i="1"/>
  <c r="CQ661" i="1"/>
  <c r="CP661" i="1"/>
  <c r="CO661" i="1"/>
  <c r="CN661" i="1"/>
  <c r="CM661" i="1"/>
  <c r="CL661" i="1"/>
  <c r="CK661" i="1"/>
  <c r="CJ661" i="1"/>
  <c r="CI661" i="1"/>
  <c r="CH661" i="1"/>
  <c r="CG661" i="1"/>
  <c r="CF661" i="1"/>
  <c r="CB661" i="1"/>
  <c r="BX661" i="1"/>
  <c r="BT661" i="1"/>
  <c r="BR661" i="1"/>
  <c r="BQ661" i="1"/>
  <c r="BP661" i="1"/>
  <c r="BO661" i="1"/>
  <c r="BN661" i="1"/>
  <c r="BM661" i="1"/>
  <c r="BL661" i="1"/>
  <c r="BK661" i="1"/>
  <c r="BI661" i="1"/>
  <c r="BH661" i="1"/>
  <c r="BG661" i="1"/>
  <c r="BF661" i="1"/>
  <c r="BD661" i="1"/>
  <c r="AZ661" i="1"/>
  <c r="AV661" i="1"/>
  <c r="AR661" i="1"/>
  <c r="AQ661" i="1"/>
  <c r="AP661" i="1"/>
  <c r="AO661" i="1"/>
  <c r="AN661" i="1"/>
  <c r="AM661" i="1"/>
  <c r="AL661" i="1"/>
  <c r="AK661" i="1"/>
  <c r="AJ661" i="1"/>
  <c r="AI661" i="1"/>
  <c r="AH661" i="1"/>
  <c r="AG661" i="1"/>
  <c r="AF661" i="1"/>
  <c r="AE661" i="1"/>
  <c r="O663" i="1" s="1"/>
  <c r="P663" i="1" s="1"/>
  <c r="AD661" i="1"/>
  <c r="P661" i="1"/>
  <c r="O661" i="1"/>
  <c r="BJ661" i="1" s="1"/>
  <c r="F661" i="1"/>
  <c r="B661" i="1"/>
  <c r="BC663" i="1" s="1"/>
  <c r="DE660" i="1"/>
  <c r="DD660" i="1"/>
  <c r="DC660" i="1"/>
  <c r="DB660" i="1"/>
  <c r="DA660" i="1"/>
  <c r="CZ660" i="1"/>
  <c r="CY660" i="1"/>
  <c r="CX660" i="1"/>
  <c r="CW660" i="1"/>
  <c r="CV660" i="1"/>
  <c r="CU660" i="1"/>
  <c r="CT660" i="1"/>
  <c r="CS660" i="1"/>
  <c r="CR660" i="1"/>
  <c r="CQ660" i="1"/>
  <c r="CP660" i="1"/>
  <c r="CO660" i="1"/>
  <c r="CN660" i="1"/>
  <c r="CM660" i="1"/>
  <c r="CL660" i="1"/>
  <c r="CK660" i="1"/>
  <c r="CJ660" i="1"/>
  <c r="CI660" i="1"/>
  <c r="CH660" i="1"/>
  <c r="CG660" i="1"/>
  <c r="CF660" i="1"/>
  <c r="BR660" i="1"/>
  <c r="BQ660" i="1"/>
  <c r="BP660" i="1"/>
  <c r="BO660" i="1"/>
  <c r="BN660" i="1"/>
  <c r="BM660" i="1"/>
  <c r="BL660" i="1"/>
  <c r="BK660" i="1"/>
  <c r="BJ660" i="1"/>
  <c r="BI660" i="1"/>
  <c r="BH660" i="1"/>
  <c r="BG660" i="1"/>
  <c r="BF660" i="1"/>
  <c r="BD660" i="1"/>
  <c r="BC660" i="1"/>
  <c r="BB660" i="1"/>
  <c r="AZ660" i="1"/>
  <c r="AY660" i="1"/>
  <c r="AX660" i="1"/>
  <c r="AV660" i="1"/>
  <c r="AU660" i="1"/>
  <c r="AT660" i="1"/>
  <c r="AR660" i="1"/>
  <c r="AQ660" i="1"/>
  <c r="AP660" i="1"/>
  <c r="AO660" i="1"/>
  <c r="AN660" i="1"/>
  <c r="AM660" i="1"/>
  <c r="AL660" i="1"/>
  <c r="AK660" i="1"/>
  <c r="AJ660" i="1"/>
  <c r="AI660" i="1"/>
  <c r="AH660" i="1"/>
  <c r="AG660" i="1"/>
  <c r="AF660" i="1"/>
  <c r="AE660" i="1"/>
  <c r="R660" i="1"/>
  <c r="Q660" i="1"/>
  <c r="DE659" i="1"/>
  <c r="DD659" i="1"/>
  <c r="DC659" i="1"/>
  <c r="DB659" i="1"/>
  <c r="DA659" i="1"/>
  <c r="CZ659" i="1"/>
  <c r="CY659" i="1"/>
  <c r="CX659" i="1"/>
  <c r="CW659" i="1"/>
  <c r="CV659" i="1"/>
  <c r="CU659" i="1"/>
  <c r="CT659" i="1"/>
  <c r="CS659" i="1"/>
  <c r="CR659" i="1"/>
  <c r="CQ659" i="1"/>
  <c r="CP659" i="1"/>
  <c r="CO659" i="1"/>
  <c r="CN659" i="1"/>
  <c r="CM659" i="1"/>
  <c r="CL659" i="1"/>
  <c r="CK659" i="1"/>
  <c r="CJ659" i="1"/>
  <c r="CI659" i="1"/>
  <c r="CH659" i="1"/>
  <c r="CG659" i="1"/>
  <c r="CF659" i="1"/>
  <c r="BR659" i="1"/>
  <c r="BQ659" i="1"/>
  <c r="BP659" i="1"/>
  <c r="BO659" i="1"/>
  <c r="BN659" i="1"/>
  <c r="BM659" i="1"/>
  <c r="BL659" i="1"/>
  <c r="BK659" i="1"/>
  <c r="BJ659" i="1"/>
  <c r="BI659" i="1"/>
  <c r="BG659" i="1"/>
  <c r="BF659" i="1"/>
  <c r="BE659" i="1"/>
  <c r="BC659" i="1"/>
  <c r="BB659" i="1"/>
  <c r="BA659" i="1"/>
  <c r="AY659" i="1"/>
  <c r="AX659" i="1"/>
  <c r="AW659" i="1"/>
  <c r="AU659" i="1"/>
  <c r="AT659" i="1"/>
  <c r="AS659" i="1"/>
  <c r="AR659" i="1"/>
  <c r="AQ659" i="1"/>
  <c r="AP659" i="1"/>
  <c r="AO659" i="1"/>
  <c r="AN659" i="1"/>
  <c r="AM659" i="1"/>
  <c r="AL659" i="1"/>
  <c r="AK659" i="1"/>
  <c r="AJ659" i="1"/>
  <c r="AI659" i="1"/>
  <c r="AG659" i="1"/>
  <c r="AF659" i="1"/>
  <c r="AE659" i="1"/>
  <c r="O658" i="1" s="1"/>
  <c r="O659" i="1"/>
  <c r="BH659" i="1" s="1"/>
  <c r="J659" i="1"/>
  <c r="DE658" i="1"/>
  <c r="DD658" i="1"/>
  <c r="DC658" i="1"/>
  <c r="DB658" i="1"/>
  <c r="DA658" i="1"/>
  <c r="CZ658" i="1"/>
  <c r="CY658" i="1"/>
  <c r="CX658" i="1"/>
  <c r="CW658" i="1"/>
  <c r="CV658" i="1"/>
  <c r="CU658" i="1"/>
  <c r="CT658" i="1"/>
  <c r="CS658" i="1"/>
  <c r="CR658" i="1"/>
  <c r="CQ658" i="1"/>
  <c r="CP658" i="1"/>
  <c r="CO658" i="1"/>
  <c r="CN658" i="1"/>
  <c r="CM658" i="1"/>
  <c r="CL658" i="1"/>
  <c r="CK658" i="1"/>
  <c r="CJ658" i="1"/>
  <c r="CI658" i="1"/>
  <c r="CH658" i="1"/>
  <c r="CG658" i="1"/>
  <c r="CF658" i="1"/>
  <c r="CE658" i="1"/>
  <c r="CC658" i="1"/>
  <c r="CB658" i="1"/>
  <c r="CA658" i="1"/>
  <c r="BY658" i="1"/>
  <c r="BX658" i="1"/>
  <c r="BW658" i="1"/>
  <c r="BT658" i="1"/>
  <c r="BS658" i="1"/>
  <c r="BR658" i="1"/>
  <c r="BQ658" i="1"/>
  <c r="BP658" i="1"/>
  <c r="BO658" i="1"/>
  <c r="BN658" i="1"/>
  <c r="BM658" i="1"/>
  <c r="BL658" i="1"/>
  <c r="BK658" i="1"/>
  <c r="BI658" i="1"/>
  <c r="BH658" i="1"/>
  <c r="BG658" i="1"/>
  <c r="BF658" i="1"/>
  <c r="BE658" i="1"/>
  <c r="BD658" i="1"/>
  <c r="BC658" i="1"/>
  <c r="BA658" i="1"/>
  <c r="AZ658" i="1"/>
  <c r="AY658" i="1"/>
  <c r="AW658" i="1"/>
  <c r="AV658" i="1"/>
  <c r="AU658" i="1"/>
  <c r="AS658" i="1"/>
  <c r="AR658" i="1"/>
  <c r="AQ658" i="1"/>
  <c r="AP658" i="1"/>
  <c r="AO658" i="1"/>
  <c r="AN658" i="1"/>
  <c r="AM658" i="1"/>
  <c r="AL658" i="1"/>
  <c r="AK658" i="1"/>
  <c r="AI658" i="1"/>
  <c r="AH658" i="1"/>
  <c r="AG658" i="1"/>
  <c r="AF658" i="1"/>
  <c r="AE658" i="1"/>
  <c r="O660" i="1" s="1"/>
  <c r="AD658" i="1"/>
  <c r="G658" i="1"/>
  <c r="F658" i="1"/>
  <c r="B658" i="1"/>
  <c r="BE660" i="1" s="1"/>
  <c r="DE657" i="1"/>
  <c r="DD657" i="1"/>
  <c r="DC657" i="1"/>
  <c r="DB657" i="1"/>
  <c r="DA657" i="1"/>
  <c r="CZ657" i="1"/>
  <c r="CY657" i="1"/>
  <c r="CX657" i="1"/>
  <c r="CW657" i="1"/>
  <c r="CV657" i="1"/>
  <c r="CU657" i="1"/>
  <c r="CT657" i="1"/>
  <c r="CS657" i="1"/>
  <c r="CR657" i="1"/>
  <c r="CQ657" i="1"/>
  <c r="CP657" i="1"/>
  <c r="CO657" i="1"/>
  <c r="CN657" i="1"/>
  <c r="CM657" i="1"/>
  <c r="CL657" i="1"/>
  <c r="CK657" i="1"/>
  <c r="CJ657" i="1"/>
  <c r="CI657" i="1"/>
  <c r="CH657" i="1"/>
  <c r="CG657" i="1"/>
  <c r="CF657" i="1"/>
  <c r="BR657" i="1"/>
  <c r="BQ657" i="1"/>
  <c r="BP657" i="1"/>
  <c r="BO657" i="1"/>
  <c r="BN657" i="1"/>
  <c r="BM657" i="1"/>
  <c r="BL657" i="1"/>
  <c r="BK657" i="1"/>
  <c r="BJ657" i="1"/>
  <c r="BI657" i="1"/>
  <c r="BH657" i="1"/>
  <c r="BG657" i="1"/>
  <c r="BF657" i="1"/>
  <c r="BE657" i="1"/>
  <c r="BD657" i="1"/>
  <c r="BB657" i="1"/>
  <c r="BA657" i="1"/>
  <c r="AZ657" i="1"/>
  <c r="AX657" i="1"/>
  <c r="AW657" i="1"/>
  <c r="AV657" i="1"/>
  <c r="AT657" i="1"/>
  <c r="AS657" i="1"/>
  <c r="AR657" i="1"/>
  <c r="AQ657" i="1"/>
  <c r="AP657" i="1"/>
  <c r="AO657" i="1"/>
  <c r="AN657" i="1"/>
  <c r="AM657" i="1"/>
  <c r="AL657" i="1"/>
  <c r="AK657" i="1"/>
  <c r="AJ657" i="1"/>
  <c r="AI657" i="1"/>
  <c r="AH657" i="1"/>
  <c r="AG657" i="1"/>
  <c r="AF657" i="1"/>
  <c r="AE657" i="1"/>
  <c r="AD657" i="1"/>
  <c r="R657" i="1"/>
  <c r="Q657" i="1"/>
  <c r="O657" i="1"/>
  <c r="DE656" i="1"/>
  <c r="DD656" i="1"/>
  <c r="DC656" i="1"/>
  <c r="DB656" i="1"/>
  <c r="DA656" i="1"/>
  <c r="CZ656" i="1"/>
  <c r="CY656" i="1"/>
  <c r="CX656" i="1"/>
  <c r="CW656" i="1"/>
  <c r="CV656" i="1"/>
  <c r="CU656" i="1"/>
  <c r="CT656" i="1"/>
  <c r="CS656" i="1"/>
  <c r="CR656" i="1"/>
  <c r="CQ656" i="1"/>
  <c r="CP656" i="1"/>
  <c r="CO656" i="1"/>
  <c r="CN656" i="1"/>
  <c r="CM656" i="1"/>
  <c r="CL656" i="1"/>
  <c r="CK656" i="1"/>
  <c r="CJ656" i="1"/>
  <c r="CI656" i="1"/>
  <c r="CH656" i="1"/>
  <c r="CG656" i="1"/>
  <c r="CF656" i="1"/>
  <c r="BR656" i="1"/>
  <c r="BQ656" i="1"/>
  <c r="BP656" i="1"/>
  <c r="BO656" i="1"/>
  <c r="BN656" i="1"/>
  <c r="BM656" i="1"/>
  <c r="BL656" i="1"/>
  <c r="BK656" i="1"/>
  <c r="BJ656" i="1"/>
  <c r="BI656" i="1"/>
  <c r="BG656" i="1"/>
  <c r="BF656" i="1"/>
  <c r="BE656" i="1"/>
  <c r="BD656" i="1"/>
  <c r="BB656" i="1"/>
  <c r="BA656" i="1"/>
  <c r="AZ656" i="1"/>
  <c r="AX656" i="1"/>
  <c r="AW656" i="1"/>
  <c r="AV656" i="1"/>
  <c r="AT656" i="1"/>
  <c r="AS656" i="1"/>
  <c r="AR656" i="1"/>
  <c r="AQ656" i="1"/>
  <c r="AP656" i="1"/>
  <c r="AO656" i="1"/>
  <c r="AN656" i="1"/>
  <c r="AM656" i="1"/>
  <c r="AL656" i="1"/>
  <c r="AK656" i="1"/>
  <c r="AJ656" i="1"/>
  <c r="AI656" i="1"/>
  <c r="AG656" i="1"/>
  <c r="AF656" i="1"/>
  <c r="AE656" i="1"/>
  <c r="AD656" i="1"/>
  <c r="O656" i="1"/>
  <c r="BH656" i="1" s="1"/>
  <c r="J656" i="1"/>
  <c r="DE655" i="1"/>
  <c r="DD655" i="1"/>
  <c r="DC655" i="1"/>
  <c r="DB655" i="1"/>
  <c r="DA655" i="1"/>
  <c r="CZ655" i="1"/>
  <c r="CY655" i="1"/>
  <c r="CX655" i="1"/>
  <c r="CW655" i="1"/>
  <c r="CV655" i="1"/>
  <c r="CU655" i="1"/>
  <c r="CT655" i="1"/>
  <c r="CS655" i="1"/>
  <c r="CR655" i="1"/>
  <c r="CQ655" i="1"/>
  <c r="CP655" i="1"/>
  <c r="CO655" i="1"/>
  <c r="CN655" i="1"/>
  <c r="CM655" i="1"/>
  <c r="CL655" i="1"/>
  <c r="CK655" i="1"/>
  <c r="CJ655" i="1"/>
  <c r="CI655" i="1"/>
  <c r="CH655" i="1"/>
  <c r="CG655" i="1"/>
  <c r="CF655" i="1"/>
  <c r="CE655" i="1"/>
  <c r="CC655" i="1"/>
  <c r="CB655" i="1"/>
  <c r="CA655" i="1"/>
  <c r="BY655" i="1"/>
  <c r="BX655" i="1"/>
  <c r="BW655" i="1"/>
  <c r="BT655" i="1"/>
  <c r="BS655" i="1"/>
  <c r="BR655" i="1"/>
  <c r="BQ655" i="1"/>
  <c r="BP655" i="1"/>
  <c r="BO655" i="1"/>
  <c r="BN655" i="1"/>
  <c r="BM655" i="1"/>
  <c r="BL655" i="1"/>
  <c r="BK655" i="1"/>
  <c r="BI655" i="1"/>
  <c r="BH655" i="1"/>
  <c r="BG655" i="1"/>
  <c r="BF655" i="1"/>
  <c r="BE655" i="1"/>
  <c r="BD655" i="1"/>
  <c r="BC655" i="1"/>
  <c r="BA655" i="1"/>
  <c r="AZ655" i="1"/>
  <c r="AY655" i="1"/>
  <c r="AW655" i="1"/>
  <c r="AV655" i="1"/>
  <c r="AU655" i="1"/>
  <c r="AS655" i="1"/>
  <c r="AR655" i="1"/>
  <c r="AQ655" i="1"/>
  <c r="AP655" i="1"/>
  <c r="AO655" i="1"/>
  <c r="AN655" i="1"/>
  <c r="AM655" i="1"/>
  <c r="AL655" i="1"/>
  <c r="AK655" i="1"/>
  <c r="AJ655" i="1"/>
  <c r="AI655" i="1"/>
  <c r="AH655" i="1"/>
  <c r="AG655" i="1"/>
  <c r="AF655" i="1"/>
  <c r="AE655" i="1"/>
  <c r="AD655" i="1"/>
  <c r="P655" i="1"/>
  <c r="O655" i="1"/>
  <c r="G655" i="1"/>
  <c r="F655" i="1"/>
  <c r="B655" i="1"/>
  <c r="BC657" i="1" s="1"/>
  <c r="DE654" i="1"/>
  <c r="DD654" i="1"/>
  <c r="DC654" i="1"/>
  <c r="DB654" i="1"/>
  <c r="DA654" i="1"/>
  <c r="CZ654" i="1"/>
  <c r="CY654" i="1"/>
  <c r="CX654" i="1"/>
  <c r="CW654" i="1"/>
  <c r="CV654" i="1"/>
  <c r="CU654" i="1"/>
  <c r="CT654" i="1"/>
  <c r="CS654" i="1"/>
  <c r="CR654" i="1"/>
  <c r="CQ654" i="1"/>
  <c r="CP654" i="1"/>
  <c r="CO654" i="1"/>
  <c r="CN654" i="1"/>
  <c r="CM654" i="1"/>
  <c r="CL654" i="1"/>
  <c r="CK654" i="1"/>
  <c r="CJ654" i="1"/>
  <c r="CI654" i="1"/>
  <c r="CH654" i="1"/>
  <c r="CG654" i="1"/>
  <c r="CF654" i="1"/>
  <c r="BR654" i="1"/>
  <c r="BQ654" i="1"/>
  <c r="BP654" i="1"/>
  <c r="BO654" i="1"/>
  <c r="BN654" i="1"/>
  <c r="BM654" i="1"/>
  <c r="BL654" i="1"/>
  <c r="BK654" i="1"/>
  <c r="BJ654" i="1"/>
  <c r="BI654" i="1"/>
  <c r="BH654" i="1"/>
  <c r="BG654" i="1"/>
  <c r="BF654" i="1"/>
  <c r="BB654" i="1"/>
  <c r="AX654" i="1"/>
  <c r="AT654" i="1"/>
  <c r="AR654" i="1"/>
  <c r="AQ654" i="1"/>
  <c r="AP654" i="1"/>
  <c r="AO654" i="1"/>
  <c r="AN654" i="1"/>
  <c r="AM654" i="1"/>
  <c r="AL654" i="1"/>
  <c r="AK654" i="1"/>
  <c r="AJ654" i="1"/>
  <c r="AI654" i="1"/>
  <c r="AH654" i="1"/>
  <c r="AG654" i="1"/>
  <c r="AF654" i="1"/>
  <c r="AE654" i="1"/>
  <c r="R654" i="1"/>
  <c r="Q654" i="1"/>
  <c r="DE653" i="1"/>
  <c r="DD653" i="1"/>
  <c r="DC653" i="1"/>
  <c r="DB653" i="1"/>
  <c r="DA653" i="1"/>
  <c r="CZ653" i="1"/>
  <c r="CY653" i="1"/>
  <c r="CX653" i="1"/>
  <c r="CW653" i="1"/>
  <c r="CV653" i="1"/>
  <c r="CU653" i="1"/>
  <c r="CT653" i="1"/>
  <c r="CS653" i="1"/>
  <c r="CR653" i="1"/>
  <c r="CQ653" i="1"/>
  <c r="CP653" i="1"/>
  <c r="CO653" i="1"/>
  <c r="CN653" i="1"/>
  <c r="CM653" i="1"/>
  <c r="CL653" i="1"/>
  <c r="CK653" i="1"/>
  <c r="CJ653" i="1"/>
  <c r="CI653" i="1"/>
  <c r="CH653" i="1"/>
  <c r="CG653" i="1"/>
  <c r="CF653" i="1"/>
  <c r="BR653" i="1"/>
  <c r="BQ653" i="1"/>
  <c r="BP653" i="1"/>
  <c r="BO653" i="1"/>
  <c r="BN653" i="1"/>
  <c r="BM653" i="1"/>
  <c r="BL653" i="1"/>
  <c r="BK653" i="1"/>
  <c r="BJ653" i="1"/>
  <c r="BI653" i="1"/>
  <c r="BG653" i="1"/>
  <c r="BF653" i="1"/>
  <c r="BE653" i="1"/>
  <c r="BA653" i="1"/>
  <c r="AW653" i="1"/>
  <c r="AS653" i="1"/>
  <c r="AR653" i="1"/>
  <c r="AQ653" i="1"/>
  <c r="AP653" i="1"/>
  <c r="AO653" i="1"/>
  <c r="AN653" i="1"/>
  <c r="AM653" i="1"/>
  <c r="AL653" i="1"/>
  <c r="AK653" i="1"/>
  <c r="AJ653" i="1"/>
  <c r="AI653" i="1"/>
  <c r="AG653" i="1"/>
  <c r="AF653" i="1"/>
  <c r="AE653" i="1"/>
  <c r="J653" i="1"/>
  <c r="DE652" i="1"/>
  <c r="DD652" i="1"/>
  <c r="DC652" i="1"/>
  <c r="DB652" i="1"/>
  <c r="DA652" i="1"/>
  <c r="CZ652" i="1"/>
  <c r="CY652" i="1"/>
  <c r="CX652" i="1"/>
  <c r="CW652" i="1"/>
  <c r="CV652" i="1"/>
  <c r="CU652" i="1"/>
  <c r="CT652" i="1"/>
  <c r="CS652" i="1"/>
  <c r="CR652" i="1"/>
  <c r="CQ652" i="1"/>
  <c r="CP652" i="1"/>
  <c r="CO652" i="1"/>
  <c r="CN652" i="1"/>
  <c r="CM652" i="1"/>
  <c r="CL652" i="1"/>
  <c r="CK652" i="1"/>
  <c r="CJ652" i="1"/>
  <c r="CI652" i="1"/>
  <c r="CH652" i="1"/>
  <c r="CG652" i="1"/>
  <c r="CF652" i="1"/>
  <c r="CE652" i="1"/>
  <c r="CA652" i="1"/>
  <c r="BW652" i="1"/>
  <c r="BS652" i="1"/>
  <c r="BR652" i="1"/>
  <c r="BQ652" i="1"/>
  <c r="BP652" i="1"/>
  <c r="BO652" i="1"/>
  <c r="BN652" i="1"/>
  <c r="BM652" i="1"/>
  <c r="BL652" i="1"/>
  <c r="BK652" i="1"/>
  <c r="BI652" i="1"/>
  <c r="BH652" i="1"/>
  <c r="BG652" i="1"/>
  <c r="BF652" i="1"/>
  <c r="BC652" i="1"/>
  <c r="AY652" i="1"/>
  <c r="AU652" i="1"/>
  <c r="AR652" i="1"/>
  <c r="AQ652" i="1"/>
  <c r="AP652" i="1"/>
  <c r="AO652" i="1"/>
  <c r="AN652" i="1"/>
  <c r="AM652" i="1"/>
  <c r="AL652" i="1"/>
  <c r="AK652" i="1"/>
  <c r="AI652" i="1"/>
  <c r="AH652" i="1"/>
  <c r="AG652" i="1"/>
  <c r="AF652" i="1"/>
  <c r="AE652" i="1"/>
  <c r="O652" i="1" s="1"/>
  <c r="AD652" i="1"/>
  <c r="G652" i="1"/>
  <c r="F652" i="1" s="1"/>
  <c r="B652" i="1"/>
  <c r="BD654" i="1" s="1"/>
  <c r="DE651" i="1"/>
  <c r="DD651" i="1"/>
  <c r="DC651" i="1"/>
  <c r="DB651" i="1"/>
  <c r="DA651" i="1"/>
  <c r="CZ651" i="1"/>
  <c r="CY651" i="1"/>
  <c r="CX651" i="1"/>
  <c r="CW651" i="1"/>
  <c r="CV651" i="1"/>
  <c r="CU651" i="1"/>
  <c r="CT651" i="1"/>
  <c r="CS651" i="1"/>
  <c r="CR651" i="1"/>
  <c r="CQ651" i="1"/>
  <c r="CP651" i="1"/>
  <c r="CO651" i="1"/>
  <c r="CN651" i="1"/>
  <c r="CM651" i="1"/>
  <c r="CL651" i="1"/>
  <c r="CK651" i="1"/>
  <c r="CJ651" i="1"/>
  <c r="CI651" i="1"/>
  <c r="CH651" i="1"/>
  <c r="CG651" i="1"/>
  <c r="CF651" i="1"/>
  <c r="BR651" i="1"/>
  <c r="BQ651" i="1"/>
  <c r="BP651" i="1"/>
  <c r="BO651" i="1"/>
  <c r="BN651" i="1"/>
  <c r="BM651" i="1"/>
  <c r="BL651" i="1"/>
  <c r="BK651" i="1"/>
  <c r="BJ651" i="1"/>
  <c r="BI651" i="1"/>
  <c r="BH651" i="1"/>
  <c r="BG651" i="1"/>
  <c r="BF651" i="1"/>
  <c r="AR651" i="1"/>
  <c r="AQ651" i="1"/>
  <c r="AP651" i="1"/>
  <c r="AO651" i="1"/>
  <c r="AN651" i="1"/>
  <c r="AM651" i="1"/>
  <c r="AL651" i="1"/>
  <c r="AK651" i="1"/>
  <c r="AJ651" i="1"/>
  <c r="AI651" i="1"/>
  <c r="AH651" i="1"/>
  <c r="AG651" i="1"/>
  <c r="AF651" i="1"/>
  <c r="AE651" i="1"/>
  <c r="AD651" i="1"/>
  <c r="R651" i="1"/>
  <c r="Q651" i="1"/>
  <c r="DE650" i="1"/>
  <c r="DD650" i="1"/>
  <c r="DC650" i="1"/>
  <c r="DB650" i="1"/>
  <c r="DA650" i="1"/>
  <c r="CZ650" i="1"/>
  <c r="CY650" i="1"/>
  <c r="CX650" i="1"/>
  <c r="CW650" i="1"/>
  <c r="CV650" i="1"/>
  <c r="CU650" i="1"/>
  <c r="CT650" i="1"/>
  <c r="CS650" i="1"/>
  <c r="CR650" i="1"/>
  <c r="CQ650" i="1"/>
  <c r="CP650" i="1"/>
  <c r="CO650" i="1"/>
  <c r="CN650" i="1"/>
  <c r="CM650" i="1"/>
  <c r="CL650" i="1"/>
  <c r="CK650" i="1"/>
  <c r="CJ650" i="1"/>
  <c r="CI650" i="1"/>
  <c r="CH650" i="1"/>
  <c r="CG650" i="1"/>
  <c r="CF650" i="1"/>
  <c r="BR650" i="1"/>
  <c r="BQ650" i="1"/>
  <c r="BP650" i="1"/>
  <c r="BO650" i="1"/>
  <c r="BN650" i="1"/>
  <c r="BM650" i="1"/>
  <c r="BL650" i="1"/>
  <c r="BK650" i="1"/>
  <c r="BJ650" i="1"/>
  <c r="BI650" i="1"/>
  <c r="BG650" i="1"/>
  <c r="BF650" i="1"/>
  <c r="AR650" i="1"/>
  <c r="AQ650" i="1"/>
  <c r="AP650" i="1"/>
  <c r="AO650" i="1"/>
  <c r="AN650" i="1"/>
  <c r="AM650" i="1"/>
  <c r="AL650" i="1"/>
  <c r="AK650" i="1"/>
  <c r="AJ650" i="1"/>
  <c r="AI650" i="1"/>
  <c r="AG650" i="1"/>
  <c r="AF650" i="1"/>
  <c r="AE650" i="1"/>
  <c r="AD650" i="1"/>
  <c r="J650" i="1"/>
  <c r="DE649" i="1"/>
  <c r="DD649" i="1"/>
  <c r="DC649" i="1"/>
  <c r="DB649" i="1"/>
  <c r="DA649" i="1"/>
  <c r="CZ649" i="1"/>
  <c r="CY649" i="1"/>
  <c r="CX649" i="1"/>
  <c r="CW649" i="1"/>
  <c r="CV649" i="1"/>
  <c r="CU649" i="1"/>
  <c r="CT649" i="1"/>
  <c r="CS649" i="1"/>
  <c r="CR649" i="1"/>
  <c r="CQ649" i="1"/>
  <c r="CP649" i="1"/>
  <c r="CO649" i="1"/>
  <c r="CN649" i="1"/>
  <c r="CM649" i="1"/>
  <c r="CL649" i="1"/>
  <c r="CK649" i="1"/>
  <c r="CJ649" i="1"/>
  <c r="CI649" i="1"/>
  <c r="CH649" i="1"/>
  <c r="CG649" i="1"/>
  <c r="CF649" i="1"/>
  <c r="CE649" i="1"/>
  <c r="BW649" i="1"/>
  <c r="BR649" i="1"/>
  <c r="BQ649" i="1"/>
  <c r="BP649" i="1"/>
  <c r="BO649" i="1"/>
  <c r="BN649" i="1"/>
  <c r="BM649" i="1"/>
  <c r="BL649" i="1"/>
  <c r="BK649" i="1"/>
  <c r="BI649" i="1"/>
  <c r="BH649" i="1"/>
  <c r="BG649" i="1"/>
  <c r="BF649" i="1"/>
  <c r="BC649" i="1"/>
  <c r="AU649" i="1"/>
  <c r="AR649" i="1"/>
  <c r="AQ649" i="1"/>
  <c r="AP649" i="1"/>
  <c r="AO649" i="1"/>
  <c r="AN649" i="1"/>
  <c r="AM649" i="1"/>
  <c r="AL649" i="1"/>
  <c r="AK649" i="1"/>
  <c r="AI649" i="1"/>
  <c r="AH649" i="1"/>
  <c r="AG649" i="1"/>
  <c r="AF649" i="1"/>
  <c r="AE649" i="1"/>
  <c r="AD649" i="1"/>
  <c r="O649" i="1"/>
  <c r="F649" i="1"/>
  <c r="B649" i="1"/>
  <c r="DE648" i="1"/>
  <c r="DD648" i="1"/>
  <c r="DC648" i="1"/>
  <c r="DB648" i="1"/>
  <c r="DA648" i="1"/>
  <c r="CZ648" i="1"/>
  <c r="CY648" i="1"/>
  <c r="CX648" i="1"/>
  <c r="CW648" i="1"/>
  <c r="CV648" i="1"/>
  <c r="CU648" i="1"/>
  <c r="CT648" i="1"/>
  <c r="CS648" i="1"/>
  <c r="CR648" i="1"/>
  <c r="CQ648" i="1"/>
  <c r="CP648" i="1"/>
  <c r="CO648" i="1"/>
  <c r="CN648" i="1"/>
  <c r="CM648" i="1"/>
  <c r="CL648" i="1"/>
  <c r="CK648" i="1"/>
  <c r="CJ648" i="1"/>
  <c r="CI648" i="1"/>
  <c r="CH648" i="1"/>
  <c r="CG648" i="1"/>
  <c r="CF648" i="1"/>
  <c r="BR648" i="1"/>
  <c r="BQ648" i="1"/>
  <c r="BP648" i="1"/>
  <c r="BO648" i="1"/>
  <c r="BN648" i="1"/>
  <c r="BM648" i="1"/>
  <c r="BL648" i="1"/>
  <c r="BK648" i="1"/>
  <c r="BJ648" i="1"/>
  <c r="BI648" i="1"/>
  <c r="BH648" i="1"/>
  <c r="BG648" i="1"/>
  <c r="BF648" i="1"/>
  <c r="BC648" i="1"/>
  <c r="AU648" i="1"/>
  <c r="AR648" i="1"/>
  <c r="AQ648" i="1"/>
  <c r="AP648" i="1"/>
  <c r="AO648" i="1"/>
  <c r="AN648" i="1"/>
  <c r="AM648" i="1"/>
  <c r="AL648" i="1"/>
  <c r="AK648" i="1"/>
  <c r="AJ648" i="1"/>
  <c r="AI648" i="1"/>
  <c r="AH648" i="1"/>
  <c r="AG648" i="1"/>
  <c r="AF648" i="1"/>
  <c r="AE648" i="1"/>
  <c r="DE647" i="1"/>
  <c r="DD647" i="1"/>
  <c r="DC647" i="1"/>
  <c r="DB647" i="1"/>
  <c r="DA647" i="1"/>
  <c r="CZ647" i="1"/>
  <c r="CY647" i="1"/>
  <c r="CX647" i="1"/>
  <c r="CW647" i="1"/>
  <c r="CV647" i="1"/>
  <c r="CU647" i="1"/>
  <c r="CT647" i="1"/>
  <c r="CS647" i="1"/>
  <c r="CR647" i="1"/>
  <c r="CQ647" i="1"/>
  <c r="CP647" i="1"/>
  <c r="CO647" i="1"/>
  <c r="CN647" i="1"/>
  <c r="CM647" i="1"/>
  <c r="CL647" i="1"/>
  <c r="CK647" i="1"/>
  <c r="CJ647" i="1"/>
  <c r="CI647" i="1"/>
  <c r="CH647" i="1"/>
  <c r="CG647" i="1"/>
  <c r="CF647" i="1"/>
  <c r="BR647" i="1"/>
  <c r="BQ647" i="1"/>
  <c r="BP647" i="1"/>
  <c r="BO647" i="1"/>
  <c r="BN647" i="1"/>
  <c r="BM647" i="1"/>
  <c r="BL647" i="1"/>
  <c r="BK647" i="1"/>
  <c r="BJ647" i="1"/>
  <c r="BI647" i="1"/>
  <c r="BH647" i="1"/>
  <c r="BF647" i="1"/>
  <c r="BE647" i="1"/>
  <c r="BB647" i="1"/>
  <c r="AW647" i="1"/>
  <c r="AT647" i="1"/>
  <c r="AR647" i="1"/>
  <c r="AQ647" i="1"/>
  <c r="AP647" i="1"/>
  <c r="AO647" i="1"/>
  <c r="AN647" i="1"/>
  <c r="AM647" i="1"/>
  <c r="AL647" i="1"/>
  <c r="AK647" i="1"/>
  <c r="AJ647" i="1"/>
  <c r="AI647" i="1"/>
  <c r="AH647" i="1"/>
  <c r="AF647" i="1"/>
  <c r="AE647" i="1"/>
  <c r="DE646" i="1"/>
  <c r="DD646" i="1"/>
  <c r="DC646" i="1"/>
  <c r="DB646" i="1"/>
  <c r="DA646" i="1"/>
  <c r="CZ646" i="1"/>
  <c r="CY646" i="1"/>
  <c r="CX646" i="1"/>
  <c r="CW646" i="1"/>
  <c r="CV646" i="1"/>
  <c r="CU646" i="1"/>
  <c r="CT646" i="1"/>
  <c r="CS646" i="1"/>
  <c r="CR646" i="1"/>
  <c r="CQ646" i="1"/>
  <c r="CP646" i="1"/>
  <c r="CO646" i="1"/>
  <c r="CN646" i="1"/>
  <c r="CM646" i="1"/>
  <c r="CL646" i="1"/>
  <c r="CK646" i="1"/>
  <c r="CJ646" i="1"/>
  <c r="CI646" i="1"/>
  <c r="CH646" i="1"/>
  <c r="CG646" i="1"/>
  <c r="CF646" i="1"/>
  <c r="CE646" i="1"/>
  <c r="BZ646" i="1"/>
  <c r="BW646" i="1"/>
  <c r="BR646" i="1"/>
  <c r="BQ646" i="1"/>
  <c r="BP646" i="1"/>
  <c r="BO646" i="1"/>
  <c r="BN646" i="1"/>
  <c r="BM646" i="1"/>
  <c r="BL646" i="1"/>
  <c r="BK646" i="1"/>
  <c r="BJ646" i="1"/>
  <c r="BI646" i="1"/>
  <c r="BH646" i="1"/>
  <c r="BF646" i="1"/>
  <c r="BC646" i="1"/>
  <c r="AX646" i="1"/>
  <c r="AU646" i="1"/>
  <c r="AR646" i="1"/>
  <c r="AQ646" i="1"/>
  <c r="AP646" i="1"/>
  <c r="AO646" i="1"/>
  <c r="AN646" i="1"/>
  <c r="AM646" i="1"/>
  <c r="AL646" i="1"/>
  <c r="AK646" i="1"/>
  <c r="AJ646" i="1"/>
  <c r="AI646" i="1"/>
  <c r="AH646" i="1"/>
  <c r="AF646" i="1"/>
  <c r="AE646" i="1"/>
  <c r="O647" i="1" s="1"/>
  <c r="AD646" i="1"/>
  <c r="O646" i="1"/>
  <c r="G646" i="1"/>
  <c r="B646" i="1"/>
  <c r="DE645" i="1"/>
  <c r="DD645" i="1"/>
  <c r="DC645" i="1"/>
  <c r="DB645" i="1"/>
  <c r="DA645" i="1"/>
  <c r="CZ645" i="1"/>
  <c r="CY645" i="1"/>
  <c r="CX645" i="1"/>
  <c r="CW645" i="1"/>
  <c r="CV645" i="1"/>
  <c r="CU645" i="1"/>
  <c r="CT645" i="1"/>
  <c r="CS645" i="1"/>
  <c r="CR645" i="1"/>
  <c r="CQ645" i="1"/>
  <c r="CP645" i="1"/>
  <c r="CO645" i="1"/>
  <c r="CN645" i="1"/>
  <c r="CM645" i="1"/>
  <c r="CL645" i="1"/>
  <c r="CK645" i="1"/>
  <c r="CJ645" i="1"/>
  <c r="CI645" i="1"/>
  <c r="CH645" i="1"/>
  <c r="CG645" i="1"/>
  <c r="CF645" i="1"/>
  <c r="BR645" i="1"/>
  <c r="BQ645" i="1"/>
  <c r="BP645" i="1"/>
  <c r="BO645" i="1"/>
  <c r="BN645" i="1"/>
  <c r="BM645" i="1"/>
  <c r="BL645" i="1"/>
  <c r="BK645" i="1"/>
  <c r="BJ645" i="1"/>
  <c r="BI645" i="1"/>
  <c r="BH645" i="1"/>
  <c r="BG645" i="1"/>
  <c r="BF645" i="1"/>
  <c r="BD645" i="1"/>
  <c r="BC645" i="1"/>
  <c r="AV645" i="1"/>
  <c r="AU645" i="1"/>
  <c r="AR645" i="1"/>
  <c r="AQ645" i="1"/>
  <c r="AP645" i="1"/>
  <c r="AO645" i="1"/>
  <c r="AN645" i="1"/>
  <c r="AM645" i="1"/>
  <c r="AL645" i="1"/>
  <c r="AK645" i="1"/>
  <c r="AJ645" i="1"/>
  <c r="AI645" i="1"/>
  <c r="AH645" i="1"/>
  <c r="AG645" i="1"/>
  <c r="AF645" i="1"/>
  <c r="AE645" i="1"/>
  <c r="AD645" i="1"/>
  <c r="R645" i="1"/>
  <c r="Q645" i="1"/>
  <c r="DE644" i="1"/>
  <c r="DD644" i="1"/>
  <c r="DC644" i="1"/>
  <c r="DB644" i="1"/>
  <c r="DA644" i="1"/>
  <c r="CZ644" i="1"/>
  <c r="CY644" i="1"/>
  <c r="CX644" i="1"/>
  <c r="CW644" i="1"/>
  <c r="CV644" i="1"/>
  <c r="CU644" i="1"/>
  <c r="CT644" i="1"/>
  <c r="CS644" i="1"/>
  <c r="CR644" i="1"/>
  <c r="CQ644" i="1"/>
  <c r="CP644" i="1"/>
  <c r="CO644" i="1"/>
  <c r="CN644" i="1"/>
  <c r="CM644" i="1"/>
  <c r="CL644" i="1"/>
  <c r="CK644" i="1"/>
  <c r="CJ644" i="1"/>
  <c r="CI644" i="1"/>
  <c r="CH644" i="1"/>
  <c r="CG644" i="1"/>
  <c r="CF644" i="1"/>
  <c r="BR644" i="1"/>
  <c r="BQ644" i="1"/>
  <c r="BP644" i="1"/>
  <c r="BO644" i="1"/>
  <c r="BN644" i="1"/>
  <c r="BL644" i="1"/>
  <c r="BK644" i="1"/>
  <c r="BJ644" i="1"/>
  <c r="BI644" i="1"/>
  <c r="BH644" i="1"/>
  <c r="BG644" i="1"/>
  <c r="BF644" i="1"/>
  <c r="BD644" i="1"/>
  <c r="BC644" i="1"/>
  <c r="AY644" i="1"/>
  <c r="AV644" i="1"/>
  <c r="AU644" i="1"/>
  <c r="AR644" i="1"/>
  <c r="AQ644" i="1"/>
  <c r="AP644" i="1"/>
  <c r="AO644" i="1"/>
  <c r="AN644" i="1"/>
  <c r="AL644" i="1"/>
  <c r="AK644" i="1"/>
  <c r="AJ644" i="1"/>
  <c r="AI644" i="1"/>
  <c r="AH644" i="1"/>
  <c r="AG644" i="1"/>
  <c r="AF644" i="1"/>
  <c r="AE644" i="1"/>
  <c r="AD644" i="1"/>
  <c r="J644" i="1"/>
  <c r="DE643" i="1"/>
  <c r="DD643" i="1"/>
  <c r="DC643" i="1"/>
  <c r="DB643" i="1"/>
  <c r="DA643" i="1"/>
  <c r="CZ643" i="1"/>
  <c r="CY643" i="1"/>
  <c r="CX643" i="1"/>
  <c r="CW643" i="1"/>
  <c r="CV643" i="1"/>
  <c r="CU643" i="1"/>
  <c r="CT643" i="1"/>
  <c r="CS643" i="1"/>
  <c r="CR643" i="1"/>
  <c r="CQ643" i="1"/>
  <c r="CP643" i="1"/>
  <c r="CO643" i="1"/>
  <c r="CN643" i="1"/>
  <c r="CM643" i="1"/>
  <c r="CL643" i="1"/>
  <c r="CK643" i="1"/>
  <c r="CJ643" i="1"/>
  <c r="CI643" i="1"/>
  <c r="CH643" i="1"/>
  <c r="CG643" i="1"/>
  <c r="CF643" i="1"/>
  <c r="CD643" i="1"/>
  <c r="CA643" i="1"/>
  <c r="BV643" i="1"/>
  <c r="BS643" i="1"/>
  <c r="BR643" i="1"/>
  <c r="BQ643" i="1"/>
  <c r="BP643" i="1"/>
  <c r="BO643" i="1"/>
  <c r="BN643" i="1"/>
  <c r="BM643" i="1"/>
  <c r="BL643" i="1"/>
  <c r="BK643" i="1"/>
  <c r="BJ643" i="1"/>
  <c r="BI643" i="1"/>
  <c r="BH643" i="1"/>
  <c r="BF643" i="1"/>
  <c r="BB643" i="1"/>
  <c r="AY643" i="1"/>
  <c r="AX643" i="1"/>
  <c r="AT643" i="1"/>
  <c r="AR643" i="1"/>
  <c r="AQ643" i="1"/>
  <c r="AP643" i="1"/>
  <c r="AO643" i="1"/>
  <c r="AN643" i="1"/>
  <c r="AM643" i="1"/>
  <c r="AL643" i="1"/>
  <c r="AK643" i="1"/>
  <c r="AJ643" i="1"/>
  <c r="AI643" i="1"/>
  <c r="AH643" i="1"/>
  <c r="AF643" i="1"/>
  <c r="AE643" i="1"/>
  <c r="AD643" i="1"/>
  <c r="O643" i="1"/>
  <c r="F643" i="1"/>
  <c r="B643" i="1"/>
  <c r="DE642" i="1"/>
  <c r="DD642" i="1"/>
  <c r="DC642" i="1"/>
  <c r="DB642" i="1"/>
  <c r="DA642" i="1"/>
  <c r="CZ642" i="1"/>
  <c r="CY642" i="1"/>
  <c r="CX642" i="1"/>
  <c r="CW642" i="1"/>
  <c r="CV642" i="1"/>
  <c r="CU642" i="1"/>
  <c r="CT642" i="1"/>
  <c r="CS642" i="1"/>
  <c r="CR642" i="1"/>
  <c r="CQ642" i="1"/>
  <c r="CP642" i="1"/>
  <c r="CO642" i="1"/>
  <c r="CN642" i="1"/>
  <c r="CM642" i="1"/>
  <c r="CL642" i="1"/>
  <c r="CK642" i="1"/>
  <c r="CJ642" i="1"/>
  <c r="CI642" i="1"/>
  <c r="CH642" i="1"/>
  <c r="CG642" i="1"/>
  <c r="CF642" i="1"/>
  <c r="BR642" i="1"/>
  <c r="BQ642" i="1"/>
  <c r="BP642" i="1"/>
  <c r="BO642" i="1"/>
  <c r="BN642" i="1"/>
  <c r="BM642" i="1"/>
  <c r="BL642" i="1"/>
  <c r="BK642" i="1"/>
  <c r="BJ642" i="1"/>
  <c r="BI642" i="1"/>
  <c r="BH642" i="1"/>
  <c r="BG642" i="1"/>
  <c r="BF642" i="1"/>
  <c r="AR642" i="1"/>
  <c r="AQ642" i="1"/>
  <c r="AP642" i="1"/>
  <c r="AO642" i="1"/>
  <c r="AN642" i="1"/>
  <c r="AM642" i="1"/>
  <c r="AL642" i="1"/>
  <c r="AK642" i="1"/>
  <c r="AJ642" i="1"/>
  <c r="AI642" i="1"/>
  <c r="AH642" i="1"/>
  <c r="AG642" i="1"/>
  <c r="AF642" i="1"/>
  <c r="AE642" i="1"/>
  <c r="R642" i="1"/>
  <c r="Q642" i="1"/>
  <c r="DE641" i="1"/>
  <c r="DD641" i="1"/>
  <c r="DC641" i="1"/>
  <c r="DB641" i="1"/>
  <c r="DA641" i="1"/>
  <c r="CZ641" i="1"/>
  <c r="CY641" i="1"/>
  <c r="CX641" i="1"/>
  <c r="CW641" i="1"/>
  <c r="CV641" i="1"/>
  <c r="CU641" i="1"/>
  <c r="CT641" i="1"/>
  <c r="CS641" i="1"/>
  <c r="CR641" i="1"/>
  <c r="CQ641" i="1"/>
  <c r="CP641" i="1"/>
  <c r="CO641" i="1"/>
  <c r="CN641" i="1"/>
  <c r="CM641" i="1"/>
  <c r="CL641" i="1"/>
  <c r="CK641" i="1"/>
  <c r="CJ641" i="1"/>
  <c r="CI641" i="1"/>
  <c r="CH641" i="1"/>
  <c r="CG641" i="1"/>
  <c r="CF641" i="1"/>
  <c r="BR641" i="1"/>
  <c r="BQ641" i="1"/>
  <c r="BP641" i="1"/>
  <c r="BO641" i="1"/>
  <c r="BN641" i="1"/>
  <c r="BM641" i="1"/>
  <c r="BL641" i="1"/>
  <c r="BK641" i="1"/>
  <c r="BJ641" i="1"/>
  <c r="BI641" i="1"/>
  <c r="BH641" i="1"/>
  <c r="BF641" i="1"/>
  <c r="AR641" i="1"/>
  <c r="AQ641" i="1"/>
  <c r="AP641" i="1"/>
  <c r="AO641" i="1"/>
  <c r="AN641" i="1"/>
  <c r="AM641" i="1"/>
  <c r="AL641" i="1"/>
  <c r="AK641" i="1"/>
  <c r="AJ641" i="1"/>
  <c r="AI641" i="1"/>
  <c r="AH641" i="1"/>
  <c r="AF641" i="1"/>
  <c r="AE641" i="1"/>
  <c r="J641" i="1"/>
  <c r="DE640" i="1"/>
  <c r="DD640" i="1"/>
  <c r="DC640" i="1"/>
  <c r="DB640" i="1"/>
  <c r="DA640" i="1"/>
  <c r="CZ640" i="1"/>
  <c r="CY640" i="1"/>
  <c r="CX640" i="1"/>
  <c r="CW640" i="1"/>
  <c r="CV640" i="1"/>
  <c r="CU640" i="1"/>
  <c r="CT640" i="1"/>
  <c r="CS640" i="1"/>
  <c r="CR640" i="1"/>
  <c r="CQ640" i="1"/>
  <c r="CP640" i="1"/>
  <c r="CO640" i="1"/>
  <c r="CN640" i="1"/>
  <c r="CM640" i="1"/>
  <c r="CL640" i="1"/>
  <c r="CK640" i="1"/>
  <c r="CJ640" i="1"/>
  <c r="CI640" i="1"/>
  <c r="CH640" i="1"/>
  <c r="CG640" i="1"/>
  <c r="CF640" i="1"/>
  <c r="BR640" i="1"/>
  <c r="BQ640" i="1"/>
  <c r="BP640" i="1"/>
  <c r="BO640" i="1"/>
  <c r="BN640" i="1"/>
  <c r="BL640" i="1"/>
  <c r="BK640" i="1"/>
  <c r="BJ640" i="1"/>
  <c r="BI640" i="1"/>
  <c r="BH640" i="1"/>
  <c r="BG640" i="1"/>
  <c r="BF640" i="1"/>
  <c r="AR640" i="1"/>
  <c r="AQ640" i="1"/>
  <c r="AP640" i="1"/>
  <c r="AO640" i="1"/>
  <c r="AN640" i="1"/>
  <c r="AL640" i="1"/>
  <c r="AK640" i="1"/>
  <c r="AJ640" i="1"/>
  <c r="AI640" i="1"/>
  <c r="AH640" i="1"/>
  <c r="AG640" i="1"/>
  <c r="AF640" i="1"/>
  <c r="AE640" i="1"/>
  <c r="O641" i="1" s="1"/>
  <c r="AD640" i="1"/>
  <c r="F640" i="1"/>
  <c r="B640" i="1"/>
  <c r="BC642" i="1" s="1"/>
  <c r="DE639" i="1"/>
  <c r="DD639" i="1"/>
  <c r="DC639" i="1"/>
  <c r="DB639" i="1"/>
  <c r="DA639" i="1"/>
  <c r="CZ639" i="1"/>
  <c r="CY639" i="1"/>
  <c r="CX639" i="1"/>
  <c r="CW639" i="1"/>
  <c r="CV639" i="1"/>
  <c r="CU639" i="1"/>
  <c r="CT639" i="1"/>
  <c r="CS639" i="1"/>
  <c r="CR639" i="1"/>
  <c r="CQ639" i="1"/>
  <c r="CP639" i="1"/>
  <c r="CO639" i="1"/>
  <c r="CN639" i="1"/>
  <c r="CM639" i="1"/>
  <c r="CL639" i="1"/>
  <c r="CK639" i="1"/>
  <c r="CJ639" i="1"/>
  <c r="CI639" i="1"/>
  <c r="CH639" i="1"/>
  <c r="CG639" i="1"/>
  <c r="CF639" i="1"/>
  <c r="BR639" i="1"/>
  <c r="BQ639" i="1"/>
  <c r="BP639" i="1"/>
  <c r="BO639" i="1"/>
  <c r="BN639" i="1"/>
  <c r="BM639" i="1"/>
  <c r="BL639" i="1"/>
  <c r="BK639" i="1"/>
  <c r="BJ639" i="1"/>
  <c r="BI639" i="1"/>
  <c r="BH639" i="1"/>
  <c r="BG639" i="1"/>
  <c r="BF639" i="1"/>
  <c r="BD639" i="1"/>
  <c r="BC639" i="1"/>
  <c r="AY639" i="1"/>
  <c r="AX639" i="1"/>
  <c r="AT639" i="1"/>
  <c r="AR639" i="1"/>
  <c r="AQ639" i="1"/>
  <c r="AP639" i="1"/>
  <c r="AO639" i="1"/>
  <c r="AN639" i="1"/>
  <c r="AM639" i="1"/>
  <c r="AL639" i="1"/>
  <c r="AK639" i="1"/>
  <c r="AJ639" i="1"/>
  <c r="AI639" i="1"/>
  <c r="AH639" i="1"/>
  <c r="AG639" i="1"/>
  <c r="AF639" i="1"/>
  <c r="AE639" i="1"/>
  <c r="AD639" i="1"/>
  <c r="R639" i="1"/>
  <c r="Q639" i="1"/>
  <c r="DE638" i="1"/>
  <c r="DD638" i="1"/>
  <c r="DC638" i="1"/>
  <c r="DB638" i="1"/>
  <c r="DA638" i="1"/>
  <c r="CZ638" i="1"/>
  <c r="CY638" i="1"/>
  <c r="CX638" i="1"/>
  <c r="CW638" i="1"/>
  <c r="CV638" i="1"/>
  <c r="CU638" i="1"/>
  <c r="CT638" i="1"/>
  <c r="CS638" i="1"/>
  <c r="CR638" i="1"/>
  <c r="CQ638" i="1"/>
  <c r="CP638" i="1"/>
  <c r="CO638" i="1"/>
  <c r="CN638" i="1"/>
  <c r="CM638" i="1"/>
  <c r="CL638" i="1"/>
  <c r="CK638" i="1"/>
  <c r="CJ638" i="1"/>
  <c r="CI638" i="1"/>
  <c r="CH638" i="1"/>
  <c r="CG638" i="1"/>
  <c r="CF638" i="1"/>
  <c r="BR638" i="1"/>
  <c r="BQ638" i="1"/>
  <c r="BP638" i="1"/>
  <c r="BO638" i="1"/>
  <c r="BN638" i="1"/>
  <c r="BM638" i="1"/>
  <c r="BL638" i="1"/>
  <c r="BK638" i="1"/>
  <c r="BI638" i="1"/>
  <c r="BH638" i="1"/>
  <c r="BG638" i="1"/>
  <c r="BF638" i="1"/>
  <c r="BB638" i="1"/>
  <c r="AZ638" i="1"/>
  <c r="AV638" i="1"/>
  <c r="AU638" i="1"/>
  <c r="AR638" i="1"/>
  <c r="AQ638" i="1"/>
  <c r="AP638" i="1"/>
  <c r="AO638" i="1"/>
  <c r="AN638" i="1"/>
  <c r="AM638" i="1"/>
  <c r="AL638" i="1"/>
  <c r="AK638" i="1"/>
  <c r="AI638" i="1"/>
  <c r="AH638" i="1"/>
  <c r="AG638" i="1"/>
  <c r="AF638" i="1"/>
  <c r="AE638" i="1"/>
  <c r="O637" i="1" s="1"/>
  <c r="AD638" i="1"/>
  <c r="O638" i="1"/>
  <c r="P638" i="1" s="1"/>
  <c r="AJ638" i="1" s="1"/>
  <c r="J638" i="1"/>
  <c r="DE637" i="1"/>
  <c r="DD637" i="1"/>
  <c r="DC637" i="1"/>
  <c r="DB637" i="1"/>
  <c r="DA637" i="1"/>
  <c r="CZ637" i="1"/>
  <c r="CY637" i="1"/>
  <c r="CX637" i="1"/>
  <c r="CW637" i="1"/>
  <c r="CV637" i="1"/>
  <c r="CU637" i="1"/>
  <c r="CT637" i="1"/>
  <c r="CS637" i="1"/>
  <c r="CR637" i="1"/>
  <c r="CQ637" i="1"/>
  <c r="CP637" i="1"/>
  <c r="CO637" i="1"/>
  <c r="CN637" i="1"/>
  <c r="CM637" i="1"/>
  <c r="CL637" i="1"/>
  <c r="CK637" i="1"/>
  <c r="CJ637" i="1"/>
  <c r="CI637" i="1"/>
  <c r="CH637" i="1"/>
  <c r="CG637" i="1"/>
  <c r="CF637" i="1"/>
  <c r="CE637" i="1"/>
  <c r="CC637" i="1"/>
  <c r="CA637" i="1"/>
  <c r="BZ637" i="1"/>
  <c r="BV637" i="1"/>
  <c r="BU637" i="1"/>
  <c r="BR637" i="1"/>
  <c r="BP637" i="1"/>
  <c r="BO637" i="1"/>
  <c r="BN637" i="1"/>
  <c r="BM637" i="1"/>
  <c r="BL637" i="1"/>
  <c r="BK637" i="1"/>
  <c r="BJ637" i="1"/>
  <c r="BI637" i="1"/>
  <c r="BH637" i="1"/>
  <c r="BG637" i="1"/>
  <c r="BF637" i="1"/>
  <c r="BE637" i="1"/>
  <c r="BC637" i="1"/>
  <c r="BA637" i="1"/>
  <c r="AY637" i="1"/>
  <c r="AX637" i="1"/>
  <c r="AU637" i="1"/>
  <c r="AT637" i="1"/>
  <c r="AS637" i="1"/>
  <c r="AR637" i="1"/>
  <c r="AP637" i="1"/>
  <c r="AO637" i="1"/>
  <c r="AN637" i="1"/>
  <c r="AM637" i="1"/>
  <c r="AL637" i="1"/>
  <c r="AK637" i="1"/>
  <c r="AJ637" i="1"/>
  <c r="AI637" i="1"/>
  <c r="AH637" i="1"/>
  <c r="AG637" i="1"/>
  <c r="AF637" i="1"/>
  <c r="AE637" i="1"/>
  <c r="O639" i="1" s="1"/>
  <c r="P639" i="1" s="1"/>
  <c r="AD637" i="1"/>
  <c r="F637" i="1"/>
  <c r="B637" i="1"/>
  <c r="DE636" i="1"/>
  <c r="DD636" i="1"/>
  <c r="DC636" i="1"/>
  <c r="DB636" i="1"/>
  <c r="DA636" i="1"/>
  <c r="CZ636" i="1"/>
  <c r="CY636" i="1"/>
  <c r="CX636" i="1"/>
  <c r="CW636" i="1"/>
  <c r="CV636" i="1"/>
  <c r="CU636" i="1"/>
  <c r="CT636" i="1"/>
  <c r="CS636" i="1"/>
  <c r="CR636" i="1"/>
  <c r="CQ636" i="1"/>
  <c r="CP636" i="1"/>
  <c r="CO636" i="1"/>
  <c r="CN636" i="1"/>
  <c r="CM636" i="1"/>
  <c r="CL636" i="1"/>
  <c r="CK636" i="1"/>
  <c r="CJ636" i="1"/>
  <c r="CI636" i="1"/>
  <c r="CH636" i="1"/>
  <c r="CG636" i="1"/>
  <c r="CF636" i="1"/>
  <c r="BR636" i="1"/>
  <c r="BQ636" i="1"/>
  <c r="BP636" i="1"/>
  <c r="BO636" i="1"/>
  <c r="BN636" i="1"/>
  <c r="BM636" i="1"/>
  <c r="BL636" i="1"/>
  <c r="BK636" i="1"/>
  <c r="BJ636" i="1"/>
  <c r="BI636" i="1"/>
  <c r="BH636" i="1"/>
  <c r="BG636" i="1"/>
  <c r="BF636" i="1"/>
  <c r="BC636" i="1"/>
  <c r="BB636" i="1"/>
  <c r="AX636" i="1"/>
  <c r="AW636" i="1"/>
  <c r="AS636" i="1"/>
  <c r="AR636" i="1"/>
  <c r="AQ636" i="1"/>
  <c r="AP636" i="1"/>
  <c r="AO636" i="1"/>
  <c r="AN636" i="1"/>
  <c r="AM636" i="1"/>
  <c r="AL636" i="1"/>
  <c r="AK636" i="1"/>
  <c r="AJ636" i="1"/>
  <c r="AI636" i="1"/>
  <c r="AH636" i="1"/>
  <c r="AG636" i="1"/>
  <c r="AF636" i="1"/>
  <c r="AE636" i="1"/>
  <c r="R636" i="1"/>
  <c r="Q636" i="1"/>
  <c r="DE635" i="1"/>
  <c r="DD635" i="1"/>
  <c r="DC635" i="1"/>
  <c r="DB635" i="1"/>
  <c r="DA635" i="1"/>
  <c r="CZ635" i="1"/>
  <c r="CY635" i="1"/>
  <c r="CX635" i="1"/>
  <c r="CW635" i="1"/>
  <c r="CV635" i="1"/>
  <c r="CU635" i="1"/>
  <c r="CT635" i="1"/>
  <c r="CS635" i="1"/>
  <c r="CR635" i="1"/>
  <c r="CQ635" i="1"/>
  <c r="CP635" i="1"/>
  <c r="CO635" i="1"/>
  <c r="CN635" i="1"/>
  <c r="CM635" i="1"/>
  <c r="CL635" i="1"/>
  <c r="CK635" i="1"/>
  <c r="CJ635" i="1"/>
  <c r="CI635" i="1"/>
  <c r="CH635" i="1"/>
  <c r="CG635" i="1"/>
  <c r="CF635" i="1"/>
  <c r="BR635" i="1"/>
  <c r="BQ635" i="1"/>
  <c r="BP635" i="1"/>
  <c r="BO635" i="1"/>
  <c r="BN635" i="1"/>
  <c r="BM635" i="1"/>
  <c r="BL635" i="1"/>
  <c r="BK635" i="1"/>
  <c r="BI635" i="1"/>
  <c r="BH635" i="1"/>
  <c r="BG635" i="1"/>
  <c r="BF635" i="1"/>
  <c r="BE635" i="1"/>
  <c r="BA635" i="1"/>
  <c r="AZ635" i="1"/>
  <c r="AV635" i="1"/>
  <c r="AT635" i="1"/>
  <c r="AR635" i="1"/>
  <c r="AQ635" i="1"/>
  <c r="AP635" i="1"/>
  <c r="AO635" i="1"/>
  <c r="AN635" i="1"/>
  <c r="AM635" i="1"/>
  <c r="AL635" i="1"/>
  <c r="AK635" i="1"/>
  <c r="AI635" i="1"/>
  <c r="AH635" i="1"/>
  <c r="AG635" i="1"/>
  <c r="AF635" i="1"/>
  <c r="AE635" i="1"/>
  <c r="J635" i="1"/>
  <c r="DE634" i="1"/>
  <c r="DD634" i="1"/>
  <c r="DC634" i="1"/>
  <c r="DB634" i="1"/>
  <c r="DA634" i="1"/>
  <c r="CZ634" i="1"/>
  <c r="CY634" i="1"/>
  <c r="CX634" i="1"/>
  <c r="CW634" i="1"/>
  <c r="CV634" i="1"/>
  <c r="CU634" i="1"/>
  <c r="CT634" i="1"/>
  <c r="CS634" i="1"/>
  <c r="CR634" i="1"/>
  <c r="CQ634" i="1"/>
  <c r="CP634" i="1"/>
  <c r="CO634" i="1"/>
  <c r="CN634" i="1"/>
  <c r="CM634" i="1"/>
  <c r="CL634" i="1"/>
  <c r="CK634" i="1"/>
  <c r="CJ634" i="1"/>
  <c r="CI634" i="1"/>
  <c r="CH634" i="1"/>
  <c r="CG634" i="1"/>
  <c r="CF634" i="1"/>
  <c r="CE634" i="1"/>
  <c r="CD634" i="1"/>
  <c r="BX634" i="1"/>
  <c r="BT634" i="1"/>
  <c r="BS634" i="1"/>
  <c r="BR634" i="1"/>
  <c r="BQ634" i="1"/>
  <c r="BP634" i="1"/>
  <c r="BO634" i="1"/>
  <c r="BN634" i="1"/>
  <c r="BL634" i="1"/>
  <c r="BK634" i="1"/>
  <c r="BJ634" i="1"/>
  <c r="BI634" i="1"/>
  <c r="BH634" i="1"/>
  <c r="BG634" i="1"/>
  <c r="BF634" i="1"/>
  <c r="BB634" i="1"/>
  <c r="AZ634" i="1"/>
  <c r="AV634" i="1"/>
  <c r="AU634" i="1"/>
  <c r="AR634" i="1"/>
  <c r="AQ634" i="1"/>
  <c r="AP634" i="1"/>
  <c r="AO634" i="1"/>
  <c r="AN634" i="1"/>
  <c r="AL634" i="1"/>
  <c r="AK634" i="1"/>
  <c r="AJ634" i="1"/>
  <c r="AI634" i="1"/>
  <c r="AH634" i="1"/>
  <c r="AG634" i="1"/>
  <c r="AF634" i="1"/>
  <c r="AE634" i="1"/>
  <c r="O635" i="1" s="1"/>
  <c r="AJ635" i="1" s="1"/>
  <c r="AD634" i="1"/>
  <c r="O634" i="1"/>
  <c r="BM634" i="1" s="1"/>
  <c r="F634" i="1"/>
  <c r="B634" i="1"/>
  <c r="BA636" i="1" s="1"/>
  <c r="DE633" i="1"/>
  <c r="DD633" i="1"/>
  <c r="DC633" i="1"/>
  <c r="DB633" i="1"/>
  <c r="DA633" i="1"/>
  <c r="CZ633" i="1"/>
  <c r="CY633" i="1"/>
  <c r="CX633" i="1"/>
  <c r="CW633" i="1"/>
  <c r="CV633" i="1"/>
  <c r="CU633" i="1"/>
  <c r="CT633" i="1"/>
  <c r="CS633" i="1"/>
  <c r="CR633" i="1"/>
  <c r="CQ633" i="1"/>
  <c r="CP633" i="1"/>
  <c r="CO633" i="1"/>
  <c r="CN633" i="1"/>
  <c r="CM633" i="1"/>
  <c r="CL633" i="1"/>
  <c r="CK633" i="1"/>
  <c r="CJ633" i="1"/>
  <c r="CI633" i="1"/>
  <c r="CH633" i="1"/>
  <c r="CG633" i="1"/>
  <c r="CF633" i="1"/>
  <c r="BR633" i="1"/>
  <c r="BP633" i="1"/>
  <c r="BO633" i="1"/>
  <c r="BN633" i="1"/>
  <c r="BM633" i="1"/>
  <c r="BL633" i="1"/>
  <c r="BK633" i="1"/>
  <c r="BJ633" i="1"/>
  <c r="BI633" i="1"/>
  <c r="BH633" i="1"/>
  <c r="BG633" i="1"/>
  <c r="BF633" i="1"/>
  <c r="BB633" i="1"/>
  <c r="AV633" i="1"/>
  <c r="AR633" i="1"/>
  <c r="AP633" i="1"/>
  <c r="AO633" i="1"/>
  <c r="AN633" i="1"/>
  <c r="AM633" i="1"/>
  <c r="AL633" i="1"/>
  <c r="AK633" i="1"/>
  <c r="AJ633" i="1"/>
  <c r="AI633" i="1"/>
  <c r="AH633" i="1"/>
  <c r="AG633" i="1"/>
  <c r="AF633" i="1"/>
  <c r="AE633" i="1"/>
  <c r="AD633" i="1"/>
  <c r="O633" i="1"/>
  <c r="BQ633" i="1" s="1"/>
  <c r="DE632" i="1"/>
  <c r="DD632" i="1"/>
  <c r="DC632" i="1"/>
  <c r="DB632" i="1"/>
  <c r="DA632" i="1"/>
  <c r="CZ632" i="1"/>
  <c r="CY632" i="1"/>
  <c r="CX632" i="1"/>
  <c r="CW632" i="1"/>
  <c r="CV632" i="1"/>
  <c r="CU632" i="1"/>
  <c r="CT632" i="1"/>
  <c r="CS632" i="1"/>
  <c r="CR632" i="1"/>
  <c r="CQ632" i="1"/>
  <c r="CP632" i="1"/>
  <c r="CO632" i="1"/>
  <c r="CN632" i="1"/>
  <c r="CM632" i="1"/>
  <c r="CL632" i="1"/>
  <c r="CK632" i="1"/>
  <c r="CJ632" i="1"/>
  <c r="CI632" i="1"/>
  <c r="CH632" i="1"/>
  <c r="CG632" i="1"/>
  <c r="CF632" i="1"/>
  <c r="BR632" i="1"/>
  <c r="BQ632" i="1"/>
  <c r="BP632" i="1"/>
  <c r="BO632" i="1"/>
  <c r="BN632" i="1"/>
  <c r="BM632" i="1"/>
  <c r="BL632" i="1"/>
  <c r="BK632" i="1"/>
  <c r="BJ632" i="1"/>
  <c r="BI632" i="1"/>
  <c r="BH632" i="1"/>
  <c r="BG632" i="1"/>
  <c r="BF632" i="1"/>
  <c r="BC632" i="1"/>
  <c r="AX632" i="1"/>
  <c r="AR632" i="1"/>
  <c r="AQ632" i="1"/>
  <c r="AP632" i="1"/>
  <c r="AO632" i="1"/>
  <c r="AN632" i="1"/>
  <c r="AM632" i="1"/>
  <c r="AL632" i="1"/>
  <c r="AK632" i="1"/>
  <c r="AJ632" i="1"/>
  <c r="AI632" i="1"/>
  <c r="AG632" i="1"/>
  <c r="AF632" i="1"/>
  <c r="AE632" i="1"/>
  <c r="AD632" i="1"/>
  <c r="P632" i="1"/>
  <c r="AH632" i="1" s="1"/>
  <c r="O632" i="1"/>
  <c r="DE631" i="1"/>
  <c r="DD631" i="1"/>
  <c r="DC631" i="1"/>
  <c r="DB631" i="1"/>
  <c r="DA631" i="1"/>
  <c r="CZ631" i="1"/>
  <c r="CY631" i="1"/>
  <c r="CX631" i="1"/>
  <c r="CW631" i="1"/>
  <c r="CV631" i="1"/>
  <c r="CU631" i="1"/>
  <c r="CT631" i="1"/>
  <c r="CS631" i="1"/>
  <c r="CR631" i="1"/>
  <c r="CQ631" i="1"/>
  <c r="CP631" i="1"/>
  <c r="CO631" i="1"/>
  <c r="CN631" i="1"/>
  <c r="CM631" i="1"/>
  <c r="CL631" i="1"/>
  <c r="CK631" i="1"/>
  <c r="CJ631" i="1"/>
  <c r="CI631" i="1"/>
  <c r="CH631" i="1"/>
  <c r="CG631" i="1"/>
  <c r="CF631" i="1"/>
  <c r="BY631" i="1"/>
  <c r="BT631" i="1"/>
  <c r="BR631" i="1"/>
  <c r="BQ631" i="1"/>
  <c r="BP631" i="1"/>
  <c r="BO631" i="1"/>
  <c r="BN631" i="1"/>
  <c r="BM631" i="1"/>
  <c r="BL631" i="1"/>
  <c r="BK631" i="1"/>
  <c r="BI631" i="1"/>
  <c r="BH631" i="1"/>
  <c r="BG631" i="1"/>
  <c r="BF631" i="1"/>
  <c r="BB631" i="1"/>
  <c r="AW631" i="1"/>
  <c r="AR631" i="1"/>
  <c r="AQ631" i="1"/>
  <c r="AP631" i="1"/>
  <c r="AO631" i="1"/>
  <c r="AN631" i="1"/>
  <c r="AM631" i="1"/>
  <c r="AL631" i="1"/>
  <c r="AK631" i="1"/>
  <c r="AJ631" i="1"/>
  <c r="AI631" i="1"/>
  <c r="AH631" i="1"/>
  <c r="AG631" i="1"/>
  <c r="AF631" i="1"/>
  <c r="AE631" i="1"/>
  <c r="AD631" i="1"/>
  <c r="P631" i="1"/>
  <c r="O631" i="1"/>
  <c r="BJ631" i="1" s="1"/>
  <c r="F631" i="1"/>
  <c r="B631" i="1"/>
  <c r="BD633" i="1" s="1"/>
  <c r="DE630" i="1"/>
  <c r="DD630" i="1"/>
  <c r="DC630" i="1"/>
  <c r="DB630" i="1"/>
  <c r="DA630" i="1"/>
  <c r="CZ630" i="1"/>
  <c r="CY630" i="1"/>
  <c r="CX630" i="1"/>
  <c r="CW630" i="1"/>
  <c r="CV630" i="1"/>
  <c r="CU630" i="1"/>
  <c r="CT630" i="1"/>
  <c r="CS630" i="1"/>
  <c r="CR630" i="1"/>
  <c r="CQ630" i="1"/>
  <c r="CP630" i="1"/>
  <c r="CO630" i="1"/>
  <c r="CN630" i="1"/>
  <c r="CM630" i="1"/>
  <c r="CL630" i="1"/>
  <c r="CK630" i="1"/>
  <c r="CJ630" i="1"/>
  <c r="CI630" i="1"/>
  <c r="CH630" i="1"/>
  <c r="CG630" i="1"/>
  <c r="CF630" i="1"/>
  <c r="BR630" i="1"/>
  <c r="BQ630" i="1"/>
  <c r="BP630" i="1"/>
  <c r="BO630" i="1"/>
  <c r="BN630" i="1"/>
  <c r="BM630" i="1"/>
  <c r="BL630" i="1"/>
  <c r="BK630" i="1"/>
  <c r="BJ630" i="1"/>
  <c r="BI630" i="1"/>
  <c r="BH630" i="1"/>
  <c r="BG630" i="1"/>
  <c r="BF630" i="1"/>
  <c r="BD630" i="1"/>
  <c r="BC630" i="1"/>
  <c r="AZ630" i="1"/>
  <c r="AY630" i="1"/>
  <c r="AV630" i="1"/>
  <c r="AU630" i="1"/>
  <c r="AR630" i="1"/>
  <c r="AQ630" i="1"/>
  <c r="AP630" i="1"/>
  <c r="AO630" i="1"/>
  <c r="AN630" i="1"/>
  <c r="AM630" i="1"/>
  <c r="AL630" i="1"/>
  <c r="AK630" i="1"/>
  <c r="AJ630" i="1"/>
  <c r="AI630" i="1"/>
  <c r="AH630" i="1"/>
  <c r="AG630" i="1"/>
  <c r="AF630" i="1"/>
  <c r="AE630" i="1"/>
  <c r="R630" i="1"/>
  <c r="Q630" i="1"/>
  <c r="DE629" i="1"/>
  <c r="DD629" i="1"/>
  <c r="DC629" i="1"/>
  <c r="DB629" i="1"/>
  <c r="DA629" i="1"/>
  <c r="CZ629" i="1"/>
  <c r="CY629" i="1"/>
  <c r="CX629" i="1"/>
  <c r="CW629" i="1"/>
  <c r="CV629" i="1"/>
  <c r="CU629" i="1"/>
  <c r="CT629" i="1"/>
  <c r="CS629" i="1"/>
  <c r="CR629" i="1"/>
  <c r="CQ629" i="1"/>
  <c r="CP629" i="1"/>
  <c r="CO629" i="1"/>
  <c r="CN629" i="1"/>
  <c r="CM629" i="1"/>
  <c r="CL629" i="1"/>
  <c r="CK629" i="1"/>
  <c r="CJ629" i="1"/>
  <c r="CI629" i="1"/>
  <c r="CH629" i="1"/>
  <c r="CG629" i="1"/>
  <c r="CF629" i="1"/>
  <c r="BR629" i="1"/>
  <c r="BQ629" i="1"/>
  <c r="BP629" i="1"/>
  <c r="BO629" i="1"/>
  <c r="BN629" i="1"/>
  <c r="BM629" i="1"/>
  <c r="BL629" i="1"/>
  <c r="BK629" i="1"/>
  <c r="BJ629" i="1"/>
  <c r="BI629" i="1"/>
  <c r="BH629" i="1"/>
  <c r="BF629" i="1"/>
  <c r="BC629" i="1"/>
  <c r="BB629" i="1"/>
  <c r="AY629" i="1"/>
  <c r="AX629" i="1"/>
  <c r="AU629" i="1"/>
  <c r="AT629" i="1"/>
  <c r="AR629" i="1"/>
  <c r="AQ629" i="1"/>
  <c r="AP629" i="1"/>
  <c r="AO629" i="1"/>
  <c r="AN629" i="1"/>
  <c r="AM629" i="1"/>
  <c r="AL629" i="1"/>
  <c r="AK629" i="1"/>
  <c r="AJ629" i="1"/>
  <c r="AI629" i="1"/>
  <c r="AH629" i="1"/>
  <c r="AF629" i="1"/>
  <c r="AE629" i="1"/>
  <c r="O630" i="1" s="1"/>
  <c r="P630" i="1" s="1"/>
  <c r="O629" i="1"/>
  <c r="P629" i="1" s="1"/>
  <c r="AG629" i="1" s="1"/>
  <c r="J629" i="1"/>
  <c r="DE628" i="1"/>
  <c r="DD628" i="1"/>
  <c r="DC628" i="1"/>
  <c r="DB628" i="1"/>
  <c r="DA628" i="1"/>
  <c r="CZ628" i="1"/>
  <c r="CY628" i="1"/>
  <c r="CX628" i="1"/>
  <c r="CW628" i="1"/>
  <c r="CV628" i="1"/>
  <c r="CU628" i="1"/>
  <c r="CT628" i="1"/>
  <c r="CS628" i="1"/>
  <c r="CR628" i="1"/>
  <c r="CQ628" i="1"/>
  <c r="CP628" i="1"/>
  <c r="CO628" i="1"/>
  <c r="CN628" i="1"/>
  <c r="CM628" i="1"/>
  <c r="CL628" i="1"/>
  <c r="CK628" i="1"/>
  <c r="CJ628" i="1"/>
  <c r="CI628" i="1"/>
  <c r="CH628" i="1"/>
  <c r="CG628" i="1"/>
  <c r="CF628" i="1"/>
  <c r="CC628" i="1"/>
  <c r="CB628" i="1"/>
  <c r="BY628" i="1"/>
  <c r="BX628" i="1"/>
  <c r="BU628" i="1"/>
  <c r="BR628" i="1"/>
  <c r="BP628" i="1"/>
  <c r="BO628" i="1"/>
  <c r="BN628" i="1"/>
  <c r="BM628" i="1"/>
  <c r="BL628" i="1"/>
  <c r="BK628" i="1"/>
  <c r="BJ628" i="1"/>
  <c r="BI628" i="1"/>
  <c r="BH628" i="1"/>
  <c r="BG628" i="1"/>
  <c r="BF628" i="1"/>
  <c r="BE628" i="1"/>
  <c r="BD628" i="1"/>
  <c r="BA628" i="1"/>
  <c r="AZ628" i="1"/>
  <c r="AW628" i="1"/>
  <c r="AV628" i="1"/>
  <c r="AS628" i="1"/>
  <c r="AR628" i="1"/>
  <c r="AP628" i="1"/>
  <c r="AO628" i="1"/>
  <c r="AN628" i="1"/>
  <c r="AM628" i="1"/>
  <c r="AL628" i="1"/>
  <c r="AK628" i="1"/>
  <c r="AJ628" i="1"/>
  <c r="AI628" i="1"/>
  <c r="AH628" i="1"/>
  <c r="AG628" i="1"/>
  <c r="AF628" i="1"/>
  <c r="AE628" i="1"/>
  <c r="AD628" i="1"/>
  <c r="F628" i="1"/>
  <c r="B628" i="1"/>
  <c r="BE630" i="1" s="1"/>
  <c r="DE627" i="1"/>
  <c r="DD627" i="1"/>
  <c r="DC627" i="1"/>
  <c r="DB627" i="1"/>
  <c r="DA627" i="1"/>
  <c r="CZ627" i="1"/>
  <c r="CY627" i="1"/>
  <c r="CX627" i="1"/>
  <c r="CW627" i="1"/>
  <c r="CV627" i="1"/>
  <c r="CU627" i="1"/>
  <c r="CT627" i="1"/>
  <c r="CS627" i="1"/>
  <c r="CR627" i="1"/>
  <c r="CQ627" i="1"/>
  <c r="CP627" i="1"/>
  <c r="CO627" i="1"/>
  <c r="CN627" i="1"/>
  <c r="CM627" i="1"/>
  <c r="CL627" i="1"/>
  <c r="CK627" i="1"/>
  <c r="CJ627" i="1"/>
  <c r="CI627" i="1"/>
  <c r="CH627" i="1"/>
  <c r="CG627" i="1"/>
  <c r="CF627" i="1"/>
  <c r="BR627" i="1"/>
  <c r="BQ627" i="1"/>
  <c r="BP627" i="1"/>
  <c r="BO627" i="1"/>
  <c r="BN627" i="1"/>
  <c r="BM627" i="1"/>
  <c r="BL627" i="1"/>
  <c r="BK627" i="1"/>
  <c r="BJ627" i="1"/>
  <c r="BI627" i="1"/>
  <c r="BH627" i="1"/>
  <c r="BG627" i="1"/>
  <c r="BF627" i="1"/>
  <c r="BE627" i="1"/>
  <c r="BA627" i="1"/>
  <c r="AW627" i="1"/>
  <c r="AS627" i="1"/>
  <c r="AR627" i="1"/>
  <c r="AQ627" i="1"/>
  <c r="AP627" i="1"/>
  <c r="AO627" i="1"/>
  <c r="AN627" i="1"/>
  <c r="AM627" i="1"/>
  <c r="AL627" i="1"/>
  <c r="AK627" i="1"/>
  <c r="AJ627" i="1"/>
  <c r="AI627" i="1"/>
  <c r="AH627" i="1"/>
  <c r="AG627" i="1"/>
  <c r="AF627" i="1"/>
  <c r="AE627" i="1"/>
  <c r="AD627" i="1"/>
  <c r="R627" i="1"/>
  <c r="Q627" i="1"/>
  <c r="DE626" i="1"/>
  <c r="DD626" i="1"/>
  <c r="DC626" i="1"/>
  <c r="DB626" i="1"/>
  <c r="DA626" i="1"/>
  <c r="CZ626" i="1"/>
  <c r="CY626" i="1"/>
  <c r="CX626" i="1"/>
  <c r="CW626" i="1"/>
  <c r="CV626" i="1"/>
  <c r="CU626" i="1"/>
  <c r="CT626" i="1"/>
  <c r="CS626" i="1"/>
  <c r="CR626" i="1"/>
  <c r="CQ626" i="1"/>
  <c r="CP626" i="1"/>
  <c r="CO626" i="1"/>
  <c r="CN626" i="1"/>
  <c r="CM626" i="1"/>
  <c r="CL626" i="1"/>
  <c r="CK626" i="1"/>
  <c r="CJ626" i="1"/>
  <c r="CI626" i="1"/>
  <c r="CH626" i="1"/>
  <c r="CG626" i="1"/>
  <c r="CF626" i="1"/>
  <c r="BR626" i="1"/>
  <c r="BQ626" i="1"/>
  <c r="BP626" i="1"/>
  <c r="BO626" i="1"/>
  <c r="BN626" i="1"/>
  <c r="BM626" i="1"/>
  <c r="BL626" i="1"/>
  <c r="BK626" i="1"/>
  <c r="BJ626" i="1"/>
  <c r="BI626" i="1"/>
  <c r="BH626" i="1"/>
  <c r="BG626" i="1"/>
  <c r="BF626" i="1"/>
  <c r="BE626" i="1"/>
  <c r="BA626" i="1"/>
  <c r="AW626" i="1"/>
  <c r="AS626" i="1"/>
  <c r="AR626" i="1"/>
  <c r="AQ626" i="1"/>
  <c r="AP626" i="1"/>
  <c r="AO626" i="1"/>
  <c r="AN626" i="1"/>
  <c r="AM626" i="1"/>
  <c r="AL626" i="1"/>
  <c r="AK626" i="1"/>
  <c r="AJ626" i="1"/>
  <c r="AI626" i="1"/>
  <c r="AH626" i="1"/>
  <c r="AG626" i="1"/>
  <c r="AF626" i="1"/>
  <c r="AE626" i="1"/>
  <c r="AD626" i="1"/>
  <c r="J626" i="1"/>
  <c r="DE625" i="1"/>
  <c r="DD625" i="1"/>
  <c r="DC625" i="1"/>
  <c r="DB625" i="1"/>
  <c r="DA625" i="1"/>
  <c r="CZ625" i="1"/>
  <c r="CY625" i="1"/>
  <c r="CX625" i="1"/>
  <c r="CW625" i="1"/>
  <c r="CV625" i="1"/>
  <c r="CU625" i="1"/>
  <c r="CT625" i="1"/>
  <c r="CS625" i="1"/>
  <c r="CR625" i="1"/>
  <c r="CQ625" i="1"/>
  <c r="CP625" i="1"/>
  <c r="CO625" i="1"/>
  <c r="CN625" i="1"/>
  <c r="CM625" i="1"/>
  <c r="CL625" i="1"/>
  <c r="CK625" i="1"/>
  <c r="CJ625" i="1"/>
  <c r="CI625" i="1"/>
  <c r="CH625" i="1"/>
  <c r="CG625" i="1"/>
  <c r="CF625" i="1"/>
  <c r="CB625" i="1"/>
  <c r="BX625" i="1"/>
  <c r="BT625" i="1"/>
  <c r="BR625" i="1"/>
  <c r="BQ625" i="1"/>
  <c r="BP625" i="1"/>
  <c r="BO625" i="1"/>
  <c r="BN625" i="1"/>
  <c r="BM625" i="1"/>
  <c r="BL625" i="1"/>
  <c r="BK625" i="1"/>
  <c r="BJ625" i="1"/>
  <c r="BI625" i="1"/>
  <c r="BH625" i="1"/>
  <c r="BG625" i="1"/>
  <c r="BF625" i="1"/>
  <c r="BD625" i="1"/>
  <c r="AZ625" i="1"/>
  <c r="AV625" i="1"/>
  <c r="AR625" i="1"/>
  <c r="AQ625" i="1"/>
  <c r="AP625" i="1"/>
  <c r="AO625" i="1"/>
  <c r="AN625" i="1"/>
  <c r="AM625" i="1"/>
  <c r="AL625" i="1"/>
  <c r="AK625" i="1"/>
  <c r="AJ625" i="1"/>
  <c r="AI625" i="1"/>
  <c r="AH625" i="1"/>
  <c r="AG625" i="1"/>
  <c r="AF625" i="1"/>
  <c r="AE625" i="1"/>
  <c r="O627" i="1" s="1"/>
  <c r="P627" i="1" s="1"/>
  <c r="AD625" i="1"/>
  <c r="P625" i="1"/>
  <c r="O625" i="1"/>
  <c r="F625" i="1"/>
  <c r="D625" i="1"/>
  <c r="B625" i="1"/>
  <c r="BB627" i="1" s="1"/>
  <c r="DE624" i="1"/>
  <c r="DD624" i="1"/>
  <c r="DC624" i="1"/>
  <c r="DB624" i="1"/>
  <c r="DA624" i="1"/>
  <c r="CZ624" i="1"/>
  <c r="CY624" i="1"/>
  <c r="CX624" i="1"/>
  <c r="CW624" i="1"/>
  <c r="CV624" i="1"/>
  <c r="CU624" i="1"/>
  <c r="CT624" i="1"/>
  <c r="CS624" i="1"/>
  <c r="CR624" i="1"/>
  <c r="CQ624" i="1"/>
  <c r="CP624" i="1"/>
  <c r="CO624" i="1"/>
  <c r="CN624" i="1"/>
  <c r="CM624" i="1"/>
  <c r="CL624" i="1"/>
  <c r="CK624" i="1"/>
  <c r="CJ624" i="1"/>
  <c r="CI624" i="1"/>
  <c r="CH624" i="1"/>
  <c r="CG624" i="1"/>
  <c r="CF624" i="1"/>
  <c r="BR624" i="1"/>
  <c r="BQ624" i="1"/>
  <c r="BP624" i="1"/>
  <c r="BO624" i="1"/>
  <c r="BN624" i="1"/>
  <c r="BM624" i="1"/>
  <c r="BL624" i="1"/>
  <c r="BK624" i="1"/>
  <c r="BJ624" i="1"/>
  <c r="BI624" i="1"/>
  <c r="BH624" i="1"/>
  <c r="BG624" i="1"/>
  <c r="BF624" i="1"/>
  <c r="BD624" i="1"/>
  <c r="BC624" i="1"/>
  <c r="AZ624" i="1"/>
  <c r="AY624" i="1"/>
  <c r="AV624" i="1"/>
  <c r="AU624" i="1"/>
  <c r="AR624" i="1"/>
  <c r="AQ624" i="1"/>
  <c r="AP624" i="1"/>
  <c r="AO624" i="1"/>
  <c r="AN624" i="1"/>
  <c r="AM624" i="1"/>
  <c r="AL624" i="1"/>
  <c r="AK624" i="1"/>
  <c r="AJ624" i="1"/>
  <c r="AI624" i="1"/>
  <c r="AH624" i="1"/>
  <c r="AG624" i="1"/>
  <c r="AF624" i="1"/>
  <c r="AE624" i="1"/>
  <c r="R624" i="1"/>
  <c r="Q624" i="1"/>
  <c r="DE623" i="1"/>
  <c r="DD623" i="1"/>
  <c r="DC623" i="1"/>
  <c r="DB623" i="1"/>
  <c r="DA623" i="1"/>
  <c r="CZ623" i="1"/>
  <c r="CY623" i="1"/>
  <c r="CX623" i="1"/>
  <c r="CW623" i="1"/>
  <c r="CV623" i="1"/>
  <c r="CU623" i="1"/>
  <c r="CT623" i="1"/>
  <c r="CS623" i="1"/>
  <c r="CR623" i="1"/>
  <c r="CQ623" i="1"/>
  <c r="CP623" i="1"/>
  <c r="CO623" i="1"/>
  <c r="CN623" i="1"/>
  <c r="CM623" i="1"/>
  <c r="CL623" i="1"/>
  <c r="CK623" i="1"/>
  <c r="CJ623" i="1"/>
  <c r="CI623" i="1"/>
  <c r="CH623" i="1"/>
  <c r="CG623" i="1"/>
  <c r="CF623" i="1"/>
  <c r="BR623" i="1"/>
  <c r="BQ623" i="1"/>
  <c r="BP623" i="1"/>
  <c r="BO623" i="1"/>
  <c r="BN623" i="1"/>
  <c r="BM623" i="1"/>
  <c r="BL623" i="1"/>
  <c r="BK623" i="1"/>
  <c r="BJ623" i="1"/>
  <c r="BH623" i="1"/>
  <c r="BG623" i="1"/>
  <c r="BF623" i="1"/>
  <c r="BC623" i="1"/>
  <c r="BB623" i="1"/>
  <c r="AY623" i="1"/>
  <c r="AX623" i="1"/>
  <c r="AU623" i="1"/>
  <c r="AT623" i="1"/>
  <c r="AR623" i="1"/>
  <c r="AQ623" i="1"/>
  <c r="AP623" i="1"/>
  <c r="AO623" i="1"/>
  <c r="AN623" i="1"/>
  <c r="AM623" i="1"/>
  <c r="AL623" i="1"/>
  <c r="AK623" i="1"/>
  <c r="AJ623" i="1"/>
  <c r="AH623" i="1"/>
  <c r="AG623" i="1"/>
  <c r="AF623" i="1"/>
  <c r="AE623" i="1"/>
  <c r="O624" i="1" s="1"/>
  <c r="P624" i="1" s="1"/>
  <c r="O623" i="1"/>
  <c r="P623" i="1" s="1"/>
  <c r="AI623" i="1" s="1"/>
  <c r="J623" i="1"/>
  <c r="DE622" i="1"/>
  <c r="DD622" i="1"/>
  <c r="DC622" i="1"/>
  <c r="DB622" i="1"/>
  <c r="DA622" i="1"/>
  <c r="CZ622" i="1"/>
  <c r="CY622" i="1"/>
  <c r="CX622" i="1"/>
  <c r="CW622" i="1"/>
  <c r="CV622" i="1"/>
  <c r="CU622" i="1"/>
  <c r="CT622" i="1"/>
  <c r="CS622" i="1"/>
  <c r="CR622" i="1"/>
  <c r="CQ622" i="1"/>
  <c r="CP622" i="1"/>
  <c r="CO622" i="1"/>
  <c r="CN622" i="1"/>
  <c r="CM622" i="1"/>
  <c r="CL622" i="1"/>
  <c r="CK622" i="1"/>
  <c r="CJ622" i="1"/>
  <c r="CI622" i="1"/>
  <c r="CH622" i="1"/>
  <c r="CG622" i="1"/>
  <c r="CF622" i="1"/>
  <c r="CC622" i="1"/>
  <c r="CB622" i="1"/>
  <c r="BY622" i="1"/>
  <c r="BX622" i="1"/>
  <c r="BU622" i="1"/>
  <c r="BT622" i="1"/>
  <c r="BR622" i="1"/>
  <c r="BQ622" i="1"/>
  <c r="BP622" i="1"/>
  <c r="BO622" i="1"/>
  <c r="BN622" i="1"/>
  <c r="BM622" i="1"/>
  <c r="BL622" i="1"/>
  <c r="BK622" i="1"/>
  <c r="BI622" i="1"/>
  <c r="BH622" i="1"/>
  <c r="BG622" i="1"/>
  <c r="BF622" i="1"/>
  <c r="BE622" i="1"/>
  <c r="BD622" i="1"/>
  <c r="BA622" i="1"/>
  <c r="AZ622" i="1"/>
  <c r="AW622" i="1"/>
  <c r="AV622" i="1"/>
  <c r="AS622" i="1"/>
  <c r="AR622" i="1"/>
  <c r="AQ622" i="1"/>
  <c r="AP622" i="1"/>
  <c r="AO622" i="1"/>
  <c r="AN622" i="1"/>
  <c r="AM622" i="1"/>
  <c r="AL622" i="1"/>
  <c r="AK622" i="1"/>
  <c r="AI622" i="1"/>
  <c r="AH622" i="1"/>
  <c r="AG622" i="1"/>
  <c r="AF622" i="1"/>
  <c r="AE622" i="1"/>
  <c r="AD622" i="1"/>
  <c r="F622" i="1"/>
  <c r="D622" i="1"/>
  <c r="DJ624" i="1" s="1"/>
  <c r="B622" i="1"/>
  <c r="BE624" i="1" s="1"/>
  <c r="DJ621" i="1"/>
  <c r="DE621" i="1"/>
  <c r="DD621" i="1"/>
  <c r="DC621" i="1"/>
  <c r="DB621" i="1"/>
  <c r="DA621" i="1"/>
  <c r="CZ621" i="1"/>
  <c r="CY621" i="1"/>
  <c r="CX621" i="1"/>
  <c r="CW621" i="1"/>
  <c r="CV621" i="1"/>
  <c r="CU621" i="1"/>
  <c r="CT621" i="1"/>
  <c r="CS621" i="1"/>
  <c r="CR621" i="1"/>
  <c r="CQ621" i="1"/>
  <c r="CP621" i="1"/>
  <c r="CO621" i="1"/>
  <c r="CN621" i="1"/>
  <c r="CM621" i="1"/>
  <c r="CL621" i="1"/>
  <c r="CK621" i="1"/>
  <c r="CJ621" i="1"/>
  <c r="CI621" i="1"/>
  <c r="CH621" i="1"/>
  <c r="CG621" i="1"/>
  <c r="CF621" i="1"/>
  <c r="BR621" i="1"/>
  <c r="BQ621" i="1"/>
  <c r="BP621" i="1"/>
  <c r="BO621" i="1"/>
  <c r="BN621" i="1"/>
  <c r="BL621" i="1"/>
  <c r="BK621" i="1"/>
  <c r="BJ621" i="1"/>
  <c r="BI621" i="1"/>
  <c r="BH621" i="1"/>
  <c r="BG621" i="1"/>
  <c r="BF621" i="1"/>
  <c r="AR621" i="1"/>
  <c r="AQ621" i="1"/>
  <c r="AP621" i="1"/>
  <c r="AO621" i="1"/>
  <c r="AN621" i="1"/>
  <c r="AL621" i="1"/>
  <c r="AK621" i="1"/>
  <c r="AJ621" i="1"/>
  <c r="AI621" i="1"/>
  <c r="AH621" i="1"/>
  <c r="AG621" i="1"/>
  <c r="AF621" i="1"/>
  <c r="AE621" i="1"/>
  <c r="AD621" i="1"/>
  <c r="DJ620" i="1"/>
  <c r="DE620" i="1"/>
  <c r="DD620" i="1"/>
  <c r="DC620" i="1"/>
  <c r="DB620" i="1"/>
  <c r="DA620" i="1"/>
  <c r="CZ620" i="1"/>
  <c r="CY620" i="1"/>
  <c r="CX620" i="1"/>
  <c r="CW620" i="1"/>
  <c r="CV620" i="1"/>
  <c r="CU620" i="1"/>
  <c r="CT620" i="1"/>
  <c r="CS620" i="1"/>
  <c r="CR620" i="1"/>
  <c r="CQ620" i="1"/>
  <c r="CP620" i="1"/>
  <c r="CO620" i="1"/>
  <c r="CN620" i="1"/>
  <c r="CM620" i="1"/>
  <c r="CL620" i="1"/>
  <c r="CK620" i="1"/>
  <c r="CJ620" i="1"/>
  <c r="CI620" i="1"/>
  <c r="CH620" i="1"/>
  <c r="CG620" i="1"/>
  <c r="CF620" i="1"/>
  <c r="BR620" i="1"/>
  <c r="BQ620" i="1"/>
  <c r="BP620" i="1"/>
  <c r="BO620" i="1"/>
  <c r="BN620" i="1"/>
  <c r="BL620" i="1"/>
  <c r="BK620" i="1"/>
  <c r="BJ620" i="1"/>
  <c r="BI620" i="1"/>
  <c r="BH620" i="1"/>
  <c r="BG620" i="1"/>
  <c r="BF620" i="1"/>
  <c r="AR620" i="1"/>
  <c r="AQ620" i="1"/>
  <c r="AP620" i="1"/>
  <c r="AO620" i="1"/>
  <c r="AN620" i="1"/>
  <c r="AL620" i="1"/>
  <c r="AK620" i="1"/>
  <c r="AJ620" i="1"/>
  <c r="AI620" i="1"/>
  <c r="AH620" i="1"/>
  <c r="AG620" i="1"/>
  <c r="AF620" i="1"/>
  <c r="AE620" i="1"/>
  <c r="AD620" i="1"/>
  <c r="DJ619" i="1"/>
  <c r="DE619" i="1"/>
  <c r="DD619" i="1"/>
  <c r="DC619" i="1"/>
  <c r="DB619" i="1"/>
  <c r="DA619" i="1"/>
  <c r="CZ619" i="1"/>
  <c r="CY619" i="1"/>
  <c r="CX619" i="1"/>
  <c r="CW619" i="1"/>
  <c r="CV619" i="1"/>
  <c r="CU619" i="1"/>
  <c r="CT619" i="1"/>
  <c r="CS619" i="1"/>
  <c r="CR619" i="1"/>
  <c r="CQ619" i="1"/>
  <c r="CP619" i="1"/>
  <c r="CO619" i="1"/>
  <c r="CN619" i="1"/>
  <c r="CM619" i="1"/>
  <c r="CL619" i="1"/>
  <c r="CK619" i="1"/>
  <c r="CJ619" i="1"/>
  <c r="CI619" i="1"/>
  <c r="CH619" i="1"/>
  <c r="CG619" i="1"/>
  <c r="CF619" i="1"/>
  <c r="BR619" i="1"/>
  <c r="BP619" i="1"/>
  <c r="BO619" i="1"/>
  <c r="BN619" i="1"/>
  <c r="BM619" i="1"/>
  <c r="BL619" i="1"/>
  <c r="BK619" i="1"/>
  <c r="BJ619" i="1"/>
  <c r="BI619" i="1"/>
  <c r="BH619" i="1"/>
  <c r="BG619" i="1"/>
  <c r="BF619" i="1"/>
  <c r="AR619" i="1"/>
  <c r="AP619" i="1"/>
  <c r="AO619" i="1"/>
  <c r="AN619" i="1"/>
  <c r="AM619" i="1"/>
  <c r="AL619" i="1"/>
  <c r="AK619" i="1"/>
  <c r="AJ619" i="1"/>
  <c r="AI619" i="1"/>
  <c r="AH619" i="1"/>
  <c r="AG619" i="1"/>
  <c r="AF619" i="1"/>
  <c r="AE619" i="1"/>
  <c r="O621" i="1" s="1"/>
  <c r="AD619" i="1"/>
  <c r="O619" i="1"/>
  <c r="P619" i="1" s="1"/>
  <c r="F619" i="1"/>
  <c r="D619" i="1"/>
  <c r="B619" i="1"/>
  <c r="BB621" i="1" s="1"/>
  <c r="DJ618" i="1"/>
  <c r="DE618" i="1"/>
  <c r="DD618" i="1"/>
  <c r="DC618" i="1"/>
  <c r="DB618" i="1"/>
  <c r="DA618" i="1"/>
  <c r="CZ618" i="1"/>
  <c r="CY618" i="1"/>
  <c r="CX618" i="1"/>
  <c r="CW618" i="1"/>
  <c r="CV618" i="1"/>
  <c r="CU618" i="1"/>
  <c r="CT618" i="1"/>
  <c r="CS618" i="1"/>
  <c r="CR618" i="1"/>
  <c r="CQ618" i="1"/>
  <c r="CP618" i="1"/>
  <c r="CO618" i="1"/>
  <c r="CN618" i="1"/>
  <c r="CM618" i="1"/>
  <c r="CL618" i="1"/>
  <c r="CK618" i="1"/>
  <c r="CJ618" i="1"/>
  <c r="CI618" i="1"/>
  <c r="CH618" i="1"/>
  <c r="CG618" i="1"/>
  <c r="CF618" i="1"/>
  <c r="BR618" i="1"/>
  <c r="BQ618" i="1"/>
  <c r="BP618" i="1"/>
  <c r="BO618" i="1"/>
  <c r="BN618" i="1"/>
  <c r="BM618" i="1"/>
  <c r="BL618" i="1"/>
  <c r="BK618" i="1"/>
  <c r="BJ618" i="1"/>
  <c r="BI618" i="1"/>
  <c r="BH618" i="1"/>
  <c r="BG618" i="1"/>
  <c r="BF618" i="1"/>
  <c r="BE618" i="1"/>
  <c r="BC618" i="1"/>
  <c r="BB618" i="1"/>
  <c r="BA618" i="1"/>
  <c r="AY618" i="1"/>
  <c r="AX618" i="1"/>
  <c r="AW618" i="1"/>
  <c r="AU618" i="1"/>
  <c r="AT618" i="1"/>
  <c r="AS618" i="1"/>
  <c r="AR618" i="1"/>
  <c r="AQ618" i="1"/>
  <c r="AP618" i="1"/>
  <c r="AO618" i="1"/>
  <c r="AN618" i="1"/>
  <c r="AM618" i="1"/>
  <c r="AL618" i="1"/>
  <c r="AK618" i="1"/>
  <c r="AJ618" i="1"/>
  <c r="AI618" i="1"/>
  <c r="AH618" i="1"/>
  <c r="AG618" i="1"/>
  <c r="AF618" i="1"/>
  <c r="AE618" i="1"/>
  <c r="R618" i="1"/>
  <c r="Q618" i="1"/>
  <c r="DJ617" i="1"/>
  <c r="DE617" i="1"/>
  <c r="DD617" i="1"/>
  <c r="DC617" i="1"/>
  <c r="DB617" i="1"/>
  <c r="DA617" i="1"/>
  <c r="CZ617" i="1"/>
  <c r="CY617" i="1"/>
  <c r="CX617" i="1"/>
  <c r="CW617" i="1"/>
  <c r="CV617" i="1"/>
  <c r="CU617" i="1"/>
  <c r="CT617" i="1"/>
  <c r="CS617" i="1"/>
  <c r="CR617" i="1"/>
  <c r="CQ617" i="1"/>
  <c r="CP617" i="1"/>
  <c r="CO617" i="1"/>
  <c r="CN617" i="1"/>
  <c r="CM617" i="1"/>
  <c r="CL617" i="1"/>
  <c r="CK617" i="1"/>
  <c r="CJ617" i="1"/>
  <c r="CI617" i="1"/>
  <c r="CH617" i="1"/>
  <c r="CG617" i="1"/>
  <c r="CF617" i="1"/>
  <c r="BR617" i="1"/>
  <c r="BP617" i="1"/>
  <c r="BO617" i="1"/>
  <c r="BN617" i="1"/>
  <c r="BM617" i="1"/>
  <c r="BL617" i="1"/>
  <c r="BK617" i="1"/>
  <c r="BJ617" i="1"/>
  <c r="BI617" i="1"/>
  <c r="BH617" i="1"/>
  <c r="BG617" i="1"/>
  <c r="BF617" i="1"/>
  <c r="BE617" i="1"/>
  <c r="BD617" i="1"/>
  <c r="BB617" i="1"/>
  <c r="BA617" i="1"/>
  <c r="AZ617" i="1"/>
  <c r="AX617" i="1"/>
  <c r="AW617" i="1"/>
  <c r="AV617" i="1"/>
  <c r="AT617" i="1"/>
  <c r="AS617" i="1"/>
  <c r="AR617" i="1"/>
  <c r="AP617" i="1"/>
  <c r="AO617" i="1"/>
  <c r="AN617" i="1"/>
  <c r="AM617" i="1"/>
  <c r="AL617" i="1"/>
  <c r="AK617" i="1"/>
  <c r="AJ617" i="1"/>
  <c r="AI617" i="1"/>
  <c r="AH617" i="1"/>
  <c r="AG617" i="1"/>
  <c r="AF617" i="1"/>
  <c r="AE617" i="1"/>
  <c r="DK616" i="1"/>
  <c r="DJ616" i="1"/>
  <c r="DE616" i="1"/>
  <c r="DD616" i="1"/>
  <c r="DC616" i="1"/>
  <c r="DB616" i="1"/>
  <c r="DA616" i="1"/>
  <c r="CZ616" i="1"/>
  <c r="CY616" i="1"/>
  <c r="CX616" i="1"/>
  <c r="CW616" i="1"/>
  <c r="CV616" i="1"/>
  <c r="CU616" i="1"/>
  <c r="CT616" i="1"/>
  <c r="CS616" i="1"/>
  <c r="CR616" i="1"/>
  <c r="CQ616" i="1"/>
  <c r="CP616" i="1"/>
  <c r="CO616" i="1"/>
  <c r="CN616" i="1"/>
  <c r="CM616" i="1"/>
  <c r="CL616" i="1"/>
  <c r="CK616" i="1"/>
  <c r="CJ616" i="1"/>
  <c r="CI616" i="1"/>
  <c r="CH616" i="1"/>
  <c r="CG616" i="1"/>
  <c r="CF616" i="1"/>
  <c r="CE616" i="1"/>
  <c r="CC616" i="1"/>
  <c r="CA616" i="1"/>
  <c r="BZ616" i="1"/>
  <c r="BY616" i="1"/>
  <c r="BW616" i="1"/>
  <c r="BV616" i="1"/>
  <c r="BU616" i="1"/>
  <c r="BS616" i="1"/>
  <c r="BR616" i="1"/>
  <c r="BQ616" i="1"/>
  <c r="BP616" i="1"/>
  <c r="BO616" i="1"/>
  <c r="BN616" i="1"/>
  <c r="BM616" i="1"/>
  <c r="BL616" i="1"/>
  <c r="BK616" i="1"/>
  <c r="BI616" i="1"/>
  <c r="BH616" i="1"/>
  <c r="BG616" i="1"/>
  <c r="BF616" i="1"/>
  <c r="BE616" i="1"/>
  <c r="BC616" i="1"/>
  <c r="BB616" i="1"/>
  <c r="BA616" i="1"/>
  <c r="AY616" i="1"/>
  <c r="AX616" i="1"/>
  <c r="AW616" i="1"/>
  <c r="AU616" i="1"/>
  <c r="AT616" i="1"/>
  <c r="AS616" i="1"/>
  <c r="AR616" i="1"/>
  <c r="AQ616" i="1"/>
  <c r="AP616" i="1"/>
  <c r="AO616" i="1"/>
  <c r="AN616" i="1"/>
  <c r="AM616" i="1"/>
  <c r="AL616" i="1"/>
  <c r="AK616" i="1"/>
  <c r="AI616" i="1"/>
  <c r="AH616" i="1"/>
  <c r="AG616" i="1"/>
  <c r="AF616" i="1"/>
  <c r="AE616" i="1"/>
  <c r="O617" i="1" s="1"/>
  <c r="AD616" i="1"/>
  <c r="O616" i="1"/>
  <c r="AJ616" i="1" s="1"/>
  <c r="F616" i="1"/>
  <c r="B616" i="1"/>
  <c r="BD618" i="1" s="1"/>
  <c r="DE615" i="1"/>
  <c r="DD615" i="1"/>
  <c r="DC615" i="1"/>
  <c r="DB615" i="1"/>
  <c r="DA615" i="1"/>
  <c r="CZ615" i="1"/>
  <c r="CY615" i="1"/>
  <c r="CX615" i="1"/>
  <c r="CW615" i="1"/>
  <c r="CV615" i="1"/>
  <c r="CU615" i="1"/>
  <c r="CT615" i="1"/>
  <c r="CS615" i="1"/>
  <c r="CR615" i="1"/>
  <c r="CQ615" i="1"/>
  <c r="CP615" i="1"/>
  <c r="CO615" i="1"/>
  <c r="CN615" i="1"/>
  <c r="CM615" i="1"/>
  <c r="CL615" i="1"/>
  <c r="CK615" i="1"/>
  <c r="CJ615" i="1"/>
  <c r="CI615" i="1"/>
  <c r="CH615" i="1"/>
  <c r="CG615" i="1"/>
  <c r="CF615" i="1"/>
  <c r="BR615" i="1"/>
  <c r="BQ615" i="1"/>
  <c r="BP615" i="1"/>
  <c r="BO615" i="1"/>
  <c r="BN615" i="1"/>
  <c r="BM615" i="1"/>
  <c r="BL615" i="1"/>
  <c r="BK615" i="1"/>
  <c r="BJ615" i="1"/>
  <c r="BI615" i="1"/>
  <c r="BH615" i="1"/>
  <c r="BG615" i="1"/>
  <c r="BF615" i="1"/>
  <c r="AR615" i="1"/>
  <c r="AQ615" i="1"/>
  <c r="AP615" i="1"/>
  <c r="AO615" i="1"/>
  <c r="AN615" i="1"/>
  <c r="AM615" i="1"/>
  <c r="AL615" i="1"/>
  <c r="AK615" i="1"/>
  <c r="AJ615" i="1"/>
  <c r="AI615" i="1"/>
  <c r="AH615" i="1"/>
  <c r="AG615" i="1"/>
  <c r="AF615" i="1"/>
  <c r="AE615" i="1"/>
  <c r="AD615" i="1"/>
  <c r="R615" i="1"/>
  <c r="Q615" i="1"/>
  <c r="DE614" i="1"/>
  <c r="DD614" i="1"/>
  <c r="DC614" i="1"/>
  <c r="DB614" i="1"/>
  <c r="DA614" i="1"/>
  <c r="CZ614" i="1"/>
  <c r="CY614" i="1"/>
  <c r="CX614" i="1"/>
  <c r="CW614" i="1"/>
  <c r="CV614" i="1"/>
  <c r="CU614" i="1"/>
  <c r="CT614" i="1"/>
  <c r="CS614" i="1"/>
  <c r="CR614" i="1"/>
  <c r="CQ614" i="1"/>
  <c r="CP614" i="1"/>
  <c r="CO614" i="1"/>
  <c r="CN614" i="1"/>
  <c r="CM614" i="1"/>
  <c r="CL614" i="1"/>
  <c r="CK614" i="1"/>
  <c r="CJ614" i="1"/>
  <c r="CI614" i="1"/>
  <c r="CH614" i="1"/>
  <c r="CG614" i="1"/>
  <c r="CF614" i="1"/>
  <c r="BR614" i="1"/>
  <c r="BQ614" i="1"/>
  <c r="BP614" i="1"/>
  <c r="BO614" i="1"/>
  <c r="BN614" i="1"/>
  <c r="BM614" i="1"/>
  <c r="BL614" i="1"/>
  <c r="BK614" i="1"/>
  <c r="BI614" i="1"/>
  <c r="BH614" i="1"/>
  <c r="BG614" i="1"/>
  <c r="BF614" i="1"/>
  <c r="AR614" i="1"/>
  <c r="AQ614" i="1"/>
  <c r="AP614" i="1"/>
  <c r="AO614" i="1"/>
  <c r="AN614" i="1"/>
  <c r="AM614" i="1"/>
  <c r="AL614" i="1"/>
  <c r="AK614" i="1"/>
  <c r="AI614" i="1"/>
  <c r="AH614" i="1"/>
  <c r="AG614" i="1"/>
  <c r="AF614" i="1"/>
  <c r="AE614" i="1"/>
  <c r="AD614" i="1"/>
  <c r="J614" i="1"/>
  <c r="DE613" i="1"/>
  <c r="DD613" i="1"/>
  <c r="DC613" i="1"/>
  <c r="DB613" i="1"/>
  <c r="DA613" i="1"/>
  <c r="CZ613" i="1"/>
  <c r="CY613" i="1"/>
  <c r="CX613" i="1"/>
  <c r="CW613" i="1"/>
  <c r="CV613" i="1"/>
  <c r="CU613" i="1"/>
  <c r="CT613" i="1"/>
  <c r="CS613" i="1"/>
  <c r="CR613" i="1"/>
  <c r="CQ613" i="1"/>
  <c r="CP613" i="1"/>
  <c r="CO613" i="1"/>
  <c r="CN613" i="1"/>
  <c r="CM613" i="1"/>
  <c r="CL613" i="1"/>
  <c r="CK613" i="1"/>
  <c r="CJ613" i="1"/>
  <c r="CI613" i="1"/>
  <c r="CH613" i="1"/>
  <c r="CG613" i="1"/>
  <c r="CF613" i="1"/>
  <c r="BR613" i="1"/>
  <c r="BQ613" i="1"/>
  <c r="BP613" i="1"/>
  <c r="BO613" i="1"/>
  <c r="BN613" i="1"/>
  <c r="BL613" i="1"/>
  <c r="BK613" i="1"/>
  <c r="BJ613" i="1"/>
  <c r="BI613" i="1"/>
  <c r="BH613" i="1"/>
  <c r="BG613" i="1"/>
  <c r="BF613" i="1"/>
  <c r="AR613" i="1"/>
  <c r="AQ613" i="1"/>
  <c r="AP613" i="1"/>
  <c r="AO613" i="1"/>
  <c r="AN613" i="1"/>
  <c r="AL613" i="1"/>
  <c r="AK613" i="1"/>
  <c r="AJ613" i="1"/>
  <c r="AI613" i="1"/>
  <c r="AH613" i="1"/>
  <c r="AG613" i="1"/>
  <c r="AF613" i="1"/>
  <c r="AE613" i="1"/>
  <c r="O615" i="1" s="1"/>
  <c r="P615" i="1" s="1"/>
  <c r="AD613" i="1"/>
  <c r="O613" i="1"/>
  <c r="BM613" i="1" s="1"/>
  <c r="F613" i="1"/>
  <c r="B613" i="1"/>
  <c r="BC615" i="1" s="1"/>
  <c r="DE612" i="1"/>
  <c r="DD612" i="1"/>
  <c r="DC612" i="1"/>
  <c r="DB612" i="1"/>
  <c r="DA612" i="1"/>
  <c r="CZ612" i="1"/>
  <c r="CY612" i="1"/>
  <c r="CX612" i="1"/>
  <c r="CW612" i="1"/>
  <c r="CV612" i="1"/>
  <c r="CU612" i="1"/>
  <c r="CT612" i="1"/>
  <c r="CS612" i="1"/>
  <c r="CR612" i="1"/>
  <c r="CQ612" i="1"/>
  <c r="CP612" i="1"/>
  <c r="CO612" i="1"/>
  <c r="CN612" i="1"/>
  <c r="CM612" i="1"/>
  <c r="CL612" i="1"/>
  <c r="CK612" i="1"/>
  <c r="CJ612" i="1"/>
  <c r="CI612" i="1"/>
  <c r="CH612" i="1"/>
  <c r="CG612" i="1"/>
  <c r="CF612" i="1"/>
  <c r="BR612" i="1"/>
  <c r="BQ612" i="1"/>
  <c r="BP612" i="1"/>
  <c r="BO612" i="1"/>
  <c r="BN612" i="1"/>
  <c r="BM612" i="1"/>
  <c r="BL612" i="1"/>
  <c r="BK612" i="1"/>
  <c r="BJ612" i="1"/>
  <c r="BI612" i="1"/>
  <c r="BH612" i="1"/>
  <c r="BG612" i="1"/>
  <c r="BF612" i="1"/>
  <c r="BE612" i="1"/>
  <c r="BD612" i="1"/>
  <c r="BC612" i="1"/>
  <c r="BA612" i="1"/>
  <c r="AZ612" i="1"/>
  <c r="AY612" i="1"/>
  <c r="AW612" i="1"/>
  <c r="AV612" i="1"/>
  <c r="AU612" i="1"/>
  <c r="AS612" i="1"/>
  <c r="AR612" i="1"/>
  <c r="AQ612" i="1"/>
  <c r="AP612" i="1"/>
  <c r="AO612" i="1"/>
  <c r="AN612" i="1"/>
  <c r="AM612" i="1"/>
  <c r="AL612" i="1"/>
  <c r="AK612" i="1"/>
  <c r="AJ612" i="1"/>
  <c r="AI612" i="1"/>
  <c r="AH612" i="1"/>
  <c r="AG612" i="1"/>
  <c r="AF612" i="1"/>
  <c r="AE612" i="1"/>
  <c r="R612" i="1"/>
  <c r="Q612" i="1"/>
  <c r="O612" i="1"/>
  <c r="P612" i="1" s="1"/>
  <c r="DE611" i="1"/>
  <c r="DD611" i="1"/>
  <c r="DC611" i="1"/>
  <c r="DB611" i="1"/>
  <c r="DA611" i="1"/>
  <c r="CZ611" i="1"/>
  <c r="CY611" i="1"/>
  <c r="CX611" i="1"/>
  <c r="CW611" i="1"/>
  <c r="CV611" i="1"/>
  <c r="CU611" i="1"/>
  <c r="CT611" i="1"/>
  <c r="CS611" i="1"/>
  <c r="CR611" i="1"/>
  <c r="CQ611" i="1"/>
  <c r="CP611" i="1"/>
  <c r="CO611" i="1"/>
  <c r="CN611" i="1"/>
  <c r="CM611" i="1"/>
  <c r="CL611" i="1"/>
  <c r="CK611" i="1"/>
  <c r="CJ611" i="1"/>
  <c r="CI611" i="1"/>
  <c r="CH611" i="1"/>
  <c r="CG611" i="1"/>
  <c r="CF611" i="1"/>
  <c r="BR611" i="1"/>
  <c r="BQ611" i="1"/>
  <c r="BP611" i="1"/>
  <c r="BO611" i="1"/>
  <c r="BN611" i="1"/>
  <c r="BM611" i="1"/>
  <c r="BL611" i="1"/>
  <c r="BK611" i="1"/>
  <c r="BJ611" i="1"/>
  <c r="BI611" i="1"/>
  <c r="BH611" i="1"/>
  <c r="BG611" i="1"/>
  <c r="BF611" i="1"/>
  <c r="BD611" i="1"/>
  <c r="BC611" i="1"/>
  <c r="BB611" i="1"/>
  <c r="AZ611" i="1"/>
  <c r="AY611" i="1"/>
  <c r="AX611" i="1"/>
  <c r="AV611" i="1"/>
  <c r="AU611" i="1"/>
  <c r="AT611" i="1"/>
  <c r="AR611" i="1"/>
  <c r="AQ611" i="1"/>
  <c r="AP611" i="1"/>
  <c r="AO611" i="1"/>
  <c r="AN611" i="1"/>
  <c r="AM611" i="1"/>
  <c r="AL611" i="1"/>
  <c r="AK611" i="1"/>
  <c r="AJ611" i="1"/>
  <c r="AI611" i="1"/>
  <c r="AH611" i="1"/>
  <c r="AG611" i="1"/>
  <c r="AF611" i="1"/>
  <c r="AE611" i="1"/>
  <c r="O610" i="1" s="1"/>
  <c r="P611" i="1"/>
  <c r="O611" i="1"/>
  <c r="J611" i="1"/>
  <c r="DE610" i="1"/>
  <c r="DD610" i="1"/>
  <c r="DC610" i="1"/>
  <c r="DB610" i="1"/>
  <c r="DA610" i="1"/>
  <c r="CZ610" i="1"/>
  <c r="CY610" i="1"/>
  <c r="CX610" i="1"/>
  <c r="CW610" i="1"/>
  <c r="CV610" i="1"/>
  <c r="CU610" i="1"/>
  <c r="CT610" i="1"/>
  <c r="CS610" i="1"/>
  <c r="CR610" i="1"/>
  <c r="CQ610" i="1"/>
  <c r="CP610" i="1"/>
  <c r="CO610" i="1"/>
  <c r="CN610" i="1"/>
  <c r="CM610" i="1"/>
  <c r="CL610" i="1"/>
  <c r="CK610" i="1"/>
  <c r="CJ610" i="1"/>
  <c r="CI610" i="1"/>
  <c r="CH610" i="1"/>
  <c r="CG610" i="1"/>
  <c r="CF610" i="1"/>
  <c r="CD610" i="1"/>
  <c r="CC610" i="1"/>
  <c r="CB610" i="1"/>
  <c r="BZ610" i="1"/>
  <c r="BY610" i="1"/>
  <c r="BX610" i="1"/>
  <c r="BV610" i="1"/>
  <c r="BU610" i="1"/>
  <c r="BT610" i="1"/>
  <c r="BR610" i="1"/>
  <c r="BQ610" i="1"/>
  <c r="BP610" i="1"/>
  <c r="BO610" i="1"/>
  <c r="BN610" i="1"/>
  <c r="BM610" i="1"/>
  <c r="BL610" i="1"/>
  <c r="BK610" i="1"/>
  <c r="BJ610" i="1"/>
  <c r="BI610" i="1"/>
  <c r="BH610" i="1"/>
  <c r="BF610" i="1"/>
  <c r="BE610" i="1"/>
  <c r="BD610" i="1"/>
  <c r="BB610" i="1"/>
  <c r="BA610" i="1"/>
  <c r="AZ610" i="1"/>
  <c r="AX610" i="1"/>
  <c r="AW610" i="1"/>
  <c r="AV610" i="1"/>
  <c r="AT610" i="1"/>
  <c r="AS610" i="1"/>
  <c r="AR610" i="1"/>
  <c r="AQ610" i="1"/>
  <c r="AP610" i="1"/>
  <c r="AO610" i="1"/>
  <c r="AN610" i="1"/>
  <c r="AM610" i="1"/>
  <c r="AL610" i="1"/>
  <c r="AK610" i="1"/>
  <c r="AJ610" i="1"/>
  <c r="AI610" i="1"/>
  <c r="AH610" i="1"/>
  <c r="AF610" i="1"/>
  <c r="AE610" i="1"/>
  <c r="AD610" i="1"/>
  <c r="F610" i="1"/>
  <c r="B610" i="1"/>
  <c r="BB612" i="1" s="1"/>
  <c r="DE609" i="1"/>
  <c r="DD609" i="1"/>
  <c r="DC609" i="1"/>
  <c r="DB609" i="1"/>
  <c r="DA609" i="1"/>
  <c r="CZ609" i="1"/>
  <c r="CY609" i="1"/>
  <c r="CX609" i="1"/>
  <c r="CW609" i="1"/>
  <c r="CV609" i="1"/>
  <c r="CU609" i="1"/>
  <c r="CT609" i="1"/>
  <c r="CS609" i="1"/>
  <c r="CR609" i="1"/>
  <c r="CQ609" i="1"/>
  <c r="CP609" i="1"/>
  <c r="CO609" i="1"/>
  <c r="CN609" i="1"/>
  <c r="CM609" i="1"/>
  <c r="CL609" i="1"/>
  <c r="CK609" i="1"/>
  <c r="CJ609" i="1"/>
  <c r="CI609" i="1"/>
  <c r="CH609" i="1"/>
  <c r="CG609" i="1"/>
  <c r="CF609" i="1"/>
  <c r="BR609" i="1"/>
  <c r="BQ609" i="1"/>
  <c r="BP609" i="1"/>
  <c r="BO609" i="1"/>
  <c r="BN609" i="1"/>
  <c r="BM609" i="1"/>
  <c r="BL609" i="1"/>
  <c r="BK609" i="1"/>
  <c r="BJ609" i="1"/>
  <c r="BI609" i="1"/>
  <c r="BH609" i="1"/>
  <c r="BG609" i="1"/>
  <c r="BF609" i="1"/>
  <c r="AR609" i="1"/>
  <c r="AQ609" i="1"/>
  <c r="AP609" i="1"/>
  <c r="AO609" i="1"/>
  <c r="AN609" i="1"/>
  <c r="AM609" i="1"/>
  <c r="AL609" i="1"/>
  <c r="AK609" i="1"/>
  <c r="AJ609" i="1"/>
  <c r="AI609" i="1"/>
  <c r="AH609" i="1"/>
  <c r="AG609" i="1"/>
  <c r="AF609" i="1"/>
  <c r="AE609" i="1"/>
  <c r="AD609" i="1"/>
  <c r="R609" i="1"/>
  <c r="Q609" i="1"/>
  <c r="DE608" i="1"/>
  <c r="DD608" i="1"/>
  <c r="DC608" i="1"/>
  <c r="DB608" i="1"/>
  <c r="DA608" i="1"/>
  <c r="CZ608" i="1"/>
  <c r="CY608" i="1"/>
  <c r="CX608" i="1"/>
  <c r="CW608" i="1"/>
  <c r="CV608" i="1"/>
  <c r="CU608" i="1"/>
  <c r="CT608" i="1"/>
  <c r="CS608" i="1"/>
  <c r="CR608" i="1"/>
  <c r="CQ608" i="1"/>
  <c r="CP608" i="1"/>
  <c r="CO608" i="1"/>
  <c r="CN608" i="1"/>
  <c r="CM608" i="1"/>
  <c r="CL608" i="1"/>
  <c r="CK608" i="1"/>
  <c r="CJ608" i="1"/>
  <c r="CI608" i="1"/>
  <c r="CH608" i="1"/>
  <c r="CG608" i="1"/>
  <c r="CF608" i="1"/>
  <c r="BR608" i="1"/>
  <c r="BQ608" i="1"/>
  <c r="BP608" i="1"/>
  <c r="BO608" i="1"/>
  <c r="BN608" i="1"/>
  <c r="BL608" i="1"/>
  <c r="BK608" i="1"/>
  <c r="BJ608" i="1"/>
  <c r="BI608" i="1"/>
  <c r="BH608" i="1"/>
  <c r="BG608" i="1"/>
  <c r="BF608" i="1"/>
  <c r="AR608" i="1"/>
  <c r="AQ608" i="1"/>
  <c r="AP608" i="1"/>
  <c r="AO608" i="1"/>
  <c r="AN608" i="1"/>
  <c r="AL608" i="1"/>
  <c r="AK608" i="1"/>
  <c r="AJ608" i="1"/>
  <c r="AI608" i="1"/>
  <c r="AH608" i="1"/>
  <c r="AG608" i="1"/>
  <c r="AF608" i="1"/>
  <c r="AE608" i="1"/>
  <c r="AD608" i="1"/>
  <c r="J608" i="1"/>
  <c r="DE607" i="1"/>
  <c r="DD607" i="1"/>
  <c r="DC607" i="1"/>
  <c r="DB607" i="1"/>
  <c r="DA607" i="1"/>
  <c r="CZ607" i="1"/>
  <c r="CY607" i="1"/>
  <c r="CX607" i="1"/>
  <c r="CW607" i="1"/>
  <c r="CV607" i="1"/>
  <c r="CU607" i="1"/>
  <c r="CT607" i="1"/>
  <c r="CS607" i="1"/>
  <c r="CR607" i="1"/>
  <c r="CQ607" i="1"/>
  <c r="CP607" i="1"/>
  <c r="CO607" i="1"/>
  <c r="CN607" i="1"/>
  <c r="CM607" i="1"/>
  <c r="CL607" i="1"/>
  <c r="CK607" i="1"/>
  <c r="CJ607" i="1"/>
  <c r="CI607" i="1"/>
  <c r="CH607" i="1"/>
  <c r="CG607" i="1"/>
  <c r="CF607" i="1"/>
  <c r="BR607" i="1"/>
  <c r="BQ607" i="1"/>
  <c r="BP607" i="1"/>
  <c r="BO607" i="1"/>
  <c r="BN607" i="1"/>
  <c r="BM607" i="1"/>
  <c r="BL607" i="1"/>
  <c r="BK607" i="1"/>
  <c r="BJ607" i="1"/>
  <c r="BI607" i="1"/>
  <c r="BH607" i="1"/>
  <c r="BF607" i="1"/>
  <c r="AR607" i="1"/>
  <c r="AQ607" i="1"/>
  <c r="AP607" i="1"/>
  <c r="AO607" i="1"/>
  <c r="AN607" i="1"/>
  <c r="AM607" i="1"/>
  <c r="AL607" i="1"/>
  <c r="AK607" i="1"/>
  <c r="AJ607" i="1"/>
  <c r="AI607" i="1"/>
  <c r="AH607" i="1"/>
  <c r="AF607" i="1"/>
  <c r="AE607" i="1"/>
  <c r="O609" i="1" s="1"/>
  <c r="P609" i="1" s="1"/>
  <c r="AD607" i="1"/>
  <c r="O607" i="1"/>
  <c r="P607" i="1" s="1"/>
  <c r="AG607" i="1" s="1"/>
  <c r="F607" i="1"/>
  <c r="B607" i="1"/>
  <c r="BC609" i="1" s="1"/>
  <c r="DE606" i="1"/>
  <c r="DD606" i="1"/>
  <c r="DC606" i="1"/>
  <c r="DB606" i="1"/>
  <c r="DA606" i="1"/>
  <c r="CZ606" i="1"/>
  <c r="CY606" i="1"/>
  <c r="CX606" i="1"/>
  <c r="CW606" i="1"/>
  <c r="CV606" i="1"/>
  <c r="CU606" i="1"/>
  <c r="CT606" i="1"/>
  <c r="CS606" i="1"/>
  <c r="CR606" i="1"/>
  <c r="CQ606" i="1"/>
  <c r="CP606" i="1"/>
  <c r="CO606" i="1"/>
  <c r="CN606" i="1"/>
  <c r="CM606" i="1"/>
  <c r="CL606" i="1"/>
  <c r="CK606" i="1"/>
  <c r="CJ606" i="1"/>
  <c r="CI606" i="1"/>
  <c r="CH606" i="1"/>
  <c r="CG606" i="1"/>
  <c r="CF606" i="1"/>
  <c r="BR606" i="1"/>
  <c r="BQ606" i="1"/>
  <c r="BP606" i="1"/>
  <c r="BO606" i="1"/>
  <c r="BN606" i="1"/>
  <c r="BM606" i="1"/>
  <c r="BL606" i="1"/>
  <c r="BK606" i="1"/>
  <c r="BJ606" i="1"/>
  <c r="BI606" i="1"/>
  <c r="BH606" i="1"/>
  <c r="BG606" i="1"/>
  <c r="BF606" i="1"/>
  <c r="BC606" i="1"/>
  <c r="AY606" i="1"/>
  <c r="AU606" i="1"/>
  <c r="AR606" i="1"/>
  <c r="AQ606" i="1"/>
  <c r="AP606" i="1"/>
  <c r="AO606" i="1"/>
  <c r="AN606" i="1"/>
  <c r="AM606" i="1"/>
  <c r="AL606" i="1"/>
  <c r="AK606" i="1"/>
  <c r="AJ606" i="1"/>
  <c r="AI606" i="1"/>
  <c r="AH606" i="1"/>
  <c r="AG606" i="1"/>
  <c r="AF606" i="1"/>
  <c r="AE606" i="1"/>
  <c r="R606" i="1"/>
  <c r="Q606" i="1"/>
  <c r="O606" i="1"/>
  <c r="P606" i="1" s="1"/>
  <c r="DE605" i="1"/>
  <c r="DD605" i="1"/>
  <c r="DC605" i="1"/>
  <c r="DB605" i="1"/>
  <c r="DA605" i="1"/>
  <c r="CZ605" i="1"/>
  <c r="CY605" i="1"/>
  <c r="CX605" i="1"/>
  <c r="CW605" i="1"/>
  <c r="CV605" i="1"/>
  <c r="CU605" i="1"/>
  <c r="CT605" i="1"/>
  <c r="CS605" i="1"/>
  <c r="CR605" i="1"/>
  <c r="CQ605" i="1"/>
  <c r="CP605" i="1"/>
  <c r="CO605" i="1"/>
  <c r="CN605" i="1"/>
  <c r="CM605" i="1"/>
  <c r="CL605" i="1"/>
  <c r="CK605" i="1"/>
  <c r="CJ605" i="1"/>
  <c r="CI605" i="1"/>
  <c r="CH605" i="1"/>
  <c r="CG605" i="1"/>
  <c r="CF605" i="1"/>
  <c r="BR605" i="1"/>
  <c r="BQ605" i="1"/>
  <c r="BP605" i="1"/>
  <c r="BO605" i="1"/>
  <c r="BN605" i="1"/>
  <c r="BM605" i="1"/>
  <c r="BL605" i="1"/>
  <c r="BK605" i="1"/>
  <c r="BJ605" i="1"/>
  <c r="BI605" i="1"/>
  <c r="BH605" i="1"/>
  <c r="BG605" i="1"/>
  <c r="BF605" i="1"/>
  <c r="BB605" i="1"/>
  <c r="AX605" i="1"/>
  <c r="AT605" i="1"/>
  <c r="AR605" i="1"/>
  <c r="AQ605" i="1"/>
  <c r="AP605" i="1"/>
  <c r="AO605" i="1"/>
  <c r="AN605" i="1"/>
  <c r="AM605" i="1"/>
  <c r="AL605" i="1"/>
  <c r="AK605" i="1"/>
  <c r="AI605" i="1"/>
  <c r="AH605" i="1"/>
  <c r="AG605" i="1"/>
  <c r="AF605" i="1"/>
  <c r="AE605" i="1"/>
  <c r="O604" i="1" s="1"/>
  <c r="P605" i="1"/>
  <c r="AJ605" i="1" s="1"/>
  <c r="O605" i="1"/>
  <c r="J605" i="1"/>
  <c r="DE604" i="1"/>
  <c r="DD604" i="1"/>
  <c r="DC604" i="1"/>
  <c r="DB604" i="1"/>
  <c r="DA604" i="1"/>
  <c r="CZ604" i="1"/>
  <c r="CY604" i="1"/>
  <c r="CX604" i="1"/>
  <c r="CW604" i="1"/>
  <c r="CV604" i="1"/>
  <c r="CU604" i="1"/>
  <c r="CT604" i="1"/>
  <c r="CS604" i="1"/>
  <c r="CR604" i="1"/>
  <c r="CQ604" i="1"/>
  <c r="CP604" i="1"/>
  <c r="CO604" i="1"/>
  <c r="CN604" i="1"/>
  <c r="CM604" i="1"/>
  <c r="CL604" i="1"/>
  <c r="CK604" i="1"/>
  <c r="CJ604" i="1"/>
  <c r="CI604" i="1"/>
  <c r="CH604" i="1"/>
  <c r="CG604" i="1"/>
  <c r="CF604" i="1"/>
  <c r="CB604" i="1"/>
  <c r="BX604" i="1"/>
  <c r="BT604" i="1"/>
  <c r="BR604" i="1"/>
  <c r="BQ604" i="1"/>
  <c r="BP604" i="1"/>
  <c r="BO604" i="1"/>
  <c r="BN604" i="1"/>
  <c r="BM604" i="1"/>
  <c r="BL604" i="1"/>
  <c r="BK604" i="1"/>
  <c r="BI604" i="1"/>
  <c r="BH604" i="1"/>
  <c r="BG604" i="1"/>
  <c r="BF604" i="1"/>
  <c r="BD604" i="1"/>
  <c r="AZ604" i="1"/>
  <c r="AV604" i="1"/>
  <c r="AR604" i="1"/>
  <c r="AQ604" i="1"/>
  <c r="AP604" i="1"/>
  <c r="AO604" i="1"/>
  <c r="AN604" i="1"/>
  <c r="AM604" i="1"/>
  <c r="AL604" i="1"/>
  <c r="AK604" i="1"/>
  <c r="AI604" i="1"/>
  <c r="AH604" i="1"/>
  <c r="AG604" i="1"/>
  <c r="AF604" i="1"/>
  <c r="AE604" i="1"/>
  <c r="AD604" i="1"/>
  <c r="G604" i="1"/>
  <c r="B604" i="1"/>
  <c r="BB606" i="1" s="1"/>
  <c r="DJ603" i="1"/>
  <c r="DE603" i="1"/>
  <c r="DD603" i="1"/>
  <c r="DC603" i="1"/>
  <c r="DB603" i="1"/>
  <c r="DA603" i="1"/>
  <c r="CZ603" i="1"/>
  <c r="CY603" i="1"/>
  <c r="CX603" i="1"/>
  <c r="CW603" i="1"/>
  <c r="CV603" i="1"/>
  <c r="CU603" i="1"/>
  <c r="CT603" i="1"/>
  <c r="CS603" i="1"/>
  <c r="CR603" i="1"/>
  <c r="CQ603" i="1"/>
  <c r="CP603" i="1"/>
  <c r="CO603" i="1"/>
  <c r="CN603" i="1"/>
  <c r="CM603" i="1"/>
  <c r="CL603" i="1"/>
  <c r="CK603" i="1"/>
  <c r="CJ603" i="1"/>
  <c r="CI603" i="1"/>
  <c r="CH603" i="1"/>
  <c r="CG603" i="1"/>
  <c r="CF603" i="1"/>
  <c r="BR603" i="1"/>
  <c r="BQ603" i="1"/>
  <c r="BP603" i="1"/>
  <c r="BO603" i="1"/>
  <c r="BN603" i="1"/>
  <c r="BM603" i="1"/>
  <c r="BL603" i="1"/>
  <c r="BK603" i="1"/>
  <c r="BJ603" i="1"/>
  <c r="BI603" i="1"/>
  <c r="BH603" i="1"/>
  <c r="BG603" i="1"/>
  <c r="BF603" i="1"/>
  <c r="AR603" i="1"/>
  <c r="AQ603" i="1"/>
  <c r="AP603" i="1"/>
  <c r="AO603" i="1"/>
  <c r="AN603" i="1"/>
  <c r="AM603" i="1"/>
  <c r="AL603" i="1"/>
  <c r="AK603" i="1"/>
  <c r="AJ603" i="1"/>
  <c r="AI603" i="1"/>
  <c r="AH603" i="1"/>
  <c r="AG603" i="1"/>
  <c r="AF603" i="1"/>
  <c r="AE603" i="1"/>
  <c r="AD603" i="1"/>
  <c r="R603" i="1"/>
  <c r="Q603" i="1"/>
  <c r="DJ602" i="1"/>
  <c r="DE602" i="1"/>
  <c r="DD602" i="1"/>
  <c r="DC602" i="1"/>
  <c r="DB602" i="1"/>
  <c r="DA602" i="1"/>
  <c r="CZ602" i="1"/>
  <c r="CY602" i="1"/>
  <c r="CX602" i="1"/>
  <c r="CW602" i="1"/>
  <c r="CV602" i="1"/>
  <c r="CU602" i="1"/>
  <c r="CT602" i="1"/>
  <c r="CS602" i="1"/>
  <c r="CR602" i="1"/>
  <c r="CQ602" i="1"/>
  <c r="CP602" i="1"/>
  <c r="CO602" i="1"/>
  <c r="CN602" i="1"/>
  <c r="CM602" i="1"/>
  <c r="CL602" i="1"/>
  <c r="CK602" i="1"/>
  <c r="CJ602" i="1"/>
  <c r="CI602" i="1"/>
  <c r="CH602" i="1"/>
  <c r="CG602" i="1"/>
  <c r="CF602" i="1"/>
  <c r="BR602" i="1"/>
  <c r="BQ602" i="1"/>
  <c r="BP602" i="1"/>
  <c r="BO602" i="1"/>
  <c r="BN602" i="1"/>
  <c r="BM602" i="1"/>
  <c r="BL602" i="1"/>
  <c r="BK602" i="1"/>
  <c r="BI602" i="1"/>
  <c r="BH602" i="1"/>
  <c r="BG602" i="1"/>
  <c r="BF602" i="1"/>
  <c r="AR602" i="1"/>
  <c r="AQ602" i="1"/>
  <c r="AP602" i="1"/>
  <c r="AO602" i="1"/>
  <c r="AN602" i="1"/>
  <c r="AM602" i="1"/>
  <c r="AL602" i="1"/>
  <c r="AK602" i="1"/>
  <c r="AI602" i="1"/>
  <c r="AH602" i="1"/>
  <c r="AG602" i="1"/>
  <c r="AF602" i="1"/>
  <c r="AE602" i="1"/>
  <c r="O601" i="1" s="1"/>
  <c r="P601" i="1" s="1"/>
  <c r="AD602" i="1"/>
  <c r="J602" i="1"/>
  <c r="DJ601" i="1"/>
  <c r="DE601" i="1"/>
  <c r="DD601" i="1"/>
  <c r="DC601" i="1"/>
  <c r="DB601" i="1"/>
  <c r="DA601" i="1"/>
  <c r="CZ601" i="1"/>
  <c r="CY601" i="1"/>
  <c r="CX601" i="1"/>
  <c r="CW601" i="1"/>
  <c r="CV601" i="1"/>
  <c r="CU601" i="1"/>
  <c r="CT601" i="1"/>
  <c r="CS601" i="1"/>
  <c r="CR601" i="1"/>
  <c r="CQ601" i="1"/>
  <c r="CP601" i="1"/>
  <c r="CO601" i="1"/>
  <c r="CN601" i="1"/>
  <c r="CM601" i="1"/>
  <c r="CL601" i="1"/>
  <c r="CK601" i="1"/>
  <c r="CJ601" i="1"/>
  <c r="CI601" i="1"/>
  <c r="CH601" i="1"/>
  <c r="CG601" i="1"/>
  <c r="CF601" i="1"/>
  <c r="BR601" i="1"/>
  <c r="BQ601" i="1"/>
  <c r="BP601" i="1"/>
  <c r="BO601" i="1"/>
  <c r="BN601" i="1"/>
  <c r="BM601" i="1"/>
  <c r="BL601" i="1"/>
  <c r="BK601" i="1"/>
  <c r="BJ601" i="1"/>
  <c r="BI601" i="1"/>
  <c r="BH601" i="1"/>
  <c r="BG601" i="1"/>
  <c r="BF601" i="1"/>
  <c r="AR601" i="1"/>
  <c r="AQ601" i="1"/>
  <c r="AP601" i="1"/>
  <c r="AO601" i="1"/>
  <c r="AN601" i="1"/>
  <c r="AM601" i="1"/>
  <c r="AL601" i="1"/>
  <c r="AK601" i="1"/>
  <c r="AJ601" i="1"/>
  <c r="AI601" i="1"/>
  <c r="AH601" i="1"/>
  <c r="AG601" i="1"/>
  <c r="AF601" i="1"/>
  <c r="AE601" i="1"/>
  <c r="AD601" i="1"/>
  <c r="F601" i="1"/>
  <c r="B601" i="1"/>
  <c r="BD603" i="1" s="1"/>
  <c r="DE600" i="1"/>
  <c r="DD600" i="1"/>
  <c r="DC600" i="1"/>
  <c r="DB600" i="1"/>
  <c r="DA600" i="1"/>
  <c r="CZ600" i="1"/>
  <c r="CY600" i="1"/>
  <c r="CX600" i="1"/>
  <c r="CW600" i="1"/>
  <c r="CV600" i="1"/>
  <c r="CU600" i="1"/>
  <c r="CT600" i="1"/>
  <c r="CS600" i="1"/>
  <c r="CR600" i="1"/>
  <c r="CQ600" i="1"/>
  <c r="CP600" i="1"/>
  <c r="CO600" i="1"/>
  <c r="CN600" i="1"/>
  <c r="CM600" i="1"/>
  <c r="CL600" i="1"/>
  <c r="CK600" i="1"/>
  <c r="CJ600" i="1"/>
  <c r="CI600" i="1"/>
  <c r="CH600" i="1"/>
  <c r="CG600" i="1"/>
  <c r="CF600" i="1"/>
  <c r="BR600" i="1"/>
  <c r="BQ600" i="1"/>
  <c r="BP600" i="1"/>
  <c r="BO600" i="1"/>
  <c r="BN600" i="1"/>
  <c r="BM600" i="1"/>
  <c r="BL600" i="1"/>
  <c r="BK600" i="1"/>
  <c r="BI600" i="1"/>
  <c r="BH600" i="1"/>
  <c r="BG600" i="1"/>
  <c r="BF600" i="1"/>
  <c r="BE600" i="1"/>
  <c r="BD600" i="1"/>
  <c r="BC600" i="1"/>
  <c r="BA600" i="1"/>
  <c r="AZ600" i="1"/>
  <c r="AY600" i="1"/>
  <c r="AW600" i="1"/>
  <c r="AV600" i="1"/>
  <c r="AU600" i="1"/>
  <c r="AS600" i="1"/>
  <c r="AR600" i="1"/>
  <c r="AQ600" i="1"/>
  <c r="AP600" i="1"/>
  <c r="AO600" i="1"/>
  <c r="AN600" i="1"/>
  <c r="AM600" i="1"/>
  <c r="AL600" i="1"/>
  <c r="AK600" i="1"/>
  <c r="AI600" i="1"/>
  <c r="AH600" i="1"/>
  <c r="AG600" i="1"/>
  <c r="AF600" i="1"/>
  <c r="AE600" i="1"/>
  <c r="DE599" i="1"/>
  <c r="DD599" i="1"/>
  <c r="DC599" i="1"/>
  <c r="DB599" i="1"/>
  <c r="DA599" i="1"/>
  <c r="CZ599" i="1"/>
  <c r="CY599" i="1"/>
  <c r="CX599" i="1"/>
  <c r="CW599" i="1"/>
  <c r="CV599" i="1"/>
  <c r="CU599" i="1"/>
  <c r="CT599" i="1"/>
  <c r="CS599" i="1"/>
  <c r="CR599" i="1"/>
  <c r="CQ599" i="1"/>
  <c r="CP599" i="1"/>
  <c r="CO599" i="1"/>
  <c r="CN599" i="1"/>
  <c r="CM599" i="1"/>
  <c r="CL599" i="1"/>
  <c r="CK599" i="1"/>
  <c r="CJ599" i="1"/>
  <c r="CI599" i="1"/>
  <c r="CH599" i="1"/>
  <c r="CG599" i="1"/>
  <c r="CF599" i="1"/>
  <c r="BR599" i="1"/>
  <c r="BQ599" i="1"/>
  <c r="BP599" i="1"/>
  <c r="BO599" i="1"/>
  <c r="BN599" i="1"/>
  <c r="BM599" i="1"/>
  <c r="BL599" i="1"/>
  <c r="BK599" i="1"/>
  <c r="BJ599" i="1"/>
  <c r="BI599" i="1"/>
  <c r="BH599" i="1"/>
  <c r="BG599" i="1"/>
  <c r="BD599" i="1"/>
  <c r="BC599" i="1"/>
  <c r="BB599" i="1"/>
  <c r="AZ599" i="1"/>
  <c r="AY599" i="1"/>
  <c r="AX599" i="1"/>
  <c r="AV599" i="1"/>
  <c r="AU599" i="1"/>
  <c r="AT599" i="1"/>
  <c r="AR599" i="1"/>
  <c r="AQ599" i="1"/>
  <c r="AP599" i="1"/>
  <c r="AO599" i="1"/>
  <c r="AN599" i="1"/>
  <c r="AM599" i="1"/>
  <c r="AL599" i="1"/>
  <c r="AK599" i="1"/>
  <c r="AJ599" i="1"/>
  <c r="AI599" i="1"/>
  <c r="AH599" i="1"/>
  <c r="AG599" i="1"/>
  <c r="AE599" i="1"/>
  <c r="DE598" i="1"/>
  <c r="DD598" i="1"/>
  <c r="DC598" i="1"/>
  <c r="DB598" i="1"/>
  <c r="DA598" i="1"/>
  <c r="CZ598" i="1"/>
  <c r="CY598" i="1"/>
  <c r="CX598" i="1"/>
  <c r="CW598" i="1"/>
  <c r="CV598" i="1"/>
  <c r="CU598" i="1"/>
  <c r="CT598" i="1"/>
  <c r="CS598" i="1"/>
  <c r="CR598" i="1"/>
  <c r="CQ598" i="1"/>
  <c r="CP598" i="1"/>
  <c r="CO598" i="1"/>
  <c r="CN598" i="1"/>
  <c r="CM598" i="1"/>
  <c r="CL598" i="1"/>
  <c r="CK598" i="1"/>
  <c r="CJ598" i="1"/>
  <c r="CI598" i="1"/>
  <c r="CH598" i="1"/>
  <c r="CG598" i="1"/>
  <c r="CF598" i="1"/>
  <c r="CE598" i="1"/>
  <c r="CC598" i="1"/>
  <c r="CB598" i="1"/>
  <c r="CA598" i="1"/>
  <c r="BY598" i="1"/>
  <c r="BX598" i="1"/>
  <c r="BW598" i="1"/>
  <c r="BU598" i="1"/>
  <c r="BT598" i="1"/>
  <c r="BS598" i="1"/>
  <c r="BR598" i="1"/>
  <c r="BQ598" i="1"/>
  <c r="BP598" i="1"/>
  <c r="BO598" i="1"/>
  <c r="BN598" i="1"/>
  <c r="BM598" i="1"/>
  <c r="BL598" i="1"/>
  <c r="BK598" i="1"/>
  <c r="BJ598" i="1"/>
  <c r="BI598" i="1"/>
  <c r="BH598" i="1"/>
  <c r="BF598" i="1"/>
  <c r="BE598" i="1"/>
  <c r="BD598" i="1"/>
  <c r="BC598" i="1"/>
  <c r="BA598" i="1"/>
  <c r="AZ598" i="1"/>
  <c r="AY598" i="1"/>
  <c r="AW598" i="1"/>
  <c r="AV598" i="1"/>
  <c r="AU598" i="1"/>
  <c r="AS598" i="1"/>
  <c r="AR598" i="1"/>
  <c r="AQ598" i="1"/>
  <c r="AP598" i="1"/>
  <c r="AO598" i="1"/>
  <c r="AN598" i="1"/>
  <c r="AM598" i="1"/>
  <c r="AL598" i="1"/>
  <c r="AK598" i="1"/>
  <c r="AJ598" i="1"/>
  <c r="AI598" i="1"/>
  <c r="AH598" i="1"/>
  <c r="AF598" i="1"/>
  <c r="AE598" i="1"/>
  <c r="O599" i="1" s="1"/>
  <c r="AD598" i="1"/>
  <c r="O598" i="1"/>
  <c r="P598" i="1" s="1"/>
  <c r="G598" i="1"/>
  <c r="F598" i="1"/>
  <c r="B598" i="1"/>
  <c r="BB600" i="1" s="1"/>
  <c r="DE597" i="1"/>
  <c r="DD597" i="1"/>
  <c r="DC597" i="1"/>
  <c r="DB597" i="1"/>
  <c r="DA597" i="1"/>
  <c r="CZ597" i="1"/>
  <c r="CY597" i="1"/>
  <c r="CX597" i="1"/>
  <c r="CW597" i="1"/>
  <c r="CV597" i="1"/>
  <c r="CU597" i="1"/>
  <c r="CT597" i="1"/>
  <c r="CS597" i="1"/>
  <c r="CR597" i="1"/>
  <c r="CQ597" i="1"/>
  <c r="CP597" i="1"/>
  <c r="CO597" i="1"/>
  <c r="CN597" i="1"/>
  <c r="CM597" i="1"/>
  <c r="CL597" i="1"/>
  <c r="CK597" i="1"/>
  <c r="CJ597" i="1"/>
  <c r="CI597" i="1"/>
  <c r="CH597" i="1"/>
  <c r="CG597" i="1"/>
  <c r="CF597" i="1"/>
  <c r="BR597" i="1"/>
  <c r="BQ597" i="1"/>
  <c r="BP597" i="1"/>
  <c r="BO597" i="1"/>
  <c r="BN597" i="1"/>
  <c r="BM597" i="1"/>
  <c r="BL597" i="1"/>
  <c r="BK597" i="1"/>
  <c r="BI597" i="1"/>
  <c r="BH597" i="1"/>
  <c r="BG597" i="1"/>
  <c r="BF597" i="1"/>
  <c r="BD597" i="1"/>
  <c r="BB597" i="1"/>
  <c r="AZ597" i="1"/>
  <c r="AX597" i="1"/>
  <c r="AV597" i="1"/>
  <c r="AT597" i="1"/>
  <c r="AR597" i="1"/>
  <c r="AQ597" i="1"/>
  <c r="AP597" i="1"/>
  <c r="AO597" i="1"/>
  <c r="AN597" i="1"/>
  <c r="AM597" i="1"/>
  <c r="AL597" i="1"/>
  <c r="AK597" i="1"/>
  <c r="AJ597" i="1"/>
  <c r="AI597" i="1"/>
  <c r="AH597" i="1"/>
  <c r="AG597" i="1"/>
  <c r="AF597" i="1"/>
  <c r="AE597" i="1"/>
  <c r="AD597" i="1"/>
  <c r="O597" i="1"/>
  <c r="P597" i="1" s="1"/>
  <c r="DE596" i="1"/>
  <c r="DD596" i="1"/>
  <c r="DC596" i="1"/>
  <c r="DB596" i="1"/>
  <c r="DA596" i="1"/>
  <c r="CZ596" i="1"/>
  <c r="CY596" i="1"/>
  <c r="CX596" i="1"/>
  <c r="CW596" i="1"/>
  <c r="CV596" i="1"/>
  <c r="CU596" i="1"/>
  <c r="CT596" i="1"/>
  <c r="CS596" i="1"/>
  <c r="CR596" i="1"/>
  <c r="CQ596" i="1"/>
  <c r="CP596" i="1"/>
  <c r="CO596" i="1"/>
  <c r="CN596" i="1"/>
  <c r="CM596" i="1"/>
  <c r="CL596" i="1"/>
  <c r="CK596" i="1"/>
  <c r="CJ596" i="1"/>
  <c r="CI596" i="1"/>
  <c r="CH596" i="1"/>
  <c r="CG596" i="1"/>
  <c r="CF596" i="1"/>
  <c r="BR596" i="1"/>
  <c r="BQ596" i="1"/>
  <c r="BP596" i="1"/>
  <c r="BO596" i="1"/>
  <c r="BN596" i="1"/>
  <c r="BM596" i="1"/>
  <c r="BL596" i="1"/>
  <c r="BK596" i="1"/>
  <c r="BJ596" i="1"/>
  <c r="BI596" i="1"/>
  <c r="BH596" i="1"/>
  <c r="BG596" i="1"/>
  <c r="BD596" i="1"/>
  <c r="BB596" i="1"/>
  <c r="AZ596" i="1"/>
  <c r="AX596" i="1"/>
  <c r="AV596" i="1"/>
  <c r="AT596" i="1"/>
  <c r="AR596" i="1"/>
  <c r="AQ596" i="1"/>
  <c r="AP596" i="1"/>
  <c r="AO596" i="1"/>
  <c r="AN596" i="1"/>
  <c r="AM596" i="1"/>
  <c r="AL596" i="1"/>
  <c r="AK596" i="1"/>
  <c r="AJ596" i="1"/>
  <c r="AI596" i="1"/>
  <c r="AH596" i="1"/>
  <c r="AG596" i="1"/>
  <c r="AF596" i="1"/>
  <c r="AE596" i="1"/>
  <c r="AD596" i="1"/>
  <c r="O596" i="1"/>
  <c r="P596" i="1" s="1"/>
  <c r="DE595" i="1"/>
  <c r="DD595" i="1"/>
  <c r="DC595" i="1"/>
  <c r="DB595" i="1"/>
  <c r="DA595" i="1"/>
  <c r="CZ595" i="1"/>
  <c r="CY595" i="1"/>
  <c r="CX595" i="1"/>
  <c r="CW595" i="1"/>
  <c r="CV595" i="1"/>
  <c r="CU595" i="1"/>
  <c r="CT595" i="1"/>
  <c r="CS595" i="1"/>
  <c r="CR595" i="1"/>
  <c r="CQ595" i="1"/>
  <c r="CP595" i="1"/>
  <c r="CO595" i="1"/>
  <c r="CN595" i="1"/>
  <c r="CM595" i="1"/>
  <c r="CL595" i="1"/>
  <c r="CK595" i="1"/>
  <c r="CJ595" i="1"/>
  <c r="CI595" i="1"/>
  <c r="CH595" i="1"/>
  <c r="CG595" i="1"/>
  <c r="CF595" i="1"/>
  <c r="CD595" i="1"/>
  <c r="CB595" i="1"/>
  <c r="BZ595" i="1"/>
  <c r="BX595" i="1"/>
  <c r="BV595" i="1"/>
  <c r="BT595" i="1"/>
  <c r="BR595" i="1"/>
  <c r="BQ595" i="1"/>
  <c r="BP595" i="1"/>
  <c r="BO595" i="1"/>
  <c r="BN595" i="1"/>
  <c r="BM595" i="1"/>
  <c r="BL595" i="1"/>
  <c r="BK595" i="1"/>
  <c r="BJ595" i="1"/>
  <c r="BI595" i="1"/>
  <c r="BH595" i="1"/>
  <c r="BF595" i="1"/>
  <c r="BD595" i="1"/>
  <c r="BB595" i="1"/>
  <c r="AZ595" i="1"/>
  <c r="AX595" i="1"/>
  <c r="AV595" i="1"/>
  <c r="AT595" i="1"/>
  <c r="AR595" i="1"/>
  <c r="AQ595" i="1"/>
  <c r="AP595" i="1"/>
  <c r="AO595" i="1"/>
  <c r="AN595" i="1"/>
  <c r="AM595" i="1"/>
  <c r="AL595" i="1"/>
  <c r="AK595" i="1"/>
  <c r="AJ595" i="1"/>
  <c r="AI595" i="1"/>
  <c r="AH595" i="1"/>
  <c r="AF595" i="1"/>
  <c r="AE595" i="1"/>
  <c r="AD595" i="1"/>
  <c r="P595" i="1"/>
  <c r="AG595" i="1" s="1"/>
  <c r="O595" i="1"/>
  <c r="BG595" i="1" s="1"/>
  <c r="F595" i="1"/>
  <c r="B595" i="1"/>
  <c r="BC597" i="1" s="1"/>
  <c r="DE594" i="1"/>
  <c r="DD594" i="1"/>
  <c r="DC594" i="1"/>
  <c r="DB594" i="1"/>
  <c r="DA594" i="1"/>
  <c r="CZ594" i="1"/>
  <c r="CY594" i="1"/>
  <c r="CX594" i="1"/>
  <c r="CW594" i="1"/>
  <c r="CV594" i="1"/>
  <c r="CU594" i="1"/>
  <c r="CT594" i="1"/>
  <c r="CS594" i="1"/>
  <c r="CR594" i="1"/>
  <c r="CQ594" i="1"/>
  <c r="CP594" i="1"/>
  <c r="CO594" i="1"/>
  <c r="CN594" i="1"/>
  <c r="CM594" i="1"/>
  <c r="CL594" i="1"/>
  <c r="CK594" i="1"/>
  <c r="CJ594" i="1"/>
  <c r="CI594" i="1"/>
  <c r="CH594" i="1"/>
  <c r="CG594" i="1"/>
  <c r="CF594" i="1"/>
  <c r="BR594" i="1"/>
  <c r="BQ594" i="1"/>
  <c r="BP594" i="1"/>
  <c r="BO594" i="1"/>
  <c r="BN594" i="1"/>
  <c r="BM594" i="1"/>
  <c r="BL594" i="1"/>
  <c r="BK594" i="1"/>
  <c r="BJ594" i="1"/>
  <c r="BI594" i="1"/>
  <c r="BH594" i="1"/>
  <c r="BF594" i="1"/>
  <c r="BD594" i="1"/>
  <c r="BB594" i="1"/>
  <c r="AZ594" i="1"/>
  <c r="AX594" i="1"/>
  <c r="AV594" i="1"/>
  <c r="AT594" i="1"/>
  <c r="AR594" i="1"/>
  <c r="AQ594" i="1"/>
  <c r="AP594" i="1"/>
  <c r="AO594" i="1"/>
  <c r="AN594" i="1"/>
  <c r="AM594" i="1"/>
  <c r="AL594" i="1"/>
  <c r="AK594" i="1"/>
  <c r="AJ594" i="1"/>
  <c r="AI594" i="1"/>
  <c r="AH594" i="1"/>
  <c r="AF594" i="1"/>
  <c r="AE594" i="1"/>
  <c r="DJ593" i="1"/>
  <c r="DE593" i="1"/>
  <c r="DD593" i="1"/>
  <c r="DC593" i="1"/>
  <c r="DB593" i="1"/>
  <c r="DA593" i="1"/>
  <c r="CZ593" i="1"/>
  <c r="CY593" i="1"/>
  <c r="CX593" i="1"/>
  <c r="CW593" i="1"/>
  <c r="CV593" i="1"/>
  <c r="CU593" i="1"/>
  <c r="CT593" i="1"/>
  <c r="CS593" i="1"/>
  <c r="CR593" i="1"/>
  <c r="CQ593" i="1"/>
  <c r="CP593" i="1"/>
  <c r="CO593" i="1"/>
  <c r="CN593" i="1"/>
  <c r="CM593" i="1"/>
  <c r="CL593" i="1"/>
  <c r="CK593" i="1"/>
  <c r="CJ593" i="1"/>
  <c r="CI593" i="1"/>
  <c r="CH593" i="1"/>
  <c r="CG593" i="1"/>
  <c r="CF593" i="1"/>
  <c r="BR593" i="1"/>
  <c r="BQ593" i="1"/>
  <c r="BP593" i="1"/>
  <c r="BO593" i="1"/>
  <c r="BN593" i="1"/>
  <c r="BM593" i="1"/>
  <c r="BL593" i="1"/>
  <c r="BK593" i="1"/>
  <c r="BJ593" i="1"/>
  <c r="BI593" i="1"/>
  <c r="BH593" i="1"/>
  <c r="BF593" i="1"/>
  <c r="BE593" i="1"/>
  <c r="BC593" i="1"/>
  <c r="BA593" i="1"/>
  <c r="AY593" i="1"/>
  <c r="AW593" i="1"/>
  <c r="AU593" i="1"/>
  <c r="AS593" i="1"/>
  <c r="AR593" i="1"/>
  <c r="AQ593" i="1"/>
  <c r="AP593" i="1"/>
  <c r="AO593" i="1"/>
  <c r="AN593" i="1"/>
  <c r="AM593" i="1"/>
  <c r="AL593" i="1"/>
  <c r="AK593" i="1"/>
  <c r="AJ593" i="1"/>
  <c r="AI593" i="1"/>
  <c r="AH593" i="1"/>
  <c r="AF593" i="1"/>
  <c r="AE593" i="1"/>
  <c r="O592" i="1" s="1"/>
  <c r="AJ592" i="1" s="1"/>
  <c r="O593" i="1"/>
  <c r="P593" i="1" s="1"/>
  <c r="AG593" i="1" s="1"/>
  <c r="DE592" i="1"/>
  <c r="DD592" i="1"/>
  <c r="DC592" i="1"/>
  <c r="DB592" i="1"/>
  <c r="DA592" i="1"/>
  <c r="CZ592" i="1"/>
  <c r="CY592" i="1"/>
  <c r="CX592" i="1"/>
  <c r="CW592" i="1"/>
  <c r="CV592" i="1"/>
  <c r="CU592" i="1"/>
  <c r="CT592" i="1"/>
  <c r="CS592" i="1"/>
  <c r="CR592" i="1"/>
  <c r="CQ592" i="1"/>
  <c r="CP592" i="1"/>
  <c r="CO592" i="1"/>
  <c r="CN592" i="1"/>
  <c r="CM592" i="1"/>
  <c r="CL592" i="1"/>
  <c r="CK592" i="1"/>
  <c r="CJ592" i="1"/>
  <c r="CI592" i="1"/>
  <c r="CH592" i="1"/>
  <c r="CG592" i="1"/>
  <c r="CF592" i="1"/>
  <c r="CD592" i="1"/>
  <c r="CB592" i="1"/>
  <c r="BZ592" i="1"/>
  <c r="BX592" i="1"/>
  <c r="BV592" i="1"/>
  <c r="BR592" i="1"/>
  <c r="BQ592" i="1"/>
  <c r="BP592" i="1"/>
  <c r="BO592" i="1"/>
  <c r="BN592" i="1"/>
  <c r="BM592" i="1"/>
  <c r="BL592" i="1"/>
  <c r="BK592" i="1"/>
  <c r="BJ592" i="1"/>
  <c r="BI592" i="1"/>
  <c r="BH592" i="1"/>
  <c r="BG592" i="1"/>
  <c r="BF592" i="1"/>
  <c r="BD592" i="1"/>
  <c r="BB592" i="1"/>
  <c r="AZ592" i="1"/>
  <c r="AX592" i="1"/>
  <c r="AV592" i="1"/>
  <c r="AT592" i="1"/>
  <c r="AR592" i="1"/>
  <c r="AQ592" i="1"/>
  <c r="AP592" i="1"/>
  <c r="AO592" i="1"/>
  <c r="AN592" i="1"/>
  <c r="AM592" i="1"/>
  <c r="AL592" i="1"/>
  <c r="AK592" i="1"/>
  <c r="AI592" i="1"/>
  <c r="AH592" i="1"/>
  <c r="AG592" i="1"/>
  <c r="AF592" i="1"/>
  <c r="AE592" i="1"/>
  <c r="O594" i="1" s="1"/>
  <c r="AD592" i="1"/>
  <c r="P592" i="1"/>
  <c r="F592" i="1"/>
  <c r="D592" i="1"/>
  <c r="B592" i="1"/>
  <c r="BE594" i="1" s="1"/>
  <c r="DE591" i="1"/>
  <c r="DD591" i="1"/>
  <c r="DC591" i="1"/>
  <c r="DB591" i="1"/>
  <c r="DA591" i="1"/>
  <c r="CZ591" i="1"/>
  <c r="CY591" i="1"/>
  <c r="CX591" i="1"/>
  <c r="CW591" i="1"/>
  <c r="CV591" i="1"/>
  <c r="CU591" i="1"/>
  <c r="CT591" i="1"/>
  <c r="CS591" i="1"/>
  <c r="CR591" i="1"/>
  <c r="CQ591" i="1"/>
  <c r="CP591" i="1"/>
  <c r="CO591" i="1"/>
  <c r="CN591" i="1"/>
  <c r="CM591" i="1"/>
  <c r="CL591" i="1"/>
  <c r="CK591" i="1"/>
  <c r="CJ591" i="1"/>
  <c r="CI591" i="1"/>
  <c r="CH591" i="1"/>
  <c r="CG591" i="1"/>
  <c r="CF591" i="1"/>
  <c r="BR591" i="1"/>
  <c r="BP591" i="1"/>
  <c r="BO591" i="1"/>
  <c r="BN591" i="1"/>
  <c r="BM591" i="1"/>
  <c r="BL591" i="1"/>
  <c r="BK591" i="1"/>
  <c r="BJ591" i="1"/>
  <c r="BI591" i="1"/>
  <c r="BH591" i="1"/>
  <c r="BG591" i="1"/>
  <c r="BF591" i="1"/>
  <c r="AZ591" i="1"/>
  <c r="AX591" i="1"/>
  <c r="AR591" i="1"/>
  <c r="AP591" i="1"/>
  <c r="AO591" i="1"/>
  <c r="AN591" i="1"/>
  <c r="AM591" i="1"/>
  <c r="AL591" i="1"/>
  <c r="AK591" i="1"/>
  <c r="AJ591" i="1"/>
  <c r="AI591" i="1"/>
  <c r="AH591" i="1"/>
  <c r="AG591" i="1"/>
  <c r="AF591" i="1"/>
  <c r="AE591" i="1"/>
  <c r="AD591" i="1"/>
  <c r="DE590" i="1"/>
  <c r="DD590" i="1"/>
  <c r="DC590" i="1"/>
  <c r="DB590" i="1"/>
  <c r="DA590" i="1"/>
  <c r="CZ590" i="1"/>
  <c r="CY590" i="1"/>
  <c r="CX590" i="1"/>
  <c r="CW590" i="1"/>
  <c r="CV590" i="1"/>
  <c r="CU590" i="1"/>
  <c r="CT590" i="1"/>
  <c r="CS590" i="1"/>
  <c r="CR590" i="1"/>
  <c r="CQ590" i="1"/>
  <c r="CP590" i="1"/>
  <c r="CO590" i="1"/>
  <c r="CN590" i="1"/>
  <c r="CM590" i="1"/>
  <c r="CL590" i="1"/>
  <c r="CK590" i="1"/>
  <c r="CJ590" i="1"/>
  <c r="CI590" i="1"/>
  <c r="CH590" i="1"/>
  <c r="CG590" i="1"/>
  <c r="CF590" i="1"/>
  <c r="BR590" i="1"/>
  <c r="BP590" i="1"/>
  <c r="BO590" i="1"/>
  <c r="BN590" i="1"/>
  <c r="BM590" i="1"/>
  <c r="BL590" i="1"/>
  <c r="BK590" i="1"/>
  <c r="BJ590" i="1"/>
  <c r="BI590" i="1"/>
  <c r="BH590" i="1"/>
  <c r="BG590" i="1"/>
  <c r="BF590" i="1"/>
  <c r="BD590" i="1"/>
  <c r="BB590" i="1"/>
  <c r="AV590" i="1"/>
  <c r="AT590" i="1"/>
  <c r="AR590" i="1"/>
  <c r="AP590" i="1"/>
  <c r="AO590" i="1"/>
  <c r="AN590" i="1"/>
  <c r="AM590" i="1"/>
  <c r="AL590" i="1"/>
  <c r="AK590" i="1"/>
  <c r="AJ590" i="1"/>
  <c r="AI590" i="1"/>
  <c r="AH590" i="1"/>
  <c r="AG590" i="1"/>
  <c r="AF590" i="1"/>
  <c r="AE590" i="1"/>
  <c r="AD590" i="1"/>
  <c r="J590" i="1"/>
  <c r="DJ589" i="1"/>
  <c r="DE589" i="1"/>
  <c r="DD589" i="1"/>
  <c r="DC589" i="1"/>
  <c r="DB589" i="1"/>
  <c r="DA589" i="1"/>
  <c r="CZ589" i="1"/>
  <c r="CY589" i="1"/>
  <c r="CX589" i="1"/>
  <c r="CW589" i="1"/>
  <c r="CV589" i="1"/>
  <c r="CU589" i="1"/>
  <c r="CT589" i="1"/>
  <c r="CS589" i="1"/>
  <c r="CR589" i="1"/>
  <c r="CQ589" i="1"/>
  <c r="CP589" i="1"/>
  <c r="CO589" i="1"/>
  <c r="CN589" i="1"/>
  <c r="CM589" i="1"/>
  <c r="CL589" i="1"/>
  <c r="CK589" i="1"/>
  <c r="CJ589" i="1"/>
  <c r="CI589" i="1"/>
  <c r="CH589" i="1"/>
  <c r="CG589" i="1"/>
  <c r="CF589" i="1"/>
  <c r="CE589" i="1"/>
  <c r="BY589" i="1"/>
  <c r="BW589" i="1"/>
  <c r="BR589" i="1"/>
  <c r="BQ589" i="1"/>
  <c r="BP589" i="1"/>
  <c r="BO589" i="1"/>
  <c r="BN589" i="1"/>
  <c r="BM589" i="1"/>
  <c r="BL589" i="1"/>
  <c r="BK589" i="1"/>
  <c r="BJ589" i="1"/>
  <c r="BI589" i="1"/>
  <c r="BH589" i="1"/>
  <c r="BF589" i="1"/>
  <c r="BE589" i="1"/>
  <c r="AY589" i="1"/>
  <c r="AW589" i="1"/>
  <c r="AR589" i="1"/>
  <c r="AQ589" i="1"/>
  <c r="AP589" i="1"/>
  <c r="AO589" i="1"/>
  <c r="AN589" i="1"/>
  <c r="AM589" i="1"/>
  <c r="AL589" i="1"/>
  <c r="AK589" i="1"/>
  <c r="AJ589" i="1"/>
  <c r="AI589" i="1"/>
  <c r="AH589" i="1"/>
  <c r="AF589" i="1"/>
  <c r="AE589" i="1"/>
  <c r="AD589" i="1"/>
  <c r="F589" i="1"/>
  <c r="D589" i="1"/>
  <c r="DJ591" i="1" s="1"/>
  <c r="Q617" i="1" s="1"/>
  <c r="B589" i="1"/>
  <c r="BB591" i="1" s="1"/>
  <c r="DJ588" i="1"/>
  <c r="DE588" i="1"/>
  <c r="DD588" i="1"/>
  <c r="DC588" i="1"/>
  <c r="DB588" i="1"/>
  <c r="DA588" i="1"/>
  <c r="CZ588" i="1"/>
  <c r="CY588" i="1"/>
  <c r="CX588" i="1"/>
  <c r="CW588" i="1"/>
  <c r="CV588" i="1"/>
  <c r="CU588" i="1"/>
  <c r="CT588" i="1"/>
  <c r="CS588" i="1"/>
  <c r="CR588" i="1"/>
  <c r="CQ588" i="1"/>
  <c r="CP588" i="1"/>
  <c r="CO588" i="1"/>
  <c r="CN588" i="1"/>
  <c r="CM588" i="1"/>
  <c r="CL588" i="1"/>
  <c r="CK588" i="1"/>
  <c r="CJ588" i="1"/>
  <c r="CI588" i="1"/>
  <c r="CH588" i="1"/>
  <c r="CG588" i="1"/>
  <c r="CF588" i="1"/>
  <c r="BR588" i="1"/>
  <c r="BQ588" i="1"/>
  <c r="BP588" i="1"/>
  <c r="BO588" i="1"/>
  <c r="BN588" i="1"/>
  <c r="BM588" i="1"/>
  <c r="BL588" i="1"/>
  <c r="BK588" i="1"/>
  <c r="BI588" i="1"/>
  <c r="BH588" i="1"/>
  <c r="BG588" i="1"/>
  <c r="BF588" i="1"/>
  <c r="BE588" i="1"/>
  <c r="BC588" i="1"/>
  <c r="AW588" i="1"/>
  <c r="AU588" i="1"/>
  <c r="AR588" i="1"/>
  <c r="AQ588" i="1"/>
  <c r="AP588" i="1"/>
  <c r="AO588" i="1"/>
  <c r="AN588" i="1"/>
  <c r="AM588" i="1"/>
  <c r="AL588" i="1"/>
  <c r="AK588" i="1"/>
  <c r="AI588" i="1"/>
  <c r="AH588" i="1"/>
  <c r="AG588" i="1"/>
  <c r="AF588" i="1"/>
  <c r="AE588" i="1"/>
  <c r="DJ587" i="1"/>
  <c r="DE587" i="1"/>
  <c r="DD587" i="1"/>
  <c r="DC587" i="1"/>
  <c r="DB587" i="1"/>
  <c r="DA587" i="1"/>
  <c r="CZ587" i="1"/>
  <c r="CY587" i="1"/>
  <c r="CX587" i="1"/>
  <c r="CW587" i="1"/>
  <c r="CV587" i="1"/>
  <c r="CU587" i="1"/>
  <c r="CT587" i="1"/>
  <c r="CS587" i="1"/>
  <c r="CR587" i="1"/>
  <c r="CQ587" i="1"/>
  <c r="CP587" i="1"/>
  <c r="CO587" i="1"/>
  <c r="CN587" i="1"/>
  <c r="CM587" i="1"/>
  <c r="CL587" i="1"/>
  <c r="CK587" i="1"/>
  <c r="CJ587" i="1"/>
  <c r="CI587" i="1"/>
  <c r="CH587" i="1"/>
  <c r="CG587" i="1"/>
  <c r="CF587" i="1"/>
  <c r="BR587" i="1"/>
  <c r="BQ587" i="1"/>
  <c r="BP587" i="1"/>
  <c r="BO587" i="1"/>
  <c r="BN587" i="1"/>
  <c r="BM587" i="1"/>
  <c r="BL587" i="1"/>
  <c r="BK587" i="1"/>
  <c r="BI587" i="1"/>
  <c r="BH587" i="1"/>
  <c r="BG587" i="1"/>
  <c r="BF587" i="1"/>
  <c r="BD587" i="1"/>
  <c r="BB587" i="1"/>
  <c r="AV587" i="1"/>
  <c r="AT587" i="1"/>
  <c r="AR587" i="1"/>
  <c r="AQ587" i="1"/>
  <c r="AP587" i="1"/>
  <c r="AO587" i="1"/>
  <c r="AN587" i="1"/>
  <c r="AM587" i="1"/>
  <c r="AL587" i="1"/>
  <c r="AK587" i="1"/>
  <c r="AI587" i="1"/>
  <c r="AH587" i="1"/>
  <c r="AG587" i="1"/>
  <c r="AF587" i="1"/>
  <c r="AE587" i="1"/>
  <c r="J587" i="1"/>
  <c r="DJ586" i="1"/>
  <c r="DE586" i="1"/>
  <c r="DD586" i="1"/>
  <c r="DC586" i="1"/>
  <c r="DB586" i="1"/>
  <c r="DA586" i="1"/>
  <c r="CZ586" i="1"/>
  <c r="CY586" i="1"/>
  <c r="CX586" i="1"/>
  <c r="CW586" i="1"/>
  <c r="CV586" i="1"/>
  <c r="CU586" i="1"/>
  <c r="CT586" i="1"/>
  <c r="CS586" i="1"/>
  <c r="CR586" i="1"/>
  <c r="CQ586" i="1"/>
  <c r="CP586" i="1"/>
  <c r="CO586" i="1"/>
  <c r="CN586" i="1"/>
  <c r="CM586" i="1"/>
  <c r="CL586" i="1"/>
  <c r="CK586" i="1"/>
  <c r="CJ586" i="1"/>
  <c r="CI586" i="1"/>
  <c r="CH586" i="1"/>
  <c r="CG586" i="1"/>
  <c r="CF586" i="1"/>
  <c r="CE586" i="1"/>
  <c r="CA586" i="1"/>
  <c r="BZ586" i="1"/>
  <c r="BV586" i="1"/>
  <c r="BT586" i="1"/>
  <c r="BR586" i="1"/>
  <c r="BP586" i="1"/>
  <c r="BO586" i="1"/>
  <c r="BN586" i="1"/>
  <c r="BM586" i="1"/>
  <c r="BL586" i="1"/>
  <c r="BK586" i="1"/>
  <c r="BJ586" i="1"/>
  <c r="BI586" i="1"/>
  <c r="BH586" i="1"/>
  <c r="BG586" i="1"/>
  <c r="BF586" i="1"/>
  <c r="BC586" i="1"/>
  <c r="BB586" i="1"/>
  <c r="AX586" i="1"/>
  <c r="AV586" i="1"/>
  <c r="AR586" i="1"/>
  <c r="AP586" i="1"/>
  <c r="AO586" i="1"/>
  <c r="AN586" i="1"/>
  <c r="AM586" i="1"/>
  <c r="AL586" i="1"/>
  <c r="AK586" i="1"/>
  <c r="AJ586" i="1"/>
  <c r="AI586" i="1"/>
  <c r="AH586" i="1"/>
  <c r="AG586" i="1"/>
  <c r="AF586" i="1"/>
  <c r="AE586" i="1"/>
  <c r="O587" i="1" s="1"/>
  <c r="BJ587" i="1" s="1"/>
  <c r="AD586" i="1"/>
  <c r="F586" i="1"/>
  <c r="B586" i="1"/>
  <c r="DE585" i="1"/>
  <c r="DD585" i="1"/>
  <c r="DC585" i="1"/>
  <c r="DB585" i="1"/>
  <c r="DA585" i="1"/>
  <c r="CZ585" i="1"/>
  <c r="CY585" i="1"/>
  <c r="CX585" i="1"/>
  <c r="CW585" i="1"/>
  <c r="CV585" i="1"/>
  <c r="CU585" i="1"/>
  <c r="CT585" i="1"/>
  <c r="CS585" i="1"/>
  <c r="CR585" i="1"/>
  <c r="CQ585" i="1"/>
  <c r="CP585" i="1"/>
  <c r="CO585" i="1"/>
  <c r="CN585" i="1"/>
  <c r="CM585" i="1"/>
  <c r="CL585" i="1"/>
  <c r="CK585" i="1"/>
  <c r="CJ585" i="1"/>
  <c r="CI585" i="1"/>
  <c r="CH585" i="1"/>
  <c r="CG585" i="1"/>
  <c r="CF585" i="1"/>
  <c r="BR585" i="1"/>
  <c r="BQ585" i="1"/>
  <c r="BP585" i="1"/>
  <c r="BO585" i="1"/>
  <c r="BN585" i="1"/>
  <c r="BM585" i="1"/>
  <c r="BL585" i="1"/>
  <c r="BK585" i="1"/>
  <c r="BJ585" i="1"/>
  <c r="BI585" i="1"/>
  <c r="BH585" i="1"/>
  <c r="BG585" i="1"/>
  <c r="BF585" i="1"/>
  <c r="BE585" i="1"/>
  <c r="BC585" i="1"/>
  <c r="AY585" i="1"/>
  <c r="AX585" i="1"/>
  <c r="AT585" i="1"/>
  <c r="AS585" i="1"/>
  <c r="AR585" i="1"/>
  <c r="AQ585" i="1"/>
  <c r="AP585" i="1"/>
  <c r="AO585" i="1"/>
  <c r="AN585" i="1"/>
  <c r="AM585" i="1"/>
  <c r="AL585" i="1"/>
  <c r="AK585" i="1"/>
  <c r="AJ585" i="1"/>
  <c r="AI585" i="1"/>
  <c r="AH585" i="1"/>
  <c r="AG585" i="1"/>
  <c r="AF585" i="1"/>
  <c r="AE585" i="1"/>
  <c r="AD585" i="1"/>
  <c r="R585" i="1"/>
  <c r="Q585" i="1"/>
  <c r="O585" i="1"/>
  <c r="P585" i="1" s="1"/>
  <c r="DE584" i="1"/>
  <c r="DD584" i="1"/>
  <c r="DC584" i="1"/>
  <c r="DB584" i="1"/>
  <c r="DA584" i="1"/>
  <c r="CZ584" i="1"/>
  <c r="CY584" i="1"/>
  <c r="CX584" i="1"/>
  <c r="CW584" i="1"/>
  <c r="CV584" i="1"/>
  <c r="CU584" i="1"/>
  <c r="CT584" i="1"/>
  <c r="CS584" i="1"/>
  <c r="CR584" i="1"/>
  <c r="CQ584" i="1"/>
  <c r="CP584" i="1"/>
  <c r="CO584" i="1"/>
  <c r="CN584" i="1"/>
  <c r="CM584" i="1"/>
  <c r="CL584" i="1"/>
  <c r="CK584" i="1"/>
  <c r="CJ584" i="1"/>
  <c r="CI584" i="1"/>
  <c r="CH584" i="1"/>
  <c r="CG584" i="1"/>
  <c r="CF584" i="1"/>
  <c r="BR584" i="1"/>
  <c r="BQ584" i="1"/>
  <c r="BP584" i="1"/>
  <c r="BO584" i="1"/>
  <c r="BN584" i="1"/>
  <c r="BM584" i="1"/>
  <c r="BL584" i="1"/>
  <c r="BK584" i="1"/>
  <c r="BI584" i="1"/>
  <c r="BH584" i="1"/>
  <c r="BG584" i="1"/>
  <c r="BF584" i="1"/>
  <c r="BE584" i="1"/>
  <c r="BC584" i="1"/>
  <c r="AY584" i="1"/>
  <c r="AX584" i="1"/>
  <c r="AT584" i="1"/>
  <c r="AS584" i="1"/>
  <c r="AR584" i="1"/>
  <c r="AQ584" i="1"/>
  <c r="AP584" i="1"/>
  <c r="AO584" i="1"/>
  <c r="AN584" i="1"/>
  <c r="AM584" i="1"/>
  <c r="AL584" i="1"/>
  <c r="AK584" i="1"/>
  <c r="AI584" i="1"/>
  <c r="AH584" i="1"/>
  <c r="AG584" i="1"/>
  <c r="AF584" i="1"/>
  <c r="AE584" i="1"/>
  <c r="O583" i="1" s="1"/>
  <c r="AD584" i="1"/>
  <c r="P584" i="1"/>
  <c r="O584" i="1"/>
  <c r="AJ584" i="1" s="1"/>
  <c r="J584" i="1"/>
  <c r="DE583" i="1"/>
  <c r="DD583" i="1"/>
  <c r="DC583" i="1"/>
  <c r="DB583" i="1"/>
  <c r="DA583" i="1"/>
  <c r="CZ583" i="1"/>
  <c r="CY583" i="1"/>
  <c r="CX583" i="1"/>
  <c r="CW583" i="1"/>
  <c r="CV583" i="1"/>
  <c r="CU583" i="1"/>
  <c r="CT583" i="1"/>
  <c r="CS583" i="1"/>
  <c r="CR583" i="1"/>
  <c r="CQ583" i="1"/>
  <c r="CP583" i="1"/>
  <c r="CO583" i="1"/>
  <c r="CN583" i="1"/>
  <c r="CM583" i="1"/>
  <c r="CL583" i="1"/>
  <c r="CK583" i="1"/>
  <c r="CJ583" i="1"/>
  <c r="CI583" i="1"/>
  <c r="CH583" i="1"/>
  <c r="CG583" i="1"/>
  <c r="CF583" i="1"/>
  <c r="CB583" i="1"/>
  <c r="BZ583" i="1"/>
  <c r="BU583" i="1"/>
  <c r="BR583" i="1"/>
  <c r="BQ583" i="1"/>
  <c r="BP583" i="1"/>
  <c r="BO583" i="1"/>
  <c r="BN583" i="1"/>
  <c r="BM583" i="1"/>
  <c r="BL583" i="1"/>
  <c r="BK583" i="1"/>
  <c r="BJ583" i="1"/>
  <c r="BI583" i="1"/>
  <c r="BH583" i="1"/>
  <c r="BG583" i="1"/>
  <c r="BF583" i="1"/>
  <c r="BE583" i="1"/>
  <c r="BD583" i="1"/>
  <c r="AZ583" i="1"/>
  <c r="AX583" i="1"/>
  <c r="AT583" i="1"/>
  <c r="AS583" i="1"/>
  <c r="AR583" i="1"/>
  <c r="AQ583" i="1"/>
  <c r="AP583" i="1"/>
  <c r="AO583" i="1"/>
  <c r="AN583" i="1"/>
  <c r="AM583" i="1"/>
  <c r="AL583" i="1"/>
  <c r="AK583" i="1"/>
  <c r="AJ583" i="1"/>
  <c r="AH583" i="1"/>
  <c r="AG583" i="1"/>
  <c r="AF583" i="1"/>
  <c r="AE583" i="1"/>
  <c r="AD583" i="1"/>
  <c r="P583" i="1"/>
  <c r="AI583" i="1" s="1"/>
  <c r="G583" i="1"/>
  <c r="F583" i="1"/>
  <c r="B583" i="1"/>
  <c r="BA585" i="1" s="1"/>
  <c r="DE582" i="1"/>
  <c r="DD582" i="1"/>
  <c r="DC582" i="1"/>
  <c r="DB582" i="1"/>
  <c r="DA582" i="1"/>
  <c r="CZ582" i="1"/>
  <c r="CY582" i="1"/>
  <c r="CX582" i="1"/>
  <c r="CW582" i="1"/>
  <c r="CV582" i="1"/>
  <c r="CU582" i="1"/>
  <c r="CT582" i="1"/>
  <c r="CS582" i="1"/>
  <c r="CR582" i="1"/>
  <c r="CQ582" i="1"/>
  <c r="CP582" i="1"/>
  <c r="CO582" i="1"/>
  <c r="CN582" i="1"/>
  <c r="CM582" i="1"/>
  <c r="CL582" i="1"/>
  <c r="CK582" i="1"/>
  <c r="CJ582" i="1"/>
  <c r="CI582" i="1"/>
  <c r="CH582" i="1"/>
  <c r="CG582" i="1"/>
  <c r="CF582" i="1"/>
  <c r="BR582" i="1"/>
  <c r="BQ582" i="1"/>
  <c r="BP582" i="1"/>
  <c r="BO582" i="1"/>
  <c r="BN582" i="1"/>
  <c r="BM582" i="1"/>
  <c r="BL582" i="1"/>
  <c r="BK582" i="1"/>
  <c r="BJ582" i="1"/>
  <c r="BI582" i="1"/>
  <c r="BH582" i="1"/>
  <c r="BG582" i="1"/>
  <c r="BF582" i="1"/>
  <c r="BC582" i="1"/>
  <c r="BB582" i="1"/>
  <c r="AX582" i="1"/>
  <c r="AW582" i="1"/>
  <c r="AS582" i="1"/>
  <c r="AR582" i="1"/>
  <c r="AQ582" i="1"/>
  <c r="AP582" i="1"/>
  <c r="AO582" i="1"/>
  <c r="AN582" i="1"/>
  <c r="AM582" i="1"/>
  <c r="AL582" i="1"/>
  <c r="AK582" i="1"/>
  <c r="AJ582" i="1"/>
  <c r="AI582" i="1"/>
  <c r="AH582" i="1"/>
  <c r="AG582" i="1"/>
  <c r="AF582" i="1"/>
  <c r="AE582" i="1"/>
  <c r="R582" i="1"/>
  <c r="Q582" i="1"/>
  <c r="O582" i="1"/>
  <c r="P582" i="1" s="1"/>
  <c r="DE581" i="1"/>
  <c r="DD581" i="1"/>
  <c r="DC581" i="1"/>
  <c r="DB581" i="1"/>
  <c r="DA581" i="1"/>
  <c r="CZ581" i="1"/>
  <c r="CY581" i="1"/>
  <c r="CX581" i="1"/>
  <c r="CW581" i="1"/>
  <c r="CV581" i="1"/>
  <c r="CU581" i="1"/>
  <c r="CT581" i="1"/>
  <c r="CS581" i="1"/>
  <c r="CR581" i="1"/>
  <c r="CQ581" i="1"/>
  <c r="CP581" i="1"/>
  <c r="CO581" i="1"/>
  <c r="CN581" i="1"/>
  <c r="CM581" i="1"/>
  <c r="CL581" i="1"/>
  <c r="CK581" i="1"/>
  <c r="CJ581" i="1"/>
  <c r="CI581" i="1"/>
  <c r="CH581" i="1"/>
  <c r="CG581" i="1"/>
  <c r="CF581" i="1"/>
  <c r="BR581" i="1"/>
  <c r="BQ581" i="1"/>
  <c r="BP581" i="1"/>
  <c r="BO581" i="1"/>
  <c r="BN581" i="1"/>
  <c r="BM581" i="1"/>
  <c r="BL581" i="1"/>
  <c r="BK581" i="1"/>
  <c r="BJ581" i="1"/>
  <c r="BI581" i="1"/>
  <c r="BH581" i="1"/>
  <c r="BG581" i="1"/>
  <c r="BF581" i="1"/>
  <c r="BE581" i="1"/>
  <c r="BA581" i="1"/>
  <c r="AZ581" i="1"/>
  <c r="AV581" i="1"/>
  <c r="AT581" i="1"/>
  <c r="AR581" i="1"/>
  <c r="AP581" i="1"/>
  <c r="AO581" i="1"/>
  <c r="AN581" i="1"/>
  <c r="AM581" i="1"/>
  <c r="AL581" i="1"/>
  <c r="AK581" i="1"/>
  <c r="AJ581" i="1"/>
  <c r="AI581" i="1"/>
  <c r="AH581" i="1"/>
  <c r="AG581" i="1"/>
  <c r="AF581" i="1"/>
  <c r="AE581" i="1"/>
  <c r="J581" i="1"/>
  <c r="DE580" i="1"/>
  <c r="DD580" i="1"/>
  <c r="DC580" i="1"/>
  <c r="DB580" i="1"/>
  <c r="DA580" i="1"/>
  <c r="CZ580" i="1"/>
  <c r="CY580" i="1"/>
  <c r="CX580" i="1"/>
  <c r="CW580" i="1"/>
  <c r="CV580" i="1"/>
  <c r="CU580" i="1"/>
  <c r="CT580" i="1"/>
  <c r="CS580" i="1"/>
  <c r="CR580" i="1"/>
  <c r="CQ580" i="1"/>
  <c r="CP580" i="1"/>
  <c r="CO580" i="1"/>
  <c r="CN580" i="1"/>
  <c r="CM580" i="1"/>
  <c r="CL580" i="1"/>
  <c r="CK580" i="1"/>
  <c r="CJ580" i="1"/>
  <c r="CI580" i="1"/>
  <c r="CH580" i="1"/>
  <c r="CG580" i="1"/>
  <c r="CF580" i="1"/>
  <c r="CD580" i="1"/>
  <c r="CB580" i="1"/>
  <c r="BX580" i="1"/>
  <c r="BW580" i="1"/>
  <c r="BS580" i="1"/>
  <c r="BR580" i="1"/>
  <c r="BQ580" i="1"/>
  <c r="BP580" i="1"/>
  <c r="BO580" i="1"/>
  <c r="BN580" i="1"/>
  <c r="BL580" i="1"/>
  <c r="BK580" i="1"/>
  <c r="BJ580" i="1"/>
  <c r="BI580" i="1"/>
  <c r="BH580" i="1"/>
  <c r="BG580" i="1"/>
  <c r="BF580" i="1"/>
  <c r="BD580" i="1"/>
  <c r="AZ580" i="1"/>
  <c r="AY580" i="1"/>
  <c r="AU580" i="1"/>
  <c r="AT580" i="1"/>
  <c r="AR580" i="1"/>
  <c r="AQ580" i="1"/>
  <c r="AP580" i="1"/>
  <c r="AO580" i="1"/>
  <c r="AN580" i="1"/>
  <c r="AL580" i="1"/>
  <c r="AK580" i="1"/>
  <c r="AJ580" i="1"/>
  <c r="AI580" i="1"/>
  <c r="AH580" i="1"/>
  <c r="AG580" i="1"/>
  <c r="AF580" i="1"/>
  <c r="AE580" i="1"/>
  <c r="O581" i="1" s="1"/>
  <c r="P581" i="1" s="1"/>
  <c r="AQ581" i="1" s="1"/>
  <c r="AD580" i="1"/>
  <c r="S580" i="1"/>
  <c r="O580" i="1"/>
  <c r="BM580" i="1" s="1"/>
  <c r="G580" i="1"/>
  <c r="B580" i="1"/>
  <c r="DE579" i="1"/>
  <c r="DD579" i="1"/>
  <c r="DC579" i="1"/>
  <c r="DB579" i="1"/>
  <c r="DA579" i="1"/>
  <c r="CZ579" i="1"/>
  <c r="CY579" i="1"/>
  <c r="CX579" i="1"/>
  <c r="CW579" i="1"/>
  <c r="CV579" i="1"/>
  <c r="CU579" i="1"/>
  <c r="CT579" i="1"/>
  <c r="CS579" i="1"/>
  <c r="CR579" i="1"/>
  <c r="CQ579" i="1"/>
  <c r="CP579" i="1"/>
  <c r="CO579" i="1"/>
  <c r="CN579" i="1"/>
  <c r="CM579" i="1"/>
  <c r="CL579" i="1"/>
  <c r="CK579" i="1"/>
  <c r="CJ579" i="1"/>
  <c r="CI579" i="1"/>
  <c r="CH579" i="1"/>
  <c r="CG579" i="1"/>
  <c r="CF579" i="1"/>
  <c r="BR579" i="1"/>
  <c r="BQ579" i="1"/>
  <c r="BP579" i="1"/>
  <c r="BO579" i="1"/>
  <c r="BN579" i="1"/>
  <c r="BM579" i="1"/>
  <c r="BL579" i="1"/>
  <c r="BK579" i="1"/>
  <c r="BJ579" i="1"/>
  <c r="BI579" i="1"/>
  <c r="BH579" i="1"/>
  <c r="BG579" i="1"/>
  <c r="BF579" i="1"/>
  <c r="BD579" i="1"/>
  <c r="BC579" i="1"/>
  <c r="AY579" i="1"/>
  <c r="AS579" i="1"/>
  <c r="AR579" i="1"/>
  <c r="AQ579" i="1"/>
  <c r="AP579" i="1"/>
  <c r="AO579" i="1"/>
  <c r="AN579" i="1"/>
  <c r="AM579" i="1"/>
  <c r="AL579" i="1"/>
  <c r="AK579" i="1"/>
  <c r="AJ579" i="1"/>
  <c r="AI579" i="1"/>
  <c r="AH579" i="1"/>
  <c r="AG579" i="1"/>
  <c r="AF579" i="1"/>
  <c r="AE579" i="1"/>
  <c r="AD579" i="1"/>
  <c r="R579" i="1"/>
  <c r="Q579" i="1"/>
  <c r="DE578" i="1"/>
  <c r="DD578" i="1"/>
  <c r="DC578" i="1"/>
  <c r="DB578" i="1"/>
  <c r="DA578" i="1"/>
  <c r="CZ578" i="1"/>
  <c r="CY578" i="1"/>
  <c r="CX578" i="1"/>
  <c r="CW578" i="1"/>
  <c r="CV578" i="1"/>
  <c r="CU578" i="1"/>
  <c r="CT578" i="1"/>
  <c r="CS578" i="1"/>
  <c r="CR578" i="1"/>
  <c r="CQ578" i="1"/>
  <c r="CP578" i="1"/>
  <c r="CO578" i="1"/>
  <c r="CN578" i="1"/>
  <c r="CM578" i="1"/>
  <c r="CL578" i="1"/>
  <c r="CK578" i="1"/>
  <c r="CJ578" i="1"/>
  <c r="CI578" i="1"/>
  <c r="CH578" i="1"/>
  <c r="CG578" i="1"/>
  <c r="CF578" i="1"/>
  <c r="BR578" i="1"/>
  <c r="BQ578" i="1"/>
  <c r="BP578" i="1"/>
  <c r="BO578" i="1"/>
  <c r="BN578" i="1"/>
  <c r="BL578" i="1"/>
  <c r="BK578" i="1"/>
  <c r="BJ578" i="1"/>
  <c r="BI578" i="1"/>
  <c r="BH578" i="1"/>
  <c r="BG578" i="1"/>
  <c r="BF578" i="1"/>
  <c r="BC578" i="1"/>
  <c r="AW578" i="1"/>
  <c r="AV578" i="1"/>
  <c r="AR578" i="1"/>
  <c r="AQ578" i="1"/>
  <c r="AP578" i="1"/>
  <c r="AO578" i="1"/>
  <c r="AN578" i="1"/>
  <c r="AL578" i="1"/>
  <c r="AK578" i="1"/>
  <c r="AJ578" i="1"/>
  <c r="AI578" i="1"/>
  <c r="AH578" i="1"/>
  <c r="AG578" i="1"/>
  <c r="AF578" i="1"/>
  <c r="AE578" i="1"/>
  <c r="O577" i="1" s="1"/>
  <c r="BQ577" i="1" s="1"/>
  <c r="AD578" i="1"/>
  <c r="J578" i="1"/>
  <c r="DE577" i="1"/>
  <c r="DD577" i="1"/>
  <c r="DC577" i="1"/>
  <c r="DB577" i="1"/>
  <c r="DA577" i="1"/>
  <c r="CZ577" i="1"/>
  <c r="CY577" i="1"/>
  <c r="CX577" i="1"/>
  <c r="CW577" i="1"/>
  <c r="CV577" i="1"/>
  <c r="CU577" i="1"/>
  <c r="CT577" i="1"/>
  <c r="CS577" i="1"/>
  <c r="CR577" i="1"/>
  <c r="CQ577" i="1"/>
  <c r="CP577" i="1"/>
  <c r="CO577" i="1"/>
  <c r="CN577" i="1"/>
  <c r="CM577" i="1"/>
  <c r="CL577" i="1"/>
  <c r="CK577" i="1"/>
  <c r="CJ577" i="1"/>
  <c r="CI577" i="1"/>
  <c r="CH577" i="1"/>
  <c r="CG577" i="1"/>
  <c r="CF577" i="1"/>
  <c r="CB577" i="1"/>
  <c r="CA577" i="1"/>
  <c r="BW577" i="1"/>
  <c r="BR577" i="1"/>
  <c r="BP577" i="1"/>
  <c r="BO577" i="1"/>
  <c r="BN577" i="1"/>
  <c r="BM577" i="1"/>
  <c r="BL577" i="1"/>
  <c r="BK577" i="1"/>
  <c r="BJ577" i="1"/>
  <c r="BI577" i="1"/>
  <c r="BH577" i="1"/>
  <c r="BG577" i="1"/>
  <c r="BF577" i="1"/>
  <c r="BD577" i="1"/>
  <c r="BC577" i="1"/>
  <c r="AY577" i="1"/>
  <c r="AT577" i="1"/>
  <c r="AR577" i="1"/>
  <c r="AP577" i="1"/>
  <c r="AO577" i="1"/>
  <c r="AN577" i="1"/>
  <c r="AM577" i="1"/>
  <c r="AL577" i="1"/>
  <c r="AK577" i="1"/>
  <c r="AJ577" i="1"/>
  <c r="AI577" i="1"/>
  <c r="AH577" i="1"/>
  <c r="AG577" i="1"/>
  <c r="AF577" i="1"/>
  <c r="AE577" i="1"/>
  <c r="AD577" i="1"/>
  <c r="P577" i="1"/>
  <c r="AQ577" i="1" s="1"/>
  <c r="F577" i="1"/>
  <c r="B577" i="1"/>
  <c r="DE576" i="1"/>
  <c r="DD576" i="1"/>
  <c r="DC576" i="1"/>
  <c r="DB576" i="1"/>
  <c r="DA576" i="1"/>
  <c r="CZ576" i="1"/>
  <c r="CY576" i="1"/>
  <c r="CX576" i="1"/>
  <c r="CW576" i="1"/>
  <c r="CV576" i="1"/>
  <c r="CU576" i="1"/>
  <c r="CT576" i="1"/>
  <c r="CS576" i="1"/>
  <c r="CR576" i="1"/>
  <c r="CQ576" i="1"/>
  <c r="CP576" i="1"/>
  <c r="CO576" i="1"/>
  <c r="CN576" i="1"/>
  <c r="CM576" i="1"/>
  <c r="CL576" i="1"/>
  <c r="CK576" i="1"/>
  <c r="CJ576" i="1"/>
  <c r="CI576" i="1"/>
  <c r="CH576" i="1"/>
  <c r="CG576" i="1"/>
  <c r="CF576" i="1"/>
  <c r="BR576" i="1"/>
  <c r="BQ576" i="1"/>
  <c r="BP576" i="1"/>
  <c r="BO576" i="1"/>
  <c r="BN576" i="1"/>
  <c r="BM576" i="1"/>
  <c r="BL576" i="1"/>
  <c r="BK576" i="1"/>
  <c r="BJ576" i="1"/>
  <c r="BI576" i="1"/>
  <c r="BH576" i="1"/>
  <c r="BG576" i="1"/>
  <c r="BF576" i="1"/>
  <c r="BD576" i="1"/>
  <c r="AZ576" i="1"/>
  <c r="AT576" i="1"/>
  <c r="AR576" i="1"/>
  <c r="AQ576" i="1"/>
  <c r="AP576" i="1"/>
  <c r="AO576" i="1"/>
  <c r="AN576" i="1"/>
  <c r="AM576" i="1"/>
  <c r="AL576" i="1"/>
  <c r="AK576" i="1"/>
  <c r="AJ576" i="1"/>
  <c r="AI576" i="1"/>
  <c r="AH576" i="1"/>
  <c r="AG576" i="1"/>
  <c r="AF576" i="1"/>
  <c r="AE576" i="1"/>
  <c r="R576" i="1"/>
  <c r="Q576" i="1"/>
  <c r="DE575" i="1"/>
  <c r="DD575" i="1"/>
  <c r="DC575" i="1"/>
  <c r="DB575" i="1"/>
  <c r="DA575" i="1"/>
  <c r="CZ575" i="1"/>
  <c r="CY575" i="1"/>
  <c r="CX575" i="1"/>
  <c r="CW575" i="1"/>
  <c r="CV575" i="1"/>
  <c r="CU575" i="1"/>
  <c r="CT575" i="1"/>
  <c r="CS575" i="1"/>
  <c r="CR575" i="1"/>
  <c r="CQ575" i="1"/>
  <c r="CP575" i="1"/>
  <c r="CO575" i="1"/>
  <c r="CN575" i="1"/>
  <c r="CM575" i="1"/>
  <c r="CL575" i="1"/>
  <c r="CK575" i="1"/>
  <c r="CJ575" i="1"/>
  <c r="CI575" i="1"/>
  <c r="CH575" i="1"/>
  <c r="CG575" i="1"/>
  <c r="CF575" i="1"/>
  <c r="BR575" i="1"/>
  <c r="BQ575" i="1"/>
  <c r="BP575" i="1"/>
  <c r="BO575" i="1"/>
  <c r="BN575" i="1"/>
  <c r="BL575" i="1"/>
  <c r="BK575" i="1"/>
  <c r="BJ575" i="1"/>
  <c r="BI575" i="1"/>
  <c r="BH575" i="1"/>
  <c r="BG575" i="1"/>
  <c r="BF575" i="1"/>
  <c r="BC575" i="1"/>
  <c r="AW575" i="1"/>
  <c r="AS575" i="1"/>
  <c r="AR575" i="1"/>
  <c r="AQ575" i="1"/>
  <c r="AP575" i="1"/>
  <c r="AO575" i="1"/>
  <c r="AN575" i="1"/>
  <c r="AL575" i="1"/>
  <c r="AK575" i="1"/>
  <c r="AJ575" i="1"/>
  <c r="AI575" i="1"/>
  <c r="AH575" i="1"/>
  <c r="AG575" i="1"/>
  <c r="AF575" i="1"/>
  <c r="AE575" i="1"/>
  <c r="O575" i="1"/>
  <c r="J575" i="1"/>
  <c r="DE574" i="1"/>
  <c r="DD574" i="1"/>
  <c r="DC574" i="1"/>
  <c r="DB574" i="1"/>
  <c r="DA574" i="1"/>
  <c r="CZ574" i="1"/>
  <c r="CY574" i="1"/>
  <c r="CX574" i="1"/>
  <c r="CW574" i="1"/>
  <c r="CV574" i="1"/>
  <c r="CU574" i="1"/>
  <c r="CT574" i="1"/>
  <c r="CS574" i="1"/>
  <c r="CR574" i="1"/>
  <c r="CQ574" i="1"/>
  <c r="CP574" i="1"/>
  <c r="CO574" i="1"/>
  <c r="CN574" i="1"/>
  <c r="CM574" i="1"/>
  <c r="CL574" i="1"/>
  <c r="CK574" i="1"/>
  <c r="CJ574" i="1"/>
  <c r="CI574" i="1"/>
  <c r="CH574" i="1"/>
  <c r="CG574" i="1"/>
  <c r="CF574" i="1"/>
  <c r="BY574" i="1"/>
  <c r="BU574" i="1"/>
  <c r="BR574" i="1"/>
  <c r="BQ574" i="1"/>
  <c r="BP574" i="1"/>
  <c r="BO574" i="1"/>
  <c r="BN574" i="1"/>
  <c r="BM574" i="1"/>
  <c r="BL574" i="1"/>
  <c r="BK574" i="1"/>
  <c r="BJ574" i="1"/>
  <c r="BI574" i="1"/>
  <c r="BH574" i="1"/>
  <c r="BF574" i="1"/>
  <c r="BD574" i="1"/>
  <c r="AZ574" i="1"/>
  <c r="AS574" i="1"/>
  <c r="AR574" i="1"/>
  <c r="AQ574" i="1"/>
  <c r="AP574" i="1"/>
  <c r="AO574" i="1"/>
  <c r="AN574" i="1"/>
  <c r="AM574" i="1"/>
  <c r="AL574" i="1"/>
  <c r="AK574" i="1"/>
  <c r="AJ574" i="1"/>
  <c r="AI574" i="1"/>
  <c r="AH574" i="1"/>
  <c r="AF574" i="1"/>
  <c r="AE574" i="1"/>
  <c r="O576" i="1" s="1"/>
  <c r="P576" i="1" s="1"/>
  <c r="AD574" i="1"/>
  <c r="O574" i="1"/>
  <c r="F574" i="1"/>
  <c r="B574" i="1"/>
  <c r="DE573" i="1"/>
  <c r="DD573" i="1"/>
  <c r="DC573" i="1"/>
  <c r="DB573" i="1"/>
  <c r="DA573" i="1"/>
  <c r="CZ573" i="1"/>
  <c r="CY573" i="1"/>
  <c r="CX573" i="1"/>
  <c r="CW573" i="1"/>
  <c r="CV573" i="1"/>
  <c r="CU573" i="1"/>
  <c r="CT573" i="1"/>
  <c r="CS573" i="1"/>
  <c r="CR573" i="1"/>
  <c r="CQ573" i="1"/>
  <c r="CP573" i="1"/>
  <c r="CO573" i="1"/>
  <c r="CN573" i="1"/>
  <c r="CM573" i="1"/>
  <c r="CL573" i="1"/>
  <c r="CK573" i="1"/>
  <c r="CJ573" i="1"/>
  <c r="CI573" i="1"/>
  <c r="CH573" i="1"/>
  <c r="CG573" i="1"/>
  <c r="CF573" i="1"/>
  <c r="BR573" i="1"/>
  <c r="BQ573" i="1"/>
  <c r="BP573" i="1"/>
  <c r="BO573" i="1"/>
  <c r="BN573" i="1"/>
  <c r="BM573" i="1"/>
  <c r="BL573" i="1"/>
  <c r="BK573" i="1"/>
  <c r="BJ573" i="1"/>
  <c r="BI573" i="1"/>
  <c r="BH573" i="1"/>
  <c r="BG573" i="1"/>
  <c r="BF573" i="1"/>
  <c r="BE573" i="1"/>
  <c r="BD573" i="1"/>
  <c r="AZ573" i="1"/>
  <c r="AY573" i="1"/>
  <c r="AU573" i="1"/>
  <c r="AS573" i="1"/>
  <c r="AR573" i="1"/>
  <c r="AQ573" i="1"/>
  <c r="AP573" i="1"/>
  <c r="AO573" i="1"/>
  <c r="AN573" i="1"/>
  <c r="AM573" i="1"/>
  <c r="AL573" i="1"/>
  <c r="AK573" i="1"/>
  <c r="AJ573" i="1"/>
  <c r="AI573" i="1"/>
  <c r="AH573" i="1"/>
  <c r="AG573" i="1"/>
  <c r="AF573" i="1"/>
  <c r="AE573" i="1"/>
  <c r="AD573" i="1"/>
  <c r="R573" i="1"/>
  <c r="Q573" i="1"/>
  <c r="DE572" i="1"/>
  <c r="DD572" i="1"/>
  <c r="DC572" i="1"/>
  <c r="DB572" i="1"/>
  <c r="DA572" i="1"/>
  <c r="CZ572" i="1"/>
  <c r="CY572" i="1"/>
  <c r="CX572" i="1"/>
  <c r="CW572" i="1"/>
  <c r="CV572" i="1"/>
  <c r="CU572" i="1"/>
  <c r="CT572" i="1"/>
  <c r="CS572" i="1"/>
  <c r="CR572" i="1"/>
  <c r="CQ572" i="1"/>
  <c r="CP572" i="1"/>
  <c r="CO572" i="1"/>
  <c r="CN572" i="1"/>
  <c r="CM572" i="1"/>
  <c r="CL572" i="1"/>
  <c r="CK572" i="1"/>
  <c r="CJ572" i="1"/>
  <c r="CI572" i="1"/>
  <c r="CH572" i="1"/>
  <c r="CG572" i="1"/>
  <c r="CF572" i="1"/>
  <c r="BR572" i="1"/>
  <c r="BQ572" i="1"/>
  <c r="BP572" i="1"/>
  <c r="BO572" i="1"/>
  <c r="BN572" i="1"/>
  <c r="BL572" i="1"/>
  <c r="BK572" i="1"/>
  <c r="BJ572" i="1"/>
  <c r="BI572" i="1"/>
  <c r="BH572" i="1"/>
  <c r="BG572" i="1"/>
  <c r="BF572" i="1"/>
  <c r="BD572" i="1"/>
  <c r="BC572" i="1"/>
  <c r="AY572" i="1"/>
  <c r="AW572" i="1"/>
  <c r="AS572" i="1"/>
  <c r="AR572" i="1"/>
  <c r="AQ572" i="1"/>
  <c r="AP572" i="1"/>
  <c r="AO572" i="1"/>
  <c r="AN572" i="1"/>
  <c r="AL572" i="1"/>
  <c r="AK572" i="1"/>
  <c r="AJ572" i="1"/>
  <c r="AI572" i="1"/>
  <c r="AH572" i="1"/>
  <c r="AG572" i="1"/>
  <c r="AF572" i="1"/>
  <c r="AE572" i="1"/>
  <c r="AD572" i="1"/>
  <c r="J572" i="1"/>
  <c r="DE571" i="1"/>
  <c r="DD571" i="1"/>
  <c r="DC571" i="1"/>
  <c r="DB571" i="1"/>
  <c r="DA571" i="1"/>
  <c r="CZ571" i="1"/>
  <c r="CY571" i="1"/>
  <c r="CX571" i="1"/>
  <c r="CW571" i="1"/>
  <c r="CV571" i="1"/>
  <c r="CU571" i="1"/>
  <c r="CT571" i="1"/>
  <c r="CS571" i="1"/>
  <c r="CR571" i="1"/>
  <c r="CQ571" i="1"/>
  <c r="CP571" i="1"/>
  <c r="CO571" i="1"/>
  <c r="CN571" i="1"/>
  <c r="CM571" i="1"/>
  <c r="CL571" i="1"/>
  <c r="CK571" i="1"/>
  <c r="CJ571" i="1"/>
  <c r="CI571" i="1"/>
  <c r="CH571" i="1"/>
  <c r="CG571" i="1"/>
  <c r="CF571" i="1"/>
  <c r="CD571" i="1"/>
  <c r="CB571" i="1"/>
  <c r="BX571" i="1"/>
  <c r="BW571" i="1"/>
  <c r="BS571" i="1"/>
  <c r="BR571" i="1"/>
  <c r="BQ571" i="1"/>
  <c r="BP571" i="1"/>
  <c r="BO571" i="1"/>
  <c r="BN571" i="1"/>
  <c r="BM571" i="1"/>
  <c r="BL571" i="1"/>
  <c r="BK571" i="1"/>
  <c r="BI571" i="1"/>
  <c r="BH571" i="1"/>
  <c r="BG571" i="1"/>
  <c r="BF571" i="1"/>
  <c r="BB571" i="1"/>
  <c r="AZ571" i="1"/>
  <c r="AV571" i="1"/>
  <c r="AU571" i="1"/>
  <c r="AR571" i="1"/>
  <c r="AQ571" i="1"/>
  <c r="AP571" i="1"/>
  <c r="AO571" i="1"/>
  <c r="AN571" i="1"/>
  <c r="AM571" i="1"/>
  <c r="AL571" i="1"/>
  <c r="AK571" i="1"/>
  <c r="AI571" i="1"/>
  <c r="AH571" i="1"/>
  <c r="AG571" i="1"/>
  <c r="AF571" i="1"/>
  <c r="AE571" i="1"/>
  <c r="AD571" i="1"/>
  <c r="F571" i="1"/>
  <c r="B571" i="1"/>
  <c r="DE570" i="1"/>
  <c r="DD570" i="1"/>
  <c r="DC570" i="1"/>
  <c r="DB570" i="1"/>
  <c r="DA570" i="1"/>
  <c r="CZ570" i="1"/>
  <c r="CY570" i="1"/>
  <c r="CX570" i="1"/>
  <c r="CW570" i="1"/>
  <c r="CV570" i="1"/>
  <c r="CU570" i="1"/>
  <c r="CT570" i="1"/>
  <c r="CS570" i="1"/>
  <c r="CR570" i="1"/>
  <c r="CQ570" i="1"/>
  <c r="CP570" i="1"/>
  <c r="CO570" i="1"/>
  <c r="CN570" i="1"/>
  <c r="CM570" i="1"/>
  <c r="CL570" i="1"/>
  <c r="CK570" i="1"/>
  <c r="CJ570" i="1"/>
  <c r="CI570" i="1"/>
  <c r="CH570" i="1"/>
  <c r="CG570" i="1"/>
  <c r="CF570" i="1"/>
  <c r="BR570" i="1"/>
  <c r="BQ570" i="1"/>
  <c r="BP570" i="1"/>
  <c r="BO570" i="1"/>
  <c r="BN570" i="1"/>
  <c r="BM570" i="1"/>
  <c r="BL570" i="1"/>
  <c r="BK570" i="1"/>
  <c r="BJ570" i="1"/>
  <c r="BI570" i="1"/>
  <c r="BH570" i="1"/>
  <c r="BG570" i="1"/>
  <c r="BF570" i="1"/>
  <c r="AX570" i="1"/>
  <c r="AR570" i="1"/>
  <c r="AQ570" i="1"/>
  <c r="AP570" i="1"/>
  <c r="AO570" i="1"/>
  <c r="AN570" i="1"/>
  <c r="AM570" i="1"/>
  <c r="AL570" i="1"/>
  <c r="AK570" i="1"/>
  <c r="AJ570" i="1"/>
  <c r="AI570" i="1"/>
  <c r="AH570" i="1"/>
  <c r="AG570" i="1"/>
  <c r="AF570" i="1"/>
  <c r="AE570" i="1"/>
  <c r="R570" i="1"/>
  <c r="Q570" i="1"/>
  <c r="O570" i="1"/>
  <c r="P570" i="1" s="1"/>
  <c r="DE569" i="1"/>
  <c r="DD569" i="1"/>
  <c r="DC569" i="1"/>
  <c r="DB569" i="1"/>
  <c r="DA569" i="1"/>
  <c r="CZ569" i="1"/>
  <c r="CY569" i="1"/>
  <c r="CX569" i="1"/>
  <c r="CW569" i="1"/>
  <c r="CV569" i="1"/>
  <c r="CU569" i="1"/>
  <c r="CT569" i="1"/>
  <c r="CS569" i="1"/>
  <c r="CR569" i="1"/>
  <c r="CQ569" i="1"/>
  <c r="CP569" i="1"/>
  <c r="CO569" i="1"/>
  <c r="CN569" i="1"/>
  <c r="CM569" i="1"/>
  <c r="CL569" i="1"/>
  <c r="CK569" i="1"/>
  <c r="CJ569" i="1"/>
  <c r="CI569" i="1"/>
  <c r="CH569" i="1"/>
  <c r="CG569" i="1"/>
  <c r="CF569" i="1"/>
  <c r="BR569" i="1"/>
  <c r="BQ569" i="1"/>
  <c r="BP569" i="1"/>
  <c r="BO569" i="1"/>
  <c r="BN569" i="1"/>
  <c r="BM569" i="1"/>
  <c r="BL569" i="1"/>
  <c r="BK569" i="1"/>
  <c r="BJ569" i="1"/>
  <c r="BI569" i="1"/>
  <c r="BH569" i="1"/>
  <c r="BG569" i="1"/>
  <c r="BF569" i="1"/>
  <c r="AU569" i="1"/>
  <c r="AR569" i="1"/>
  <c r="AQ569" i="1"/>
  <c r="AP569" i="1"/>
  <c r="AO569" i="1"/>
  <c r="AN569" i="1"/>
  <c r="AM569" i="1"/>
  <c r="AL569" i="1"/>
  <c r="AK569" i="1"/>
  <c r="AI569" i="1"/>
  <c r="AH569" i="1"/>
  <c r="AG569" i="1"/>
  <c r="AF569" i="1"/>
  <c r="AE569" i="1"/>
  <c r="J569" i="1"/>
  <c r="DE568" i="1"/>
  <c r="DD568" i="1"/>
  <c r="DC568" i="1"/>
  <c r="DB568" i="1"/>
  <c r="DA568" i="1"/>
  <c r="CZ568" i="1"/>
  <c r="CY568" i="1"/>
  <c r="CX568" i="1"/>
  <c r="CW568" i="1"/>
  <c r="CV568" i="1"/>
  <c r="CU568" i="1"/>
  <c r="CT568" i="1"/>
  <c r="CS568" i="1"/>
  <c r="CR568" i="1"/>
  <c r="CQ568" i="1"/>
  <c r="CP568" i="1"/>
  <c r="CO568" i="1"/>
  <c r="CN568" i="1"/>
  <c r="CM568" i="1"/>
  <c r="CL568" i="1"/>
  <c r="CK568" i="1"/>
  <c r="CJ568" i="1"/>
  <c r="CI568" i="1"/>
  <c r="CH568" i="1"/>
  <c r="CG568" i="1"/>
  <c r="CF568" i="1"/>
  <c r="BR568" i="1"/>
  <c r="BQ568" i="1"/>
  <c r="BP568" i="1"/>
  <c r="BO568" i="1"/>
  <c r="BN568" i="1"/>
  <c r="BL568" i="1"/>
  <c r="BK568" i="1"/>
  <c r="BJ568" i="1"/>
  <c r="BI568" i="1"/>
  <c r="BH568" i="1"/>
  <c r="BG568" i="1"/>
  <c r="BF568" i="1"/>
  <c r="BA568" i="1"/>
  <c r="AR568" i="1"/>
  <c r="AQ568" i="1"/>
  <c r="AP568" i="1"/>
  <c r="AO568" i="1"/>
  <c r="AN568" i="1"/>
  <c r="AL568" i="1"/>
  <c r="AK568" i="1"/>
  <c r="AJ568" i="1"/>
  <c r="AI568" i="1"/>
  <c r="AH568" i="1"/>
  <c r="AG568" i="1"/>
  <c r="AF568" i="1"/>
  <c r="AE568" i="1"/>
  <c r="O569" i="1" s="1"/>
  <c r="P569" i="1" s="1"/>
  <c r="AJ569" i="1" s="1"/>
  <c r="AD568" i="1"/>
  <c r="O568" i="1"/>
  <c r="AM568" i="1" s="1"/>
  <c r="F568" i="1"/>
  <c r="B568" i="1"/>
  <c r="DE567" i="1"/>
  <c r="DD567" i="1"/>
  <c r="DC567" i="1"/>
  <c r="DB567" i="1"/>
  <c r="DA567" i="1"/>
  <c r="CZ567" i="1"/>
  <c r="CY567" i="1"/>
  <c r="CX567" i="1"/>
  <c r="CW567" i="1"/>
  <c r="CV567" i="1"/>
  <c r="CU567" i="1"/>
  <c r="CT567" i="1"/>
  <c r="CS567" i="1"/>
  <c r="CR567" i="1"/>
  <c r="CQ567" i="1"/>
  <c r="CP567" i="1"/>
  <c r="CO567" i="1"/>
  <c r="CN567" i="1"/>
  <c r="CM567" i="1"/>
  <c r="CL567" i="1"/>
  <c r="CK567" i="1"/>
  <c r="CJ567" i="1"/>
  <c r="CI567" i="1"/>
  <c r="CH567" i="1"/>
  <c r="CG567" i="1"/>
  <c r="CF567" i="1"/>
  <c r="BR567" i="1"/>
  <c r="BQ567" i="1"/>
  <c r="BP567" i="1"/>
  <c r="BO567" i="1"/>
  <c r="BN567" i="1"/>
  <c r="BM567" i="1"/>
  <c r="BL567" i="1"/>
  <c r="BK567" i="1"/>
  <c r="BJ567" i="1"/>
  <c r="BI567" i="1"/>
  <c r="BH567" i="1"/>
  <c r="BF567" i="1"/>
  <c r="AR567" i="1"/>
  <c r="AQ567" i="1"/>
  <c r="AP567" i="1"/>
  <c r="AO567" i="1"/>
  <c r="AN567" i="1"/>
  <c r="AM567" i="1"/>
  <c r="AL567" i="1"/>
  <c r="AK567" i="1"/>
  <c r="AJ567" i="1"/>
  <c r="AI567" i="1"/>
  <c r="AH567" i="1"/>
  <c r="AF567" i="1"/>
  <c r="AE567" i="1"/>
  <c r="AD567" i="1"/>
  <c r="DE566" i="1"/>
  <c r="DD566" i="1"/>
  <c r="DC566" i="1"/>
  <c r="DB566" i="1"/>
  <c r="DA566" i="1"/>
  <c r="CZ566" i="1"/>
  <c r="CY566" i="1"/>
  <c r="CX566" i="1"/>
  <c r="CW566" i="1"/>
  <c r="CV566" i="1"/>
  <c r="CU566" i="1"/>
  <c r="CT566" i="1"/>
  <c r="CS566" i="1"/>
  <c r="CR566" i="1"/>
  <c r="CQ566" i="1"/>
  <c r="CP566" i="1"/>
  <c r="CO566" i="1"/>
  <c r="CN566" i="1"/>
  <c r="CM566" i="1"/>
  <c r="CL566" i="1"/>
  <c r="CK566" i="1"/>
  <c r="CJ566" i="1"/>
  <c r="CI566" i="1"/>
  <c r="CH566" i="1"/>
  <c r="CG566" i="1"/>
  <c r="CF566" i="1"/>
  <c r="BR566" i="1"/>
  <c r="BQ566" i="1"/>
  <c r="BP566" i="1"/>
  <c r="BO566" i="1"/>
  <c r="BN566" i="1"/>
  <c r="BM566" i="1"/>
  <c r="BL566" i="1"/>
  <c r="BK566" i="1"/>
  <c r="BJ566" i="1"/>
  <c r="BI566" i="1"/>
  <c r="BH566" i="1"/>
  <c r="BF566" i="1"/>
  <c r="AR566" i="1"/>
  <c r="AQ566" i="1"/>
  <c r="AP566" i="1"/>
  <c r="AO566" i="1"/>
  <c r="AN566" i="1"/>
  <c r="AM566" i="1"/>
  <c r="AL566" i="1"/>
  <c r="AK566" i="1"/>
  <c r="AJ566" i="1"/>
  <c r="AI566" i="1"/>
  <c r="AH566" i="1"/>
  <c r="AF566" i="1"/>
  <c r="AE566" i="1"/>
  <c r="O565" i="1" s="1"/>
  <c r="AD566" i="1"/>
  <c r="DE565" i="1"/>
  <c r="DD565" i="1"/>
  <c r="DC565" i="1"/>
  <c r="DB565" i="1"/>
  <c r="DA565" i="1"/>
  <c r="CZ565" i="1"/>
  <c r="CY565" i="1"/>
  <c r="CX565" i="1"/>
  <c r="CW565" i="1"/>
  <c r="CV565" i="1"/>
  <c r="CU565" i="1"/>
  <c r="CT565" i="1"/>
  <c r="CS565" i="1"/>
  <c r="CR565" i="1"/>
  <c r="CQ565" i="1"/>
  <c r="CP565" i="1"/>
  <c r="CO565" i="1"/>
  <c r="CN565" i="1"/>
  <c r="CM565" i="1"/>
  <c r="CL565" i="1"/>
  <c r="CK565" i="1"/>
  <c r="CJ565" i="1"/>
  <c r="CI565" i="1"/>
  <c r="CH565" i="1"/>
  <c r="CG565" i="1"/>
  <c r="CF565" i="1"/>
  <c r="BR565" i="1"/>
  <c r="BQ565" i="1"/>
  <c r="BP565" i="1"/>
  <c r="BO565" i="1"/>
  <c r="BN565" i="1"/>
  <c r="BM565" i="1"/>
  <c r="BL565" i="1"/>
  <c r="BK565" i="1"/>
  <c r="BJ565" i="1"/>
  <c r="BI565" i="1"/>
  <c r="BG565" i="1"/>
  <c r="BF565" i="1"/>
  <c r="AR565" i="1"/>
  <c r="AQ565" i="1"/>
  <c r="AP565" i="1"/>
  <c r="AO565" i="1"/>
  <c r="AN565" i="1"/>
  <c r="AM565" i="1"/>
  <c r="AL565" i="1"/>
  <c r="AK565" i="1"/>
  <c r="AJ565" i="1"/>
  <c r="AI565" i="1"/>
  <c r="AH565" i="1"/>
  <c r="AG565" i="1"/>
  <c r="AF565" i="1"/>
  <c r="AE565" i="1"/>
  <c r="AD565" i="1"/>
  <c r="G565" i="1"/>
  <c r="F565" i="1"/>
  <c r="B565" i="1"/>
  <c r="DE564" i="1"/>
  <c r="DD564" i="1"/>
  <c r="DC564" i="1"/>
  <c r="DB564" i="1"/>
  <c r="DA564" i="1"/>
  <c r="CZ564" i="1"/>
  <c r="CY564" i="1"/>
  <c r="CX564" i="1"/>
  <c r="CW564" i="1"/>
  <c r="CV564" i="1"/>
  <c r="CU564" i="1"/>
  <c r="CT564" i="1"/>
  <c r="CS564" i="1"/>
  <c r="CR564" i="1"/>
  <c r="CQ564" i="1"/>
  <c r="CP564" i="1"/>
  <c r="CO564" i="1"/>
  <c r="CN564" i="1"/>
  <c r="CM564" i="1"/>
  <c r="CL564" i="1"/>
  <c r="CK564" i="1"/>
  <c r="CJ564" i="1"/>
  <c r="CI564" i="1"/>
  <c r="CH564" i="1"/>
  <c r="CG564" i="1"/>
  <c r="CF564" i="1"/>
  <c r="BR564" i="1"/>
  <c r="BQ564" i="1"/>
  <c r="BP564" i="1"/>
  <c r="BO564" i="1"/>
  <c r="BN564" i="1"/>
  <c r="BM564" i="1"/>
  <c r="BL564" i="1"/>
  <c r="BK564" i="1"/>
  <c r="BJ564" i="1"/>
  <c r="BI564" i="1"/>
  <c r="BH564" i="1"/>
  <c r="BG564" i="1"/>
  <c r="BF564" i="1"/>
  <c r="BD564" i="1"/>
  <c r="BC564" i="1"/>
  <c r="BB564" i="1"/>
  <c r="AZ564" i="1"/>
  <c r="AY564" i="1"/>
  <c r="AX564" i="1"/>
  <c r="AV564" i="1"/>
  <c r="AU564" i="1"/>
  <c r="AT564" i="1"/>
  <c r="AR564" i="1"/>
  <c r="AQ564" i="1"/>
  <c r="AP564" i="1"/>
  <c r="AO564" i="1"/>
  <c r="AN564" i="1"/>
  <c r="AM564" i="1"/>
  <c r="AL564" i="1"/>
  <c r="AK564" i="1"/>
  <c r="AJ564" i="1"/>
  <c r="AI564" i="1"/>
  <c r="AH564" i="1"/>
  <c r="AG564" i="1"/>
  <c r="AF564" i="1"/>
  <c r="AE564" i="1"/>
  <c r="R564" i="1"/>
  <c r="Q564" i="1"/>
  <c r="O564" i="1"/>
  <c r="DE563" i="1"/>
  <c r="DD563" i="1"/>
  <c r="DC563" i="1"/>
  <c r="DB563" i="1"/>
  <c r="DA563" i="1"/>
  <c r="CZ563" i="1"/>
  <c r="CY563" i="1"/>
  <c r="CX563" i="1"/>
  <c r="CW563" i="1"/>
  <c r="CV563" i="1"/>
  <c r="CU563" i="1"/>
  <c r="CT563" i="1"/>
  <c r="CS563" i="1"/>
  <c r="CR563" i="1"/>
  <c r="CQ563" i="1"/>
  <c r="CP563" i="1"/>
  <c r="CO563" i="1"/>
  <c r="CN563" i="1"/>
  <c r="CM563" i="1"/>
  <c r="CL563" i="1"/>
  <c r="CK563" i="1"/>
  <c r="CJ563" i="1"/>
  <c r="CI563" i="1"/>
  <c r="CH563" i="1"/>
  <c r="CG563" i="1"/>
  <c r="CF563" i="1"/>
  <c r="BR563" i="1"/>
  <c r="BQ563" i="1"/>
  <c r="BP563" i="1"/>
  <c r="BO563" i="1"/>
  <c r="BN563" i="1"/>
  <c r="BM563" i="1"/>
  <c r="BL563" i="1"/>
  <c r="BK563" i="1"/>
  <c r="BJ563" i="1"/>
  <c r="BI563" i="1"/>
  <c r="BG563" i="1"/>
  <c r="BF563" i="1"/>
  <c r="BE563" i="1"/>
  <c r="BC563" i="1"/>
  <c r="BB563" i="1"/>
  <c r="BA563" i="1"/>
  <c r="AY563" i="1"/>
  <c r="AX563" i="1"/>
  <c r="AW563" i="1"/>
  <c r="AU563" i="1"/>
  <c r="AT563" i="1"/>
  <c r="AS563" i="1"/>
  <c r="AR563" i="1"/>
  <c r="AQ563" i="1"/>
  <c r="AP563" i="1"/>
  <c r="AO563" i="1"/>
  <c r="AN563" i="1"/>
  <c r="AM563" i="1"/>
  <c r="AL563" i="1"/>
  <c r="AK563" i="1"/>
  <c r="AJ563" i="1"/>
  <c r="AI563" i="1"/>
  <c r="AG563" i="1"/>
  <c r="AF563" i="1"/>
  <c r="AE563" i="1"/>
  <c r="J563" i="1"/>
  <c r="DE562" i="1"/>
  <c r="DD562" i="1"/>
  <c r="DC562" i="1"/>
  <c r="DB562" i="1"/>
  <c r="DA562" i="1"/>
  <c r="CZ562" i="1"/>
  <c r="CY562" i="1"/>
  <c r="CX562" i="1"/>
  <c r="CW562" i="1"/>
  <c r="CV562" i="1"/>
  <c r="CU562" i="1"/>
  <c r="CT562" i="1"/>
  <c r="CS562" i="1"/>
  <c r="CR562" i="1"/>
  <c r="CQ562" i="1"/>
  <c r="CP562" i="1"/>
  <c r="CO562" i="1"/>
  <c r="CN562" i="1"/>
  <c r="CM562" i="1"/>
  <c r="CL562" i="1"/>
  <c r="CK562" i="1"/>
  <c r="CJ562" i="1"/>
  <c r="CI562" i="1"/>
  <c r="CH562" i="1"/>
  <c r="CG562" i="1"/>
  <c r="CF562" i="1"/>
  <c r="CE562" i="1"/>
  <c r="CC562" i="1"/>
  <c r="CB562" i="1"/>
  <c r="CA562" i="1"/>
  <c r="BY562" i="1"/>
  <c r="BX562" i="1"/>
  <c r="BW562" i="1"/>
  <c r="BT562" i="1"/>
  <c r="BS562" i="1"/>
  <c r="BR562" i="1"/>
  <c r="BQ562" i="1"/>
  <c r="BP562" i="1"/>
  <c r="BO562" i="1"/>
  <c r="BN562" i="1"/>
  <c r="BM562" i="1"/>
  <c r="BL562" i="1"/>
  <c r="BK562" i="1"/>
  <c r="BJ562" i="1"/>
  <c r="BI562" i="1"/>
  <c r="BH562" i="1"/>
  <c r="BF562" i="1"/>
  <c r="BE562" i="1"/>
  <c r="BD562" i="1"/>
  <c r="BC562" i="1"/>
  <c r="BA562" i="1"/>
  <c r="AZ562" i="1"/>
  <c r="AY562" i="1"/>
  <c r="AW562" i="1"/>
  <c r="AV562" i="1"/>
  <c r="AU562" i="1"/>
  <c r="AS562" i="1"/>
  <c r="AR562" i="1"/>
  <c r="AQ562" i="1"/>
  <c r="AP562" i="1"/>
  <c r="AO562" i="1"/>
  <c r="AN562" i="1"/>
  <c r="AM562" i="1"/>
  <c r="AL562" i="1"/>
  <c r="AK562" i="1"/>
  <c r="AJ562" i="1"/>
  <c r="AI562" i="1"/>
  <c r="AH562" i="1"/>
  <c r="AF562" i="1"/>
  <c r="AE562" i="1"/>
  <c r="O563" i="1" s="1"/>
  <c r="AD562" i="1"/>
  <c r="O562" i="1"/>
  <c r="BG562" i="1" s="1"/>
  <c r="G562" i="1"/>
  <c r="F562" i="1"/>
  <c r="B562" i="1"/>
  <c r="BE564" i="1" s="1"/>
  <c r="DE561" i="1"/>
  <c r="DD561" i="1"/>
  <c r="DC561" i="1"/>
  <c r="DB561" i="1"/>
  <c r="DA561" i="1"/>
  <c r="CZ561" i="1"/>
  <c r="CY561" i="1"/>
  <c r="CX561" i="1"/>
  <c r="CW561" i="1"/>
  <c r="CV561" i="1"/>
  <c r="CU561" i="1"/>
  <c r="CT561" i="1"/>
  <c r="CS561" i="1"/>
  <c r="CR561" i="1"/>
  <c r="CQ561" i="1"/>
  <c r="CP561" i="1"/>
  <c r="CO561" i="1"/>
  <c r="CN561" i="1"/>
  <c r="CM561" i="1"/>
  <c r="CL561" i="1"/>
  <c r="CK561" i="1"/>
  <c r="CJ561" i="1"/>
  <c r="CI561" i="1"/>
  <c r="CH561" i="1"/>
  <c r="CG561" i="1"/>
  <c r="CF561" i="1"/>
  <c r="BR561" i="1"/>
  <c r="BQ561" i="1"/>
  <c r="BP561" i="1"/>
  <c r="BO561" i="1"/>
  <c r="BN561" i="1"/>
  <c r="BM561" i="1"/>
  <c r="BL561" i="1"/>
  <c r="BK561" i="1"/>
  <c r="BJ561" i="1"/>
  <c r="BI561" i="1"/>
  <c r="BH561" i="1"/>
  <c r="BG561" i="1"/>
  <c r="BF561" i="1"/>
  <c r="BE561" i="1"/>
  <c r="BD561" i="1"/>
  <c r="BB561" i="1"/>
  <c r="BA561" i="1"/>
  <c r="AZ561" i="1"/>
  <c r="AX561" i="1"/>
  <c r="AW561" i="1"/>
  <c r="AV561" i="1"/>
  <c r="AT561" i="1"/>
  <c r="AS561" i="1"/>
  <c r="AR561" i="1"/>
  <c r="AQ561" i="1"/>
  <c r="AP561" i="1"/>
  <c r="AO561" i="1"/>
  <c r="AN561" i="1"/>
  <c r="AM561" i="1"/>
  <c r="AL561" i="1"/>
  <c r="AK561" i="1"/>
  <c r="AJ561" i="1"/>
  <c r="AI561" i="1"/>
  <c r="AH561" i="1"/>
  <c r="AG561" i="1"/>
  <c r="AF561" i="1"/>
  <c r="AE561" i="1"/>
  <c r="AD561" i="1"/>
  <c r="R561" i="1"/>
  <c r="Q561" i="1"/>
  <c r="DE560" i="1"/>
  <c r="DD560" i="1"/>
  <c r="DC560" i="1"/>
  <c r="DB560" i="1"/>
  <c r="DA560" i="1"/>
  <c r="CZ560" i="1"/>
  <c r="CY560" i="1"/>
  <c r="CX560" i="1"/>
  <c r="CW560" i="1"/>
  <c r="CV560" i="1"/>
  <c r="CU560" i="1"/>
  <c r="CT560" i="1"/>
  <c r="CS560" i="1"/>
  <c r="CR560" i="1"/>
  <c r="CQ560" i="1"/>
  <c r="CP560" i="1"/>
  <c r="CO560" i="1"/>
  <c r="CN560" i="1"/>
  <c r="CM560" i="1"/>
  <c r="CL560" i="1"/>
  <c r="CK560" i="1"/>
  <c r="CJ560" i="1"/>
  <c r="CI560" i="1"/>
  <c r="CH560" i="1"/>
  <c r="CG560" i="1"/>
  <c r="CF560" i="1"/>
  <c r="BR560" i="1"/>
  <c r="BP560" i="1"/>
  <c r="BO560" i="1"/>
  <c r="BN560" i="1"/>
  <c r="BM560" i="1"/>
  <c r="BL560" i="1"/>
  <c r="BK560" i="1"/>
  <c r="BJ560" i="1"/>
  <c r="BI560" i="1"/>
  <c r="BH560" i="1"/>
  <c r="BG560" i="1"/>
  <c r="BF560" i="1"/>
  <c r="BE560" i="1"/>
  <c r="BD560" i="1"/>
  <c r="BB560" i="1"/>
  <c r="BA560" i="1"/>
  <c r="AZ560" i="1"/>
  <c r="AX560" i="1"/>
  <c r="AW560" i="1"/>
  <c r="AV560" i="1"/>
  <c r="AT560" i="1"/>
  <c r="AS560" i="1"/>
  <c r="AR560" i="1"/>
  <c r="AP560" i="1"/>
  <c r="AO560" i="1"/>
  <c r="AN560" i="1"/>
  <c r="AM560" i="1"/>
  <c r="AL560" i="1"/>
  <c r="AK560" i="1"/>
  <c r="AJ560" i="1"/>
  <c r="AI560" i="1"/>
  <c r="AH560" i="1"/>
  <c r="AG560" i="1"/>
  <c r="AF560" i="1"/>
  <c r="AE560" i="1"/>
  <c r="AD560" i="1"/>
  <c r="J560" i="1"/>
  <c r="DE559" i="1"/>
  <c r="DD559" i="1"/>
  <c r="DC559" i="1"/>
  <c r="DB559" i="1"/>
  <c r="DA559" i="1"/>
  <c r="CZ559" i="1"/>
  <c r="CY559" i="1"/>
  <c r="CX559" i="1"/>
  <c r="CW559" i="1"/>
  <c r="CV559" i="1"/>
  <c r="CU559" i="1"/>
  <c r="CT559" i="1"/>
  <c r="CS559" i="1"/>
  <c r="CR559" i="1"/>
  <c r="CQ559" i="1"/>
  <c r="CP559" i="1"/>
  <c r="CO559" i="1"/>
  <c r="CN559" i="1"/>
  <c r="CM559" i="1"/>
  <c r="CL559" i="1"/>
  <c r="CK559" i="1"/>
  <c r="CJ559" i="1"/>
  <c r="CI559" i="1"/>
  <c r="CH559" i="1"/>
  <c r="CG559" i="1"/>
  <c r="CF559" i="1"/>
  <c r="CE559" i="1"/>
  <c r="CC559" i="1"/>
  <c r="CB559" i="1"/>
  <c r="CA559" i="1"/>
  <c r="BY559" i="1"/>
  <c r="BX559" i="1"/>
  <c r="BW559" i="1"/>
  <c r="BU559" i="1"/>
  <c r="BT559" i="1"/>
  <c r="BS559" i="1"/>
  <c r="BR559" i="1"/>
  <c r="BQ559" i="1"/>
  <c r="BP559" i="1"/>
  <c r="BO559" i="1"/>
  <c r="BN559" i="1"/>
  <c r="BM559" i="1"/>
  <c r="BL559" i="1"/>
  <c r="BK559" i="1"/>
  <c r="BJ559" i="1"/>
  <c r="BI559" i="1"/>
  <c r="BH559" i="1"/>
  <c r="BF559" i="1"/>
  <c r="BE559" i="1"/>
  <c r="BD559" i="1"/>
  <c r="BC559" i="1"/>
  <c r="BA559" i="1"/>
  <c r="AZ559" i="1"/>
  <c r="AY559" i="1"/>
  <c r="AW559" i="1"/>
  <c r="AV559" i="1"/>
  <c r="AU559" i="1"/>
  <c r="AS559" i="1"/>
  <c r="AR559" i="1"/>
  <c r="AQ559" i="1"/>
  <c r="AP559" i="1"/>
  <c r="AO559" i="1"/>
  <c r="AN559" i="1"/>
  <c r="AM559" i="1"/>
  <c r="AL559" i="1"/>
  <c r="AK559" i="1"/>
  <c r="AJ559" i="1"/>
  <c r="AI559" i="1"/>
  <c r="AH559" i="1"/>
  <c r="AF559" i="1"/>
  <c r="AE559" i="1"/>
  <c r="AD559" i="1"/>
  <c r="O559" i="1"/>
  <c r="AG559" i="1" s="1"/>
  <c r="G559" i="1"/>
  <c r="F559" i="1"/>
  <c r="B559" i="1"/>
  <c r="BC561" i="1" s="1"/>
  <c r="DE558" i="1"/>
  <c r="DD558" i="1"/>
  <c r="DC558" i="1"/>
  <c r="DB558" i="1"/>
  <c r="DA558" i="1"/>
  <c r="CZ558" i="1"/>
  <c r="CY558" i="1"/>
  <c r="CX558" i="1"/>
  <c r="CW558" i="1"/>
  <c r="CV558" i="1"/>
  <c r="CU558" i="1"/>
  <c r="CT558" i="1"/>
  <c r="CS558" i="1"/>
  <c r="CR558" i="1"/>
  <c r="CQ558" i="1"/>
  <c r="CP558" i="1"/>
  <c r="CO558" i="1"/>
  <c r="CN558" i="1"/>
  <c r="CM558" i="1"/>
  <c r="CL558" i="1"/>
  <c r="CK558" i="1"/>
  <c r="CJ558" i="1"/>
  <c r="CI558" i="1"/>
  <c r="CH558" i="1"/>
  <c r="CG558" i="1"/>
  <c r="CF558" i="1"/>
  <c r="BR558" i="1"/>
  <c r="BQ558" i="1"/>
  <c r="BP558" i="1"/>
  <c r="BO558" i="1"/>
  <c r="BN558" i="1"/>
  <c r="BM558" i="1"/>
  <c r="BL558" i="1"/>
  <c r="BK558" i="1"/>
  <c r="BJ558" i="1"/>
  <c r="BI558" i="1"/>
  <c r="BH558" i="1"/>
  <c r="BG558" i="1"/>
  <c r="BF558" i="1"/>
  <c r="BA558" i="1"/>
  <c r="AS558" i="1"/>
  <c r="AR558" i="1"/>
  <c r="AQ558" i="1"/>
  <c r="AP558" i="1"/>
  <c r="AO558" i="1"/>
  <c r="AN558" i="1"/>
  <c r="AM558" i="1"/>
  <c r="AL558" i="1"/>
  <c r="AK558" i="1"/>
  <c r="AJ558" i="1"/>
  <c r="AI558" i="1"/>
  <c r="AH558" i="1"/>
  <c r="AG558" i="1"/>
  <c r="AF558" i="1"/>
  <c r="AE558" i="1"/>
  <c r="R558" i="1"/>
  <c r="Q558" i="1"/>
  <c r="DE557" i="1"/>
  <c r="DD557" i="1"/>
  <c r="DC557" i="1"/>
  <c r="DB557" i="1"/>
  <c r="DA557" i="1"/>
  <c r="CZ557" i="1"/>
  <c r="CY557" i="1"/>
  <c r="CX557" i="1"/>
  <c r="CW557" i="1"/>
  <c r="CV557" i="1"/>
  <c r="CU557" i="1"/>
  <c r="CT557" i="1"/>
  <c r="CS557" i="1"/>
  <c r="CR557" i="1"/>
  <c r="CQ557" i="1"/>
  <c r="CP557" i="1"/>
  <c r="CO557" i="1"/>
  <c r="CN557" i="1"/>
  <c r="CM557" i="1"/>
  <c r="CL557" i="1"/>
  <c r="CK557" i="1"/>
  <c r="CJ557" i="1"/>
  <c r="CI557" i="1"/>
  <c r="CH557" i="1"/>
  <c r="CG557" i="1"/>
  <c r="CF557" i="1"/>
  <c r="BR557" i="1"/>
  <c r="BQ557" i="1"/>
  <c r="BP557" i="1"/>
  <c r="BO557" i="1"/>
  <c r="BN557" i="1"/>
  <c r="BM557" i="1"/>
  <c r="BL557" i="1"/>
  <c r="BK557" i="1"/>
  <c r="BJ557" i="1"/>
  <c r="BI557" i="1"/>
  <c r="BH557" i="1"/>
  <c r="BG557" i="1"/>
  <c r="BF557" i="1"/>
  <c r="BC557" i="1"/>
  <c r="AU557" i="1"/>
  <c r="AR557" i="1"/>
  <c r="AQ557" i="1"/>
  <c r="AP557" i="1"/>
  <c r="AO557" i="1"/>
  <c r="AN557" i="1"/>
  <c r="AM557" i="1"/>
  <c r="AL557" i="1"/>
  <c r="AK557" i="1"/>
  <c r="AJ557" i="1"/>
  <c r="AI557" i="1"/>
  <c r="AG557" i="1"/>
  <c r="AF557" i="1"/>
  <c r="AE557" i="1"/>
  <c r="O556" i="1" s="1"/>
  <c r="P556" i="1" s="1"/>
  <c r="AQ556" i="1" s="1"/>
  <c r="O557" i="1"/>
  <c r="AH557" i="1" s="1"/>
  <c r="J557" i="1"/>
  <c r="DE556" i="1"/>
  <c r="DD556" i="1"/>
  <c r="DC556" i="1"/>
  <c r="DB556" i="1"/>
  <c r="DA556" i="1"/>
  <c r="CZ556" i="1"/>
  <c r="CY556" i="1"/>
  <c r="CX556" i="1"/>
  <c r="CW556" i="1"/>
  <c r="CV556" i="1"/>
  <c r="CU556" i="1"/>
  <c r="CT556" i="1"/>
  <c r="CS556" i="1"/>
  <c r="CR556" i="1"/>
  <c r="CQ556" i="1"/>
  <c r="CP556" i="1"/>
  <c r="CO556" i="1"/>
  <c r="CN556" i="1"/>
  <c r="CM556" i="1"/>
  <c r="CL556" i="1"/>
  <c r="CK556" i="1"/>
  <c r="CJ556" i="1"/>
  <c r="CI556" i="1"/>
  <c r="CH556" i="1"/>
  <c r="CG556" i="1"/>
  <c r="CF556" i="1"/>
  <c r="BZ556" i="1"/>
  <c r="BR556" i="1"/>
  <c r="BQ556" i="1"/>
  <c r="BP556" i="1"/>
  <c r="BO556" i="1"/>
  <c r="BN556" i="1"/>
  <c r="BM556" i="1"/>
  <c r="BL556" i="1"/>
  <c r="BK556" i="1"/>
  <c r="BJ556" i="1"/>
  <c r="BI556" i="1"/>
  <c r="BH556" i="1"/>
  <c r="BG556" i="1"/>
  <c r="BF556" i="1"/>
  <c r="AX556" i="1"/>
  <c r="AR556" i="1"/>
  <c r="AP556" i="1"/>
  <c r="AO556" i="1"/>
  <c r="AN556" i="1"/>
  <c r="AM556" i="1"/>
  <c r="AL556" i="1"/>
  <c r="AK556" i="1"/>
  <c r="AJ556" i="1"/>
  <c r="AI556" i="1"/>
  <c r="AH556" i="1"/>
  <c r="AG556" i="1"/>
  <c r="AF556" i="1"/>
  <c r="AE556" i="1"/>
  <c r="O558" i="1" s="1"/>
  <c r="AD556" i="1"/>
  <c r="G556" i="1"/>
  <c r="F556" i="1"/>
  <c r="B556" i="1"/>
  <c r="DE555" i="1"/>
  <c r="DD555" i="1"/>
  <c r="DC555" i="1"/>
  <c r="DB555" i="1"/>
  <c r="DA555" i="1"/>
  <c r="CZ555" i="1"/>
  <c r="CY555" i="1"/>
  <c r="CX555" i="1"/>
  <c r="CW555" i="1"/>
  <c r="CV555" i="1"/>
  <c r="CU555" i="1"/>
  <c r="CT555" i="1"/>
  <c r="CS555" i="1"/>
  <c r="CR555" i="1"/>
  <c r="CQ555" i="1"/>
  <c r="CP555" i="1"/>
  <c r="CO555" i="1"/>
  <c r="CN555" i="1"/>
  <c r="CM555" i="1"/>
  <c r="CL555" i="1"/>
  <c r="CK555" i="1"/>
  <c r="CJ555" i="1"/>
  <c r="CI555" i="1"/>
  <c r="CH555" i="1"/>
  <c r="CG555" i="1"/>
  <c r="CF555" i="1"/>
  <c r="BR555" i="1"/>
  <c r="BQ555" i="1"/>
  <c r="BP555" i="1"/>
  <c r="BO555" i="1"/>
  <c r="BN555" i="1"/>
  <c r="BM555" i="1"/>
  <c r="BL555" i="1"/>
  <c r="BK555" i="1"/>
  <c r="BI555" i="1"/>
  <c r="BH555" i="1"/>
  <c r="BG555" i="1"/>
  <c r="BF555" i="1"/>
  <c r="BD555" i="1"/>
  <c r="BC555" i="1"/>
  <c r="BB555" i="1"/>
  <c r="AZ555" i="1"/>
  <c r="AY555" i="1"/>
  <c r="AX555" i="1"/>
  <c r="AV555" i="1"/>
  <c r="AU555" i="1"/>
  <c r="AT555" i="1"/>
  <c r="AR555" i="1"/>
  <c r="AQ555" i="1"/>
  <c r="AP555" i="1"/>
  <c r="AO555" i="1"/>
  <c r="AN555" i="1"/>
  <c r="AM555" i="1"/>
  <c r="AL555" i="1"/>
  <c r="AK555" i="1"/>
  <c r="AI555" i="1"/>
  <c r="AH555" i="1"/>
  <c r="AG555" i="1"/>
  <c r="AF555" i="1"/>
  <c r="AE555" i="1"/>
  <c r="AD555" i="1"/>
  <c r="O555" i="1"/>
  <c r="BJ555" i="1" s="1"/>
  <c r="DE554" i="1"/>
  <c r="DD554" i="1"/>
  <c r="DC554" i="1"/>
  <c r="DB554" i="1"/>
  <c r="DA554" i="1"/>
  <c r="CZ554" i="1"/>
  <c r="CY554" i="1"/>
  <c r="CX554" i="1"/>
  <c r="CW554" i="1"/>
  <c r="CV554" i="1"/>
  <c r="CU554" i="1"/>
  <c r="CT554" i="1"/>
  <c r="CS554" i="1"/>
  <c r="CR554" i="1"/>
  <c r="CQ554" i="1"/>
  <c r="CP554" i="1"/>
  <c r="CO554" i="1"/>
  <c r="CN554" i="1"/>
  <c r="CM554" i="1"/>
  <c r="CL554" i="1"/>
  <c r="CK554" i="1"/>
  <c r="CJ554" i="1"/>
  <c r="CI554" i="1"/>
  <c r="CH554" i="1"/>
  <c r="CG554" i="1"/>
  <c r="CF554" i="1"/>
  <c r="BR554" i="1"/>
  <c r="BQ554" i="1"/>
  <c r="BP554" i="1"/>
  <c r="BO554" i="1"/>
  <c r="BN554" i="1"/>
  <c r="BM554" i="1"/>
  <c r="BL554" i="1"/>
  <c r="BK554" i="1"/>
  <c r="BJ554" i="1"/>
  <c r="BI554" i="1"/>
  <c r="BH554" i="1"/>
  <c r="BG554" i="1"/>
  <c r="BD554" i="1"/>
  <c r="BC554" i="1"/>
  <c r="BB554" i="1"/>
  <c r="AZ554" i="1"/>
  <c r="AY554" i="1"/>
  <c r="AX554" i="1"/>
  <c r="AV554" i="1"/>
  <c r="AU554" i="1"/>
  <c r="AT554" i="1"/>
  <c r="AR554" i="1"/>
  <c r="AQ554" i="1"/>
  <c r="AP554" i="1"/>
  <c r="AO554" i="1"/>
  <c r="AN554" i="1"/>
  <c r="AM554" i="1"/>
  <c r="AL554" i="1"/>
  <c r="AK554" i="1"/>
  <c r="AJ554" i="1"/>
  <c r="AI554" i="1"/>
  <c r="AH554" i="1"/>
  <c r="AG554" i="1"/>
  <c r="AE554" i="1"/>
  <c r="O553" i="1" s="1"/>
  <c r="BF553" i="1" s="1"/>
  <c r="AD554" i="1"/>
  <c r="O554" i="1"/>
  <c r="AF554" i="1" s="1"/>
  <c r="DE553" i="1"/>
  <c r="DD553" i="1"/>
  <c r="DC553" i="1"/>
  <c r="DB553" i="1"/>
  <c r="DA553" i="1"/>
  <c r="CZ553" i="1"/>
  <c r="CY553" i="1"/>
  <c r="CX553" i="1"/>
  <c r="CW553" i="1"/>
  <c r="CV553" i="1"/>
  <c r="CU553" i="1"/>
  <c r="CT553" i="1"/>
  <c r="CS553" i="1"/>
  <c r="CR553" i="1"/>
  <c r="CQ553" i="1"/>
  <c r="CP553" i="1"/>
  <c r="CO553" i="1"/>
  <c r="CN553" i="1"/>
  <c r="CM553" i="1"/>
  <c r="CL553" i="1"/>
  <c r="CK553" i="1"/>
  <c r="CJ553" i="1"/>
  <c r="CI553" i="1"/>
  <c r="CH553" i="1"/>
  <c r="CG553" i="1"/>
  <c r="CF553" i="1"/>
  <c r="CD553" i="1"/>
  <c r="CC553" i="1"/>
  <c r="CB553" i="1"/>
  <c r="BZ553" i="1"/>
  <c r="BY553" i="1"/>
  <c r="BX553" i="1"/>
  <c r="BV553" i="1"/>
  <c r="BU553" i="1"/>
  <c r="BT553" i="1"/>
  <c r="BR553" i="1"/>
  <c r="BQ553" i="1"/>
  <c r="BP553" i="1"/>
  <c r="BO553" i="1"/>
  <c r="BN553" i="1"/>
  <c r="BM553" i="1"/>
  <c r="BL553" i="1"/>
  <c r="BK553" i="1"/>
  <c r="BJ553" i="1"/>
  <c r="BI553" i="1"/>
  <c r="BH553" i="1"/>
  <c r="BG553" i="1"/>
  <c r="BE553" i="1"/>
  <c r="BD553" i="1"/>
  <c r="BB553" i="1"/>
  <c r="BA553" i="1"/>
  <c r="AZ553" i="1"/>
  <c r="AX553" i="1"/>
  <c r="AW553" i="1"/>
  <c r="AV553" i="1"/>
  <c r="AT553" i="1"/>
  <c r="AS553" i="1"/>
  <c r="AR553" i="1"/>
  <c r="AQ553" i="1"/>
  <c r="AP553" i="1"/>
  <c r="AO553" i="1"/>
  <c r="AN553" i="1"/>
  <c r="AM553" i="1"/>
  <c r="AL553" i="1"/>
  <c r="AK553" i="1"/>
  <c r="AJ553" i="1"/>
  <c r="AI553" i="1"/>
  <c r="AH553" i="1"/>
  <c r="AG553" i="1"/>
  <c r="AF553" i="1"/>
  <c r="AE553" i="1"/>
  <c r="AD553" i="1"/>
  <c r="P553" i="1"/>
  <c r="F553" i="1"/>
  <c r="B553" i="1"/>
  <c r="BE555" i="1" s="1"/>
  <c r="DE552" i="1"/>
  <c r="DD552" i="1"/>
  <c r="DC552" i="1"/>
  <c r="DB552" i="1"/>
  <c r="DA552" i="1"/>
  <c r="CZ552" i="1"/>
  <c r="CY552" i="1"/>
  <c r="CX552" i="1"/>
  <c r="CW552" i="1"/>
  <c r="CV552" i="1"/>
  <c r="CU552" i="1"/>
  <c r="CT552" i="1"/>
  <c r="CS552" i="1"/>
  <c r="CR552" i="1"/>
  <c r="CQ552" i="1"/>
  <c r="CP552" i="1"/>
  <c r="CO552" i="1"/>
  <c r="CN552" i="1"/>
  <c r="CM552" i="1"/>
  <c r="CL552" i="1"/>
  <c r="CK552" i="1"/>
  <c r="CJ552" i="1"/>
  <c r="CI552" i="1"/>
  <c r="CH552" i="1"/>
  <c r="CG552" i="1"/>
  <c r="CF552" i="1"/>
  <c r="BR552" i="1"/>
  <c r="BQ552" i="1"/>
  <c r="BP552" i="1"/>
  <c r="BO552" i="1"/>
  <c r="BN552" i="1"/>
  <c r="BM552" i="1"/>
  <c r="BL552" i="1"/>
  <c r="BK552" i="1"/>
  <c r="BJ552" i="1"/>
  <c r="BI552" i="1"/>
  <c r="BH552" i="1"/>
  <c r="BG552" i="1"/>
  <c r="BF552" i="1"/>
  <c r="BE552" i="1"/>
  <c r="BD552" i="1"/>
  <c r="BA552" i="1"/>
  <c r="AZ552" i="1"/>
  <c r="AW552" i="1"/>
  <c r="AV552" i="1"/>
  <c r="AS552" i="1"/>
  <c r="AR552" i="1"/>
  <c r="AQ552" i="1"/>
  <c r="AP552" i="1"/>
  <c r="AO552" i="1"/>
  <c r="AN552" i="1"/>
  <c r="AM552" i="1"/>
  <c r="AL552" i="1"/>
  <c r="AK552" i="1"/>
  <c r="AJ552" i="1"/>
  <c r="AI552" i="1"/>
  <c r="AH552" i="1"/>
  <c r="AG552" i="1"/>
  <c r="AF552" i="1"/>
  <c r="AE552" i="1"/>
  <c r="R552" i="1"/>
  <c r="Q552" i="1"/>
  <c r="DE551" i="1"/>
  <c r="DD551" i="1"/>
  <c r="DC551" i="1"/>
  <c r="DB551" i="1"/>
  <c r="DA551" i="1"/>
  <c r="CZ551" i="1"/>
  <c r="CY551" i="1"/>
  <c r="CX551" i="1"/>
  <c r="CW551" i="1"/>
  <c r="CV551" i="1"/>
  <c r="CU551" i="1"/>
  <c r="CT551" i="1"/>
  <c r="CS551" i="1"/>
  <c r="CR551" i="1"/>
  <c r="CQ551" i="1"/>
  <c r="CP551" i="1"/>
  <c r="CO551" i="1"/>
  <c r="CN551" i="1"/>
  <c r="CM551" i="1"/>
  <c r="CL551" i="1"/>
  <c r="CK551" i="1"/>
  <c r="CJ551" i="1"/>
  <c r="CI551" i="1"/>
  <c r="CH551" i="1"/>
  <c r="CG551" i="1"/>
  <c r="CF551" i="1"/>
  <c r="BR551" i="1"/>
  <c r="BQ551" i="1"/>
  <c r="BP551" i="1"/>
  <c r="BO551" i="1"/>
  <c r="BN551" i="1"/>
  <c r="BM551" i="1"/>
  <c r="BL551" i="1"/>
  <c r="BK551" i="1"/>
  <c r="BJ551" i="1"/>
  <c r="BI551" i="1"/>
  <c r="BH551" i="1"/>
  <c r="BF551" i="1"/>
  <c r="BD551" i="1"/>
  <c r="BC551" i="1"/>
  <c r="AZ551" i="1"/>
  <c r="AY551" i="1"/>
  <c r="AV551" i="1"/>
  <c r="AU551" i="1"/>
  <c r="AR551" i="1"/>
  <c r="AQ551" i="1"/>
  <c r="AP551" i="1"/>
  <c r="AO551" i="1"/>
  <c r="AN551" i="1"/>
  <c r="AM551" i="1"/>
  <c r="AL551" i="1"/>
  <c r="AK551" i="1"/>
  <c r="AJ551" i="1"/>
  <c r="AI551" i="1"/>
  <c r="AH551" i="1"/>
  <c r="AF551" i="1"/>
  <c r="AE551" i="1"/>
  <c r="O550" i="1" s="1"/>
  <c r="J551" i="1"/>
  <c r="DE550" i="1"/>
  <c r="DD550" i="1"/>
  <c r="DC550" i="1"/>
  <c r="DB550" i="1"/>
  <c r="DA550" i="1"/>
  <c r="CZ550" i="1"/>
  <c r="CY550" i="1"/>
  <c r="CX550" i="1"/>
  <c r="CW550" i="1"/>
  <c r="CV550" i="1"/>
  <c r="CU550" i="1"/>
  <c r="CT550" i="1"/>
  <c r="CS550" i="1"/>
  <c r="CR550" i="1"/>
  <c r="CQ550" i="1"/>
  <c r="CP550" i="1"/>
  <c r="CO550" i="1"/>
  <c r="CN550" i="1"/>
  <c r="CM550" i="1"/>
  <c r="CL550" i="1"/>
  <c r="CK550" i="1"/>
  <c r="CJ550" i="1"/>
  <c r="CI550" i="1"/>
  <c r="CH550" i="1"/>
  <c r="CG550" i="1"/>
  <c r="CF550" i="1"/>
  <c r="CD550" i="1"/>
  <c r="CC550" i="1"/>
  <c r="BZ550" i="1"/>
  <c r="BY550" i="1"/>
  <c r="BV550" i="1"/>
  <c r="BU550" i="1"/>
  <c r="BR550" i="1"/>
  <c r="BQ550" i="1"/>
  <c r="BP550" i="1"/>
  <c r="BO550" i="1"/>
  <c r="BN550" i="1"/>
  <c r="BM550" i="1"/>
  <c r="BL550" i="1"/>
  <c r="BK550" i="1"/>
  <c r="BJ550" i="1"/>
  <c r="BI550" i="1"/>
  <c r="BH550" i="1"/>
  <c r="BG550" i="1"/>
  <c r="BF550" i="1"/>
  <c r="BE550" i="1"/>
  <c r="BB550" i="1"/>
  <c r="BA550" i="1"/>
  <c r="AX550" i="1"/>
  <c r="AW550" i="1"/>
  <c r="AT550" i="1"/>
  <c r="AS550" i="1"/>
  <c r="AR550" i="1"/>
  <c r="AP550" i="1"/>
  <c r="AO550" i="1"/>
  <c r="AN550" i="1"/>
  <c r="AM550" i="1"/>
  <c r="AL550" i="1"/>
  <c r="AK550" i="1"/>
  <c r="AJ550" i="1"/>
  <c r="AI550" i="1"/>
  <c r="AH550" i="1"/>
  <c r="AG550" i="1"/>
  <c r="AF550" i="1"/>
  <c r="AE550" i="1"/>
  <c r="AD550" i="1"/>
  <c r="F550" i="1"/>
  <c r="B550" i="1"/>
  <c r="BC552" i="1" s="1"/>
  <c r="DE549" i="1"/>
  <c r="DD549" i="1"/>
  <c r="DC549" i="1"/>
  <c r="DB549" i="1"/>
  <c r="DA549" i="1"/>
  <c r="CZ549" i="1"/>
  <c r="CY549" i="1"/>
  <c r="CX549" i="1"/>
  <c r="CW549" i="1"/>
  <c r="CV549" i="1"/>
  <c r="CU549" i="1"/>
  <c r="CT549" i="1"/>
  <c r="CS549" i="1"/>
  <c r="CR549" i="1"/>
  <c r="CQ549" i="1"/>
  <c r="CP549" i="1"/>
  <c r="CO549" i="1"/>
  <c r="CN549" i="1"/>
  <c r="CM549" i="1"/>
  <c r="CL549" i="1"/>
  <c r="CK549" i="1"/>
  <c r="CJ549" i="1"/>
  <c r="CI549" i="1"/>
  <c r="CH549" i="1"/>
  <c r="CG549" i="1"/>
  <c r="CF549" i="1"/>
  <c r="BR549" i="1"/>
  <c r="BQ549" i="1"/>
  <c r="BP549" i="1"/>
  <c r="BO549" i="1"/>
  <c r="BN549" i="1"/>
  <c r="BM549" i="1"/>
  <c r="BL549" i="1"/>
  <c r="BK549" i="1"/>
  <c r="BJ549" i="1"/>
  <c r="BI549" i="1"/>
  <c r="BH549" i="1"/>
  <c r="BG549" i="1"/>
  <c r="BF549" i="1"/>
  <c r="BE549" i="1"/>
  <c r="BC549" i="1"/>
  <c r="BB549" i="1"/>
  <c r="BA549" i="1"/>
  <c r="AY549" i="1"/>
  <c r="AX549" i="1"/>
  <c r="AW549" i="1"/>
  <c r="AU549" i="1"/>
  <c r="AT549" i="1"/>
  <c r="AS549" i="1"/>
  <c r="AR549" i="1"/>
  <c r="AQ549" i="1"/>
  <c r="AP549" i="1"/>
  <c r="AO549" i="1"/>
  <c r="AN549" i="1"/>
  <c r="AM549" i="1"/>
  <c r="AL549" i="1"/>
  <c r="AK549" i="1"/>
  <c r="AJ549" i="1"/>
  <c r="AI549" i="1"/>
  <c r="AH549" i="1"/>
  <c r="AG549" i="1"/>
  <c r="AF549" i="1"/>
  <c r="AE549" i="1"/>
  <c r="AD549" i="1"/>
  <c r="R549" i="1"/>
  <c r="Q549" i="1"/>
  <c r="O549" i="1"/>
  <c r="P549" i="1" s="1"/>
  <c r="DE548" i="1"/>
  <c r="DD548" i="1"/>
  <c r="DC548" i="1"/>
  <c r="DB548" i="1"/>
  <c r="DA548" i="1"/>
  <c r="CZ548" i="1"/>
  <c r="CY548" i="1"/>
  <c r="CX548" i="1"/>
  <c r="CW548" i="1"/>
  <c r="CV548" i="1"/>
  <c r="CU548" i="1"/>
  <c r="CT548" i="1"/>
  <c r="CS548" i="1"/>
  <c r="CR548" i="1"/>
  <c r="CQ548" i="1"/>
  <c r="CP548" i="1"/>
  <c r="CO548" i="1"/>
  <c r="CN548" i="1"/>
  <c r="CM548" i="1"/>
  <c r="CL548" i="1"/>
  <c r="CK548" i="1"/>
  <c r="CJ548" i="1"/>
  <c r="CI548" i="1"/>
  <c r="CH548" i="1"/>
  <c r="CG548" i="1"/>
  <c r="CF548" i="1"/>
  <c r="BR548" i="1"/>
  <c r="BQ548" i="1"/>
  <c r="BP548" i="1"/>
  <c r="BO548" i="1"/>
  <c r="BN548" i="1"/>
  <c r="BM548" i="1"/>
  <c r="BL548" i="1"/>
  <c r="BK548" i="1"/>
  <c r="BJ548" i="1"/>
  <c r="BI548" i="1"/>
  <c r="BH548" i="1"/>
  <c r="BG548" i="1"/>
  <c r="BF548" i="1"/>
  <c r="BE548" i="1"/>
  <c r="BC548" i="1"/>
  <c r="BB548" i="1"/>
  <c r="BA548" i="1"/>
  <c r="AY548" i="1"/>
  <c r="AX548" i="1"/>
  <c r="AW548" i="1"/>
  <c r="AU548" i="1"/>
  <c r="AT548" i="1"/>
  <c r="AS548" i="1"/>
  <c r="AR548" i="1"/>
  <c r="AQ548" i="1"/>
  <c r="AP548" i="1"/>
  <c r="AO548" i="1"/>
  <c r="AN548" i="1"/>
  <c r="AM548" i="1"/>
  <c r="AL548" i="1"/>
  <c r="AK548" i="1"/>
  <c r="AI548" i="1"/>
  <c r="AH548" i="1"/>
  <c r="AG548" i="1"/>
  <c r="AF548" i="1"/>
  <c r="AE548" i="1"/>
  <c r="O547" i="1" s="1"/>
  <c r="AD548" i="1"/>
  <c r="O548" i="1"/>
  <c r="J548" i="1"/>
  <c r="DE547" i="1"/>
  <c r="DD547" i="1"/>
  <c r="DC547" i="1"/>
  <c r="DB547" i="1"/>
  <c r="DA547" i="1"/>
  <c r="CZ547" i="1"/>
  <c r="CY547" i="1"/>
  <c r="CX547" i="1"/>
  <c r="CW547" i="1"/>
  <c r="CV547" i="1"/>
  <c r="CU547" i="1"/>
  <c r="CT547" i="1"/>
  <c r="CS547" i="1"/>
  <c r="CR547" i="1"/>
  <c r="CQ547" i="1"/>
  <c r="CP547" i="1"/>
  <c r="CO547" i="1"/>
  <c r="CN547" i="1"/>
  <c r="CM547" i="1"/>
  <c r="CL547" i="1"/>
  <c r="CK547" i="1"/>
  <c r="CJ547" i="1"/>
  <c r="CI547" i="1"/>
  <c r="CH547" i="1"/>
  <c r="CG547" i="1"/>
  <c r="CF547" i="1"/>
  <c r="CC547" i="1"/>
  <c r="CB547" i="1"/>
  <c r="BZ547" i="1"/>
  <c r="BY547" i="1"/>
  <c r="BX547" i="1"/>
  <c r="BV547" i="1"/>
  <c r="BU547" i="1"/>
  <c r="BT547" i="1"/>
  <c r="BR547" i="1"/>
  <c r="BQ547" i="1"/>
  <c r="BP547" i="1"/>
  <c r="BO547" i="1"/>
  <c r="BN547" i="1"/>
  <c r="BM547" i="1"/>
  <c r="BL547" i="1"/>
  <c r="BK547" i="1"/>
  <c r="BJ547" i="1"/>
  <c r="BI547" i="1"/>
  <c r="BH547" i="1"/>
  <c r="BG547" i="1"/>
  <c r="BF547" i="1"/>
  <c r="BE547" i="1"/>
  <c r="BD547" i="1"/>
  <c r="BB547" i="1"/>
  <c r="BA547" i="1"/>
  <c r="AZ547" i="1"/>
  <c r="AX547" i="1"/>
  <c r="AW547" i="1"/>
  <c r="AV547" i="1"/>
  <c r="AT547" i="1"/>
  <c r="AS547" i="1"/>
  <c r="AR547" i="1"/>
  <c r="AP547" i="1"/>
  <c r="AO547" i="1"/>
  <c r="AN547" i="1"/>
  <c r="AM547" i="1"/>
  <c r="AL547" i="1"/>
  <c r="AK547" i="1"/>
  <c r="AJ547" i="1"/>
  <c r="AI547" i="1"/>
  <c r="AH547" i="1"/>
  <c r="AG547" i="1"/>
  <c r="AF547" i="1"/>
  <c r="AE547" i="1"/>
  <c r="AD547" i="1"/>
  <c r="P547" i="1"/>
  <c r="AQ547" i="1" s="1"/>
  <c r="F547" i="1"/>
  <c r="B547" i="1"/>
  <c r="BD549" i="1" s="1"/>
  <c r="DE546" i="1"/>
  <c r="DD546" i="1"/>
  <c r="DC546" i="1"/>
  <c r="DB546" i="1"/>
  <c r="DA546" i="1"/>
  <c r="CZ546" i="1"/>
  <c r="CY546" i="1"/>
  <c r="CX546" i="1"/>
  <c r="CW546" i="1"/>
  <c r="CV546" i="1"/>
  <c r="CU546" i="1"/>
  <c r="CT546" i="1"/>
  <c r="CS546" i="1"/>
  <c r="CR546" i="1"/>
  <c r="CQ546" i="1"/>
  <c r="CP546" i="1"/>
  <c r="CO546" i="1"/>
  <c r="CN546" i="1"/>
  <c r="CM546" i="1"/>
  <c r="CL546" i="1"/>
  <c r="CK546" i="1"/>
  <c r="CJ546" i="1"/>
  <c r="CI546" i="1"/>
  <c r="CH546" i="1"/>
  <c r="CG546" i="1"/>
  <c r="CF546" i="1"/>
  <c r="BR546" i="1"/>
  <c r="BQ546" i="1"/>
  <c r="BP546" i="1"/>
  <c r="BO546" i="1"/>
  <c r="BN546" i="1"/>
  <c r="BM546" i="1"/>
  <c r="BL546" i="1"/>
  <c r="BK546" i="1"/>
  <c r="BJ546" i="1"/>
  <c r="BI546" i="1"/>
  <c r="BH546" i="1"/>
  <c r="BG546" i="1"/>
  <c r="BF546" i="1"/>
  <c r="BA546" i="1"/>
  <c r="AS546" i="1"/>
  <c r="AR546" i="1"/>
  <c r="AQ546" i="1"/>
  <c r="AP546" i="1"/>
  <c r="AO546" i="1"/>
  <c r="AN546" i="1"/>
  <c r="AM546" i="1"/>
  <c r="AL546" i="1"/>
  <c r="AK546" i="1"/>
  <c r="AJ546" i="1"/>
  <c r="AI546" i="1"/>
  <c r="AH546" i="1"/>
  <c r="AG546" i="1"/>
  <c r="AF546" i="1"/>
  <c r="AE546" i="1"/>
  <c r="R546" i="1"/>
  <c r="Q546" i="1"/>
  <c r="DE545" i="1"/>
  <c r="DD545" i="1"/>
  <c r="DC545" i="1"/>
  <c r="DB545" i="1"/>
  <c r="DA545" i="1"/>
  <c r="CZ545" i="1"/>
  <c r="CY545" i="1"/>
  <c r="CX545" i="1"/>
  <c r="CW545" i="1"/>
  <c r="CV545" i="1"/>
  <c r="CU545" i="1"/>
  <c r="CT545" i="1"/>
  <c r="CS545" i="1"/>
  <c r="CR545" i="1"/>
  <c r="CQ545" i="1"/>
  <c r="CP545" i="1"/>
  <c r="CO545" i="1"/>
  <c r="CN545" i="1"/>
  <c r="CM545" i="1"/>
  <c r="CL545" i="1"/>
  <c r="CK545" i="1"/>
  <c r="CJ545" i="1"/>
  <c r="CI545" i="1"/>
  <c r="CH545" i="1"/>
  <c r="CG545" i="1"/>
  <c r="CF545" i="1"/>
  <c r="BR545" i="1"/>
  <c r="BQ545" i="1"/>
  <c r="BP545" i="1"/>
  <c r="BO545" i="1"/>
  <c r="BN545" i="1"/>
  <c r="BL545" i="1"/>
  <c r="BK545" i="1"/>
  <c r="BJ545" i="1"/>
  <c r="BI545" i="1"/>
  <c r="BH545" i="1"/>
  <c r="BG545" i="1"/>
  <c r="BF545" i="1"/>
  <c r="AZ545" i="1"/>
  <c r="AR545" i="1"/>
  <c r="AQ545" i="1"/>
  <c r="AP545" i="1"/>
  <c r="AO545" i="1"/>
  <c r="AN545" i="1"/>
  <c r="AL545" i="1"/>
  <c r="AK545" i="1"/>
  <c r="AJ545" i="1"/>
  <c r="AI545" i="1"/>
  <c r="AH545" i="1"/>
  <c r="AG545" i="1"/>
  <c r="AF545" i="1"/>
  <c r="AE545" i="1"/>
  <c r="O544" i="1" s="1"/>
  <c r="P544" i="1" s="1"/>
  <c r="AJ544" i="1" s="1"/>
  <c r="O545" i="1"/>
  <c r="BM545" i="1" s="1"/>
  <c r="J545" i="1"/>
  <c r="DE544" i="1"/>
  <c r="DD544" i="1"/>
  <c r="DC544" i="1"/>
  <c r="DB544" i="1"/>
  <c r="DA544" i="1"/>
  <c r="CZ544" i="1"/>
  <c r="CY544" i="1"/>
  <c r="CX544" i="1"/>
  <c r="CW544" i="1"/>
  <c r="CV544" i="1"/>
  <c r="CU544" i="1"/>
  <c r="CT544" i="1"/>
  <c r="CS544" i="1"/>
  <c r="CR544" i="1"/>
  <c r="CQ544" i="1"/>
  <c r="CP544" i="1"/>
  <c r="CO544" i="1"/>
  <c r="CN544" i="1"/>
  <c r="CM544" i="1"/>
  <c r="CL544" i="1"/>
  <c r="CK544" i="1"/>
  <c r="CJ544" i="1"/>
  <c r="CI544" i="1"/>
  <c r="CH544" i="1"/>
  <c r="CG544" i="1"/>
  <c r="CF544" i="1"/>
  <c r="BZ544" i="1"/>
  <c r="BR544" i="1"/>
  <c r="BQ544" i="1"/>
  <c r="BP544" i="1"/>
  <c r="BO544" i="1"/>
  <c r="BN544" i="1"/>
  <c r="BM544" i="1"/>
  <c r="BL544" i="1"/>
  <c r="BK544" i="1"/>
  <c r="BJ544" i="1"/>
  <c r="BI544" i="1"/>
  <c r="BH544" i="1"/>
  <c r="BG544" i="1"/>
  <c r="BF544" i="1"/>
  <c r="AX544" i="1"/>
  <c r="AR544" i="1"/>
  <c r="AQ544" i="1"/>
  <c r="AP544" i="1"/>
  <c r="AO544" i="1"/>
  <c r="AN544" i="1"/>
  <c r="AM544" i="1"/>
  <c r="AL544" i="1"/>
  <c r="AK544" i="1"/>
  <c r="AI544" i="1"/>
  <c r="AH544" i="1"/>
  <c r="AG544" i="1"/>
  <c r="AF544" i="1"/>
  <c r="AE544" i="1"/>
  <c r="O546" i="1" s="1"/>
  <c r="P546" i="1" s="1"/>
  <c r="AD544" i="1"/>
  <c r="G544" i="1"/>
  <c r="F544" i="1"/>
  <c r="B544" i="1"/>
  <c r="DE543" i="1"/>
  <c r="DD543" i="1"/>
  <c r="DC543" i="1"/>
  <c r="DB543" i="1"/>
  <c r="DA543" i="1"/>
  <c r="CZ543" i="1"/>
  <c r="CY543" i="1"/>
  <c r="CX543" i="1"/>
  <c r="CW543" i="1"/>
  <c r="CV543" i="1"/>
  <c r="CU543" i="1"/>
  <c r="CT543" i="1"/>
  <c r="CS543" i="1"/>
  <c r="CR543" i="1"/>
  <c r="CQ543" i="1"/>
  <c r="CP543" i="1"/>
  <c r="CO543" i="1"/>
  <c r="CN543" i="1"/>
  <c r="CM543" i="1"/>
  <c r="CL543" i="1"/>
  <c r="CK543" i="1"/>
  <c r="CJ543" i="1"/>
  <c r="CI543" i="1"/>
  <c r="CH543" i="1"/>
  <c r="CG543" i="1"/>
  <c r="CF543" i="1"/>
  <c r="BR543" i="1"/>
  <c r="BQ543" i="1"/>
  <c r="BP543" i="1"/>
  <c r="BO543" i="1"/>
  <c r="BN543" i="1"/>
  <c r="BM543" i="1"/>
  <c r="BL543" i="1"/>
  <c r="BK543" i="1"/>
  <c r="BJ543" i="1"/>
  <c r="BI543" i="1"/>
  <c r="BH543" i="1"/>
  <c r="BG543" i="1"/>
  <c r="BF543" i="1"/>
  <c r="BD543" i="1"/>
  <c r="BC543" i="1"/>
  <c r="BB543" i="1"/>
  <c r="AZ543" i="1"/>
  <c r="AY543" i="1"/>
  <c r="AX543" i="1"/>
  <c r="AV543" i="1"/>
  <c r="AU543" i="1"/>
  <c r="AT543" i="1"/>
  <c r="AR543" i="1"/>
  <c r="AQ543" i="1"/>
  <c r="AP543" i="1"/>
  <c r="AO543" i="1"/>
  <c r="AN543" i="1"/>
  <c r="AM543" i="1"/>
  <c r="AL543" i="1"/>
  <c r="AK543" i="1"/>
  <c r="AJ543" i="1"/>
  <c r="AI543" i="1"/>
  <c r="AH543" i="1"/>
  <c r="AG543" i="1"/>
  <c r="AF543" i="1"/>
  <c r="AE543" i="1"/>
  <c r="AD543" i="1"/>
  <c r="R543" i="1"/>
  <c r="Q543" i="1"/>
  <c r="DE542" i="1"/>
  <c r="DD542" i="1"/>
  <c r="DC542" i="1"/>
  <c r="DB542" i="1"/>
  <c r="DA542" i="1"/>
  <c r="CZ542" i="1"/>
  <c r="CY542" i="1"/>
  <c r="CX542" i="1"/>
  <c r="CW542" i="1"/>
  <c r="CV542" i="1"/>
  <c r="CU542" i="1"/>
  <c r="CT542" i="1"/>
  <c r="CS542" i="1"/>
  <c r="CR542" i="1"/>
  <c r="CQ542" i="1"/>
  <c r="CP542" i="1"/>
  <c r="CO542" i="1"/>
  <c r="CN542" i="1"/>
  <c r="CM542" i="1"/>
  <c r="CL542" i="1"/>
  <c r="CK542" i="1"/>
  <c r="CJ542" i="1"/>
  <c r="CI542" i="1"/>
  <c r="CH542" i="1"/>
  <c r="CG542" i="1"/>
  <c r="CF542" i="1"/>
  <c r="BR542" i="1"/>
  <c r="BQ542" i="1"/>
  <c r="BP542" i="1"/>
  <c r="BO542" i="1"/>
  <c r="BN542" i="1"/>
  <c r="BL542" i="1"/>
  <c r="BK542" i="1"/>
  <c r="BJ542" i="1"/>
  <c r="BI542" i="1"/>
  <c r="BH542" i="1"/>
  <c r="BG542" i="1"/>
  <c r="BF542" i="1"/>
  <c r="BD542" i="1"/>
  <c r="BC542" i="1"/>
  <c r="BB542" i="1"/>
  <c r="AZ542" i="1"/>
  <c r="AY542" i="1"/>
  <c r="AX542" i="1"/>
  <c r="AV542" i="1"/>
  <c r="AU542" i="1"/>
  <c r="AT542" i="1"/>
  <c r="AR542" i="1"/>
  <c r="AQ542" i="1"/>
  <c r="AP542" i="1"/>
  <c r="AO542" i="1"/>
  <c r="AN542" i="1"/>
  <c r="AL542" i="1"/>
  <c r="AK542" i="1"/>
  <c r="AJ542" i="1"/>
  <c r="AI542" i="1"/>
  <c r="AH542" i="1"/>
  <c r="AG542" i="1"/>
  <c r="AF542" i="1"/>
  <c r="AE542" i="1"/>
  <c r="AD542" i="1"/>
  <c r="DE541" i="1"/>
  <c r="DD541" i="1"/>
  <c r="DC541" i="1"/>
  <c r="DB541" i="1"/>
  <c r="DA541" i="1"/>
  <c r="CZ541" i="1"/>
  <c r="CY541" i="1"/>
  <c r="CX541" i="1"/>
  <c r="CW541" i="1"/>
  <c r="CV541" i="1"/>
  <c r="CU541" i="1"/>
  <c r="CT541" i="1"/>
  <c r="CS541" i="1"/>
  <c r="CR541" i="1"/>
  <c r="CQ541" i="1"/>
  <c r="CP541" i="1"/>
  <c r="CO541" i="1"/>
  <c r="CN541" i="1"/>
  <c r="CM541" i="1"/>
  <c r="CL541" i="1"/>
  <c r="CK541" i="1"/>
  <c r="CJ541" i="1"/>
  <c r="CI541" i="1"/>
  <c r="CH541" i="1"/>
  <c r="CG541" i="1"/>
  <c r="CF541" i="1"/>
  <c r="CD541" i="1"/>
  <c r="CC541" i="1"/>
  <c r="CB541" i="1"/>
  <c r="BZ541" i="1"/>
  <c r="BY541" i="1"/>
  <c r="BX541" i="1"/>
  <c r="BV541" i="1"/>
  <c r="BU541" i="1"/>
  <c r="BT541" i="1"/>
  <c r="BR541" i="1"/>
  <c r="BQ541" i="1"/>
  <c r="BP541" i="1"/>
  <c r="BO541" i="1"/>
  <c r="BN541" i="1"/>
  <c r="BM541" i="1"/>
  <c r="BL541" i="1"/>
  <c r="BK541" i="1"/>
  <c r="BI541" i="1"/>
  <c r="BH541" i="1"/>
  <c r="BG541" i="1"/>
  <c r="BF541" i="1"/>
  <c r="BE541" i="1"/>
  <c r="BD541" i="1"/>
  <c r="BB541" i="1"/>
  <c r="BA541" i="1"/>
  <c r="AZ541" i="1"/>
  <c r="AX541" i="1"/>
  <c r="AW541" i="1"/>
  <c r="AV541" i="1"/>
  <c r="AT541" i="1"/>
  <c r="AS541" i="1"/>
  <c r="AR541" i="1"/>
  <c r="AQ541" i="1"/>
  <c r="AP541" i="1"/>
  <c r="AO541" i="1"/>
  <c r="AN541" i="1"/>
  <c r="AM541" i="1"/>
  <c r="AL541" i="1"/>
  <c r="AK541" i="1"/>
  <c r="AI541" i="1"/>
  <c r="AH541" i="1"/>
  <c r="AG541" i="1"/>
  <c r="AF541" i="1"/>
  <c r="AE541" i="1"/>
  <c r="AD541" i="1"/>
  <c r="F541" i="1"/>
  <c r="B541" i="1"/>
  <c r="BE543" i="1" s="1"/>
  <c r="DE540" i="1"/>
  <c r="DD540" i="1"/>
  <c r="DC540" i="1"/>
  <c r="DB540" i="1"/>
  <c r="DA540" i="1"/>
  <c r="CZ540" i="1"/>
  <c r="CY540" i="1"/>
  <c r="CX540" i="1"/>
  <c r="CW540" i="1"/>
  <c r="CV540" i="1"/>
  <c r="CU540" i="1"/>
  <c r="CT540" i="1"/>
  <c r="CS540" i="1"/>
  <c r="CR540" i="1"/>
  <c r="CQ540" i="1"/>
  <c r="CP540" i="1"/>
  <c r="CO540" i="1"/>
  <c r="CN540" i="1"/>
  <c r="CM540" i="1"/>
  <c r="CL540" i="1"/>
  <c r="CK540" i="1"/>
  <c r="CJ540" i="1"/>
  <c r="CI540" i="1"/>
  <c r="CH540" i="1"/>
  <c r="CG540" i="1"/>
  <c r="CF540" i="1"/>
  <c r="BR540" i="1"/>
  <c r="BQ540" i="1"/>
  <c r="BP540" i="1"/>
  <c r="BO540" i="1"/>
  <c r="BN540" i="1"/>
  <c r="BM540" i="1"/>
  <c r="BL540" i="1"/>
  <c r="BK540" i="1"/>
  <c r="BJ540" i="1"/>
  <c r="BI540" i="1"/>
  <c r="BH540" i="1"/>
  <c r="BG540" i="1"/>
  <c r="BF540" i="1"/>
  <c r="BE540" i="1"/>
  <c r="BD540" i="1"/>
  <c r="BA540" i="1"/>
  <c r="AZ540" i="1"/>
  <c r="AW540" i="1"/>
  <c r="AV540" i="1"/>
  <c r="AS540" i="1"/>
  <c r="AR540" i="1"/>
  <c r="AQ540" i="1"/>
  <c r="AP540" i="1"/>
  <c r="AO540" i="1"/>
  <c r="AN540" i="1"/>
  <c r="AM540" i="1"/>
  <c r="AL540" i="1"/>
  <c r="AK540" i="1"/>
  <c r="AJ540" i="1"/>
  <c r="AI540" i="1"/>
  <c r="AH540" i="1"/>
  <c r="AG540" i="1"/>
  <c r="AF540" i="1"/>
  <c r="AE540" i="1"/>
  <c r="R540" i="1"/>
  <c r="Q540" i="1"/>
  <c r="DE539" i="1"/>
  <c r="DD539" i="1"/>
  <c r="DC539" i="1"/>
  <c r="DB539" i="1"/>
  <c r="DA539" i="1"/>
  <c r="CZ539" i="1"/>
  <c r="CY539" i="1"/>
  <c r="CX539" i="1"/>
  <c r="CW539" i="1"/>
  <c r="CV539" i="1"/>
  <c r="CU539" i="1"/>
  <c r="CT539" i="1"/>
  <c r="CS539" i="1"/>
  <c r="CR539" i="1"/>
  <c r="CQ539" i="1"/>
  <c r="CP539" i="1"/>
  <c r="CO539" i="1"/>
  <c r="CN539" i="1"/>
  <c r="CM539" i="1"/>
  <c r="CL539" i="1"/>
  <c r="CK539" i="1"/>
  <c r="CJ539" i="1"/>
  <c r="CI539" i="1"/>
  <c r="CH539" i="1"/>
  <c r="CG539" i="1"/>
  <c r="CF539" i="1"/>
  <c r="BR539" i="1"/>
  <c r="BQ539" i="1"/>
  <c r="BP539" i="1"/>
  <c r="BO539" i="1"/>
  <c r="BN539" i="1"/>
  <c r="BM539" i="1"/>
  <c r="BL539" i="1"/>
  <c r="BK539" i="1"/>
  <c r="BI539" i="1"/>
  <c r="BH539" i="1"/>
  <c r="BG539" i="1"/>
  <c r="BF539" i="1"/>
  <c r="BD539" i="1"/>
  <c r="BC539" i="1"/>
  <c r="AZ539" i="1"/>
  <c r="AY539" i="1"/>
  <c r="AV539" i="1"/>
  <c r="AU539" i="1"/>
  <c r="AR539" i="1"/>
  <c r="AQ539" i="1"/>
  <c r="AP539" i="1"/>
  <c r="AO539" i="1"/>
  <c r="AN539" i="1"/>
  <c r="AM539" i="1"/>
  <c r="AL539" i="1"/>
  <c r="AK539" i="1"/>
  <c r="AI539" i="1"/>
  <c r="AH539" i="1"/>
  <c r="AG539" i="1"/>
  <c r="AF539" i="1"/>
  <c r="AE539" i="1"/>
  <c r="O538" i="1" s="1"/>
  <c r="J539" i="1"/>
  <c r="DE538" i="1"/>
  <c r="DD538" i="1"/>
  <c r="DC538" i="1"/>
  <c r="DB538" i="1"/>
  <c r="DA538" i="1"/>
  <c r="CZ538" i="1"/>
  <c r="CY538" i="1"/>
  <c r="CX538" i="1"/>
  <c r="CW538" i="1"/>
  <c r="CV538" i="1"/>
  <c r="CU538" i="1"/>
  <c r="CT538" i="1"/>
  <c r="CS538" i="1"/>
  <c r="CR538" i="1"/>
  <c r="CQ538" i="1"/>
  <c r="CP538" i="1"/>
  <c r="CO538" i="1"/>
  <c r="CN538" i="1"/>
  <c r="CM538" i="1"/>
  <c r="CL538" i="1"/>
  <c r="CK538" i="1"/>
  <c r="CJ538" i="1"/>
  <c r="CI538" i="1"/>
  <c r="CH538" i="1"/>
  <c r="CG538" i="1"/>
  <c r="CF538" i="1"/>
  <c r="CD538" i="1"/>
  <c r="CC538" i="1"/>
  <c r="BZ538" i="1"/>
  <c r="BY538" i="1"/>
  <c r="BV538" i="1"/>
  <c r="BU538" i="1"/>
  <c r="BR538" i="1"/>
  <c r="BQ538" i="1"/>
  <c r="BP538" i="1"/>
  <c r="BO538" i="1"/>
  <c r="BN538" i="1"/>
  <c r="BM538" i="1"/>
  <c r="BL538" i="1"/>
  <c r="BK538" i="1"/>
  <c r="BJ538" i="1"/>
  <c r="BI538" i="1"/>
  <c r="BH538" i="1"/>
  <c r="BF538" i="1"/>
  <c r="BE538" i="1"/>
  <c r="BB538" i="1"/>
  <c r="BA538" i="1"/>
  <c r="AX538" i="1"/>
  <c r="AW538" i="1"/>
  <c r="AT538" i="1"/>
  <c r="AS538" i="1"/>
  <c r="AR538" i="1"/>
  <c r="AQ538" i="1"/>
  <c r="AP538" i="1"/>
  <c r="AO538" i="1"/>
  <c r="AN538" i="1"/>
  <c r="AM538" i="1"/>
  <c r="AL538" i="1"/>
  <c r="AK538" i="1"/>
  <c r="AJ538" i="1"/>
  <c r="AI538" i="1"/>
  <c r="AH538" i="1"/>
  <c r="AG538" i="1"/>
  <c r="AF538" i="1"/>
  <c r="AE538" i="1"/>
  <c r="AD538" i="1"/>
  <c r="F538" i="1"/>
  <c r="B538" i="1"/>
  <c r="BC540" i="1" s="1"/>
  <c r="DE537" i="1"/>
  <c r="DD537" i="1"/>
  <c r="DC537" i="1"/>
  <c r="DB537" i="1"/>
  <c r="DA537" i="1"/>
  <c r="CZ537" i="1"/>
  <c r="CY537" i="1"/>
  <c r="CX537" i="1"/>
  <c r="CW537" i="1"/>
  <c r="CV537" i="1"/>
  <c r="CU537" i="1"/>
  <c r="CT537" i="1"/>
  <c r="CS537" i="1"/>
  <c r="CR537" i="1"/>
  <c r="CQ537" i="1"/>
  <c r="CP537" i="1"/>
  <c r="CO537" i="1"/>
  <c r="CN537" i="1"/>
  <c r="CM537" i="1"/>
  <c r="CL537" i="1"/>
  <c r="CK537" i="1"/>
  <c r="CJ537" i="1"/>
  <c r="CI537" i="1"/>
  <c r="CH537" i="1"/>
  <c r="CG537" i="1"/>
  <c r="CF537" i="1"/>
  <c r="BR537" i="1"/>
  <c r="BP537" i="1"/>
  <c r="BO537" i="1"/>
  <c r="BN537" i="1"/>
  <c r="BM537" i="1"/>
  <c r="BL537" i="1"/>
  <c r="BK537" i="1"/>
  <c r="BJ537" i="1"/>
  <c r="BI537" i="1"/>
  <c r="BH537" i="1"/>
  <c r="BG537" i="1"/>
  <c r="BF537" i="1"/>
  <c r="BE537" i="1"/>
  <c r="BC537" i="1"/>
  <c r="BB537" i="1"/>
  <c r="BA537" i="1"/>
  <c r="AY537" i="1"/>
  <c r="AX537" i="1"/>
  <c r="AW537" i="1"/>
  <c r="AU537" i="1"/>
  <c r="AT537" i="1"/>
  <c r="AS537" i="1"/>
  <c r="AR537" i="1"/>
  <c r="AP537" i="1"/>
  <c r="AO537" i="1"/>
  <c r="AN537" i="1"/>
  <c r="AM537" i="1"/>
  <c r="AL537" i="1"/>
  <c r="AK537" i="1"/>
  <c r="AJ537" i="1"/>
  <c r="AI537" i="1"/>
  <c r="AH537" i="1"/>
  <c r="AG537" i="1"/>
  <c r="AF537" i="1"/>
  <c r="AE537" i="1"/>
  <c r="AD537" i="1"/>
  <c r="O537" i="1"/>
  <c r="P537" i="1" s="1"/>
  <c r="AQ537" i="1" s="1"/>
  <c r="DE536" i="1"/>
  <c r="DD536" i="1"/>
  <c r="DC536" i="1"/>
  <c r="DB536" i="1"/>
  <c r="DA536" i="1"/>
  <c r="CZ536" i="1"/>
  <c r="CY536" i="1"/>
  <c r="CX536" i="1"/>
  <c r="CW536" i="1"/>
  <c r="CV536" i="1"/>
  <c r="CU536" i="1"/>
  <c r="CT536" i="1"/>
  <c r="CS536" i="1"/>
  <c r="CR536" i="1"/>
  <c r="CQ536" i="1"/>
  <c r="CP536" i="1"/>
  <c r="CO536" i="1"/>
  <c r="CN536" i="1"/>
  <c r="CM536" i="1"/>
  <c r="CL536" i="1"/>
  <c r="CK536" i="1"/>
  <c r="CJ536" i="1"/>
  <c r="CI536" i="1"/>
  <c r="CH536" i="1"/>
  <c r="CG536" i="1"/>
  <c r="CF536" i="1"/>
  <c r="BR536" i="1"/>
  <c r="BQ536" i="1"/>
  <c r="BP536" i="1"/>
  <c r="BO536" i="1"/>
  <c r="BN536" i="1"/>
  <c r="BM536" i="1"/>
  <c r="BL536" i="1"/>
  <c r="BK536" i="1"/>
  <c r="BJ536" i="1"/>
  <c r="BI536" i="1"/>
  <c r="BH536" i="1"/>
  <c r="BF536" i="1"/>
  <c r="BE536" i="1"/>
  <c r="BC536" i="1"/>
  <c r="BB536" i="1"/>
  <c r="BA536" i="1"/>
  <c r="AY536" i="1"/>
  <c r="AX536" i="1"/>
  <c r="AW536" i="1"/>
  <c r="AU536" i="1"/>
  <c r="AT536" i="1"/>
  <c r="AS536" i="1"/>
  <c r="AR536" i="1"/>
  <c r="AQ536" i="1"/>
  <c r="AP536" i="1"/>
  <c r="AO536" i="1"/>
  <c r="AN536" i="1"/>
  <c r="AM536" i="1"/>
  <c r="AL536" i="1"/>
  <c r="AK536" i="1"/>
  <c r="AJ536" i="1"/>
  <c r="AI536" i="1"/>
  <c r="AH536" i="1"/>
  <c r="AF536" i="1"/>
  <c r="AE536" i="1"/>
  <c r="O535" i="1" s="1"/>
  <c r="BG535" i="1" s="1"/>
  <c r="AD536" i="1"/>
  <c r="O536" i="1"/>
  <c r="J536" i="1"/>
  <c r="DE535" i="1"/>
  <c r="DD535" i="1"/>
  <c r="DC535" i="1"/>
  <c r="DB535" i="1"/>
  <c r="DA535" i="1"/>
  <c r="CZ535" i="1"/>
  <c r="CY535" i="1"/>
  <c r="CX535" i="1"/>
  <c r="CW535" i="1"/>
  <c r="CV535" i="1"/>
  <c r="CU535" i="1"/>
  <c r="CT535" i="1"/>
  <c r="CS535" i="1"/>
  <c r="CR535" i="1"/>
  <c r="CQ535" i="1"/>
  <c r="CP535" i="1"/>
  <c r="CO535" i="1"/>
  <c r="CN535" i="1"/>
  <c r="CM535" i="1"/>
  <c r="CL535" i="1"/>
  <c r="CK535" i="1"/>
  <c r="CJ535" i="1"/>
  <c r="CI535" i="1"/>
  <c r="CH535" i="1"/>
  <c r="CG535" i="1"/>
  <c r="CF535" i="1"/>
  <c r="CC535" i="1"/>
  <c r="CB535" i="1"/>
  <c r="BZ535" i="1"/>
  <c r="BY535" i="1"/>
  <c r="BX535" i="1"/>
  <c r="BV535" i="1"/>
  <c r="BU535" i="1"/>
  <c r="BR535" i="1"/>
  <c r="BQ535" i="1"/>
  <c r="BP535" i="1"/>
  <c r="BO535" i="1"/>
  <c r="BN535" i="1"/>
  <c r="BM535" i="1"/>
  <c r="BL535" i="1"/>
  <c r="BK535" i="1"/>
  <c r="BJ535" i="1"/>
  <c r="BI535" i="1"/>
  <c r="BH535" i="1"/>
  <c r="BF535" i="1"/>
  <c r="BE535" i="1"/>
  <c r="BD535" i="1"/>
  <c r="BB535" i="1"/>
  <c r="BA535" i="1"/>
  <c r="AZ535" i="1"/>
  <c r="AX535" i="1"/>
  <c r="AW535" i="1"/>
  <c r="AV535" i="1"/>
  <c r="AT535" i="1"/>
  <c r="AS535" i="1"/>
  <c r="AR535" i="1"/>
  <c r="AQ535" i="1"/>
  <c r="AP535" i="1"/>
  <c r="AO535" i="1"/>
  <c r="AN535" i="1"/>
  <c r="AM535" i="1"/>
  <c r="AL535" i="1"/>
  <c r="AK535" i="1"/>
  <c r="AJ535" i="1"/>
  <c r="AI535" i="1"/>
  <c r="AH535" i="1"/>
  <c r="AF535" i="1"/>
  <c r="AE535" i="1"/>
  <c r="AD535" i="1"/>
  <c r="P535" i="1"/>
  <c r="F535" i="1"/>
  <c r="B535" i="1"/>
  <c r="BD537" i="1" s="1"/>
  <c r="DE534" i="1"/>
  <c r="DD534" i="1"/>
  <c r="DC534" i="1"/>
  <c r="DB534" i="1"/>
  <c r="DA534" i="1"/>
  <c r="CZ534" i="1"/>
  <c r="CY534" i="1"/>
  <c r="CX534" i="1"/>
  <c r="CW534" i="1"/>
  <c r="CV534" i="1"/>
  <c r="CU534" i="1"/>
  <c r="CT534" i="1"/>
  <c r="CS534" i="1"/>
  <c r="CR534" i="1"/>
  <c r="CQ534" i="1"/>
  <c r="CP534" i="1"/>
  <c r="CO534" i="1"/>
  <c r="CN534" i="1"/>
  <c r="CM534" i="1"/>
  <c r="CL534" i="1"/>
  <c r="CK534" i="1"/>
  <c r="CJ534" i="1"/>
  <c r="CI534" i="1"/>
  <c r="CH534" i="1"/>
  <c r="CG534" i="1"/>
  <c r="CF534" i="1"/>
  <c r="BR534" i="1"/>
  <c r="BQ534" i="1"/>
  <c r="BP534" i="1"/>
  <c r="BO534" i="1"/>
  <c r="BN534" i="1"/>
  <c r="BM534" i="1"/>
  <c r="BL534" i="1"/>
  <c r="BK534" i="1"/>
  <c r="BJ534" i="1"/>
  <c r="BI534" i="1"/>
  <c r="BH534" i="1"/>
  <c r="BG534" i="1"/>
  <c r="BF534" i="1"/>
  <c r="BE534" i="1"/>
  <c r="BD534" i="1"/>
  <c r="BA534" i="1"/>
  <c r="AZ534" i="1"/>
  <c r="AW534" i="1"/>
  <c r="AV534" i="1"/>
  <c r="AS534" i="1"/>
  <c r="AR534" i="1"/>
  <c r="AQ534" i="1"/>
  <c r="AP534" i="1"/>
  <c r="AO534" i="1"/>
  <c r="AN534" i="1"/>
  <c r="AM534" i="1"/>
  <c r="AL534" i="1"/>
  <c r="AK534" i="1"/>
  <c r="AJ534" i="1"/>
  <c r="AI534" i="1"/>
  <c r="AH534" i="1"/>
  <c r="AG534" i="1"/>
  <c r="AF534" i="1"/>
  <c r="AE534" i="1"/>
  <c r="R534" i="1"/>
  <c r="Q534" i="1"/>
  <c r="DE533" i="1"/>
  <c r="DD533" i="1"/>
  <c r="DC533" i="1"/>
  <c r="DB533" i="1"/>
  <c r="DA533" i="1"/>
  <c r="CZ533" i="1"/>
  <c r="CY533" i="1"/>
  <c r="CX533" i="1"/>
  <c r="CW533" i="1"/>
  <c r="CV533" i="1"/>
  <c r="CU533" i="1"/>
  <c r="CT533" i="1"/>
  <c r="CS533" i="1"/>
  <c r="CR533" i="1"/>
  <c r="CQ533" i="1"/>
  <c r="CP533" i="1"/>
  <c r="CO533" i="1"/>
  <c r="CN533" i="1"/>
  <c r="CM533" i="1"/>
  <c r="CL533" i="1"/>
  <c r="CK533" i="1"/>
  <c r="CJ533" i="1"/>
  <c r="CI533" i="1"/>
  <c r="CH533" i="1"/>
  <c r="CG533" i="1"/>
  <c r="CF533" i="1"/>
  <c r="BR533" i="1"/>
  <c r="BQ533" i="1"/>
  <c r="BP533" i="1"/>
  <c r="BO533" i="1"/>
  <c r="BN533" i="1"/>
  <c r="BM533" i="1"/>
  <c r="BL533" i="1"/>
  <c r="BK533" i="1"/>
  <c r="BI533" i="1"/>
  <c r="BH533" i="1"/>
  <c r="BG533" i="1"/>
  <c r="BF533" i="1"/>
  <c r="BD533" i="1"/>
  <c r="BC533" i="1"/>
  <c r="AZ533" i="1"/>
  <c r="AY533" i="1"/>
  <c r="AV533" i="1"/>
  <c r="AU533" i="1"/>
  <c r="AR533" i="1"/>
  <c r="AQ533" i="1"/>
  <c r="AP533" i="1"/>
  <c r="AO533" i="1"/>
  <c r="AN533" i="1"/>
  <c r="AM533" i="1"/>
  <c r="AL533" i="1"/>
  <c r="AK533" i="1"/>
  <c r="AI533" i="1"/>
  <c r="AH533" i="1"/>
  <c r="AG533" i="1"/>
  <c r="AF533" i="1"/>
  <c r="AE533" i="1"/>
  <c r="O532" i="1" s="1"/>
  <c r="O533" i="1"/>
  <c r="J533" i="1"/>
  <c r="DE532" i="1"/>
  <c r="DD532" i="1"/>
  <c r="DC532" i="1"/>
  <c r="DB532" i="1"/>
  <c r="DA532" i="1"/>
  <c r="CZ532" i="1"/>
  <c r="CY532" i="1"/>
  <c r="CX532" i="1"/>
  <c r="CW532" i="1"/>
  <c r="CV532" i="1"/>
  <c r="CU532" i="1"/>
  <c r="CT532" i="1"/>
  <c r="CS532" i="1"/>
  <c r="CR532" i="1"/>
  <c r="CQ532" i="1"/>
  <c r="CP532" i="1"/>
  <c r="CO532" i="1"/>
  <c r="CN532" i="1"/>
  <c r="CM532" i="1"/>
  <c r="CL532" i="1"/>
  <c r="CK532" i="1"/>
  <c r="CJ532" i="1"/>
  <c r="CI532" i="1"/>
  <c r="CH532" i="1"/>
  <c r="CG532" i="1"/>
  <c r="CF532" i="1"/>
  <c r="CD532" i="1"/>
  <c r="CC532" i="1"/>
  <c r="BZ532" i="1"/>
  <c r="BY532" i="1"/>
  <c r="BV532" i="1"/>
  <c r="BU532" i="1"/>
  <c r="BR532" i="1"/>
  <c r="BQ532" i="1"/>
  <c r="BP532" i="1"/>
  <c r="BO532" i="1"/>
  <c r="BN532" i="1"/>
  <c r="BM532" i="1"/>
  <c r="BL532" i="1"/>
  <c r="BK532" i="1"/>
  <c r="BJ532" i="1"/>
  <c r="BI532" i="1"/>
  <c r="BH532" i="1"/>
  <c r="BG532" i="1"/>
  <c r="BF532" i="1"/>
  <c r="BE532" i="1"/>
  <c r="BB532" i="1"/>
  <c r="BA532" i="1"/>
  <c r="AX532" i="1"/>
  <c r="AW532" i="1"/>
  <c r="AT532" i="1"/>
  <c r="AS532" i="1"/>
  <c r="AR532" i="1"/>
  <c r="AQ532" i="1"/>
  <c r="AP532" i="1"/>
  <c r="AO532" i="1"/>
  <c r="AN532" i="1"/>
  <c r="AL532" i="1"/>
  <c r="AK532" i="1"/>
  <c r="AJ532" i="1"/>
  <c r="AI532" i="1"/>
  <c r="AH532" i="1"/>
  <c r="AG532" i="1"/>
  <c r="AF532" i="1"/>
  <c r="AE532" i="1"/>
  <c r="AD532" i="1"/>
  <c r="F532" i="1"/>
  <c r="B532" i="1"/>
  <c r="BC534" i="1" s="1"/>
  <c r="DE531" i="1"/>
  <c r="DD531" i="1"/>
  <c r="DC531" i="1"/>
  <c r="DB531" i="1"/>
  <c r="DA531" i="1"/>
  <c r="CZ531" i="1"/>
  <c r="CY531" i="1"/>
  <c r="CX531" i="1"/>
  <c r="CW531" i="1"/>
  <c r="CV531" i="1"/>
  <c r="CU531" i="1"/>
  <c r="CT531" i="1"/>
  <c r="CS531" i="1"/>
  <c r="CR531" i="1"/>
  <c r="CQ531" i="1"/>
  <c r="CP531" i="1"/>
  <c r="CO531" i="1"/>
  <c r="CN531" i="1"/>
  <c r="CM531" i="1"/>
  <c r="CL531" i="1"/>
  <c r="CK531" i="1"/>
  <c r="CJ531" i="1"/>
  <c r="CI531" i="1"/>
  <c r="CH531" i="1"/>
  <c r="CG531" i="1"/>
  <c r="CF531" i="1"/>
  <c r="BR531" i="1"/>
  <c r="BQ531" i="1"/>
  <c r="BP531" i="1"/>
  <c r="BO531" i="1"/>
  <c r="BN531" i="1"/>
  <c r="BM531" i="1"/>
  <c r="BL531" i="1"/>
  <c r="BK531" i="1"/>
  <c r="BJ531" i="1"/>
  <c r="BI531" i="1"/>
  <c r="BH531" i="1"/>
  <c r="BF531" i="1"/>
  <c r="BE531" i="1"/>
  <c r="BB531" i="1"/>
  <c r="BA531" i="1"/>
  <c r="AX531" i="1"/>
  <c r="AW531" i="1"/>
  <c r="AT531" i="1"/>
  <c r="AS531" i="1"/>
  <c r="AR531" i="1"/>
  <c r="AQ531" i="1"/>
  <c r="AP531" i="1"/>
  <c r="AO531" i="1"/>
  <c r="AN531" i="1"/>
  <c r="AM531" i="1"/>
  <c r="AL531" i="1"/>
  <c r="AK531" i="1"/>
  <c r="AJ531" i="1"/>
  <c r="AI531" i="1"/>
  <c r="AH531" i="1"/>
  <c r="AF531" i="1"/>
  <c r="AE531" i="1"/>
  <c r="AD531" i="1"/>
  <c r="DE530" i="1"/>
  <c r="DD530" i="1"/>
  <c r="DC530" i="1"/>
  <c r="DB530" i="1"/>
  <c r="DA530" i="1"/>
  <c r="CZ530" i="1"/>
  <c r="CY530" i="1"/>
  <c r="CX530" i="1"/>
  <c r="CW530" i="1"/>
  <c r="CV530" i="1"/>
  <c r="CU530" i="1"/>
  <c r="CT530" i="1"/>
  <c r="CS530" i="1"/>
  <c r="CR530" i="1"/>
  <c r="CQ530" i="1"/>
  <c r="CP530" i="1"/>
  <c r="CO530" i="1"/>
  <c r="CN530" i="1"/>
  <c r="CM530" i="1"/>
  <c r="CL530" i="1"/>
  <c r="CK530" i="1"/>
  <c r="CJ530" i="1"/>
  <c r="CI530" i="1"/>
  <c r="CH530" i="1"/>
  <c r="CG530" i="1"/>
  <c r="CF530" i="1"/>
  <c r="BR530" i="1"/>
  <c r="BQ530" i="1"/>
  <c r="BP530" i="1"/>
  <c r="BO530" i="1"/>
  <c r="BN530" i="1"/>
  <c r="BM530" i="1"/>
  <c r="BL530" i="1"/>
  <c r="BK530" i="1"/>
  <c r="BJ530" i="1"/>
  <c r="BI530" i="1"/>
  <c r="BH530" i="1"/>
  <c r="BF530" i="1"/>
  <c r="BE530" i="1"/>
  <c r="BB530" i="1"/>
  <c r="BA530" i="1"/>
  <c r="AX530" i="1"/>
  <c r="AW530" i="1"/>
  <c r="AT530" i="1"/>
  <c r="AS530" i="1"/>
  <c r="AR530" i="1"/>
  <c r="AQ530" i="1"/>
  <c r="AP530" i="1"/>
  <c r="AO530" i="1"/>
  <c r="AN530" i="1"/>
  <c r="AM530" i="1"/>
  <c r="AL530" i="1"/>
  <c r="AK530" i="1"/>
  <c r="AJ530" i="1"/>
  <c r="AI530" i="1"/>
  <c r="AH530" i="1"/>
  <c r="AF530" i="1"/>
  <c r="AE530" i="1"/>
  <c r="AD530" i="1"/>
  <c r="DE529" i="1"/>
  <c r="DD529" i="1"/>
  <c r="DC529" i="1"/>
  <c r="DB529" i="1"/>
  <c r="DA529" i="1"/>
  <c r="CZ529" i="1"/>
  <c r="CY529" i="1"/>
  <c r="CX529" i="1"/>
  <c r="CW529" i="1"/>
  <c r="CV529" i="1"/>
  <c r="CU529" i="1"/>
  <c r="CT529" i="1"/>
  <c r="CS529" i="1"/>
  <c r="CR529" i="1"/>
  <c r="CQ529" i="1"/>
  <c r="CP529" i="1"/>
  <c r="CO529" i="1"/>
  <c r="CN529" i="1"/>
  <c r="CM529" i="1"/>
  <c r="CL529" i="1"/>
  <c r="CK529" i="1"/>
  <c r="CJ529" i="1"/>
  <c r="CI529" i="1"/>
  <c r="CH529" i="1"/>
  <c r="CG529" i="1"/>
  <c r="CF529" i="1"/>
  <c r="CE529" i="1"/>
  <c r="CB529" i="1"/>
  <c r="CA529" i="1"/>
  <c r="BX529" i="1"/>
  <c r="BS529" i="1"/>
  <c r="BR529" i="1"/>
  <c r="BQ529" i="1"/>
  <c r="BP529" i="1"/>
  <c r="BO529" i="1"/>
  <c r="BN529" i="1"/>
  <c r="BM529" i="1"/>
  <c r="BL529" i="1"/>
  <c r="BK529" i="1"/>
  <c r="BI529" i="1"/>
  <c r="BH529" i="1"/>
  <c r="BG529" i="1"/>
  <c r="BF529" i="1"/>
  <c r="BD529" i="1"/>
  <c r="BC529" i="1"/>
  <c r="AZ529" i="1"/>
  <c r="AY529" i="1"/>
  <c r="AV529" i="1"/>
  <c r="AU529" i="1"/>
  <c r="AR529" i="1"/>
  <c r="AQ529" i="1"/>
  <c r="AP529" i="1"/>
  <c r="AO529" i="1"/>
  <c r="AN529" i="1"/>
  <c r="AM529" i="1"/>
  <c r="AL529" i="1"/>
  <c r="AK529" i="1"/>
  <c r="AI529" i="1"/>
  <c r="AH529" i="1"/>
  <c r="AG529" i="1"/>
  <c r="AF529" i="1"/>
  <c r="AE529" i="1"/>
  <c r="O531" i="1" s="1"/>
  <c r="AD529" i="1"/>
  <c r="O529" i="1"/>
  <c r="G529" i="1"/>
  <c r="F529" i="1" s="1"/>
  <c r="B529" i="1"/>
  <c r="BD531" i="1" s="1"/>
  <c r="DE528" i="1"/>
  <c r="DD528" i="1"/>
  <c r="DC528" i="1"/>
  <c r="DB528" i="1"/>
  <c r="DA528" i="1"/>
  <c r="CZ528" i="1"/>
  <c r="CY528" i="1"/>
  <c r="CX528" i="1"/>
  <c r="CW528" i="1"/>
  <c r="CV528" i="1"/>
  <c r="CU528" i="1"/>
  <c r="CT528" i="1"/>
  <c r="CS528" i="1"/>
  <c r="CR528" i="1"/>
  <c r="CQ528" i="1"/>
  <c r="CP528" i="1"/>
  <c r="CO528" i="1"/>
  <c r="CN528" i="1"/>
  <c r="CM528" i="1"/>
  <c r="CL528" i="1"/>
  <c r="CK528" i="1"/>
  <c r="CJ528" i="1"/>
  <c r="CI528" i="1"/>
  <c r="CH528" i="1"/>
  <c r="CG528" i="1"/>
  <c r="CF528" i="1"/>
  <c r="BR528" i="1"/>
  <c r="BQ528" i="1"/>
  <c r="BP528" i="1"/>
  <c r="BO528" i="1"/>
  <c r="BN528" i="1"/>
  <c r="BM528" i="1"/>
  <c r="BL528" i="1"/>
  <c r="BK528" i="1"/>
  <c r="BJ528" i="1"/>
  <c r="BI528" i="1"/>
  <c r="BH528" i="1"/>
  <c r="BG528" i="1"/>
  <c r="BF528" i="1"/>
  <c r="BE528" i="1"/>
  <c r="BD528" i="1"/>
  <c r="BC528" i="1"/>
  <c r="BA528" i="1"/>
  <c r="AZ528" i="1"/>
  <c r="AY528" i="1"/>
  <c r="AW528" i="1"/>
  <c r="AV528" i="1"/>
  <c r="AU528" i="1"/>
  <c r="AS528" i="1"/>
  <c r="AR528" i="1"/>
  <c r="AQ528" i="1"/>
  <c r="AP528" i="1"/>
  <c r="AO528" i="1"/>
  <c r="AN528" i="1"/>
  <c r="AM528" i="1"/>
  <c r="AL528" i="1"/>
  <c r="AK528" i="1"/>
  <c r="AJ528" i="1"/>
  <c r="AI528" i="1"/>
  <c r="AH528" i="1"/>
  <c r="AG528" i="1"/>
  <c r="AF528" i="1"/>
  <c r="AE528" i="1"/>
  <c r="R528" i="1"/>
  <c r="Q528" i="1"/>
  <c r="DE527" i="1"/>
  <c r="DD527" i="1"/>
  <c r="DC527" i="1"/>
  <c r="DB527" i="1"/>
  <c r="DA527" i="1"/>
  <c r="CZ527" i="1"/>
  <c r="CY527" i="1"/>
  <c r="CX527" i="1"/>
  <c r="CW527" i="1"/>
  <c r="CV527" i="1"/>
  <c r="CU527" i="1"/>
  <c r="CT527" i="1"/>
  <c r="CS527" i="1"/>
  <c r="CR527" i="1"/>
  <c r="CQ527" i="1"/>
  <c r="CP527" i="1"/>
  <c r="CO527" i="1"/>
  <c r="CN527" i="1"/>
  <c r="CM527" i="1"/>
  <c r="CL527" i="1"/>
  <c r="CK527" i="1"/>
  <c r="CJ527" i="1"/>
  <c r="CI527" i="1"/>
  <c r="CH527" i="1"/>
  <c r="CG527" i="1"/>
  <c r="CF527" i="1"/>
  <c r="BR527" i="1"/>
  <c r="BQ527" i="1"/>
  <c r="BP527" i="1"/>
  <c r="BO527" i="1"/>
  <c r="BN527" i="1"/>
  <c r="BM527" i="1"/>
  <c r="BL527" i="1"/>
  <c r="BK527" i="1"/>
  <c r="BJ527" i="1"/>
  <c r="BI527" i="1"/>
  <c r="BH527" i="1"/>
  <c r="BF527" i="1"/>
  <c r="BD527" i="1"/>
  <c r="BC527" i="1"/>
  <c r="BB527" i="1"/>
  <c r="AZ527" i="1"/>
  <c r="AY527" i="1"/>
  <c r="AX527" i="1"/>
  <c r="AV527" i="1"/>
  <c r="AU527" i="1"/>
  <c r="AT527" i="1"/>
  <c r="AR527" i="1"/>
  <c r="AQ527" i="1"/>
  <c r="AP527" i="1"/>
  <c r="AO527" i="1"/>
  <c r="AN527" i="1"/>
  <c r="AM527" i="1"/>
  <c r="AL527" i="1"/>
  <c r="AK527" i="1"/>
  <c r="AJ527" i="1"/>
  <c r="AI527" i="1"/>
  <c r="AH527" i="1"/>
  <c r="AF527" i="1"/>
  <c r="AE527" i="1"/>
  <c r="J527" i="1"/>
  <c r="DE526" i="1"/>
  <c r="DD526" i="1"/>
  <c r="DC526" i="1"/>
  <c r="DB526" i="1"/>
  <c r="DA526" i="1"/>
  <c r="CZ526" i="1"/>
  <c r="CY526" i="1"/>
  <c r="CX526" i="1"/>
  <c r="CW526" i="1"/>
  <c r="CV526" i="1"/>
  <c r="CU526" i="1"/>
  <c r="CT526" i="1"/>
  <c r="CS526" i="1"/>
  <c r="CR526" i="1"/>
  <c r="CQ526" i="1"/>
  <c r="CP526" i="1"/>
  <c r="CO526" i="1"/>
  <c r="CN526" i="1"/>
  <c r="CM526" i="1"/>
  <c r="CL526" i="1"/>
  <c r="CK526" i="1"/>
  <c r="CJ526" i="1"/>
  <c r="CI526" i="1"/>
  <c r="CH526" i="1"/>
  <c r="CG526" i="1"/>
  <c r="CF526" i="1"/>
  <c r="CD526" i="1"/>
  <c r="CC526" i="1"/>
  <c r="CB526" i="1"/>
  <c r="BY526" i="1"/>
  <c r="BX526" i="1"/>
  <c r="BV526" i="1"/>
  <c r="BU526" i="1"/>
  <c r="BR526" i="1"/>
  <c r="BQ526" i="1"/>
  <c r="BP526" i="1"/>
  <c r="BO526" i="1"/>
  <c r="BN526" i="1"/>
  <c r="BL526" i="1"/>
  <c r="BK526" i="1"/>
  <c r="BJ526" i="1"/>
  <c r="BI526" i="1"/>
  <c r="BH526" i="1"/>
  <c r="BG526" i="1"/>
  <c r="BF526" i="1"/>
  <c r="BE526" i="1"/>
  <c r="BD526" i="1"/>
  <c r="BB526" i="1"/>
  <c r="BA526" i="1"/>
  <c r="AZ526" i="1"/>
  <c r="AX526" i="1"/>
  <c r="AW526" i="1"/>
  <c r="AV526" i="1"/>
  <c r="AT526" i="1"/>
  <c r="AS526" i="1"/>
  <c r="AR526" i="1"/>
  <c r="AQ526" i="1"/>
  <c r="AP526" i="1"/>
  <c r="AO526" i="1"/>
  <c r="AN526" i="1"/>
  <c r="AL526" i="1"/>
  <c r="AK526" i="1"/>
  <c r="AJ526" i="1"/>
  <c r="AI526" i="1"/>
  <c r="AH526" i="1"/>
  <c r="AG526" i="1"/>
  <c r="AF526" i="1"/>
  <c r="AE526" i="1"/>
  <c r="AD526" i="1"/>
  <c r="F526" i="1"/>
  <c r="B526" i="1"/>
  <c r="BB528" i="1" s="1"/>
  <c r="DE525" i="1"/>
  <c r="DD525" i="1"/>
  <c r="DC525" i="1"/>
  <c r="DB525" i="1"/>
  <c r="DA525" i="1"/>
  <c r="CZ525" i="1"/>
  <c r="CY525" i="1"/>
  <c r="CX525" i="1"/>
  <c r="CW525" i="1"/>
  <c r="CV525" i="1"/>
  <c r="CU525" i="1"/>
  <c r="CT525" i="1"/>
  <c r="CS525" i="1"/>
  <c r="CR525" i="1"/>
  <c r="CQ525" i="1"/>
  <c r="CP525" i="1"/>
  <c r="CO525" i="1"/>
  <c r="CN525" i="1"/>
  <c r="CM525" i="1"/>
  <c r="CL525" i="1"/>
  <c r="CK525" i="1"/>
  <c r="CJ525" i="1"/>
  <c r="CI525" i="1"/>
  <c r="CH525" i="1"/>
  <c r="CG525" i="1"/>
  <c r="CF525" i="1"/>
  <c r="BR525" i="1"/>
  <c r="BQ525" i="1"/>
  <c r="BP525" i="1"/>
  <c r="BO525" i="1"/>
  <c r="BN525" i="1"/>
  <c r="BM525" i="1"/>
  <c r="BL525" i="1"/>
  <c r="BK525" i="1"/>
  <c r="BJ525" i="1"/>
  <c r="BI525" i="1"/>
  <c r="BH525" i="1"/>
  <c r="BG525" i="1"/>
  <c r="BF525" i="1"/>
  <c r="BE525" i="1"/>
  <c r="BB525" i="1"/>
  <c r="BA525" i="1"/>
  <c r="AX525" i="1"/>
  <c r="AW525" i="1"/>
  <c r="AT525" i="1"/>
  <c r="AS525" i="1"/>
  <c r="AR525" i="1"/>
  <c r="AQ525" i="1"/>
  <c r="AP525" i="1"/>
  <c r="AO525" i="1"/>
  <c r="AN525" i="1"/>
  <c r="AM525" i="1"/>
  <c r="AL525" i="1"/>
  <c r="AK525" i="1"/>
  <c r="AJ525" i="1"/>
  <c r="AI525" i="1"/>
  <c r="AH525" i="1"/>
  <c r="AG525" i="1"/>
  <c r="AF525" i="1"/>
  <c r="AE525" i="1"/>
  <c r="AD525" i="1"/>
  <c r="R525" i="1"/>
  <c r="Q525" i="1"/>
  <c r="O525" i="1"/>
  <c r="P525" i="1" s="1"/>
  <c r="DE524" i="1"/>
  <c r="DD524" i="1"/>
  <c r="DC524" i="1"/>
  <c r="DB524" i="1"/>
  <c r="DA524" i="1"/>
  <c r="CZ524" i="1"/>
  <c r="CY524" i="1"/>
  <c r="CX524" i="1"/>
  <c r="CW524" i="1"/>
  <c r="CV524" i="1"/>
  <c r="CU524" i="1"/>
  <c r="CT524" i="1"/>
  <c r="CS524" i="1"/>
  <c r="CR524" i="1"/>
  <c r="CQ524" i="1"/>
  <c r="CP524" i="1"/>
  <c r="CO524" i="1"/>
  <c r="CN524" i="1"/>
  <c r="CM524" i="1"/>
  <c r="CL524" i="1"/>
  <c r="CK524" i="1"/>
  <c r="CJ524" i="1"/>
  <c r="CI524" i="1"/>
  <c r="CH524" i="1"/>
  <c r="CG524" i="1"/>
  <c r="CF524" i="1"/>
  <c r="BR524" i="1"/>
  <c r="BQ524" i="1"/>
  <c r="BP524" i="1"/>
  <c r="BO524" i="1"/>
  <c r="BN524" i="1"/>
  <c r="BM524" i="1"/>
  <c r="BL524" i="1"/>
  <c r="BK524" i="1"/>
  <c r="BI524" i="1"/>
  <c r="BH524" i="1"/>
  <c r="BG524" i="1"/>
  <c r="BF524" i="1"/>
  <c r="BE524" i="1"/>
  <c r="BB524" i="1"/>
  <c r="BA524" i="1"/>
  <c r="AX524" i="1"/>
  <c r="AW524" i="1"/>
  <c r="AT524" i="1"/>
  <c r="AS524" i="1"/>
  <c r="AR524" i="1"/>
  <c r="AQ524" i="1"/>
  <c r="AP524" i="1"/>
  <c r="AO524" i="1"/>
  <c r="AN524" i="1"/>
  <c r="AM524" i="1"/>
  <c r="AL524" i="1"/>
  <c r="AK524" i="1"/>
  <c r="AI524" i="1"/>
  <c r="AH524" i="1"/>
  <c r="AG524" i="1"/>
  <c r="AF524" i="1"/>
  <c r="AE524" i="1"/>
  <c r="O523" i="1" s="1"/>
  <c r="AD524" i="1"/>
  <c r="O524" i="1"/>
  <c r="J524" i="1"/>
  <c r="DE523" i="1"/>
  <c r="DD523" i="1"/>
  <c r="DC523" i="1"/>
  <c r="DB523" i="1"/>
  <c r="DA523" i="1"/>
  <c r="CZ523" i="1"/>
  <c r="CY523" i="1"/>
  <c r="CX523" i="1"/>
  <c r="CW523" i="1"/>
  <c r="CV523" i="1"/>
  <c r="CU523" i="1"/>
  <c r="CT523" i="1"/>
  <c r="CS523" i="1"/>
  <c r="CR523" i="1"/>
  <c r="CQ523" i="1"/>
  <c r="CP523" i="1"/>
  <c r="CO523" i="1"/>
  <c r="CN523" i="1"/>
  <c r="CM523" i="1"/>
  <c r="CL523" i="1"/>
  <c r="CK523" i="1"/>
  <c r="CJ523" i="1"/>
  <c r="CI523" i="1"/>
  <c r="CH523" i="1"/>
  <c r="CG523" i="1"/>
  <c r="CF523" i="1"/>
  <c r="CC523" i="1"/>
  <c r="CB523" i="1"/>
  <c r="BY523" i="1"/>
  <c r="BX523" i="1"/>
  <c r="BU523" i="1"/>
  <c r="BT523" i="1"/>
  <c r="BR523" i="1"/>
  <c r="BQ523" i="1"/>
  <c r="BP523" i="1"/>
  <c r="BO523" i="1"/>
  <c r="BN523" i="1"/>
  <c r="BM523" i="1"/>
  <c r="BL523" i="1"/>
  <c r="BK523" i="1"/>
  <c r="BJ523" i="1"/>
  <c r="BI523" i="1"/>
  <c r="BH523" i="1"/>
  <c r="BG523" i="1"/>
  <c r="BF523" i="1"/>
  <c r="BE523" i="1"/>
  <c r="BD523" i="1"/>
  <c r="BA523" i="1"/>
  <c r="AZ523" i="1"/>
  <c r="AW523" i="1"/>
  <c r="AV523" i="1"/>
  <c r="AS523" i="1"/>
  <c r="AR523" i="1"/>
  <c r="AQ523" i="1"/>
  <c r="AP523" i="1"/>
  <c r="AO523" i="1"/>
  <c r="AN523" i="1"/>
  <c r="AL523" i="1"/>
  <c r="AK523" i="1"/>
  <c r="AJ523" i="1"/>
  <c r="AI523" i="1"/>
  <c r="AH523" i="1"/>
  <c r="AG523" i="1"/>
  <c r="AF523" i="1"/>
  <c r="AE523" i="1"/>
  <c r="AD523" i="1"/>
  <c r="P523" i="1"/>
  <c r="AM523" i="1" s="1"/>
  <c r="G523" i="1"/>
  <c r="F523" i="1"/>
  <c r="B523" i="1"/>
  <c r="BD525" i="1" s="1"/>
  <c r="DE522" i="1"/>
  <c r="DD522" i="1"/>
  <c r="DC522" i="1"/>
  <c r="DB522" i="1"/>
  <c r="DA522" i="1"/>
  <c r="CZ522" i="1"/>
  <c r="CY522" i="1"/>
  <c r="CX522" i="1"/>
  <c r="CW522" i="1"/>
  <c r="CV522" i="1"/>
  <c r="CU522" i="1"/>
  <c r="CT522" i="1"/>
  <c r="CS522" i="1"/>
  <c r="CR522" i="1"/>
  <c r="CQ522" i="1"/>
  <c r="CP522" i="1"/>
  <c r="CO522" i="1"/>
  <c r="CN522" i="1"/>
  <c r="CM522" i="1"/>
  <c r="CL522" i="1"/>
  <c r="CK522" i="1"/>
  <c r="CJ522" i="1"/>
  <c r="CI522" i="1"/>
  <c r="CH522" i="1"/>
  <c r="CG522" i="1"/>
  <c r="CF522" i="1"/>
  <c r="BR522" i="1"/>
  <c r="BQ522" i="1"/>
  <c r="BP522" i="1"/>
  <c r="BO522" i="1"/>
  <c r="BN522" i="1"/>
  <c r="BM522" i="1"/>
  <c r="BL522" i="1"/>
  <c r="BK522" i="1"/>
  <c r="BJ522" i="1"/>
  <c r="BI522" i="1"/>
  <c r="BH522" i="1"/>
  <c r="BG522" i="1"/>
  <c r="BF522" i="1"/>
  <c r="BE522" i="1"/>
  <c r="BB522" i="1"/>
  <c r="BA522" i="1"/>
  <c r="AX522" i="1"/>
  <c r="AW522" i="1"/>
  <c r="AT522" i="1"/>
  <c r="AS522" i="1"/>
  <c r="AR522" i="1"/>
  <c r="AQ522" i="1"/>
  <c r="AP522" i="1"/>
  <c r="AO522" i="1"/>
  <c r="AN522" i="1"/>
  <c r="AM522" i="1"/>
  <c r="AL522" i="1"/>
  <c r="AK522" i="1"/>
  <c r="AJ522" i="1"/>
  <c r="AI522" i="1"/>
  <c r="AH522" i="1"/>
  <c r="AG522" i="1"/>
  <c r="AF522" i="1"/>
  <c r="AE522" i="1"/>
  <c r="R522" i="1"/>
  <c r="Q522" i="1"/>
  <c r="DE521" i="1"/>
  <c r="DD521" i="1"/>
  <c r="DC521" i="1"/>
  <c r="DB521" i="1"/>
  <c r="DA521" i="1"/>
  <c r="CZ521" i="1"/>
  <c r="CY521" i="1"/>
  <c r="CX521" i="1"/>
  <c r="CW521" i="1"/>
  <c r="CV521" i="1"/>
  <c r="CU521" i="1"/>
  <c r="CT521" i="1"/>
  <c r="CS521" i="1"/>
  <c r="CR521" i="1"/>
  <c r="CQ521" i="1"/>
  <c r="CP521" i="1"/>
  <c r="CO521" i="1"/>
  <c r="CN521" i="1"/>
  <c r="CM521" i="1"/>
  <c r="CL521" i="1"/>
  <c r="CK521" i="1"/>
  <c r="CJ521" i="1"/>
  <c r="CI521" i="1"/>
  <c r="CH521" i="1"/>
  <c r="CG521" i="1"/>
  <c r="CF521" i="1"/>
  <c r="BR521" i="1"/>
  <c r="BQ521" i="1"/>
  <c r="BP521" i="1"/>
  <c r="BO521" i="1"/>
  <c r="BN521" i="1"/>
  <c r="BL521" i="1"/>
  <c r="BK521" i="1"/>
  <c r="BJ521" i="1"/>
  <c r="BI521" i="1"/>
  <c r="BH521" i="1"/>
  <c r="BG521" i="1"/>
  <c r="BF521" i="1"/>
  <c r="BE521" i="1"/>
  <c r="BD521" i="1"/>
  <c r="BA521" i="1"/>
  <c r="AZ521" i="1"/>
  <c r="AW521" i="1"/>
  <c r="AV521" i="1"/>
  <c r="AS521" i="1"/>
  <c r="AR521" i="1"/>
  <c r="AQ521" i="1"/>
  <c r="AP521" i="1"/>
  <c r="AO521" i="1"/>
  <c r="AN521" i="1"/>
  <c r="AL521" i="1"/>
  <c r="AK521" i="1"/>
  <c r="AJ521" i="1"/>
  <c r="AI521" i="1"/>
  <c r="AH521" i="1"/>
  <c r="AG521" i="1"/>
  <c r="AF521" i="1"/>
  <c r="AE521" i="1"/>
  <c r="DE520" i="1"/>
  <c r="DD520" i="1"/>
  <c r="DC520" i="1"/>
  <c r="DB520" i="1"/>
  <c r="DA520" i="1"/>
  <c r="CZ520" i="1"/>
  <c r="CY520" i="1"/>
  <c r="CX520" i="1"/>
  <c r="CW520" i="1"/>
  <c r="CV520" i="1"/>
  <c r="CU520" i="1"/>
  <c r="CT520" i="1"/>
  <c r="CS520" i="1"/>
  <c r="CR520" i="1"/>
  <c r="CQ520" i="1"/>
  <c r="CP520" i="1"/>
  <c r="CO520" i="1"/>
  <c r="CN520" i="1"/>
  <c r="CM520" i="1"/>
  <c r="CL520" i="1"/>
  <c r="CK520" i="1"/>
  <c r="CJ520" i="1"/>
  <c r="CI520" i="1"/>
  <c r="CH520" i="1"/>
  <c r="CG520" i="1"/>
  <c r="CF520" i="1"/>
  <c r="CD520" i="1"/>
  <c r="CC520" i="1"/>
  <c r="BY520" i="1"/>
  <c r="BV520" i="1"/>
  <c r="BU520" i="1"/>
  <c r="BR520" i="1"/>
  <c r="BQ520" i="1"/>
  <c r="BP520" i="1"/>
  <c r="BO520" i="1"/>
  <c r="BN520" i="1"/>
  <c r="BM520" i="1"/>
  <c r="BL520" i="1"/>
  <c r="BK520" i="1"/>
  <c r="BJ520" i="1"/>
  <c r="BI520" i="1"/>
  <c r="BH520" i="1"/>
  <c r="BG520" i="1"/>
  <c r="BF520" i="1"/>
  <c r="BE520" i="1"/>
  <c r="BB520" i="1"/>
  <c r="BA520" i="1"/>
  <c r="AX520" i="1"/>
  <c r="AW520" i="1"/>
  <c r="AT520" i="1"/>
  <c r="AS520" i="1"/>
  <c r="AR520" i="1"/>
  <c r="AQ520" i="1"/>
  <c r="AP520" i="1"/>
  <c r="AO520" i="1"/>
  <c r="AN520" i="1"/>
  <c r="AM520" i="1"/>
  <c r="AL520" i="1"/>
  <c r="AK520" i="1"/>
  <c r="AI520" i="1"/>
  <c r="AH520" i="1"/>
  <c r="AG520" i="1"/>
  <c r="AF520" i="1"/>
  <c r="AE520" i="1"/>
  <c r="O521" i="1" s="1"/>
  <c r="BM521" i="1" s="1"/>
  <c r="AD520" i="1"/>
  <c r="O520" i="1"/>
  <c r="AJ520" i="1" s="1"/>
  <c r="F520" i="1"/>
  <c r="B520" i="1"/>
  <c r="BD522" i="1" s="1"/>
  <c r="DE519" i="1"/>
  <c r="DD519" i="1"/>
  <c r="DC519" i="1"/>
  <c r="DB519" i="1"/>
  <c r="DA519" i="1"/>
  <c r="CZ519" i="1"/>
  <c r="CY519" i="1"/>
  <c r="CX519" i="1"/>
  <c r="CW519" i="1"/>
  <c r="CV519" i="1"/>
  <c r="CU519" i="1"/>
  <c r="CT519" i="1"/>
  <c r="CS519" i="1"/>
  <c r="CR519" i="1"/>
  <c r="CQ519" i="1"/>
  <c r="CP519" i="1"/>
  <c r="CO519" i="1"/>
  <c r="CN519" i="1"/>
  <c r="CM519" i="1"/>
  <c r="CL519" i="1"/>
  <c r="CK519" i="1"/>
  <c r="CJ519" i="1"/>
  <c r="CI519" i="1"/>
  <c r="CH519" i="1"/>
  <c r="CG519" i="1"/>
  <c r="CF519" i="1"/>
  <c r="BR519" i="1"/>
  <c r="BQ519" i="1"/>
  <c r="BP519" i="1"/>
  <c r="BO519" i="1"/>
  <c r="BN519" i="1"/>
  <c r="BM519" i="1"/>
  <c r="BL519" i="1"/>
  <c r="BK519" i="1"/>
  <c r="BJ519" i="1"/>
  <c r="BI519" i="1"/>
  <c r="BH519" i="1"/>
  <c r="BG519" i="1"/>
  <c r="BF519" i="1"/>
  <c r="BE519" i="1"/>
  <c r="BC519" i="1"/>
  <c r="BB519" i="1"/>
  <c r="BA519" i="1"/>
  <c r="AY519" i="1"/>
  <c r="AX519" i="1"/>
  <c r="AW519" i="1"/>
  <c r="AU519" i="1"/>
  <c r="AT519" i="1"/>
  <c r="AS519" i="1"/>
  <c r="AR519" i="1"/>
  <c r="AQ519" i="1"/>
  <c r="AP519" i="1"/>
  <c r="AO519" i="1"/>
  <c r="AN519" i="1"/>
  <c r="AM519" i="1"/>
  <c r="AL519" i="1"/>
  <c r="AK519" i="1"/>
  <c r="AJ519" i="1"/>
  <c r="AI519" i="1"/>
  <c r="AH519" i="1"/>
  <c r="AG519" i="1"/>
  <c r="AF519" i="1"/>
  <c r="AE519" i="1"/>
  <c r="AD519" i="1"/>
  <c r="R519" i="1"/>
  <c r="Q519" i="1"/>
  <c r="O519" i="1"/>
  <c r="P519" i="1" s="1"/>
  <c r="DE518" i="1"/>
  <c r="DD518" i="1"/>
  <c r="DC518" i="1"/>
  <c r="DB518" i="1"/>
  <c r="DA518" i="1"/>
  <c r="CZ518" i="1"/>
  <c r="CY518" i="1"/>
  <c r="CX518" i="1"/>
  <c r="CW518" i="1"/>
  <c r="CV518" i="1"/>
  <c r="CU518" i="1"/>
  <c r="CT518" i="1"/>
  <c r="CS518" i="1"/>
  <c r="CR518" i="1"/>
  <c r="CQ518" i="1"/>
  <c r="CP518" i="1"/>
  <c r="CO518" i="1"/>
  <c r="CN518" i="1"/>
  <c r="CM518" i="1"/>
  <c r="CL518" i="1"/>
  <c r="CK518" i="1"/>
  <c r="CJ518" i="1"/>
  <c r="CI518" i="1"/>
  <c r="CH518" i="1"/>
  <c r="CG518" i="1"/>
  <c r="CF518" i="1"/>
  <c r="BR518" i="1"/>
  <c r="BQ518" i="1"/>
  <c r="BP518" i="1"/>
  <c r="BO518" i="1"/>
  <c r="BN518" i="1"/>
  <c r="BM518" i="1"/>
  <c r="BL518" i="1"/>
  <c r="BK518" i="1"/>
  <c r="BJ518" i="1"/>
  <c r="BI518" i="1"/>
  <c r="BH518" i="1"/>
  <c r="BF518" i="1"/>
  <c r="BE518" i="1"/>
  <c r="BC518" i="1"/>
  <c r="BB518" i="1"/>
  <c r="BA518" i="1"/>
  <c r="AY518" i="1"/>
  <c r="AX518" i="1"/>
  <c r="AW518" i="1"/>
  <c r="AU518" i="1"/>
  <c r="AT518" i="1"/>
  <c r="AS518" i="1"/>
  <c r="AR518" i="1"/>
  <c r="AQ518" i="1"/>
  <c r="AP518" i="1"/>
  <c r="AO518" i="1"/>
  <c r="AN518" i="1"/>
  <c r="AM518" i="1"/>
  <c r="AL518" i="1"/>
  <c r="AK518" i="1"/>
  <c r="AJ518" i="1"/>
  <c r="AI518" i="1"/>
  <c r="AH518" i="1"/>
  <c r="AF518" i="1"/>
  <c r="AE518" i="1"/>
  <c r="O517" i="1" s="1"/>
  <c r="BJ517" i="1" s="1"/>
  <c r="AD518" i="1"/>
  <c r="O518" i="1"/>
  <c r="J518" i="1"/>
  <c r="DE517" i="1"/>
  <c r="DD517" i="1"/>
  <c r="DC517" i="1"/>
  <c r="DB517" i="1"/>
  <c r="DA517" i="1"/>
  <c r="CZ517" i="1"/>
  <c r="CY517" i="1"/>
  <c r="CX517" i="1"/>
  <c r="CW517" i="1"/>
  <c r="CV517" i="1"/>
  <c r="CU517" i="1"/>
  <c r="CT517" i="1"/>
  <c r="CS517" i="1"/>
  <c r="CR517" i="1"/>
  <c r="CQ517" i="1"/>
  <c r="CP517" i="1"/>
  <c r="CO517" i="1"/>
  <c r="CN517" i="1"/>
  <c r="CM517" i="1"/>
  <c r="CL517" i="1"/>
  <c r="CK517" i="1"/>
  <c r="CJ517" i="1"/>
  <c r="CI517" i="1"/>
  <c r="CH517" i="1"/>
  <c r="CG517" i="1"/>
  <c r="CF517" i="1"/>
  <c r="CD517" i="1"/>
  <c r="CC517" i="1"/>
  <c r="CB517" i="1"/>
  <c r="BZ517" i="1"/>
  <c r="BY517" i="1"/>
  <c r="BX517" i="1"/>
  <c r="BV517" i="1"/>
  <c r="BU517" i="1"/>
  <c r="BR517" i="1"/>
  <c r="BQ517" i="1"/>
  <c r="BP517" i="1"/>
  <c r="BO517" i="1"/>
  <c r="BN517" i="1"/>
  <c r="BM517" i="1"/>
  <c r="BL517" i="1"/>
  <c r="BK517" i="1"/>
  <c r="BI517" i="1"/>
  <c r="BH517" i="1"/>
  <c r="BG517" i="1"/>
  <c r="BF517" i="1"/>
  <c r="BE517" i="1"/>
  <c r="BD517" i="1"/>
  <c r="BB517" i="1"/>
  <c r="BA517" i="1"/>
  <c r="AZ517" i="1"/>
  <c r="AX517" i="1"/>
  <c r="AW517" i="1"/>
  <c r="AV517" i="1"/>
  <c r="AT517" i="1"/>
  <c r="AS517" i="1"/>
  <c r="AR517" i="1"/>
  <c r="AQ517" i="1"/>
  <c r="AP517" i="1"/>
  <c r="AO517" i="1"/>
  <c r="AN517" i="1"/>
  <c r="AM517" i="1"/>
  <c r="AL517" i="1"/>
  <c r="AK517" i="1"/>
  <c r="AJ517" i="1"/>
  <c r="AI517" i="1"/>
  <c r="AH517" i="1"/>
  <c r="AG517" i="1"/>
  <c r="AF517" i="1"/>
  <c r="AE517" i="1"/>
  <c r="AD517" i="1"/>
  <c r="F517" i="1"/>
  <c r="B517" i="1"/>
  <c r="BD519" i="1" s="1"/>
  <c r="DE516" i="1"/>
  <c r="DD516" i="1"/>
  <c r="DC516" i="1"/>
  <c r="DB516" i="1"/>
  <c r="DA516" i="1"/>
  <c r="CZ516" i="1"/>
  <c r="CY516" i="1"/>
  <c r="CX516" i="1"/>
  <c r="CW516" i="1"/>
  <c r="CV516" i="1"/>
  <c r="CU516" i="1"/>
  <c r="CT516" i="1"/>
  <c r="CS516" i="1"/>
  <c r="CR516" i="1"/>
  <c r="CQ516" i="1"/>
  <c r="CP516" i="1"/>
  <c r="CO516" i="1"/>
  <c r="CN516" i="1"/>
  <c r="CM516" i="1"/>
  <c r="CL516" i="1"/>
  <c r="CK516" i="1"/>
  <c r="CJ516" i="1"/>
  <c r="CI516" i="1"/>
  <c r="CH516" i="1"/>
  <c r="CG516" i="1"/>
  <c r="CF516" i="1"/>
  <c r="BR516" i="1"/>
  <c r="BQ516" i="1"/>
  <c r="BP516" i="1"/>
  <c r="BO516" i="1"/>
  <c r="BN516" i="1"/>
  <c r="BM516" i="1"/>
  <c r="BL516" i="1"/>
  <c r="BK516" i="1"/>
  <c r="BJ516" i="1"/>
  <c r="BI516" i="1"/>
  <c r="BH516" i="1"/>
  <c r="BG516" i="1"/>
  <c r="BF516" i="1"/>
  <c r="BE516" i="1"/>
  <c r="BD516" i="1"/>
  <c r="BA516" i="1"/>
  <c r="AZ516" i="1"/>
  <c r="AW516" i="1"/>
  <c r="AV516" i="1"/>
  <c r="AS516" i="1"/>
  <c r="AR516" i="1"/>
  <c r="AQ516" i="1"/>
  <c r="AP516" i="1"/>
  <c r="AO516" i="1"/>
  <c r="AN516" i="1"/>
  <c r="AM516" i="1"/>
  <c r="AL516" i="1"/>
  <c r="AK516" i="1"/>
  <c r="AJ516" i="1"/>
  <c r="AI516" i="1"/>
  <c r="AH516" i="1"/>
  <c r="AG516" i="1"/>
  <c r="AF516" i="1"/>
  <c r="AE516" i="1"/>
  <c r="R516" i="1"/>
  <c r="Q516" i="1"/>
  <c r="DE515" i="1"/>
  <c r="DD515" i="1"/>
  <c r="DC515" i="1"/>
  <c r="DB515" i="1"/>
  <c r="DA515" i="1"/>
  <c r="CZ515" i="1"/>
  <c r="CY515" i="1"/>
  <c r="CX515" i="1"/>
  <c r="CW515" i="1"/>
  <c r="CV515" i="1"/>
  <c r="CU515" i="1"/>
  <c r="CT515" i="1"/>
  <c r="CS515" i="1"/>
  <c r="CR515" i="1"/>
  <c r="CQ515" i="1"/>
  <c r="CP515" i="1"/>
  <c r="CO515" i="1"/>
  <c r="CN515" i="1"/>
  <c r="CM515" i="1"/>
  <c r="CL515" i="1"/>
  <c r="CK515" i="1"/>
  <c r="CJ515" i="1"/>
  <c r="CI515" i="1"/>
  <c r="CH515" i="1"/>
  <c r="CG515" i="1"/>
  <c r="CF515" i="1"/>
  <c r="BR515" i="1"/>
  <c r="BQ515" i="1"/>
  <c r="BP515" i="1"/>
  <c r="BO515" i="1"/>
  <c r="BN515" i="1"/>
  <c r="BL515" i="1"/>
  <c r="BK515" i="1"/>
  <c r="BJ515" i="1"/>
  <c r="BI515" i="1"/>
  <c r="BH515" i="1"/>
  <c r="BG515" i="1"/>
  <c r="BF515" i="1"/>
  <c r="BD515" i="1"/>
  <c r="BC515" i="1"/>
  <c r="AZ515" i="1"/>
  <c r="AY515" i="1"/>
  <c r="AV515" i="1"/>
  <c r="AU515" i="1"/>
  <c r="AR515" i="1"/>
  <c r="AQ515" i="1"/>
  <c r="AP515" i="1"/>
  <c r="AO515" i="1"/>
  <c r="AN515" i="1"/>
  <c r="AL515" i="1"/>
  <c r="AK515" i="1"/>
  <c r="AJ515" i="1"/>
  <c r="AI515" i="1"/>
  <c r="AH515" i="1"/>
  <c r="AG515" i="1"/>
  <c r="AF515" i="1"/>
  <c r="AE515" i="1"/>
  <c r="O514" i="1" s="1"/>
  <c r="P514" i="1" s="1"/>
  <c r="AJ514" i="1" s="1"/>
  <c r="J515" i="1"/>
  <c r="DE514" i="1"/>
  <c r="DD514" i="1"/>
  <c r="DC514" i="1"/>
  <c r="DB514" i="1"/>
  <c r="DA514" i="1"/>
  <c r="CZ514" i="1"/>
  <c r="CY514" i="1"/>
  <c r="CX514" i="1"/>
  <c r="CW514" i="1"/>
  <c r="CV514" i="1"/>
  <c r="CU514" i="1"/>
  <c r="CT514" i="1"/>
  <c r="CS514" i="1"/>
  <c r="CR514" i="1"/>
  <c r="CQ514" i="1"/>
  <c r="CP514" i="1"/>
  <c r="CO514" i="1"/>
  <c r="CN514" i="1"/>
  <c r="CM514" i="1"/>
  <c r="CL514" i="1"/>
  <c r="CK514" i="1"/>
  <c r="CJ514" i="1"/>
  <c r="CI514" i="1"/>
  <c r="CH514" i="1"/>
  <c r="CG514" i="1"/>
  <c r="CF514" i="1"/>
  <c r="CD514" i="1"/>
  <c r="CC514" i="1"/>
  <c r="BZ514" i="1"/>
  <c r="BY514" i="1"/>
  <c r="BV514" i="1"/>
  <c r="BU514" i="1"/>
  <c r="BR514" i="1"/>
  <c r="BQ514" i="1"/>
  <c r="BP514" i="1"/>
  <c r="BO514" i="1"/>
  <c r="BN514" i="1"/>
  <c r="BM514" i="1"/>
  <c r="BL514" i="1"/>
  <c r="BK514" i="1"/>
  <c r="BI514" i="1"/>
  <c r="BH514" i="1"/>
  <c r="BG514" i="1"/>
  <c r="BF514" i="1"/>
  <c r="BE514" i="1"/>
  <c r="BB514" i="1"/>
  <c r="BA514" i="1"/>
  <c r="AX514" i="1"/>
  <c r="AW514" i="1"/>
  <c r="AT514" i="1"/>
  <c r="AS514" i="1"/>
  <c r="AR514" i="1"/>
  <c r="AQ514" i="1"/>
  <c r="AP514" i="1"/>
  <c r="AO514" i="1"/>
  <c r="AN514" i="1"/>
  <c r="AM514" i="1"/>
  <c r="AL514" i="1"/>
  <c r="AK514" i="1"/>
  <c r="AI514" i="1"/>
  <c r="AH514" i="1"/>
  <c r="AG514" i="1"/>
  <c r="AF514" i="1"/>
  <c r="AE514" i="1"/>
  <c r="AD514" i="1"/>
  <c r="F514" i="1"/>
  <c r="B514" i="1"/>
  <c r="BC516" i="1" s="1"/>
  <c r="DJ513" i="1"/>
  <c r="DE513" i="1"/>
  <c r="DD513" i="1"/>
  <c r="DC513" i="1"/>
  <c r="DB513" i="1"/>
  <c r="DA513" i="1"/>
  <c r="CZ513" i="1"/>
  <c r="CY513" i="1"/>
  <c r="CX513" i="1"/>
  <c r="CW513" i="1"/>
  <c r="CV513" i="1"/>
  <c r="CU513" i="1"/>
  <c r="CT513" i="1"/>
  <c r="CS513" i="1"/>
  <c r="CR513" i="1"/>
  <c r="CQ513" i="1"/>
  <c r="CP513" i="1"/>
  <c r="CO513" i="1"/>
  <c r="CN513" i="1"/>
  <c r="CM513" i="1"/>
  <c r="CL513" i="1"/>
  <c r="CK513" i="1"/>
  <c r="CJ513" i="1"/>
  <c r="CI513" i="1"/>
  <c r="CH513" i="1"/>
  <c r="CG513" i="1"/>
  <c r="CF513" i="1"/>
  <c r="BR513" i="1"/>
  <c r="BQ513" i="1"/>
  <c r="BP513" i="1"/>
  <c r="BO513" i="1"/>
  <c r="BN513" i="1"/>
  <c r="BM513" i="1"/>
  <c r="BL513" i="1"/>
  <c r="BK513" i="1"/>
  <c r="BJ513" i="1"/>
  <c r="BI513" i="1"/>
  <c r="BH513" i="1"/>
  <c r="BG513" i="1"/>
  <c r="BF513" i="1"/>
  <c r="BE513" i="1"/>
  <c r="BC513" i="1"/>
  <c r="BB513" i="1"/>
  <c r="BA513" i="1"/>
  <c r="AY513" i="1"/>
  <c r="AX513" i="1"/>
  <c r="AW513" i="1"/>
  <c r="AU513" i="1"/>
  <c r="AT513" i="1"/>
  <c r="AS513" i="1"/>
  <c r="AR513" i="1"/>
  <c r="AQ513" i="1"/>
  <c r="AP513" i="1"/>
  <c r="AO513" i="1"/>
  <c r="AN513" i="1"/>
  <c r="AM513" i="1"/>
  <c r="AL513" i="1"/>
  <c r="AK513" i="1"/>
  <c r="AJ513" i="1"/>
  <c r="AI513" i="1"/>
  <c r="AH513" i="1"/>
  <c r="AG513" i="1"/>
  <c r="AF513" i="1"/>
  <c r="AE513" i="1"/>
  <c r="AD513" i="1"/>
  <c r="R513" i="1"/>
  <c r="Q513" i="1"/>
  <c r="O513" i="1"/>
  <c r="P513" i="1" s="1"/>
  <c r="DE512" i="1"/>
  <c r="DD512" i="1"/>
  <c r="DC512" i="1"/>
  <c r="DB512" i="1"/>
  <c r="DA512" i="1"/>
  <c r="CZ512" i="1"/>
  <c r="CY512" i="1"/>
  <c r="CX512" i="1"/>
  <c r="CW512" i="1"/>
  <c r="CV512" i="1"/>
  <c r="CU512" i="1"/>
  <c r="CT512" i="1"/>
  <c r="CS512" i="1"/>
  <c r="CR512" i="1"/>
  <c r="CQ512" i="1"/>
  <c r="CP512" i="1"/>
  <c r="CO512" i="1"/>
  <c r="CN512" i="1"/>
  <c r="CM512" i="1"/>
  <c r="CL512" i="1"/>
  <c r="CK512" i="1"/>
  <c r="CJ512" i="1"/>
  <c r="CI512" i="1"/>
  <c r="CH512" i="1"/>
  <c r="CG512" i="1"/>
  <c r="CF512" i="1"/>
  <c r="BR512" i="1"/>
  <c r="BP512" i="1"/>
  <c r="BO512" i="1"/>
  <c r="BN512" i="1"/>
  <c r="BM512" i="1"/>
  <c r="BL512" i="1"/>
  <c r="BK512" i="1"/>
  <c r="BJ512" i="1"/>
  <c r="BI512" i="1"/>
  <c r="BH512" i="1"/>
  <c r="BG512" i="1"/>
  <c r="BF512" i="1"/>
  <c r="BE512" i="1"/>
  <c r="BC512" i="1"/>
  <c r="BB512" i="1"/>
  <c r="BA512" i="1"/>
  <c r="AY512" i="1"/>
  <c r="AX512" i="1"/>
  <c r="AW512" i="1"/>
  <c r="AU512" i="1"/>
  <c r="AT512" i="1"/>
  <c r="AS512" i="1"/>
  <c r="AR512" i="1"/>
  <c r="AP512" i="1"/>
  <c r="AO512" i="1"/>
  <c r="AN512" i="1"/>
  <c r="AM512" i="1"/>
  <c r="AL512" i="1"/>
  <c r="AK512" i="1"/>
  <c r="AJ512" i="1"/>
  <c r="AI512" i="1"/>
  <c r="AH512" i="1"/>
  <c r="AG512" i="1"/>
  <c r="AF512" i="1"/>
  <c r="AE512" i="1"/>
  <c r="O511" i="1" s="1"/>
  <c r="BJ511" i="1" s="1"/>
  <c r="AD512" i="1"/>
  <c r="O512" i="1"/>
  <c r="J512" i="1"/>
  <c r="DE511" i="1"/>
  <c r="DD511" i="1"/>
  <c r="DC511" i="1"/>
  <c r="DB511" i="1"/>
  <c r="DA511" i="1"/>
  <c r="CZ511" i="1"/>
  <c r="CY511" i="1"/>
  <c r="CX511" i="1"/>
  <c r="CW511" i="1"/>
  <c r="CV511" i="1"/>
  <c r="CU511" i="1"/>
  <c r="CT511" i="1"/>
  <c r="CS511" i="1"/>
  <c r="CR511" i="1"/>
  <c r="CQ511" i="1"/>
  <c r="CP511" i="1"/>
  <c r="CO511" i="1"/>
  <c r="CN511" i="1"/>
  <c r="CM511" i="1"/>
  <c r="CL511" i="1"/>
  <c r="CK511" i="1"/>
  <c r="CJ511" i="1"/>
  <c r="CI511" i="1"/>
  <c r="CH511" i="1"/>
  <c r="CG511" i="1"/>
  <c r="CF511" i="1"/>
  <c r="CC511" i="1"/>
  <c r="CB511" i="1"/>
  <c r="BZ511" i="1"/>
  <c r="BY511" i="1"/>
  <c r="BX511" i="1"/>
  <c r="BV511" i="1"/>
  <c r="BU511" i="1"/>
  <c r="BT511" i="1"/>
  <c r="BR511" i="1"/>
  <c r="BQ511" i="1"/>
  <c r="BP511" i="1"/>
  <c r="BO511" i="1"/>
  <c r="BN511" i="1"/>
  <c r="BM511" i="1"/>
  <c r="BL511" i="1"/>
  <c r="BK511" i="1"/>
  <c r="BI511" i="1"/>
  <c r="BH511" i="1"/>
  <c r="BG511" i="1"/>
  <c r="BF511" i="1"/>
  <c r="BE511" i="1"/>
  <c r="BD511" i="1"/>
  <c r="BB511" i="1"/>
  <c r="BA511" i="1"/>
  <c r="AZ511" i="1"/>
  <c r="AX511" i="1"/>
  <c r="AW511" i="1"/>
  <c r="AV511" i="1"/>
  <c r="AT511" i="1"/>
  <c r="AS511" i="1"/>
  <c r="AR511" i="1"/>
  <c r="AQ511" i="1"/>
  <c r="AP511" i="1"/>
  <c r="AO511" i="1"/>
  <c r="AN511" i="1"/>
  <c r="AM511" i="1"/>
  <c r="AL511" i="1"/>
  <c r="AK511" i="1"/>
  <c r="AJ511" i="1"/>
  <c r="AI511" i="1"/>
  <c r="AH511" i="1"/>
  <c r="AG511" i="1"/>
  <c r="AF511" i="1"/>
  <c r="AE511" i="1"/>
  <c r="AD511" i="1"/>
  <c r="P511" i="1"/>
  <c r="F511" i="1"/>
  <c r="D511" i="1"/>
  <c r="B511" i="1"/>
  <c r="BD513" i="1" s="1"/>
  <c r="DJ510" i="1"/>
  <c r="DE510" i="1"/>
  <c r="DD510" i="1"/>
  <c r="DC510" i="1"/>
  <c r="DB510" i="1"/>
  <c r="DA510" i="1"/>
  <c r="CZ510" i="1"/>
  <c r="CY510" i="1"/>
  <c r="CX510" i="1"/>
  <c r="CW510" i="1"/>
  <c r="CV510" i="1"/>
  <c r="CU510" i="1"/>
  <c r="CT510" i="1"/>
  <c r="CS510" i="1"/>
  <c r="CR510" i="1"/>
  <c r="CQ510" i="1"/>
  <c r="CP510" i="1"/>
  <c r="CO510" i="1"/>
  <c r="CN510" i="1"/>
  <c r="CM510" i="1"/>
  <c r="CL510" i="1"/>
  <c r="CK510" i="1"/>
  <c r="CJ510" i="1"/>
  <c r="CI510" i="1"/>
  <c r="CH510" i="1"/>
  <c r="CG510" i="1"/>
  <c r="CF510" i="1"/>
  <c r="BR510" i="1"/>
  <c r="BQ510" i="1"/>
  <c r="BP510" i="1"/>
  <c r="BO510" i="1"/>
  <c r="BN510" i="1"/>
  <c r="BM510" i="1"/>
  <c r="BL510" i="1"/>
  <c r="BK510" i="1"/>
  <c r="BJ510" i="1"/>
  <c r="BI510" i="1"/>
  <c r="BH510" i="1"/>
  <c r="BG510" i="1"/>
  <c r="BF510" i="1"/>
  <c r="BE510" i="1"/>
  <c r="BD510" i="1"/>
  <c r="BB510" i="1"/>
  <c r="BA510" i="1"/>
  <c r="AZ510" i="1"/>
  <c r="AX510" i="1"/>
  <c r="AW510" i="1"/>
  <c r="AV510" i="1"/>
  <c r="AT510" i="1"/>
  <c r="AS510" i="1"/>
  <c r="AR510" i="1"/>
  <c r="AQ510" i="1"/>
  <c r="AP510" i="1"/>
  <c r="AO510" i="1"/>
  <c r="AN510" i="1"/>
  <c r="AM510" i="1"/>
  <c r="AL510" i="1"/>
  <c r="AK510" i="1"/>
  <c r="AJ510" i="1"/>
  <c r="AI510" i="1"/>
  <c r="AH510" i="1"/>
  <c r="AG510" i="1"/>
  <c r="AF510" i="1"/>
  <c r="AE510" i="1"/>
  <c r="R510" i="1"/>
  <c r="Q510" i="1"/>
  <c r="DJ509" i="1"/>
  <c r="DE509" i="1"/>
  <c r="DD509" i="1"/>
  <c r="DC509" i="1"/>
  <c r="DB509" i="1"/>
  <c r="DA509" i="1"/>
  <c r="CZ509" i="1"/>
  <c r="CY509" i="1"/>
  <c r="CX509" i="1"/>
  <c r="CW509" i="1"/>
  <c r="CV509" i="1"/>
  <c r="CU509" i="1"/>
  <c r="CT509" i="1"/>
  <c r="CS509" i="1"/>
  <c r="CR509" i="1"/>
  <c r="CQ509" i="1"/>
  <c r="CP509" i="1"/>
  <c r="CO509" i="1"/>
  <c r="CN509" i="1"/>
  <c r="CM509" i="1"/>
  <c r="CL509" i="1"/>
  <c r="CK509" i="1"/>
  <c r="CJ509" i="1"/>
  <c r="CI509" i="1"/>
  <c r="CH509" i="1"/>
  <c r="CG509" i="1"/>
  <c r="CF509" i="1"/>
  <c r="BR509" i="1"/>
  <c r="BP509" i="1"/>
  <c r="BO509" i="1"/>
  <c r="BN509" i="1"/>
  <c r="BM509" i="1"/>
  <c r="BL509" i="1"/>
  <c r="BK509" i="1"/>
  <c r="BJ509" i="1"/>
  <c r="BI509" i="1"/>
  <c r="BH509" i="1"/>
  <c r="BG509" i="1"/>
  <c r="BF509" i="1"/>
  <c r="BE509" i="1"/>
  <c r="BD509" i="1"/>
  <c r="BC509" i="1"/>
  <c r="BA509" i="1"/>
  <c r="AZ509" i="1"/>
  <c r="AY509" i="1"/>
  <c r="AW509" i="1"/>
  <c r="AV509" i="1"/>
  <c r="AU509" i="1"/>
  <c r="AS509" i="1"/>
  <c r="AR509" i="1"/>
  <c r="AP509" i="1"/>
  <c r="AO509" i="1"/>
  <c r="AN509" i="1"/>
  <c r="AM509" i="1"/>
  <c r="AL509" i="1"/>
  <c r="AK509" i="1"/>
  <c r="AJ509" i="1"/>
  <c r="AI509" i="1"/>
  <c r="AH509" i="1"/>
  <c r="AG509" i="1"/>
  <c r="AF509" i="1"/>
  <c r="AE509" i="1"/>
  <c r="J509" i="1"/>
  <c r="DK508" i="1"/>
  <c r="DJ508" i="1"/>
  <c r="DE508" i="1"/>
  <c r="DD508" i="1"/>
  <c r="DC508" i="1"/>
  <c r="DB508" i="1"/>
  <c r="DA508" i="1"/>
  <c r="CZ508" i="1"/>
  <c r="CY508" i="1"/>
  <c r="CX508" i="1"/>
  <c r="CW508" i="1"/>
  <c r="CV508" i="1"/>
  <c r="CU508" i="1"/>
  <c r="CT508" i="1"/>
  <c r="CS508" i="1"/>
  <c r="CR508" i="1"/>
  <c r="CQ508" i="1"/>
  <c r="CP508" i="1"/>
  <c r="CO508" i="1"/>
  <c r="CN508" i="1"/>
  <c r="CM508" i="1"/>
  <c r="CL508" i="1"/>
  <c r="CK508" i="1"/>
  <c r="CJ508" i="1"/>
  <c r="CI508" i="1"/>
  <c r="CH508" i="1"/>
  <c r="CG508" i="1"/>
  <c r="CF508" i="1"/>
  <c r="CE508" i="1"/>
  <c r="CC508" i="1"/>
  <c r="CA508" i="1"/>
  <c r="BZ508" i="1"/>
  <c r="BY508" i="1"/>
  <c r="BW508" i="1"/>
  <c r="BV508" i="1"/>
  <c r="BU508" i="1"/>
  <c r="BS508" i="1"/>
  <c r="BR508" i="1"/>
  <c r="BQ508" i="1"/>
  <c r="BP508" i="1"/>
  <c r="BO508" i="1"/>
  <c r="BN508" i="1"/>
  <c r="BM508" i="1"/>
  <c r="BL508" i="1"/>
  <c r="BK508" i="1"/>
  <c r="BI508" i="1"/>
  <c r="BH508" i="1"/>
  <c r="BG508" i="1"/>
  <c r="BF508" i="1"/>
  <c r="BE508" i="1"/>
  <c r="BC508" i="1"/>
  <c r="BB508" i="1"/>
  <c r="BA508" i="1"/>
  <c r="AY508" i="1"/>
  <c r="AX508" i="1"/>
  <c r="AW508" i="1"/>
  <c r="AU508" i="1"/>
  <c r="AT508" i="1"/>
  <c r="AS508" i="1"/>
  <c r="AR508" i="1"/>
  <c r="AQ508" i="1"/>
  <c r="AP508" i="1"/>
  <c r="AO508" i="1"/>
  <c r="AN508" i="1"/>
  <c r="AM508" i="1"/>
  <c r="AL508" i="1"/>
  <c r="AK508" i="1"/>
  <c r="AI508" i="1"/>
  <c r="AH508" i="1"/>
  <c r="AG508" i="1"/>
  <c r="AF508" i="1"/>
  <c r="AE508" i="1"/>
  <c r="AD508" i="1"/>
  <c r="F508" i="1"/>
  <c r="B508" i="1"/>
  <c r="BC510" i="1" s="1"/>
  <c r="DE507" i="1"/>
  <c r="DD507" i="1"/>
  <c r="DC507" i="1"/>
  <c r="DB507" i="1"/>
  <c r="DA507" i="1"/>
  <c r="CZ507" i="1"/>
  <c r="CY507" i="1"/>
  <c r="CX507" i="1"/>
  <c r="CW507" i="1"/>
  <c r="CV507" i="1"/>
  <c r="CU507" i="1"/>
  <c r="CT507" i="1"/>
  <c r="CS507" i="1"/>
  <c r="CR507" i="1"/>
  <c r="CQ507" i="1"/>
  <c r="CP507" i="1"/>
  <c r="CO507" i="1"/>
  <c r="CN507" i="1"/>
  <c r="CM507" i="1"/>
  <c r="CL507" i="1"/>
  <c r="CK507" i="1"/>
  <c r="CJ507" i="1"/>
  <c r="CI507" i="1"/>
  <c r="CH507" i="1"/>
  <c r="CG507" i="1"/>
  <c r="CF507" i="1"/>
  <c r="BR507" i="1"/>
  <c r="BQ507" i="1"/>
  <c r="BP507" i="1"/>
  <c r="BO507" i="1"/>
  <c r="BN507" i="1"/>
  <c r="BM507" i="1"/>
  <c r="BL507" i="1"/>
  <c r="BK507" i="1"/>
  <c r="BJ507" i="1"/>
  <c r="BI507" i="1"/>
  <c r="BH507" i="1"/>
  <c r="BG507" i="1"/>
  <c r="BF507" i="1"/>
  <c r="BA507" i="1"/>
  <c r="AZ507" i="1"/>
  <c r="AS507" i="1"/>
  <c r="AR507" i="1"/>
  <c r="AQ507" i="1"/>
  <c r="AP507" i="1"/>
  <c r="AO507" i="1"/>
  <c r="AN507" i="1"/>
  <c r="AM507" i="1"/>
  <c r="AL507" i="1"/>
  <c r="AK507" i="1"/>
  <c r="AJ507" i="1"/>
  <c r="AI507" i="1"/>
  <c r="AH507" i="1"/>
  <c r="AG507" i="1"/>
  <c r="AF507" i="1"/>
  <c r="AE507" i="1"/>
  <c r="AD507" i="1"/>
  <c r="R507" i="1"/>
  <c r="Q507" i="1"/>
  <c r="DE506" i="1"/>
  <c r="DD506" i="1"/>
  <c r="DC506" i="1"/>
  <c r="DB506" i="1"/>
  <c r="DA506" i="1"/>
  <c r="CZ506" i="1"/>
  <c r="CY506" i="1"/>
  <c r="CX506" i="1"/>
  <c r="CW506" i="1"/>
  <c r="CV506" i="1"/>
  <c r="CU506" i="1"/>
  <c r="CT506" i="1"/>
  <c r="CS506" i="1"/>
  <c r="CR506" i="1"/>
  <c r="CQ506" i="1"/>
  <c r="CP506" i="1"/>
  <c r="CO506" i="1"/>
  <c r="CN506" i="1"/>
  <c r="CM506" i="1"/>
  <c r="CL506" i="1"/>
  <c r="CK506" i="1"/>
  <c r="CJ506" i="1"/>
  <c r="CI506" i="1"/>
  <c r="CH506" i="1"/>
  <c r="CG506" i="1"/>
  <c r="CF506" i="1"/>
  <c r="BR506" i="1"/>
  <c r="BQ506" i="1"/>
  <c r="BP506" i="1"/>
  <c r="BO506" i="1"/>
  <c r="BN506" i="1"/>
  <c r="BL506" i="1"/>
  <c r="BK506" i="1"/>
  <c r="BJ506" i="1"/>
  <c r="BI506" i="1"/>
  <c r="BH506" i="1"/>
  <c r="BG506" i="1"/>
  <c r="BF506" i="1"/>
  <c r="BE506" i="1"/>
  <c r="BD506" i="1"/>
  <c r="AW506" i="1"/>
  <c r="AV506" i="1"/>
  <c r="AR506" i="1"/>
  <c r="AQ506" i="1"/>
  <c r="AP506" i="1"/>
  <c r="AO506" i="1"/>
  <c r="AN506" i="1"/>
  <c r="AL506" i="1"/>
  <c r="AK506" i="1"/>
  <c r="AJ506" i="1"/>
  <c r="AI506" i="1"/>
  <c r="AH506" i="1"/>
  <c r="AG506" i="1"/>
  <c r="AF506" i="1"/>
  <c r="AE506" i="1"/>
  <c r="AD506" i="1"/>
  <c r="J506" i="1"/>
  <c r="DE505" i="1"/>
  <c r="DD505" i="1"/>
  <c r="DC505" i="1"/>
  <c r="DB505" i="1"/>
  <c r="DA505" i="1"/>
  <c r="CZ505" i="1"/>
  <c r="CY505" i="1"/>
  <c r="CX505" i="1"/>
  <c r="CW505" i="1"/>
  <c r="CV505" i="1"/>
  <c r="CU505" i="1"/>
  <c r="CT505" i="1"/>
  <c r="CS505" i="1"/>
  <c r="CR505" i="1"/>
  <c r="CQ505" i="1"/>
  <c r="CP505" i="1"/>
  <c r="CO505" i="1"/>
  <c r="CN505" i="1"/>
  <c r="CM505" i="1"/>
  <c r="CL505" i="1"/>
  <c r="CK505" i="1"/>
  <c r="CJ505" i="1"/>
  <c r="CI505" i="1"/>
  <c r="CH505" i="1"/>
  <c r="CG505" i="1"/>
  <c r="CF505" i="1"/>
  <c r="CE505" i="1"/>
  <c r="BX505" i="1"/>
  <c r="BR505" i="1"/>
  <c r="BQ505" i="1"/>
  <c r="BP505" i="1"/>
  <c r="BO505" i="1"/>
  <c r="BN505" i="1"/>
  <c r="BM505" i="1"/>
  <c r="BL505" i="1"/>
  <c r="BK505" i="1"/>
  <c r="BI505" i="1"/>
  <c r="BH505" i="1"/>
  <c r="BG505" i="1"/>
  <c r="BF505" i="1"/>
  <c r="BD505" i="1"/>
  <c r="BC505" i="1"/>
  <c r="AV505" i="1"/>
  <c r="AU505" i="1"/>
  <c r="AR505" i="1"/>
  <c r="AQ505" i="1"/>
  <c r="AP505" i="1"/>
  <c r="AO505" i="1"/>
  <c r="AN505" i="1"/>
  <c r="AM505" i="1"/>
  <c r="AL505" i="1"/>
  <c r="AK505" i="1"/>
  <c r="AI505" i="1"/>
  <c r="AH505" i="1"/>
  <c r="AG505" i="1"/>
  <c r="AF505" i="1"/>
  <c r="AE505" i="1"/>
  <c r="AD505" i="1"/>
  <c r="O505" i="1"/>
  <c r="BJ505" i="1" s="1"/>
  <c r="F505" i="1"/>
  <c r="B505" i="1"/>
  <c r="DE504" i="1"/>
  <c r="DD504" i="1"/>
  <c r="DC504" i="1"/>
  <c r="DB504" i="1"/>
  <c r="DA504" i="1"/>
  <c r="CZ504" i="1"/>
  <c r="CY504" i="1"/>
  <c r="CX504" i="1"/>
  <c r="CW504" i="1"/>
  <c r="CV504" i="1"/>
  <c r="CU504" i="1"/>
  <c r="CT504" i="1"/>
  <c r="CS504" i="1"/>
  <c r="CR504" i="1"/>
  <c r="CQ504" i="1"/>
  <c r="CP504" i="1"/>
  <c r="CO504" i="1"/>
  <c r="CN504" i="1"/>
  <c r="CM504" i="1"/>
  <c r="CL504" i="1"/>
  <c r="CK504" i="1"/>
  <c r="CJ504" i="1"/>
  <c r="CI504" i="1"/>
  <c r="CH504" i="1"/>
  <c r="CG504" i="1"/>
  <c r="CF504" i="1"/>
  <c r="BR504" i="1"/>
  <c r="BQ504" i="1"/>
  <c r="BP504" i="1"/>
  <c r="BO504" i="1"/>
  <c r="BN504" i="1"/>
  <c r="BM504" i="1"/>
  <c r="BL504" i="1"/>
  <c r="BK504" i="1"/>
  <c r="BJ504" i="1"/>
  <c r="BI504" i="1"/>
  <c r="BH504" i="1"/>
  <c r="BG504" i="1"/>
  <c r="BF504" i="1"/>
  <c r="BE504" i="1"/>
  <c r="BD504" i="1"/>
  <c r="BC504" i="1"/>
  <c r="BA504" i="1"/>
  <c r="AZ504" i="1"/>
  <c r="AY504" i="1"/>
  <c r="AW504" i="1"/>
  <c r="AV504" i="1"/>
  <c r="AU504" i="1"/>
  <c r="AS504" i="1"/>
  <c r="AR504" i="1"/>
  <c r="AQ504" i="1"/>
  <c r="AP504" i="1"/>
  <c r="AO504" i="1"/>
  <c r="AN504" i="1"/>
  <c r="AM504" i="1"/>
  <c r="AL504" i="1"/>
  <c r="AK504" i="1"/>
  <c r="AJ504" i="1"/>
  <c r="AI504" i="1"/>
  <c r="AH504" i="1"/>
  <c r="AG504" i="1"/>
  <c r="AF504" i="1"/>
  <c r="AE504" i="1"/>
  <c r="R504" i="1"/>
  <c r="Q504" i="1"/>
  <c r="O504" i="1"/>
  <c r="P504" i="1" s="1"/>
  <c r="DE503" i="1"/>
  <c r="DD503" i="1"/>
  <c r="DC503" i="1"/>
  <c r="DB503" i="1"/>
  <c r="DA503" i="1"/>
  <c r="CZ503" i="1"/>
  <c r="CY503" i="1"/>
  <c r="CX503" i="1"/>
  <c r="CW503" i="1"/>
  <c r="CV503" i="1"/>
  <c r="CU503" i="1"/>
  <c r="CT503" i="1"/>
  <c r="CS503" i="1"/>
  <c r="CR503" i="1"/>
  <c r="CQ503" i="1"/>
  <c r="CP503" i="1"/>
  <c r="CO503" i="1"/>
  <c r="CN503" i="1"/>
  <c r="CM503" i="1"/>
  <c r="CL503" i="1"/>
  <c r="CK503" i="1"/>
  <c r="CJ503" i="1"/>
  <c r="CI503" i="1"/>
  <c r="CH503" i="1"/>
  <c r="CG503" i="1"/>
  <c r="CF503" i="1"/>
  <c r="BR503" i="1"/>
  <c r="BQ503" i="1"/>
  <c r="BP503" i="1"/>
  <c r="BO503" i="1"/>
  <c r="BN503" i="1"/>
  <c r="BM503" i="1"/>
  <c r="BL503" i="1"/>
  <c r="BK503" i="1"/>
  <c r="BJ503" i="1"/>
  <c r="BI503" i="1"/>
  <c r="BH503" i="1"/>
  <c r="BF503" i="1"/>
  <c r="BD503" i="1"/>
  <c r="BC503" i="1"/>
  <c r="BB503" i="1"/>
  <c r="AZ503" i="1"/>
  <c r="AY503" i="1"/>
  <c r="AX503" i="1"/>
  <c r="AV503" i="1"/>
  <c r="AU503" i="1"/>
  <c r="AT503" i="1"/>
  <c r="AR503" i="1"/>
  <c r="AQ503" i="1"/>
  <c r="AP503" i="1"/>
  <c r="AO503" i="1"/>
  <c r="AN503" i="1"/>
  <c r="AM503" i="1"/>
  <c r="AL503" i="1"/>
  <c r="AK503" i="1"/>
  <c r="AJ503" i="1"/>
  <c r="AI503" i="1"/>
  <c r="AH503" i="1"/>
  <c r="AF503" i="1"/>
  <c r="AE503" i="1"/>
  <c r="O502" i="1" s="1"/>
  <c r="AH502" i="1" s="1"/>
  <c r="O503" i="1"/>
  <c r="J503" i="1"/>
  <c r="DE502" i="1"/>
  <c r="DD502" i="1"/>
  <c r="DC502" i="1"/>
  <c r="DB502" i="1"/>
  <c r="DA502" i="1"/>
  <c r="CZ502" i="1"/>
  <c r="CY502" i="1"/>
  <c r="CX502" i="1"/>
  <c r="CW502" i="1"/>
  <c r="CV502" i="1"/>
  <c r="CU502" i="1"/>
  <c r="CT502" i="1"/>
  <c r="CS502" i="1"/>
  <c r="CR502" i="1"/>
  <c r="CQ502" i="1"/>
  <c r="CP502" i="1"/>
  <c r="CO502" i="1"/>
  <c r="CN502" i="1"/>
  <c r="CM502" i="1"/>
  <c r="CL502" i="1"/>
  <c r="CK502" i="1"/>
  <c r="CJ502" i="1"/>
  <c r="CI502" i="1"/>
  <c r="CH502" i="1"/>
  <c r="CG502" i="1"/>
  <c r="CF502" i="1"/>
  <c r="CD502" i="1"/>
  <c r="CC502" i="1"/>
  <c r="CB502" i="1"/>
  <c r="BZ502" i="1"/>
  <c r="BY502" i="1"/>
  <c r="BX502" i="1"/>
  <c r="BV502" i="1"/>
  <c r="BU502" i="1"/>
  <c r="BR502" i="1"/>
  <c r="BQ502" i="1"/>
  <c r="BP502" i="1"/>
  <c r="BO502" i="1"/>
  <c r="BN502" i="1"/>
  <c r="BM502" i="1"/>
  <c r="BL502" i="1"/>
  <c r="BK502" i="1"/>
  <c r="BJ502" i="1"/>
  <c r="BI502" i="1"/>
  <c r="BG502" i="1"/>
  <c r="BF502" i="1"/>
  <c r="BE502" i="1"/>
  <c r="BD502" i="1"/>
  <c r="BB502" i="1"/>
  <c r="BA502" i="1"/>
  <c r="AZ502" i="1"/>
  <c r="AX502" i="1"/>
  <c r="AW502" i="1"/>
  <c r="AV502" i="1"/>
  <c r="AT502" i="1"/>
  <c r="AS502" i="1"/>
  <c r="AR502" i="1"/>
  <c r="AQ502" i="1"/>
  <c r="AP502" i="1"/>
  <c r="AO502" i="1"/>
  <c r="AN502" i="1"/>
  <c r="AM502" i="1"/>
  <c r="AL502" i="1"/>
  <c r="AK502" i="1"/>
  <c r="AJ502" i="1"/>
  <c r="AI502" i="1"/>
  <c r="AG502" i="1"/>
  <c r="AF502" i="1"/>
  <c r="AE502" i="1"/>
  <c r="AD502" i="1"/>
  <c r="P502" i="1"/>
  <c r="F502" i="1"/>
  <c r="B502" i="1"/>
  <c r="BB504" i="1" s="1"/>
  <c r="DE501" i="1"/>
  <c r="DD501" i="1"/>
  <c r="DC501" i="1"/>
  <c r="DB501" i="1"/>
  <c r="DA501" i="1"/>
  <c r="CZ501" i="1"/>
  <c r="CY501" i="1"/>
  <c r="CX501" i="1"/>
  <c r="CW501" i="1"/>
  <c r="CV501" i="1"/>
  <c r="CU501" i="1"/>
  <c r="CT501" i="1"/>
  <c r="CS501" i="1"/>
  <c r="CR501" i="1"/>
  <c r="CQ501" i="1"/>
  <c r="CP501" i="1"/>
  <c r="CO501" i="1"/>
  <c r="CN501" i="1"/>
  <c r="CM501" i="1"/>
  <c r="CL501" i="1"/>
  <c r="CK501" i="1"/>
  <c r="CJ501" i="1"/>
  <c r="CI501" i="1"/>
  <c r="CH501" i="1"/>
  <c r="CG501" i="1"/>
  <c r="CF501" i="1"/>
  <c r="BR501" i="1"/>
  <c r="BQ501" i="1"/>
  <c r="BP501" i="1"/>
  <c r="BO501" i="1"/>
  <c r="BN501" i="1"/>
  <c r="BM501" i="1"/>
  <c r="BL501" i="1"/>
  <c r="BK501" i="1"/>
  <c r="BJ501" i="1"/>
  <c r="BI501" i="1"/>
  <c r="BH501" i="1"/>
  <c r="BG501" i="1"/>
  <c r="BF501" i="1"/>
  <c r="BA501" i="1"/>
  <c r="AS501" i="1"/>
  <c r="AR501" i="1"/>
  <c r="AQ501" i="1"/>
  <c r="AP501" i="1"/>
  <c r="AO501" i="1"/>
  <c r="AN501" i="1"/>
  <c r="AM501" i="1"/>
  <c r="AL501" i="1"/>
  <c r="AK501" i="1"/>
  <c r="AJ501" i="1"/>
  <c r="AI501" i="1"/>
  <c r="AH501" i="1"/>
  <c r="AG501" i="1"/>
  <c r="AF501" i="1"/>
  <c r="AE501" i="1"/>
  <c r="AD501" i="1"/>
  <c r="R501" i="1"/>
  <c r="Q501" i="1"/>
  <c r="DE500" i="1"/>
  <c r="DD500" i="1"/>
  <c r="DC500" i="1"/>
  <c r="DB500" i="1"/>
  <c r="DA500" i="1"/>
  <c r="CZ500" i="1"/>
  <c r="CY500" i="1"/>
  <c r="CX500" i="1"/>
  <c r="CW500" i="1"/>
  <c r="CV500" i="1"/>
  <c r="CU500" i="1"/>
  <c r="CT500" i="1"/>
  <c r="CS500" i="1"/>
  <c r="CR500" i="1"/>
  <c r="CQ500" i="1"/>
  <c r="CP500" i="1"/>
  <c r="CO500" i="1"/>
  <c r="CN500" i="1"/>
  <c r="CM500" i="1"/>
  <c r="CL500" i="1"/>
  <c r="CK500" i="1"/>
  <c r="CJ500" i="1"/>
  <c r="CI500" i="1"/>
  <c r="CH500" i="1"/>
  <c r="CG500" i="1"/>
  <c r="CF500" i="1"/>
  <c r="BR500" i="1"/>
  <c r="BQ500" i="1"/>
  <c r="BP500" i="1"/>
  <c r="BO500" i="1"/>
  <c r="BN500" i="1"/>
  <c r="BL500" i="1"/>
  <c r="BK500" i="1"/>
  <c r="BJ500" i="1"/>
  <c r="BI500" i="1"/>
  <c r="BH500" i="1"/>
  <c r="BG500" i="1"/>
  <c r="BF500" i="1"/>
  <c r="BE500" i="1"/>
  <c r="AW500" i="1"/>
  <c r="AR500" i="1"/>
  <c r="AQ500" i="1"/>
  <c r="AP500" i="1"/>
  <c r="AO500" i="1"/>
  <c r="AN500" i="1"/>
  <c r="AL500" i="1"/>
  <c r="AK500" i="1"/>
  <c r="AJ500" i="1"/>
  <c r="AI500" i="1"/>
  <c r="AH500" i="1"/>
  <c r="AG500" i="1"/>
  <c r="AF500" i="1"/>
  <c r="AE500" i="1"/>
  <c r="AD500" i="1"/>
  <c r="J500" i="1"/>
  <c r="DE499" i="1"/>
  <c r="DD499" i="1"/>
  <c r="DC499" i="1"/>
  <c r="DB499" i="1"/>
  <c r="DA499" i="1"/>
  <c r="CZ499" i="1"/>
  <c r="CY499" i="1"/>
  <c r="CX499" i="1"/>
  <c r="CW499" i="1"/>
  <c r="CV499" i="1"/>
  <c r="CU499" i="1"/>
  <c r="CT499" i="1"/>
  <c r="CS499" i="1"/>
  <c r="CR499" i="1"/>
  <c r="CQ499" i="1"/>
  <c r="CP499" i="1"/>
  <c r="CO499" i="1"/>
  <c r="CN499" i="1"/>
  <c r="CM499" i="1"/>
  <c r="CL499" i="1"/>
  <c r="CK499" i="1"/>
  <c r="CJ499" i="1"/>
  <c r="CI499" i="1"/>
  <c r="CH499" i="1"/>
  <c r="CG499" i="1"/>
  <c r="CF499" i="1"/>
  <c r="BX499" i="1"/>
  <c r="BR499" i="1"/>
  <c r="BQ499" i="1"/>
  <c r="BP499" i="1"/>
  <c r="BO499" i="1"/>
  <c r="BN499" i="1"/>
  <c r="BM499" i="1"/>
  <c r="BL499" i="1"/>
  <c r="BK499" i="1"/>
  <c r="BJ499" i="1"/>
  <c r="BI499" i="1"/>
  <c r="BH499" i="1"/>
  <c r="BF499" i="1"/>
  <c r="AY499" i="1"/>
  <c r="AR499" i="1"/>
  <c r="AQ499" i="1"/>
  <c r="AP499" i="1"/>
  <c r="AO499" i="1"/>
  <c r="AN499" i="1"/>
  <c r="AM499" i="1"/>
  <c r="AL499" i="1"/>
  <c r="AK499" i="1"/>
  <c r="AJ499" i="1"/>
  <c r="AI499" i="1"/>
  <c r="AH499" i="1"/>
  <c r="AF499" i="1"/>
  <c r="AE499" i="1"/>
  <c r="AD499" i="1"/>
  <c r="O499" i="1"/>
  <c r="F499" i="1"/>
  <c r="B499" i="1"/>
  <c r="DE498" i="1"/>
  <c r="DD498" i="1"/>
  <c r="DC498" i="1"/>
  <c r="DB498" i="1"/>
  <c r="DA498" i="1"/>
  <c r="CZ498" i="1"/>
  <c r="CY498" i="1"/>
  <c r="CX498" i="1"/>
  <c r="CW498" i="1"/>
  <c r="CV498" i="1"/>
  <c r="CU498" i="1"/>
  <c r="CT498" i="1"/>
  <c r="CS498" i="1"/>
  <c r="CR498" i="1"/>
  <c r="CQ498" i="1"/>
  <c r="CP498" i="1"/>
  <c r="CO498" i="1"/>
  <c r="CN498" i="1"/>
  <c r="CM498" i="1"/>
  <c r="CL498" i="1"/>
  <c r="CK498" i="1"/>
  <c r="CJ498" i="1"/>
  <c r="CI498" i="1"/>
  <c r="CH498" i="1"/>
  <c r="CG498" i="1"/>
  <c r="CF498" i="1"/>
  <c r="BR498" i="1"/>
  <c r="BQ498" i="1"/>
  <c r="BP498" i="1"/>
  <c r="BO498" i="1"/>
  <c r="BN498" i="1"/>
  <c r="BM498" i="1"/>
  <c r="BL498" i="1"/>
  <c r="BK498" i="1"/>
  <c r="BJ498" i="1"/>
  <c r="BI498" i="1"/>
  <c r="BH498" i="1"/>
  <c r="BG498" i="1"/>
  <c r="BF498" i="1"/>
  <c r="BE498" i="1"/>
  <c r="BD498" i="1"/>
  <c r="BC498" i="1"/>
  <c r="BA498" i="1"/>
  <c r="AZ498" i="1"/>
  <c r="AY498" i="1"/>
  <c r="AW498" i="1"/>
  <c r="AV498" i="1"/>
  <c r="AU498" i="1"/>
  <c r="AS498" i="1"/>
  <c r="AR498" i="1"/>
  <c r="AQ498" i="1"/>
  <c r="AP498" i="1"/>
  <c r="AO498" i="1"/>
  <c r="AN498" i="1"/>
  <c r="AM498" i="1"/>
  <c r="AL498" i="1"/>
  <c r="AK498" i="1"/>
  <c r="AJ498" i="1"/>
  <c r="AI498" i="1"/>
  <c r="AH498" i="1"/>
  <c r="AG498" i="1"/>
  <c r="AF498" i="1"/>
  <c r="AE498" i="1"/>
  <c r="R498" i="1"/>
  <c r="Q498" i="1"/>
  <c r="O498" i="1"/>
  <c r="P498" i="1" s="1"/>
  <c r="DE497" i="1"/>
  <c r="DD497" i="1"/>
  <c r="DC497" i="1"/>
  <c r="DB497" i="1"/>
  <c r="DA497" i="1"/>
  <c r="CZ497" i="1"/>
  <c r="CY497" i="1"/>
  <c r="CX497" i="1"/>
  <c r="CW497" i="1"/>
  <c r="CV497" i="1"/>
  <c r="CU497" i="1"/>
  <c r="CT497" i="1"/>
  <c r="CS497" i="1"/>
  <c r="CR497" i="1"/>
  <c r="CQ497" i="1"/>
  <c r="CP497" i="1"/>
  <c r="CO497" i="1"/>
  <c r="CN497" i="1"/>
  <c r="CM497" i="1"/>
  <c r="CL497" i="1"/>
  <c r="CK497" i="1"/>
  <c r="CJ497" i="1"/>
  <c r="CI497" i="1"/>
  <c r="CH497" i="1"/>
  <c r="CG497" i="1"/>
  <c r="CF497" i="1"/>
  <c r="BR497" i="1"/>
  <c r="BQ497" i="1"/>
  <c r="BP497" i="1"/>
  <c r="BO497" i="1"/>
  <c r="BN497" i="1"/>
  <c r="BM497" i="1"/>
  <c r="BL497" i="1"/>
  <c r="BK497" i="1"/>
  <c r="BI497" i="1"/>
  <c r="BH497" i="1"/>
  <c r="BG497" i="1"/>
  <c r="BF497" i="1"/>
  <c r="BD497" i="1"/>
  <c r="BC497" i="1"/>
  <c r="BB497" i="1"/>
  <c r="AZ497" i="1"/>
  <c r="AY497" i="1"/>
  <c r="AX497" i="1"/>
  <c r="AV497" i="1"/>
  <c r="AU497" i="1"/>
  <c r="AT497" i="1"/>
  <c r="AR497" i="1"/>
  <c r="AQ497" i="1"/>
  <c r="AP497" i="1"/>
  <c r="AO497" i="1"/>
  <c r="AN497" i="1"/>
  <c r="AM497" i="1"/>
  <c r="AL497" i="1"/>
  <c r="AK497" i="1"/>
  <c r="AI497" i="1"/>
  <c r="AH497" i="1"/>
  <c r="AG497" i="1"/>
  <c r="AF497" i="1"/>
  <c r="AE497" i="1"/>
  <c r="O496" i="1" s="1"/>
  <c r="AH496" i="1" s="1"/>
  <c r="J497" i="1"/>
  <c r="DE496" i="1"/>
  <c r="DD496" i="1"/>
  <c r="DC496" i="1"/>
  <c r="DB496" i="1"/>
  <c r="DA496" i="1"/>
  <c r="CZ496" i="1"/>
  <c r="CY496" i="1"/>
  <c r="CX496" i="1"/>
  <c r="CW496" i="1"/>
  <c r="CV496" i="1"/>
  <c r="CU496" i="1"/>
  <c r="CT496" i="1"/>
  <c r="CS496" i="1"/>
  <c r="CR496" i="1"/>
  <c r="CQ496" i="1"/>
  <c r="CP496" i="1"/>
  <c r="CO496" i="1"/>
  <c r="CN496" i="1"/>
  <c r="CM496" i="1"/>
  <c r="CL496" i="1"/>
  <c r="CK496" i="1"/>
  <c r="CJ496" i="1"/>
  <c r="CI496" i="1"/>
  <c r="CH496" i="1"/>
  <c r="CG496" i="1"/>
  <c r="CF496" i="1"/>
  <c r="CD496" i="1"/>
  <c r="CC496" i="1"/>
  <c r="CB496" i="1"/>
  <c r="BZ496" i="1"/>
  <c r="BY496" i="1"/>
  <c r="BX496" i="1"/>
  <c r="BV496" i="1"/>
  <c r="BU496" i="1"/>
  <c r="BT496" i="1"/>
  <c r="BR496" i="1"/>
  <c r="BQ496" i="1"/>
  <c r="BP496" i="1"/>
  <c r="BO496" i="1"/>
  <c r="BN496" i="1"/>
  <c r="BM496" i="1"/>
  <c r="BL496" i="1"/>
  <c r="BK496" i="1"/>
  <c r="BJ496" i="1"/>
  <c r="BI496" i="1"/>
  <c r="BG496" i="1"/>
  <c r="BF496" i="1"/>
  <c r="BE496" i="1"/>
  <c r="BD496" i="1"/>
  <c r="BB496" i="1"/>
  <c r="BA496" i="1"/>
  <c r="AZ496" i="1"/>
  <c r="AX496" i="1"/>
  <c r="AW496" i="1"/>
  <c r="AV496" i="1"/>
  <c r="AT496" i="1"/>
  <c r="AS496" i="1"/>
  <c r="AR496" i="1"/>
  <c r="AQ496" i="1"/>
  <c r="AP496" i="1"/>
  <c r="AO496" i="1"/>
  <c r="AN496" i="1"/>
  <c r="AM496" i="1"/>
  <c r="AL496" i="1"/>
  <c r="AK496" i="1"/>
  <c r="AJ496" i="1"/>
  <c r="AI496" i="1"/>
  <c r="AG496" i="1"/>
  <c r="AF496" i="1"/>
  <c r="AE496" i="1"/>
  <c r="AD496" i="1"/>
  <c r="P496" i="1"/>
  <c r="F496" i="1"/>
  <c r="B496" i="1"/>
  <c r="BB498" i="1" s="1"/>
  <c r="DE495" i="1"/>
  <c r="DD495" i="1"/>
  <c r="DC495" i="1"/>
  <c r="DB495" i="1"/>
  <c r="DA495" i="1"/>
  <c r="CZ495" i="1"/>
  <c r="CY495" i="1"/>
  <c r="CX495" i="1"/>
  <c r="CW495" i="1"/>
  <c r="CV495" i="1"/>
  <c r="CU495" i="1"/>
  <c r="CT495" i="1"/>
  <c r="CS495" i="1"/>
  <c r="CR495" i="1"/>
  <c r="CQ495" i="1"/>
  <c r="CP495" i="1"/>
  <c r="CO495" i="1"/>
  <c r="CN495" i="1"/>
  <c r="CM495" i="1"/>
  <c r="CL495" i="1"/>
  <c r="CK495" i="1"/>
  <c r="CJ495" i="1"/>
  <c r="CI495" i="1"/>
  <c r="CH495" i="1"/>
  <c r="CG495" i="1"/>
  <c r="CF495" i="1"/>
  <c r="BR495" i="1"/>
  <c r="BQ495" i="1"/>
  <c r="BP495" i="1"/>
  <c r="BO495" i="1"/>
  <c r="BN495" i="1"/>
  <c r="BM495" i="1"/>
  <c r="BL495" i="1"/>
  <c r="BK495" i="1"/>
  <c r="BJ495" i="1"/>
  <c r="BI495" i="1"/>
  <c r="BH495" i="1"/>
  <c r="BG495" i="1"/>
  <c r="BF495" i="1"/>
  <c r="BE495" i="1"/>
  <c r="BD495" i="1"/>
  <c r="BB495" i="1"/>
  <c r="BA495" i="1"/>
  <c r="AZ495" i="1"/>
  <c r="AX495" i="1"/>
  <c r="AW495" i="1"/>
  <c r="AV495" i="1"/>
  <c r="AT495" i="1"/>
  <c r="AS495" i="1"/>
  <c r="AR495" i="1"/>
  <c r="AQ495" i="1"/>
  <c r="AP495" i="1"/>
  <c r="AO495" i="1"/>
  <c r="AN495" i="1"/>
  <c r="AM495" i="1"/>
  <c r="AL495" i="1"/>
  <c r="AK495" i="1"/>
  <c r="AJ495" i="1"/>
  <c r="AI495" i="1"/>
  <c r="AH495" i="1"/>
  <c r="AG495" i="1"/>
  <c r="AF495" i="1"/>
  <c r="AE495" i="1"/>
  <c r="AD495" i="1"/>
  <c r="R495" i="1"/>
  <c r="Q495" i="1"/>
  <c r="DE494" i="1"/>
  <c r="DD494" i="1"/>
  <c r="DC494" i="1"/>
  <c r="DB494" i="1"/>
  <c r="DA494" i="1"/>
  <c r="CZ494" i="1"/>
  <c r="CY494" i="1"/>
  <c r="CX494" i="1"/>
  <c r="CW494" i="1"/>
  <c r="CV494" i="1"/>
  <c r="CU494" i="1"/>
  <c r="CT494" i="1"/>
  <c r="CS494" i="1"/>
  <c r="CR494" i="1"/>
  <c r="CQ494" i="1"/>
  <c r="CP494" i="1"/>
  <c r="CO494" i="1"/>
  <c r="CN494" i="1"/>
  <c r="CM494" i="1"/>
  <c r="CL494" i="1"/>
  <c r="CK494" i="1"/>
  <c r="CJ494" i="1"/>
  <c r="CI494" i="1"/>
  <c r="CH494" i="1"/>
  <c r="CG494" i="1"/>
  <c r="CF494" i="1"/>
  <c r="BR494" i="1"/>
  <c r="BQ494" i="1"/>
  <c r="BP494" i="1"/>
  <c r="BO494" i="1"/>
  <c r="BN494" i="1"/>
  <c r="BL494" i="1"/>
  <c r="BK494" i="1"/>
  <c r="BJ494" i="1"/>
  <c r="BI494" i="1"/>
  <c r="BH494" i="1"/>
  <c r="BG494" i="1"/>
  <c r="BF494" i="1"/>
  <c r="BE494" i="1"/>
  <c r="BD494" i="1"/>
  <c r="BB494" i="1"/>
  <c r="BA494" i="1"/>
  <c r="AZ494" i="1"/>
  <c r="AX494" i="1"/>
  <c r="AW494" i="1"/>
  <c r="AV494" i="1"/>
  <c r="AT494" i="1"/>
  <c r="AS494" i="1"/>
  <c r="AR494" i="1"/>
  <c r="AQ494" i="1"/>
  <c r="AP494" i="1"/>
  <c r="AO494" i="1"/>
  <c r="AN494" i="1"/>
  <c r="AL494" i="1"/>
  <c r="AK494" i="1"/>
  <c r="AJ494" i="1"/>
  <c r="AI494" i="1"/>
  <c r="AH494" i="1"/>
  <c r="AG494" i="1"/>
  <c r="AF494" i="1"/>
  <c r="AE494" i="1"/>
  <c r="AD494" i="1"/>
  <c r="J494" i="1"/>
  <c r="DE493" i="1"/>
  <c r="DD493" i="1"/>
  <c r="DC493" i="1"/>
  <c r="DB493" i="1"/>
  <c r="DA493" i="1"/>
  <c r="CZ493" i="1"/>
  <c r="CY493" i="1"/>
  <c r="CX493" i="1"/>
  <c r="CW493" i="1"/>
  <c r="CV493" i="1"/>
  <c r="CU493" i="1"/>
  <c r="CT493" i="1"/>
  <c r="CS493" i="1"/>
  <c r="CR493" i="1"/>
  <c r="CQ493" i="1"/>
  <c r="CP493" i="1"/>
  <c r="CO493" i="1"/>
  <c r="CN493" i="1"/>
  <c r="CM493" i="1"/>
  <c r="CL493" i="1"/>
  <c r="CK493" i="1"/>
  <c r="CJ493" i="1"/>
  <c r="CI493" i="1"/>
  <c r="CH493" i="1"/>
  <c r="CG493" i="1"/>
  <c r="CF493" i="1"/>
  <c r="CE493" i="1"/>
  <c r="CC493" i="1"/>
  <c r="CB493" i="1"/>
  <c r="CA493" i="1"/>
  <c r="BY493" i="1"/>
  <c r="BX493" i="1"/>
  <c r="BU493" i="1"/>
  <c r="BT493" i="1"/>
  <c r="BS493" i="1"/>
  <c r="BR493" i="1"/>
  <c r="BQ493" i="1"/>
  <c r="BP493" i="1"/>
  <c r="BO493" i="1"/>
  <c r="BN493" i="1"/>
  <c r="BM493" i="1"/>
  <c r="BL493" i="1"/>
  <c r="BK493" i="1"/>
  <c r="BI493" i="1"/>
  <c r="BH493" i="1"/>
  <c r="BG493" i="1"/>
  <c r="BF493" i="1"/>
  <c r="BE493" i="1"/>
  <c r="BD493" i="1"/>
  <c r="BC493" i="1"/>
  <c r="BA493" i="1"/>
  <c r="AZ493" i="1"/>
  <c r="AY493" i="1"/>
  <c r="AW493" i="1"/>
  <c r="AV493" i="1"/>
  <c r="AU493" i="1"/>
  <c r="AS493" i="1"/>
  <c r="AR493" i="1"/>
  <c r="AQ493" i="1"/>
  <c r="AP493" i="1"/>
  <c r="AO493" i="1"/>
  <c r="AN493" i="1"/>
  <c r="AM493" i="1"/>
  <c r="AL493" i="1"/>
  <c r="AK493" i="1"/>
  <c r="AI493" i="1"/>
  <c r="AH493" i="1"/>
  <c r="AG493" i="1"/>
  <c r="AF493" i="1"/>
  <c r="AE493" i="1"/>
  <c r="AD493" i="1"/>
  <c r="O493" i="1"/>
  <c r="BJ493" i="1" s="1"/>
  <c r="G493" i="1"/>
  <c r="F493" i="1"/>
  <c r="B493" i="1"/>
  <c r="BC495" i="1" s="1"/>
  <c r="DE492" i="1"/>
  <c r="DD492" i="1"/>
  <c r="DC492" i="1"/>
  <c r="DB492" i="1"/>
  <c r="DA492" i="1"/>
  <c r="CZ492" i="1"/>
  <c r="CY492" i="1"/>
  <c r="CX492" i="1"/>
  <c r="CW492" i="1"/>
  <c r="CV492" i="1"/>
  <c r="CU492" i="1"/>
  <c r="CT492" i="1"/>
  <c r="CS492" i="1"/>
  <c r="CR492" i="1"/>
  <c r="CQ492" i="1"/>
  <c r="CP492" i="1"/>
  <c r="CO492" i="1"/>
  <c r="CN492" i="1"/>
  <c r="CM492" i="1"/>
  <c r="CL492" i="1"/>
  <c r="CK492" i="1"/>
  <c r="CJ492" i="1"/>
  <c r="CI492" i="1"/>
  <c r="CH492" i="1"/>
  <c r="CG492" i="1"/>
  <c r="CF492" i="1"/>
  <c r="BR492" i="1"/>
  <c r="BQ492" i="1"/>
  <c r="BP492" i="1"/>
  <c r="BO492" i="1"/>
  <c r="BN492" i="1"/>
  <c r="BM492" i="1"/>
  <c r="BL492" i="1"/>
  <c r="BK492" i="1"/>
  <c r="BJ492" i="1"/>
  <c r="BI492" i="1"/>
  <c r="BH492" i="1"/>
  <c r="BG492" i="1"/>
  <c r="BF492" i="1"/>
  <c r="BA492" i="1"/>
  <c r="AS492" i="1"/>
  <c r="AR492" i="1"/>
  <c r="AQ492" i="1"/>
  <c r="AP492" i="1"/>
  <c r="AO492" i="1"/>
  <c r="AN492" i="1"/>
  <c r="AM492" i="1"/>
  <c r="AL492" i="1"/>
  <c r="AK492" i="1"/>
  <c r="AJ492" i="1"/>
  <c r="AI492" i="1"/>
  <c r="AH492" i="1"/>
  <c r="AG492" i="1"/>
  <c r="AF492" i="1"/>
  <c r="AE492" i="1"/>
  <c r="R492" i="1"/>
  <c r="Q492" i="1"/>
  <c r="DE491" i="1"/>
  <c r="DD491" i="1"/>
  <c r="DC491" i="1"/>
  <c r="DB491" i="1"/>
  <c r="DA491" i="1"/>
  <c r="CZ491" i="1"/>
  <c r="CY491" i="1"/>
  <c r="CX491" i="1"/>
  <c r="CW491" i="1"/>
  <c r="CV491" i="1"/>
  <c r="CU491" i="1"/>
  <c r="CT491" i="1"/>
  <c r="CS491" i="1"/>
  <c r="CR491" i="1"/>
  <c r="CQ491" i="1"/>
  <c r="CP491" i="1"/>
  <c r="CO491" i="1"/>
  <c r="CN491" i="1"/>
  <c r="CM491" i="1"/>
  <c r="CL491" i="1"/>
  <c r="CK491" i="1"/>
  <c r="CJ491" i="1"/>
  <c r="CI491" i="1"/>
  <c r="CH491" i="1"/>
  <c r="CG491" i="1"/>
  <c r="CF491" i="1"/>
  <c r="BR491" i="1"/>
  <c r="BQ491" i="1"/>
  <c r="BP491" i="1"/>
  <c r="BO491" i="1"/>
  <c r="BN491" i="1"/>
  <c r="BM491" i="1"/>
  <c r="BL491" i="1"/>
  <c r="BK491" i="1"/>
  <c r="BI491" i="1"/>
  <c r="BH491" i="1"/>
  <c r="BG491" i="1"/>
  <c r="BF491" i="1"/>
  <c r="AZ491" i="1"/>
  <c r="AR491" i="1"/>
  <c r="AQ491" i="1"/>
  <c r="AP491" i="1"/>
  <c r="AO491" i="1"/>
  <c r="AN491" i="1"/>
  <c r="AM491" i="1"/>
  <c r="AL491" i="1"/>
  <c r="AK491" i="1"/>
  <c r="AI491" i="1"/>
  <c r="AH491" i="1"/>
  <c r="AG491" i="1"/>
  <c r="AF491" i="1"/>
  <c r="AE491" i="1"/>
  <c r="O490" i="1" s="1"/>
  <c r="O491" i="1"/>
  <c r="BJ491" i="1" s="1"/>
  <c r="J491" i="1"/>
  <c r="DE490" i="1"/>
  <c r="DD490" i="1"/>
  <c r="DC490" i="1"/>
  <c r="DB490" i="1"/>
  <c r="DA490" i="1"/>
  <c r="CZ490" i="1"/>
  <c r="CY490" i="1"/>
  <c r="CX490" i="1"/>
  <c r="CW490" i="1"/>
  <c r="CV490" i="1"/>
  <c r="CU490" i="1"/>
  <c r="CT490" i="1"/>
  <c r="CS490" i="1"/>
  <c r="CR490" i="1"/>
  <c r="CQ490" i="1"/>
  <c r="CP490" i="1"/>
  <c r="CO490" i="1"/>
  <c r="CN490" i="1"/>
  <c r="CM490" i="1"/>
  <c r="CL490" i="1"/>
  <c r="CK490" i="1"/>
  <c r="CJ490" i="1"/>
  <c r="CI490" i="1"/>
  <c r="CH490" i="1"/>
  <c r="CG490" i="1"/>
  <c r="CF490" i="1"/>
  <c r="BZ490" i="1"/>
  <c r="BR490" i="1"/>
  <c r="BQ490" i="1"/>
  <c r="BP490" i="1"/>
  <c r="BO490" i="1"/>
  <c r="BN490" i="1"/>
  <c r="BM490" i="1"/>
  <c r="BL490" i="1"/>
  <c r="BK490" i="1"/>
  <c r="BJ490" i="1"/>
  <c r="BI490" i="1"/>
  <c r="BH490" i="1"/>
  <c r="BF490" i="1"/>
  <c r="BE490" i="1"/>
  <c r="AW490" i="1"/>
  <c r="AR490" i="1"/>
  <c r="AQ490" i="1"/>
  <c r="AP490" i="1"/>
  <c r="AO490" i="1"/>
  <c r="AN490" i="1"/>
  <c r="AM490" i="1"/>
  <c r="AL490" i="1"/>
  <c r="AK490" i="1"/>
  <c r="AJ490" i="1"/>
  <c r="AI490" i="1"/>
  <c r="AH490" i="1"/>
  <c r="AG490" i="1"/>
  <c r="AF490" i="1"/>
  <c r="AE490" i="1"/>
  <c r="O492" i="1" s="1"/>
  <c r="P492" i="1" s="1"/>
  <c r="AD490" i="1"/>
  <c r="G490" i="1"/>
  <c r="F490" i="1"/>
  <c r="B490" i="1"/>
  <c r="DE489" i="1"/>
  <c r="DD489" i="1"/>
  <c r="DC489" i="1"/>
  <c r="DB489" i="1"/>
  <c r="DA489" i="1"/>
  <c r="CZ489" i="1"/>
  <c r="CY489" i="1"/>
  <c r="CX489" i="1"/>
  <c r="CW489" i="1"/>
  <c r="CV489" i="1"/>
  <c r="CU489" i="1"/>
  <c r="CT489" i="1"/>
  <c r="CS489" i="1"/>
  <c r="CR489" i="1"/>
  <c r="CQ489" i="1"/>
  <c r="CP489" i="1"/>
  <c r="CO489" i="1"/>
  <c r="CN489" i="1"/>
  <c r="CM489" i="1"/>
  <c r="CL489" i="1"/>
  <c r="CK489" i="1"/>
  <c r="CJ489" i="1"/>
  <c r="CI489" i="1"/>
  <c r="CH489" i="1"/>
  <c r="CG489" i="1"/>
  <c r="CF489" i="1"/>
  <c r="BR489" i="1"/>
  <c r="BQ489" i="1"/>
  <c r="BP489" i="1"/>
  <c r="BO489" i="1"/>
  <c r="BN489" i="1"/>
  <c r="BM489" i="1"/>
  <c r="BL489" i="1"/>
  <c r="BK489" i="1"/>
  <c r="BJ489" i="1"/>
  <c r="BI489" i="1"/>
  <c r="BH489" i="1"/>
  <c r="BG489" i="1"/>
  <c r="BF489" i="1"/>
  <c r="BD489" i="1"/>
  <c r="BC489" i="1"/>
  <c r="BB489" i="1"/>
  <c r="AZ489" i="1"/>
  <c r="AY489" i="1"/>
  <c r="AX489" i="1"/>
  <c r="AV489" i="1"/>
  <c r="AU489" i="1"/>
  <c r="AT489" i="1"/>
  <c r="AR489" i="1"/>
  <c r="AQ489" i="1"/>
  <c r="AP489" i="1"/>
  <c r="AO489" i="1"/>
  <c r="AN489" i="1"/>
  <c r="AM489" i="1"/>
  <c r="AL489" i="1"/>
  <c r="AK489" i="1"/>
  <c r="AJ489" i="1"/>
  <c r="AI489" i="1"/>
  <c r="AH489" i="1"/>
  <c r="AF489" i="1"/>
  <c r="AE489" i="1"/>
  <c r="AD489" i="1"/>
  <c r="O489" i="1"/>
  <c r="P489" i="1" s="1"/>
  <c r="AG489" i="1" s="1"/>
  <c r="DE488" i="1"/>
  <c r="DD488" i="1"/>
  <c r="DC488" i="1"/>
  <c r="DB488" i="1"/>
  <c r="DA488" i="1"/>
  <c r="CZ488" i="1"/>
  <c r="CY488" i="1"/>
  <c r="CX488" i="1"/>
  <c r="CW488" i="1"/>
  <c r="CV488" i="1"/>
  <c r="CU488" i="1"/>
  <c r="CT488" i="1"/>
  <c r="CS488" i="1"/>
  <c r="CR488" i="1"/>
  <c r="CQ488" i="1"/>
  <c r="CP488" i="1"/>
  <c r="CO488" i="1"/>
  <c r="CN488" i="1"/>
  <c r="CM488" i="1"/>
  <c r="CL488" i="1"/>
  <c r="CK488" i="1"/>
  <c r="CJ488" i="1"/>
  <c r="CI488" i="1"/>
  <c r="CH488" i="1"/>
  <c r="CG488" i="1"/>
  <c r="CF488" i="1"/>
  <c r="BR488" i="1"/>
  <c r="BQ488" i="1"/>
  <c r="BP488" i="1"/>
  <c r="BO488" i="1"/>
  <c r="BN488" i="1"/>
  <c r="BM488" i="1"/>
  <c r="BL488" i="1"/>
  <c r="BK488" i="1"/>
  <c r="BJ488" i="1"/>
  <c r="BI488" i="1"/>
  <c r="BH488" i="1"/>
  <c r="BF488" i="1"/>
  <c r="BD488" i="1"/>
  <c r="BC488" i="1"/>
  <c r="BB488" i="1"/>
  <c r="AZ488" i="1"/>
  <c r="AY488" i="1"/>
  <c r="AX488" i="1"/>
  <c r="AV488" i="1"/>
  <c r="AU488" i="1"/>
  <c r="AT488" i="1"/>
  <c r="AR488" i="1"/>
  <c r="AQ488" i="1"/>
  <c r="AP488" i="1"/>
  <c r="AO488" i="1"/>
  <c r="AN488" i="1"/>
  <c r="AM488" i="1"/>
  <c r="AL488" i="1"/>
  <c r="AK488" i="1"/>
  <c r="AJ488" i="1"/>
  <c r="AI488" i="1"/>
  <c r="AH488" i="1"/>
  <c r="AF488" i="1"/>
  <c r="AE488" i="1"/>
  <c r="O487" i="1" s="1"/>
  <c r="BJ487" i="1" s="1"/>
  <c r="AD488" i="1"/>
  <c r="O488" i="1"/>
  <c r="DE487" i="1"/>
  <c r="DD487" i="1"/>
  <c r="DC487" i="1"/>
  <c r="DB487" i="1"/>
  <c r="DA487" i="1"/>
  <c r="CZ487" i="1"/>
  <c r="CY487" i="1"/>
  <c r="CX487" i="1"/>
  <c r="CW487" i="1"/>
  <c r="CV487" i="1"/>
  <c r="CU487" i="1"/>
  <c r="CT487" i="1"/>
  <c r="CS487" i="1"/>
  <c r="CR487" i="1"/>
  <c r="CQ487" i="1"/>
  <c r="CP487" i="1"/>
  <c r="CO487" i="1"/>
  <c r="CN487" i="1"/>
  <c r="CM487" i="1"/>
  <c r="CL487" i="1"/>
  <c r="CK487" i="1"/>
  <c r="CJ487" i="1"/>
  <c r="CI487" i="1"/>
  <c r="CH487" i="1"/>
  <c r="CG487" i="1"/>
  <c r="CF487" i="1"/>
  <c r="CD487" i="1"/>
  <c r="CC487" i="1"/>
  <c r="CB487" i="1"/>
  <c r="BZ487" i="1"/>
  <c r="BY487" i="1"/>
  <c r="BX487" i="1"/>
  <c r="BV487" i="1"/>
  <c r="BU487" i="1"/>
  <c r="BR487" i="1"/>
  <c r="BQ487" i="1"/>
  <c r="BP487" i="1"/>
  <c r="BO487" i="1"/>
  <c r="BN487" i="1"/>
  <c r="BM487" i="1"/>
  <c r="BL487" i="1"/>
  <c r="BK487" i="1"/>
  <c r="BI487" i="1"/>
  <c r="BH487" i="1"/>
  <c r="BG487" i="1"/>
  <c r="BF487" i="1"/>
  <c r="BE487" i="1"/>
  <c r="BD487" i="1"/>
  <c r="BB487" i="1"/>
  <c r="BA487" i="1"/>
  <c r="AZ487" i="1"/>
  <c r="AX487" i="1"/>
  <c r="AW487" i="1"/>
  <c r="AV487" i="1"/>
  <c r="AT487" i="1"/>
  <c r="AS487" i="1"/>
  <c r="AR487" i="1"/>
  <c r="AQ487" i="1"/>
  <c r="AP487" i="1"/>
  <c r="AO487" i="1"/>
  <c r="AN487" i="1"/>
  <c r="AM487" i="1"/>
  <c r="AL487" i="1"/>
  <c r="AK487" i="1"/>
  <c r="AJ487" i="1"/>
  <c r="AI487" i="1"/>
  <c r="AH487" i="1"/>
  <c r="AG487" i="1"/>
  <c r="AF487" i="1"/>
  <c r="AE487" i="1"/>
  <c r="AD487" i="1"/>
  <c r="P487" i="1"/>
  <c r="F487" i="1"/>
  <c r="B487" i="1"/>
  <c r="BE489" i="1" s="1"/>
  <c r="DE486" i="1"/>
  <c r="DD486" i="1"/>
  <c r="DC486" i="1"/>
  <c r="DB486" i="1"/>
  <c r="DA486" i="1"/>
  <c r="CZ486" i="1"/>
  <c r="CY486" i="1"/>
  <c r="CX486" i="1"/>
  <c r="CW486" i="1"/>
  <c r="CV486" i="1"/>
  <c r="CU486" i="1"/>
  <c r="CT486" i="1"/>
  <c r="CS486" i="1"/>
  <c r="CR486" i="1"/>
  <c r="CQ486" i="1"/>
  <c r="CP486" i="1"/>
  <c r="CO486" i="1"/>
  <c r="CN486" i="1"/>
  <c r="CM486" i="1"/>
  <c r="CL486" i="1"/>
  <c r="CK486" i="1"/>
  <c r="CJ486" i="1"/>
  <c r="CI486" i="1"/>
  <c r="CH486" i="1"/>
  <c r="CG486" i="1"/>
  <c r="CF486" i="1"/>
  <c r="BR486" i="1"/>
  <c r="BP486" i="1"/>
  <c r="BO486" i="1"/>
  <c r="BN486" i="1"/>
  <c r="BM486" i="1"/>
  <c r="BL486" i="1"/>
  <c r="BK486" i="1"/>
  <c r="BJ486" i="1"/>
  <c r="BI486" i="1"/>
  <c r="BH486" i="1"/>
  <c r="BG486" i="1"/>
  <c r="BF486" i="1"/>
  <c r="BE486" i="1"/>
  <c r="BD486" i="1"/>
  <c r="BA486" i="1"/>
  <c r="AZ486" i="1"/>
  <c r="AW486" i="1"/>
  <c r="AV486" i="1"/>
  <c r="AS486" i="1"/>
  <c r="AR486" i="1"/>
  <c r="AP486" i="1"/>
  <c r="AO486" i="1"/>
  <c r="AN486" i="1"/>
  <c r="AM486" i="1"/>
  <c r="AL486" i="1"/>
  <c r="AK486" i="1"/>
  <c r="AJ486" i="1"/>
  <c r="AI486" i="1"/>
  <c r="AH486" i="1"/>
  <c r="AG486" i="1"/>
  <c r="AF486" i="1"/>
  <c r="AE486" i="1"/>
  <c r="DE485" i="1"/>
  <c r="DD485" i="1"/>
  <c r="DC485" i="1"/>
  <c r="DB485" i="1"/>
  <c r="DA485" i="1"/>
  <c r="CZ485" i="1"/>
  <c r="CY485" i="1"/>
  <c r="CX485" i="1"/>
  <c r="CW485" i="1"/>
  <c r="CV485" i="1"/>
  <c r="CU485" i="1"/>
  <c r="CT485" i="1"/>
  <c r="CS485" i="1"/>
  <c r="CR485" i="1"/>
  <c r="CQ485" i="1"/>
  <c r="CP485" i="1"/>
  <c r="CO485" i="1"/>
  <c r="CN485" i="1"/>
  <c r="CM485" i="1"/>
  <c r="CL485" i="1"/>
  <c r="CK485" i="1"/>
  <c r="CJ485" i="1"/>
  <c r="CI485" i="1"/>
  <c r="CH485" i="1"/>
  <c r="CG485" i="1"/>
  <c r="CF485" i="1"/>
  <c r="BR485" i="1"/>
  <c r="BQ485" i="1"/>
  <c r="BP485" i="1"/>
  <c r="BO485" i="1"/>
  <c r="BN485" i="1"/>
  <c r="BM485" i="1"/>
  <c r="BL485" i="1"/>
  <c r="BK485" i="1"/>
  <c r="BJ485" i="1"/>
  <c r="BH485" i="1"/>
  <c r="BG485" i="1"/>
  <c r="BF485" i="1"/>
  <c r="BD485" i="1"/>
  <c r="BC485" i="1"/>
  <c r="AZ485" i="1"/>
  <c r="AY485" i="1"/>
  <c r="AV485" i="1"/>
  <c r="AU485" i="1"/>
  <c r="AR485" i="1"/>
  <c r="AQ485" i="1"/>
  <c r="AP485" i="1"/>
  <c r="AO485" i="1"/>
  <c r="AN485" i="1"/>
  <c r="AM485" i="1"/>
  <c r="AL485" i="1"/>
  <c r="AK485" i="1"/>
  <c r="AJ485" i="1"/>
  <c r="AH485" i="1"/>
  <c r="AG485" i="1"/>
  <c r="AF485" i="1"/>
  <c r="AE485" i="1"/>
  <c r="O484" i="1" s="1"/>
  <c r="P484" i="1" s="1"/>
  <c r="AJ484" i="1" s="1"/>
  <c r="O485" i="1"/>
  <c r="J485" i="1"/>
  <c r="DE484" i="1"/>
  <c r="DD484" i="1"/>
  <c r="DC484" i="1"/>
  <c r="DB484" i="1"/>
  <c r="DA484" i="1"/>
  <c r="CZ484" i="1"/>
  <c r="CY484" i="1"/>
  <c r="CX484" i="1"/>
  <c r="CW484" i="1"/>
  <c r="CV484" i="1"/>
  <c r="CU484" i="1"/>
  <c r="CT484" i="1"/>
  <c r="CS484" i="1"/>
  <c r="CR484" i="1"/>
  <c r="CQ484" i="1"/>
  <c r="CP484" i="1"/>
  <c r="CO484" i="1"/>
  <c r="CN484" i="1"/>
  <c r="CM484" i="1"/>
  <c r="CL484" i="1"/>
  <c r="CK484" i="1"/>
  <c r="CJ484" i="1"/>
  <c r="CI484" i="1"/>
  <c r="CH484" i="1"/>
  <c r="CG484" i="1"/>
  <c r="CF484" i="1"/>
  <c r="CD484" i="1"/>
  <c r="CC484" i="1"/>
  <c r="BZ484" i="1"/>
  <c r="BY484" i="1"/>
  <c r="BV484" i="1"/>
  <c r="BU484" i="1"/>
  <c r="BR484" i="1"/>
  <c r="BQ484" i="1"/>
  <c r="BP484" i="1"/>
  <c r="BO484" i="1"/>
  <c r="BN484" i="1"/>
  <c r="BM484" i="1"/>
  <c r="BL484" i="1"/>
  <c r="BK484" i="1"/>
  <c r="BI484" i="1"/>
  <c r="BH484" i="1"/>
  <c r="BG484" i="1"/>
  <c r="BF484" i="1"/>
  <c r="BE484" i="1"/>
  <c r="BB484" i="1"/>
  <c r="BA484" i="1"/>
  <c r="AX484" i="1"/>
  <c r="AW484" i="1"/>
  <c r="AT484" i="1"/>
  <c r="AS484" i="1"/>
  <c r="AR484" i="1"/>
  <c r="AQ484" i="1"/>
  <c r="AP484" i="1"/>
  <c r="AO484" i="1"/>
  <c r="AN484" i="1"/>
  <c r="AM484" i="1"/>
  <c r="AL484" i="1"/>
  <c r="AK484" i="1"/>
  <c r="AI484" i="1"/>
  <c r="AH484" i="1"/>
  <c r="AG484" i="1"/>
  <c r="AF484" i="1"/>
  <c r="AE484" i="1"/>
  <c r="AD484" i="1"/>
  <c r="F484" i="1"/>
  <c r="B484" i="1"/>
  <c r="BC486" i="1" s="1"/>
  <c r="DE483" i="1"/>
  <c r="DD483" i="1"/>
  <c r="DC483" i="1"/>
  <c r="DB483" i="1"/>
  <c r="DA483" i="1"/>
  <c r="CZ483" i="1"/>
  <c r="CY483" i="1"/>
  <c r="CX483" i="1"/>
  <c r="CW483" i="1"/>
  <c r="CV483" i="1"/>
  <c r="CU483" i="1"/>
  <c r="CT483" i="1"/>
  <c r="CS483" i="1"/>
  <c r="CR483" i="1"/>
  <c r="CQ483" i="1"/>
  <c r="CP483" i="1"/>
  <c r="CO483" i="1"/>
  <c r="CN483" i="1"/>
  <c r="CM483" i="1"/>
  <c r="CL483" i="1"/>
  <c r="CK483" i="1"/>
  <c r="CJ483" i="1"/>
  <c r="CI483" i="1"/>
  <c r="CH483" i="1"/>
  <c r="CG483" i="1"/>
  <c r="CF483" i="1"/>
  <c r="BR483" i="1"/>
  <c r="BQ483" i="1"/>
  <c r="BP483" i="1"/>
  <c r="BO483" i="1"/>
  <c r="BN483" i="1"/>
  <c r="BM483" i="1"/>
  <c r="BL483" i="1"/>
  <c r="BK483" i="1"/>
  <c r="BJ483" i="1"/>
  <c r="BI483" i="1"/>
  <c r="BH483" i="1"/>
  <c r="BG483" i="1"/>
  <c r="BF483" i="1"/>
  <c r="BE483" i="1"/>
  <c r="BC483" i="1"/>
  <c r="BB483" i="1"/>
  <c r="BA483" i="1"/>
  <c r="AY483" i="1"/>
  <c r="AX483" i="1"/>
  <c r="AW483" i="1"/>
  <c r="AU483" i="1"/>
  <c r="AT483" i="1"/>
  <c r="AS483" i="1"/>
  <c r="AR483" i="1"/>
  <c r="AQ483" i="1"/>
  <c r="AP483" i="1"/>
  <c r="AO483" i="1"/>
  <c r="AN483" i="1"/>
  <c r="AM483" i="1"/>
  <c r="AL483" i="1"/>
  <c r="AK483" i="1"/>
  <c r="AJ483" i="1"/>
  <c r="AI483" i="1"/>
  <c r="AH483" i="1"/>
  <c r="AG483" i="1"/>
  <c r="AF483" i="1"/>
  <c r="AE483" i="1"/>
  <c r="AD483" i="1"/>
  <c r="R483" i="1"/>
  <c r="Q483" i="1"/>
  <c r="O483" i="1"/>
  <c r="P483" i="1" s="1"/>
  <c r="DE482" i="1"/>
  <c r="DD482" i="1"/>
  <c r="DC482" i="1"/>
  <c r="DB482" i="1"/>
  <c r="DA482" i="1"/>
  <c r="CZ482" i="1"/>
  <c r="CY482" i="1"/>
  <c r="CX482" i="1"/>
  <c r="CW482" i="1"/>
  <c r="CV482" i="1"/>
  <c r="CU482" i="1"/>
  <c r="CT482" i="1"/>
  <c r="CS482" i="1"/>
  <c r="CR482" i="1"/>
  <c r="CQ482" i="1"/>
  <c r="CP482" i="1"/>
  <c r="CO482" i="1"/>
  <c r="CN482" i="1"/>
  <c r="CM482" i="1"/>
  <c r="CL482" i="1"/>
  <c r="CK482" i="1"/>
  <c r="CJ482" i="1"/>
  <c r="CI482" i="1"/>
  <c r="CH482" i="1"/>
  <c r="CG482" i="1"/>
  <c r="CF482" i="1"/>
  <c r="BR482" i="1"/>
  <c r="BQ482" i="1"/>
  <c r="BP482" i="1"/>
  <c r="BO482" i="1"/>
  <c r="BN482" i="1"/>
  <c r="BM482" i="1"/>
  <c r="BL482" i="1"/>
  <c r="BK482" i="1"/>
  <c r="BI482" i="1"/>
  <c r="BH482" i="1"/>
  <c r="BG482" i="1"/>
  <c r="BF482" i="1"/>
  <c r="BE482" i="1"/>
  <c r="BC482" i="1"/>
  <c r="BB482" i="1"/>
  <c r="BA482" i="1"/>
  <c r="AY482" i="1"/>
  <c r="AX482" i="1"/>
  <c r="AW482" i="1"/>
  <c r="AU482" i="1"/>
  <c r="AT482" i="1"/>
  <c r="AS482" i="1"/>
  <c r="AR482" i="1"/>
  <c r="AQ482" i="1"/>
  <c r="AP482" i="1"/>
  <c r="AO482" i="1"/>
  <c r="AN482" i="1"/>
  <c r="AM482" i="1"/>
  <c r="AL482" i="1"/>
  <c r="AK482" i="1"/>
  <c r="AI482" i="1"/>
  <c r="AH482" i="1"/>
  <c r="AG482" i="1"/>
  <c r="AF482" i="1"/>
  <c r="AE482" i="1"/>
  <c r="O481" i="1" s="1"/>
  <c r="AD482" i="1"/>
  <c r="O482" i="1"/>
  <c r="P482" i="1" s="1"/>
  <c r="AJ482" i="1" s="1"/>
  <c r="J482" i="1"/>
  <c r="DE481" i="1"/>
  <c r="DD481" i="1"/>
  <c r="DC481" i="1"/>
  <c r="DB481" i="1"/>
  <c r="DA481" i="1"/>
  <c r="CZ481" i="1"/>
  <c r="CY481" i="1"/>
  <c r="CX481" i="1"/>
  <c r="CW481" i="1"/>
  <c r="CV481" i="1"/>
  <c r="CU481" i="1"/>
  <c r="CT481" i="1"/>
  <c r="CS481" i="1"/>
  <c r="CR481" i="1"/>
  <c r="CQ481" i="1"/>
  <c r="CP481" i="1"/>
  <c r="CO481" i="1"/>
  <c r="CN481" i="1"/>
  <c r="CM481" i="1"/>
  <c r="CL481" i="1"/>
  <c r="CK481" i="1"/>
  <c r="CJ481" i="1"/>
  <c r="CI481" i="1"/>
  <c r="CH481" i="1"/>
  <c r="CG481" i="1"/>
  <c r="CF481" i="1"/>
  <c r="CD481" i="1"/>
  <c r="CC481" i="1"/>
  <c r="CB481" i="1"/>
  <c r="BZ481" i="1"/>
  <c r="BY481" i="1"/>
  <c r="BX481" i="1"/>
  <c r="BV481" i="1"/>
  <c r="BU481" i="1"/>
  <c r="BT481" i="1"/>
  <c r="BR481" i="1"/>
  <c r="BQ481" i="1"/>
  <c r="BP481" i="1"/>
  <c r="BO481" i="1"/>
  <c r="BN481" i="1"/>
  <c r="BL481" i="1"/>
  <c r="BK481" i="1"/>
  <c r="BJ481" i="1"/>
  <c r="BI481" i="1"/>
  <c r="BH481" i="1"/>
  <c r="BG481" i="1"/>
  <c r="BF481" i="1"/>
  <c r="BE481" i="1"/>
  <c r="BD481" i="1"/>
  <c r="BB481" i="1"/>
  <c r="BA481" i="1"/>
  <c r="AZ481" i="1"/>
  <c r="AX481" i="1"/>
  <c r="AW481" i="1"/>
  <c r="AV481" i="1"/>
  <c r="AT481" i="1"/>
  <c r="AS481" i="1"/>
  <c r="AR481" i="1"/>
  <c r="AQ481" i="1"/>
  <c r="AP481" i="1"/>
  <c r="AO481" i="1"/>
  <c r="AN481" i="1"/>
  <c r="AL481" i="1"/>
  <c r="AK481" i="1"/>
  <c r="AJ481" i="1"/>
  <c r="AI481" i="1"/>
  <c r="AH481" i="1"/>
  <c r="AG481" i="1"/>
  <c r="AF481" i="1"/>
  <c r="AE481" i="1"/>
  <c r="AD481" i="1"/>
  <c r="F481" i="1"/>
  <c r="B481" i="1"/>
  <c r="BD483" i="1" s="1"/>
  <c r="DE480" i="1"/>
  <c r="DD480" i="1"/>
  <c r="DC480" i="1"/>
  <c r="DB480" i="1"/>
  <c r="DA480" i="1"/>
  <c r="CZ480" i="1"/>
  <c r="CY480" i="1"/>
  <c r="CX480" i="1"/>
  <c r="CW480" i="1"/>
  <c r="CV480" i="1"/>
  <c r="CU480" i="1"/>
  <c r="CT480" i="1"/>
  <c r="CS480" i="1"/>
  <c r="CR480" i="1"/>
  <c r="CQ480" i="1"/>
  <c r="CP480" i="1"/>
  <c r="CO480" i="1"/>
  <c r="CN480" i="1"/>
  <c r="CM480" i="1"/>
  <c r="CL480" i="1"/>
  <c r="CK480" i="1"/>
  <c r="CJ480" i="1"/>
  <c r="CI480" i="1"/>
  <c r="CH480" i="1"/>
  <c r="CG480" i="1"/>
  <c r="CF480" i="1"/>
  <c r="BR480" i="1"/>
  <c r="BQ480" i="1"/>
  <c r="BP480" i="1"/>
  <c r="BO480" i="1"/>
  <c r="BN480" i="1"/>
  <c r="BM480" i="1"/>
  <c r="BL480" i="1"/>
  <c r="BK480" i="1"/>
  <c r="BJ480" i="1"/>
  <c r="BI480" i="1"/>
  <c r="BH480" i="1"/>
  <c r="BF480" i="1"/>
  <c r="BE480" i="1"/>
  <c r="BD480" i="1"/>
  <c r="BB480" i="1"/>
  <c r="BA480" i="1"/>
  <c r="AZ480" i="1"/>
  <c r="AX480" i="1"/>
  <c r="AW480" i="1"/>
  <c r="AV480" i="1"/>
  <c r="AT480" i="1"/>
  <c r="AS480" i="1"/>
  <c r="AR480" i="1"/>
  <c r="AQ480" i="1"/>
  <c r="AP480" i="1"/>
  <c r="AO480" i="1"/>
  <c r="AN480" i="1"/>
  <c r="AM480" i="1"/>
  <c r="AL480" i="1"/>
  <c r="AK480" i="1"/>
  <c r="AJ480" i="1"/>
  <c r="AI480" i="1"/>
  <c r="AH480" i="1"/>
  <c r="AF480" i="1"/>
  <c r="AE480" i="1"/>
  <c r="DE479" i="1"/>
  <c r="DD479" i="1"/>
  <c r="DC479" i="1"/>
  <c r="DB479" i="1"/>
  <c r="DA479" i="1"/>
  <c r="CZ479" i="1"/>
  <c r="CY479" i="1"/>
  <c r="CX479" i="1"/>
  <c r="CW479" i="1"/>
  <c r="CV479" i="1"/>
  <c r="CU479" i="1"/>
  <c r="CT479" i="1"/>
  <c r="CS479" i="1"/>
  <c r="CR479" i="1"/>
  <c r="CQ479" i="1"/>
  <c r="CP479" i="1"/>
  <c r="CO479" i="1"/>
  <c r="CN479" i="1"/>
  <c r="CM479" i="1"/>
  <c r="CL479" i="1"/>
  <c r="CK479" i="1"/>
  <c r="CJ479" i="1"/>
  <c r="CI479" i="1"/>
  <c r="CH479" i="1"/>
  <c r="CG479" i="1"/>
  <c r="CF479" i="1"/>
  <c r="BR479" i="1"/>
  <c r="BQ479" i="1"/>
  <c r="BP479" i="1"/>
  <c r="BO479" i="1"/>
  <c r="BN479" i="1"/>
  <c r="BM479" i="1"/>
  <c r="BL479" i="1"/>
  <c r="BK479" i="1"/>
  <c r="BJ479" i="1"/>
  <c r="BI479" i="1"/>
  <c r="BH479" i="1"/>
  <c r="BF479" i="1"/>
  <c r="BE479" i="1"/>
  <c r="BD479" i="1"/>
  <c r="BC479" i="1"/>
  <c r="BA479" i="1"/>
  <c r="AZ479" i="1"/>
  <c r="AY479" i="1"/>
  <c r="AW479" i="1"/>
  <c r="AV479" i="1"/>
  <c r="AU479" i="1"/>
  <c r="AS479" i="1"/>
  <c r="AR479" i="1"/>
  <c r="AQ479" i="1"/>
  <c r="AP479" i="1"/>
  <c r="AO479" i="1"/>
  <c r="AN479" i="1"/>
  <c r="AM479" i="1"/>
  <c r="AL479" i="1"/>
  <c r="AK479" i="1"/>
  <c r="AJ479" i="1"/>
  <c r="AI479" i="1"/>
  <c r="AH479" i="1"/>
  <c r="AF479" i="1"/>
  <c r="AE479" i="1"/>
  <c r="O478" i="1" s="1"/>
  <c r="O479" i="1"/>
  <c r="BG479" i="1" s="1"/>
  <c r="DE478" i="1"/>
  <c r="DD478" i="1"/>
  <c r="DC478" i="1"/>
  <c r="DB478" i="1"/>
  <c r="DA478" i="1"/>
  <c r="CZ478" i="1"/>
  <c r="CY478" i="1"/>
  <c r="CX478" i="1"/>
  <c r="CW478" i="1"/>
  <c r="CV478" i="1"/>
  <c r="CU478" i="1"/>
  <c r="CT478" i="1"/>
  <c r="CS478" i="1"/>
  <c r="CR478" i="1"/>
  <c r="CQ478" i="1"/>
  <c r="CP478" i="1"/>
  <c r="CO478" i="1"/>
  <c r="CN478" i="1"/>
  <c r="CM478" i="1"/>
  <c r="CL478" i="1"/>
  <c r="CK478" i="1"/>
  <c r="CJ478" i="1"/>
  <c r="CI478" i="1"/>
  <c r="CH478" i="1"/>
  <c r="CG478" i="1"/>
  <c r="CF478" i="1"/>
  <c r="CD478" i="1"/>
  <c r="CC478" i="1"/>
  <c r="CB478" i="1"/>
  <c r="BZ478" i="1"/>
  <c r="BY478" i="1"/>
  <c r="BX478" i="1"/>
  <c r="BV478" i="1"/>
  <c r="BU478" i="1"/>
  <c r="BR478" i="1"/>
  <c r="BQ478" i="1"/>
  <c r="BP478" i="1"/>
  <c r="BO478" i="1"/>
  <c r="BN478" i="1"/>
  <c r="BM478" i="1"/>
  <c r="BL478" i="1"/>
  <c r="BK478" i="1"/>
  <c r="BJ478" i="1"/>
  <c r="BI478" i="1"/>
  <c r="BH478" i="1"/>
  <c r="BG478" i="1"/>
  <c r="BF478" i="1"/>
  <c r="BE478" i="1"/>
  <c r="BD478" i="1"/>
  <c r="BB478" i="1"/>
  <c r="BA478" i="1"/>
  <c r="AZ478" i="1"/>
  <c r="AX478" i="1"/>
  <c r="AW478" i="1"/>
  <c r="AV478" i="1"/>
  <c r="AT478" i="1"/>
  <c r="AS478" i="1"/>
  <c r="AR478" i="1"/>
  <c r="AQ478" i="1"/>
  <c r="AP478" i="1"/>
  <c r="AO478" i="1"/>
  <c r="AN478" i="1"/>
  <c r="AM478" i="1"/>
  <c r="AL478" i="1"/>
  <c r="AK478" i="1"/>
  <c r="AJ478" i="1"/>
  <c r="AI478" i="1"/>
  <c r="AH478" i="1"/>
  <c r="AG478" i="1"/>
  <c r="AF478" i="1"/>
  <c r="AE478" i="1"/>
  <c r="O480" i="1" s="1"/>
  <c r="BG480" i="1" s="1"/>
  <c r="AD478" i="1"/>
  <c r="P478" i="1"/>
  <c r="F478" i="1"/>
  <c r="B478" i="1"/>
  <c r="BC480" i="1" s="1"/>
  <c r="DE477" i="1"/>
  <c r="DD477" i="1"/>
  <c r="DC477" i="1"/>
  <c r="DB477" i="1"/>
  <c r="DA477" i="1"/>
  <c r="CZ477" i="1"/>
  <c r="CY477" i="1"/>
  <c r="CX477" i="1"/>
  <c r="CW477" i="1"/>
  <c r="CV477" i="1"/>
  <c r="CU477" i="1"/>
  <c r="CT477" i="1"/>
  <c r="CS477" i="1"/>
  <c r="CR477" i="1"/>
  <c r="CQ477" i="1"/>
  <c r="CP477" i="1"/>
  <c r="CO477" i="1"/>
  <c r="CN477" i="1"/>
  <c r="CM477" i="1"/>
  <c r="CL477" i="1"/>
  <c r="CK477" i="1"/>
  <c r="CJ477" i="1"/>
  <c r="CI477" i="1"/>
  <c r="CH477" i="1"/>
  <c r="CG477" i="1"/>
  <c r="CF477" i="1"/>
  <c r="BR477" i="1"/>
  <c r="BQ477" i="1"/>
  <c r="BP477" i="1"/>
  <c r="BO477" i="1"/>
  <c r="BN477" i="1"/>
  <c r="BM477" i="1"/>
  <c r="BL477" i="1"/>
  <c r="BK477" i="1"/>
  <c r="BJ477" i="1"/>
  <c r="BI477" i="1"/>
  <c r="BH477" i="1"/>
  <c r="BF477" i="1"/>
  <c r="BD477" i="1"/>
  <c r="BB477" i="1"/>
  <c r="AX477" i="1"/>
  <c r="AW477" i="1"/>
  <c r="AS477" i="1"/>
  <c r="AR477" i="1"/>
  <c r="AQ477" i="1"/>
  <c r="AP477" i="1"/>
  <c r="AO477" i="1"/>
  <c r="AN477" i="1"/>
  <c r="AM477" i="1"/>
  <c r="AL477" i="1"/>
  <c r="AK477" i="1"/>
  <c r="AJ477" i="1"/>
  <c r="AI477" i="1"/>
  <c r="AH477" i="1"/>
  <c r="AG477" i="1"/>
  <c r="AF477" i="1"/>
  <c r="AE477" i="1"/>
  <c r="AD477" i="1"/>
  <c r="DE476" i="1"/>
  <c r="DD476" i="1"/>
  <c r="DC476" i="1"/>
  <c r="DB476" i="1"/>
  <c r="DA476" i="1"/>
  <c r="CZ476" i="1"/>
  <c r="CY476" i="1"/>
  <c r="CX476" i="1"/>
  <c r="CW476" i="1"/>
  <c r="CV476" i="1"/>
  <c r="CU476" i="1"/>
  <c r="CT476" i="1"/>
  <c r="CS476" i="1"/>
  <c r="CR476" i="1"/>
  <c r="CQ476" i="1"/>
  <c r="CP476" i="1"/>
  <c r="CO476" i="1"/>
  <c r="CN476" i="1"/>
  <c r="CM476" i="1"/>
  <c r="CL476" i="1"/>
  <c r="CK476" i="1"/>
  <c r="CJ476" i="1"/>
  <c r="CI476" i="1"/>
  <c r="CH476" i="1"/>
  <c r="CG476" i="1"/>
  <c r="CF476" i="1"/>
  <c r="BR476" i="1"/>
  <c r="BQ476" i="1"/>
  <c r="BP476" i="1"/>
  <c r="BO476" i="1"/>
  <c r="BN476" i="1"/>
  <c r="BM476" i="1"/>
  <c r="BL476" i="1"/>
  <c r="BK476" i="1"/>
  <c r="BJ476" i="1"/>
  <c r="BI476" i="1"/>
  <c r="BH476" i="1"/>
  <c r="BF476" i="1"/>
  <c r="BE476" i="1"/>
  <c r="BA476" i="1"/>
  <c r="AZ476" i="1"/>
  <c r="AV476" i="1"/>
  <c r="AT476" i="1"/>
  <c r="AR476" i="1"/>
  <c r="AQ476" i="1"/>
  <c r="AP476" i="1"/>
  <c r="AO476" i="1"/>
  <c r="AN476" i="1"/>
  <c r="AM476" i="1"/>
  <c r="AL476" i="1"/>
  <c r="AK476" i="1"/>
  <c r="AJ476" i="1"/>
  <c r="AI476" i="1"/>
  <c r="AH476" i="1"/>
  <c r="AF476" i="1"/>
  <c r="AE476" i="1"/>
  <c r="AD476" i="1"/>
  <c r="O476" i="1"/>
  <c r="DE475" i="1"/>
  <c r="DD475" i="1"/>
  <c r="DC475" i="1"/>
  <c r="DB475" i="1"/>
  <c r="DA475" i="1"/>
  <c r="CZ475" i="1"/>
  <c r="CY475" i="1"/>
  <c r="CX475" i="1"/>
  <c r="CW475" i="1"/>
  <c r="CV475" i="1"/>
  <c r="CU475" i="1"/>
  <c r="CT475" i="1"/>
  <c r="CS475" i="1"/>
  <c r="CR475" i="1"/>
  <c r="CQ475" i="1"/>
  <c r="CP475" i="1"/>
  <c r="CO475" i="1"/>
  <c r="CN475" i="1"/>
  <c r="CM475" i="1"/>
  <c r="CL475" i="1"/>
  <c r="CK475" i="1"/>
  <c r="CJ475" i="1"/>
  <c r="CI475" i="1"/>
  <c r="CH475" i="1"/>
  <c r="CG475" i="1"/>
  <c r="CF475" i="1"/>
  <c r="CE475" i="1"/>
  <c r="CD475" i="1"/>
  <c r="BX475" i="1"/>
  <c r="BS475" i="1"/>
  <c r="BR475" i="1"/>
  <c r="BQ475" i="1"/>
  <c r="BP475" i="1"/>
  <c r="BO475" i="1"/>
  <c r="BN475" i="1"/>
  <c r="BL475" i="1"/>
  <c r="BK475" i="1"/>
  <c r="BJ475" i="1"/>
  <c r="BI475" i="1"/>
  <c r="BH475" i="1"/>
  <c r="BG475" i="1"/>
  <c r="BF475" i="1"/>
  <c r="BB475" i="1"/>
  <c r="AZ475" i="1"/>
  <c r="AV475" i="1"/>
  <c r="AU475" i="1"/>
  <c r="AR475" i="1"/>
  <c r="AQ475" i="1"/>
  <c r="AP475" i="1"/>
  <c r="AO475" i="1"/>
  <c r="AN475" i="1"/>
  <c r="AL475" i="1"/>
  <c r="AK475" i="1"/>
  <c r="AJ475" i="1"/>
  <c r="AI475" i="1"/>
  <c r="AH475" i="1"/>
  <c r="AG475" i="1"/>
  <c r="AF475" i="1"/>
  <c r="AE475" i="1"/>
  <c r="O477" i="1" s="1"/>
  <c r="AD475" i="1"/>
  <c r="O475" i="1"/>
  <c r="F475" i="1"/>
  <c r="B475" i="1"/>
  <c r="DE474" i="1"/>
  <c r="DD474" i="1"/>
  <c r="DC474" i="1"/>
  <c r="DB474" i="1"/>
  <c r="DA474" i="1"/>
  <c r="CZ474" i="1"/>
  <c r="CY474" i="1"/>
  <c r="CX474" i="1"/>
  <c r="CW474" i="1"/>
  <c r="CV474" i="1"/>
  <c r="CU474" i="1"/>
  <c r="CT474" i="1"/>
  <c r="CS474" i="1"/>
  <c r="CR474" i="1"/>
  <c r="CQ474" i="1"/>
  <c r="CP474" i="1"/>
  <c r="CO474" i="1"/>
  <c r="CN474" i="1"/>
  <c r="CM474" i="1"/>
  <c r="CL474" i="1"/>
  <c r="CK474" i="1"/>
  <c r="CJ474" i="1"/>
  <c r="CI474" i="1"/>
  <c r="CH474" i="1"/>
  <c r="CG474" i="1"/>
  <c r="CF474" i="1"/>
  <c r="BR474" i="1"/>
  <c r="BQ474" i="1"/>
  <c r="BP474" i="1"/>
  <c r="BO474" i="1"/>
  <c r="BN474" i="1"/>
  <c r="BM474" i="1"/>
  <c r="BL474" i="1"/>
  <c r="BK474" i="1"/>
  <c r="BJ474" i="1"/>
  <c r="BI474" i="1"/>
  <c r="BH474" i="1"/>
  <c r="BG474" i="1"/>
  <c r="BF474" i="1"/>
  <c r="BD474" i="1"/>
  <c r="BC474" i="1"/>
  <c r="BB474" i="1"/>
  <c r="AZ474" i="1"/>
  <c r="AY474" i="1"/>
  <c r="AX474" i="1"/>
  <c r="AV474" i="1"/>
  <c r="AU474" i="1"/>
  <c r="AT474" i="1"/>
  <c r="AR474" i="1"/>
  <c r="AQ474" i="1"/>
  <c r="AP474" i="1"/>
  <c r="AO474" i="1"/>
  <c r="AN474" i="1"/>
  <c r="AM474" i="1"/>
  <c r="AL474" i="1"/>
  <c r="AK474" i="1"/>
  <c r="AJ474" i="1"/>
  <c r="AI474" i="1"/>
  <c r="AH474" i="1"/>
  <c r="AG474" i="1"/>
  <c r="AF474" i="1"/>
  <c r="AE474" i="1"/>
  <c r="R474" i="1"/>
  <c r="Q474" i="1"/>
  <c r="DE473" i="1"/>
  <c r="DD473" i="1"/>
  <c r="DC473" i="1"/>
  <c r="DB473" i="1"/>
  <c r="DA473" i="1"/>
  <c r="CZ473" i="1"/>
  <c r="CY473" i="1"/>
  <c r="CX473" i="1"/>
  <c r="CW473" i="1"/>
  <c r="CV473" i="1"/>
  <c r="CU473" i="1"/>
  <c r="CT473" i="1"/>
  <c r="CS473" i="1"/>
  <c r="CR473" i="1"/>
  <c r="CQ473" i="1"/>
  <c r="CP473" i="1"/>
  <c r="CO473" i="1"/>
  <c r="CN473" i="1"/>
  <c r="CM473" i="1"/>
  <c r="CL473" i="1"/>
  <c r="CK473" i="1"/>
  <c r="CJ473" i="1"/>
  <c r="CI473" i="1"/>
  <c r="CH473" i="1"/>
  <c r="CG473" i="1"/>
  <c r="CF473" i="1"/>
  <c r="BR473" i="1"/>
  <c r="BQ473" i="1"/>
  <c r="BP473" i="1"/>
  <c r="BO473" i="1"/>
  <c r="BN473" i="1"/>
  <c r="BM473" i="1"/>
  <c r="BL473" i="1"/>
  <c r="BK473" i="1"/>
  <c r="BJ473" i="1"/>
  <c r="BI473" i="1"/>
  <c r="BH473" i="1"/>
  <c r="BF473" i="1"/>
  <c r="BE473" i="1"/>
  <c r="BC473" i="1"/>
  <c r="BB473" i="1"/>
  <c r="BA473" i="1"/>
  <c r="AY473" i="1"/>
  <c r="AX473" i="1"/>
  <c r="AW473" i="1"/>
  <c r="AU473" i="1"/>
  <c r="AT473" i="1"/>
  <c r="AS473" i="1"/>
  <c r="AR473" i="1"/>
  <c r="AQ473" i="1"/>
  <c r="AP473" i="1"/>
  <c r="AO473" i="1"/>
  <c r="AN473" i="1"/>
  <c r="AM473" i="1"/>
  <c r="AL473" i="1"/>
  <c r="AK473" i="1"/>
  <c r="AJ473" i="1"/>
  <c r="AI473" i="1"/>
  <c r="AH473" i="1"/>
  <c r="AF473" i="1"/>
  <c r="AE473" i="1"/>
  <c r="J473" i="1"/>
  <c r="DE472" i="1"/>
  <c r="DD472" i="1"/>
  <c r="DC472" i="1"/>
  <c r="DB472" i="1"/>
  <c r="DA472" i="1"/>
  <c r="CZ472" i="1"/>
  <c r="CY472" i="1"/>
  <c r="CX472" i="1"/>
  <c r="CW472" i="1"/>
  <c r="CV472" i="1"/>
  <c r="CU472" i="1"/>
  <c r="CT472" i="1"/>
  <c r="CS472" i="1"/>
  <c r="CR472" i="1"/>
  <c r="CQ472" i="1"/>
  <c r="CP472" i="1"/>
  <c r="CO472" i="1"/>
  <c r="CN472" i="1"/>
  <c r="CM472" i="1"/>
  <c r="CL472" i="1"/>
  <c r="CK472" i="1"/>
  <c r="CJ472" i="1"/>
  <c r="CI472" i="1"/>
  <c r="CH472" i="1"/>
  <c r="CG472" i="1"/>
  <c r="CF472" i="1"/>
  <c r="CE472" i="1"/>
  <c r="CC472" i="1"/>
  <c r="CB472" i="1"/>
  <c r="CA472" i="1"/>
  <c r="BY472" i="1"/>
  <c r="BX472" i="1"/>
  <c r="BW472" i="1"/>
  <c r="BU472" i="1"/>
  <c r="BS472" i="1"/>
  <c r="BR472" i="1"/>
  <c r="BQ472" i="1"/>
  <c r="BP472" i="1"/>
  <c r="BO472" i="1"/>
  <c r="BN472" i="1"/>
  <c r="BL472" i="1"/>
  <c r="BK472" i="1"/>
  <c r="BJ472" i="1"/>
  <c r="BI472" i="1"/>
  <c r="BH472" i="1"/>
  <c r="BG472" i="1"/>
  <c r="BF472" i="1"/>
  <c r="BE472" i="1"/>
  <c r="BD472" i="1"/>
  <c r="BC472" i="1"/>
  <c r="BA472" i="1"/>
  <c r="AZ472" i="1"/>
  <c r="AY472" i="1"/>
  <c r="AW472" i="1"/>
  <c r="AV472" i="1"/>
  <c r="AU472" i="1"/>
  <c r="AS472" i="1"/>
  <c r="AR472" i="1"/>
  <c r="AQ472" i="1"/>
  <c r="AP472" i="1"/>
  <c r="AO472" i="1"/>
  <c r="AN472" i="1"/>
  <c r="AL472" i="1"/>
  <c r="AK472" i="1"/>
  <c r="AJ472" i="1"/>
  <c r="AI472" i="1"/>
  <c r="AH472" i="1"/>
  <c r="AG472" i="1"/>
  <c r="AF472" i="1"/>
  <c r="AE472" i="1"/>
  <c r="AD472" i="1"/>
  <c r="G472" i="1"/>
  <c r="F472" i="1"/>
  <c r="B472" i="1"/>
  <c r="BE474" i="1" s="1"/>
  <c r="DE471" i="1"/>
  <c r="DD471" i="1"/>
  <c r="DC471" i="1"/>
  <c r="DB471" i="1"/>
  <c r="DA471" i="1"/>
  <c r="CZ471" i="1"/>
  <c r="CY471" i="1"/>
  <c r="CX471" i="1"/>
  <c r="CW471" i="1"/>
  <c r="CV471" i="1"/>
  <c r="CU471" i="1"/>
  <c r="CT471" i="1"/>
  <c r="CS471" i="1"/>
  <c r="CR471" i="1"/>
  <c r="CQ471" i="1"/>
  <c r="CP471" i="1"/>
  <c r="CO471" i="1"/>
  <c r="CN471" i="1"/>
  <c r="CM471" i="1"/>
  <c r="CL471" i="1"/>
  <c r="CK471" i="1"/>
  <c r="CJ471" i="1"/>
  <c r="CI471" i="1"/>
  <c r="CH471" i="1"/>
  <c r="CG471" i="1"/>
  <c r="CF471" i="1"/>
  <c r="BR471" i="1"/>
  <c r="BQ471" i="1"/>
  <c r="BP471" i="1"/>
  <c r="BO471" i="1"/>
  <c r="BN471" i="1"/>
  <c r="BM471" i="1"/>
  <c r="BL471" i="1"/>
  <c r="BK471" i="1"/>
  <c r="BJ471" i="1"/>
  <c r="BI471" i="1"/>
  <c r="BH471" i="1"/>
  <c r="BG471" i="1"/>
  <c r="BF471" i="1"/>
  <c r="BE471" i="1"/>
  <c r="BD471" i="1"/>
  <c r="BB471" i="1"/>
  <c r="BA471" i="1"/>
  <c r="AZ471" i="1"/>
  <c r="AX471" i="1"/>
  <c r="AW471" i="1"/>
  <c r="AV471" i="1"/>
  <c r="AT471" i="1"/>
  <c r="AS471" i="1"/>
  <c r="AR471" i="1"/>
  <c r="AQ471" i="1"/>
  <c r="AP471" i="1"/>
  <c r="AO471" i="1"/>
  <c r="AN471" i="1"/>
  <c r="AM471" i="1"/>
  <c r="AL471" i="1"/>
  <c r="AK471" i="1"/>
  <c r="AJ471" i="1"/>
  <c r="AI471" i="1"/>
  <c r="AH471" i="1"/>
  <c r="AG471" i="1"/>
  <c r="AF471" i="1"/>
  <c r="AE471" i="1"/>
  <c r="AD471" i="1"/>
  <c r="R471" i="1"/>
  <c r="Q471" i="1"/>
  <c r="DE470" i="1"/>
  <c r="DD470" i="1"/>
  <c r="DC470" i="1"/>
  <c r="DB470" i="1"/>
  <c r="DA470" i="1"/>
  <c r="CZ470" i="1"/>
  <c r="CY470" i="1"/>
  <c r="CX470" i="1"/>
  <c r="CW470" i="1"/>
  <c r="CV470" i="1"/>
  <c r="CU470" i="1"/>
  <c r="CT470" i="1"/>
  <c r="CS470" i="1"/>
  <c r="CR470" i="1"/>
  <c r="CQ470" i="1"/>
  <c r="CP470" i="1"/>
  <c r="CO470" i="1"/>
  <c r="CN470" i="1"/>
  <c r="CM470" i="1"/>
  <c r="CL470" i="1"/>
  <c r="CK470" i="1"/>
  <c r="CJ470" i="1"/>
  <c r="CI470" i="1"/>
  <c r="CH470" i="1"/>
  <c r="CG470" i="1"/>
  <c r="CF470" i="1"/>
  <c r="BR470" i="1"/>
  <c r="BQ470" i="1"/>
  <c r="BP470" i="1"/>
  <c r="BO470" i="1"/>
  <c r="BN470" i="1"/>
  <c r="BM470" i="1"/>
  <c r="BL470" i="1"/>
  <c r="BK470" i="1"/>
  <c r="BJ470" i="1"/>
  <c r="BI470" i="1"/>
  <c r="BH470" i="1"/>
  <c r="BF470" i="1"/>
  <c r="BE470" i="1"/>
  <c r="BD470" i="1"/>
  <c r="BB470" i="1"/>
  <c r="BA470" i="1"/>
  <c r="AZ470" i="1"/>
  <c r="AX470" i="1"/>
  <c r="AW470" i="1"/>
  <c r="AV470" i="1"/>
  <c r="AT470" i="1"/>
  <c r="AS470" i="1"/>
  <c r="AR470" i="1"/>
  <c r="AQ470" i="1"/>
  <c r="AP470" i="1"/>
  <c r="AO470" i="1"/>
  <c r="AN470" i="1"/>
  <c r="AM470" i="1"/>
  <c r="AL470" i="1"/>
  <c r="AK470" i="1"/>
  <c r="AJ470" i="1"/>
  <c r="AI470" i="1"/>
  <c r="AH470" i="1"/>
  <c r="AF470" i="1"/>
  <c r="AE470" i="1"/>
  <c r="AD470" i="1"/>
  <c r="O470" i="1"/>
  <c r="J470" i="1"/>
  <c r="DE469" i="1"/>
  <c r="DD469" i="1"/>
  <c r="DC469" i="1"/>
  <c r="DB469" i="1"/>
  <c r="DA469" i="1"/>
  <c r="CZ469" i="1"/>
  <c r="CY469" i="1"/>
  <c r="CX469" i="1"/>
  <c r="CW469" i="1"/>
  <c r="CV469" i="1"/>
  <c r="CU469" i="1"/>
  <c r="CT469" i="1"/>
  <c r="CS469" i="1"/>
  <c r="CR469" i="1"/>
  <c r="CQ469" i="1"/>
  <c r="CP469" i="1"/>
  <c r="CO469" i="1"/>
  <c r="CN469" i="1"/>
  <c r="CM469" i="1"/>
  <c r="CL469" i="1"/>
  <c r="CK469" i="1"/>
  <c r="CJ469" i="1"/>
  <c r="CI469" i="1"/>
  <c r="CH469" i="1"/>
  <c r="CG469" i="1"/>
  <c r="CF469" i="1"/>
  <c r="CE469" i="1"/>
  <c r="CC469" i="1"/>
  <c r="CB469" i="1"/>
  <c r="CA469" i="1"/>
  <c r="BY469" i="1"/>
  <c r="BX469" i="1"/>
  <c r="BW469" i="1"/>
  <c r="BU469" i="1"/>
  <c r="BS469" i="1"/>
  <c r="BR469" i="1"/>
  <c r="BP469" i="1"/>
  <c r="BO469" i="1"/>
  <c r="BN469" i="1"/>
  <c r="BM469" i="1"/>
  <c r="BL469" i="1"/>
  <c r="BK469" i="1"/>
  <c r="BJ469" i="1"/>
  <c r="BI469" i="1"/>
  <c r="BH469" i="1"/>
  <c r="BG469" i="1"/>
  <c r="BF469" i="1"/>
  <c r="BE469" i="1"/>
  <c r="BD469" i="1"/>
  <c r="BC469" i="1"/>
  <c r="BA469" i="1"/>
  <c r="AZ469" i="1"/>
  <c r="AY469" i="1"/>
  <c r="AW469" i="1"/>
  <c r="AV469" i="1"/>
  <c r="AU469" i="1"/>
  <c r="AS469" i="1"/>
  <c r="AR469" i="1"/>
  <c r="AP469" i="1"/>
  <c r="AO469" i="1"/>
  <c r="AN469" i="1"/>
  <c r="AM469" i="1"/>
  <c r="AL469" i="1"/>
  <c r="AK469" i="1"/>
  <c r="AJ469" i="1"/>
  <c r="AI469" i="1"/>
  <c r="AH469" i="1"/>
  <c r="AG469" i="1"/>
  <c r="AF469" i="1"/>
  <c r="AE469" i="1"/>
  <c r="O471" i="1" s="1"/>
  <c r="P471" i="1" s="1"/>
  <c r="AD469" i="1"/>
  <c r="O469" i="1"/>
  <c r="G469" i="1"/>
  <c r="F469" i="1"/>
  <c r="B469" i="1"/>
  <c r="BC471" i="1" s="1"/>
  <c r="DE468" i="1"/>
  <c r="DD468" i="1"/>
  <c r="DC468" i="1"/>
  <c r="DB468" i="1"/>
  <c r="DA468" i="1"/>
  <c r="CZ468" i="1"/>
  <c r="CY468" i="1"/>
  <c r="CX468" i="1"/>
  <c r="CW468" i="1"/>
  <c r="CV468" i="1"/>
  <c r="CU468" i="1"/>
  <c r="CT468" i="1"/>
  <c r="CS468" i="1"/>
  <c r="CR468" i="1"/>
  <c r="CQ468" i="1"/>
  <c r="CP468" i="1"/>
  <c r="CO468" i="1"/>
  <c r="CN468" i="1"/>
  <c r="CM468" i="1"/>
  <c r="CL468" i="1"/>
  <c r="CK468" i="1"/>
  <c r="CJ468" i="1"/>
  <c r="CI468" i="1"/>
  <c r="CH468" i="1"/>
  <c r="CG468" i="1"/>
  <c r="CF468" i="1"/>
  <c r="BR468" i="1"/>
  <c r="BQ468" i="1"/>
  <c r="BP468" i="1"/>
  <c r="BO468" i="1"/>
  <c r="BN468" i="1"/>
  <c r="BM468" i="1"/>
  <c r="BL468" i="1"/>
  <c r="BK468" i="1"/>
  <c r="BJ468" i="1"/>
  <c r="BI468" i="1"/>
  <c r="BH468" i="1"/>
  <c r="BG468" i="1"/>
  <c r="BF468" i="1"/>
  <c r="BA468" i="1"/>
  <c r="AW468" i="1"/>
  <c r="AV468" i="1"/>
  <c r="AR468" i="1"/>
  <c r="AQ468" i="1"/>
  <c r="AP468" i="1"/>
  <c r="AO468" i="1"/>
  <c r="AN468" i="1"/>
  <c r="AM468" i="1"/>
  <c r="AL468" i="1"/>
  <c r="AK468" i="1"/>
  <c r="AJ468" i="1"/>
  <c r="AI468" i="1"/>
  <c r="AH468" i="1"/>
  <c r="AG468" i="1"/>
  <c r="AF468" i="1"/>
  <c r="AE468" i="1"/>
  <c r="R468" i="1"/>
  <c r="Q468" i="1"/>
  <c r="DE467" i="1"/>
  <c r="DD467" i="1"/>
  <c r="DC467" i="1"/>
  <c r="DB467" i="1"/>
  <c r="DA467" i="1"/>
  <c r="CZ467" i="1"/>
  <c r="CY467" i="1"/>
  <c r="CX467" i="1"/>
  <c r="CW467" i="1"/>
  <c r="CV467" i="1"/>
  <c r="CU467" i="1"/>
  <c r="CT467" i="1"/>
  <c r="CS467" i="1"/>
  <c r="CR467" i="1"/>
  <c r="CQ467" i="1"/>
  <c r="CP467" i="1"/>
  <c r="CO467" i="1"/>
  <c r="CN467" i="1"/>
  <c r="CM467" i="1"/>
  <c r="CL467" i="1"/>
  <c r="CK467" i="1"/>
  <c r="CJ467" i="1"/>
  <c r="CI467" i="1"/>
  <c r="CH467" i="1"/>
  <c r="CG467" i="1"/>
  <c r="CF467" i="1"/>
  <c r="BR467" i="1"/>
  <c r="BP467" i="1"/>
  <c r="BO467" i="1"/>
  <c r="BN467" i="1"/>
  <c r="BM467" i="1"/>
  <c r="BL467" i="1"/>
  <c r="BK467" i="1"/>
  <c r="BJ467" i="1"/>
  <c r="BI467" i="1"/>
  <c r="BH467" i="1"/>
  <c r="BG467" i="1"/>
  <c r="BF467" i="1"/>
  <c r="BE467" i="1"/>
  <c r="BD467" i="1"/>
  <c r="AY467" i="1"/>
  <c r="AU467" i="1"/>
  <c r="AS467" i="1"/>
  <c r="AR467" i="1"/>
  <c r="AP467" i="1"/>
  <c r="AO467" i="1"/>
  <c r="AN467" i="1"/>
  <c r="AM467" i="1"/>
  <c r="AL467" i="1"/>
  <c r="AK467" i="1"/>
  <c r="AJ467" i="1"/>
  <c r="AI467" i="1"/>
  <c r="AH467" i="1"/>
  <c r="AG467" i="1"/>
  <c r="AF467" i="1"/>
  <c r="AE467" i="1"/>
  <c r="J467" i="1"/>
  <c r="DE466" i="1"/>
  <c r="DD466" i="1"/>
  <c r="DC466" i="1"/>
  <c r="DB466" i="1"/>
  <c r="DA466" i="1"/>
  <c r="CZ466" i="1"/>
  <c r="CY466" i="1"/>
  <c r="CX466" i="1"/>
  <c r="CW466" i="1"/>
  <c r="CV466" i="1"/>
  <c r="CU466" i="1"/>
  <c r="CT466" i="1"/>
  <c r="CS466" i="1"/>
  <c r="CR466" i="1"/>
  <c r="CQ466" i="1"/>
  <c r="CP466" i="1"/>
  <c r="CO466" i="1"/>
  <c r="CN466" i="1"/>
  <c r="CM466" i="1"/>
  <c r="CL466" i="1"/>
  <c r="CK466" i="1"/>
  <c r="CJ466" i="1"/>
  <c r="CI466" i="1"/>
  <c r="CH466" i="1"/>
  <c r="CG466" i="1"/>
  <c r="CF466" i="1"/>
  <c r="CD466" i="1"/>
  <c r="CC466" i="1"/>
  <c r="BY466" i="1"/>
  <c r="BS466" i="1"/>
  <c r="BR466" i="1"/>
  <c r="BQ466" i="1"/>
  <c r="BP466" i="1"/>
  <c r="BO466" i="1"/>
  <c r="BN466" i="1"/>
  <c r="BM466" i="1"/>
  <c r="BL466" i="1"/>
  <c r="BK466" i="1"/>
  <c r="BJ466" i="1"/>
  <c r="BI466" i="1"/>
  <c r="BH466" i="1"/>
  <c r="BF466" i="1"/>
  <c r="BB466" i="1"/>
  <c r="AW466" i="1"/>
  <c r="AU466" i="1"/>
  <c r="AR466" i="1"/>
  <c r="AQ466" i="1"/>
  <c r="AP466" i="1"/>
  <c r="AO466" i="1"/>
  <c r="AN466" i="1"/>
  <c r="AM466" i="1"/>
  <c r="AL466" i="1"/>
  <c r="AK466" i="1"/>
  <c r="AJ466" i="1"/>
  <c r="AI466" i="1"/>
  <c r="AH466" i="1"/>
  <c r="AF466" i="1"/>
  <c r="AE466" i="1"/>
  <c r="AD466" i="1"/>
  <c r="O466" i="1"/>
  <c r="P466" i="1" s="1"/>
  <c r="AG466" i="1" s="1"/>
  <c r="F466" i="1"/>
  <c r="B466" i="1"/>
  <c r="DE465" i="1"/>
  <c r="DD465" i="1"/>
  <c r="DC465" i="1"/>
  <c r="DB465" i="1"/>
  <c r="DA465" i="1"/>
  <c r="CZ465" i="1"/>
  <c r="CY465" i="1"/>
  <c r="CX465" i="1"/>
  <c r="CW465" i="1"/>
  <c r="CV465" i="1"/>
  <c r="CU465" i="1"/>
  <c r="CT465" i="1"/>
  <c r="CS465" i="1"/>
  <c r="CR465" i="1"/>
  <c r="CQ465" i="1"/>
  <c r="CP465" i="1"/>
  <c r="CO465" i="1"/>
  <c r="CN465" i="1"/>
  <c r="CM465" i="1"/>
  <c r="CL465" i="1"/>
  <c r="CK465" i="1"/>
  <c r="CJ465" i="1"/>
  <c r="CI465" i="1"/>
  <c r="CH465" i="1"/>
  <c r="CG465" i="1"/>
  <c r="CF465" i="1"/>
  <c r="BR465" i="1"/>
  <c r="BQ465" i="1"/>
  <c r="BP465" i="1"/>
  <c r="BO465" i="1"/>
  <c r="BN465" i="1"/>
  <c r="BL465" i="1"/>
  <c r="BK465" i="1"/>
  <c r="BJ465" i="1"/>
  <c r="BI465" i="1"/>
  <c r="BH465" i="1"/>
  <c r="BG465" i="1"/>
  <c r="BF465" i="1"/>
  <c r="BE465" i="1"/>
  <c r="BA465" i="1"/>
  <c r="AY465" i="1"/>
  <c r="AU465" i="1"/>
  <c r="AT465" i="1"/>
  <c r="AR465" i="1"/>
  <c r="AQ465" i="1"/>
  <c r="AP465" i="1"/>
  <c r="AO465" i="1"/>
  <c r="AN465" i="1"/>
  <c r="AM465" i="1"/>
  <c r="AL465" i="1"/>
  <c r="AK465" i="1"/>
  <c r="AJ465" i="1"/>
  <c r="AI465" i="1"/>
  <c r="AH465" i="1"/>
  <c r="AG465" i="1"/>
  <c r="AF465" i="1"/>
  <c r="AE465" i="1"/>
  <c r="AD465" i="1"/>
  <c r="O465" i="1"/>
  <c r="P465" i="1" s="1"/>
  <c r="DE464" i="1"/>
  <c r="DD464" i="1"/>
  <c r="DC464" i="1"/>
  <c r="DB464" i="1"/>
  <c r="DA464" i="1"/>
  <c r="CZ464" i="1"/>
  <c r="CY464" i="1"/>
  <c r="CX464" i="1"/>
  <c r="CW464" i="1"/>
  <c r="CV464" i="1"/>
  <c r="CU464" i="1"/>
  <c r="CT464" i="1"/>
  <c r="CS464" i="1"/>
  <c r="CR464" i="1"/>
  <c r="CQ464" i="1"/>
  <c r="CP464" i="1"/>
  <c r="CO464" i="1"/>
  <c r="CN464" i="1"/>
  <c r="CM464" i="1"/>
  <c r="CL464" i="1"/>
  <c r="CK464" i="1"/>
  <c r="CJ464" i="1"/>
  <c r="CI464" i="1"/>
  <c r="CH464" i="1"/>
  <c r="CG464" i="1"/>
  <c r="CF464" i="1"/>
  <c r="BR464" i="1"/>
  <c r="BQ464" i="1"/>
  <c r="BP464" i="1"/>
  <c r="BO464" i="1"/>
  <c r="BN464" i="1"/>
  <c r="BM464" i="1"/>
  <c r="BL464" i="1"/>
  <c r="BK464" i="1"/>
  <c r="BJ464" i="1"/>
  <c r="BI464" i="1"/>
  <c r="BH464" i="1"/>
  <c r="BG464" i="1"/>
  <c r="BF464" i="1"/>
  <c r="BE464" i="1"/>
  <c r="BC464" i="1"/>
  <c r="AY464" i="1"/>
  <c r="AX464" i="1"/>
  <c r="AT464" i="1"/>
  <c r="AS464" i="1"/>
  <c r="AR464" i="1"/>
  <c r="AP464" i="1"/>
  <c r="AO464" i="1"/>
  <c r="AN464" i="1"/>
  <c r="AM464" i="1"/>
  <c r="AL464" i="1"/>
  <c r="AK464" i="1"/>
  <c r="AJ464" i="1"/>
  <c r="AI464" i="1"/>
  <c r="AH464" i="1"/>
  <c r="AG464" i="1"/>
  <c r="AF464" i="1"/>
  <c r="AE464" i="1"/>
  <c r="O463" i="1" s="1"/>
  <c r="AQ463" i="1" s="1"/>
  <c r="AD464" i="1"/>
  <c r="O464" i="1"/>
  <c r="P464" i="1" s="1"/>
  <c r="J464" i="1"/>
  <c r="DE463" i="1"/>
  <c r="DD463" i="1"/>
  <c r="DC463" i="1"/>
  <c r="DB463" i="1"/>
  <c r="DA463" i="1"/>
  <c r="CZ463" i="1"/>
  <c r="CY463" i="1"/>
  <c r="CX463" i="1"/>
  <c r="CW463" i="1"/>
  <c r="CV463" i="1"/>
  <c r="CU463" i="1"/>
  <c r="CT463" i="1"/>
  <c r="CS463" i="1"/>
  <c r="CR463" i="1"/>
  <c r="CQ463" i="1"/>
  <c r="CP463" i="1"/>
  <c r="CO463" i="1"/>
  <c r="CN463" i="1"/>
  <c r="CM463" i="1"/>
  <c r="CL463" i="1"/>
  <c r="CK463" i="1"/>
  <c r="CJ463" i="1"/>
  <c r="CI463" i="1"/>
  <c r="CH463" i="1"/>
  <c r="CG463" i="1"/>
  <c r="CF463" i="1"/>
  <c r="CC463" i="1"/>
  <c r="CB463" i="1"/>
  <c r="BX463" i="1"/>
  <c r="BV463" i="1"/>
  <c r="BR463" i="1"/>
  <c r="BQ463" i="1"/>
  <c r="BP463" i="1"/>
  <c r="BO463" i="1"/>
  <c r="BN463" i="1"/>
  <c r="BM463" i="1"/>
  <c r="BL463" i="1"/>
  <c r="BK463" i="1"/>
  <c r="BJ463" i="1"/>
  <c r="BI463" i="1"/>
  <c r="BH463" i="1"/>
  <c r="BG463" i="1"/>
  <c r="BF463" i="1"/>
  <c r="BE463" i="1"/>
  <c r="BA463" i="1"/>
  <c r="AZ463" i="1"/>
  <c r="AV463" i="1"/>
  <c r="AT463" i="1"/>
  <c r="AR463" i="1"/>
  <c r="AP463" i="1"/>
  <c r="AO463" i="1"/>
  <c r="AN463" i="1"/>
  <c r="AM463" i="1"/>
  <c r="AL463" i="1"/>
  <c r="AK463" i="1"/>
  <c r="AJ463" i="1"/>
  <c r="AI463" i="1"/>
  <c r="AH463" i="1"/>
  <c r="AG463" i="1"/>
  <c r="AF463" i="1"/>
  <c r="AE463" i="1"/>
  <c r="AD463" i="1"/>
  <c r="P463" i="1"/>
  <c r="G463" i="1"/>
  <c r="B463" i="1"/>
  <c r="DE462" i="1"/>
  <c r="DD462" i="1"/>
  <c r="DC462" i="1"/>
  <c r="DB462" i="1"/>
  <c r="DA462" i="1"/>
  <c r="CZ462" i="1"/>
  <c r="CY462" i="1"/>
  <c r="CX462" i="1"/>
  <c r="CW462" i="1"/>
  <c r="CV462" i="1"/>
  <c r="CU462" i="1"/>
  <c r="CT462" i="1"/>
  <c r="CS462" i="1"/>
  <c r="CR462" i="1"/>
  <c r="CQ462" i="1"/>
  <c r="CP462" i="1"/>
  <c r="CO462" i="1"/>
  <c r="CN462" i="1"/>
  <c r="CM462" i="1"/>
  <c r="CL462" i="1"/>
  <c r="CK462" i="1"/>
  <c r="CJ462" i="1"/>
  <c r="CI462" i="1"/>
  <c r="CH462" i="1"/>
  <c r="CG462" i="1"/>
  <c r="CF462" i="1"/>
  <c r="BR462" i="1"/>
  <c r="BQ462" i="1"/>
  <c r="BP462" i="1"/>
  <c r="BO462" i="1"/>
  <c r="BN462" i="1"/>
  <c r="BM462" i="1"/>
  <c r="BL462" i="1"/>
  <c r="BK462" i="1"/>
  <c r="BJ462" i="1"/>
  <c r="BI462" i="1"/>
  <c r="BH462" i="1"/>
  <c r="BG462" i="1"/>
  <c r="BF462" i="1"/>
  <c r="BE462" i="1"/>
  <c r="BC462" i="1"/>
  <c r="AY462" i="1"/>
  <c r="AX462" i="1"/>
  <c r="AT462" i="1"/>
  <c r="AS462" i="1"/>
  <c r="AR462" i="1"/>
  <c r="AQ462" i="1"/>
  <c r="AP462" i="1"/>
  <c r="AO462" i="1"/>
  <c r="AN462" i="1"/>
  <c r="AM462" i="1"/>
  <c r="AL462" i="1"/>
  <c r="AK462" i="1"/>
  <c r="AJ462" i="1"/>
  <c r="AI462" i="1"/>
  <c r="AH462" i="1"/>
  <c r="AG462" i="1"/>
  <c r="AF462" i="1"/>
  <c r="AE462" i="1"/>
  <c r="R462" i="1"/>
  <c r="Q462" i="1"/>
  <c r="DE461" i="1"/>
  <c r="DD461" i="1"/>
  <c r="DC461" i="1"/>
  <c r="DB461" i="1"/>
  <c r="DA461" i="1"/>
  <c r="CZ461" i="1"/>
  <c r="CY461" i="1"/>
  <c r="CX461" i="1"/>
  <c r="CW461" i="1"/>
  <c r="CV461" i="1"/>
  <c r="CU461" i="1"/>
  <c r="CT461" i="1"/>
  <c r="CS461" i="1"/>
  <c r="CR461" i="1"/>
  <c r="CQ461" i="1"/>
  <c r="CP461" i="1"/>
  <c r="CO461" i="1"/>
  <c r="CN461" i="1"/>
  <c r="CM461" i="1"/>
  <c r="CL461" i="1"/>
  <c r="CK461" i="1"/>
  <c r="CJ461" i="1"/>
  <c r="CI461" i="1"/>
  <c r="CH461" i="1"/>
  <c r="CG461" i="1"/>
  <c r="CF461" i="1"/>
  <c r="BR461" i="1"/>
  <c r="BQ461" i="1"/>
  <c r="BP461" i="1"/>
  <c r="BO461" i="1"/>
  <c r="BN461" i="1"/>
  <c r="BL461" i="1"/>
  <c r="BK461" i="1"/>
  <c r="BJ461" i="1"/>
  <c r="BI461" i="1"/>
  <c r="BH461" i="1"/>
  <c r="BG461" i="1"/>
  <c r="BF461" i="1"/>
  <c r="BB461" i="1"/>
  <c r="BA461" i="1"/>
  <c r="AW461" i="1"/>
  <c r="AV461" i="1"/>
  <c r="AR461" i="1"/>
  <c r="AQ461" i="1"/>
  <c r="AP461" i="1"/>
  <c r="AO461" i="1"/>
  <c r="AN461" i="1"/>
  <c r="AL461" i="1"/>
  <c r="AK461" i="1"/>
  <c r="AJ461" i="1"/>
  <c r="AI461" i="1"/>
  <c r="AH461" i="1"/>
  <c r="AG461" i="1"/>
  <c r="AF461" i="1"/>
  <c r="AE461" i="1"/>
  <c r="J461" i="1"/>
  <c r="DE460" i="1"/>
  <c r="DD460" i="1"/>
  <c r="DC460" i="1"/>
  <c r="DB460" i="1"/>
  <c r="DA460" i="1"/>
  <c r="CZ460" i="1"/>
  <c r="CY460" i="1"/>
  <c r="CX460" i="1"/>
  <c r="CW460" i="1"/>
  <c r="CV460" i="1"/>
  <c r="CU460" i="1"/>
  <c r="CT460" i="1"/>
  <c r="CS460" i="1"/>
  <c r="CR460" i="1"/>
  <c r="CQ460" i="1"/>
  <c r="CP460" i="1"/>
  <c r="CO460" i="1"/>
  <c r="CN460" i="1"/>
  <c r="CM460" i="1"/>
  <c r="CL460" i="1"/>
  <c r="CK460" i="1"/>
  <c r="CJ460" i="1"/>
  <c r="CI460" i="1"/>
  <c r="CH460" i="1"/>
  <c r="CG460" i="1"/>
  <c r="CF460" i="1"/>
  <c r="CE460" i="1"/>
  <c r="CD460" i="1"/>
  <c r="BX460" i="1"/>
  <c r="BT460" i="1"/>
  <c r="BS460" i="1"/>
  <c r="BR460" i="1"/>
  <c r="BP460" i="1"/>
  <c r="BO460" i="1"/>
  <c r="BN460" i="1"/>
  <c r="BM460" i="1"/>
  <c r="BL460" i="1"/>
  <c r="BK460" i="1"/>
  <c r="BJ460" i="1"/>
  <c r="BI460" i="1"/>
  <c r="BH460" i="1"/>
  <c r="BG460" i="1"/>
  <c r="BF460" i="1"/>
  <c r="BB460" i="1"/>
  <c r="AZ460" i="1"/>
  <c r="AV460" i="1"/>
  <c r="AU460" i="1"/>
  <c r="AR460" i="1"/>
  <c r="AP460" i="1"/>
  <c r="AO460" i="1"/>
  <c r="AN460" i="1"/>
  <c r="AM460" i="1"/>
  <c r="AL460" i="1"/>
  <c r="AK460" i="1"/>
  <c r="AJ460" i="1"/>
  <c r="AI460" i="1"/>
  <c r="AH460" i="1"/>
  <c r="AG460" i="1"/>
  <c r="AF460" i="1"/>
  <c r="AE460" i="1"/>
  <c r="AD460" i="1"/>
  <c r="O460" i="1"/>
  <c r="F460" i="1"/>
  <c r="B460" i="1"/>
  <c r="DE459" i="1"/>
  <c r="DD459" i="1"/>
  <c r="DC459" i="1"/>
  <c r="DB459" i="1"/>
  <c r="DA459" i="1"/>
  <c r="CZ459" i="1"/>
  <c r="CY459" i="1"/>
  <c r="CX459" i="1"/>
  <c r="CW459" i="1"/>
  <c r="CV459" i="1"/>
  <c r="CU459" i="1"/>
  <c r="CT459" i="1"/>
  <c r="CS459" i="1"/>
  <c r="CR459" i="1"/>
  <c r="CQ459" i="1"/>
  <c r="CP459" i="1"/>
  <c r="CO459" i="1"/>
  <c r="CN459" i="1"/>
  <c r="CM459" i="1"/>
  <c r="CL459" i="1"/>
  <c r="CK459" i="1"/>
  <c r="CJ459" i="1"/>
  <c r="CI459" i="1"/>
  <c r="CH459" i="1"/>
  <c r="CG459" i="1"/>
  <c r="CF459" i="1"/>
  <c r="BR459" i="1"/>
  <c r="BQ459" i="1"/>
  <c r="BP459" i="1"/>
  <c r="BO459" i="1"/>
  <c r="BN459" i="1"/>
  <c r="BM459" i="1"/>
  <c r="BL459" i="1"/>
  <c r="BK459" i="1"/>
  <c r="BJ459" i="1"/>
  <c r="BI459" i="1"/>
  <c r="BH459" i="1"/>
  <c r="BG459" i="1"/>
  <c r="BF459" i="1"/>
  <c r="BC459" i="1"/>
  <c r="BB459" i="1"/>
  <c r="AX459" i="1"/>
  <c r="AV459" i="1"/>
  <c r="AR459" i="1"/>
  <c r="AQ459" i="1"/>
  <c r="AP459" i="1"/>
  <c r="AO459" i="1"/>
  <c r="AN459" i="1"/>
  <c r="AM459" i="1"/>
  <c r="AL459" i="1"/>
  <c r="AK459" i="1"/>
  <c r="AJ459" i="1"/>
  <c r="AI459" i="1"/>
  <c r="AH459" i="1"/>
  <c r="AG459" i="1"/>
  <c r="AF459" i="1"/>
  <c r="AE459" i="1"/>
  <c r="AD459" i="1"/>
  <c r="R459" i="1"/>
  <c r="Q459" i="1"/>
  <c r="DE458" i="1"/>
  <c r="DD458" i="1"/>
  <c r="DC458" i="1"/>
  <c r="DB458" i="1"/>
  <c r="DA458" i="1"/>
  <c r="CZ458" i="1"/>
  <c r="CY458" i="1"/>
  <c r="CX458" i="1"/>
  <c r="CW458" i="1"/>
  <c r="CV458" i="1"/>
  <c r="CU458" i="1"/>
  <c r="CT458" i="1"/>
  <c r="CS458" i="1"/>
  <c r="CR458" i="1"/>
  <c r="CQ458" i="1"/>
  <c r="CP458" i="1"/>
  <c r="CO458" i="1"/>
  <c r="CN458" i="1"/>
  <c r="CM458" i="1"/>
  <c r="CL458" i="1"/>
  <c r="CK458" i="1"/>
  <c r="CJ458" i="1"/>
  <c r="CI458" i="1"/>
  <c r="CH458" i="1"/>
  <c r="CG458" i="1"/>
  <c r="CF458" i="1"/>
  <c r="BR458" i="1"/>
  <c r="BQ458" i="1"/>
  <c r="BP458" i="1"/>
  <c r="BO458" i="1"/>
  <c r="BN458" i="1"/>
  <c r="BM458" i="1"/>
  <c r="BL458" i="1"/>
  <c r="BK458" i="1"/>
  <c r="BI458" i="1"/>
  <c r="BH458" i="1"/>
  <c r="BG458" i="1"/>
  <c r="BF458" i="1"/>
  <c r="BD458" i="1"/>
  <c r="AZ458" i="1"/>
  <c r="AY458" i="1"/>
  <c r="AU458" i="1"/>
  <c r="AT458" i="1"/>
  <c r="AR458" i="1"/>
  <c r="AQ458" i="1"/>
  <c r="AP458" i="1"/>
  <c r="AO458" i="1"/>
  <c r="AN458" i="1"/>
  <c r="AM458" i="1"/>
  <c r="AL458" i="1"/>
  <c r="AK458" i="1"/>
  <c r="AI458" i="1"/>
  <c r="AH458" i="1"/>
  <c r="AG458" i="1"/>
  <c r="AF458" i="1"/>
  <c r="AE458" i="1"/>
  <c r="AD458" i="1"/>
  <c r="J458" i="1"/>
  <c r="DE457" i="1"/>
  <c r="DD457" i="1"/>
  <c r="DC457" i="1"/>
  <c r="DB457" i="1"/>
  <c r="DA457" i="1"/>
  <c r="CZ457" i="1"/>
  <c r="CY457" i="1"/>
  <c r="CX457" i="1"/>
  <c r="CW457" i="1"/>
  <c r="CV457" i="1"/>
  <c r="CU457" i="1"/>
  <c r="CT457" i="1"/>
  <c r="CS457" i="1"/>
  <c r="CR457" i="1"/>
  <c r="CQ457" i="1"/>
  <c r="CP457" i="1"/>
  <c r="CO457" i="1"/>
  <c r="CN457" i="1"/>
  <c r="CM457" i="1"/>
  <c r="CL457" i="1"/>
  <c r="CK457" i="1"/>
  <c r="CJ457" i="1"/>
  <c r="CI457" i="1"/>
  <c r="CH457" i="1"/>
  <c r="CG457" i="1"/>
  <c r="CF457" i="1"/>
  <c r="CE457" i="1"/>
  <c r="BZ457" i="1"/>
  <c r="BY457" i="1"/>
  <c r="BU457" i="1"/>
  <c r="BS457" i="1"/>
  <c r="BR457" i="1"/>
  <c r="BP457" i="1"/>
  <c r="BO457" i="1"/>
  <c r="BN457" i="1"/>
  <c r="BM457" i="1"/>
  <c r="BL457" i="1"/>
  <c r="BK457" i="1"/>
  <c r="BJ457" i="1"/>
  <c r="BI457" i="1"/>
  <c r="BH457" i="1"/>
  <c r="BG457" i="1"/>
  <c r="BF457" i="1"/>
  <c r="BC457" i="1"/>
  <c r="BB457" i="1"/>
  <c r="AX457" i="1"/>
  <c r="AW457" i="1"/>
  <c r="AS457" i="1"/>
  <c r="AR457" i="1"/>
  <c r="AP457" i="1"/>
  <c r="AO457" i="1"/>
  <c r="AN457" i="1"/>
  <c r="AM457" i="1"/>
  <c r="AL457" i="1"/>
  <c r="AK457" i="1"/>
  <c r="AJ457" i="1"/>
  <c r="AI457" i="1"/>
  <c r="AH457" i="1"/>
  <c r="AG457" i="1"/>
  <c r="AF457" i="1"/>
  <c r="AE457" i="1"/>
  <c r="O459" i="1" s="1"/>
  <c r="P459" i="1" s="1"/>
  <c r="AD457" i="1"/>
  <c r="O457" i="1"/>
  <c r="P457" i="1" s="1"/>
  <c r="AQ457" i="1" s="1"/>
  <c r="G457" i="1"/>
  <c r="F457" i="1"/>
  <c r="B457" i="1"/>
  <c r="BD459" i="1" s="1"/>
  <c r="DE456" i="1"/>
  <c r="DD456" i="1"/>
  <c r="DC456" i="1"/>
  <c r="DB456" i="1"/>
  <c r="DA456" i="1"/>
  <c r="CZ456" i="1"/>
  <c r="CY456" i="1"/>
  <c r="CX456" i="1"/>
  <c r="CW456" i="1"/>
  <c r="CV456" i="1"/>
  <c r="CU456" i="1"/>
  <c r="CT456" i="1"/>
  <c r="CS456" i="1"/>
  <c r="CR456" i="1"/>
  <c r="CQ456" i="1"/>
  <c r="CP456" i="1"/>
  <c r="CO456" i="1"/>
  <c r="CN456" i="1"/>
  <c r="CM456" i="1"/>
  <c r="CL456" i="1"/>
  <c r="CK456" i="1"/>
  <c r="CJ456" i="1"/>
  <c r="CI456" i="1"/>
  <c r="CH456" i="1"/>
  <c r="CG456" i="1"/>
  <c r="CF456" i="1"/>
  <c r="BR456" i="1"/>
  <c r="BQ456" i="1"/>
  <c r="BP456" i="1"/>
  <c r="BO456" i="1"/>
  <c r="BN456" i="1"/>
  <c r="BM456" i="1"/>
  <c r="BL456" i="1"/>
  <c r="BK456" i="1"/>
  <c r="BJ456" i="1"/>
  <c r="BI456" i="1"/>
  <c r="BH456" i="1"/>
  <c r="BG456" i="1"/>
  <c r="BF456" i="1"/>
  <c r="AR456" i="1"/>
  <c r="AQ456" i="1"/>
  <c r="AP456" i="1"/>
  <c r="AO456" i="1"/>
  <c r="AN456" i="1"/>
  <c r="AM456" i="1"/>
  <c r="AL456" i="1"/>
  <c r="AK456" i="1"/>
  <c r="AJ456" i="1"/>
  <c r="AI456" i="1"/>
  <c r="AH456" i="1"/>
  <c r="AG456" i="1"/>
  <c r="AF456" i="1"/>
  <c r="AE456" i="1"/>
  <c r="DE455" i="1"/>
  <c r="DD455" i="1"/>
  <c r="DC455" i="1"/>
  <c r="DB455" i="1"/>
  <c r="DA455" i="1"/>
  <c r="CZ455" i="1"/>
  <c r="CY455" i="1"/>
  <c r="CX455" i="1"/>
  <c r="CW455" i="1"/>
  <c r="CV455" i="1"/>
  <c r="CU455" i="1"/>
  <c r="CT455" i="1"/>
  <c r="CS455" i="1"/>
  <c r="CR455" i="1"/>
  <c r="CQ455" i="1"/>
  <c r="CP455" i="1"/>
  <c r="CO455" i="1"/>
  <c r="CN455" i="1"/>
  <c r="CM455" i="1"/>
  <c r="CL455" i="1"/>
  <c r="CK455" i="1"/>
  <c r="CJ455" i="1"/>
  <c r="CI455" i="1"/>
  <c r="CH455" i="1"/>
  <c r="CG455" i="1"/>
  <c r="CF455" i="1"/>
  <c r="BR455" i="1"/>
  <c r="BP455" i="1"/>
  <c r="BO455" i="1"/>
  <c r="BN455" i="1"/>
  <c r="BM455" i="1"/>
  <c r="BL455" i="1"/>
  <c r="BK455" i="1"/>
  <c r="BJ455" i="1"/>
  <c r="BI455" i="1"/>
  <c r="BH455" i="1"/>
  <c r="BG455" i="1"/>
  <c r="BF455" i="1"/>
  <c r="AR455" i="1"/>
  <c r="AP455" i="1"/>
  <c r="AO455" i="1"/>
  <c r="AN455" i="1"/>
  <c r="AM455" i="1"/>
  <c r="AL455" i="1"/>
  <c r="AK455" i="1"/>
  <c r="AJ455" i="1"/>
  <c r="AI455" i="1"/>
  <c r="AH455" i="1"/>
  <c r="AG455" i="1"/>
  <c r="AF455" i="1"/>
  <c r="AE455" i="1"/>
  <c r="DE454" i="1"/>
  <c r="DD454" i="1"/>
  <c r="DC454" i="1"/>
  <c r="DB454" i="1"/>
  <c r="DA454" i="1"/>
  <c r="CZ454" i="1"/>
  <c r="CY454" i="1"/>
  <c r="CX454" i="1"/>
  <c r="CW454" i="1"/>
  <c r="CV454" i="1"/>
  <c r="CU454" i="1"/>
  <c r="CT454" i="1"/>
  <c r="CS454" i="1"/>
  <c r="CR454" i="1"/>
  <c r="CQ454" i="1"/>
  <c r="CP454" i="1"/>
  <c r="CO454" i="1"/>
  <c r="CN454" i="1"/>
  <c r="CM454" i="1"/>
  <c r="CL454" i="1"/>
  <c r="CK454" i="1"/>
  <c r="CJ454" i="1"/>
  <c r="CI454" i="1"/>
  <c r="CH454" i="1"/>
  <c r="CG454" i="1"/>
  <c r="CF454" i="1"/>
  <c r="BR454" i="1"/>
  <c r="BP454" i="1"/>
  <c r="BO454" i="1"/>
  <c r="BN454" i="1"/>
  <c r="BM454" i="1"/>
  <c r="BL454" i="1"/>
  <c r="BK454" i="1"/>
  <c r="BJ454" i="1"/>
  <c r="BI454" i="1"/>
  <c r="BH454" i="1"/>
  <c r="BG454" i="1"/>
  <c r="BF454" i="1"/>
  <c r="AR454" i="1"/>
  <c r="AP454" i="1"/>
  <c r="AO454" i="1"/>
  <c r="AN454" i="1"/>
  <c r="AM454" i="1"/>
  <c r="AL454" i="1"/>
  <c r="AK454" i="1"/>
  <c r="AJ454" i="1"/>
  <c r="AI454" i="1"/>
  <c r="AH454" i="1"/>
  <c r="AG454" i="1"/>
  <c r="AF454" i="1"/>
  <c r="AE454" i="1"/>
  <c r="O456" i="1" s="1"/>
  <c r="P456" i="1" s="1"/>
  <c r="AD454" i="1"/>
  <c r="F454" i="1"/>
  <c r="B454" i="1"/>
  <c r="DE453" i="1"/>
  <c r="DD453" i="1"/>
  <c r="DC453" i="1"/>
  <c r="DB453" i="1"/>
  <c r="DA453" i="1"/>
  <c r="CZ453" i="1"/>
  <c r="CY453" i="1"/>
  <c r="CX453" i="1"/>
  <c r="CW453" i="1"/>
  <c r="CV453" i="1"/>
  <c r="CU453" i="1"/>
  <c r="CT453" i="1"/>
  <c r="CS453" i="1"/>
  <c r="CR453" i="1"/>
  <c r="CQ453" i="1"/>
  <c r="CP453" i="1"/>
  <c r="CO453" i="1"/>
  <c r="CN453" i="1"/>
  <c r="CM453" i="1"/>
  <c r="CL453" i="1"/>
  <c r="CK453" i="1"/>
  <c r="CJ453" i="1"/>
  <c r="CI453" i="1"/>
  <c r="CH453" i="1"/>
  <c r="CG453" i="1"/>
  <c r="CF453" i="1"/>
  <c r="BR453" i="1"/>
  <c r="BQ453" i="1"/>
  <c r="BP453" i="1"/>
  <c r="BO453" i="1"/>
  <c r="BN453" i="1"/>
  <c r="BM453" i="1"/>
  <c r="BL453" i="1"/>
  <c r="BK453" i="1"/>
  <c r="BJ453" i="1"/>
  <c r="BI453" i="1"/>
  <c r="BH453" i="1"/>
  <c r="BG453" i="1"/>
  <c r="BF453" i="1"/>
  <c r="AR453" i="1"/>
  <c r="AQ453" i="1"/>
  <c r="AP453" i="1"/>
  <c r="AO453" i="1"/>
  <c r="AN453" i="1"/>
  <c r="AM453" i="1"/>
  <c r="AL453" i="1"/>
  <c r="AK453" i="1"/>
  <c r="AJ453" i="1"/>
  <c r="AI453" i="1"/>
  <c r="AH453" i="1"/>
  <c r="AG453" i="1"/>
  <c r="AF453" i="1"/>
  <c r="AE453" i="1"/>
  <c r="AD453" i="1"/>
  <c r="R453" i="1"/>
  <c r="Q453" i="1"/>
  <c r="DE452" i="1"/>
  <c r="DD452" i="1"/>
  <c r="DC452" i="1"/>
  <c r="DB452" i="1"/>
  <c r="DA452" i="1"/>
  <c r="CZ452" i="1"/>
  <c r="CY452" i="1"/>
  <c r="CX452" i="1"/>
  <c r="CW452" i="1"/>
  <c r="CV452" i="1"/>
  <c r="CU452" i="1"/>
  <c r="CT452" i="1"/>
  <c r="CS452" i="1"/>
  <c r="CR452" i="1"/>
  <c r="CQ452" i="1"/>
  <c r="CP452" i="1"/>
  <c r="CO452" i="1"/>
  <c r="CN452" i="1"/>
  <c r="CM452" i="1"/>
  <c r="CL452" i="1"/>
  <c r="CK452" i="1"/>
  <c r="CJ452" i="1"/>
  <c r="CI452" i="1"/>
  <c r="CH452" i="1"/>
  <c r="CG452" i="1"/>
  <c r="CF452" i="1"/>
  <c r="BR452" i="1"/>
  <c r="BQ452" i="1"/>
  <c r="BP452" i="1"/>
  <c r="BO452" i="1"/>
  <c r="BN452" i="1"/>
  <c r="BL452" i="1"/>
  <c r="BK452" i="1"/>
  <c r="BJ452" i="1"/>
  <c r="BI452" i="1"/>
  <c r="BH452" i="1"/>
  <c r="BG452" i="1"/>
  <c r="BF452" i="1"/>
  <c r="AR452" i="1"/>
  <c r="AQ452" i="1"/>
  <c r="AP452" i="1"/>
  <c r="AO452" i="1"/>
  <c r="AN452" i="1"/>
  <c r="AL452" i="1"/>
  <c r="AK452" i="1"/>
  <c r="AJ452" i="1"/>
  <c r="AI452" i="1"/>
  <c r="AH452" i="1"/>
  <c r="AG452" i="1"/>
  <c r="AF452" i="1"/>
  <c r="AE452" i="1"/>
  <c r="AD452" i="1"/>
  <c r="J452" i="1"/>
  <c r="DE451" i="1"/>
  <c r="DD451" i="1"/>
  <c r="DC451" i="1"/>
  <c r="DB451" i="1"/>
  <c r="DA451" i="1"/>
  <c r="CZ451" i="1"/>
  <c r="CY451" i="1"/>
  <c r="CX451" i="1"/>
  <c r="CW451" i="1"/>
  <c r="CV451" i="1"/>
  <c r="CU451" i="1"/>
  <c r="CT451" i="1"/>
  <c r="CS451" i="1"/>
  <c r="CR451" i="1"/>
  <c r="CQ451" i="1"/>
  <c r="CP451" i="1"/>
  <c r="CO451" i="1"/>
  <c r="CN451" i="1"/>
  <c r="CM451" i="1"/>
  <c r="CL451" i="1"/>
  <c r="CK451" i="1"/>
  <c r="CJ451" i="1"/>
  <c r="CI451" i="1"/>
  <c r="CH451" i="1"/>
  <c r="CG451" i="1"/>
  <c r="CF451" i="1"/>
  <c r="BR451" i="1"/>
  <c r="BQ451" i="1"/>
  <c r="BP451" i="1"/>
  <c r="BO451" i="1"/>
  <c r="BN451" i="1"/>
  <c r="BM451" i="1"/>
  <c r="BL451" i="1"/>
  <c r="BK451" i="1"/>
  <c r="BI451" i="1"/>
  <c r="BH451" i="1"/>
  <c r="BG451" i="1"/>
  <c r="BF451" i="1"/>
  <c r="AR451" i="1"/>
  <c r="AQ451" i="1"/>
  <c r="AP451" i="1"/>
  <c r="AO451" i="1"/>
  <c r="AN451" i="1"/>
  <c r="AM451" i="1"/>
  <c r="AL451" i="1"/>
  <c r="AK451" i="1"/>
  <c r="AI451" i="1"/>
  <c r="AH451" i="1"/>
  <c r="AG451" i="1"/>
  <c r="AF451" i="1"/>
  <c r="AE451" i="1"/>
  <c r="AD451" i="1"/>
  <c r="O451" i="1"/>
  <c r="G451" i="1"/>
  <c r="F451" i="1" s="1"/>
  <c r="B451" i="1"/>
  <c r="AY453" i="1" s="1"/>
  <c r="DE450" i="1"/>
  <c r="DD450" i="1"/>
  <c r="DC450" i="1"/>
  <c r="DB450" i="1"/>
  <c r="DA450" i="1"/>
  <c r="CZ450" i="1"/>
  <c r="CY450" i="1"/>
  <c r="CX450" i="1"/>
  <c r="CW450" i="1"/>
  <c r="CV450" i="1"/>
  <c r="CU450" i="1"/>
  <c r="CT450" i="1"/>
  <c r="CS450" i="1"/>
  <c r="CR450" i="1"/>
  <c r="CQ450" i="1"/>
  <c r="CP450" i="1"/>
  <c r="CO450" i="1"/>
  <c r="CN450" i="1"/>
  <c r="CM450" i="1"/>
  <c r="CL450" i="1"/>
  <c r="CK450" i="1"/>
  <c r="CJ450" i="1"/>
  <c r="CI450" i="1"/>
  <c r="CH450" i="1"/>
  <c r="CG450" i="1"/>
  <c r="CF450" i="1"/>
  <c r="BR450" i="1"/>
  <c r="BQ450" i="1"/>
  <c r="BP450" i="1"/>
  <c r="BO450" i="1"/>
  <c r="BN450" i="1"/>
  <c r="BM450" i="1"/>
  <c r="BL450" i="1"/>
  <c r="BK450" i="1"/>
  <c r="BJ450" i="1"/>
  <c r="BI450" i="1"/>
  <c r="BH450" i="1"/>
  <c r="BG450" i="1"/>
  <c r="BF450" i="1"/>
  <c r="BD450" i="1"/>
  <c r="BC450" i="1"/>
  <c r="AZ450" i="1"/>
  <c r="AY450" i="1"/>
  <c r="AX450" i="1"/>
  <c r="AU450" i="1"/>
  <c r="AT450" i="1"/>
  <c r="AR450" i="1"/>
  <c r="AQ450" i="1"/>
  <c r="AP450" i="1"/>
  <c r="AO450" i="1"/>
  <c r="AN450" i="1"/>
  <c r="AM450" i="1"/>
  <c r="AL450" i="1"/>
  <c r="AK450" i="1"/>
  <c r="AJ450" i="1"/>
  <c r="AI450" i="1"/>
  <c r="AH450" i="1"/>
  <c r="AG450" i="1"/>
  <c r="AF450" i="1"/>
  <c r="AE450" i="1"/>
  <c r="R450" i="1"/>
  <c r="Q450" i="1"/>
  <c r="DE449" i="1"/>
  <c r="DD449" i="1"/>
  <c r="DC449" i="1"/>
  <c r="DB449" i="1"/>
  <c r="DA449" i="1"/>
  <c r="CZ449" i="1"/>
  <c r="CY449" i="1"/>
  <c r="CX449" i="1"/>
  <c r="CW449" i="1"/>
  <c r="CV449" i="1"/>
  <c r="CU449" i="1"/>
  <c r="CT449" i="1"/>
  <c r="CS449" i="1"/>
  <c r="CR449" i="1"/>
  <c r="CQ449" i="1"/>
  <c r="CP449" i="1"/>
  <c r="CO449" i="1"/>
  <c r="CN449" i="1"/>
  <c r="CM449" i="1"/>
  <c r="CL449" i="1"/>
  <c r="CK449" i="1"/>
  <c r="CJ449" i="1"/>
  <c r="CI449" i="1"/>
  <c r="CH449" i="1"/>
  <c r="CG449" i="1"/>
  <c r="CF449" i="1"/>
  <c r="BR449" i="1"/>
  <c r="BQ449" i="1"/>
  <c r="BP449" i="1"/>
  <c r="BO449" i="1"/>
  <c r="BN449" i="1"/>
  <c r="BL449" i="1"/>
  <c r="BK449" i="1"/>
  <c r="BJ449" i="1"/>
  <c r="BI449" i="1"/>
  <c r="BH449" i="1"/>
  <c r="BG449" i="1"/>
  <c r="BF449" i="1"/>
  <c r="BC449" i="1"/>
  <c r="BB449" i="1"/>
  <c r="BA449" i="1"/>
  <c r="AX449" i="1"/>
  <c r="AW449" i="1"/>
  <c r="AU449" i="1"/>
  <c r="AS449" i="1"/>
  <c r="AR449" i="1"/>
  <c r="AQ449" i="1"/>
  <c r="AP449" i="1"/>
  <c r="AO449" i="1"/>
  <c r="AN449" i="1"/>
  <c r="AL449" i="1"/>
  <c r="AK449" i="1"/>
  <c r="AJ449" i="1"/>
  <c r="AI449" i="1"/>
  <c r="AH449" i="1"/>
  <c r="AG449" i="1"/>
  <c r="AF449" i="1"/>
  <c r="AE449" i="1"/>
  <c r="O449" i="1"/>
  <c r="J449" i="1"/>
  <c r="DE448" i="1"/>
  <c r="DD448" i="1"/>
  <c r="DC448" i="1"/>
  <c r="DB448" i="1"/>
  <c r="DA448" i="1"/>
  <c r="CZ448" i="1"/>
  <c r="CY448" i="1"/>
  <c r="CX448" i="1"/>
  <c r="CW448" i="1"/>
  <c r="CV448" i="1"/>
  <c r="CU448" i="1"/>
  <c r="CT448" i="1"/>
  <c r="CS448" i="1"/>
  <c r="CR448" i="1"/>
  <c r="CQ448" i="1"/>
  <c r="CP448" i="1"/>
  <c r="CO448" i="1"/>
  <c r="CN448" i="1"/>
  <c r="CM448" i="1"/>
  <c r="CL448" i="1"/>
  <c r="CK448" i="1"/>
  <c r="CJ448" i="1"/>
  <c r="CI448" i="1"/>
  <c r="CH448" i="1"/>
  <c r="CG448" i="1"/>
  <c r="CF448" i="1"/>
  <c r="CE448" i="1"/>
  <c r="CC448" i="1"/>
  <c r="CA448" i="1"/>
  <c r="BY448" i="1"/>
  <c r="BX448" i="1"/>
  <c r="BU448" i="1"/>
  <c r="BT448" i="1"/>
  <c r="BS448" i="1"/>
  <c r="BR448" i="1"/>
  <c r="BQ448" i="1"/>
  <c r="BP448" i="1"/>
  <c r="BO448" i="1"/>
  <c r="BN448" i="1"/>
  <c r="BM448" i="1"/>
  <c r="BL448" i="1"/>
  <c r="BK448" i="1"/>
  <c r="BI448" i="1"/>
  <c r="BH448" i="1"/>
  <c r="BG448" i="1"/>
  <c r="BF448" i="1"/>
  <c r="BD448" i="1"/>
  <c r="BC448" i="1"/>
  <c r="BA448" i="1"/>
  <c r="AY448" i="1"/>
  <c r="AW448" i="1"/>
  <c r="AV448" i="1"/>
  <c r="AS448" i="1"/>
  <c r="AR448" i="1"/>
  <c r="AQ448" i="1"/>
  <c r="AP448" i="1"/>
  <c r="AO448" i="1"/>
  <c r="AN448" i="1"/>
  <c r="AM448" i="1"/>
  <c r="AL448" i="1"/>
  <c r="AK448" i="1"/>
  <c r="AI448" i="1"/>
  <c r="AH448" i="1"/>
  <c r="AG448" i="1"/>
  <c r="AF448" i="1"/>
  <c r="AE448" i="1"/>
  <c r="O450" i="1" s="1"/>
  <c r="P450" i="1" s="1"/>
  <c r="AD448" i="1"/>
  <c r="F448" i="1"/>
  <c r="B448" i="1"/>
  <c r="DE447" i="1"/>
  <c r="DD447" i="1"/>
  <c r="DC447" i="1"/>
  <c r="DB447" i="1"/>
  <c r="DA447" i="1"/>
  <c r="CZ447" i="1"/>
  <c r="CY447" i="1"/>
  <c r="CX447" i="1"/>
  <c r="CW447" i="1"/>
  <c r="CV447" i="1"/>
  <c r="CU447" i="1"/>
  <c r="CT447" i="1"/>
  <c r="CS447" i="1"/>
  <c r="CR447" i="1"/>
  <c r="CQ447" i="1"/>
  <c r="CP447" i="1"/>
  <c r="CO447" i="1"/>
  <c r="CN447" i="1"/>
  <c r="CM447" i="1"/>
  <c r="CL447" i="1"/>
  <c r="CK447" i="1"/>
  <c r="CJ447" i="1"/>
  <c r="CI447" i="1"/>
  <c r="CH447" i="1"/>
  <c r="CG447" i="1"/>
  <c r="CF447" i="1"/>
  <c r="BR447" i="1"/>
  <c r="BQ447" i="1"/>
  <c r="BP447" i="1"/>
  <c r="BO447" i="1"/>
  <c r="BN447" i="1"/>
  <c r="BM447" i="1"/>
  <c r="BL447" i="1"/>
  <c r="BK447" i="1"/>
  <c r="BJ447" i="1"/>
  <c r="BI447" i="1"/>
  <c r="BH447" i="1"/>
  <c r="BG447" i="1"/>
  <c r="BF447" i="1"/>
  <c r="BD447" i="1"/>
  <c r="BC447" i="1"/>
  <c r="AY447" i="1"/>
  <c r="AS447" i="1"/>
  <c r="AR447" i="1"/>
  <c r="AQ447" i="1"/>
  <c r="AP447" i="1"/>
  <c r="AO447" i="1"/>
  <c r="AN447" i="1"/>
  <c r="AM447" i="1"/>
  <c r="AL447" i="1"/>
  <c r="AK447" i="1"/>
  <c r="AJ447" i="1"/>
  <c r="AI447" i="1"/>
  <c r="AH447" i="1"/>
  <c r="AG447" i="1"/>
  <c r="AF447" i="1"/>
  <c r="AE447" i="1"/>
  <c r="AD447" i="1"/>
  <c r="R447" i="1"/>
  <c r="Q447" i="1"/>
  <c r="DE446" i="1"/>
  <c r="DD446" i="1"/>
  <c r="DC446" i="1"/>
  <c r="DB446" i="1"/>
  <c r="DA446" i="1"/>
  <c r="CZ446" i="1"/>
  <c r="CY446" i="1"/>
  <c r="CX446" i="1"/>
  <c r="CW446" i="1"/>
  <c r="CV446" i="1"/>
  <c r="CU446" i="1"/>
  <c r="CT446" i="1"/>
  <c r="CS446" i="1"/>
  <c r="CR446" i="1"/>
  <c r="CQ446" i="1"/>
  <c r="CP446" i="1"/>
  <c r="CO446" i="1"/>
  <c r="CN446" i="1"/>
  <c r="CM446" i="1"/>
  <c r="CL446" i="1"/>
  <c r="CK446" i="1"/>
  <c r="CJ446" i="1"/>
  <c r="CI446" i="1"/>
  <c r="CH446" i="1"/>
  <c r="CG446" i="1"/>
  <c r="CF446" i="1"/>
  <c r="BR446" i="1"/>
  <c r="BQ446" i="1"/>
  <c r="BP446" i="1"/>
  <c r="BO446" i="1"/>
  <c r="BN446" i="1"/>
  <c r="BM446" i="1"/>
  <c r="BL446" i="1"/>
  <c r="BK446" i="1"/>
  <c r="BJ446" i="1"/>
  <c r="BI446" i="1"/>
  <c r="BH446" i="1"/>
  <c r="BF446" i="1"/>
  <c r="BA446" i="1"/>
  <c r="AW446" i="1"/>
  <c r="AV446" i="1"/>
  <c r="AR446" i="1"/>
  <c r="AQ446" i="1"/>
  <c r="AP446" i="1"/>
  <c r="AO446" i="1"/>
  <c r="AN446" i="1"/>
  <c r="AM446" i="1"/>
  <c r="AL446" i="1"/>
  <c r="AK446" i="1"/>
  <c r="AJ446" i="1"/>
  <c r="AI446" i="1"/>
  <c r="AH446" i="1"/>
  <c r="AF446" i="1"/>
  <c r="AE446" i="1"/>
  <c r="O445" i="1" s="1"/>
  <c r="AD446" i="1"/>
  <c r="J446" i="1"/>
  <c r="DE445" i="1"/>
  <c r="DD445" i="1"/>
  <c r="DC445" i="1"/>
  <c r="DB445" i="1"/>
  <c r="DA445" i="1"/>
  <c r="CZ445" i="1"/>
  <c r="CY445" i="1"/>
  <c r="CX445" i="1"/>
  <c r="CW445" i="1"/>
  <c r="CV445" i="1"/>
  <c r="CU445" i="1"/>
  <c r="CT445" i="1"/>
  <c r="CS445" i="1"/>
  <c r="CR445" i="1"/>
  <c r="CQ445" i="1"/>
  <c r="CP445" i="1"/>
  <c r="CO445" i="1"/>
  <c r="CN445" i="1"/>
  <c r="CM445" i="1"/>
  <c r="CL445" i="1"/>
  <c r="CK445" i="1"/>
  <c r="CJ445" i="1"/>
  <c r="CI445" i="1"/>
  <c r="CH445" i="1"/>
  <c r="CG445" i="1"/>
  <c r="CF445" i="1"/>
  <c r="CB445" i="1"/>
  <c r="CA445" i="1"/>
  <c r="BW445" i="1"/>
  <c r="BR445" i="1"/>
  <c r="BQ445" i="1"/>
  <c r="BP445" i="1"/>
  <c r="BO445" i="1"/>
  <c r="BN445" i="1"/>
  <c r="BL445" i="1"/>
  <c r="BK445" i="1"/>
  <c r="BJ445" i="1"/>
  <c r="BI445" i="1"/>
  <c r="BH445" i="1"/>
  <c r="BG445" i="1"/>
  <c r="BF445" i="1"/>
  <c r="BD445" i="1"/>
  <c r="BC445" i="1"/>
  <c r="AY445" i="1"/>
  <c r="AT445" i="1"/>
  <c r="AR445" i="1"/>
  <c r="AQ445" i="1"/>
  <c r="AP445" i="1"/>
  <c r="AO445" i="1"/>
  <c r="AN445" i="1"/>
  <c r="AL445" i="1"/>
  <c r="AK445" i="1"/>
  <c r="AJ445" i="1"/>
  <c r="AI445" i="1"/>
  <c r="AH445" i="1"/>
  <c r="AG445" i="1"/>
  <c r="AF445" i="1"/>
  <c r="AE445" i="1"/>
  <c r="AD445" i="1"/>
  <c r="P445" i="1"/>
  <c r="F445" i="1"/>
  <c r="B445" i="1"/>
  <c r="DE444" i="1"/>
  <c r="DD444" i="1"/>
  <c r="DC444" i="1"/>
  <c r="DB444" i="1"/>
  <c r="DA444" i="1"/>
  <c r="CZ444" i="1"/>
  <c r="CY444" i="1"/>
  <c r="CX444" i="1"/>
  <c r="CW444" i="1"/>
  <c r="CV444" i="1"/>
  <c r="CU444" i="1"/>
  <c r="CT444" i="1"/>
  <c r="CS444" i="1"/>
  <c r="CR444" i="1"/>
  <c r="CQ444" i="1"/>
  <c r="CP444" i="1"/>
  <c r="CO444" i="1"/>
  <c r="CN444" i="1"/>
  <c r="CM444" i="1"/>
  <c r="CL444" i="1"/>
  <c r="CK444" i="1"/>
  <c r="CJ444" i="1"/>
  <c r="CI444" i="1"/>
  <c r="CH444" i="1"/>
  <c r="CG444" i="1"/>
  <c r="CF444" i="1"/>
  <c r="BR444" i="1"/>
  <c r="BQ444" i="1"/>
  <c r="BP444" i="1"/>
  <c r="BO444" i="1"/>
  <c r="BN444" i="1"/>
  <c r="BM444" i="1"/>
  <c r="BL444" i="1"/>
  <c r="BK444" i="1"/>
  <c r="BJ444" i="1"/>
  <c r="BI444" i="1"/>
  <c r="BH444" i="1"/>
  <c r="BG444" i="1"/>
  <c r="BF444" i="1"/>
  <c r="AR444" i="1"/>
  <c r="AQ444" i="1"/>
  <c r="AP444" i="1"/>
  <c r="AO444" i="1"/>
  <c r="AN444" i="1"/>
  <c r="AM444" i="1"/>
  <c r="AL444" i="1"/>
  <c r="AK444" i="1"/>
  <c r="AJ444" i="1"/>
  <c r="AI444" i="1"/>
  <c r="AH444" i="1"/>
  <c r="AG444" i="1"/>
  <c r="AF444" i="1"/>
  <c r="AE444" i="1"/>
  <c r="R444" i="1"/>
  <c r="Q444" i="1"/>
  <c r="DE443" i="1"/>
  <c r="DD443" i="1"/>
  <c r="DC443" i="1"/>
  <c r="DB443" i="1"/>
  <c r="DA443" i="1"/>
  <c r="CZ443" i="1"/>
  <c r="CY443" i="1"/>
  <c r="CX443" i="1"/>
  <c r="CW443" i="1"/>
  <c r="CV443" i="1"/>
  <c r="CU443" i="1"/>
  <c r="CT443" i="1"/>
  <c r="CS443" i="1"/>
  <c r="CR443" i="1"/>
  <c r="CQ443" i="1"/>
  <c r="CP443" i="1"/>
  <c r="CO443" i="1"/>
  <c r="CN443" i="1"/>
  <c r="CM443" i="1"/>
  <c r="CL443" i="1"/>
  <c r="CK443" i="1"/>
  <c r="CJ443" i="1"/>
  <c r="CI443" i="1"/>
  <c r="CH443" i="1"/>
  <c r="CG443" i="1"/>
  <c r="CF443" i="1"/>
  <c r="BR443" i="1"/>
  <c r="BQ443" i="1"/>
  <c r="BP443" i="1"/>
  <c r="BO443" i="1"/>
  <c r="BN443" i="1"/>
  <c r="BL443" i="1"/>
  <c r="BK443" i="1"/>
  <c r="BJ443" i="1"/>
  <c r="BI443" i="1"/>
  <c r="BH443" i="1"/>
  <c r="BG443" i="1"/>
  <c r="BF443" i="1"/>
  <c r="AR443" i="1"/>
  <c r="AQ443" i="1"/>
  <c r="AP443" i="1"/>
  <c r="AO443" i="1"/>
  <c r="AN443" i="1"/>
  <c r="AL443" i="1"/>
  <c r="AK443" i="1"/>
  <c r="AJ443" i="1"/>
  <c r="AI443" i="1"/>
  <c r="AH443" i="1"/>
  <c r="AG443" i="1"/>
  <c r="AF443" i="1"/>
  <c r="AE443" i="1"/>
  <c r="O443" i="1"/>
  <c r="J443" i="1"/>
  <c r="DE442" i="1"/>
  <c r="DD442" i="1"/>
  <c r="DC442" i="1"/>
  <c r="DB442" i="1"/>
  <c r="DA442" i="1"/>
  <c r="CZ442" i="1"/>
  <c r="CY442" i="1"/>
  <c r="CX442" i="1"/>
  <c r="CW442" i="1"/>
  <c r="CV442" i="1"/>
  <c r="CU442" i="1"/>
  <c r="CT442" i="1"/>
  <c r="CS442" i="1"/>
  <c r="CR442" i="1"/>
  <c r="CQ442" i="1"/>
  <c r="CP442" i="1"/>
  <c r="CO442" i="1"/>
  <c r="CN442" i="1"/>
  <c r="CM442" i="1"/>
  <c r="CL442" i="1"/>
  <c r="CK442" i="1"/>
  <c r="CJ442" i="1"/>
  <c r="CI442" i="1"/>
  <c r="CH442" i="1"/>
  <c r="CG442" i="1"/>
  <c r="CF442" i="1"/>
  <c r="BR442" i="1"/>
  <c r="BQ442" i="1"/>
  <c r="BP442" i="1"/>
  <c r="BO442" i="1"/>
  <c r="BN442" i="1"/>
  <c r="BM442" i="1"/>
  <c r="BL442" i="1"/>
  <c r="BK442" i="1"/>
  <c r="BJ442" i="1"/>
  <c r="BI442" i="1"/>
  <c r="BH442" i="1"/>
  <c r="BG442" i="1"/>
  <c r="BF442" i="1"/>
  <c r="AR442" i="1"/>
  <c r="AP442" i="1"/>
  <c r="AO442" i="1"/>
  <c r="AN442" i="1"/>
  <c r="AM442" i="1"/>
  <c r="AL442" i="1"/>
  <c r="AK442" i="1"/>
  <c r="AJ442" i="1"/>
  <c r="AI442" i="1"/>
  <c r="AH442" i="1"/>
  <c r="AG442" i="1"/>
  <c r="AF442" i="1"/>
  <c r="AE442" i="1"/>
  <c r="O444" i="1" s="1"/>
  <c r="P444" i="1" s="1"/>
  <c r="AD442" i="1"/>
  <c r="O442" i="1"/>
  <c r="P442" i="1" s="1"/>
  <c r="AQ442" i="1" s="1"/>
  <c r="F442" i="1"/>
  <c r="B442" i="1"/>
  <c r="BD444" i="1" s="1"/>
  <c r="DE441" i="1"/>
  <c r="DD441" i="1"/>
  <c r="DC441" i="1"/>
  <c r="DB441" i="1"/>
  <c r="DA441" i="1"/>
  <c r="CZ441" i="1"/>
  <c r="CY441" i="1"/>
  <c r="CX441" i="1"/>
  <c r="CW441" i="1"/>
  <c r="CV441" i="1"/>
  <c r="CU441" i="1"/>
  <c r="CT441" i="1"/>
  <c r="CS441" i="1"/>
  <c r="CR441" i="1"/>
  <c r="CQ441" i="1"/>
  <c r="CP441" i="1"/>
  <c r="CO441" i="1"/>
  <c r="CN441" i="1"/>
  <c r="CM441" i="1"/>
  <c r="CL441" i="1"/>
  <c r="CK441" i="1"/>
  <c r="CJ441" i="1"/>
  <c r="CI441" i="1"/>
  <c r="CH441" i="1"/>
  <c r="CG441" i="1"/>
  <c r="CF441" i="1"/>
  <c r="BR441" i="1"/>
  <c r="BQ441" i="1"/>
  <c r="BP441" i="1"/>
  <c r="BO441" i="1"/>
  <c r="BN441" i="1"/>
  <c r="BM441" i="1"/>
  <c r="BL441" i="1"/>
  <c r="BK441" i="1"/>
  <c r="BJ441" i="1"/>
  <c r="BI441" i="1"/>
  <c r="BH441" i="1"/>
  <c r="BG441" i="1"/>
  <c r="BF441" i="1"/>
  <c r="BE441" i="1"/>
  <c r="BD441" i="1"/>
  <c r="AZ441" i="1"/>
  <c r="AY441" i="1"/>
  <c r="AU441" i="1"/>
  <c r="AS441" i="1"/>
  <c r="AR441" i="1"/>
  <c r="AQ441" i="1"/>
  <c r="AP441" i="1"/>
  <c r="AO441" i="1"/>
  <c r="AN441" i="1"/>
  <c r="AM441" i="1"/>
  <c r="AL441" i="1"/>
  <c r="AK441" i="1"/>
  <c r="AJ441" i="1"/>
  <c r="AI441" i="1"/>
  <c r="AH441" i="1"/>
  <c r="AG441" i="1"/>
  <c r="AF441" i="1"/>
  <c r="AE441" i="1"/>
  <c r="AD441" i="1"/>
  <c r="R441" i="1"/>
  <c r="Q441" i="1"/>
  <c r="DE440" i="1"/>
  <c r="DD440" i="1"/>
  <c r="DC440" i="1"/>
  <c r="DB440" i="1"/>
  <c r="DA440" i="1"/>
  <c r="CZ440" i="1"/>
  <c r="CY440" i="1"/>
  <c r="CX440" i="1"/>
  <c r="CW440" i="1"/>
  <c r="CV440" i="1"/>
  <c r="CU440" i="1"/>
  <c r="CT440" i="1"/>
  <c r="CS440" i="1"/>
  <c r="CR440" i="1"/>
  <c r="CQ440" i="1"/>
  <c r="CP440" i="1"/>
  <c r="CO440" i="1"/>
  <c r="CN440" i="1"/>
  <c r="CM440" i="1"/>
  <c r="CL440" i="1"/>
  <c r="CK440" i="1"/>
  <c r="CJ440" i="1"/>
  <c r="CI440" i="1"/>
  <c r="CH440" i="1"/>
  <c r="CG440" i="1"/>
  <c r="CF440" i="1"/>
  <c r="BR440" i="1"/>
  <c r="BQ440" i="1"/>
  <c r="BP440" i="1"/>
  <c r="BO440" i="1"/>
  <c r="BN440" i="1"/>
  <c r="BM440" i="1"/>
  <c r="BL440" i="1"/>
  <c r="BK440" i="1"/>
  <c r="BJ440" i="1"/>
  <c r="BI440" i="1"/>
  <c r="BH440" i="1"/>
  <c r="BF440" i="1"/>
  <c r="BD440" i="1"/>
  <c r="BC440" i="1"/>
  <c r="AY440" i="1"/>
  <c r="AW440" i="1"/>
  <c r="AS440" i="1"/>
  <c r="AR440" i="1"/>
  <c r="AQ440" i="1"/>
  <c r="AP440" i="1"/>
  <c r="AO440" i="1"/>
  <c r="AN440" i="1"/>
  <c r="AM440" i="1"/>
  <c r="AL440" i="1"/>
  <c r="AK440" i="1"/>
  <c r="AJ440" i="1"/>
  <c r="AI440" i="1"/>
  <c r="AH440" i="1"/>
  <c r="AF440" i="1"/>
  <c r="AE440" i="1"/>
  <c r="O439" i="1" s="1"/>
  <c r="AD440" i="1"/>
  <c r="J440" i="1"/>
  <c r="DE439" i="1"/>
  <c r="DD439" i="1"/>
  <c r="DC439" i="1"/>
  <c r="DB439" i="1"/>
  <c r="DA439" i="1"/>
  <c r="CZ439" i="1"/>
  <c r="CY439" i="1"/>
  <c r="CX439" i="1"/>
  <c r="CW439" i="1"/>
  <c r="CV439" i="1"/>
  <c r="CU439" i="1"/>
  <c r="CT439" i="1"/>
  <c r="CS439" i="1"/>
  <c r="CR439" i="1"/>
  <c r="CQ439" i="1"/>
  <c r="CP439" i="1"/>
  <c r="CO439" i="1"/>
  <c r="CN439" i="1"/>
  <c r="CM439" i="1"/>
  <c r="CL439" i="1"/>
  <c r="CK439" i="1"/>
  <c r="CJ439" i="1"/>
  <c r="CI439" i="1"/>
  <c r="CH439" i="1"/>
  <c r="CG439" i="1"/>
  <c r="CF439" i="1"/>
  <c r="CD439" i="1"/>
  <c r="CB439" i="1"/>
  <c r="BX439" i="1"/>
  <c r="BW439" i="1"/>
  <c r="BS439" i="1"/>
  <c r="BR439" i="1"/>
  <c r="BP439" i="1"/>
  <c r="BO439" i="1"/>
  <c r="BN439" i="1"/>
  <c r="BM439" i="1"/>
  <c r="BL439" i="1"/>
  <c r="BK439" i="1"/>
  <c r="BJ439" i="1"/>
  <c r="BI439" i="1"/>
  <c r="BH439" i="1"/>
  <c r="BG439" i="1"/>
  <c r="BF439" i="1"/>
  <c r="BD439" i="1"/>
  <c r="AZ439" i="1"/>
  <c r="AY439" i="1"/>
  <c r="AU439" i="1"/>
  <c r="AT439" i="1"/>
  <c r="AR439" i="1"/>
  <c r="AP439" i="1"/>
  <c r="AO439" i="1"/>
  <c r="AN439" i="1"/>
  <c r="AM439" i="1"/>
  <c r="AL439" i="1"/>
  <c r="AK439" i="1"/>
  <c r="AJ439" i="1"/>
  <c r="AI439" i="1"/>
  <c r="AH439" i="1"/>
  <c r="AG439" i="1"/>
  <c r="AF439" i="1"/>
  <c r="AE439" i="1"/>
  <c r="AD439" i="1"/>
  <c r="F439" i="1"/>
  <c r="B439" i="1"/>
  <c r="BA441" i="1" s="1"/>
  <c r="DE438" i="1"/>
  <c r="DD438" i="1"/>
  <c r="DC438" i="1"/>
  <c r="DB438" i="1"/>
  <c r="DA438" i="1"/>
  <c r="CZ438" i="1"/>
  <c r="CY438" i="1"/>
  <c r="CX438" i="1"/>
  <c r="CW438" i="1"/>
  <c r="CV438" i="1"/>
  <c r="CU438" i="1"/>
  <c r="CT438" i="1"/>
  <c r="CS438" i="1"/>
  <c r="CR438" i="1"/>
  <c r="CQ438" i="1"/>
  <c r="CP438" i="1"/>
  <c r="CO438" i="1"/>
  <c r="CN438" i="1"/>
  <c r="CM438" i="1"/>
  <c r="CL438" i="1"/>
  <c r="CK438" i="1"/>
  <c r="CJ438" i="1"/>
  <c r="CI438" i="1"/>
  <c r="CH438" i="1"/>
  <c r="CG438" i="1"/>
  <c r="CF438" i="1"/>
  <c r="BR438" i="1"/>
  <c r="BP438" i="1"/>
  <c r="BO438" i="1"/>
  <c r="BN438" i="1"/>
  <c r="BM438" i="1"/>
  <c r="BL438" i="1"/>
  <c r="BK438" i="1"/>
  <c r="BJ438" i="1"/>
  <c r="BI438" i="1"/>
  <c r="BH438" i="1"/>
  <c r="BG438" i="1"/>
  <c r="BF438" i="1"/>
  <c r="BD438" i="1"/>
  <c r="BC438" i="1"/>
  <c r="AZ438" i="1"/>
  <c r="AY438" i="1"/>
  <c r="AX438" i="1"/>
  <c r="AU438" i="1"/>
  <c r="AT438" i="1"/>
  <c r="AR438" i="1"/>
  <c r="AP438" i="1"/>
  <c r="AO438" i="1"/>
  <c r="AN438" i="1"/>
  <c r="AM438" i="1"/>
  <c r="AL438" i="1"/>
  <c r="AK438" i="1"/>
  <c r="AJ438" i="1"/>
  <c r="AI438" i="1"/>
  <c r="AH438" i="1"/>
  <c r="AG438" i="1"/>
  <c r="AF438" i="1"/>
  <c r="AE438" i="1"/>
  <c r="DE437" i="1"/>
  <c r="DD437" i="1"/>
  <c r="DC437" i="1"/>
  <c r="DB437" i="1"/>
  <c r="DA437" i="1"/>
  <c r="CZ437" i="1"/>
  <c r="CY437" i="1"/>
  <c r="CX437" i="1"/>
  <c r="CW437" i="1"/>
  <c r="CV437" i="1"/>
  <c r="CU437" i="1"/>
  <c r="CT437" i="1"/>
  <c r="CS437" i="1"/>
  <c r="CR437" i="1"/>
  <c r="CQ437" i="1"/>
  <c r="CP437" i="1"/>
  <c r="CO437" i="1"/>
  <c r="CN437" i="1"/>
  <c r="CM437" i="1"/>
  <c r="CL437" i="1"/>
  <c r="CK437" i="1"/>
  <c r="CJ437" i="1"/>
  <c r="CI437" i="1"/>
  <c r="CH437" i="1"/>
  <c r="CG437" i="1"/>
  <c r="CF437" i="1"/>
  <c r="BR437" i="1"/>
  <c r="BP437" i="1"/>
  <c r="BO437" i="1"/>
  <c r="BN437" i="1"/>
  <c r="BM437" i="1"/>
  <c r="BL437" i="1"/>
  <c r="BK437" i="1"/>
  <c r="BJ437" i="1"/>
  <c r="BI437" i="1"/>
  <c r="BH437" i="1"/>
  <c r="BG437" i="1"/>
  <c r="BF437" i="1"/>
  <c r="BE437" i="1"/>
  <c r="BB437" i="1"/>
  <c r="BA437" i="1"/>
  <c r="AY437" i="1"/>
  <c r="AW437" i="1"/>
  <c r="AU437" i="1"/>
  <c r="AT437" i="1"/>
  <c r="AR437" i="1"/>
  <c r="AP437" i="1"/>
  <c r="AO437" i="1"/>
  <c r="AN437" i="1"/>
  <c r="AM437" i="1"/>
  <c r="AL437" i="1"/>
  <c r="AK437" i="1"/>
  <c r="AJ437" i="1"/>
  <c r="AI437" i="1"/>
  <c r="AH437" i="1"/>
  <c r="AG437" i="1"/>
  <c r="AF437" i="1"/>
  <c r="AE437" i="1"/>
  <c r="O437" i="1" s="1"/>
  <c r="J437" i="1"/>
  <c r="DE436" i="1"/>
  <c r="DD436" i="1"/>
  <c r="DC436" i="1"/>
  <c r="DB436" i="1"/>
  <c r="DA436" i="1"/>
  <c r="CZ436" i="1"/>
  <c r="CY436" i="1"/>
  <c r="CX436" i="1"/>
  <c r="CW436" i="1"/>
  <c r="CV436" i="1"/>
  <c r="CU436" i="1"/>
  <c r="CT436" i="1"/>
  <c r="CS436" i="1"/>
  <c r="CR436" i="1"/>
  <c r="CQ436" i="1"/>
  <c r="CP436" i="1"/>
  <c r="CO436" i="1"/>
  <c r="CN436" i="1"/>
  <c r="CM436" i="1"/>
  <c r="CL436" i="1"/>
  <c r="CK436" i="1"/>
  <c r="CJ436" i="1"/>
  <c r="CI436" i="1"/>
  <c r="CH436" i="1"/>
  <c r="CG436" i="1"/>
  <c r="CF436" i="1"/>
  <c r="CE436" i="1"/>
  <c r="CC436" i="1"/>
  <c r="CB436" i="1"/>
  <c r="BY436" i="1"/>
  <c r="BX436" i="1"/>
  <c r="BW436" i="1"/>
  <c r="BT436" i="1"/>
  <c r="BS436" i="1"/>
  <c r="BR436" i="1"/>
  <c r="BQ436" i="1"/>
  <c r="BP436" i="1"/>
  <c r="BO436" i="1"/>
  <c r="BN436" i="1"/>
  <c r="BM436" i="1"/>
  <c r="BL436" i="1"/>
  <c r="BK436" i="1"/>
  <c r="BJ436" i="1"/>
  <c r="BI436" i="1"/>
  <c r="BH436" i="1"/>
  <c r="BF436" i="1"/>
  <c r="BD436" i="1"/>
  <c r="BC436" i="1"/>
  <c r="BA436" i="1"/>
  <c r="AY436" i="1"/>
  <c r="AW436" i="1"/>
  <c r="AV436" i="1"/>
  <c r="AS436" i="1"/>
  <c r="AR436" i="1"/>
  <c r="AQ436" i="1"/>
  <c r="AP436" i="1"/>
  <c r="AO436" i="1"/>
  <c r="AN436" i="1"/>
  <c r="AM436" i="1"/>
  <c r="AL436" i="1"/>
  <c r="AK436" i="1"/>
  <c r="AJ436" i="1"/>
  <c r="AI436" i="1"/>
  <c r="AH436" i="1"/>
  <c r="AF436" i="1"/>
  <c r="AE436" i="1"/>
  <c r="O438" i="1" s="1"/>
  <c r="BQ438" i="1" s="1"/>
  <c r="AD436" i="1"/>
  <c r="F436" i="1"/>
  <c r="B436" i="1"/>
  <c r="DE435" i="1"/>
  <c r="DD435" i="1"/>
  <c r="DC435" i="1"/>
  <c r="DB435" i="1"/>
  <c r="DA435" i="1"/>
  <c r="CZ435" i="1"/>
  <c r="CY435" i="1"/>
  <c r="CX435" i="1"/>
  <c r="CW435" i="1"/>
  <c r="CV435" i="1"/>
  <c r="CU435" i="1"/>
  <c r="CT435" i="1"/>
  <c r="CS435" i="1"/>
  <c r="CR435" i="1"/>
  <c r="CQ435" i="1"/>
  <c r="CP435" i="1"/>
  <c r="CO435" i="1"/>
  <c r="CN435" i="1"/>
  <c r="CM435" i="1"/>
  <c r="CL435" i="1"/>
  <c r="CK435" i="1"/>
  <c r="CJ435" i="1"/>
  <c r="CI435" i="1"/>
  <c r="CH435" i="1"/>
  <c r="CG435" i="1"/>
  <c r="CF435" i="1"/>
  <c r="BR435" i="1"/>
  <c r="BQ435" i="1"/>
  <c r="BP435" i="1"/>
  <c r="BO435" i="1"/>
  <c r="BN435" i="1"/>
  <c r="BM435" i="1"/>
  <c r="BL435" i="1"/>
  <c r="BK435" i="1"/>
  <c r="BJ435" i="1"/>
  <c r="BI435" i="1"/>
  <c r="BH435" i="1"/>
  <c r="BG435" i="1"/>
  <c r="BF435" i="1"/>
  <c r="BD435" i="1"/>
  <c r="BC435" i="1"/>
  <c r="AY435" i="1"/>
  <c r="AS435" i="1"/>
  <c r="AR435" i="1"/>
  <c r="AQ435" i="1"/>
  <c r="AP435" i="1"/>
  <c r="AO435" i="1"/>
  <c r="AN435" i="1"/>
  <c r="AM435" i="1"/>
  <c r="AL435" i="1"/>
  <c r="AK435" i="1"/>
  <c r="AJ435" i="1"/>
  <c r="AI435" i="1"/>
  <c r="AH435" i="1"/>
  <c r="AG435" i="1"/>
  <c r="AF435" i="1"/>
  <c r="AE435" i="1"/>
  <c r="AD435" i="1"/>
  <c r="R435" i="1"/>
  <c r="Q435" i="1"/>
  <c r="DE434" i="1"/>
  <c r="DD434" i="1"/>
  <c r="DC434" i="1"/>
  <c r="DB434" i="1"/>
  <c r="DA434" i="1"/>
  <c r="CZ434" i="1"/>
  <c r="CY434" i="1"/>
  <c r="CX434" i="1"/>
  <c r="CW434" i="1"/>
  <c r="CV434" i="1"/>
  <c r="CU434" i="1"/>
  <c r="CT434" i="1"/>
  <c r="CS434" i="1"/>
  <c r="CR434" i="1"/>
  <c r="CQ434" i="1"/>
  <c r="CP434" i="1"/>
  <c r="CO434" i="1"/>
  <c r="CN434" i="1"/>
  <c r="CM434" i="1"/>
  <c r="CL434" i="1"/>
  <c r="CK434" i="1"/>
  <c r="CJ434" i="1"/>
  <c r="CI434" i="1"/>
  <c r="CH434" i="1"/>
  <c r="CG434" i="1"/>
  <c r="CF434" i="1"/>
  <c r="BR434" i="1"/>
  <c r="BP434" i="1"/>
  <c r="BO434" i="1"/>
  <c r="BN434" i="1"/>
  <c r="BM434" i="1"/>
  <c r="BL434" i="1"/>
  <c r="BK434" i="1"/>
  <c r="BJ434" i="1"/>
  <c r="BI434" i="1"/>
  <c r="BH434" i="1"/>
  <c r="BG434" i="1"/>
  <c r="BF434" i="1"/>
  <c r="BC434" i="1"/>
  <c r="AW434" i="1"/>
  <c r="AV434" i="1"/>
  <c r="AR434" i="1"/>
  <c r="AP434" i="1"/>
  <c r="AO434" i="1"/>
  <c r="AN434" i="1"/>
  <c r="AM434" i="1"/>
  <c r="AL434" i="1"/>
  <c r="AK434" i="1"/>
  <c r="AJ434" i="1"/>
  <c r="AI434" i="1"/>
  <c r="AH434" i="1"/>
  <c r="AG434" i="1"/>
  <c r="AF434" i="1"/>
  <c r="AE434" i="1"/>
  <c r="O433" i="1" s="1"/>
  <c r="AD434" i="1"/>
  <c r="J434" i="1"/>
  <c r="DJ433" i="1"/>
  <c r="DE433" i="1"/>
  <c r="DD433" i="1"/>
  <c r="DC433" i="1"/>
  <c r="DB433" i="1"/>
  <c r="DA433" i="1"/>
  <c r="CZ433" i="1"/>
  <c r="CY433" i="1"/>
  <c r="CX433" i="1"/>
  <c r="CW433" i="1"/>
  <c r="CV433" i="1"/>
  <c r="CU433" i="1"/>
  <c r="CT433" i="1"/>
  <c r="CS433" i="1"/>
  <c r="CR433" i="1"/>
  <c r="CQ433" i="1"/>
  <c r="CP433" i="1"/>
  <c r="CO433" i="1"/>
  <c r="CN433" i="1"/>
  <c r="CM433" i="1"/>
  <c r="CL433" i="1"/>
  <c r="CK433" i="1"/>
  <c r="CJ433" i="1"/>
  <c r="CI433" i="1"/>
  <c r="CH433" i="1"/>
  <c r="CG433" i="1"/>
  <c r="CF433" i="1"/>
  <c r="CB433" i="1"/>
  <c r="CA433" i="1"/>
  <c r="BW433" i="1"/>
  <c r="BR433" i="1"/>
  <c r="BQ433" i="1"/>
  <c r="BP433" i="1"/>
  <c r="BO433" i="1"/>
  <c r="BN433" i="1"/>
  <c r="BL433" i="1"/>
  <c r="BK433" i="1"/>
  <c r="BJ433" i="1"/>
  <c r="BI433" i="1"/>
  <c r="BH433" i="1"/>
  <c r="BG433" i="1"/>
  <c r="BF433" i="1"/>
  <c r="BD433" i="1"/>
  <c r="BC433" i="1"/>
  <c r="AY433" i="1"/>
  <c r="AT433" i="1"/>
  <c r="AR433" i="1"/>
  <c r="AQ433" i="1"/>
  <c r="AP433" i="1"/>
  <c r="AO433" i="1"/>
  <c r="AN433" i="1"/>
  <c r="AL433" i="1"/>
  <c r="AK433" i="1"/>
  <c r="AJ433" i="1"/>
  <c r="AI433" i="1"/>
  <c r="AH433" i="1"/>
  <c r="AG433" i="1"/>
  <c r="AF433" i="1"/>
  <c r="AE433" i="1"/>
  <c r="AD433" i="1"/>
  <c r="P433" i="1"/>
  <c r="F433" i="1"/>
  <c r="D433" i="1"/>
  <c r="DJ435" i="1" s="1"/>
  <c r="B433" i="1"/>
  <c r="DJ432" i="1"/>
  <c r="DE432" i="1"/>
  <c r="DD432" i="1"/>
  <c r="DC432" i="1"/>
  <c r="DB432" i="1"/>
  <c r="DA432" i="1"/>
  <c r="CZ432" i="1"/>
  <c r="CY432" i="1"/>
  <c r="CX432" i="1"/>
  <c r="CW432" i="1"/>
  <c r="CV432" i="1"/>
  <c r="CU432" i="1"/>
  <c r="CT432" i="1"/>
  <c r="CS432" i="1"/>
  <c r="CR432" i="1"/>
  <c r="CQ432" i="1"/>
  <c r="CP432" i="1"/>
  <c r="CO432" i="1"/>
  <c r="CN432" i="1"/>
  <c r="CM432" i="1"/>
  <c r="CL432" i="1"/>
  <c r="CK432" i="1"/>
  <c r="CJ432" i="1"/>
  <c r="CI432" i="1"/>
  <c r="CH432" i="1"/>
  <c r="CG432" i="1"/>
  <c r="CF432" i="1"/>
  <c r="BR432" i="1"/>
  <c r="BQ432" i="1"/>
  <c r="BP432" i="1"/>
  <c r="BO432" i="1"/>
  <c r="BN432" i="1"/>
  <c r="BM432" i="1"/>
  <c r="BL432" i="1"/>
  <c r="BK432" i="1"/>
  <c r="BJ432" i="1"/>
  <c r="BI432" i="1"/>
  <c r="BH432" i="1"/>
  <c r="BG432" i="1"/>
  <c r="BF432" i="1"/>
  <c r="AV432" i="1"/>
  <c r="AR432" i="1"/>
  <c r="AQ432" i="1"/>
  <c r="AP432" i="1"/>
  <c r="AO432" i="1"/>
  <c r="AN432" i="1"/>
  <c r="AM432" i="1"/>
  <c r="AL432" i="1"/>
  <c r="AK432" i="1"/>
  <c r="AJ432" i="1"/>
  <c r="AI432" i="1"/>
  <c r="AH432" i="1"/>
  <c r="AG432" i="1"/>
  <c r="AF432" i="1"/>
  <c r="AE432" i="1"/>
  <c r="R432" i="1"/>
  <c r="Q432" i="1"/>
  <c r="DJ431" i="1"/>
  <c r="DE431" i="1"/>
  <c r="DD431" i="1"/>
  <c r="DC431" i="1"/>
  <c r="DB431" i="1"/>
  <c r="DA431" i="1"/>
  <c r="CZ431" i="1"/>
  <c r="CY431" i="1"/>
  <c r="CX431" i="1"/>
  <c r="CW431" i="1"/>
  <c r="CV431" i="1"/>
  <c r="CU431" i="1"/>
  <c r="CT431" i="1"/>
  <c r="CS431" i="1"/>
  <c r="CR431" i="1"/>
  <c r="CQ431" i="1"/>
  <c r="CP431" i="1"/>
  <c r="CO431" i="1"/>
  <c r="CN431" i="1"/>
  <c r="CM431" i="1"/>
  <c r="CL431" i="1"/>
  <c r="CK431" i="1"/>
  <c r="CJ431" i="1"/>
  <c r="CI431" i="1"/>
  <c r="CH431" i="1"/>
  <c r="CG431" i="1"/>
  <c r="CF431" i="1"/>
  <c r="BR431" i="1"/>
  <c r="BQ431" i="1"/>
  <c r="BP431" i="1"/>
  <c r="BO431" i="1"/>
  <c r="BN431" i="1"/>
  <c r="BM431" i="1"/>
  <c r="BL431" i="1"/>
  <c r="BK431" i="1"/>
  <c r="BI431" i="1"/>
  <c r="BH431" i="1"/>
  <c r="BG431" i="1"/>
  <c r="BF431" i="1"/>
  <c r="BC431" i="1"/>
  <c r="AS431" i="1"/>
  <c r="AR431" i="1"/>
  <c r="AQ431" i="1"/>
  <c r="AP431" i="1"/>
  <c r="AO431" i="1"/>
  <c r="AN431" i="1"/>
  <c r="AM431" i="1"/>
  <c r="AL431" i="1"/>
  <c r="AK431" i="1"/>
  <c r="AI431" i="1"/>
  <c r="AH431" i="1"/>
  <c r="AG431" i="1"/>
  <c r="AF431" i="1"/>
  <c r="AE431" i="1"/>
  <c r="J431" i="1"/>
  <c r="DJ430" i="1"/>
  <c r="DE430" i="1"/>
  <c r="DD430" i="1"/>
  <c r="DC430" i="1"/>
  <c r="DB430" i="1"/>
  <c r="DA430" i="1"/>
  <c r="CZ430" i="1"/>
  <c r="CY430" i="1"/>
  <c r="CX430" i="1"/>
  <c r="CW430" i="1"/>
  <c r="CV430" i="1"/>
  <c r="CU430" i="1"/>
  <c r="CT430" i="1"/>
  <c r="CS430" i="1"/>
  <c r="CR430" i="1"/>
  <c r="CQ430" i="1"/>
  <c r="CP430" i="1"/>
  <c r="CO430" i="1"/>
  <c r="CN430" i="1"/>
  <c r="CM430" i="1"/>
  <c r="CL430" i="1"/>
  <c r="CK430" i="1"/>
  <c r="CJ430" i="1"/>
  <c r="CI430" i="1"/>
  <c r="CH430" i="1"/>
  <c r="CG430" i="1"/>
  <c r="CF430" i="1"/>
  <c r="BU430" i="1"/>
  <c r="BR430" i="1"/>
  <c r="BP430" i="1"/>
  <c r="BO430" i="1"/>
  <c r="BN430" i="1"/>
  <c r="BM430" i="1"/>
  <c r="BL430" i="1"/>
  <c r="BK430" i="1"/>
  <c r="BJ430" i="1"/>
  <c r="BI430" i="1"/>
  <c r="BH430" i="1"/>
  <c r="BG430" i="1"/>
  <c r="BF430" i="1"/>
  <c r="AZ430" i="1"/>
  <c r="AR430" i="1"/>
  <c r="AP430" i="1"/>
  <c r="AO430" i="1"/>
  <c r="AN430" i="1"/>
  <c r="AM430" i="1"/>
  <c r="AL430" i="1"/>
  <c r="AK430" i="1"/>
  <c r="AJ430" i="1"/>
  <c r="AI430" i="1"/>
  <c r="AH430" i="1"/>
  <c r="AG430" i="1"/>
  <c r="AF430" i="1"/>
  <c r="AE430" i="1"/>
  <c r="O432" i="1" s="1"/>
  <c r="P432" i="1" s="1"/>
  <c r="AD430" i="1"/>
  <c r="F430" i="1"/>
  <c r="B430" i="1"/>
  <c r="DE429" i="1"/>
  <c r="DD429" i="1"/>
  <c r="DC429" i="1"/>
  <c r="DB429" i="1"/>
  <c r="DA429" i="1"/>
  <c r="CZ429" i="1"/>
  <c r="CY429" i="1"/>
  <c r="CX429" i="1"/>
  <c r="CW429" i="1"/>
  <c r="CV429" i="1"/>
  <c r="CU429" i="1"/>
  <c r="CT429" i="1"/>
  <c r="CS429" i="1"/>
  <c r="CR429" i="1"/>
  <c r="CQ429" i="1"/>
  <c r="CP429" i="1"/>
  <c r="CO429" i="1"/>
  <c r="CN429" i="1"/>
  <c r="CM429" i="1"/>
  <c r="CL429" i="1"/>
  <c r="CK429" i="1"/>
  <c r="CJ429" i="1"/>
  <c r="CI429" i="1"/>
  <c r="CH429" i="1"/>
  <c r="CG429" i="1"/>
  <c r="CF429" i="1"/>
  <c r="BR429" i="1"/>
  <c r="BQ429" i="1"/>
  <c r="BP429" i="1"/>
  <c r="BO429" i="1"/>
  <c r="BN429" i="1"/>
  <c r="BM429" i="1"/>
  <c r="BL429" i="1"/>
  <c r="BK429" i="1"/>
  <c r="BJ429" i="1"/>
  <c r="BI429" i="1"/>
  <c r="BH429" i="1"/>
  <c r="BG429" i="1"/>
  <c r="BF429" i="1"/>
  <c r="BC429" i="1"/>
  <c r="AY429" i="1"/>
  <c r="AX429" i="1"/>
  <c r="AR429" i="1"/>
  <c r="AQ429" i="1"/>
  <c r="AP429" i="1"/>
  <c r="AO429" i="1"/>
  <c r="AN429" i="1"/>
  <c r="AM429" i="1"/>
  <c r="AL429" i="1"/>
  <c r="AK429" i="1"/>
  <c r="AJ429" i="1"/>
  <c r="AI429" i="1"/>
  <c r="AH429" i="1"/>
  <c r="AG429" i="1"/>
  <c r="AF429" i="1"/>
  <c r="AE429" i="1"/>
  <c r="AD429" i="1"/>
  <c r="R429" i="1"/>
  <c r="Q429" i="1"/>
  <c r="DE428" i="1"/>
  <c r="DD428" i="1"/>
  <c r="DC428" i="1"/>
  <c r="DB428" i="1"/>
  <c r="DA428" i="1"/>
  <c r="CZ428" i="1"/>
  <c r="CY428" i="1"/>
  <c r="CX428" i="1"/>
  <c r="CW428" i="1"/>
  <c r="CV428" i="1"/>
  <c r="CU428" i="1"/>
  <c r="CT428" i="1"/>
  <c r="CS428" i="1"/>
  <c r="CR428" i="1"/>
  <c r="CQ428" i="1"/>
  <c r="CP428" i="1"/>
  <c r="CO428" i="1"/>
  <c r="CN428" i="1"/>
  <c r="CM428" i="1"/>
  <c r="CL428" i="1"/>
  <c r="CK428" i="1"/>
  <c r="CJ428" i="1"/>
  <c r="CI428" i="1"/>
  <c r="CH428" i="1"/>
  <c r="CG428" i="1"/>
  <c r="CF428" i="1"/>
  <c r="BR428" i="1"/>
  <c r="BQ428" i="1"/>
  <c r="BP428" i="1"/>
  <c r="BO428" i="1"/>
  <c r="BN428" i="1"/>
  <c r="BM428" i="1"/>
  <c r="BL428" i="1"/>
  <c r="BK428" i="1"/>
  <c r="BJ428" i="1"/>
  <c r="BI428" i="1"/>
  <c r="BG428" i="1"/>
  <c r="BF428" i="1"/>
  <c r="BB428" i="1"/>
  <c r="AZ428" i="1"/>
  <c r="AU428" i="1"/>
  <c r="AR428" i="1"/>
  <c r="AQ428" i="1"/>
  <c r="AP428" i="1"/>
  <c r="AO428" i="1"/>
  <c r="AN428" i="1"/>
  <c r="AM428" i="1"/>
  <c r="AL428" i="1"/>
  <c r="AK428" i="1"/>
  <c r="AJ428" i="1"/>
  <c r="AI428" i="1"/>
  <c r="AG428" i="1"/>
  <c r="AF428" i="1"/>
  <c r="AE428" i="1"/>
  <c r="O427" i="1" s="1"/>
  <c r="AD428" i="1"/>
  <c r="O428" i="1"/>
  <c r="J428" i="1"/>
  <c r="DE427" i="1"/>
  <c r="DD427" i="1"/>
  <c r="DC427" i="1"/>
  <c r="DB427" i="1"/>
  <c r="DA427" i="1"/>
  <c r="CZ427" i="1"/>
  <c r="CY427" i="1"/>
  <c r="CX427" i="1"/>
  <c r="CW427" i="1"/>
  <c r="CV427" i="1"/>
  <c r="CU427" i="1"/>
  <c r="CT427" i="1"/>
  <c r="CS427" i="1"/>
  <c r="CR427" i="1"/>
  <c r="CQ427" i="1"/>
  <c r="CP427" i="1"/>
  <c r="CO427" i="1"/>
  <c r="CN427" i="1"/>
  <c r="CM427" i="1"/>
  <c r="CL427" i="1"/>
  <c r="CK427" i="1"/>
  <c r="CJ427" i="1"/>
  <c r="CI427" i="1"/>
  <c r="CH427" i="1"/>
  <c r="CG427" i="1"/>
  <c r="CF427" i="1"/>
  <c r="CE427" i="1"/>
  <c r="BZ427" i="1"/>
  <c r="BV427" i="1"/>
  <c r="BR427" i="1"/>
  <c r="BQ427" i="1"/>
  <c r="BP427" i="1"/>
  <c r="BO427" i="1"/>
  <c r="BN427" i="1"/>
  <c r="BM427" i="1"/>
  <c r="BL427" i="1"/>
  <c r="BK427" i="1"/>
  <c r="BI427" i="1"/>
  <c r="BH427" i="1"/>
  <c r="BG427" i="1"/>
  <c r="BF427" i="1"/>
  <c r="BC427" i="1"/>
  <c r="AY427" i="1"/>
  <c r="AX427" i="1"/>
  <c r="AS427" i="1"/>
  <c r="AR427" i="1"/>
  <c r="AQ427" i="1"/>
  <c r="AP427" i="1"/>
  <c r="AO427" i="1"/>
  <c r="AN427" i="1"/>
  <c r="AM427" i="1"/>
  <c r="AL427" i="1"/>
  <c r="AK427" i="1"/>
  <c r="AI427" i="1"/>
  <c r="AH427" i="1"/>
  <c r="AG427" i="1"/>
  <c r="AF427" i="1"/>
  <c r="AE427" i="1"/>
  <c r="O429" i="1" s="1"/>
  <c r="P429" i="1" s="1"/>
  <c r="AD427" i="1"/>
  <c r="F427" i="1"/>
  <c r="B427" i="1"/>
  <c r="DE426" i="1"/>
  <c r="DD426" i="1"/>
  <c r="DC426" i="1"/>
  <c r="DB426" i="1"/>
  <c r="DA426" i="1"/>
  <c r="CZ426" i="1"/>
  <c r="CY426" i="1"/>
  <c r="CX426" i="1"/>
  <c r="CW426" i="1"/>
  <c r="CV426" i="1"/>
  <c r="CU426" i="1"/>
  <c r="CT426" i="1"/>
  <c r="CS426" i="1"/>
  <c r="CR426" i="1"/>
  <c r="CQ426" i="1"/>
  <c r="CP426" i="1"/>
  <c r="CO426" i="1"/>
  <c r="CN426" i="1"/>
  <c r="CM426" i="1"/>
  <c r="CL426" i="1"/>
  <c r="CK426" i="1"/>
  <c r="CJ426" i="1"/>
  <c r="CI426" i="1"/>
  <c r="CH426" i="1"/>
  <c r="CG426" i="1"/>
  <c r="CF426" i="1"/>
  <c r="BR426" i="1"/>
  <c r="BQ426" i="1"/>
  <c r="BP426" i="1"/>
  <c r="BO426" i="1"/>
  <c r="BN426" i="1"/>
  <c r="BM426" i="1"/>
  <c r="BL426" i="1"/>
  <c r="BK426" i="1"/>
  <c r="BJ426" i="1"/>
  <c r="BI426" i="1"/>
  <c r="BH426" i="1"/>
  <c r="BG426" i="1"/>
  <c r="BF426" i="1"/>
  <c r="BB426" i="1"/>
  <c r="BA426" i="1"/>
  <c r="AW426" i="1"/>
  <c r="AU426" i="1"/>
  <c r="AR426" i="1"/>
  <c r="AQ426" i="1"/>
  <c r="AP426" i="1"/>
  <c r="AO426" i="1"/>
  <c r="AN426" i="1"/>
  <c r="AM426" i="1"/>
  <c r="AL426" i="1"/>
  <c r="AK426" i="1"/>
  <c r="AJ426" i="1"/>
  <c r="AI426" i="1"/>
  <c r="AH426" i="1"/>
  <c r="AG426" i="1"/>
  <c r="AF426" i="1"/>
  <c r="AE426" i="1"/>
  <c r="R426" i="1"/>
  <c r="Q426" i="1"/>
  <c r="O426" i="1"/>
  <c r="P426" i="1" s="1"/>
  <c r="DE425" i="1"/>
  <c r="DD425" i="1"/>
  <c r="DC425" i="1"/>
  <c r="DB425" i="1"/>
  <c r="DA425" i="1"/>
  <c r="CZ425" i="1"/>
  <c r="CY425" i="1"/>
  <c r="CX425" i="1"/>
  <c r="CW425" i="1"/>
  <c r="CV425" i="1"/>
  <c r="CU425" i="1"/>
  <c r="CT425" i="1"/>
  <c r="CS425" i="1"/>
  <c r="CR425" i="1"/>
  <c r="CQ425" i="1"/>
  <c r="CP425" i="1"/>
  <c r="CO425" i="1"/>
  <c r="CN425" i="1"/>
  <c r="CM425" i="1"/>
  <c r="CL425" i="1"/>
  <c r="CK425" i="1"/>
  <c r="CJ425" i="1"/>
  <c r="CI425" i="1"/>
  <c r="CH425" i="1"/>
  <c r="CG425" i="1"/>
  <c r="CF425" i="1"/>
  <c r="BR425" i="1"/>
  <c r="BQ425" i="1"/>
  <c r="BP425" i="1"/>
  <c r="BO425" i="1"/>
  <c r="BN425" i="1"/>
  <c r="BM425" i="1"/>
  <c r="BL425" i="1"/>
  <c r="BK425" i="1"/>
  <c r="BI425" i="1"/>
  <c r="BH425" i="1"/>
  <c r="BG425" i="1"/>
  <c r="BF425" i="1"/>
  <c r="BE425" i="1"/>
  <c r="BD425" i="1"/>
  <c r="AZ425" i="1"/>
  <c r="AX425" i="1"/>
  <c r="AT425" i="1"/>
  <c r="AS425" i="1"/>
  <c r="AR425" i="1"/>
  <c r="AQ425" i="1"/>
  <c r="AP425" i="1"/>
  <c r="AO425" i="1"/>
  <c r="AN425" i="1"/>
  <c r="AM425" i="1"/>
  <c r="AL425" i="1"/>
  <c r="AK425" i="1"/>
  <c r="AI425" i="1"/>
  <c r="AH425" i="1"/>
  <c r="AG425" i="1"/>
  <c r="AF425" i="1"/>
  <c r="AE425" i="1"/>
  <c r="J425" i="1"/>
  <c r="DE424" i="1"/>
  <c r="DD424" i="1"/>
  <c r="DC424" i="1"/>
  <c r="DB424" i="1"/>
  <c r="DA424" i="1"/>
  <c r="CZ424" i="1"/>
  <c r="CY424" i="1"/>
  <c r="CX424" i="1"/>
  <c r="CW424" i="1"/>
  <c r="CV424" i="1"/>
  <c r="CU424" i="1"/>
  <c r="CT424" i="1"/>
  <c r="CS424" i="1"/>
  <c r="CR424" i="1"/>
  <c r="CQ424" i="1"/>
  <c r="CP424" i="1"/>
  <c r="CO424" i="1"/>
  <c r="CN424" i="1"/>
  <c r="CM424" i="1"/>
  <c r="CL424" i="1"/>
  <c r="CK424" i="1"/>
  <c r="CJ424" i="1"/>
  <c r="CI424" i="1"/>
  <c r="CH424" i="1"/>
  <c r="CG424" i="1"/>
  <c r="CF424" i="1"/>
  <c r="CD424" i="1"/>
  <c r="CB424" i="1"/>
  <c r="BX424" i="1"/>
  <c r="BS424" i="1"/>
  <c r="BR424" i="1"/>
  <c r="BQ424" i="1"/>
  <c r="BP424" i="1"/>
  <c r="BO424" i="1"/>
  <c r="BN424" i="1"/>
  <c r="BL424" i="1"/>
  <c r="BK424" i="1"/>
  <c r="BJ424" i="1"/>
  <c r="BI424" i="1"/>
  <c r="BH424" i="1"/>
  <c r="BG424" i="1"/>
  <c r="BF424" i="1"/>
  <c r="BD424" i="1"/>
  <c r="AZ424" i="1"/>
  <c r="AY424" i="1"/>
  <c r="AU424" i="1"/>
  <c r="AT424" i="1"/>
  <c r="AR424" i="1"/>
  <c r="AQ424" i="1"/>
  <c r="AP424" i="1"/>
  <c r="AO424" i="1"/>
  <c r="AN424" i="1"/>
  <c r="AL424" i="1"/>
  <c r="AK424" i="1"/>
  <c r="AJ424" i="1"/>
  <c r="AI424" i="1"/>
  <c r="AH424" i="1"/>
  <c r="AG424" i="1"/>
  <c r="AF424" i="1"/>
  <c r="AE424" i="1"/>
  <c r="O425" i="1" s="1"/>
  <c r="P425" i="1" s="1"/>
  <c r="AJ425" i="1" s="1"/>
  <c r="AD424" i="1"/>
  <c r="S424" i="1"/>
  <c r="T424" i="1" s="1"/>
  <c r="P424" i="1"/>
  <c r="O424" i="1"/>
  <c r="BM424" i="1" s="1"/>
  <c r="F424" i="1"/>
  <c r="B424" i="1"/>
  <c r="BC426" i="1" s="1"/>
  <c r="DE423" i="1"/>
  <c r="DD423" i="1"/>
  <c r="DC423" i="1"/>
  <c r="DB423" i="1"/>
  <c r="DA423" i="1"/>
  <c r="CZ423" i="1"/>
  <c r="CY423" i="1"/>
  <c r="CX423" i="1"/>
  <c r="CW423" i="1"/>
  <c r="CV423" i="1"/>
  <c r="CU423" i="1"/>
  <c r="CT423" i="1"/>
  <c r="CS423" i="1"/>
  <c r="CR423" i="1"/>
  <c r="CQ423" i="1"/>
  <c r="CP423" i="1"/>
  <c r="CO423" i="1"/>
  <c r="CN423" i="1"/>
  <c r="CM423" i="1"/>
  <c r="CL423" i="1"/>
  <c r="CK423" i="1"/>
  <c r="CJ423" i="1"/>
  <c r="CI423" i="1"/>
  <c r="CH423" i="1"/>
  <c r="CG423" i="1"/>
  <c r="CF423" i="1"/>
  <c r="BR423" i="1"/>
  <c r="BQ423" i="1"/>
  <c r="BP423" i="1"/>
  <c r="BO423" i="1"/>
  <c r="BN423" i="1"/>
  <c r="BM423" i="1"/>
  <c r="BL423" i="1"/>
  <c r="BK423" i="1"/>
  <c r="BJ423" i="1"/>
  <c r="BI423" i="1"/>
  <c r="BH423" i="1"/>
  <c r="BG423" i="1"/>
  <c r="BF423" i="1"/>
  <c r="BB423" i="1"/>
  <c r="AZ423" i="1"/>
  <c r="AV423" i="1"/>
  <c r="AU423" i="1"/>
  <c r="AR423" i="1"/>
  <c r="AQ423" i="1"/>
  <c r="AP423" i="1"/>
  <c r="AO423" i="1"/>
  <c r="AN423" i="1"/>
  <c r="AM423" i="1"/>
  <c r="AL423" i="1"/>
  <c r="AK423" i="1"/>
  <c r="AJ423" i="1"/>
  <c r="AI423" i="1"/>
  <c r="AH423" i="1"/>
  <c r="AG423" i="1"/>
  <c r="AF423" i="1"/>
  <c r="AE423" i="1"/>
  <c r="AD423" i="1"/>
  <c r="R423" i="1"/>
  <c r="Q423" i="1"/>
  <c r="P423" i="1"/>
  <c r="O423" i="1"/>
  <c r="DE422" i="1"/>
  <c r="DD422" i="1"/>
  <c r="DC422" i="1"/>
  <c r="DB422" i="1"/>
  <c r="DA422" i="1"/>
  <c r="CZ422" i="1"/>
  <c r="CY422" i="1"/>
  <c r="CX422" i="1"/>
  <c r="CW422" i="1"/>
  <c r="CV422" i="1"/>
  <c r="CU422" i="1"/>
  <c r="CT422" i="1"/>
  <c r="CS422" i="1"/>
  <c r="CR422" i="1"/>
  <c r="CQ422" i="1"/>
  <c r="CP422" i="1"/>
  <c r="CO422" i="1"/>
  <c r="CN422" i="1"/>
  <c r="CM422" i="1"/>
  <c r="CL422" i="1"/>
  <c r="CK422" i="1"/>
  <c r="CJ422" i="1"/>
  <c r="CI422" i="1"/>
  <c r="CH422" i="1"/>
  <c r="CG422" i="1"/>
  <c r="CF422" i="1"/>
  <c r="BR422" i="1"/>
  <c r="BP422" i="1"/>
  <c r="BO422" i="1"/>
  <c r="BN422" i="1"/>
  <c r="BM422" i="1"/>
  <c r="BL422" i="1"/>
  <c r="BK422" i="1"/>
  <c r="BJ422" i="1"/>
  <c r="BI422" i="1"/>
  <c r="BH422" i="1"/>
  <c r="BG422" i="1"/>
  <c r="BF422" i="1"/>
  <c r="BC422" i="1"/>
  <c r="BB422" i="1"/>
  <c r="AX422" i="1"/>
  <c r="AV422" i="1"/>
  <c r="AR422" i="1"/>
  <c r="AP422" i="1"/>
  <c r="AO422" i="1"/>
  <c r="AN422" i="1"/>
  <c r="AM422" i="1"/>
  <c r="AL422" i="1"/>
  <c r="AK422" i="1"/>
  <c r="AJ422" i="1"/>
  <c r="AI422" i="1"/>
  <c r="AH422" i="1"/>
  <c r="AG422" i="1"/>
  <c r="AF422" i="1"/>
  <c r="AE422" i="1"/>
  <c r="O421" i="1" s="1"/>
  <c r="P421" i="1" s="1"/>
  <c r="AJ421" i="1" s="1"/>
  <c r="AD422" i="1"/>
  <c r="P422" i="1"/>
  <c r="O422" i="1"/>
  <c r="BQ422" i="1" s="1"/>
  <c r="J422" i="1"/>
  <c r="DE421" i="1"/>
  <c r="DD421" i="1"/>
  <c r="DC421" i="1"/>
  <c r="DB421" i="1"/>
  <c r="DA421" i="1"/>
  <c r="CZ421" i="1"/>
  <c r="CY421" i="1"/>
  <c r="CX421" i="1"/>
  <c r="CW421" i="1"/>
  <c r="CV421" i="1"/>
  <c r="CU421" i="1"/>
  <c r="CT421" i="1"/>
  <c r="CS421" i="1"/>
  <c r="CR421" i="1"/>
  <c r="CQ421" i="1"/>
  <c r="CP421" i="1"/>
  <c r="CO421" i="1"/>
  <c r="CN421" i="1"/>
  <c r="CM421" i="1"/>
  <c r="CL421" i="1"/>
  <c r="CK421" i="1"/>
  <c r="CJ421" i="1"/>
  <c r="CI421" i="1"/>
  <c r="CH421" i="1"/>
  <c r="CG421" i="1"/>
  <c r="CF421" i="1"/>
  <c r="CC421" i="1"/>
  <c r="CA421" i="1"/>
  <c r="BV421" i="1"/>
  <c r="BR421" i="1"/>
  <c r="BQ421" i="1"/>
  <c r="BP421" i="1"/>
  <c r="BO421" i="1"/>
  <c r="BN421" i="1"/>
  <c r="BM421" i="1"/>
  <c r="BL421" i="1"/>
  <c r="BK421" i="1"/>
  <c r="BJ421" i="1"/>
  <c r="BI421" i="1"/>
  <c r="BH421" i="1"/>
  <c r="BG421" i="1"/>
  <c r="BF421" i="1"/>
  <c r="BE421" i="1"/>
  <c r="BA421" i="1"/>
  <c r="AY421" i="1"/>
  <c r="AU421" i="1"/>
  <c r="AT421" i="1"/>
  <c r="AR421" i="1"/>
  <c r="AQ421" i="1"/>
  <c r="AP421" i="1"/>
  <c r="AO421" i="1"/>
  <c r="AN421" i="1"/>
  <c r="AM421" i="1"/>
  <c r="AL421" i="1"/>
  <c r="AK421" i="1"/>
  <c r="AI421" i="1"/>
  <c r="AH421" i="1"/>
  <c r="AG421" i="1"/>
  <c r="AF421" i="1"/>
  <c r="AE421" i="1"/>
  <c r="AD421" i="1"/>
  <c r="F421" i="1"/>
  <c r="B421" i="1"/>
  <c r="BC423" i="1" s="1"/>
  <c r="DJ420" i="1"/>
  <c r="DE420" i="1"/>
  <c r="DD420" i="1"/>
  <c r="DC420" i="1"/>
  <c r="DB420" i="1"/>
  <c r="DA420" i="1"/>
  <c r="CZ420" i="1"/>
  <c r="CY420" i="1"/>
  <c r="CX420" i="1"/>
  <c r="CW420" i="1"/>
  <c r="CV420" i="1"/>
  <c r="CU420" i="1"/>
  <c r="CT420" i="1"/>
  <c r="CS420" i="1"/>
  <c r="CR420" i="1"/>
  <c r="CQ420" i="1"/>
  <c r="CP420" i="1"/>
  <c r="CO420" i="1"/>
  <c r="CN420" i="1"/>
  <c r="CM420" i="1"/>
  <c r="CL420" i="1"/>
  <c r="CK420" i="1"/>
  <c r="CJ420" i="1"/>
  <c r="CI420" i="1"/>
  <c r="CH420" i="1"/>
  <c r="CG420" i="1"/>
  <c r="CF420" i="1"/>
  <c r="BR420" i="1"/>
  <c r="BQ420" i="1"/>
  <c r="BP420" i="1"/>
  <c r="BO420" i="1"/>
  <c r="BN420" i="1"/>
  <c r="BM420" i="1"/>
  <c r="BL420" i="1"/>
  <c r="BK420" i="1"/>
  <c r="BJ420" i="1"/>
  <c r="BI420" i="1"/>
  <c r="BH420" i="1"/>
  <c r="BG420" i="1"/>
  <c r="BF420" i="1"/>
  <c r="BC420" i="1"/>
  <c r="BB420" i="1"/>
  <c r="AX420" i="1"/>
  <c r="AW420" i="1"/>
  <c r="AS420" i="1"/>
  <c r="AR420" i="1"/>
  <c r="AQ420" i="1"/>
  <c r="AP420" i="1"/>
  <c r="AO420" i="1"/>
  <c r="AN420" i="1"/>
  <c r="AM420" i="1"/>
  <c r="AL420" i="1"/>
  <c r="AK420" i="1"/>
  <c r="AJ420" i="1"/>
  <c r="AI420" i="1"/>
  <c r="AH420" i="1"/>
  <c r="AG420" i="1"/>
  <c r="AF420" i="1"/>
  <c r="AE420" i="1"/>
  <c r="R420" i="1"/>
  <c r="Q420" i="1"/>
  <c r="O420" i="1"/>
  <c r="P420" i="1" s="1"/>
  <c r="DE419" i="1"/>
  <c r="DD419" i="1"/>
  <c r="DC419" i="1"/>
  <c r="DB419" i="1"/>
  <c r="DA419" i="1"/>
  <c r="CZ419" i="1"/>
  <c r="CY419" i="1"/>
  <c r="CX419" i="1"/>
  <c r="CW419" i="1"/>
  <c r="CV419" i="1"/>
  <c r="CU419" i="1"/>
  <c r="CT419" i="1"/>
  <c r="CS419" i="1"/>
  <c r="CR419" i="1"/>
  <c r="CQ419" i="1"/>
  <c r="CP419" i="1"/>
  <c r="CO419" i="1"/>
  <c r="CN419" i="1"/>
  <c r="CM419" i="1"/>
  <c r="CL419" i="1"/>
  <c r="CK419" i="1"/>
  <c r="CJ419" i="1"/>
  <c r="CI419" i="1"/>
  <c r="CH419" i="1"/>
  <c r="CG419" i="1"/>
  <c r="CF419" i="1"/>
  <c r="BR419" i="1"/>
  <c r="BQ419" i="1"/>
  <c r="BP419" i="1"/>
  <c r="BO419" i="1"/>
  <c r="BN419" i="1"/>
  <c r="BM419" i="1"/>
  <c r="BL419" i="1"/>
  <c r="BK419" i="1"/>
  <c r="BJ419" i="1"/>
  <c r="BI419" i="1"/>
  <c r="BH419" i="1"/>
  <c r="BG419" i="1"/>
  <c r="BF419" i="1"/>
  <c r="BE419" i="1"/>
  <c r="BA419" i="1"/>
  <c r="AZ419" i="1"/>
  <c r="AV419" i="1"/>
  <c r="AT419" i="1"/>
  <c r="AR419" i="1"/>
  <c r="AQ419" i="1"/>
  <c r="AP419" i="1"/>
  <c r="AO419" i="1"/>
  <c r="AN419" i="1"/>
  <c r="AL419" i="1"/>
  <c r="AK419" i="1"/>
  <c r="AJ419" i="1"/>
  <c r="AI419" i="1"/>
  <c r="AH419" i="1"/>
  <c r="AG419" i="1"/>
  <c r="AF419" i="1"/>
  <c r="AE419" i="1"/>
  <c r="J419" i="1"/>
  <c r="DE418" i="1"/>
  <c r="DD418" i="1"/>
  <c r="DC418" i="1"/>
  <c r="DB418" i="1"/>
  <c r="DA418" i="1"/>
  <c r="CZ418" i="1"/>
  <c r="CY418" i="1"/>
  <c r="CX418" i="1"/>
  <c r="CW418" i="1"/>
  <c r="CV418" i="1"/>
  <c r="CU418" i="1"/>
  <c r="CT418" i="1"/>
  <c r="CS418" i="1"/>
  <c r="CR418" i="1"/>
  <c r="CQ418" i="1"/>
  <c r="CP418" i="1"/>
  <c r="CO418" i="1"/>
  <c r="CN418" i="1"/>
  <c r="CM418" i="1"/>
  <c r="CL418" i="1"/>
  <c r="CK418" i="1"/>
  <c r="CJ418" i="1"/>
  <c r="CI418" i="1"/>
  <c r="CH418" i="1"/>
  <c r="CG418" i="1"/>
  <c r="CF418" i="1"/>
  <c r="CB418" i="1"/>
  <c r="BX418" i="1"/>
  <c r="BW418" i="1"/>
  <c r="BS418" i="1"/>
  <c r="BR418" i="1"/>
  <c r="BP418" i="1"/>
  <c r="BO418" i="1"/>
  <c r="BN418" i="1"/>
  <c r="BM418" i="1"/>
  <c r="BL418" i="1"/>
  <c r="BK418" i="1"/>
  <c r="BJ418" i="1"/>
  <c r="BI418" i="1"/>
  <c r="BH418" i="1"/>
  <c r="BG418" i="1"/>
  <c r="BF418" i="1"/>
  <c r="BD418" i="1"/>
  <c r="AZ418" i="1"/>
  <c r="AY418" i="1"/>
  <c r="AU418" i="1"/>
  <c r="AT418" i="1"/>
  <c r="AR418" i="1"/>
  <c r="AP418" i="1"/>
  <c r="AO418" i="1"/>
  <c r="AN418" i="1"/>
  <c r="AM418" i="1"/>
  <c r="AL418" i="1"/>
  <c r="AK418" i="1"/>
  <c r="AJ418" i="1"/>
  <c r="AI418" i="1"/>
  <c r="AH418" i="1"/>
  <c r="AG418" i="1"/>
  <c r="AF418" i="1"/>
  <c r="AE418" i="1"/>
  <c r="O419" i="1" s="1"/>
  <c r="AM419" i="1" s="1"/>
  <c r="AD418" i="1"/>
  <c r="O418" i="1"/>
  <c r="BQ418" i="1" s="1"/>
  <c r="F418" i="1"/>
  <c r="D418" i="1"/>
  <c r="B418" i="1"/>
  <c r="BE420" i="1" s="1"/>
  <c r="DJ417" i="1"/>
  <c r="DE417" i="1"/>
  <c r="DD417" i="1"/>
  <c r="DC417" i="1"/>
  <c r="DB417" i="1"/>
  <c r="DA417" i="1"/>
  <c r="CZ417" i="1"/>
  <c r="CY417" i="1"/>
  <c r="CX417" i="1"/>
  <c r="CW417" i="1"/>
  <c r="CV417" i="1"/>
  <c r="CU417" i="1"/>
  <c r="CT417" i="1"/>
  <c r="CS417" i="1"/>
  <c r="CR417" i="1"/>
  <c r="CQ417" i="1"/>
  <c r="CP417" i="1"/>
  <c r="CO417" i="1"/>
  <c r="CN417" i="1"/>
  <c r="CM417" i="1"/>
  <c r="CL417" i="1"/>
  <c r="CK417" i="1"/>
  <c r="CJ417" i="1"/>
  <c r="CI417" i="1"/>
  <c r="CH417" i="1"/>
  <c r="CG417" i="1"/>
  <c r="CF417" i="1"/>
  <c r="BR417" i="1"/>
  <c r="BQ417" i="1"/>
  <c r="BP417" i="1"/>
  <c r="BO417" i="1"/>
  <c r="BN417" i="1"/>
  <c r="BM417" i="1"/>
  <c r="BL417" i="1"/>
  <c r="BK417" i="1"/>
  <c r="BJ417" i="1"/>
  <c r="BI417" i="1"/>
  <c r="BH417" i="1"/>
  <c r="BG417" i="1"/>
  <c r="BF417" i="1"/>
  <c r="BC417" i="1"/>
  <c r="BB417" i="1"/>
  <c r="AX417" i="1"/>
  <c r="AV417" i="1"/>
  <c r="AR417" i="1"/>
  <c r="AQ417" i="1"/>
  <c r="AP417" i="1"/>
  <c r="AO417" i="1"/>
  <c r="AN417" i="1"/>
  <c r="AM417" i="1"/>
  <c r="AL417" i="1"/>
  <c r="AK417" i="1"/>
  <c r="AJ417" i="1"/>
  <c r="AI417" i="1"/>
  <c r="AH417" i="1"/>
  <c r="AG417" i="1"/>
  <c r="AF417" i="1"/>
  <c r="AE417" i="1"/>
  <c r="AD417" i="1"/>
  <c r="R417" i="1"/>
  <c r="Q417" i="1"/>
  <c r="DJ416" i="1"/>
  <c r="DE416" i="1"/>
  <c r="DD416" i="1"/>
  <c r="DC416" i="1"/>
  <c r="DB416" i="1"/>
  <c r="DA416" i="1"/>
  <c r="CZ416" i="1"/>
  <c r="CY416" i="1"/>
  <c r="CX416" i="1"/>
  <c r="CW416" i="1"/>
  <c r="CV416" i="1"/>
  <c r="CU416" i="1"/>
  <c r="CT416" i="1"/>
  <c r="CS416" i="1"/>
  <c r="CR416" i="1"/>
  <c r="CQ416" i="1"/>
  <c r="CP416" i="1"/>
  <c r="CO416" i="1"/>
  <c r="CN416" i="1"/>
  <c r="CM416" i="1"/>
  <c r="CL416" i="1"/>
  <c r="CK416" i="1"/>
  <c r="CJ416" i="1"/>
  <c r="CI416" i="1"/>
  <c r="CH416" i="1"/>
  <c r="CG416" i="1"/>
  <c r="CF416" i="1"/>
  <c r="BR416" i="1"/>
  <c r="BQ416" i="1"/>
  <c r="BP416" i="1"/>
  <c r="BO416" i="1"/>
  <c r="BN416" i="1"/>
  <c r="BM416" i="1"/>
  <c r="BL416" i="1"/>
  <c r="BK416" i="1"/>
  <c r="BI416" i="1"/>
  <c r="BH416" i="1"/>
  <c r="BG416" i="1"/>
  <c r="BF416" i="1"/>
  <c r="BB416" i="1"/>
  <c r="AZ416" i="1"/>
  <c r="AV416" i="1"/>
  <c r="AU416" i="1"/>
  <c r="AR416" i="1"/>
  <c r="AQ416" i="1"/>
  <c r="AP416" i="1"/>
  <c r="AO416" i="1"/>
  <c r="AN416" i="1"/>
  <c r="AM416" i="1"/>
  <c r="AL416" i="1"/>
  <c r="AK416" i="1"/>
  <c r="AI416" i="1"/>
  <c r="AH416" i="1"/>
  <c r="AG416" i="1"/>
  <c r="AF416" i="1"/>
  <c r="AE416" i="1"/>
  <c r="AD416" i="1"/>
  <c r="DJ415" i="1"/>
  <c r="DE415" i="1"/>
  <c r="DD415" i="1"/>
  <c r="DC415" i="1"/>
  <c r="DB415" i="1"/>
  <c r="DA415" i="1"/>
  <c r="CZ415" i="1"/>
  <c r="CY415" i="1"/>
  <c r="CX415" i="1"/>
  <c r="CW415" i="1"/>
  <c r="CV415" i="1"/>
  <c r="CU415" i="1"/>
  <c r="CT415" i="1"/>
  <c r="CS415" i="1"/>
  <c r="CR415" i="1"/>
  <c r="CQ415" i="1"/>
  <c r="CP415" i="1"/>
  <c r="CO415" i="1"/>
  <c r="CN415" i="1"/>
  <c r="CM415" i="1"/>
  <c r="CL415" i="1"/>
  <c r="CK415" i="1"/>
  <c r="CJ415" i="1"/>
  <c r="CI415" i="1"/>
  <c r="CH415" i="1"/>
  <c r="CG415" i="1"/>
  <c r="CF415" i="1"/>
  <c r="CC415" i="1"/>
  <c r="CB415" i="1"/>
  <c r="BX415" i="1"/>
  <c r="BV415" i="1"/>
  <c r="BT415" i="1"/>
  <c r="BR415" i="1"/>
  <c r="BQ415" i="1"/>
  <c r="BP415" i="1"/>
  <c r="BO415" i="1"/>
  <c r="BN415" i="1"/>
  <c r="BL415" i="1"/>
  <c r="BK415" i="1"/>
  <c r="BJ415" i="1"/>
  <c r="BI415" i="1"/>
  <c r="BH415" i="1"/>
  <c r="BG415" i="1"/>
  <c r="BF415" i="1"/>
  <c r="BE415" i="1"/>
  <c r="BB415" i="1"/>
  <c r="BA415" i="1"/>
  <c r="AZ415" i="1"/>
  <c r="AW415" i="1"/>
  <c r="AV415" i="1"/>
  <c r="AT415" i="1"/>
  <c r="AR415" i="1"/>
  <c r="AQ415" i="1"/>
  <c r="AP415" i="1"/>
  <c r="AO415" i="1"/>
  <c r="AN415" i="1"/>
  <c r="AL415" i="1"/>
  <c r="AK415" i="1"/>
  <c r="AJ415" i="1"/>
  <c r="AI415" i="1"/>
  <c r="AH415" i="1"/>
  <c r="AG415" i="1"/>
  <c r="AF415" i="1"/>
  <c r="AE415" i="1"/>
  <c r="AD415" i="1"/>
  <c r="F415" i="1"/>
  <c r="B415" i="1"/>
  <c r="BD417" i="1" s="1"/>
  <c r="DE414" i="1"/>
  <c r="DD414" i="1"/>
  <c r="DC414" i="1"/>
  <c r="DB414" i="1"/>
  <c r="DA414" i="1"/>
  <c r="CZ414" i="1"/>
  <c r="CY414" i="1"/>
  <c r="CX414" i="1"/>
  <c r="CW414" i="1"/>
  <c r="CV414" i="1"/>
  <c r="CU414" i="1"/>
  <c r="CT414" i="1"/>
  <c r="CS414" i="1"/>
  <c r="CR414" i="1"/>
  <c r="CQ414" i="1"/>
  <c r="CP414" i="1"/>
  <c r="CO414" i="1"/>
  <c r="CN414" i="1"/>
  <c r="CM414" i="1"/>
  <c r="CL414" i="1"/>
  <c r="CK414" i="1"/>
  <c r="CJ414" i="1"/>
  <c r="CI414" i="1"/>
  <c r="CH414" i="1"/>
  <c r="CG414" i="1"/>
  <c r="CF414" i="1"/>
  <c r="BR414" i="1"/>
  <c r="BQ414" i="1"/>
  <c r="BP414" i="1"/>
  <c r="BO414" i="1"/>
  <c r="BN414" i="1"/>
  <c r="BM414" i="1"/>
  <c r="BL414" i="1"/>
  <c r="BK414" i="1"/>
  <c r="BJ414" i="1"/>
  <c r="BI414" i="1"/>
  <c r="BH414" i="1"/>
  <c r="BG414" i="1"/>
  <c r="BF414" i="1"/>
  <c r="BA414" i="1"/>
  <c r="AR414" i="1"/>
  <c r="AQ414" i="1"/>
  <c r="AP414" i="1"/>
  <c r="AO414" i="1"/>
  <c r="AN414" i="1"/>
  <c r="AM414" i="1"/>
  <c r="AL414" i="1"/>
  <c r="AK414" i="1"/>
  <c r="AJ414" i="1"/>
  <c r="AI414" i="1"/>
  <c r="AH414" i="1"/>
  <c r="AG414" i="1"/>
  <c r="AF414" i="1"/>
  <c r="AE414" i="1"/>
  <c r="R414" i="1"/>
  <c r="Q414" i="1"/>
  <c r="O414" i="1"/>
  <c r="P414" i="1" s="1"/>
  <c r="DE413" i="1"/>
  <c r="DD413" i="1"/>
  <c r="DC413" i="1"/>
  <c r="DB413" i="1"/>
  <c r="DA413" i="1"/>
  <c r="CZ413" i="1"/>
  <c r="CY413" i="1"/>
  <c r="CX413" i="1"/>
  <c r="CW413" i="1"/>
  <c r="CV413" i="1"/>
  <c r="CU413" i="1"/>
  <c r="CT413" i="1"/>
  <c r="CS413" i="1"/>
  <c r="CR413" i="1"/>
  <c r="CQ413" i="1"/>
  <c r="CP413" i="1"/>
  <c r="CO413" i="1"/>
  <c r="CN413" i="1"/>
  <c r="CM413" i="1"/>
  <c r="CL413" i="1"/>
  <c r="CK413" i="1"/>
  <c r="CJ413" i="1"/>
  <c r="CI413" i="1"/>
  <c r="CH413" i="1"/>
  <c r="CG413" i="1"/>
  <c r="CF413" i="1"/>
  <c r="BR413" i="1"/>
  <c r="BQ413" i="1"/>
  <c r="BP413" i="1"/>
  <c r="BO413" i="1"/>
  <c r="BN413" i="1"/>
  <c r="BM413" i="1"/>
  <c r="BL413" i="1"/>
  <c r="BK413" i="1"/>
  <c r="BJ413" i="1"/>
  <c r="BI413" i="1"/>
  <c r="BH413" i="1"/>
  <c r="BF413" i="1"/>
  <c r="BD413" i="1"/>
  <c r="AT413" i="1"/>
  <c r="AR413" i="1"/>
  <c r="AQ413" i="1"/>
  <c r="AP413" i="1"/>
  <c r="AO413" i="1"/>
  <c r="AN413" i="1"/>
  <c r="AM413" i="1"/>
  <c r="AL413" i="1"/>
  <c r="AK413" i="1"/>
  <c r="AJ413" i="1"/>
  <c r="AI413" i="1"/>
  <c r="AH413" i="1"/>
  <c r="AF413" i="1"/>
  <c r="AE413" i="1"/>
  <c r="O412" i="1" s="1"/>
  <c r="BM412" i="1" s="1"/>
  <c r="J413" i="1"/>
  <c r="DE412" i="1"/>
  <c r="DD412" i="1"/>
  <c r="DC412" i="1"/>
  <c r="DB412" i="1"/>
  <c r="DA412" i="1"/>
  <c r="CZ412" i="1"/>
  <c r="CY412" i="1"/>
  <c r="CX412" i="1"/>
  <c r="CW412" i="1"/>
  <c r="CV412" i="1"/>
  <c r="CU412" i="1"/>
  <c r="CT412" i="1"/>
  <c r="CS412" i="1"/>
  <c r="CR412" i="1"/>
  <c r="CQ412" i="1"/>
  <c r="CP412" i="1"/>
  <c r="CO412" i="1"/>
  <c r="CN412" i="1"/>
  <c r="CM412" i="1"/>
  <c r="CL412" i="1"/>
  <c r="CK412" i="1"/>
  <c r="CJ412" i="1"/>
  <c r="CI412" i="1"/>
  <c r="CH412" i="1"/>
  <c r="CG412" i="1"/>
  <c r="CF412" i="1"/>
  <c r="CD412" i="1"/>
  <c r="BR412" i="1"/>
  <c r="BQ412" i="1"/>
  <c r="BP412" i="1"/>
  <c r="BO412" i="1"/>
  <c r="BN412" i="1"/>
  <c r="BL412" i="1"/>
  <c r="BK412" i="1"/>
  <c r="BJ412" i="1"/>
  <c r="BI412" i="1"/>
  <c r="BH412" i="1"/>
  <c r="BG412" i="1"/>
  <c r="BF412" i="1"/>
  <c r="AV412" i="1"/>
  <c r="AR412" i="1"/>
  <c r="AQ412" i="1"/>
  <c r="AP412" i="1"/>
  <c r="AO412" i="1"/>
  <c r="AN412" i="1"/>
  <c r="AL412" i="1"/>
  <c r="AK412" i="1"/>
  <c r="AJ412" i="1"/>
  <c r="AI412" i="1"/>
  <c r="AH412" i="1"/>
  <c r="AG412" i="1"/>
  <c r="AF412" i="1"/>
  <c r="AE412" i="1"/>
  <c r="AD412" i="1"/>
  <c r="G412" i="1"/>
  <c r="B412" i="1"/>
  <c r="DE411" i="1"/>
  <c r="DD411" i="1"/>
  <c r="DC411" i="1"/>
  <c r="DB411" i="1"/>
  <c r="DA411" i="1"/>
  <c r="CZ411" i="1"/>
  <c r="CY411" i="1"/>
  <c r="CX411" i="1"/>
  <c r="CW411" i="1"/>
  <c r="CV411" i="1"/>
  <c r="CU411" i="1"/>
  <c r="CT411" i="1"/>
  <c r="CS411" i="1"/>
  <c r="CR411" i="1"/>
  <c r="CQ411" i="1"/>
  <c r="CP411" i="1"/>
  <c r="CO411" i="1"/>
  <c r="CN411" i="1"/>
  <c r="CM411" i="1"/>
  <c r="CL411" i="1"/>
  <c r="CK411" i="1"/>
  <c r="CJ411" i="1"/>
  <c r="CI411" i="1"/>
  <c r="CH411" i="1"/>
  <c r="CG411" i="1"/>
  <c r="CF411" i="1"/>
  <c r="BR411" i="1"/>
  <c r="BQ411" i="1"/>
  <c r="BP411" i="1"/>
  <c r="BO411" i="1"/>
  <c r="BN411" i="1"/>
  <c r="BM411" i="1"/>
  <c r="BL411" i="1"/>
  <c r="BK411" i="1"/>
  <c r="BJ411" i="1"/>
  <c r="BI411" i="1"/>
  <c r="BH411" i="1"/>
  <c r="BF411" i="1"/>
  <c r="BE411" i="1"/>
  <c r="BC411" i="1"/>
  <c r="BB411" i="1"/>
  <c r="BA411" i="1"/>
  <c r="AY411" i="1"/>
  <c r="AX411" i="1"/>
  <c r="AW411" i="1"/>
  <c r="AU411" i="1"/>
  <c r="AT411" i="1"/>
  <c r="AS411" i="1"/>
  <c r="AR411" i="1"/>
  <c r="AQ411" i="1"/>
  <c r="AP411" i="1"/>
  <c r="AO411" i="1"/>
  <c r="AN411" i="1"/>
  <c r="AM411" i="1"/>
  <c r="AL411" i="1"/>
  <c r="AK411" i="1"/>
  <c r="AJ411" i="1"/>
  <c r="AI411" i="1"/>
  <c r="AH411" i="1"/>
  <c r="AF411" i="1"/>
  <c r="AE411" i="1"/>
  <c r="AD411" i="1"/>
  <c r="O411" i="1"/>
  <c r="DE410" i="1"/>
  <c r="DD410" i="1"/>
  <c r="DC410" i="1"/>
  <c r="DB410" i="1"/>
  <c r="DA410" i="1"/>
  <c r="CZ410" i="1"/>
  <c r="CY410" i="1"/>
  <c r="CX410" i="1"/>
  <c r="CW410" i="1"/>
  <c r="CV410" i="1"/>
  <c r="CU410" i="1"/>
  <c r="CT410" i="1"/>
  <c r="CS410" i="1"/>
  <c r="CR410" i="1"/>
  <c r="CQ410" i="1"/>
  <c r="CP410" i="1"/>
  <c r="CO410" i="1"/>
  <c r="CN410" i="1"/>
  <c r="CM410" i="1"/>
  <c r="CL410" i="1"/>
  <c r="CK410" i="1"/>
  <c r="CJ410" i="1"/>
  <c r="CI410" i="1"/>
  <c r="CH410" i="1"/>
  <c r="CG410" i="1"/>
  <c r="CF410" i="1"/>
  <c r="BR410" i="1"/>
  <c r="BQ410" i="1"/>
  <c r="BP410" i="1"/>
  <c r="BO410" i="1"/>
  <c r="BN410" i="1"/>
  <c r="BM410" i="1"/>
  <c r="BL410" i="1"/>
  <c r="BK410" i="1"/>
  <c r="BJ410" i="1"/>
  <c r="BI410" i="1"/>
  <c r="BH410" i="1"/>
  <c r="BF410" i="1"/>
  <c r="BE410" i="1"/>
  <c r="BC410" i="1"/>
  <c r="BB410" i="1"/>
  <c r="BA410" i="1"/>
  <c r="AY410" i="1"/>
  <c r="AX410" i="1"/>
  <c r="AW410" i="1"/>
  <c r="AU410" i="1"/>
  <c r="AT410" i="1"/>
  <c r="AS410" i="1"/>
  <c r="AR410" i="1"/>
  <c r="AQ410" i="1"/>
  <c r="AP410" i="1"/>
  <c r="AO410" i="1"/>
  <c r="AN410" i="1"/>
  <c r="AM410" i="1"/>
  <c r="AL410" i="1"/>
  <c r="AK410" i="1"/>
  <c r="AJ410" i="1"/>
  <c r="AI410" i="1"/>
  <c r="AH410" i="1"/>
  <c r="AG410" i="1"/>
  <c r="AF410" i="1"/>
  <c r="AE410" i="1"/>
  <c r="O409" i="1" s="1"/>
  <c r="AD410" i="1"/>
  <c r="O410" i="1"/>
  <c r="BG410" i="1" s="1"/>
  <c r="J410" i="1"/>
  <c r="DE409" i="1"/>
  <c r="DD409" i="1"/>
  <c r="DC409" i="1"/>
  <c r="DB409" i="1"/>
  <c r="DA409" i="1"/>
  <c r="CZ409" i="1"/>
  <c r="CY409" i="1"/>
  <c r="CX409" i="1"/>
  <c r="CW409" i="1"/>
  <c r="CV409" i="1"/>
  <c r="CU409" i="1"/>
  <c r="CT409" i="1"/>
  <c r="CS409" i="1"/>
  <c r="CR409" i="1"/>
  <c r="CQ409" i="1"/>
  <c r="CP409" i="1"/>
  <c r="CO409" i="1"/>
  <c r="CN409" i="1"/>
  <c r="CM409" i="1"/>
  <c r="CL409" i="1"/>
  <c r="CK409" i="1"/>
  <c r="CJ409" i="1"/>
  <c r="CI409" i="1"/>
  <c r="CH409" i="1"/>
  <c r="CG409" i="1"/>
  <c r="CF409" i="1"/>
  <c r="CD409" i="1"/>
  <c r="CC409" i="1"/>
  <c r="CB409" i="1"/>
  <c r="BY409" i="1"/>
  <c r="BX409" i="1"/>
  <c r="BV409" i="1"/>
  <c r="BU409" i="1"/>
  <c r="BR409" i="1"/>
  <c r="BQ409" i="1"/>
  <c r="BP409" i="1"/>
  <c r="BO409" i="1"/>
  <c r="BN409" i="1"/>
  <c r="BM409" i="1"/>
  <c r="BL409" i="1"/>
  <c r="BK409" i="1"/>
  <c r="BJ409" i="1"/>
  <c r="BI409" i="1"/>
  <c r="BH409" i="1"/>
  <c r="BG409" i="1"/>
  <c r="BF409" i="1"/>
  <c r="BE409" i="1"/>
  <c r="BD409" i="1"/>
  <c r="BB409" i="1"/>
  <c r="BA409" i="1"/>
  <c r="AZ409" i="1"/>
  <c r="AX409" i="1"/>
  <c r="AW409" i="1"/>
  <c r="AV409" i="1"/>
  <c r="AT409" i="1"/>
  <c r="AS409" i="1"/>
  <c r="AR409" i="1"/>
  <c r="AQ409" i="1"/>
  <c r="AP409" i="1"/>
  <c r="AO409" i="1"/>
  <c r="AN409" i="1"/>
  <c r="AL409" i="1"/>
  <c r="AK409" i="1"/>
  <c r="AJ409" i="1"/>
  <c r="AI409" i="1"/>
  <c r="AH409" i="1"/>
  <c r="AG409" i="1"/>
  <c r="AF409" i="1"/>
  <c r="AE409" i="1"/>
  <c r="AD409" i="1"/>
  <c r="P409" i="1"/>
  <c r="AM409" i="1" s="1"/>
  <c r="F409" i="1"/>
  <c r="B409" i="1"/>
  <c r="BD411" i="1" s="1"/>
  <c r="DE408" i="1"/>
  <c r="DD408" i="1"/>
  <c r="DC408" i="1"/>
  <c r="DB408" i="1"/>
  <c r="DA408" i="1"/>
  <c r="CZ408" i="1"/>
  <c r="CY408" i="1"/>
  <c r="CX408" i="1"/>
  <c r="CW408" i="1"/>
  <c r="CV408" i="1"/>
  <c r="CU408" i="1"/>
  <c r="CT408" i="1"/>
  <c r="CS408" i="1"/>
  <c r="CR408" i="1"/>
  <c r="CQ408" i="1"/>
  <c r="CP408" i="1"/>
  <c r="CO408" i="1"/>
  <c r="CN408" i="1"/>
  <c r="CM408" i="1"/>
  <c r="CL408" i="1"/>
  <c r="CK408" i="1"/>
  <c r="CJ408" i="1"/>
  <c r="CI408" i="1"/>
  <c r="CH408" i="1"/>
  <c r="CG408" i="1"/>
  <c r="CF408" i="1"/>
  <c r="BR408" i="1"/>
  <c r="BQ408" i="1"/>
  <c r="BP408" i="1"/>
  <c r="BO408" i="1"/>
  <c r="BN408" i="1"/>
  <c r="BM408" i="1"/>
  <c r="BL408" i="1"/>
  <c r="BK408" i="1"/>
  <c r="BJ408" i="1"/>
  <c r="BI408" i="1"/>
  <c r="BH408" i="1"/>
  <c r="BG408" i="1"/>
  <c r="BF408" i="1"/>
  <c r="BD408" i="1"/>
  <c r="AZ408" i="1"/>
  <c r="AS408" i="1"/>
  <c r="AR408" i="1"/>
  <c r="AQ408" i="1"/>
  <c r="AP408" i="1"/>
  <c r="AO408" i="1"/>
  <c r="AN408" i="1"/>
  <c r="AM408" i="1"/>
  <c r="AL408" i="1"/>
  <c r="AK408" i="1"/>
  <c r="AJ408" i="1"/>
  <c r="AI408" i="1"/>
  <c r="AH408" i="1"/>
  <c r="AG408" i="1"/>
  <c r="AF408" i="1"/>
  <c r="AE408" i="1"/>
  <c r="R408" i="1"/>
  <c r="Q408" i="1"/>
  <c r="DE407" i="1"/>
  <c r="DD407" i="1"/>
  <c r="DC407" i="1"/>
  <c r="DB407" i="1"/>
  <c r="DA407" i="1"/>
  <c r="CZ407" i="1"/>
  <c r="CY407" i="1"/>
  <c r="CX407" i="1"/>
  <c r="CW407" i="1"/>
  <c r="CV407" i="1"/>
  <c r="CU407" i="1"/>
  <c r="CT407" i="1"/>
  <c r="CS407" i="1"/>
  <c r="CR407" i="1"/>
  <c r="CQ407" i="1"/>
  <c r="CP407" i="1"/>
  <c r="CO407" i="1"/>
  <c r="CN407" i="1"/>
  <c r="CM407" i="1"/>
  <c r="CL407" i="1"/>
  <c r="CK407" i="1"/>
  <c r="CJ407" i="1"/>
  <c r="CI407" i="1"/>
  <c r="CH407" i="1"/>
  <c r="CG407" i="1"/>
  <c r="CF407" i="1"/>
  <c r="BR407" i="1"/>
  <c r="BP407" i="1"/>
  <c r="BO407" i="1"/>
  <c r="BN407" i="1"/>
  <c r="BM407" i="1"/>
  <c r="BL407" i="1"/>
  <c r="BK407" i="1"/>
  <c r="BJ407" i="1"/>
  <c r="BI407" i="1"/>
  <c r="BH407" i="1"/>
  <c r="BG407" i="1"/>
  <c r="BF407" i="1"/>
  <c r="BC407" i="1"/>
  <c r="AV407" i="1"/>
  <c r="AR407" i="1"/>
  <c r="AP407" i="1"/>
  <c r="AO407" i="1"/>
  <c r="AN407" i="1"/>
  <c r="AM407" i="1"/>
  <c r="AL407" i="1"/>
  <c r="AK407" i="1"/>
  <c r="AJ407" i="1"/>
  <c r="AI407" i="1"/>
  <c r="AH407" i="1"/>
  <c r="AG407" i="1"/>
  <c r="AF407" i="1"/>
  <c r="AE407" i="1"/>
  <c r="O406" i="1" s="1"/>
  <c r="J407" i="1"/>
  <c r="DE406" i="1"/>
  <c r="DD406" i="1"/>
  <c r="DC406" i="1"/>
  <c r="DB406" i="1"/>
  <c r="DA406" i="1"/>
  <c r="CZ406" i="1"/>
  <c r="CY406" i="1"/>
  <c r="CX406" i="1"/>
  <c r="CW406" i="1"/>
  <c r="CV406" i="1"/>
  <c r="CU406" i="1"/>
  <c r="CT406" i="1"/>
  <c r="CS406" i="1"/>
  <c r="CR406" i="1"/>
  <c r="CQ406" i="1"/>
  <c r="CP406" i="1"/>
  <c r="CO406" i="1"/>
  <c r="CN406" i="1"/>
  <c r="CM406" i="1"/>
  <c r="CL406" i="1"/>
  <c r="CK406" i="1"/>
  <c r="CJ406" i="1"/>
  <c r="CI406" i="1"/>
  <c r="CH406" i="1"/>
  <c r="CG406" i="1"/>
  <c r="CF406" i="1"/>
  <c r="CE406" i="1"/>
  <c r="BV406" i="1"/>
  <c r="BU406" i="1"/>
  <c r="BR406" i="1"/>
  <c r="BQ406" i="1"/>
  <c r="BP406" i="1"/>
  <c r="BO406" i="1"/>
  <c r="BN406" i="1"/>
  <c r="BM406" i="1"/>
  <c r="BL406" i="1"/>
  <c r="BK406" i="1"/>
  <c r="BI406" i="1"/>
  <c r="BH406" i="1"/>
  <c r="BG406" i="1"/>
  <c r="BF406" i="1"/>
  <c r="AY406" i="1"/>
  <c r="AX406" i="1"/>
  <c r="AR406" i="1"/>
  <c r="AQ406" i="1"/>
  <c r="AP406" i="1"/>
  <c r="AO406" i="1"/>
  <c r="AN406" i="1"/>
  <c r="AM406" i="1"/>
  <c r="AL406" i="1"/>
  <c r="AK406" i="1"/>
  <c r="AI406" i="1"/>
  <c r="AH406" i="1"/>
  <c r="AG406" i="1"/>
  <c r="AF406" i="1"/>
  <c r="AE406" i="1"/>
  <c r="AD406" i="1"/>
  <c r="F406" i="1"/>
  <c r="B406" i="1"/>
  <c r="BE408" i="1" s="1"/>
  <c r="DE405" i="1"/>
  <c r="DD405" i="1"/>
  <c r="DC405" i="1"/>
  <c r="DB405" i="1"/>
  <c r="DA405" i="1"/>
  <c r="CZ405" i="1"/>
  <c r="CY405" i="1"/>
  <c r="CX405" i="1"/>
  <c r="CW405" i="1"/>
  <c r="CV405" i="1"/>
  <c r="CU405" i="1"/>
  <c r="CT405" i="1"/>
  <c r="CS405" i="1"/>
  <c r="CR405" i="1"/>
  <c r="CQ405" i="1"/>
  <c r="CP405" i="1"/>
  <c r="CO405" i="1"/>
  <c r="CN405" i="1"/>
  <c r="CM405" i="1"/>
  <c r="CL405" i="1"/>
  <c r="CK405" i="1"/>
  <c r="CJ405" i="1"/>
  <c r="CI405" i="1"/>
  <c r="CH405" i="1"/>
  <c r="CG405" i="1"/>
  <c r="CF405" i="1"/>
  <c r="BR405" i="1"/>
  <c r="BQ405" i="1"/>
  <c r="BP405" i="1"/>
  <c r="BO405" i="1"/>
  <c r="BN405" i="1"/>
  <c r="BM405" i="1"/>
  <c r="BL405" i="1"/>
  <c r="BK405" i="1"/>
  <c r="BJ405" i="1"/>
  <c r="BI405" i="1"/>
  <c r="BH405" i="1"/>
  <c r="BG405" i="1"/>
  <c r="BF405" i="1"/>
  <c r="BE405" i="1"/>
  <c r="BC405" i="1"/>
  <c r="BB405" i="1"/>
  <c r="BA405" i="1"/>
  <c r="AY405" i="1"/>
  <c r="AX405" i="1"/>
  <c r="AW405" i="1"/>
  <c r="AU405" i="1"/>
  <c r="AT405" i="1"/>
  <c r="AS405" i="1"/>
  <c r="AR405" i="1"/>
  <c r="AQ405" i="1"/>
  <c r="AP405" i="1"/>
  <c r="AO405" i="1"/>
  <c r="AN405" i="1"/>
  <c r="AM405" i="1"/>
  <c r="AL405" i="1"/>
  <c r="AK405" i="1"/>
  <c r="AJ405" i="1"/>
  <c r="AI405" i="1"/>
  <c r="AH405" i="1"/>
  <c r="AG405" i="1"/>
  <c r="AF405" i="1"/>
  <c r="AE405" i="1"/>
  <c r="AD405" i="1"/>
  <c r="R405" i="1"/>
  <c r="Q405" i="1"/>
  <c r="DE404" i="1"/>
  <c r="DD404" i="1"/>
  <c r="DC404" i="1"/>
  <c r="DB404" i="1"/>
  <c r="DA404" i="1"/>
  <c r="CZ404" i="1"/>
  <c r="CY404" i="1"/>
  <c r="CX404" i="1"/>
  <c r="CW404" i="1"/>
  <c r="CV404" i="1"/>
  <c r="CU404" i="1"/>
  <c r="CT404" i="1"/>
  <c r="CS404" i="1"/>
  <c r="CR404" i="1"/>
  <c r="CQ404" i="1"/>
  <c r="CP404" i="1"/>
  <c r="CO404" i="1"/>
  <c r="CN404" i="1"/>
  <c r="CM404" i="1"/>
  <c r="CL404" i="1"/>
  <c r="CK404" i="1"/>
  <c r="CJ404" i="1"/>
  <c r="CI404" i="1"/>
  <c r="CH404" i="1"/>
  <c r="CG404" i="1"/>
  <c r="CF404" i="1"/>
  <c r="BR404" i="1"/>
  <c r="BQ404" i="1"/>
  <c r="BP404" i="1"/>
  <c r="BO404" i="1"/>
  <c r="BN404" i="1"/>
  <c r="BM404" i="1"/>
  <c r="BL404" i="1"/>
  <c r="BK404" i="1"/>
  <c r="BJ404" i="1"/>
  <c r="BI404" i="1"/>
  <c r="BH404" i="1"/>
  <c r="BG404" i="1"/>
  <c r="BF404" i="1"/>
  <c r="BE404" i="1"/>
  <c r="BC404" i="1"/>
  <c r="BB404" i="1"/>
  <c r="BA404" i="1"/>
  <c r="AY404" i="1"/>
  <c r="AX404" i="1"/>
  <c r="AW404" i="1"/>
  <c r="AU404" i="1"/>
  <c r="AT404" i="1"/>
  <c r="AS404" i="1"/>
  <c r="AR404" i="1"/>
  <c r="AQ404" i="1"/>
  <c r="AP404" i="1"/>
  <c r="AO404" i="1"/>
  <c r="AN404" i="1"/>
  <c r="AM404" i="1"/>
  <c r="AL404" i="1"/>
  <c r="AK404" i="1"/>
  <c r="AJ404" i="1"/>
  <c r="AI404" i="1"/>
  <c r="AH404" i="1"/>
  <c r="AG404" i="1"/>
  <c r="AF404" i="1"/>
  <c r="AE404" i="1"/>
  <c r="AD404" i="1"/>
  <c r="J404" i="1"/>
  <c r="DE403" i="1"/>
  <c r="DD403" i="1"/>
  <c r="DC403" i="1"/>
  <c r="DB403" i="1"/>
  <c r="DA403" i="1"/>
  <c r="CZ403" i="1"/>
  <c r="CY403" i="1"/>
  <c r="CX403" i="1"/>
  <c r="CW403" i="1"/>
  <c r="CV403" i="1"/>
  <c r="CU403" i="1"/>
  <c r="CT403" i="1"/>
  <c r="CS403" i="1"/>
  <c r="CR403" i="1"/>
  <c r="CQ403" i="1"/>
  <c r="CP403" i="1"/>
  <c r="CO403" i="1"/>
  <c r="CN403" i="1"/>
  <c r="CM403" i="1"/>
  <c r="CL403" i="1"/>
  <c r="CK403" i="1"/>
  <c r="CJ403" i="1"/>
  <c r="CI403" i="1"/>
  <c r="CH403" i="1"/>
  <c r="CG403" i="1"/>
  <c r="CF403" i="1"/>
  <c r="CD403" i="1"/>
  <c r="CC403" i="1"/>
  <c r="CB403" i="1"/>
  <c r="BZ403" i="1"/>
  <c r="BY403" i="1"/>
  <c r="BX403" i="1"/>
  <c r="BV403" i="1"/>
  <c r="BU403" i="1"/>
  <c r="BT403" i="1"/>
  <c r="BR403" i="1"/>
  <c r="BQ403" i="1"/>
  <c r="BP403" i="1"/>
  <c r="BO403" i="1"/>
  <c r="BN403" i="1"/>
  <c r="BM403" i="1"/>
  <c r="BL403" i="1"/>
  <c r="BK403" i="1"/>
  <c r="BJ403" i="1"/>
  <c r="BI403" i="1"/>
  <c r="BH403" i="1"/>
  <c r="BG403" i="1"/>
  <c r="BF403" i="1"/>
  <c r="BE403" i="1"/>
  <c r="BD403" i="1"/>
  <c r="BB403" i="1"/>
  <c r="BA403" i="1"/>
  <c r="AZ403" i="1"/>
  <c r="AX403" i="1"/>
  <c r="AW403" i="1"/>
  <c r="AV403" i="1"/>
  <c r="AT403" i="1"/>
  <c r="AS403" i="1"/>
  <c r="AR403" i="1"/>
  <c r="AQ403" i="1"/>
  <c r="AP403" i="1"/>
  <c r="AO403" i="1"/>
  <c r="AN403" i="1"/>
  <c r="AM403" i="1"/>
  <c r="AL403" i="1"/>
  <c r="AK403" i="1"/>
  <c r="AJ403" i="1"/>
  <c r="AI403" i="1"/>
  <c r="AH403" i="1"/>
  <c r="AG403" i="1"/>
  <c r="AF403" i="1"/>
  <c r="AE403" i="1"/>
  <c r="AD403" i="1"/>
  <c r="F403" i="1"/>
  <c r="B403" i="1"/>
  <c r="BD405" i="1" s="1"/>
  <c r="DE402" i="1"/>
  <c r="DD402" i="1"/>
  <c r="DC402" i="1"/>
  <c r="DB402" i="1"/>
  <c r="DA402" i="1"/>
  <c r="CZ402" i="1"/>
  <c r="CY402" i="1"/>
  <c r="CX402" i="1"/>
  <c r="CW402" i="1"/>
  <c r="CV402" i="1"/>
  <c r="CU402" i="1"/>
  <c r="CT402" i="1"/>
  <c r="CS402" i="1"/>
  <c r="CR402" i="1"/>
  <c r="CQ402" i="1"/>
  <c r="CP402" i="1"/>
  <c r="CO402" i="1"/>
  <c r="CN402" i="1"/>
  <c r="CM402" i="1"/>
  <c r="CL402" i="1"/>
  <c r="CK402" i="1"/>
  <c r="CJ402" i="1"/>
  <c r="CI402" i="1"/>
  <c r="CH402" i="1"/>
  <c r="CG402" i="1"/>
  <c r="CF402" i="1"/>
  <c r="BR402" i="1"/>
  <c r="BQ402" i="1"/>
  <c r="BP402" i="1"/>
  <c r="BO402" i="1"/>
  <c r="BN402" i="1"/>
  <c r="BM402" i="1"/>
  <c r="BL402" i="1"/>
  <c r="BK402" i="1"/>
  <c r="BJ402" i="1"/>
  <c r="BI402" i="1"/>
  <c r="BH402" i="1"/>
  <c r="BG402" i="1"/>
  <c r="BF402" i="1"/>
  <c r="BD402" i="1"/>
  <c r="BB402" i="1"/>
  <c r="AX402" i="1"/>
  <c r="AW402" i="1"/>
  <c r="AS402" i="1"/>
  <c r="AR402" i="1"/>
  <c r="AQ402" i="1"/>
  <c r="AP402" i="1"/>
  <c r="AO402" i="1"/>
  <c r="AN402" i="1"/>
  <c r="AM402" i="1"/>
  <c r="AL402" i="1"/>
  <c r="AK402" i="1"/>
  <c r="AJ402" i="1"/>
  <c r="AI402" i="1"/>
  <c r="AH402" i="1"/>
  <c r="AG402" i="1"/>
  <c r="AF402" i="1"/>
  <c r="AE402" i="1"/>
  <c r="R402" i="1"/>
  <c r="Q402" i="1"/>
  <c r="DE401" i="1"/>
  <c r="DD401" i="1"/>
  <c r="DC401" i="1"/>
  <c r="DB401" i="1"/>
  <c r="DA401" i="1"/>
  <c r="CZ401" i="1"/>
  <c r="CY401" i="1"/>
  <c r="CX401" i="1"/>
  <c r="CW401" i="1"/>
  <c r="CV401" i="1"/>
  <c r="CU401" i="1"/>
  <c r="CT401" i="1"/>
  <c r="CS401" i="1"/>
  <c r="CR401" i="1"/>
  <c r="CQ401" i="1"/>
  <c r="CP401" i="1"/>
  <c r="CO401" i="1"/>
  <c r="CN401" i="1"/>
  <c r="CM401" i="1"/>
  <c r="CL401" i="1"/>
  <c r="CK401" i="1"/>
  <c r="CJ401" i="1"/>
  <c r="CI401" i="1"/>
  <c r="CH401" i="1"/>
  <c r="CG401" i="1"/>
  <c r="CF401" i="1"/>
  <c r="BR401" i="1"/>
  <c r="BQ401" i="1"/>
  <c r="BP401" i="1"/>
  <c r="BO401" i="1"/>
  <c r="BN401" i="1"/>
  <c r="BM401" i="1"/>
  <c r="BL401" i="1"/>
  <c r="BK401" i="1"/>
  <c r="BJ401" i="1"/>
  <c r="BI401" i="1"/>
  <c r="BH401" i="1"/>
  <c r="BG401" i="1"/>
  <c r="BE401" i="1"/>
  <c r="BD401" i="1"/>
  <c r="AZ401" i="1"/>
  <c r="AY401" i="1"/>
  <c r="AU401" i="1"/>
  <c r="AS401" i="1"/>
  <c r="AR401" i="1"/>
  <c r="AQ401" i="1"/>
  <c r="AP401" i="1"/>
  <c r="AO401" i="1"/>
  <c r="AN401" i="1"/>
  <c r="AM401" i="1"/>
  <c r="AL401" i="1"/>
  <c r="AK401" i="1"/>
  <c r="AJ401" i="1"/>
  <c r="AI401" i="1"/>
  <c r="AH401" i="1"/>
  <c r="AG401" i="1"/>
  <c r="AE401" i="1"/>
  <c r="J401" i="1"/>
  <c r="DE400" i="1"/>
  <c r="DD400" i="1"/>
  <c r="DC400" i="1"/>
  <c r="DB400" i="1"/>
  <c r="DA400" i="1"/>
  <c r="CZ400" i="1"/>
  <c r="CY400" i="1"/>
  <c r="CX400" i="1"/>
  <c r="CW400" i="1"/>
  <c r="CV400" i="1"/>
  <c r="CU400" i="1"/>
  <c r="CT400" i="1"/>
  <c r="CS400" i="1"/>
  <c r="CR400" i="1"/>
  <c r="CQ400" i="1"/>
  <c r="CP400" i="1"/>
  <c r="CO400" i="1"/>
  <c r="CN400" i="1"/>
  <c r="CM400" i="1"/>
  <c r="CL400" i="1"/>
  <c r="CK400" i="1"/>
  <c r="CJ400" i="1"/>
  <c r="CI400" i="1"/>
  <c r="CH400" i="1"/>
  <c r="CG400" i="1"/>
  <c r="CF400" i="1"/>
  <c r="CD400" i="1"/>
  <c r="CC400" i="1"/>
  <c r="BY400" i="1"/>
  <c r="BW400" i="1"/>
  <c r="BR400" i="1"/>
  <c r="BQ400" i="1"/>
  <c r="BP400" i="1"/>
  <c r="BO400" i="1"/>
  <c r="BN400" i="1"/>
  <c r="BM400" i="1"/>
  <c r="BL400" i="1"/>
  <c r="BK400" i="1"/>
  <c r="BI400" i="1"/>
  <c r="BH400" i="1"/>
  <c r="BG400" i="1"/>
  <c r="BF400" i="1"/>
  <c r="BB400" i="1"/>
  <c r="BA400" i="1"/>
  <c r="AW400" i="1"/>
  <c r="AU400" i="1"/>
  <c r="AR400" i="1"/>
  <c r="AQ400" i="1"/>
  <c r="AP400" i="1"/>
  <c r="AO400" i="1"/>
  <c r="AN400" i="1"/>
  <c r="AM400" i="1"/>
  <c r="AL400" i="1"/>
  <c r="AK400" i="1"/>
  <c r="AI400" i="1"/>
  <c r="AH400" i="1"/>
  <c r="AG400" i="1"/>
  <c r="AF400" i="1"/>
  <c r="AE400" i="1"/>
  <c r="AD400" i="1"/>
  <c r="O400" i="1"/>
  <c r="BJ400" i="1" s="1"/>
  <c r="F400" i="1"/>
  <c r="B400" i="1"/>
  <c r="DE399" i="1"/>
  <c r="DD399" i="1"/>
  <c r="DC399" i="1"/>
  <c r="DB399" i="1"/>
  <c r="DA399" i="1"/>
  <c r="CZ399" i="1"/>
  <c r="CY399" i="1"/>
  <c r="CX399" i="1"/>
  <c r="CW399" i="1"/>
  <c r="CV399" i="1"/>
  <c r="CU399" i="1"/>
  <c r="CT399" i="1"/>
  <c r="CS399" i="1"/>
  <c r="CR399" i="1"/>
  <c r="CQ399" i="1"/>
  <c r="CP399" i="1"/>
  <c r="CO399" i="1"/>
  <c r="CN399" i="1"/>
  <c r="CM399" i="1"/>
  <c r="CL399" i="1"/>
  <c r="CK399" i="1"/>
  <c r="CJ399" i="1"/>
  <c r="CI399" i="1"/>
  <c r="CH399" i="1"/>
  <c r="CG399" i="1"/>
  <c r="CF399" i="1"/>
  <c r="BR399" i="1"/>
  <c r="BQ399" i="1"/>
  <c r="BP399" i="1"/>
  <c r="BO399" i="1"/>
  <c r="BN399" i="1"/>
  <c r="BM399" i="1"/>
  <c r="BL399" i="1"/>
  <c r="BK399" i="1"/>
  <c r="BJ399" i="1"/>
  <c r="BI399" i="1"/>
  <c r="BH399" i="1"/>
  <c r="BG399" i="1"/>
  <c r="BF399" i="1"/>
  <c r="BE399" i="1"/>
  <c r="BC399" i="1"/>
  <c r="BB399" i="1"/>
  <c r="BA399" i="1"/>
  <c r="AY399" i="1"/>
  <c r="AX399" i="1"/>
  <c r="AW399" i="1"/>
  <c r="AU399" i="1"/>
  <c r="AT399" i="1"/>
  <c r="AS399" i="1"/>
  <c r="AR399" i="1"/>
  <c r="AQ399" i="1"/>
  <c r="AP399" i="1"/>
  <c r="AO399" i="1"/>
  <c r="AN399" i="1"/>
  <c r="AM399" i="1"/>
  <c r="AL399" i="1"/>
  <c r="AK399" i="1"/>
  <c r="AJ399" i="1"/>
  <c r="AI399" i="1"/>
  <c r="AH399" i="1"/>
  <c r="AG399" i="1"/>
  <c r="AF399" i="1"/>
  <c r="AE399" i="1"/>
  <c r="AD399" i="1"/>
  <c r="R399" i="1"/>
  <c r="Q399" i="1"/>
  <c r="O399" i="1"/>
  <c r="P399" i="1" s="1"/>
  <c r="DE398" i="1"/>
  <c r="DD398" i="1"/>
  <c r="DC398" i="1"/>
  <c r="DB398" i="1"/>
  <c r="DA398" i="1"/>
  <c r="CZ398" i="1"/>
  <c r="CY398" i="1"/>
  <c r="CX398" i="1"/>
  <c r="CW398" i="1"/>
  <c r="CV398" i="1"/>
  <c r="CU398" i="1"/>
  <c r="CT398" i="1"/>
  <c r="CS398" i="1"/>
  <c r="CR398" i="1"/>
  <c r="CQ398" i="1"/>
  <c r="CP398" i="1"/>
  <c r="CO398" i="1"/>
  <c r="CN398" i="1"/>
  <c r="CM398" i="1"/>
  <c r="CL398" i="1"/>
  <c r="CK398" i="1"/>
  <c r="CJ398" i="1"/>
  <c r="CI398" i="1"/>
  <c r="CH398" i="1"/>
  <c r="CG398" i="1"/>
  <c r="CF398" i="1"/>
  <c r="BR398" i="1"/>
  <c r="BQ398" i="1"/>
  <c r="BP398" i="1"/>
  <c r="BO398" i="1"/>
  <c r="BN398" i="1"/>
  <c r="BM398" i="1"/>
  <c r="BL398" i="1"/>
  <c r="BK398" i="1"/>
  <c r="BJ398" i="1"/>
  <c r="BI398" i="1"/>
  <c r="BH398" i="1"/>
  <c r="BF398" i="1"/>
  <c r="BE398" i="1"/>
  <c r="BC398" i="1"/>
  <c r="BB398" i="1"/>
  <c r="BA398" i="1"/>
  <c r="AY398" i="1"/>
  <c r="AX398" i="1"/>
  <c r="AW398" i="1"/>
  <c r="AU398" i="1"/>
  <c r="AT398" i="1"/>
  <c r="AS398" i="1"/>
  <c r="AR398" i="1"/>
  <c r="AQ398" i="1"/>
  <c r="AP398" i="1"/>
  <c r="AO398" i="1"/>
  <c r="AN398" i="1"/>
  <c r="AM398" i="1"/>
  <c r="AL398" i="1"/>
  <c r="AK398" i="1"/>
  <c r="AJ398" i="1"/>
  <c r="AI398" i="1"/>
  <c r="AH398" i="1"/>
  <c r="AF398" i="1"/>
  <c r="AE398" i="1"/>
  <c r="O397" i="1" s="1"/>
  <c r="AM397" i="1" s="1"/>
  <c r="AD398" i="1"/>
  <c r="O398" i="1"/>
  <c r="BG398" i="1" s="1"/>
  <c r="J398" i="1"/>
  <c r="DE397" i="1"/>
  <c r="DD397" i="1"/>
  <c r="DC397" i="1"/>
  <c r="DB397" i="1"/>
  <c r="DA397" i="1"/>
  <c r="CZ397" i="1"/>
  <c r="CY397" i="1"/>
  <c r="CX397" i="1"/>
  <c r="CW397" i="1"/>
  <c r="CV397" i="1"/>
  <c r="CU397" i="1"/>
  <c r="CT397" i="1"/>
  <c r="CS397" i="1"/>
  <c r="CR397" i="1"/>
  <c r="CQ397" i="1"/>
  <c r="CP397" i="1"/>
  <c r="CO397" i="1"/>
  <c r="CN397" i="1"/>
  <c r="CM397" i="1"/>
  <c r="CL397" i="1"/>
  <c r="CK397" i="1"/>
  <c r="CJ397" i="1"/>
  <c r="CI397" i="1"/>
  <c r="CH397" i="1"/>
  <c r="CG397" i="1"/>
  <c r="CF397" i="1"/>
  <c r="CD397" i="1"/>
  <c r="CC397" i="1"/>
  <c r="CB397" i="1"/>
  <c r="BZ397" i="1"/>
  <c r="BY397" i="1"/>
  <c r="BX397" i="1"/>
  <c r="BV397" i="1"/>
  <c r="BU397" i="1"/>
  <c r="BR397" i="1"/>
  <c r="BQ397" i="1"/>
  <c r="BP397" i="1"/>
  <c r="BO397" i="1"/>
  <c r="BN397" i="1"/>
  <c r="BM397" i="1"/>
  <c r="BL397" i="1"/>
  <c r="BK397" i="1"/>
  <c r="BJ397" i="1"/>
  <c r="BI397" i="1"/>
  <c r="BH397" i="1"/>
  <c r="BG397" i="1"/>
  <c r="BF397" i="1"/>
  <c r="BE397" i="1"/>
  <c r="BD397" i="1"/>
  <c r="BB397" i="1"/>
  <c r="BA397" i="1"/>
  <c r="AZ397" i="1"/>
  <c r="AX397" i="1"/>
  <c r="AW397" i="1"/>
  <c r="AV397" i="1"/>
  <c r="AT397" i="1"/>
  <c r="AS397" i="1"/>
  <c r="AR397" i="1"/>
  <c r="AQ397" i="1"/>
  <c r="AP397" i="1"/>
  <c r="AO397" i="1"/>
  <c r="AN397" i="1"/>
  <c r="AL397" i="1"/>
  <c r="AK397" i="1"/>
  <c r="AJ397" i="1"/>
  <c r="AI397" i="1"/>
  <c r="AH397" i="1"/>
  <c r="AG397" i="1"/>
  <c r="AF397" i="1"/>
  <c r="AE397" i="1"/>
  <c r="AD397" i="1"/>
  <c r="P397" i="1"/>
  <c r="F397" i="1"/>
  <c r="B397" i="1"/>
  <c r="BD399" i="1" s="1"/>
  <c r="DE396" i="1"/>
  <c r="DD396" i="1"/>
  <c r="DC396" i="1"/>
  <c r="DB396" i="1"/>
  <c r="DA396" i="1"/>
  <c r="CZ396" i="1"/>
  <c r="CY396" i="1"/>
  <c r="CX396" i="1"/>
  <c r="CW396" i="1"/>
  <c r="CV396" i="1"/>
  <c r="CU396" i="1"/>
  <c r="CT396" i="1"/>
  <c r="CS396" i="1"/>
  <c r="CR396" i="1"/>
  <c r="CQ396" i="1"/>
  <c r="CP396" i="1"/>
  <c r="CO396" i="1"/>
  <c r="CN396" i="1"/>
  <c r="CM396" i="1"/>
  <c r="CL396" i="1"/>
  <c r="CK396" i="1"/>
  <c r="CJ396" i="1"/>
  <c r="CI396" i="1"/>
  <c r="CH396" i="1"/>
  <c r="CG396" i="1"/>
  <c r="CF396" i="1"/>
  <c r="BR396" i="1"/>
  <c r="BQ396" i="1"/>
  <c r="BP396" i="1"/>
  <c r="BO396" i="1"/>
  <c r="BN396" i="1"/>
  <c r="BM396" i="1"/>
  <c r="BL396" i="1"/>
  <c r="BK396" i="1"/>
  <c r="BJ396" i="1"/>
  <c r="BI396" i="1"/>
  <c r="BH396" i="1"/>
  <c r="BG396" i="1"/>
  <c r="BF396" i="1"/>
  <c r="BE396" i="1"/>
  <c r="BD396" i="1"/>
  <c r="BA396" i="1"/>
  <c r="AZ396" i="1"/>
  <c r="AX396" i="1"/>
  <c r="AV396" i="1"/>
  <c r="AT396" i="1"/>
  <c r="AS396" i="1"/>
  <c r="AR396" i="1"/>
  <c r="AQ396" i="1"/>
  <c r="AP396" i="1"/>
  <c r="AO396" i="1"/>
  <c r="AN396" i="1"/>
  <c r="AM396" i="1"/>
  <c r="AL396" i="1"/>
  <c r="AK396" i="1"/>
  <c r="AJ396" i="1"/>
  <c r="AI396" i="1"/>
  <c r="AH396" i="1"/>
  <c r="AG396" i="1"/>
  <c r="AF396" i="1"/>
  <c r="AE396" i="1"/>
  <c r="R396" i="1"/>
  <c r="Q396" i="1"/>
  <c r="DE395" i="1"/>
  <c r="DD395" i="1"/>
  <c r="DC395" i="1"/>
  <c r="DB395" i="1"/>
  <c r="DA395" i="1"/>
  <c r="CZ395" i="1"/>
  <c r="CY395" i="1"/>
  <c r="CX395" i="1"/>
  <c r="CW395" i="1"/>
  <c r="CV395" i="1"/>
  <c r="CU395" i="1"/>
  <c r="CT395" i="1"/>
  <c r="CS395" i="1"/>
  <c r="CR395" i="1"/>
  <c r="CQ395" i="1"/>
  <c r="CP395" i="1"/>
  <c r="CO395" i="1"/>
  <c r="CN395" i="1"/>
  <c r="CM395" i="1"/>
  <c r="CL395" i="1"/>
  <c r="CK395" i="1"/>
  <c r="CJ395" i="1"/>
  <c r="CI395" i="1"/>
  <c r="CH395" i="1"/>
  <c r="CG395" i="1"/>
  <c r="CF395" i="1"/>
  <c r="BR395" i="1"/>
  <c r="BQ395" i="1"/>
  <c r="BP395" i="1"/>
  <c r="BO395" i="1"/>
  <c r="BN395" i="1"/>
  <c r="BM395" i="1"/>
  <c r="BL395" i="1"/>
  <c r="BK395" i="1"/>
  <c r="BI395" i="1"/>
  <c r="BH395" i="1"/>
  <c r="BG395" i="1"/>
  <c r="BF395" i="1"/>
  <c r="BE395" i="1"/>
  <c r="BC395" i="1"/>
  <c r="BA395" i="1"/>
  <c r="AZ395" i="1"/>
  <c r="AW395" i="1"/>
  <c r="AV395" i="1"/>
  <c r="AU395" i="1"/>
  <c r="AR395" i="1"/>
  <c r="AQ395" i="1"/>
  <c r="AP395" i="1"/>
  <c r="AO395" i="1"/>
  <c r="AN395" i="1"/>
  <c r="AM395" i="1"/>
  <c r="AL395" i="1"/>
  <c r="AK395" i="1"/>
  <c r="AI395" i="1"/>
  <c r="AH395" i="1"/>
  <c r="AG395" i="1"/>
  <c r="AF395" i="1"/>
  <c r="AE395" i="1"/>
  <c r="J395" i="1"/>
  <c r="DE394" i="1"/>
  <c r="DD394" i="1"/>
  <c r="DC394" i="1"/>
  <c r="DB394" i="1"/>
  <c r="DA394" i="1"/>
  <c r="CZ394" i="1"/>
  <c r="CY394" i="1"/>
  <c r="CX394" i="1"/>
  <c r="CW394" i="1"/>
  <c r="CV394" i="1"/>
  <c r="CU394" i="1"/>
  <c r="CT394" i="1"/>
  <c r="CS394" i="1"/>
  <c r="CR394" i="1"/>
  <c r="CQ394" i="1"/>
  <c r="CP394" i="1"/>
  <c r="CO394" i="1"/>
  <c r="CN394" i="1"/>
  <c r="CM394" i="1"/>
  <c r="CL394" i="1"/>
  <c r="CK394" i="1"/>
  <c r="CJ394" i="1"/>
  <c r="CI394" i="1"/>
  <c r="CH394" i="1"/>
  <c r="CG394" i="1"/>
  <c r="CF394" i="1"/>
  <c r="CE394" i="1"/>
  <c r="CD394" i="1"/>
  <c r="CA394" i="1"/>
  <c r="BY394" i="1"/>
  <c r="BV394" i="1"/>
  <c r="BU394" i="1"/>
  <c r="BS394" i="1"/>
  <c r="BR394" i="1"/>
  <c r="BQ394" i="1"/>
  <c r="BP394" i="1"/>
  <c r="BO394" i="1"/>
  <c r="BN394" i="1"/>
  <c r="BL394" i="1"/>
  <c r="BK394" i="1"/>
  <c r="BJ394" i="1"/>
  <c r="BI394" i="1"/>
  <c r="BH394" i="1"/>
  <c r="BG394" i="1"/>
  <c r="BF394" i="1"/>
  <c r="BE394" i="1"/>
  <c r="BC394" i="1"/>
  <c r="BB394" i="1"/>
  <c r="AY394" i="1"/>
  <c r="AX394" i="1"/>
  <c r="AW394" i="1"/>
  <c r="AT394" i="1"/>
  <c r="AS394" i="1"/>
  <c r="AR394" i="1"/>
  <c r="AQ394" i="1"/>
  <c r="AP394" i="1"/>
  <c r="AO394" i="1"/>
  <c r="AN394" i="1"/>
  <c r="AL394" i="1"/>
  <c r="AK394" i="1"/>
  <c r="AJ394" i="1"/>
  <c r="AI394" i="1"/>
  <c r="AH394" i="1"/>
  <c r="AG394" i="1"/>
  <c r="AF394" i="1"/>
  <c r="AE394" i="1"/>
  <c r="AD394" i="1"/>
  <c r="G394" i="1"/>
  <c r="F394" i="1"/>
  <c r="B394" i="1"/>
  <c r="DE393" i="1"/>
  <c r="DD393" i="1"/>
  <c r="DC393" i="1"/>
  <c r="DB393" i="1"/>
  <c r="DA393" i="1"/>
  <c r="CZ393" i="1"/>
  <c r="CY393" i="1"/>
  <c r="CX393" i="1"/>
  <c r="CW393" i="1"/>
  <c r="CV393" i="1"/>
  <c r="CU393" i="1"/>
  <c r="CT393" i="1"/>
  <c r="CS393" i="1"/>
  <c r="CR393" i="1"/>
  <c r="CQ393" i="1"/>
  <c r="CP393" i="1"/>
  <c r="CO393" i="1"/>
  <c r="CN393" i="1"/>
  <c r="CM393" i="1"/>
  <c r="CL393" i="1"/>
  <c r="CK393" i="1"/>
  <c r="CJ393" i="1"/>
  <c r="CI393" i="1"/>
  <c r="CH393" i="1"/>
  <c r="CG393" i="1"/>
  <c r="CF393" i="1"/>
  <c r="BR393" i="1"/>
  <c r="BQ393" i="1"/>
  <c r="BP393" i="1"/>
  <c r="BO393" i="1"/>
  <c r="BN393" i="1"/>
  <c r="BM393" i="1"/>
  <c r="BL393" i="1"/>
  <c r="BK393" i="1"/>
  <c r="BJ393" i="1"/>
  <c r="BI393" i="1"/>
  <c r="BH393" i="1"/>
  <c r="BG393" i="1"/>
  <c r="BF393" i="1"/>
  <c r="BB393" i="1"/>
  <c r="AU393" i="1"/>
  <c r="AR393" i="1"/>
  <c r="AQ393" i="1"/>
  <c r="AP393" i="1"/>
  <c r="AO393" i="1"/>
  <c r="AN393" i="1"/>
  <c r="AM393" i="1"/>
  <c r="AL393" i="1"/>
  <c r="AK393" i="1"/>
  <c r="AJ393" i="1"/>
  <c r="AI393" i="1"/>
  <c r="AH393" i="1"/>
  <c r="AG393" i="1"/>
  <c r="AF393" i="1"/>
  <c r="AE393" i="1"/>
  <c r="AD393" i="1"/>
  <c r="R393" i="1"/>
  <c r="Q393" i="1"/>
  <c r="DE392" i="1"/>
  <c r="DD392" i="1"/>
  <c r="DC392" i="1"/>
  <c r="DB392" i="1"/>
  <c r="DA392" i="1"/>
  <c r="CZ392" i="1"/>
  <c r="CY392" i="1"/>
  <c r="CX392" i="1"/>
  <c r="CW392" i="1"/>
  <c r="CV392" i="1"/>
  <c r="CU392" i="1"/>
  <c r="CT392" i="1"/>
  <c r="CS392" i="1"/>
  <c r="CR392" i="1"/>
  <c r="CQ392" i="1"/>
  <c r="CP392" i="1"/>
  <c r="CO392" i="1"/>
  <c r="CN392" i="1"/>
  <c r="CM392" i="1"/>
  <c r="CL392" i="1"/>
  <c r="CK392" i="1"/>
  <c r="CJ392" i="1"/>
  <c r="CI392" i="1"/>
  <c r="CH392" i="1"/>
  <c r="CG392" i="1"/>
  <c r="CF392" i="1"/>
  <c r="BR392" i="1"/>
  <c r="BQ392" i="1"/>
  <c r="BP392" i="1"/>
  <c r="BO392" i="1"/>
  <c r="BN392" i="1"/>
  <c r="BM392" i="1"/>
  <c r="BL392" i="1"/>
  <c r="BK392" i="1"/>
  <c r="BI392" i="1"/>
  <c r="BH392" i="1"/>
  <c r="BG392" i="1"/>
  <c r="BF392" i="1"/>
  <c r="BC392" i="1"/>
  <c r="AY392" i="1"/>
  <c r="AR392" i="1"/>
  <c r="AQ392" i="1"/>
  <c r="AP392" i="1"/>
  <c r="AO392" i="1"/>
  <c r="AN392" i="1"/>
  <c r="AM392" i="1"/>
  <c r="AL392" i="1"/>
  <c r="AK392" i="1"/>
  <c r="AJ392" i="1"/>
  <c r="AI392" i="1"/>
  <c r="AH392" i="1"/>
  <c r="AG392" i="1"/>
  <c r="AF392" i="1"/>
  <c r="AE392" i="1"/>
  <c r="AD392" i="1"/>
  <c r="P392" i="1"/>
  <c r="J392" i="1"/>
  <c r="DE391" i="1"/>
  <c r="DD391" i="1"/>
  <c r="DC391" i="1"/>
  <c r="DB391" i="1"/>
  <c r="DA391" i="1"/>
  <c r="CZ391" i="1"/>
  <c r="CY391" i="1"/>
  <c r="CX391" i="1"/>
  <c r="CW391" i="1"/>
  <c r="CV391" i="1"/>
  <c r="CU391" i="1"/>
  <c r="CT391" i="1"/>
  <c r="CS391" i="1"/>
  <c r="CR391" i="1"/>
  <c r="CQ391" i="1"/>
  <c r="CP391" i="1"/>
  <c r="CO391" i="1"/>
  <c r="CN391" i="1"/>
  <c r="CM391" i="1"/>
  <c r="CL391" i="1"/>
  <c r="CK391" i="1"/>
  <c r="CJ391" i="1"/>
  <c r="CI391" i="1"/>
  <c r="CH391" i="1"/>
  <c r="CG391" i="1"/>
  <c r="CF391" i="1"/>
  <c r="CC391" i="1"/>
  <c r="BY391" i="1"/>
  <c r="BR391" i="1"/>
  <c r="BQ391" i="1"/>
  <c r="BP391" i="1"/>
  <c r="BO391" i="1"/>
  <c r="BN391" i="1"/>
  <c r="BL391" i="1"/>
  <c r="BK391" i="1"/>
  <c r="BJ391" i="1"/>
  <c r="BI391" i="1"/>
  <c r="BH391" i="1"/>
  <c r="BG391" i="1"/>
  <c r="BF391" i="1"/>
  <c r="BB391" i="1"/>
  <c r="BA391" i="1"/>
  <c r="AR391" i="1"/>
  <c r="AQ391" i="1"/>
  <c r="AP391" i="1"/>
  <c r="AO391" i="1"/>
  <c r="AN391" i="1"/>
  <c r="AL391" i="1"/>
  <c r="AK391" i="1"/>
  <c r="AJ391" i="1"/>
  <c r="AI391" i="1"/>
  <c r="AH391" i="1"/>
  <c r="AG391" i="1"/>
  <c r="AF391" i="1"/>
  <c r="AE391" i="1"/>
  <c r="O392" i="1" s="1"/>
  <c r="BJ392" i="1" s="1"/>
  <c r="AD391" i="1"/>
  <c r="O391" i="1"/>
  <c r="F391" i="1"/>
  <c r="B391" i="1"/>
  <c r="AV393" i="1" s="1"/>
  <c r="DE390" i="1"/>
  <c r="DD390" i="1"/>
  <c r="DC390" i="1"/>
  <c r="DB390" i="1"/>
  <c r="DA390" i="1"/>
  <c r="CZ390" i="1"/>
  <c r="CY390" i="1"/>
  <c r="CX390" i="1"/>
  <c r="CW390" i="1"/>
  <c r="CV390" i="1"/>
  <c r="CU390" i="1"/>
  <c r="CT390" i="1"/>
  <c r="CS390" i="1"/>
  <c r="CR390" i="1"/>
  <c r="CQ390" i="1"/>
  <c r="CP390" i="1"/>
  <c r="CO390" i="1"/>
  <c r="CN390" i="1"/>
  <c r="CM390" i="1"/>
  <c r="CL390" i="1"/>
  <c r="CK390" i="1"/>
  <c r="CJ390" i="1"/>
  <c r="CI390" i="1"/>
  <c r="CH390" i="1"/>
  <c r="CG390" i="1"/>
  <c r="CF390" i="1"/>
  <c r="BR390" i="1"/>
  <c r="BQ390" i="1"/>
  <c r="BP390" i="1"/>
  <c r="BO390" i="1"/>
  <c r="BN390" i="1"/>
  <c r="BM390" i="1"/>
  <c r="BL390" i="1"/>
  <c r="BK390" i="1"/>
  <c r="BJ390" i="1"/>
  <c r="BI390" i="1"/>
  <c r="BH390" i="1"/>
  <c r="BG390" i="1"/>
  <c r="BF390" i="1"/>
  <c r="BE390" i="1"/>
  <c r="AU390" i="1"/>
  <c r="AT390" i="1"/>
  <c r="AR390" i="1"/>
  <c r="AQ390" i="1"/>
  <c r="AP390" i="1"/>
  <c r="AO390" i="1"/>
  <c r="AN390" i="1"/>
  <c r="AM390" i="1"/>
  <c r="AL390" i="1"/>
  <c r="AK390" i="1"/>
  <c r="AJ390" i="1"/>
  <c r="AI390" i="1"/>
  <c r="AH390" i="1"/>
  <c r="AG390" i="1"/>
  <c r="AF390" i="1"/>
  <c r="AE390" i="1"/>
  <c r="R390" i="1"/>
  <c r="Q390" i="1"/>
  <c r="O390" i="1"/>
  <c r="P390" i="1" s="1"/>
  <c r="DE389" i="1"/>
  <c r="DD389" i="1"/>
  <c r="DC389" i="1"/>
  <c r="DB389" i="1"/>
  <c r="DA389" i="1"/>
  <c r="CZ389" i="1"/>
  <c r="CY389" i="1"/>
  <c r="CX389" i="1"/>
  <c r="CW389" i="1"/>
  <c r="CV389" i="1"/>
  <c r="CU389" i="1"/>
  <c r="CT389" i="1"/>
  <c r="CS389" i="1"/>
  <c r="CR389" i="1"/>
  <c r="CQ389" i="1"/>
  <c r="CP389" i="1"/>
  <c r="CO389" i="1"/>
  <c r="CN389" i="1"/>
  <c r="CM389" i="1"/>
  <c r="CL389" i="1"/>
  <c r="CK389" i="1"/>
  <c r="CJ389" i="1"/>
  <c r="CI389" i="1"/>
  <c r="CH389" i="1"/>
  <c r="CG389" i="1"/>
  <c r="CF389" i="1"/>
  <c r="BR389" i="1"/>
  <c r="BQ389" i="1"/>
  <c r="BP389" i="1"/>
  <c r="BO389" i="1"/>
  <c r="BN389" i="1"/>
  <c r="BM389" i="1"/>
  <c r="BL389" i="1"/>
  <c r="BK389" i="1"/>
  <c r="BJ389" i="1"/>
  <c r="BI389" i="1"/>
  <c r="BH389" i="1"/>
  <c r="BF389" i="1"/>
  <c r="BA389" i="1"/>
  <c r="AW389" i="1"/>
  <c r="AR389" i="1"/>
  <c r="AQ389" i="1"/>
  <c r="AP389" i="1"/>
  <c r="AO389" i="1"/>
  <c r="AN389" i="1"/>
  <c r="AM389" i="1"/>
  <c r="AL389" i="1"/>
  <c r="AK389" i="1"/>
  <c r="AJ389" i="1"/>
  <c r="AI389" i="1"/>
  <c r="AH389" i="1"/>
  <c r="AG389" i="1"/>
  <c r="AF389" i="1"/>
  <c r="AE389" i="1"/>
  <c r="P389" i="1"/>
  <c r="J389" i="1"/>
  <c r="DE388" i="1"/>
  <c r="DD388" i="1"/>
  <c r="DC388" i="1"/>
  <c r="DB388" i="1"/>
  <c r="DA388" i="1"/>
  <c r="CZ388" i="1"/>
  <c r="CY388" i="1"/>
  <c r="CX388" i="1"/>
  <c r="CW388" i="1"/>
  <c r="CV388" i="1"/>
  <c r="CU388" i="1"/>
  <c r="CT388" i="1"/>
  <c r="CS388" i="1"/>
  <c r="CR388" i="1"/>
  <c r="CQ388" i="1"/>
  <c r="CP388" i="1"/>
  <c r="CO388" i="1"/>
  <c r="CN388" i="1"/>
  <c r="CM388" i="1"/>
  <c r="CL388" i="1"/>
  <c r="CK388" i="1"/>
  <c r="CJ388" i="1"/>
  <c r="CI388" i="1"/>
  <c r="CH388" i="1"/>
  <c r="CG388" i="1"/>
  <c r="CF388" i="1"/>
  <c r="CA388" i="1"/>
  <c r="BZ388" i="1"/>
  <c r="BR388" i="1"/>
  <c r="BQ388" i="1"/>
  <c r="BP388" i="1"/>
  <c r="BO388" i="1"/>
  <c r="BN388" i="1"/>
  <c r="BM388" i="1"/>
  <c r="BL388" i="1"/>
  <c r="BK388" i="1"/>
  <c r="BJ388" i="1"/>
  <c r="BI388" i="1"/>
  <c r="BH388" i="1"/>
  <c r="BG388" i="1"/>
  <c r="BF388" i="1"/>
  <c r="BD388" i="1"/>
  <c r="AX388" i="1"/>
  <c r="AT388" i="1"/>
  <c r="AR388" i="1"/>
  <c r="AQ388" i="1"/>
  <c r="AP388" i="1"/>
  <c r="AO388" i="1"/>
  <c r="AN388" i="1"/>
  <c r="AM388" i="1"/>
  <c r="AL388" i="1"/>
  <c r="AK388" i="1"/>
  <c r="AJ388" i="1"/>
  <c r="AI388" i="1"/>
  <c r="AH388" i="1"/>
  <c r="AG388" i="1"/>
  <c r="AE388" i="1"/>
  <c r="O389" i="1" s="1"/>
  <c r="BG389" i="1" s="1"/>
  <c r="AD388" i="1"/>
  <c r="P388" i="1"/>
  <c r="AF388" i="1" s="1"/>
  <c r="O388" i="1"/>
  <c r="F388" i="1"/>
  <c r="B388" i="1"/>
  <c r="AY390" i="1" s="1"/>
  <c r="DE387" i="1"/>
  <c r="DD387" i="1"/>
  <c r="DC387" i="1"/>
  <c r="DB387" i="1"/>
  <c r="DA387" i="1"/>
  <c r="CZ387" i="1"/>
  <c r="CY387" i="1"/>
  <c r="CX387" i="1"/>
  <c r="CW387" i="1"/>
  <c r="CV387" i="1"/>
  <c r="CU387" i="1"/>
  <c r="CT387" i="1"/>
  <c r="CS387" i="1"/>
  <c r="CR387" i="1"/>
  <c r="CQ387" i="1"/>
  <c r="CP387" i="1"/>
  <c r="CO387" i="1"/>
  <c r="CN387" i="1"/>
  <c r="CM387" i="1"/>
  <c r="CL387" i="1"/>
  <c r="CK387" i="1"/>
  <c r="CJ387" i="1"/>
  <c r="CI387" i="1"/>
  <c r="CH387" i="1"/>
  <c r="CG387" i="1"/>
  <c r="CF387" i="1"/>
  <c r="BR387" i="1"/>
  <c r="BQ387" i="1"/>
  <c r="BP387" i="1"/>
  <c r="BO387" i="1"/>
  <c r="BN387" i="1"/>
  <c r="BM387" i="1"/>
  <c r="BL387" i="1"/>
  <c r="BK387" i="1"/>
  <c r="BJ387" i="1"/>
  <c r="BI387" i="1"/>
  <c r="BH387" i="1"/>
  <c r="BG387" i="1"/>
  <c r="BF387" i="1"/>
  <c r="BD387" i="1"/>
  <c r="BB387" i="1"/>
  <c r="AZ387" i="1"/>
  <c r="AY387" i="1"/>
  <c r="AV387" i="1"/>
  <c r="AU387" i="1"/>
  <c r="AT387" i="1"/>
  <c r="AR387" i="1"/>
  <c r="AQ387" i="1"/>
  <c r="AP387" i="1"/>
  <c r="AO387" i="1"/>
  <c r="AN387" i="1"/>
  <c r="AM387" i="1"/>
  <c r="AL387" i="1"/>
  <c r="AK387" i="1"/>
  <c r="AJ387" i="1"/>
  <c r="AI387" i="1"/>
  <c r="AH387" i="1"/>
  <c r="AG387" i="1"/>
  <c r="AF387" i="1"/>
  <c r="AE387" i="1"/>
  <c r="AD387" i="1"/>
  <c r="R387" i="1"/>
  <c r="Q387" i="1"/>
  <c r="DE386" i="1"/>
  <c r="DD386" i="1"/>
  <c r="DC386" i="1"/>
  <c r="DB386" i="1"/>
  <c r="DA386" i="1"/>
  <c r="CZ386" i="1"/>
  <c r="CY386" i="1"/>
  <c r="CX386" i="1"/>
  <c r="CW386" i="1"/>
  <c r="CV386" i="1"/>
  <c r="CU386" i="1"/>
  <c r="CT386" i="1"/>
  <c r="CS386" i="1"/>
  <c r="CR386" i="1"/>
  <c r="CQ386" i="1"/>
  <c r="CP386" i="1"/>
  <c r="CO386" i="1"/>
  <c r="CN386" i="1"/>
  <c r="CM386" i="1"/>
  <c r="CL386" i="1"/>
  <c r="CK386" i="1"/>
  <c r="CJ386" i="1"/>
  <c r="CI386" i="1"/>
  <c r="CH386" i="1"/>
  <c r="CG386" i="1"/>
  <c r="CF386" i="1"/>
  <c r="BR386" i="1"/>
  <c r="BQ386" i="1"/>
  <c r="BP386" i="1"/>
  <c r="BO386" i="1"/>
  <c r="BN386" i="1"/>
  <c r="BM386" i="1"/>
  <c r="BL386" i="1"/>
  <c r="BK386" i="1"/>
  <c r="BJ386" i="1"/>
  <c r="BI386" i="1"/>
  <c r="BH386" i="1"/>
  <c r="BF386" i="1"/>
  <c r="BD386" i="1"/>
  <c r="BC386" i="1"/>
  <c r="BB386" i="1"/>
  <c r="AY386" i="1"/>
  <c r="AX386" i="1"/>
  <c r="AV386" i="1"/>
  <c r="AT386" i="1"/>
  <c r="AR386" i="1"/>
  <c r="AQ386" i="1"/>
  <c r="AP386" i="1"/>
  <c r="AO386" i="1"/>
  <c r="AN386" i="1"/>
  <c r="AM386" i="1"/>
  <c r="AL386" i="1"/>
  <c r="AK386" i="1"/>
  <c r="AJ386" i="1"/>
  <c r="AI386" i="1"/>
  <c r="AH386" i="1"/>
  <c r="AF386" i="1"/>
  <c r="AE386" i="1"/>
  <c r="O385" i="1" s="1"/>
  <c r="AD386" i="1"/>
  <c r="J386" i="1"/>
  <c r="DE385" i="1"/>
  <c r="DD385" i="1"/>
  <c r="DC385" i="1"/>
  <c r="DB385" i="1"/>
  <c r="DA385" i="1"/>
  <c r="CZ385" i="1"/>
  <c r="CY385" i="1"/>
  <c r="CX385" i="1"/>
  <c r="CW385" i="1"/>
  <c r="CV385" i="1"/>
  <c r="CU385" i="1"/>
  <c r="CT385" i="1"/>
  <c r="CS385" i="1"/>
  <c r="CR385" i="1"/>
  <c r="CQ385" i="1"/>
  <c r="CP385" i="1"/>
  <c r="CO385" i="1"/>
  <c r="CN385" i="1"/>
  <c r="CM385" i="1"/>
  <c r="CL385" i="1"/>
  <c r="CK385" i="1"/>
  <c r="CJ385" i="1"/>
  <c r="CI385" i="1"/>
  <c r="CH385" i="1"/>
  <c r="CG385" i="1"/>
  <c r="CF385" i="1"/>
  <c r="CE385" i="1"/>
  <c r="CC385" i="1"/>
  <c r="CA385" i="1"/>
  <c r="BZ385" i="1"/>
  <c r="BW385" i="1"/>
  <c r="BV385" i="1"/>
  <c r="BU385" i="1"/>
  <c r="BR385" i="1"/>
  <c r="BQ385" i="1"/>
  <c r="BP385" i="1"/>
  <c r="BO385" i="1"/>
  <c r="BN385" i="1"/>
  <c r="BM385" i="1"/>
  <c r="BL385" i="1"/>
  <c r="BK385" i="1"/>
  <c r="BJ385" i="1"/>
  <c r="BI385" i="1"/>
  <c r="BH385" i="1"/>
  <c r="BG385" i="1"/>
  <c r="BE385" i="1"/>
  <c r="BC385" i="1"/>
  <c r="BA385" i="1"/>
  <c r="AY385" i="1"/>
  <c r="AX385" i="1"/>
  <c r="AU385" i="1"/>
  <c r="AT385" i="1"/>
  <c r="AS385" i="1"/>
  <c r="AR385" i="1"/>
  <c r="AQ385" i="1"/>
  <c r="AP385" i="1"/>
  <c r="AO385" i="1"/>
  <c r="AN385" i="1"/>
  <c r="AM385" i="1"/>
  <c r="AL385" i="1"/>
  <c r="AK385" i="1"/>
  <c r="AJ385" i="1"/>
  <c r="AI385" i="1"/>
  <c r="AH385" i="1"/>
  <c r="AG385" i="1"/>
  <c r="AE385" i="1"/>
  <c r="AD385" i="1"/>
  <c r="G385" i="1"/>
  <c r="F385" i="1"/>
  <c r="B385" i="1"/>
  <c r="DE384" i="1"/>
  <c r="DD384" i="1"/>
  <c r="DC384" i="1"/>
  <c r="DB384" i="1"/>
  <c r="DA384" i="1"/>
  <c r="CZ384" i="1"/>
  <c r="CY384" i="1"/>
  <c r="CX384" i="1"/>
  <c r="CW384" i="1"/>
  <c r="CV384" i="1"/>
  <c r="CU384" i="1"/>
  <c r="CT384" i="1"/>
  <c r="CS384" i="1"/>
  <c r="CR384" i="1"/>
  <c r="CQ384" i="1"/>
  <c r="CP384" i="1"/>
  <c r="CO384" i="1"/>
  <c r="CN384" i="1"/>
  <c r="CM384" i="1"/>
  <c r="CL384" i="1"/>
  <c r="CK384" i="1"/>
  <c r="CJ384" i="1"/>
  <c r="CI384" i="1"/>
  <c r="CH384" i="1"/>
  <c r="CG384" i="1"/>
  <c r="CF384" i="1"/>
  <c r="BR384" i="1"/>
  <c r="BQ384" i="1"/>
  <c r="BP384" i="1"/>
  <c r="BO384" i="1"/>
  <c r="BN384" i="1"/>
  <c r="BM384" i="1"/>
  <c r="BL384" i="1"/>
  <c r="BK384" i="1"/>
  <c r="BJ384" i="1"/>
  <c r="BI384" i="1"/>
  <c r="BH384" i="1"/>
  <c r="BG384" i="1"/>
  <c r="BF384" i="1"/>
  <c r="BB384" i="1"/>
  <c r="AR384" i="1"/>
  <c r="AQ384" i="1"/>
  <c r="AP384" i="1"/>
  <c r="AO384" i="1"/>
  <c r="AN384" i="1"/>
  <c r="AM384" i="1"/>
  <c r="AL384" i="1"/>
  <c r="AK384" i="1"/>
  <c r="AJ384" i="1"/>
  <c r="AI384" i="1"/>
  <c r="AH384" i="1"/>
  <c r="AG384" i="1"/>
  <c r="AF384" i="1"/>
  <c r="AE384" i="1"/>
  <c r="R384" i="1"/>
  <c r="Q384" i="1"/>
  <c r="O384" i="1"/>
  <c r="P384" i="1" s="1"/>
  <c r="DE383" i="1"/>
  <c r="DD383" i="1"/>
  <c r="DC383" i="1"/>
  <c r="DB383" i="1"/>
  <c r="DA383" i="1"/>
  <c r="CZ383" i="1"/>
  <c r="CY383" i="1"/>
  <c r="CX383" i="1"/>
  <c r="CW383" i="1"/>
  <c r="CV383" i="1"/>
  <c r="CU383" i="1"/>
  <c r="CT383" i="1"/>
  <c r="CS383" i="1"/>
  <c r="CR383" i="1"/>
  <c r="CQ383" i="1"/>
  <c r="CP383" i="1"/>
  <c r="CO383" i="1"/>
  <c r="CN383" i="1"/>
  <c r="CM383" i="1"/>
  <c r="CL383" i="1"/>
  <c r="CK383" i="1"/>
  <c r="CJ383" i="1"/>
  <c r="CI383" i="1"/>
  <c r="CH383" i="1"/>
  <c r="CG383" i="1"/>
  <c r="CF383" i="1"/>
  <c r="BR383" i="1"/>
  <c r="BQ383" i="1"/>
  <c r="BP383" i="1"/>
  <c r="BO383" i="1"/>
  <c r="BN383" i="1"/>
  <c r="BM383" i="1"/>
  <c r="BL383" i="1"/>
  <c r="BK383" i="1"/>
  <c r="BJ383" i="1"/>
  <c r="BI383" i="1"/>
  <c r="BH383" i="1"/>
  <c r="BF383" i="1"/>
  <c r="AX383" i="1"/>
  <c r="AR383" i="1"/>
  <c r="AQ383" i="1"/>
  <c r="AP383" i="1"/>
  <c r="AO383" i="1"/>
  <c r="AN383" i="1"/>
  <c r="AM383" i="1"/>
  <c r="AL383" i="1"/>
  <c r="AK383" i="1"/>
  <c r="AJ383" i="1"/>
  <c r="AI383" i="1"/>
  <c r="AH383" i="1"/>
  <c r="AF383" i="1"/>
  <c r="AE383" i="1"/>
  <c r="J383" i="1"/>
  <c r="DE382" i="1"/>
  <c r="DD382" i="1"/>
  <c r="DC382" i="1"/>
  <c r="DB382" i="1"/>
  <c r="DA382" i="1"/>
  <c r="CZ382" i="1"/>
  <c r="CY382" i="1"/>
  <c r="CX382" i="1"/>
  <c r="CW382" i="1"/>
  <c r="CV382" i="1"/>
  <c r="CU382" i="1"/>
  <c r="CT382" i="1"/>
  <c r="CS382" i="1"/>
  <c r="CR382" i="1"/>
  <c r="CQ382" i="1"/>
  <c r="CP382" i="1"/>
  <c r="CO382" i="1"/>
  <c r="CN382" i="1"/>
  <c r="CM382" i="1"/>
  <c r="CL382" i="1"/>
  <c r="CK382" i="1"/>
  <c r="CJ382" i="1"/>
  <c r="CI382" i="1"/>
  <c r="CH382" i="1"/>
  <c r="CG382" i="1"/>
  <c r="CF382" i="1"/>
  <c r="CB382" i="1"/>
  <c r="BR382" i="1"/>
  <c r="BQ382" i="1"/>
  <c r="BP382" i="1"/>
  <c r="BO382" i="1"/>
  <c r="BN382" i="1"/>
  <c r="BM382" i="1"/>
  <c r="BL382" i="1"/>
  <c r="BK382" i="1"/>
  <c r="BJ382" i="1"/>
  <c r="BI382" i="1"/>
  <c r="BH382" i="1"/>
  <c r="BG382" i="1"/>
  <c r="BF382" i="1"/>
  <c r="AV382" i="1"/>
  <c r="AR382" i="1"/>
  <c r="AQ382" i="1"/>
  <c r="AP382" i="1"/>
  <c r="AO382" i="1"/>
  <c r="AN382" i="1"/>
  <c r="AM382" i="1"/>
  <c r="AL382" i="1"/>
  <c r="AK382" i="1"/>
  <c r="AJ382" i="1"/>
  <c r="AH382" i="1"/>
  <c r="AG382" i="1"/>
  <c r="AF382" i="1"/>
  <c r="AE382" i="1"/>
  <c r="O383" i="1" s="1"/>
  <c r="AD382" i="1"/>
  <c r="P382" i="1"/>
  <c r="O382" i="1"/>
  <c r="AI382" i="1" s="1"/>
  <c r="F382" i="1"/>
  <c r="D382" i="1"/>
  <c r="D385" i="1" s="1"/>
  <c r="B382" i="1"/>
  <c r="DJ381" i="1"/>
  <c r="DE381" i="1"/>
  <c r="DD381" i="1"/>
  <c r="DC381" i="1"/>
  <c r="DB381" i="1"/>
  <c r="DA381" i="1"/>
  <c r="CZ381" i="1"/>
  <c r="CY381" i="1"/>
  <c r="CX381" i="1"/>
  <c r="CW381" i="1"/>
  <c r="CV381" i="1"/>
  <c r="CU381" i="1"/>
  <c r="CT381" i="1"/>
  <c r="CS381" i="1"/>
  <c r="CR381" i="1"/>
  <c r="CQ381" i="1"/>
  <c r="CP381" i="1"/>
  <c r="CO381" i="1"/>
  <c r="CN381" i="1"/>
  <c r="CM381" i="1"/>
  <c r="CL381" i="1"/>
  <c r="CK381" i="1"/>
  <c r="CJ381" i="1"/>
  <c r="CI381" i="1"/>
  <c r="CH381" i="1"/>
  <c r="CG381" i="1"/>
  <c r="CF381" i="1"/>
  <c r="BR381" i="1"/>
  <c r="BQ381" i="1"/>
  <c r="BP381" i="1"/>
  <c r="BO381" i="1"/>
  <c r="BN381" i="1"/>
  <c r="BM381" i="1"/>
  <c r="BL381" i="1"/>
  <c r="BK381" i="1"/>
  <c r="BJ381" i="1"/>
  <c r="BI381" i="1"/>
  <c r="BH381" i="1"/>
  <c r="BG381" i="1"/>
  <c r="BF381" i="1"/>
  <c r="BE381" i="1"/>
  <c r="BC381" i="1"/>
  <c r="BA381" i="1"/>
  <c r="AZ381" i="1"/>
  <c r="AW381" i="1"/>
  <c r="AV381" i="1"/>
  <c r="AU381" i="1"/>
  <c r="AR381" i="1"/>
  <c r="AQ381" i="1"/>
  <c r="AP381" i="1"/>
  <c r="AO381" i="1"/>
  <c r="AN381" i="1"/>
  <c r="AM381" i="1"/>
  <c r="AL381" i="1"/>
  <c r="AK381" i="1"/>
  <c r="AJ381" i="1"/>
  <c r="AI381" i="1"/>
  <c r="AH381" i="1"/>
  <c r="AG381" i="1"/>
  <c r="AF381" i="1"/>
  <c r="AE381" i="1"/>
  <c r="AD381" i="1"/>
  <c r="R381" i="1"/>
  <c r="Q381" i="1"/>
  <c r="DJ380" i="1"/>
  <c r="DE380" i="1"/>
  <c r="DD380" i="1"/>
  <c r="DC380" i="1"/>
  <c r="DB380" i="1"/>
  <c r="DA380" i="1"/>
  <c r="CZ380" i="1"/>
  <c r="CY380" i="1"/>
  <c r="CX380" i="1"/>
  <c r="CW380" i="1"/>
  <c r="CV380" i="1"/>
  <c r="CU380" i="1"/>
  <c r="CT380" i="1"/>
  <c r="CS380" i="1"/>
  <c r="CR380" i="1"/>
  <c r="CQ380" i="1"/>
  <c r="CP380" i="1"/>
  <c r="CO380" i="1"/>
  <c r="CN380" i="1"/>
  <c r="CM380" i="1"/>
  <c r="CL380" i="1"/>
  <c r="CK380" i="1"/>
  <c r="CJ380" i="1"/>
  <c r="CI380" i="1"/>
  <c r="CH380" i="1"/>
  <c r="CG380" i="1"/>
  <c r="CF380" i="1"/>
  <c r="BR380" i="1"/>
  <c r="BQ380" i="1"/>
  <c r="BP380" i="1"/>
  <c r="BO380" i="1"/>
  <c r="BN380" i="1"/>
  <c r="BM380" i="1"/>
  <c r="BL380" i="1"/>
  <c r="BK380" i="1"/>
  <c r="BI380" i="1"/>
  <c r="BH380" i="1"/>
  <c r="BG380" i="1"/>
  <c r="BF380" i="1"/>
  <c r="BE380" i="1"/>
  <c r="BD380" i="1"/>
  <c r="BC380" i="1"/>
  <c r="AZ380" i="1"/>
  <c r="AY380" i="1"/>
  <c r="AW380" i="1"/>
  <c r="AU380" i="1"/>
  <c r="AS380" i="1"/>
  <c r="AR380" i="1"/>
  <c r="AQ380" i="1"/>
  <c r="AP380" i="1"/>
  <c r="AO380" i="1"/>
  <c r="AN380" i="1"/>
  <c r="AM380" i="1"/>
  <c r="AL380" i="1"/>
  <c r="AK380" i="1"/>
  <c r="AI380" i="1"/>
  <c r="AH380" i="1"/>
  <c r="AG380" i="1"/>
  <c r="AF380" i="1"/>
  <c r="AE380" i="1"/>
  <c r="AD380" i="1"/>
  <c r="J380" i="1"/>
  <c r="DK379" i="1"/>
  <c r="DJ379" i="1"/>
  <c r="DE379" i="1"/>
  <c r="DD379" i="1"/>
  <c r="DC379" i="1"/>
  <c r="DB379" i="1"/>
  <c r="DA379" i="1"/>
  <c r="CZ379" i="1"/>
  <c r="CY379" i="1"/>
  <c r="CX379" i="1"/>
  <c r="CW379" i="1"/>
  <c r="CV379" i="1"/>
  <c r="CU379" i="1"/>
  <c r="CT379" i="1"/>
  <c r="CS379" i="1"/>
  <c r="CR379" i="1"/>
  <c r="CQ379" i="1"/>
  <c r="CP379" i="1"/>
  <c r="CO379" i="1"/>
  <c r="CN379" i="1"/>
  <c r="CM379" i="1"/>
  <c r="CL379" i="1"/>
  <c r="CK379" i="1"/>
  <c r="CJ379" i="1"/>
  <c r="CI379" i="1"/>
  <c r="CH379" i="1"/>
  <c r="CG379" i="1"/>
  <c r="CF379" i="1"/>
  <c r="CE379" i="1"/>
  <c r="CD379" i="1"/>
  <c r="CB379" i="1"/>
  <c r="BZ379" i="1"/>
  <c r="BX379" i="1"/>
  <c r="BT379" i="1"/>
  <c r="BS379" i="1"/>
  <c r="BR379" i="1"/>
  <c r="BQ379" i="1"/>
  <c r="BP379" i="1"/>
  <c r="BO379" i="1"/>
  <c r="BN379" i="1"/>
  <c r="BM379" i="1"/>
  <c r="BL379" i="1"/>
  <c r="BK379" i="1"/>
  <c r="BJ379" i="1"/>
  <c r="BI379" i="1"/>
  <c r="BH379" i="1"/>
  <c r="BG379" i="1"/>
  <c r="BF379" i="1"/>
  <c r="BC379" i="1"/>
  <c r="BB379" i="1"/>
  <c r="AZ379" i="1"/>
  <c r="AX379" i="1"/>
  <c r="AV379" i="1"/>
  <c r="AU379" i="1"/>
  <c r="AR379" i="1"/>
  <c r="AQ379" i="1"/>
  <c r="AP379" i="1"/>
  <c r="AO379" i="1"/>
  <c r="AN379" i="1"/>
  <c r="AM379" i="1"/>
  <c r="AL379" i="1"/>
  <c r="AK379" i="1"/>
  <c r="AJ379" i="1"/>
  <c r="AI379" i="1"/>
  <c r="AH379" i="1"/>
  <c r="AG379" i="1"/>
  <c r="AE379" i="1"/>
  <c r="AD379" i="1"/>
  <c r="O379" i="1"/>
  <c r="F379" i="1"/>
  <c r="B379" i="1"/>
  <c r="DE378" i="1"/>
  <c r="DD378" i="1"/>
  <c r="DC378" i="1"/>
  <c r="DB378" i="1"/>
  <c r="DA378" i="1"/>
  <c r="CZ378" i="1"/>
  <c r="CY378" i="1"/>
  <c r="CX378" i="1"/>
  <c r="CW378" i="1"/>
  <c r="CV378" i="1"/>
  <c r="CU378" i="1"/>
  <c r="CT378" i="1"/>
  <c r="CS378" i="1"/>
  <c r="CR378" i="1"/>
  <c r="CQ378" i="1"/>
  <c r="CP378" i="1"/>
  <c r="CO378" i="1"/>
  <c r="CN378" i="1"/>
  <c r="CM378" i="1"/>
  <c r="CL378" i="1"/>
  <c r="CK378" i="1"/>
  <c r="CJ378" i="1"/>
  <c r="CI378" i="1"/>
  <c r="CH378" i="1"/>
  <c r="CG378" i="1"/>
  <c r="CF378" i="1"/>
  <c r="BR378" i="1"/>
  <c r="BQ378" i="1"/>
  <c r="BP378" i="1"/>
  <c r="BO378" i="1"/>
  <c r="BN378" i="1"/>
  <c r="BM378" i="1"/>
  <c r="BL378" i="1"/>
  <c r="BK378" i="1"/>
  <c r="BJ378" i="1"/>
  <c r="BI378" i="1"/>
  <c r="BH378" i="1"/>
  <c r="BG378" i="1"/>
  <c r="BC378" i="1"/>
  <c r="BB378" i="1"/>
  <c r="AX378" i="1"/>
  <c r="AW378" i="1"/>
  <c r="AS378" i="1"/>
  <c r="AR378" i="1"/>
  <c r="AQ378" i="1"/>
  <c r="AP378" i="1"/>
  <c r="AO378" i="1"/>
  <c r="AN378" i="1"/>
  <c r="AM378" i="1"/>
  <c r="AL378" i="1"/>
  <c r="AK378" i="1"/>
  <c r="AJ378" i="1"/>
  <c r="AI378" i="1"/>
  <c r="AH378" i="1"/>
  <c r="AG378" i="1"/>
  <c r="AE378" i="1"/>
  <c r="O378" i="1"/>
  <c r="DE377" i="1"/>
  <c r="DD377" i="1"/>
  <c r="DC377" i="1"/>
  <c r="DB377" i="1"/>
  <c r="DA377" i="1"/>
  <c r="CZ377" i="1"/>
  <c r="CY377" i="1"/>
  <c r="CX377" i="1"/>
  <c r="CW377" i="1"/>
  <c r="CV377" i="1"/>
  <c r="CU377" i="1"/>
  <c r="CT377" i="1"/>
  <c r="CS377" i="1"/>
  <c r="CR377" i="1"/>
  <c r="CQ377" i="1"/>
  <c r="CP377" i="1"/>
  <c r="CO377" i="1"/>
  <c r="CN377" i="1"/>
  <c r="CM377" i="1"/>
  <c r="CL377" i="1"/>
  <c r="CK377" i="1"/>
  <c r="CJ377" i="1"/>
  <c r="CI377" i="1"/>
  <c r="CH377" i="1"/>
  <c r="CG377" i="1"/>
  <c r="CF377" i="1"/>
  <c r="BR377" i="1"/>
  <c r="BQ377" i="1"/>
  <c r="BP377" i="1"/>
  <c r="BO377" i="1"/>
  <c r="BN377" i="1"/>
  <c r="BM377" i="1"/>
  <c r="BL377" i="1"/>
  <c r="BK377" i="1"/>
  <c r="BI377" i="1"/>
  <c r="BH377" i="1"/>
  <c r="BG377" i="1"/>
  <c r="BF377" i="1"/>
  <c r="BE377" i="1"/>
  <c r="BD377" i="1"/>
  <c r="AZ377" i="1"/>
  <c r="AX377" i="1"/>
  <c r="AT377" i="1"/>
  <c r="AS377" i="1"/>
  <c r="AR377" i="1"/>
  <c r="AQ377" i="1"/>
  <c r="AP377" i="1"/>
  <c r="AO377" i="1"/>
  <c r="AN377" i="1"/>
  <c r="AM377" i="1"/>
  <c r="AL377" i="1"/>
  <c r="AK377" i="1"/>
  <c r="AI377" i="1"/>
  <c r="AH377" i="1"/>
  <c r="AG377" i="1"/>
  <c r="AF377" i="1"/>
  <c r="AE377" i="1"/>
  <c r="DE376" i="1"/>
  <c r="DD376" i="1"/>
  <c r="DC376" i="1"/>
  <c r="DB376" i="1"/>
  <c r="DA376" i="1"/>
  <c r="CZ376" i="1"/>
  <c r="CY376" i="1"/>
  <c r="CX376" i="1"/>
  <c r="CW376" i="1"/>
  <c r="CV376" i="1"/>
  <c r="CU376" i="1"/>
  <c r="CT376" i="1"/>
  <c r="CS376" i="1"/>
  <c r="CR376" i="1"/>
  <c r="CQ376" i="1"/>
  <c r="CP376" i="1"/>
  <c r="CO376" i="1"/>
  <c r="CN376" i="1"/>
  <c r="CM376" i="1"/>
  <c r="CL376" i="1"/>
  <c r="CK376" i="1"/>
  <c r="CJ376" i="1"/>
  <c r="CI376" i="1"/>
  <c r="CH376" i="1"/>
  <c r="CG376" i="1"/>
  <c r="CF376" i="1"/>
  <c r="CC376" i="1"/>
  <c r="CA376" i="1"/>
  <c r="BW376" i="1"/>
  <c r="BV376" i="1"/>
  <c r="BR376" i="1"/>
  <c r="BQ376" i="1"/>
  <c r="BP376" i="1"/>
  <c r="BO376" i="1"/>
  <c r="BN376" i="1"/>
  <c r="BL376" i="1"/>
  <c r="BK376" i="1"/>
  <c r="BJ376" i="1"/>
  <c r="BI376" i="1"/>
  <c r="BH376" i="1"/>
  <c r="BG376" i="1"/>
  <c r="BF376" i="1"/>
  <c r="BE376" i="1"/>
  <c r="BA376" i="1"/>
  <c r="AY376" i="1"/>
  <c r="AU376" i="1"/>
  <c r="AT376" i="1"/>
  <c r="AR376" i="1"/>
  <c r="AQ376" i="1"/>
  <c r="AP376" i="1"/>
  <c r="AO376" i="1"/>
  <c r="AN376" i="1"/>
  <c r="AL376" i="1"/>
  <c r="AK376" i="1"/>
  <c r="AJ376" i="1"/>
  <c r="AI376" i="1"/>
  <c r="AH376" i="1"/>
  <c r="AG376" i="1"/>
  <c r="AF376" i="1"/>
  <c r="AE376" i="1"/>
  <c r="O377" i="1" s="1"/>
  <c r="AD376" i="1"/>
  <c r="S376" i="1"/>
  <c r="T376" i="1" s="1"/>
  <c r="O376" i="1"/>
  <c r="P376" i="1" s="1"/>
  <c r="AM376" i="1" s="1"/>
  <c r="F376" i="1"/>
  <c r="B376" i="1"/>
  <c r="DE375" i="1"/>
  <c r="DD375" i="1"/>
  <c r="DC375" i="1"/>
  <c r="DB375" i="1"/>
  <c r="DA375" i="1"/>
  <c r="CZ375" i="1"/>
  <c r="CY375" i="1"/>
  <c r="CX375" i="1"/>
  <c r="CW375" i="1"/>
  <c r="CV375" i="1"/>
  <c r="CU375" i="1"/>
  <c r="CT375" i="1"/>
  <c r="CS375" i="1"/>
  <c r="CR375" i="1"/>
  <c r="CQ375" i="1"/>
  <c r="CP375" i="1"/>
  <c r="CO375" i="1"/>
  <c r="CN375" i="1"/>
  <c r="CM375" i="1"/>
  <c r="CL375" i="1"/>
  <c r="CK375" i="1"/>
  <c r="CJ375" i="1"/>
  <c r="CI375" i="1"/>
  <c r="CH375" i="1"/>
  <c r="CG375" i="1"/>
  <c r="CF375" i="1"/>
  <c r="BR375" i="1"/>
  <c r="BQ375" i="1"/>
  <c r="BP375" i="1"/>
  <c r="BO375" i="1"/>
  <c r="BN375" i="1"/>
  <c r="BM375" i="1"/>
  <c r="BL375" i="1"/>
  <c r="BK375" i="1"/>
  <c r="BJ375" i="1"/>
  <c r="BI375" i="1"/>
  <c r="BH375" i="1"/>
  <c r="BG375" i="1"/>
  <c r="BF375" i="1"/>
  <c r="AY375" i="1"/>
  <c r="AX375" i="1"/>
  <c r="AR375" i="1"/>
  <c r="AQ375" i="1"/>
  <c r="AP375" i="1"/>
  <c r="AO375" i="1"/>
  <c r="AN375" i="1"/>
  <c r="AL375" i="1"/>
  <c r="AK375" i="1"/>
  <c r="AJ375" i="1"/>
  <c r="AI375" i="1"/>
  <c r="AH375" i="1"/>
  <c r="AG375" i="1"/>
  <c r="AF375" i="1"/>
  <c r="AE375" i="1"/>
  <c r="AD375" i="1"/>
  <c r="O375" i="1"/>
  <c r="P375" i="1" s="1"/>
  <c r="DE374" i="1"/>
  <c r="DD374" i="1"/>
  <c r="DC374" i="1"/>
  <c r="DB374" i="1"/>
  <c r="DA374" i="1"/>
  <c r="CZ374" i="1"/>
  <c r="CY374" i="1"/>
  <c r="CX374" i="1"/>
  <c r="CW374" i="1"/>
  <c r="CV374" i="1"/>
  <c r="CU374" i="1"/>
  <c r="CT374" i="1"/>
  <c r="CS374" i="1"/>
  <c r="CR374" i="1"/>
  <c r="CQ374" i="1"/>
  <c r="CP374" i="1"/>
  <c r="CO374" i="1"/>
  <c r="CN374" i="1"/>
  <c r="CM374" i="1"/>
  <c r="CL374" i="1"/>
  <c r="CK374" i="1"/>
  <c r="CJ374" i="1"/>
  <c r="CI374" i="1"/>
  <c r="CH374" i="1"/>
  <c r="CG374" i="1"/>
  <c r="CF374" i="1"/>
  <c r="BR374" i="1"/>
  <c r="BQ374" i="1"/>
  <c r="BP374" i="1"/>
  <c r="BO374" i="1"/>
  <c r="BN374" i="1"/>
  <c r="BM374" i="1"/>
  <c r="BL374" i="1"/>
  <c r="BK374" i="1"/>
  <c r="BJ374" i="1"/>
  <c r="BI374" i="1"/>
  <c r="BH374" i="1"/>
  <c r="BG374" i="1"/>
  <c r="BF374" i="1"/>
  <c r="BC374" i="1"/>
  <c r="AW374" i="1"/>
  <c r="AS374" i="1"/>
  <c r="AR374" i="1"/>
  <c r="AQ374" i="1"/>
  <c r="AP374" i="1"/>
  <c r="AO374" i="1"/>
  <c r="AN374" i="1"/>
  <c r="AL374" i="1"/>
  <c r="AK374" i="1"/>
  <c r="AJ374" i="1"/>
  <c r="AI374" i="1"/>
  <c r="AH374" i="1"/>
  <c r="AG374" i="1"/>
  <c r="AF374" i="1"/>
  <c r="AE374" i="1"/>
  <c r="AD374" i="1"/>
  <c r="P374" i="1"/>
  <c r="O374" i="1"/>
  <c r="AM374" i="1" s="1"/>
  <c r="J374" i="1"/>
  <c r="DE373" i="1"/>
  <c r="DD373" i="1"/>
  <c r="DC373" i="1"/>
  <c r="DB373" i="1"/>
  <c r="DA373" i="1"/>
  <c r="CZ373" i="1"/>
  <c r="CY373" i="1"/>
  <c r="CX373" i="1"/>
  <c r="CW373" i="1"/>
  <c r="CV373" i="1"/>
  <c r="CU373" i="1"/>
  <c r="CT373" i="1"/>
  <c r="CS373" i="1"/>
  <c r="CR373" i="1"/>
  <c r="CQ373" i="1"/>
  <c r="CP373" i="1"/>
  <c r="CO373" i="1"/>
  <c r="CN373" i="1"/>
  <c r="CM373" i="1"/>
  <c r="CL373" i="1"/>
  <c r="CK373" i="1"/>
  <c r="CJ373" i="1"/>
  <c r="CI373" i="1"/>
  <c r="CH373" i="1"/>
  <c r="CG373" i="1"/>
  <c r="CF373" i="1"/>
  <c r="CB373" i="1"/>
  <c r="BZ373" i="1"/>
  <c r="BR373" i="1"/>
  <c r="BQ373" i="1"/>
  <c r="BP373" i="1"/>
  <c r="BO373" i="1"/>
  <c r="BN373" i="1"/>
  <c r="BM373" i="1"/>
  <c r="BL373" i="1"/>
  <c r="BK373" i="1"/>
  <c r="BJ373" i="1"/>
  <c r="BI373" i="1"/>
  <c r="BH373" i="1"/>
  <c r="BG373" i="1"/>
  <c r="BE373" i="1"/>
  <c r="BD373" i="1"/>
  <c r="AT373" i="1"/>
  <c r="AS373" i="1"/>
  <c r="AR373" i="1"/>
  <c r="AQ373" i="1"/>
  <c r="AP373" i="1"/>
  <c r="AO373" i="1"/>
  <c r="AN373" i="1"/>
  <c r="AM373" i="1"/>
  <c r="AL373" i="1"/>
  <c r="AK373" i="1"/>
  <c r="AJ373" i="1"/>
  <c r="AI373" i="1"/>
  <c r="AH373" i="1"/>
  <c r="AG373" i="1"/>
  <c r="AE373" i="1"/>
  <c r="AD373" i="1"/>
  <c r="O373" i="1"/>
  <c r="P373" i="1" s="1"/>
  <c r="AF373" i="1" s="1"/>
  <c r="G373" i="1"/>
  <c r="F373" i="1"/>
  <c r="B373" i="1"/>
  <c r="BC375" i="1" s="1"/>
  <c r="DE372" i="1"/>
  <c r="DD372" i="1"/>
  <c r="DC372" i="1"/>
  <c r="DB372" i="1"/>
  <c r="DA372" i="1"/>
  <c r="CZ372" i="1"/>
  <c r="CY372" i="1"/>
  <c r="CX372" i="1"/>
  <c r="CW372" i="1"/>
  <c r="CV372" i="1"/>
  <c r="CU372" i="1"/>
  <c r="CT372" i="1"/>
  <c r="CS372" i="1"/>
  <c r="CR372" i="1"/>
  <c r="CQ372" i="1"/>
  <c r="CP372" i="1"/>
  <c r="CO372" i="1"/>
  <c r="CN372" i="1"/>
  <c r="CM372" i="1"/>
  <c r="CL372" i="1"/>
  <c r="CK372" i="1"/>
  <c r="CJ372" i="1"/>
  <c r="CI372" i="1"/>
  <c r="CH372" i="1"/>
  <c r="CG372" i="1"/>
  <c r="CF372" i="1"/>
  <c r="BR372" i="1"/>
  <c r="BQ372" i="1"/>
  <c r="BP372" i="1"/>
  <c r="BO372" i="1"/>
  <c r="BN372" i="1"/>
  <c r="BM372" i="1"/>
  <c r="BL372" i="1"/>
  <c r="BK372" i="1"/>
  <c r="BJ372" i="1"/>
  <c r="BI372" i="1"/>
  <c r="BH372" i="1"/>
  <c r="BG372" i="1"/>
  <c r="BF372" i="1"/>
  <c r="BC372" i="1"/>
  <c r="AX372" i="1"/>
  <c r="AU372" i="1"/>
  <c r="AR372" i="1"/>
  <c r="AQ372" i="1"/>
  <c r="AP372" i="1"/>
  <c r="AO372" i="1"/>
  <c r="AN372" i="1"/>
  <c r="AM372" i="1"/>
  <c r="AL372" i="1"/>
  <c r="AK372" i="1"/>
  <c r="AJ372" i="1"/>
  <c r="AI372" i="1"/>
  <c r="AH372" i="1"/>
  <c r="AG372" i="1"/>
  <c r="AF372" i="1"/>
  <c r="AE372" i="1"/>
  <c r="R372" i="1"/>
  <c r="Q372" i="1"/>
  <c r="DE371" i="1"/>
  <c r="DD371" i="1"/>
  <c r="DC371" i="1"/>
  <c r="DB371" i="1"/>
  <c r="DA371" i="1"/>
  <c r="CZ371" i="1"/>
  <c r="CY371" i="1"/>
  <c r="CX371" i="1"/>
  <c r="CW371" i="1"/>
  <c r="CV371" i="1"/>
  <c r="CU371" i="1"/>
  <c r="CT371" i="1"/>
  <c r="CS371" i="1"/>
  <c r="CR371" i="1"/>
  <c r="CQ371" i="1"/>
  <c r="CP371" i="1"/>
  <c r="CO371" i="1"/>
  <c r="CN371" i="1"/>
  <c r="CM371" i="1"/>
  <c r="CL371" i="1"/>
  <c r="CK371" i="1"/>
  <c r="CJ371" i="1"/>
  <c r="CI371" i="1"/>
  <c r="CH371" i="1"/>
  <c r="CG371" i="1"/>
  <c r="CF371" i="1"/>
  <c r="BR371" i="1"/>
  <c r="BQ371" i="1"/>
  <c r="BP371" i="1"/>
  <c r="BO371" i="1"/>
  <c r="BN371" i="1"/>
  <c r="BM371" i="1"/>
  <c r="BL371" i="1"/>
  <c r="BK371" i="1"/>
  <c r="BJ371" i="1"/>
  <c r="BI371" i="1"/>
  <c r="BH371" i="1"/>
  <c r="BG371" i="1"/>
  <c r="BF371" i="1"/>
  <c r="BA371" i="1"/>
  <c r="AX371" i="1"/>
  <c r="AS371" i="1"/>
  <c r="AR371" i="1"/>
  <c r="AQ371" i="1"/>
  <c r="AP371" i="1"/>
  <c r="AO371" i="1"/>
  <c r="AN371" i="1"/>
  <c r="AM371" i="1"/>
  <c r="AL371" i="1"/>
  <c r="AK371" i="1"/>
  <c r="AJ371" i="1"/>
  <c r="AI371" i="1"/>
  <c r="AH371" i="1"/>
  <c r="AG371" i="1"/>
  <c r="AF371" i="1"/>
  <c r="AE371" i="1"/>
  <c r="J371" i="1"/>
  <c r="DE370" i="1"/>
  <c r="DD370" i="1"/>
  <c r="DC370" i="1"/>
  <c r="DB370" i="1"/>
  <c r="DA370" i="1"/>
  <c r="CZ370" i="1"/>
  <c r="CY370" i="1"/>
  <c r="CX370" i="1"/>
  <c r="CW370" i="1"/>
  <c r="CV370" i="1"/>
  <c r="CU370" i="1"/>
  <c r="CT370" i="1"/>
  <c r="CS370" i="1"/>
  <c r="CR370" i="1"/>
  <c r="CQ370" i="1"/>
  <c r="CP370" i="1"/>
  <c r="CO370" i="1"/>
  <c r="CN370" i="1"/>
  <c r="CM370" i="1"/>
  <c r="CL370" i="1"/>
  <c r="CK370" i="1"/>
  <c r="CJ370" i="1"/>
  <c r="CI370" i="1"/>
  <c r="CH370" i="1"/>
  <c r="CG370" i="1"/>
  <c r="CF370" i="1"/>
  <c r="CB370" i="1"/>
  <c r="CA370" i="1"/>
  <c r="BT370" i="1"/>
  <c r="BS370" i="1"/>
  <c r="BR370" i="1"/>
  <c r="BQ370" i="1"/>
  <c r="BP370" i="1"/>
  <c r="BO370" i="1"/>
  <c r="BN370" i="1"/>
  <c r="BM370" i="1"/>
  <c r="BL370" i="1"/>
  <c r="BK370" i="1"/>
  <c r="BJ370" i="1"/>
  <c r="BI370" i="1"/>
  <c r="BH370" i="1"/>
  <c r="BG370" i="1"/>
  <c r="BF370" i="1"/>
  <c r="BC370" i="1"/>
  <c r="AZ370" i="1"/>
  <c r="AU370" i="1"/>
  <c r="AR370" i="1"/>
  <c r="AQ370" i="1"/>
  <c r="AP370" i="1"/>
  <c r="AO370" i="1"/>
  <c r="AN370" i="1"/>
  <c r="AM370" i="1"/>
  <c r="AL370" i="1"/>
  <c r="AK370" i="1"/>
  <c r="AJ370" i="1"/>
  <c r="AI370" i="1"/>
  <c r="AH370" i="1"/>
  <c r="AG370" i="1"/>
  <c r="AF370" i="1"/>
  <c r="AE370" i="1"/>
  <c r="O371" i="1" s="1"/>
  <c r="P371" i="1" s="1"/>
  <c r="AD370" i="1"/>
  <c r="S370" i="1"/>
  <c r="T370" i="1" s="1"/>
  <c r="F370" i="1"/>
  <c r="B370" i="1"/>
  <c r="AY372" i="1" s="1"/>
  <c r="DE369" i="1"/>
  <c r="DD369" i="1"/>
  <c r="DC369" i="1"/>
  <c r="DB369" i="1"/>
  <c r="DA369" i="1"/>
  <c r="CZ369" i="1"/>
  <c r="CY369" i="1"/>
  <c r="CX369" i="1"/>
  <c r="CW369" i="1"/>
  <c r="CV369" i="1"/>
  <c r="CU369" i="1"/>
  <c r="CT369" i="1"/>
  <c r="CS369" i="1"/>
  <c r="CR369" i="1"/>
  <c r="CQ369" i="1"/>
  <c r="CP369" i="1"/>
  <c r="CO369" i="1"/>
  <c r="CN369" i="1"/>
  <c r="CM369" i="1"/>
  <c r="CL369" i="1"/>
  <c r="CK369" i="1"/>
  <c r="CJ369" i="1"/>
  <c r="CI369" i="1"/>
  <c r="CH369" i="1"/>
  <c r="CG369" i="1"/>
  <c r="CF369" i="1"/>
  <c r="BR369" i="1"/>
  <c r="BQ369" i="1"/>
  <c r="BP369" i="1"/>
  <c r="BO369" i="1"/>
  <c r="BN369" i="1"/>
  <c r="BM369" i="1"/>
  <c r="BL369" i="1"/>
  <c r="BK369" i="1"/>
  <c r="BJ369" i="1"/>
  <c r="BI369" i="1"/>
  <c r="BH369" i="1"/>
  <c r="BG369" i="1"/>
  <c r="BF369" i="1"/>
  <c r="BD369" i="1"/>
  <c r="BC369" i="1"/>
  <c r="AZ369" i="1"/>
  <c r="AV369" i="1"/>
  <c r="AU369" i="1"/>
  <c r="AR369" i="1"/>
  <c r="AQ369" i="1"/>
  <c r="AP369" i="1"/>
  <c r="AO369" i="1"/>
  <c r="AN369" i="1"/>
  <c r="AM369" i="1"/>
  <c r="AL369" i="1"/>
  <c r="AK369" i="1"/>
  <c r="AJ369" i="1"/>
  <c r="AI369" i="1"/>
  <c r="AH369" i="1"/>
  <c r="AG369" i="1"/>
  <c r="AF369" i="1"/>
  <c r="AE369" i="1"/>
  <c r="AD369" i="1"/>
  <c r="R369" i="1"/>
  <c r="Q369" i="1"/>
  <c r="DE368" i="1"/>
  <c r="DD368" i="1"/>
  <c r="DC368" i="1"/>
  <c r="DB368" i="1"/>
  <c r="DA368" i="1"/>
  <c r="CZ368" i="1"/>
  <c r="CY368" i="1"/>
  <c r="CX368" i="1"/>
  <c r="CW368" i="1"/>
  <c r="CV368" i="1"/>
  <c r="CU368" i="1"/>
  <c r="CT368" i="1"/>
  <c r="CS368" i="1"/>
  <c r="CR368" i="1"/>
  <c r="CQ368" i="1"/>
  <c r="CP368" i="1"/>
  <c r="CO368" i="1"/>
  <c r="CN368" i="1"/>
  <c r="CM368" i="1"/>
  <c r="CL368" i="1"/>
  <c r="CK368" i="1"/>
  <c r="CJ368" i="1"/>
  <c r="CI368" i="1"/>
  <c r="CH368" i="1"/>
  <c r="CG368" i="1"/>
  <c r="CF368" i="1"/>
  <c r="BR368" i="1"/>
  <c r="BQ368" i="1"/>
  <c r="BP368" i="1"/>
  <c r="BO368" i="1"/>
  <c r="BN368" i="1"/>
  <c r="BM368" i="1"/>
  <c r="BL368" i="1"/>
  <c r="BK368" i="1"/>
  <c r="BJ368" i="1"/>
  <c r="BI368" i="1"/>
  <c r="BG368" i="1"/>
  <c r="BF368" i="1"/>
  <c r="BD368" i="1"/>
  <c r="BC368" i="1"/>
  <c r="AY368" i="1"/>
  <c r="AV368" i="1"/>
  <c r="AU368" i="1"/>
  <c r="AR368" i="1"/>
  <c r="AQ368" i="1"/>
  <c r="AP368" i="1"/>
  <c r="AO368" i="1"/>
  <c r="AN368" i="1"/>
  <c r="AM368" i="1"/>
  <c r="AL368" i="1"/>
  <c r="AK368" i="1"/>
  <c r="AJ368" i="1"/>
  <c r="AI368" i="1"/>
  <c r="AG368" i="1"/>
  <c r="AF368" i="1"/>
  <c r="AE368" i="1"/>
  <c r="AD368" i="1"/>
  <c r="J368" i="1"/>
  <c r="DE367" i="1"/>
  <c r="DD367" i="1"/>
  <c r="DC367" i="1"/>
  <c r="DB367" i="1"/>
  <c r="DA367" i="1"/>
  <c r="CZ367" i="1"/>
  <c r="CY367" i="1"/>
  <c r="CX367" i="1"/>
  <c r="CW367" i="1"/>
  <c r="CV367" i="1"/>
  <c r="CU367" i="1"/>
  <c r="CT367" i="1"/>
  <c r="CS367" i="1"/>
  <c r="CR367" i="1"/>
  <c r="CQ367" i="1"/>
  <c r="CP367" i="1"/>
  <c r="CO367" i="1"/>
  <c r="CN367" i="1"/>
  <c r="CM367" i="1"/>
  <c r="CL367" i="1"/>
  <c r="CK367" i="1"/>
  <c r="CJ367" i="1"/>
  <c r="CI367" i="1"/>
  <c r="CH367" i="1"/>
  <c r="CG367" i="1"/>
  <c r="CF367" i="1"/>
  <c r="CE367" i="1"/>
  <c r="CA367" i="1"/>
  <c r="BZ367" i="1"/>
  <c r="BW367" i="1"/>
  <c r="BS367" i="1"/>
  <c r="BR367" i="1"/>
  <c r="BP367" i="1"/>
  <c r="BO367" i="1"/>
  <c r="BN367" i="1"/>
  <c r="BM367" i="1"/>
  <c r="BL367" i="1"/>
  <c r="BK367" i="1"/>
  <c r="BJ367" i="1"/>
  <c r="BI367" i="1"/>
  <c r="BH367" i="1"/>
  <c r="BG367" i="1"/>
  <c r="BF367" i="1"/>
  <c r="BC367" i="1"/>
  <c r="BB367" i="1"/>
  <c r="AX367" i="1"/>
  <c r="AU367" i="1"/>
  <c r="AT367" i="1"/>
  <c r="AR367" i="1"/>
  <c r="AP367" i="1"/>
  <c r="AO367" i="1"/>
  <c r="AN367" i="1"/>
  <c r="AM367" i="1"/>
  <c r="AL367" i="1"/>
  <c r="AK367" i="1"/>
  <c r="AJ367" i="1"/>
  <c r="AI367" i="1"/>
  <c r="AH367" i="1"/>
  <c r="AG367" i="1"/>
  <c r="AF367" i="1"/>
  <c r="AE367" i="1"/>
  <c r="AD367" i="1"/>
  <c r="O367" i="1"/>
  <c r="G367" i="1"/>
  <c r="B367" i="1"/>
  <c r="DE366" i="1"/>
  <c r="DD366" i="1"/>
  <c r="DC366" i="1"/>
  <c r="DB366" i="1"/>
  <c r="DA366" i="1"/>
  <c r="CZ366" i="1"/>
  <c r="CY366" i="1"/>
  <c r="CX366" i="1"/>
  <c r="CW366" i="1"/>
  <c r="CV366" i="1"/>
  <c r="CU366" i="1"/>
  <c r="CT366" i="1"/>
  <c r="CS366" i="1"/>
  <c r="CR366" i="1"/>
  <c r="CQ366" i="1"/>
  <c r="CP366" i="1"/>
  <c r="CO366" i="1"/>
  <c r="CN366" i="1"/>
  <c r="CM366" i="1"/>
  <c r="CL366" i="1"/>
  <c r="CK366" i="1"/>
  <c r="CJ366" i="1"/>
  <c r="CI366" i="1"/>
  <c r="CH366" i="1"/>
  <c r="CG366" i="1"/>
  <c r="CF366" i="1"/>
  <c r="BR366" i="1"/>
  <c r="BQ366" i="1"/>
  <c r="BP366" i="1"/>
  <c r="BO366" i="1"/>
  <c r="BN366" i="1"/>
  <c r="BM366" i="1"/>
  <c r="BL366" i="1"/>
  <c r="BK366" i="1"/>
  <c r="BJ366" i="1"/>
  <c r="BI366" i="1"/>
  <c r="BH366" i="1"/>
  <c r="BG366" i="1"/>
  <c r="BF366" i="1"/>
  <c r="BE366" i="1"/>
  <c r="BD366" i="1"/>
  <c r="BC366" i="1"/>
  <c r="BA366" i="1"/>
  <c r="AZ366" i="1"/>
  <c r="AY366" i="1"/>
  <c r="AW366" i="1"/>
  <c r="AV366" i="1"/>
  <c r="AU366" i="1"/>
  <c r="AS366" i="1"/>
  <c r="AR366" i="1"/>
  <c r="AQ366" i="1"/>
  <c r="AP366" i="1"/>
  <c r="AO366" i="1"/>
  <c r="AN366" i="1"/>
  <c r="AM366" i="1"/>
  <c r="AL366" i="1"/>
  <c r="AK366" i="1"/>
  <c r="AJ366" i="1"/>
  <c r="AI366" i="1"/>
  <c r="AH366" i="1"/>
  <c r="AG366" i="1"/>
  <c r="AF366" i="1"/>
  <c r="AE366" i="1"/>
  <c r="R366" i="1"/>
  <c r="Q366" i="1"/>
  <c r="O366" i="1"/>
  <c r="DE365" i="1"/>
  <c r="DD365" i="1"/>
  <c r="DC365" i="1"/>
  <c r="DB365" i="1"/>
  <c r="DA365" i="1"/>
  <c r="CZ365" i="1"/>
  <c r="CY365" i="1"/>
  <c r="CX365" i="1"/>
  <c r="CW365" i="1"/>
  <c r="CV365" i="1"/>
  <c r="CU365" i="1"/>
  <c r="CT365" i="1"/>
  <c r="CS365" i="1"/>
  <c r="CR365" i="1"/>
  <c r="CQ365" i="1"/>
  <c r="CP365" i="1"/>
  <c r="CO365" i="1"/>
  <c r="CN365" i="1"/>
  <c r="CM365" i="1"/>
  <c r="CL365" i="1"/>
  <c r="CK365" i="1"/>
  <c r="CJ365" i="1"/>
  <c r="CI365" i="1"/>
  <c r="CH365" i="1"/>
  <c r="CG365" i="1"/>
  <c r="CF365" i="1"/>
  <c r="BR365" i="1"/>
  <c r="BQ365" i="1"/>
  <c r="BP365" i="1"/>
  <c r="BO365" i="1"/>
  <c r="BN365" i="1"/>
  <c r="BM365" i="1"/>
  <c r="BL365" i="1"/>
  <c r="BK365" i="1"/>
  <c r="BJ365" i="1"/>
  <c r="BI365" i="1"/>
  <c r="BG365" i="1"/>
  <c r="BF365" i="1"/>
  <c r="BD365" i="1"/>
  <c r="BC365" i="1"/>
  <c r="BB365" i="1"/>
  <c r="AZ365" i="1"/>
  <c r="AY365" i="1"/>
  <c r="AX365" i="1"/>
  <c r="AV365" i="1"/>
  <c r="AU365" i="1"/>
  <c r="AT365" i="1"/>
  <c r="AR365" i="1"/>
  <c r="AQ365" i="1"/>
  <c r="AP365" i="1"/>
  <c r="AO365" i="1"/>
  <c r="AN365" i="1"/>
  <c r="AM365" i="1"/>
  <c r="AL365" i="1"/>
  <c r="AK365" i="1"/>
  <c r="AJ365" i="1"/>
  <c r="AI365" i="1"/>
  <c r="AG365" i="1"/>
  <c r="AF365" i="1"/>
  <c r="AE365" i="1"/>
  <c r="O364" i="1" s="1"/>
  <c r="BJ364" i="1" s="1"/>
  <c r="O365" i="1"/>
  <c r="J365" i="1"/>
  <c r="DE364" i="1"/>
  <c r="DD364" i="1"/>
  <c r="DC364" i="1"/>
  <c r="DB364" i="1"/>
  <c r="DA364" i="1"/>
  <c r="CZ364" i="1"/>
  <c r="CY364" i="1"/>
  <c r="CX364" i="1"/>
  <c r="CW364" i="1"/>
  <c r="CV364" i="1"/>
  <c r="CU364" i="1"/>
  <c r="CT364" i="1"/>
  <c r="CS364" i="1"/>
  <c r="CR364" i="1"/>
  <c r="CQ364" i="1"/>
  <c r="CP364" i="1"/>
  <c r="CO364" i="1"/>
  <c r="CN364" i="1"/>
  <c r="CM364" i="1"/>
  <c r="CL364" i="1"/>
  <c r="CK364" i="1"/>
  <c r="CJ364" i="1"/>
  <c r="CI364" i="1"/>
  <c r="CH364" i="1"/>
  <c r="CG364" i="1"/>
  <c r="CF364" i="1"/>
  <c r="CD364" i="1"/>
  <c r="CC364" i="1"/>
  <c r="CB364" i="1"/>
  <c r="BZ364" i="1"/>
  <c r="BY364" i="1"/>
  <c r="BX364" i="1"/>
  <c r="BV364" i="1"/>
  <c r="BT364" i="1"/>
  <c r="BR364" i="1"/>
  <c r="BQ364" i="1"/>
  <c r="BP364" i="1"/>
  <c r="BO364" i="1"/>
  <c r="BN364" i="1"/>
  <c r="BM364" i="1"/>
  <c r="BL364" i="1"/>
  <c r="BK364" i="1"/>
  <c r="BI364" i="1"/>
  <c r="BH364" i="1"/>
  <c r="BG364" i="1"/>
  <c r="BF364" i="1"/>
  <c r="BE364" i="1"/>
  <c r="BD364" i="1"/>
  <c r="BB364" i="1"/>
  <c r="BA364" i="1"/>
  <c r="AZ364" i="1"/>
  <c r="AX364" i="1"/>
  <c r="AW364" i="1"/>
  <c r="AV364" i="1"/>
  <c r="AT364" i="1"/>
  <c r="AS364" i="1"/>
  <c r="AR364" i="1"/>
  <c r="AQ364" i="1"/>
  <c r="AP364" i="1"/>
  <c r="AO364" i="1"/>
  <c r="AN364" i="1"/>
  <c r="AM364" i="1"/>
  <c r="AL364" i="1"/>
  <c r="AK364" i="1"/>
  <c r="AI364" i="1"/>
  <c r="AH364" i="1"/>
  <c r="AG364" i="1"/>
  <c r="AF364" i="1"/>
  <c r="AE364" i="1"/>
  <c r="AD364" i="1"/>
  <c r="P364" i="1"/>
  <c r="AJ364" i="1" s="1"/>
  <c r="F364" i="1"/>
  <c r="B364" i="1"/>
  <c r="BB366" i="1" s="1"/>
  <c r="DE363" i="1"/>
  <c r="DD363" i="1"/>
  <c r="DC363" i="1"/>
  <c r="DB363" i="1"/>
  <c r="DA363" i="1"/>
  <c r="CZ363" i="1"/>
  <c r="CY363" i="1"/>
  <c r="CX363" i="1"/>
  <c r="CW363" i="1"/>
  <c r="CV363" i="1"/>
  <c r="CU363" i="1"/>
  <c r="CT363" i="1"/>
  <c r="CS363" i="1"/>
  <c r="CR363" i="1"/>
  <c r="CQ363" i="1"/>
  <c r="CP363" i="1"/>
  <c r="CO363" i="1"/>
  <c r="CN363" i="1"/>
  <c r="CM363" i="1"/>
  <c r="CL363" i="1"/>
  <c r="CK363" i="1"/>
  <c r="CJ363" i="1"/>
  <c r="CI363" i="1"/>
  <c r="CH363" i="1"/>
  <c r="CG363" i="1"/>
  <c r="CF363" i="1"/>
  <c r="BR363" i="1"/>
  <c r="BQ363" i="1"/>
  <c r="BP363" i="1"/>
  <c r="BO363" i="1"/>
  <c r="BN363" i="1"/>
  <c r="BM363" i="1"/>
  <c r="BL363" i="1"/>
  <c r="BK363" i="1"/>
  <c r="BJ363" i="1"/>
  <c r="BI363" i="1"/>
  <c r="BH363" i="1"/>
  <c r="BG363" i="1"/>
  <c r="BF363" i="1"/>
  <c r="BD363" i="1"/>
  <c r="BA363" i="1"/>
  <c r="AZ363" i="1"/>
  <c r="AV363" i="1"/>
  <c r="AS363" i="1"/>
  <c r="AR363" i="1"/>
  <c r="AQ363" i="1"/>
  <c r="AP363" i="1"/>
  <c r="AO363" i="1"/>
  <c r="AN363" i="1"/>
  <c r="AM363" i="1"/>
  <c r="AL363" i="1"/>
  <c r="AK363" i="1"/>
  <c r="AJ363" i="1"/>
  <c r="AI363" i="1"/>
  <c r="AH363" i="1"/>
  <c r="AG363" i="1"/>
  <c r="AF363" i="1"/>
  <c r="AE363" i="1"/>
  <c r="AD363" i="1"/>
  <c r="R363" i="1"/>
  <c r="Q363" i="1"/>
  <c r="DE362" i="1"/>
  <c r="DD362" i="1"/>
  <c r="DC362" i="1"/>
  <c r="DB362" i="1"/>
  <c r="DA362" i="1"/>
  <c r="CZ362" i="1"/>
  <c r="CY362" i="1"/>
  <c r="CX362" i="1"/>
  <c r="CW362" i="1"/>
  <c r="CV362" i="1"/>
  <c r="CU362" i="1"/>
  <c r="CT362" i="1"/>
  <c r="CS362" i="1"/>
  <c r="CR362" i="1"/>
  <c r="CQ362" i="1"/>
  <c r="CP362" i="1"/>
  <c r="CO362" i="1"/>
  <c r="CN362" i="1"/>
  <c r="CM362" i="1"/>
  <c r="CL362" i="1"/>
  <c r="CK362" i="1"/>
  <c r="CJ362" i="1"/>
  <c r="CI362" i="1"/>
  <c r="CH362" i="1"/>
  <c r="CG362" i="1"/>
  <c r="CF362" i="1"/>
  <c r="BR362" i="1"/>
  <c r="BQ362" i="1"/>
  <c r="BP362" i="1"/>
  <c r="BO362" i="1"/>
  <c r="BN362" i="1"/>
  <c r="BL362" i="1"/>
  <c r="BK362" i="1"/>
  <c r="BJ362" i="1"/>
  <c r="BI362" i="1"/>
  <c r="BH362" i="1"/>
  <c r="BG362" i="1"/>
  <c r="BF362" i="1"/>
  <c r="BE362" i="1"/>
  <c r="BD362" i="1"/>
  <c r="AZ362" i="1"/>
  <c r="AW362" i="1"/>
  <c r="AV362" i="1"/>
  <c r="AR362" i="1"/>
  <c r="AQ362" i="1"/>
  <c r="AP362" i="1"/>
  <c r="AO362" i="1"/>
  <c r="AN362" i="1"/>
  <c r="AL362" i="1"/>
  <c r="AK362" i="1"/>
  <c r="AJ362" i="1"/>
  <c r="AI362" i="1"/>
  <c r="AH362" i="1"/>
  <c r="AG362" i="1"/>
  <c r="AF362" i="1"/>
  <c r="AE362" i="1"/>
  <c r="AD362" i="1"/>
  <c r="DE361" i="1"/>
  <c r="DD361" i="1"/>
  <c r="DC361" i="1"/>
  <c r="DB361" i="1"/>
  <c r="DA361" i="1"/>
  <c r="CZ361" i="1"/>
  <c r="CY361" i="1"/>
  <c r="CX361" i="1"/>
  <c r="CW361" i="1"/>
  <c r="CV361" i="1"/>
  <c r="CU361" i="1"/>
  <c r="CT361" i="1"/>
  <c r="CS361" i="1"/>
  <c r="CR361" i="1"/>
  <c r="CQ361" i="1"/>
  <c r="CP361" i="1"/>
  <c r="CO361" i="1"/>
  <c r="CN361" i="1"/>
  <c r="CM361" i="1"/>
  <c r="CL361" i="1"/>
  <c r="CK361" i="1"/>
  <c r="CJ361" i="1"/>
  <c r="CI361" i="1"/>
  <c r="CH361" i="1"/>
  <c r="CG361" i="1"/>
  <c r="CF361" i="1"/>
  <c r="CE361" i="1"/>
  <c r="CA361" i="1"/>
  <c r="BW361" i="1"/>
  <c r="BS361" i="1"/>
  <c r="BR361" i="1"/>
  <c r="BQ361" i="1"/>
  <c r="BP361" i="1"/>
  <c r="BO361" i="1"/>
  <c r="BN361" i="1"/>
  <c r="BM361" i="1"/>
  <c r="BL361" i="1"/>
  <c r="BK361" i="1"/>
  <c r="BJ361" i="1"/>
  <c r="BI361" i="1"/>
  <c r="BH361" i="1"/>
  <c r="BF361" i="1"/>
  <c r="BC361" i="1"/>
  <c r="AY361" i="1"/>
  <c r="AX361" i="1"/>
  <c r="AU361" i="1"/>
  <c r="AR361" i="1"/>
  <c r="AQ361" i="1"/>
  <c r="AP361" i="1"/>
  <c r="AO361" i="1"/>
  <c r="AN361" i="1"/>
  <c r="AM361" i="1"/>
  <c r="AL361" i="1"/>
  <c r="AK361" i="1"/>
  <c r="AJ361" i="1"/>
  <c r="AI361" i="1"/>
  <c r="AH361" i="1"/>
  <c r="AF361" i="1"/>
  <c r="AE361" i="1"/>
  <c r="AD361" i="1"/>
  <c r="O361" i="1"/>
  <c r="G361" i="1"/>
  <c r="B361" i="1"/>
  <c r="DE360" i="1"/>
  <c r="DD360" i="1"/>
  <c r="DC360" i="1"/>
  <c r="DB360" i="1"/>
  <c r="DA360" i="1"/>
  <c r="CZ360" i="1"/>
  <c r="CY360" i="1"/>
  <c r="CX360" i="1"/>
  <c r="CW360" i="1"/>
  <c r="CV360" i="1"/>
  <c r="CU360" i="1"/>
  <c r="CT360" i="1"/>
  <c r="CS360" i="1"/>
  <c r="CR360" i="1"/>
  <c r="CQ360" i="1"/>
  <c r="CP360" i="1"/>
  <c r="CO360" i="1"/>
  <c r="CN360" i="1"/>
  <c r="CM360" i="1"/>
  <c r="CL360" i="1"/>
  <c r="CK360" i="1"/>
  <c r="CJ360" i="1"/>
  <c r="CI360" i="1"/>
  <c r="CH360" i="1"/>
  <c r="CG360" i="1"/>
  <c r="CF360" i="1"/>
  <c r="BR360" i="1"/>
  <c r="BQ360" i="1"/>
  <c r="BP360" i="1"/>
  <c r="BO360" i="1"/>
  <c r="BN360" i="1"/>
  <c r="BM360" i="1"/>
  <c r="BL360" i="1"/>
  <c r="BK360" i="1"/>
  <c r="BJ360" i="1"/>
  <c r="BI360" i="1"/>
  <c r="BH360" i="1"/>
  <c r="BG360" i="1"/>
  <c r="BF360" i="1"/>
  <c r="BE360" i="1"/>
  <c r="BD360" i="1"/>
  <c r="BC360" i="1"/>
  <c r="BA360" i="1"/>
  <c r="AZ360" i="1"/>
  <c r="AY360" i="1"/>
  <c r="AW360" i="1"/>
  <c r="AV360" i="1"/>
  <c r="AU360" i="1"/>
  <c r="AS360" i="1"/>
  <c r="AR360" i="1"/>
  <c r="AQ360" i="1"/>
  <c r="AP360" i="1"/>
  <c r="AO360" i="1"/>
  <c r="AN360" i="1"/>
  <c r="AM360" i="1"/>
  <c r="AL360" i="1"/>
  <c r="AK360" i="1"/>
  <c r="AJ360" i="1"/>
  <c r="AI360" i="1"/>
  <c r="AH360" i="1"/>
  <c r="AG360" i="1"/>
  <c r="AF360" i="1"/>
  <c r="AE360" i="1"/>
  <c r="R360" i="1"/>
  <c r="Q360" i="1"/>
  <c r="O360" i="1"/>
  <c r="P360" i="1" s="1"/>
  <c r="DE359" i="1"/>
  <c r="DD359" i="1"/>
  <c r="DC359" i="1"/>
  <c r="DB359" i="1"/>
  <c r="DA359" i="1"/>
  <c r="CZ359" i="1"/>
  <c r="CY359" i="1"/>
  <c r="CX359" i="1"/>
  <c r="CW359" i="1"/>
  <c r="CV359" i="1"/>
  <c r="CU359" i="1"/>
  <c r="CT359" i="1"/>
  <c r="CS359" i="1"/>
  <c r="CR359" i="1"/>
  <c r="CQ359" i="1"/>
  <c r="CP359" i="1"/>
  <c r="CO359" i="1"/>
  <c r="CN359" i="1"/>
  <c r="CM359" i="1"/>
  <c r="CL359" i="1"/>
  <c r="CK359" i="1"/>
  <c r="CJ359" i="1"/>
  <c r="CI359" i="1"/>
  <c r="CH359" i="1"/>
  <c r="CG359" i="1"/>
  <c r="CF359" i="1"/>
  <c r="BR359" i="1"/>
  <c r="BQ359" i="1"/>
  <c r="BP359" i="1"/>
  <c r="BO359" i="1"/>
  <c r="BN359" i="1"/>
  <c r="BL359" i="1"/>
  <c r="BK359" i="1"/>
  <c r="BJ359" i="1"/>
  <c r="BI359" i="1"/>
  <c r="BH359" i="1"/>
  <c r="BG359" i="1"/>
  <c r="BF359" i="1"/>
  <c r="BD359" i="1"/>
  <c r="BC359" i="1"/>
  <c r="BB359" i="1"/>
  <c r="AZ359" i="1"/>
  <c r="AY359" i="1"/>
  <c r="AX359" i="1"/>
  <c r="AV359" i="1"/>
  <c r="AU359" i="1"/>
  <c r="AT359" i="1"/>
  <c r="AR359" i="1"/>
  <c r="AQ359" i="1"/>
  <c r="AP359" i="1"/>
  <c r="AO359" i="1"/>
  <c r="AN359" i="1"/>
  <c r="AL359" i="1"/>
  <c r="AK359" i="1"/>
  <c r="AJ359" i="1"/>
  <c r="AI359" i="1"/>
  <c r="AH359" i="1"/>
  <c r="AG359" i="1"/>
  <c r="AF359" i="1"/>
  <c r="AE359" i="1"/>
  <c r="O358" i="1" s="1"/>
  <c r="BG358" i="1" s="1"/>
  <c r="O359" i="1"/>
  <c r="J359" i="1"/>
  <c r="DE358" i="1"/>
  <c r="DD358" i="1"/>
  <c r="DC358" i="1"/>
  <c r="DB358" i="1"/>
  <c r="DA358" i="1"/>
  <c r="CZ358" i="1"/>
  <c r="CY358" i="1"/>
  <c r="CX358" i="1"/>
  <c r="CW358" i="1"/>
  <c r="CV358" i="1"/>
  <c r="CU358" i="1"/>
  <c r="CT358" i="1"/>
  <c r="CS358" i="1"/>
  <c r="CR358" i="1"/>
  <c r="CQ358" i="1"/>
  <c r="CP358" i="1"/>
  <c r="CO358" i="1"/>
  <c r="CN358" i="1"/>
  <c r="CM358" i="1"/>
  <c r="CL358" i="1"/>
  <c r="CK358" i="1"/>
  <c r="CJ358" i="1"/>
  <c r="CI358" i="1"/>
  <c r="CH358" i="1"/>
  <c r="CG358" i="1"/>
  <c r="CF358" i="1"/>
  <c r="CD358" i="1"/>
  <c r="CC358" i="1"/>
  <c r="CB358" i="1"/>
  <c r="BY358" i="1"/>
  <c r="BX358" i="1"/>
  <c r="BV358" i="1"/>
  <c r="BU358" i="1"/>
  <c r="BT358" i="1"/>
  <c r="BR358" i="1"/>
  <c r="BQ358" i="1"/>
  <c r="BP358" i="1"/>
  <c r="BO358" i="1"/>
  <c r="BN358" i="1"/>
  <c r="BM358" i="1"/>
  <c r="BL358" i="1"/>
  <c r="BK358" i="1"/>
  <c r="BJ358" i="1"/>
  <c r="BI358" i="1"/>
  <c r="BH358" i="1"/>
  <c r="BF358" i="1"/>
  <c r="BE358" i="1"/>
  <c r="BD358" i="1"/>
  <c r="BB358" i="1"/>
  <c r="BA358" i="1"/>
  <c r="AZ358" i="1"/>
  <c r="AX358" i="1"/>
  <c r="AW358" i="1"/>
  <c r="AV358" i="1"/>
  <c r="AT358" i="1"/>
  <c r="AS358" i="1"/>
  <c r="AR358" i="1"/>
  <c r="AQ358" i="1"/>
  <c r="AP358" i="1"/>
  <c r="AO358" i="1"/>
  <c r="AN358" i="1"/>
  <c r="AM358" i="1"/>
  <c r="AL358" i="1"/>
  <c r="AK358" i="1"/>
  <c r="AJ358" i="1"/>
  <c r="AI358" i="1"/>
  <c r="AH358" i="1"/>
  <c r="AG358" i="1"/>
  <c r="AF358" i="1"/>
  <c r="AE358" i="1"/>
  <c r="AD358" i="1"/>
  <c r="P358" i="1"/>
  <c r="F358" i="1"/>
  <c r="B358" i="1"/>
  <c r="BB360" i="1" s="1"/>
  <c r="DE357" i="1"/>
  <c r="DD357" i="1"/>
  <c r="DC357" i="1"/>
  <c r="DB357" i="1"/>
  <c r="DA357" i="1"/>
  <c r="CZ357" i="1"/>
  <c r="CY357" i="1"/>
  <c r="CX357" i="1"/>
  <c r="CW357" i="1"/>
  <c r="CV357" i="1"/>
  <c r="CU357" i="1"/>
  <c r="CT357" i="1"/>
  <c r="CS357" i="1"/>
  <c r="CR357" i="1"/>
  <c r="CQ357" i="1"/>
  <c r="CP357" i="1"/>
  <c r="CO357" i="1"/>
  <c r="CN357" i="1"/>
  <c r="CM357" i="1"/>
  <c r="CL357" i="1"/>
  <c r="CK357" i="1"/>
  <c r="CJ357" i="1"/>
  <c r="CI357" i="1"/>
  <c r="CH357" i="1"/>
  <c r="CG357" i="1"/>
  <c r="CF357" i="1"/>
  <c r="BR357" i="1"/>
  <c r="BQ357" i="1"/>
  <c r="BP357" i="1"/>
  <c r="BO357" i="1"/>
  <c r="BN357" i="1"/>
  <c r="BM357" i="1"/>
  <c r="BL357" i="1"/>
  <c r="BK357" i="1"/>
  <c r="BJ357" i="1"/>
  <c r="BI357" i="1"/>
  <c r="BH357" i="1"/>
  <c r="BG357" i="1"/>
  <c r="BF357" i="1"/>
  <c r="BE357" i="1"/>
  <c r="BA357" i="1"/>
  <c r="AZ357" i="1"/>
  <c r="AW357" i="1"/>
  <c r="AS357" i="1"/>
  <c r="AR357" i="1"/>
  <c r="AQ357" i="1"/>
  <c r="AP357" i="1"/>
  <c r="AO357" i="1"/>
  <c r="AN357" i="1"/>
  <c r="AM357" i="1"/>
  <c r="AL357" i="1"/>
  <c r="AK357" i="1"/>
  <c r="AJ357" i="1"/>
  <c r="AI357" i="1"/>
  <c r="AH357" i="1"/>
  <c r="AG357" i="1"/>
  <c r="AF357" i="1"/>
  <c r="AE357" i="1"/>
  <c r="AD357" i="1"/>
  <c r="R357" i="1"/>
  <c r="Q357" i="1"/>
  <c r="DE356" i="1"/>
  <c r="DD356" i="1"/>
  <c r="DC356" i="1"/>
  <c r="DB356" i="1"/>
  <c r="DA356" i="1"/>
  <c r="CZ356" i="1"/>
  <c r="CY356" i="1"/>
  <c r="CX356" i="1"/>
  <c r="CW356" i="1"/>
  <c r="CV356" i="1"/>
  <c r="CU356" i="1"/>
  <c r="CT356" i="1"/>
  <c r="CS356" i="1"/>
  <c r="CR356" i="1"/>
  <c r="CQ356" i="1"/>
  <c r="CP356" i="1"/>
  <c r="CO356" i="1"/>
  <c r="CN356" i="1"/>
  <c r="CM356" i="1"/>
  <c r="CL356" i="1"/>
  <c r="CK356" i="1"/>
  <c r="CJ356" i="1"/>
  <c r="CI356" i="1"/>
  <c r="CH356" i="1"/>
  <c r="CG356" i="1"/>
  <c r="CF356" i="1"/>
  <c r="BR356" i="1"/>
  <c r="BQ356" i="1"/>
  <c r="BP356" i="1"/>
  <c r="BO356" i="1"/>
  <c r="BN356" i="1"/>
  <c r="BM356" i="1"/>
  <c r="BL356" i="1"/>
  <c r="BK356" i="1"/>
  <c r="BJ356" i="1"/>
  <c r="BI356" i="1"/>
  <c r="BG356" i="1"/>
  <c r="BF356" i="1"/>
  <c r="BE356" i="1"/>
  <c r="BD356" i="1"/>
  <c r="BA356" i="1"/>
  <c r="AW356" i="1"/>
  <c r="AV356" i="1"/>
  <c r="AS356" i="1"/>
  <c r="AR356" i="1"/>
  <c r="AQ356" i="1"/>
  <c r="AP356" i="1"/>
  <c r="AO356" i="1"/>
  <c r="AN356" i="1"/>
  <c r="AM356" i="1"/>
  <c r="AL356" i="1"/>
  <c r="AK356" i="1"/>
  <c r="AJ356" i="1"/>
  <c r="AI356" i="1"/>
  <c r="AG356" i="1"/>
  <c r="AF356" i="1"/>
  <c r="AE356" i="1"/>
  <c r="AD356" i="1"/>
  <c r="J356" i="1"/>
  <c r="DE355" i="1"/>
  <c r="DD355" i="1"/>
  <c r="DC355" i="1"/>
  <c r="DB355" i="1"/>
  <c r="DA355" i="1"/>
  <c r="CZ355" i="1"/>
  <c r="CY355" i="1"/>
  <c r="CX355" i="1"/>
  <c r="CW355" i="1"/>
  <c r="CV355" i="1"/>
  <c r="CU355" i="1"/>
  <c r="CT355" i="1"/>
  <c r="CS355" i="1"/>
  <c r="CR355" i="1"/>
  <c r="CQ355" i="1"/>
  <c r="CP355" i="1"/>
  <c r="CO355" i="1"/>
  <c r="CN355" i="1"/>
  <c r="CM355" i="1"/>
  <c r="CL355" i="1"/>
  <c r="CK355" i="1"/>
  <c r="CJ355" i="1"/>
  <c r="CI355" i="1"/>
  <c r="CH355" i="1"/>
  <c r="CG355" i="1"/>
  <c r="CF355" i="1"/>
  <c r="CE355" i="1"/>
  <c r="CB355" i="1"/>
  <c r="BX355" i="1"/>
  <c r="BW355" i="1"/>
  <c r="BT355" i="1"/>
  <c r="BR355" i="1"/>
  <c r="BQ355" i="1"/>
  <c r="BP355" i="1"/>
  <c r="BO355" i="1"/>
  <c r="BN355" i="1"/>
  <c r="BM355" i="1"/>
  <c r="BL355" i="1"/>
  <c r="BK355" i="1"/>
  <c r="BI355" i="1"/>
  <c r="BH355" i="1"/>
  <c r="BG355" i="1"/>
  <c r="BF355" i="1"/>
  <c r="BD355" i="1"/>
  <c r="BC355" i="1"/>
  <c r="AZ355" i="1"/>
  <c r="AV355" i="1"/>
  <c r="AU355" i="1"/>
  <c r="AR355" i="1"/>
  <c r="AQ355" i="1"/>
  <c r="AP355" i="1"/>
  <c r="AO355" i="1"/>
  <c r="AN355" i="1"/>
  <c r="AM355" i="1"/>
  <c r="AL355" i="1"/>
  <c r="AK355" i="1"/>
  <c r="AI355" i="1"/>
  <c r="AH355" i="1"/>
  <c r="AG355" i="1"/>
  <c r="AF355" i="1"/>
  <c r="AE355" i="1"/>
  <c r="AD355" i="1"/>
  <c r="O355" i="1"/>
  <c r="BJ355" i="1" s="1"/>
  <c r="F355" i="1"/>
  <c r="B355" i="1"/>
  <c r="DE354" i="1"/>
  <c r="DD354" i="1"/>
  <c r="DC354" i="1"/>
  <c r="DB354" i="1"/>
  <c r="DA354" i="1"/>
  <c r="CZ354" i="1"/>
  <c r="CY354" i="1"/>
  <c r="CX354" i="1"/>
  <c r="CW354" i="1"/>
  <c r="CV354" i="1"/>
  <c r="CU354" i="1"/>
  <c r="CT354" i="1"/>
  <c r="CS354" i="1"/>
  <c r="CR354" i="1"/>
  <c r="CQ354" i="1"/>
  <c r="CP354" i="1"/>
  <c r="CO354" i="1"/>
  <c r="CN354" i="1"/>
  <c r="CM354" i="1"/>
  <c r="CL354" i="1"/>
  <c r="CK354" i="1"/>
  <c r="CJ354" i="1"/>
  <c r="CI354" i="1"/>
  <c r="CH354" i="1"/>
  <c r="CG354" i="1"/>
  <c r="CF354" i="1"/>
  <c r="BR354" i="1"/>
  <c r="BQ354" i="1"/>
  <c r="BP354" i="1"/>
  <c r="BO354" i="1"/>
  <c r="BN354" i="1"/>
  <c r="BM354" i="1"/>
  <c r="BL354" i="1"/>
  <c r="BK354" i="1"/>
  <c r="BJ354" i="1"/>
  <c r="BI354" i="1"/>
  <c r="BH354" i="1"/>
  <c r="BG354" i="1"/>
  <c r="BF354" i="1"/>
  <c r="BE354" i="1"/>
  <c r="BD354" i="1"/>
  <c r="BC354" i="1"/>
  <c r="BA354" i="1"/>
  <c r="AZ354" i="1"/>
  <c r="AY354" i="1"/>
  <c r="AW354" i="1"/>
  <c r="AV354" i="1"/>
  <c r="AU354" i="1"/>
  <c r="AS354" i="1"/>
  <c r="AR354" i="1"/>
  <c r="AQ354" i="1"/>
  <c r="AP354" i="1"/>
  <c r="AO354" i="1"/>
  <c r="AN354" i="1"/>
  <c r="AM354" i="1"/>
  <c r="AL354" i="1"/>
  <c r="AK354" i="1"/>
  <c r="AJ354" i="1"/>
  <c r="AI354" i="1"/>
  <c r="AH354" i="1"/>
  <c r="AG354" i="1"/>
  <c r="AF354" i="1"/>
  <c r="AE354" i="1"/>
  <c r="R354" i="1"/>
  <c r="Q354" i="1"/>
  <c r="O354" i="1"/>
  <c r="P354" i="1" s="1"/>
  <c r="DE353" i="1"/>
  <c r="DD353" i="1"/>
  <c r="DC353" i="1"/>
  <c r="DB353" i="1"/>
  <c r="DA353" i="1"/>
  <c r="CZ353" i="1"/>
  <c r="CY353" i="1"/>
  <c r="CX353" i="1"/>
  <c r="CW353" i="1"/>
  <c r="CV353" i="1"/>
  <c r="CU353" i="1"/>
  <c r="CT353" i="1"/>
  <c r="CS353" i="1"/>
  <c r="CR353" i="1"/>
  <c r="CQ353" i="1"/>
  <c r="CP353" i="1"/>
  <c r="CO353" i="1"/>
  <c r="CN353" i="1"/>
  <c r="CM353" i="1"/>
  <c r="CL353" i="1"/>
  <c r="CK353" i="1"/>
  <c r="CJ353" i="1"/>
  <c r="CI353" i="1"/>
  <c r="CH353" i="1"/>
  <c r="CG353" i="1"/>
  <c r="CF353" i="1"/>
  <c r="BR353" i="1"/>
  <c r="BQ353" i="1"/>
  <c r="BP353" i="1"/>
  <c r="BO353" i="1"/>
  <c r="BN353" i="1"/>
  <c r="BM353" i="1"/>
  <c r="BL353" i="1"/>
  <c r="BK353" i="1"/>
  <c r="BJ353" i="1"/>
  <c r="BI353" i="1"/>
  <c r="BG353" i="1"/>
  <c r="BF353" i="1"/>
  <c r="BD353" i="1"/>
  <c r="BC353" i="1"/>
  <c r="BB353" i="1"/>
  <c r="AZ353" i="1"/>
  <c r="AY353" i="1"/>
  <c r="AX353" i="1"/>
  <c r="AV353" i="1"/>
  <c r="AU353" i="1"/>
  <c r="AT353" i="1"/>
  <c r="AR353" i="1"/>
  <c r="AQ353" i="1"/>
  <c r="AP353" i="1"/>
  <c r="AO353" i="1"/>
  <c r="AN353" i="1"/>
  <c r="AM353" i="1"/>
  <c r="AL353" i="1"/>
  <c r="AK353" i="1"/>
  <c r="AJ353" i="1"/>
  <c r="AI353" i="1"/>
  <c r="AG353" i="1"/>
  <c r="AF353" i="1"/>
  <c r="AE353" i="1"/>
  <c r="O352" i="1" s="1"/>
  <c r="BJ352" i="1" s="1"/>
  <c r="O353" i="1"/>
  <c r="J353" i="1"/>
  <c r="DE352" i="1"/>
  <c r="DD352" i="1"/>
  <c r="DC352" i="1"/>
  <c r="DB352" i="1"/>
  <c r="DA352" i="1"/>
  <c r="CZ352" i="1"/>
  <c r="CY352" i="1"/>
  <c r="CX352" i="1"/>
  <c r="CW352" i="1"/>
  <c r="CV352" i="1"/>
  <c r="CU352" i="1"/>
  <c r="CT352" i="1"/>
  <c r="CS352" i="1"/>
  <c r="CR352" i="1"/>
  <c r="CQ352" i="1"/>
  <c r="CP352" i="1"/>
  <c r="CO352" i="1"/>
  <c r="CN352" i="1"/>
  <c r="CM352" i="1"/>
  <c r="CL352" i="1"/>
  <c r="CK352" i="1"/>
  <c r="CJ352" i="1"/>
  <c r="CI352" i="1"/>
  <c r="CH352" i="1"/>
  <c r="CG352" i="1"/>
  <c r="CF352" i="1"/>
  <c r="CD352" i="1"/>
  <c r="CC352" i="1"/>
  <c r="CB352" i="1"/>
  <c r="BZ352" i="1"/>
  <c r="BY352" i="1"/>
  <c r="BX352" i="1"/>
  <c r="BV352" i="1"/>
  <c r="BT352" i="1"/>
  <c r="BR352" i="1"/>
  <c r="BQ352" i="1"/>
  <c r="BP352" i="1"/>
  <c r="BO352" i="1"/>
  <c r="BN352" i="1"/>
  <c r="BM352" i="1"/>
  <c r="BL352" i="1"/>
  <c r="BK352" i="1"/>
  <c r="BI352" i="1"/>
  <c r="BH352" i="1"/>
  <c r="BG352" i="1"/>
  <c r="BF352" i="1"/>
  <c r="BE352" i="1"/>
  <c r="BD352" i="1"/>
  <c r="BB352" i="1"/>
  <c r="BA352" i="1"/>
  <c r="AZ352" i="1"/>
  <c r="AX352" i="1"/>
  <c r="AW352" i="1"/>
  <c r="AV352" i="1"/>
  <c r="AT352" i="1"/>
  <c r="AS352" i="1"/>
  <c r="AR352" i="1"/>
  <c r="AQ352" i="1"/>
  <c r="AP352" i="1"/>
  <c r="AO352" i="1"/>
  <c r="AN352" i="1"/>
  <c r="AM352" i="1"/>
  <c r="AL352" i="1"/>
  <c r="AK352" i="1"/>
  <c r="AJ352" i="1"/>
  <c r="AI352" i="1"/>
  <c r="AH352" i="1"/>
  <c r="AG352" i="1"/>
  <c r="AF352" i="1"/>
  <c r="AE352" i="1"/>
  <c r="AD352" i="1"/>
  <c r="P352" i="1"/>
  <c r="F352" i="1"/>
  <c r="B352" i="1"/>
  <c r="BB354" i="1" s="1"/>
  <c r="DE351" i="1"/>
  <c r="DD351" i="1"/>
  <c r="DC351" i="1"/>
  <c r="DB351" i="1"/>
  <c r="DA351" i="1"/>
  <c r="CZ351" i="1"/>
  <c r="CY351" i="1"/>
  <c r="CX351" i="1"/>
  <c r="CW351" i="1"/>
  <c r="CV351" i="1"/>
  <c r="CU351" i="1"/>
  <c r="CT351" i="1"/>
  <c r="CS351" i="1"/>
  <c r="CR351" i="1"/>
  <c r="CQ351" i="1"/>
  <c r="CP351" i="1"/>
  <c r="CO351" i="1"/>
  <c r="CN351" i="1"/>
  <c r="CM351" i="1"/>
  <c r="CL351" i="1"/>
  <c r="CK351" i="1"/>
  <c r="CJ351" i="1"/>
  <c r="CI351" i="1"/>
  <c r="CH351" i="1"/>
  <c r="CG351" i="1"/>
  <c r="CF351" i="1"/>
  <c r="BR351" i="1"/>
  <c r="BQ351" i="1"/>
  <c r="BP351" i="1"/>
  <c r="BO351" i="1"/>
  <c r="BN351" i="1"/>
  <c r="BM351" i="1"/>
  <c r="BL351" i="1"/>
  <c r="BK351" i="1"/>
  <c r="BJ351" i="1"/>
  <c r="BI351" i="1"/>
  <c r="BH351" i="1"/>
  <c r="BG351" i="1"/>
  <c r="BF351" i="1"/>
  <c r="BA351" i="1"/>
  <c r="AS351" i="1"/>
  <c r="AR351" i="1"/>
  <c r="AQ351" i="1"/>
  <c r="AP351" i="1"/>
  <c r="AO351" i="1"/>
  <c r="AN351" i="1"/>
  <c r="AM351" i="1"/>
  <c r="AL351" i="1"/>
  <c r="AK351" i="1"/>
  <c r="AJ351" i="1"/>
  <c r="AI351" i="1"/>
  <c r="AH351" i="1"/>
  <c r="AG351" i="1"/>
  <c r="AF351" i="1"/>
  <c r="AE351" i="1"/>
  <c r="AD351" i="1"/>
  <c r="R351" i="1"/>
  <c r="Q351" i="1"/>
  <c r="DE350" i="1"/>
  <c r="DD350" i="1"/>
  <c r="DC350" i="1"/>
  <c r="DB350" i="1"/>
  <c r="DA350" i="1"/>
  <c r="CZ350" i="1"/>
  <c r="CY350" i="1"/>
  <c r="CX350" i="1"/>
  <c r="CW350" i="1"/>
  <c r="CV350" i="1"/>
  <c r="CU350" i="1"/>
  <c r="CT350" i="1"/>
  <c r="CS350" i="1"/>
  <c r="CR350" i="1"/>
  <c r="CQ350" i="1"/>
  <c r="CP350" i="1"/>
  <c r="CO350" i="1"/>
  <c r="CN350" i="1"/>
  <c r="CM350" i="1"/>
  <c r="CL350" i="1"/>
  <c r="CK350" i="1"/>
  <c r="CJ350" i="1"/>
  <c r="CI350" i="1"/>
  <c r="CH350" i="1"/>
  <c r="CG350" i="1"/>
  <c r="CF350" i="1"/>
  <c r="BR350" i="1"/>
  <c r="BQ350" i="1"/>
  <c r="BP350" i="1"/>
  <c r="BO350" i="1"/>
  <c r="BN350" i="1"/>
  <c r="BM350" i="1"/>
  <c r="BL350" i="1"/>
  <c r="BK350" i="1"/>
  <c r="BJ350" i="1"/>
  <c r="BI350" i="1"/>
  <c r="BH350" i="1"/>
  <c r="BF350" i="1"/>
  <c r="BD350" i="1"/>
  <c r="AV350" i="1"/>
  <c r="AR350" i="1"/>
  <c r="AQ350" i="1"/>
  <c r="AP350" i="1"/>
  <c r="AO350" i="1"/>
  <c r="AN350" i="1"/>
  <c r="AM350" i="1"/>
  <c r="AL350" i="1"/>
  <c r="AK350" i="1"/>
  <c r="AJ350" i="1"/>
  <c r="AI350" i="1"/>
  <c r="AH350" i="1"/>
  <c r="AF350" i="1"/>
  <c r="AE350" i="1"/>
  <c r="AD350" i="1"/>
  <c r="J350" i="1"/>
  <c r="DE349" i="1"/>
  <c r="DD349" i="1"/>
  <c r="DC349" i="1"/>
  <c r="DB349" i="1"/>
  <c r="DA349" i="1"/>
  <c r="CZ349" i="1"/>
  <c r="CY349" i="1"/>
  <c r="CX349" i="1"/>
  <c r="CW349" i="1"/>
  <c r="CV349" i="1"/>
  <c r="CU349" i="1"/>
  <c r="CT349" i="1"/>
  <c r="CS349" i="1"/>
  <c r="CR349" i="1"/>
  <c r="CQ349" i="1"/>
  <c r="CP349" i="1"/>
  <c r="CO349" i="1"/>
  <c r="CN349" i="1"/>
  <c r="CM349" i="1"/>
  <c r="CL349" i="1"/>
  <c r="CK349" i="1"/>
  <c r="CJ349" i="1"/>
  <c r="CI349" i="1"/>
  <c r="CH349" i="1"/>
  <c r="CG349" i="1"/>
  <c r="CF349" i="1"/>
  <c r="BX349" i="1"/>
  <c r="BR349" i="1"/>
  <c r="BP349" i="1"/>
  <c r="BO349" i="1"/>
  <c r="BN349" i="1"/>
  <c r="BM349" i="1"/>
  <c r="BL349" i="1"/>
  <c r="BK349" i="1"/>
  <c r="BJ349" i="1"/>
  <c r="BI349" i="1"/>
  <c r="BH349" i="1"/>
  <c r="BG349" i="1"/>
  <c r="BF349" i="1"/>
  <c r="BD349" i="1"/>
  <c r="AV349" i="1"/>
  <c r="AR349" i="1"/>
  <c r="AP349" i="1"/>
  <c r="AO349" i="1"/>
  <c r="AN349" i="1"/>
  <c r="AM349" i="1"/>
  <c r="AL349" i="1"/>
  <c r="AK349" i="1"/>
  <c r="AJ349" i="1"/>
  <c r="AI349" i="1"/>
  <c r="AH349" i="1"/>
  <c r="AG349" i="1"/>
  <c r="AF349" i="1"/>
  <c r="AE349" i="1"/>
  <c r="AD349" i="1"/>
  <c r="O349" i="1"/>
  <c r="BQ349" i="1" s="1"/>
  <c r="F349" i="1"/>
  <c r="B349" i="1"/>
  <c r="DE348" i="1"/>
  <c r="DD348" i="1"/>
  <c r="DC348" i="1"/>
  <c r="DB348" i="1"/>
  <c r="DA348" i="1"/>
  <c r="CZ348" i="1"/>
  <c r="CY348" i="1"/>
  <c r="CX348" i="1"/>
  <c r="CW348" i="1"/>
  <c r="CV348" i="1"/>
  <c r="CU348" i="1"/>
  <c r="CT348" i="1"/>
  <c r="CS348" i="1"/>
  <c r="CR348" i="1"/>
  <c r="CQ348" i="1"/>
  <c r="CP348" i="1"/>
  <c r="CO348" i="1"/>
  <c r="CN348" i="1"/>
  <c r="CM348" i="1"/>
  <c r="CL348" i="1"/>
  <c r="CK348" i="1"/>
  <c r="CJ348" i="1"/>
  <c r="CI348" i="1"/>
  <c r="CH348" i="1"/>
  <c r="CG348" i="1"/>
  <c r="CF348" i="1"/>
  <c r="BR348" i="1"/>
  <c r="BQ348" i="1"/>
  <c r="BP348" i="1"/>
  <c r="BO348" i="1"/>
  <c r="BN348" i="1"/>
  <c r="BM348" i="1"/>
  <c r="BL348" i="1"/>
  <c r="BK348" i="1"/>
  <c r="BJ348" i="1"/>
  <c r="BI348" i="1"/>
  <c r="BH348" i="1"/>
  <c r="BF348" i="1"/>
  <c r="BE348" i="1"/>
  <c r="BD348" i="1"/>
  <c r="BC348" i="1"/>
  <c r="BA348" i="1"/>
  <c r="AZ348" i="1"/>
  <c r="AY348" i="1"/>
  <c r="AW348" i="1"/>
  <c r="AV348" i="1"/>
  <c r="AU348" i="1"/>
  <c r="AS348" i="1"/>
  <c r="AR348" i="1"/>
  <c r="AQ348" i="1"/>
  <c r="AP348" i="1"/>
  <c r="AO348" i="1"/>
  <c r="AN348" i="1"/>
  <c r="AM348" i="1"/>
  <c r="AL348" i="1"/>
  <c r="AK348" i="1"/>
  <c r="AJ348" i="1"/>
  <c r="AI348" i="1"/>
  <c r="AH348" i="1"/>
  <c r="AF348" i="1"/>
  <c r="AE348" i="1"/>
  <c r="DE347" i="1"/>
  <c r="DD347" i="1"/>
  <c r="DC347" i="1"/>
  <c r="DB347" i="1"/>
  <c r="DA347" i="1"/>
  <c r="CZ347" i="1"/>
  <c r="CY347" i="1"/>
  <c r="CX347" i="1"/>
  <c r="CW347" i="1"/>
  <c r="CV347" i="1"/>
  <c r="CU347" i="1"/>
  <c r="CT347" i="1"/>
  <c r="CS347" i="1"/>
  <c r="CR347" i="1"/>
  <c r="CQ347" i="1"/>
  <c r="CP347" i="1"/>
  <c r="CO347" i="1"/>
  <c r="CN347" i="1"/>
  <c r="CM347" i="1"/>
  <c r="CL347" i="1"/>
  <c r="CK347" i="1"/>
  <c r="CJ347" i="1"/>
  <c r="CI347" i="1"/>
  <c r="CH347" i="1"/>
  <c r="CG347" i="1"/>
  <c r="CF347" i="1"/>
  <c r="BR347" i="1"/>
  <c r="BQ347" i="1"/>
  <c r="BP347" i="1"/>
  <c r="BO347" i="1"/>
  <c r="BN347" i="1"/>
  <c r="BM347" i="1"/>
  <c r="BL347" i="1"/>
  <c r="BK347" i="1"/>
  <c r="BJ347" i="1"/>
  <c r="BI347" i="1"/>
  <c r="BH347" i="1"/>
  <c r="BF347" i="1"/>
  <c r="BD347" i="1"/>
  <c r="BC347" i="1"/>
  <c r="BB347" i="1"/>
  <c r="AZ347" i="1"/>
  <c r="AY347" i="1"/>
  <c r="AX347" i="1"/>
  <c r="AV347" i="1"/>
  <c r="AU347" i="1"/>
  <c r="AT347" i="1"/>
  <c r="AR347" i="1"/>
  <c r="AQ347" i="1"/>
  <c r="AP347" i="1"/>
  <c r="AO347" i="1"/>
  <c r="AN347" i="1"/>
  <c r="AM347" i="1"/>
  <c r="AL347" i="1"/>
  <c r="AK347" i="1"/>
  <c r="AJ347" i="1"/>
  <c r="AI347" i="1"/>
  <c r="AH347" i="1"/>
  <c r="AF347" i="1"/>
  <c r="AE347" i="1"/>
  <c r="O346" i="1" s="1"/>
  <c r="AM346" i="1" s="1"/>
  <c r="J347" i="1"/>
  <c r="DE346" i="1"/>
  <c r="DD346" i="1"/>
  <c r="DC346" i="1"/>
  <c r="DB346" i="1"/>
  <c r="DA346" i="1"/>
  <c r="CZ346" i="1"/>
  <c r="CY346" i="1"/>
  <c r="CX346" i="1"/>
  <c r="CW346" i="1"/>
  <c r="CV346" i="1"/>
  <c r="CU346" i="1"/>
  <c r="CT346" i="1"/>
  <c r="CS346" i="1"/>
  <c r="CR346" i="1"/>
  <c r="CQ346" i="1"/>
  <c r="CP346" i="1"/>
  <c r="CO346" i="1"/>
  <c r="CN346" i="1"/>
  <c r="CM346" i="1"/>
  <c r="CL346" i="1"/>
  <c r="CK346" i="1"/>
  <c r="CJ346" i="1"/>
  <c r="CI346" i="1"/>
  <c r="CH346" i="1"/>
  <c r="CG346" i="1"/>
  <c r="CF346" i="1"/>
  <c r="CD346" i="1"/>
  <c r="CC346" i="1"/>
  <c r="CB346" i="1"/>
  <c r="BZ346" i="1"/>
  <c r="BY346" i="1"/>
  <c r="BX346" i="1"/>
  <c r="BV346" i="1"/>
  <c r="BU346" i="1"/>
  <c r="BR346" i="1"/>
  <c r="BQ346" i="1"/>
  <c r="BP346" i="1"/>
  <c r="BO346" i="1"/>
  <c r="BN346" i="1"/>
  <c r="BL346" i="1"/>
  <c r="BK346" i="1"/>
  <c r="BJ346" i="1"/>
  <c r="BI346" i="1"/>
  <c r="BH346" i="1"/>
  <c r="BG346" i="1"/>
  <c r="BF346" i="1"/>
  <c r="BE346" i="1"/>
  <c r="BD346" i="1"/>
  <c r="BB346" i="1"/>
  <c r="BA346" i="1"/>
  <c r="AZ346" i="1"/>
  <c r="AX346" i="1"/>
  <c r="AW346" i="1"/>
  <c r="AV346" i="1"/>
  <c r="AT346" i="1"/>
  <c r="AS346" i="1"/>
  <c r="AR346" i="1"/>
  <c r="AQ346" i="1"/>
  <c r="AP346" i="1"/>
  <c r="AO346" i="1"/>
  <c r="AN346" i="1"/>
  <c r="AL346" i="1"/>
  <c r="AK346" i="1"/>
  <c r="AJ346" i="1"/>
  <c r="AI346" i="1"/>
  <c r="AH346" i="1"/>
  <c r="AG346" i="1"/>
  <c r="AF346" i="1"/>
  <c r="AE346" i="1"/>
  <c r="AD346" i="1"/>
  <c r="F346" i="1"/>
  <c r="D346" i="1"/>
  <c r="B346" i="1"/>
  <c r="BB348" i="1" s="1"/>
  <c r="DJ345" i="1"/>
  <c r="DE345" i="1"/>
  <c r="DD345" i="1"/>
  <c r="DC345" i="1"/>
  <c r="DB345" i="1"/>
  <c r="DA345" i="1"/>
  <c r="CZ345" i="1"/>
  <c r="CY345" i="1"/>
  <c r="CX345" i="1"/>
  <c r="CW345" i="1"/>
  <c r="CV345" i="1"/>
  <c r="CU345" i="1"/>
  <c r="CT345" i="1"/>
  <c r="CS345" i="1"/>
  <c r="CR345" i="1"/>
  <c r="CQ345" i="1"/>
  <c r="CP345" i="1"/>
  <c r="CO345" i="1"/>
  <c r="CN345" i="1"/>
  <c r="CM345" i="1"/>
  <c r="CL345" i="1"/>
  <c r="CK345" i="1"/>
  <c r="CJ345" i="1"/>
  <c r="CI345" i="1"/>
  <c r="CH345" i="1"/>
  <c r="CG345" i="1"/>
  <c r="CF345" i="1"/>
  <c r="BR345" i="1"/>
  <c r="BQ345" i="1"/>
  <c r="BP345" i="1"/>
  <c r="BO345" i="1"/>
  <c r="BN345" i="1"/>
  <c r="BM345" i="1"/>
  <c r="BL345" i="1"/>
  <c r="BK345" i="1"/>
  <c r="BJ345" i="1"/>
  <c r="BI345" i="1"/>
  <c r="BH345" i="1"/>
  <c r="BF345" i="1"/>
  <c r="AR345" i="1"/>
  <c r="AQ345" i="1"/>
  <c r="AP345" i="1"/>
  <c r="AO345" i="1"/>
  <c r="AN345" i="1"/>
  <c r="AM345" i="1"/>
  <c r="AL345" i="1"/>
  <c r="AK345" i="1"/>
  <c r="AJ345" i="1"/>
  <c r="AI345" i="1"/>
  <c r="AH345" i="1"/>
  <c r="AF345" i="1"/>
  <c r="AE345" i="1"/>
  <c r="AD345" i="1"/>
  <c r="DJ344" i="1"/>
  <c r="DE344" i="1"/>
  <c r="DD344" i="1"/>
  <c r="DC344" i="1"/>
  <c r="DB344" i="1"/>
  <c r="DA344" i="1"/>
  <c r="CZ344" i="1"/>
  <c r="CY344" i="1"/>
  <c r="CX344" i="1"/>
  <c r="CW344" i="1"/>
  <c r="CV344" i="1"/>
  <c r="CU344" i="1"/>
  <c r="CT344" i="1"/>
  <c r="CS344" i="1"/>
  <c r="CR344" i="1"/>
  <c r="CQ344" i="1"/>
  <c r="CP344" i="1"/>
  <c r="CO344" i="1"/>
  <c r="CN344" i="1"/>
  <c r="CM344" i="1"/>
  <c r="CL344" i="1"/>
  <c r="CK344" i="1"/>
  <c r="CJ344" i="1"/>
  <c r="CI344" i="1"/>
  <c r="CH344" i="1"/>
  <c r="CG344" i="1"/>
  <c r="CF344" i="1"/>
  <c r="BR344" i="1"/>
  <c r="BQ344" i="1"/>
  <c r="BP344" i="1"/>
  <c r="BO344" i="1"/>
  <c r="BN344" i="1"/>
  <c r="BM344" i="1"/>
  <c r="BL344" i="1"/>
  <c r="BK344" i="1"/>
  <c r="BJ344" i="1"/>
  <c r="BI344" i="1"/>
  <c r="BH344" i="1"/>
  <c r="BF344" i="1"/>
  <c r="AR344" i="1"/>
  <c r="AQ344" i="1"/>
  <c r="AP344" i="1"/>
  <c r="AO344" i="1"/>
  <c r="AN344" i="1"/>
  <c r="AM344" i="1"/>
  <c r="AL344" i="1"/>
  <c r="AK344" i="1"/>
  <c r="AJ344" i="1"/>
  <c r="AI344" i="1"/>
  <c r="AH344" i="1"/>
  <c r="AF344" i="1"/>
  <c r="AE344" i="1"/>
  <c r="AD344" i="1"/>
  <c r="J344" i="1"/>
  <c r="DJ343" i="1"/>
  <c r="DE343" i="1"/>
  <c r="DD343" i="1"/>
  <c r="DC343" i="1"/>
  <c r="DB343" i="1"/>
  <c r="DA343" i="1"/>
  <c r="CZ343" i="1"/>
  <c r="CY343" i="1"/>
  <c r="CX343" i="1"/>
  <c r="CW343" i="1"/>
  <c r="CV343" i="1"/>
  <c r="CU343" i="1"/>
  <c r="CT343" i="1"/>
  <c r="CS343" i="1"/>
  <c r="CR343" i="1"/>
  <c r="CQ343" i="1"/>
  <c r="CP343" i="1"/>
  <c r="CO343" i="1"/>
  <c r="CN343" i="1"/>
  <c r="CM343" i="1"/>
  <c r="CL343" i="1"/>
  <c r="CK343" i="1"/>
  <c r="CJ343" i="1"/>
  <c r="CI343" i="1"/>
  <c r="CH343" i="1"/>
  <c r="CG343" i="1"/>
  <c r="CF343" i="1"/>
  <c r="BR343" i="1"/>
  <c r="BQ343" i="1"/>
  <c r="BP343" i="1"/>
  <c r="BO343" i="1"/>
  <c r="BN343" i="1"/>
  <c r="BL343" i="1"/>
  <c r="BK343" i="1"/>
  <c r="BJ343" i="1"/>
  <c r="BI343" i="1"/>
  <c r="BH343" i="1"/>
  <c r="BG343" i="1"/>
  <c r="BF343" i="1"/>
  <c r="AR343" i="1"/>
  <c r="AQ343" i="1"/>
  <c r="AP343" i="1"/>
  <c r="AO343" i="1"/>
  <c r="AN343" i="1"/>
  <c r="AL343" i="1"/>
  <c r="AK343" i="1"/>
  <c r="AJ343" i="1"/>
  <c r="AI343" i="1"/>
  <c r="AH343" i="1"/>
  <c r="AG343" i="1"/>
  <c r="AF343" i="1"/>
  <c r="AE343" i="1"/>
  <c r="O343" i="1" s="1"/>
  <c r="AD343" i="1"/>
  <c r="F343" i="1"/>
  <c r="B343" i="1"/>
  <c r="DE342" i="1"/>
  <c r="DD342" i="1"/>
  <c r="DC342" i="1"/>
  <c r="DB342" i="1"/>
  <c r="DA342" i="1"/>
  <c r="CZ342" i="1"/>
  <c r="CY342" i="1"/>
  <c r="CX342" i="1"/>
  <c r="CW342" i="1"/>
  <c r="CV342" i="1"/>
  <c r="CU342" i="1"/>
  <c r="CT342" i="1"/>
  <c r="CS342" i="1"/>
  <c r="CR342" i="1"/>
  <c r="CQ342" i="1"/>
  <c r="CP342" i="1"/>
  <c r="CO342" i="1"/>
  <c r="CN342" i="1"/>
  <c r="CM342" i="1"/>
  <c r="CL342" i="1"/>
  <c r="CK342" i="1"/>
  <c r="CJ342" i="1"/>
  <c r="CI342" i="1"/>
  <c r="CH342" i="1"/>
  <c r="CG342" i="1"/>
  <c r="CF342" i="1"/>
  <c r="BR342" i="1"/>
  <c r="BQ342" i="1"/>
  <c r="BP342" i="1"/>
  <c r="BO342" i="1"/>
  <c r="BN342" i="1"/>
  <c r="BM342" i="1"/>
  <c r="BL342" i="1"/>
  <c r="BK342" i="1"/>
  <c r="BJ342" i="1"/>
  <c r="BI342" i="1"/>
  <c r="BH342" i="1"/>
  <c r="BG342" i="1"/>
  <c r="BF342" i="1"/>
  <c r="BC342" i="1"/>
  <c r="BB342" i="1"/>
  <c r="AY342" i="1"/>
  <c r="AU342" i="1"/>
  <c r="AT342" i="1"/>
  <c r="AR342" i="1"/>
  <c r="AQ342" i="1"/>
  <c r="AP342" i="1"/>
  <c r="AO342" i="1"/>
  <c r="AN342" i="1"/>
  <c r="AM342" i="1"/>
  <c r="AL342" i="1"/>
  <c r="AK342" i="1"/>
  <c r="AJ342" i="1"/>
  <c r="AI342" i="1"/>
  <c r="AH342" i="1"/>
  <c r="AG342" i="1"/>
  <c r="AF342" i="1"/>
  <c r="AE342" i="1"/>
  <c r="R342" i="1"/>
  <c r="Q342" i="1"/>
  <c r="O342" i="1"/>
  <c r="P342" i="1" s="1"/>
  <c r="DE341" i="1"/>
  <c r="DD341" i="1"/>
  <c r="DC341" i="1"/>
  <c r="DB341" i="1"/>
  <c r="DA341" i="1"/>
  <c r="CZ341" i="1"/>
  <c r="CY341" i="1"/>
  <c r="CX341" i="1"/>
  <c r="CW341" i="1"/>
  <c r="CV341" i="1"/>
  <c r="CU341" i="1"/>
  <c r="CT341" i="1"/>
  <c r="CS341" i="1"/>
  <c r="CR341" i="1"/>
  <c r="CQ341" i="1"/>
  <c r="CP341" i="1"/>
  <c r="CO341" i="1"/>
  <c r="CN341" i="1"/>
  <c r="CM341" i="1"/>
  <c r="CL341" i="1"/>
  <c r="CK341" i="1"/>
  <c r="CJ341" i="1"/>
  <c r="CI341" i="1"/>
  <c r="CH341" i="1"/>
  <c r="CG341" i="1"/>
  <c r="CF341" i="1"/>
  <c r="BR341" i="1"/>
  <c r="BQ341" i="1"/>
  <c r="BP341" i="1"/>
  <c r="BO341" i="1"/>
  <c r="BN341" i="1"/>
  <c r="BM341" i="1"/>
  <c r="BL341" i="1"/>
  <c r="BK341" i="1"/>
  <c r="BJ341" i="1"/>
  <c r="BI341" i="1"/>
  <c r="BH341" i="1"/>
  <c r="BG341" i="1"/>
  <c r="BF341" i="1"/>
  <c r="BE341" i="1"/>
  <c r="BB341" i="1"/>
  <c r="AX341" i="1"/>
  <c r="AW341" i="1"/>
  <c r="AT341" i="1"/>
  <c r="AR341" i="1"/>
  <c r="AQ341" i="1"/>
  <c r="AP341" i="1"/>
  <c r="AO341" i="1"/>
  <c r="AN341" i="1"/>
  <c r="AM341" i="1"/>
  <c r="AL341" i="1"/>
  <c r="AK341" i="1"/>
  <c r="AI341" i="1"/>
  <c r="AH341" i="1"/>
  <c r="AG341" i="1"/>
  <c r="AF341" i="1"/>
  <c r="AE341" i="1"/>
  <c r="J341" i="1"/>
  <c r="DE340" i="1"/>
  <c r="DD340" i="1"/>
  <c r="DC340" i="1"/>
  <c r="DB340" i="1"/>
  <c r="DA340" i="1"/>
  <c r="CZ340" i="1"/>
  <c r="CY340" i="1"/>
  <c r="CX340" i="1"/>
  <c r="CW340" i="1"/>
  <c r="CV340" i="1"/>
  <c r="CU340" i="1"/>
  <c r="CT340" i="1"/>
  <c r="CS340" i="1"/>
  <c r="CR340" i="1"/>
  <c r="CQ340" i="1"/>
  <c r="CP340" i="1"/>
  <c r="CO340" i="1"/>
  <c r="CN340" i="1"/>
  <c r="CM340" i="1"/>
  <c r="CL340" i="1"/>
  <c r="CK340" i="1"/>
  <c r="CJ340" i="1"/>
  <c r="CI340" i="1"/>
  <c r="CH340" i="1"/>
  <c r="CG340" i="1"/>
  <c r="CF340" i="1"/>
  <c r="CE340" i="1"/>
  <c r="CB340" i="1"/>
  <c r="BX340" i="1"/>
  <c r="BW340" i="1"/>
  <c r="BT340" i="1"/>
  <c r="BR340" i="1"/>
  <c r="BQ340" i="1"/>
  <c r="BP340" i="1"/>
  <c r="BO340" i="1"/>
  <c r="BN340" i="1"/>
  <c r="BL340" i="1"/>
  <c r="BK340" i="1"/>
  <c r="BJ340" i="1"/>
  <c r="BI340" i="1"/>
  <c r="BH340" i="1"/>
  <c r="BG340" i="1"/>
  <c r="BF340" i="1"/>
  <c r="BD340" i="1"/>
  <c r="BC340" i="1"/>
  <c r="AZ340" i="1"/>
  <c r="AV340" i="1"/>
  <c r="AU340" i="1"/>
  <c r="AR340" i="1"/>
  <c r="AQ340" i="1"/>
  <c r="AP340" i="1"/>
  <c r="AO340" i="1"/>
  <c r="AN340" i="1"/>
  <c r="AL340" i="1"/>
  <c r="AK340" i="1"/>
  <c r="AJ340" i="1"/>
  <c r="AI340" i="1"/>
  <c r="AH340" i="1"/>
  <c r="AG340" i="1"/>
  <c r="AF340" i="1"/>
  <c r="AE340" i="1"/>
  <c r="O341" i="1" s="1"/>
  <c r="AD340" i="1"/>
  <c r="O340" i="1"/>
  <c r="BM340" i="1" s="1"/>
  <c r="F340" i="1"/>
  <c r="B340" i="1"/>
  <c r="DE339" i="1"/>
  <c r="DD339" i="1"/>
  <c r="DC339" i="1"/>
  <c r="DB339" i="1"/>
  <c r="DA339" i="1"/>
  <c r="CZ339" i="1"/>
  <c r="CY339" i="1"/>
  <c r="CX339" i="1"/>
  <c r="CW339" i="1"/>
  <c r="CV339" i="1"/>
  <c r="CU339" i="1"/>
  <c r="CT339" i="1"/>
  <c r="CS339" i="1"/>
  <c r="CR339" i="1"/>
  <c r="CQ339" i="1"/>
  <c r="CP339" i="1"/>
  <c r="CO339" i="1"/>
  <c r="CN339" i="1"/>
  <c r="CM339" i="1"/>
  <c r="CL339" i="1"/>
  <c r="CK339" i="1"/>
  <c r="CJ339" i="1"/>
  <c r="CI339" i="1"/>
  <c r="CH339" i="1"/>
  <c r="CG339" i="1"/>
  <c r="CF339" i="1"/>
  <c r="BR339" i="1"/>
  <c r="BQ339" i="1"/>
  <c r="BP339" i="1"/>
  <c r="BO339" i="1"/>
  <c r="BN339" i="1"/>
  <c r="BM339" i="1"/>
  <c r="BL339" i="1"/>
  <c r="BK339" i="1"/>
  <c r="BJ339" i="1"/>
  <c r="BI339" i="1"/>
  <c r="BH339" i="1"/>
  <c r="BG339" i="1"/>
  <c r="BF339" i="1"/>
  <c r="BD339" i="1"/>
  <c r="BC339" i="1"/>
  <c r="AY339" i="1"/>
  <c r="AV339" i="1"/>
  <c r="AU339" i="1"/>
  <c r="AR339" i="1"/>
  <c r="AQ339" i="1"/>
  <c r="AP339" i="1"/>
  <c r="AO339" i="1"/>
  <c r="AN339" i="1"/>
  <c r="AM339" i="1"/>
  <c r="AL339" i="1"/>
  <c r="AK339" i="1"/>
  <c r="AJ339" i="1"/>
  <c r="AI339" i="1"/>
  <c r="AH339" i="1"/>
  <c r="AG339" i="1"/>
  <c r="AF339" i="1"/>
  <c r="AE339" i="1"/>
  <c r="AD339" i="1"/>
  <c r="R339" i="1"/>
  <c r="Q339" i="1"/>
  <c r="DE338" i="1"/>
  <c r="DD338" i="1"/>
  <c r="DC338" i="1"/>
  <c r="DB338" i="1"/>
  <c r="DA338" i="1"/>
  <c r="CZ338" i="1"/>
  <c r="CY338" i="1"/>
  <c r="CX338" i="1"/>
  <c r="CW338" i="1"/>
  <c r="CV338" i="1"/>
  <c r="CU338" i="1"/>
  <c r="CT338" i="1"/>
  <c r="CS338" i="1"/>
  <c r="CR338" i="1"/>
  <c r="CQ338" i="1"/>
  <c r="CP338" i="1"/>
  <c r="CO338" i="1"/>
  <c r="CN338" i="1"/>
  <c r="CM338" i="1"/>
  <c r="CL338" i="1"/>
  <c r="CK338" i="1"/>
  <c r="CJ338" i="1"/>
  <c r="CI338" i="1"/>
  <c r="CH338" i="1"/>
  <c r="CG338" i="1"/>
  <c r="CF338" i="1"/>
  <c r="BR338" i="1"/>
  <c r="BP338" i="1"/>
  <c r="BO338" i="1"/>
  <c r="BN338" i="1"/>
  <c r="BM338" i="1"/>
  <c r="BL338" i="1"/>
  <c r="BK338" i="1"/>
  <c r="BJ338" i="1"/>
  <c r="BI338" i="1"/>
  <c r="BH338" i="1"/>
  <c r="BG338" i="1"/>
  <c r="BF338" i="1"/>
  <c r="BD338" i="1"/>
  <c r="BC338" i="1"/>
  <c r="AY338" i="1"/>
  <c r="AV338" i="1"/>
  <c r="AU338" i="1"/>
  <c r="AR338" i="1"/>
  <c r="AP338" i="1"/>
  <c r="AO338" i="1"/>
  <c r="AN338" i="1"/>
  <c r="AM338" i="1"/>
  <c r="AL338" i="1"/>
  <c r="AK338" i="1"/>
  <c r="AJ338" i="1"/>
  <c r="AI338" i="1"/>
  <c r="AH338" i="1"/>
  <c r="AG338" i="1"/>
  <c r="AF338" i="1"/>
  <c r="AE338" i="1"/>
  <c r="AD338" i="1"/>
  <c r="J338" i="1"/>
  <c r="DE337" i="1"/>
  <c r="DD337" i="1"/>
  <c r="DC337" i="1"/>
  <c r="DB337" i="1"/>
  <c r="DA337" i="1"/>
  <c r="CZ337" i="1"/>
  <c r="CY337" i="1"/>
  <c r="CX337" i="1"/>
  <c r="CW337" i="1"/>
  <c r="CV337" i="1"/>
  <c r="CU337" i="1"/>
  <c r="CT337" i="1"/>
  <c r="CS337" i="1"/>
  <c r="CR337" i="1"/>
  <c r="CQ337" i="1"/>
  <c r="CP337" i="1"/>
  <c r="CO337" i="1"/>
  <c r="CN337" i="1"/>
  <c r="CM337" i="1"/>
  <c r="CL337" i="1"/>
  <c r="CK337" i="1"/>
  <c r="CJ337" i="1"/>
  <c r="CI337" i="1"/>
  <c r="CH337" i="1"/>
  <c r="CG337" i="1"/>
  <c r="CF337" i="1"/>
  <c r="CA337" i="1"/>
  <c r="BZ337" i="1"/>
  <c r="BV337" i="1"/>
  <c r="BS337" i="1"/>
  <c r="BR337" i="1"/>
  <c r="BQ337" i="1"/>
  <c r="BP337" i="1"/>
  <c r="BO337" i="1"/>
  <c r="BN337" i="1"/>
  <c r="BM337" i="1"/>
  <c r="BL337" i="1"/>
  <c r="BK337" i="1"/>
  <c r="BI337" i="1"/>
  <c r="BH337" i="1"/>
  <c r="BG337" i="1"/>
  <c r="BF337" i="1"/>
  <c r="BB337" i="1"/>
  <c r="AY337" i="1"/>
  <c r="AX337" i="1"/>
  <c r="AT337" i="1"/>
  <c r="AR337" i="1"/>
  <c r="AQ337" i="1"/>
  <c r="AP337" i="1"/>
  <c r="AO337" i="1"/>
  <c r="AN337" i="1"/>
  <c r="AM337" i="1"/>
  <c r="AL337" i="1"/>
  <c r="AK337" i="1"/>
  <c r="AI337" i="1"/>
  <c r="AH337" i="1"/>
  <c r="AG337" i="1"/>
  <c r="AF337" i="1"/>
  <c r="AE337" i="1"/>
  <c r="AD337" i="1"/>
  <c r="O337" i="1"/>
  <c r="F337" i="1"/>
  <c r="B337" i="1"/>
  <c r="DE336" i="1"/>
  <c r="DD336" i="1"/>
  <c r="DC336" i="1"/>
  <c r="DB336" i="1"/>
  <c r="DA336" i="1"/>
  <c r="CZ336" i="1"/>
  <c r="CY336" i="1"/>
  <c r="CX336" i="1"/>
  <c r="CW336" i="1"/>
  <c r="CV336" i="1"/>
  <c r="CU336" i="1"/>
  <c r="CT336" i="1"/>
  <c r="CS336" i="1"/>
  <c r="CR336" i="1"/>
  <c r="CQ336" i="1"/>
  <c r="CP336" i="1"/>
  <c r="CO336" i="1"/>
  <c r="CN336" i="1"/>
  <c r="CM336" i="1"/>
  <c r="CL336" i="1"/>
  <c r="CK336" i="1"/>
  <c r="CJ336" i="1"/>
  <c r="CI336" i="1"/>
  <c r="CH336" i="1"/>
  <c r="CG336" i="1"/>
  <c r="CF336" i="1"/>
  <c r="BR336" i="1"/>
  <c r="BQ336" i="1"/>
  <c r="BP336" i="1"/>
  <c r="BO336" i="1"/>
  <c r="BN336" i="1"/>
  <c r="BM336" i="1"/>
  <c r="BL336" i="1"/>
  <c r="BK336" i="1"/>
  <c r="BJ336" i="1"/>
  <c r="BI336" i="1"/>
  <c r="BH336" i="1"/>
  <c r="BG336" i="1"/>
  <c r="BF336" i="1"/>
  <c r="AY336" i="1"/>
  <c r="AX336" i="1"/>
  <c r="AR336" i="1"/>
  <c r="AQ336" i="1"/>
  <c r="AP336" i="1"/>
  <c r="AO336" i="1"/>
  <c r="AN336" i="1"/>
  <c r="AM336" i="1"/>
  <c r="AL336" i="1"/>
  <c r="AK336" i="1"/>
  <c r="AJ336" i="1"/>
  <c r="AI336" i="1"/>
  <c r="AH336" i="1"/>
  <c r="AG336" i="1"/>
  <c r="AF336" i="1"/>
  <c r="AE336" i="1"/>
  <c r="R336" i="1"/>
  <c r="Q336" i="1"/>
  <c r="O336" i="1"/>
  <c r="P336" i="1" s="1"/>
  <c r="DE335" i="1"/>
  <c r="DD335" i="1"/>
  <c r="DC335" i="1"/>
  <c r="DB335" i="1"/>
  <c r="DA335" i="1"/>
  <c r="CZ335" i="1"/>
  <c r="CY335" i="1"/>
  <c r="CX335" i="1"/>
  <c r="CW335" i="1"/>
  <c r="CV335" i="1"/>
  <c r="CU335" i="1"/>
  <c r="CT335" i="1"/>
  <c r="CS335" i="1"/>
  <c r="CR335" i="1"/>
  <c r="CQ335" i="1"/>
  <c r="CP335" i="1"/>
  <c r="CO335" i="1"/>
  <c r="CN335" i="1"/>
  <c r="CM335" i="1"/>
  <c r="CL335" i="1"/>
  <c r="CK335" i="1"/>
  <c r="CJ335" i="1"/>
  <c r="CI335" i="1"/>
  <c r="CH335" i="1"/>
  <c r="CG335" i="1"/>
  <c r="CF335" i="1"/>
  <c r="BR335" i="1"/>
  <c r="BQ335" i="1"/>
  <c r="BP335" i="1"/>
  <c r="BO335" i="1"/>
  <c r="BN335" i="1"/>
  <c r="BM335" i="1"/>
  <c r="BL335" i="1"/>
  <c r="BK335" i="1"/>
  <c r="BJ335" i="1"/>
  <c r="BI335" i="1"/>
  <c r="BH335" i="1"/>
  <c r="BG335" i="1"/>
  <c r="BF335" i="1"/>
  <c r="BB335" i="1"/>
  <c r="BA335" i="1"/>
  <c r="AT335" i="1"/>
  <c r="AS335" i="1"/>
  <c r="AR335" i="1"/>
  <c r="AQ335" i="1"/>
  <c r="AP335" i="1"/>
  <c r="AO335" i="1"/>
  <c r="AN335" i="1"/>
  <c r="AM335" i="1"/>
  <c r="AL335" i="1"/>
  <c r="AK335" i="1"/>
  <c r="AJ335" i="1"/>
  <c r="AI335" i="1"/>
  <c r="AH335" i="1"/>
  <c r="AG335" i="1"/>
  <c r="AF335" i="1"/>
  <c r="AE335" i="1"/>
  <c r="DE334" i="1"/>
  <c r="DD334" i="1"/>
  <c r="DC334" i="1"/>
  <c r="DB334" i="1"/>
  <c r="DA334" i="1"/>
  <c r="CZ334" i="1"/>
  <c r="CY334" i="1"/>
  <c r="CX334" i="1"/>
  <c r="CW334" i="1"/>
  <c r="CV334" i="1"/>
  <c r="CU334" i="1"/>
  <c r="CT334" i="1"/>
  <c r="CS334" i="1"/>
  <c r="CR334" i="1"/>
  <c r="CQ334" i="1"/>
  <c r="CP334" i="1"/>
  <c r="CO334" i="1"/>
  <c r="CN334" i="1"/>
  <c r="CM334" i="1"/>
  <c r="CL334" i="1"/>
  <c r="CK334" i="1"/>
  <c r="CJ334" i="1"/>
  <c r="CI334" i="1"/>
  <c r="CH334" i="1"/>
  <c r="CG334" i="1"/>
  <c r="CF334" i="1"/>
  <c r="CE334" i="1"/>
  <c r="CD334" i="1"/>
  <c r="BW334" i="1"/>
  <c r="BV334" i="1"/>
  <c r="BR334" i="1"/>
  <c r="BQ334" i="1"/>
  <c r="BP334" i="1"/>
  <c r="BO334" i="1"/>
  <c r="BN334" i="1"/>
  <c r="BM334" i="1"/>
  <c r="BL334" i="1"/>
  <c r="BK334" i="1"/>
  <c r="BJ334" i="1"/>
  <c r="BI334" i="1"/>
  <c r="BH334" i="1"/>
  <c r="BG334" i="1"/>
  <c r="BF334" i="1"/>
  <c r="BC334" i="1"/>
  <c r="BB334" i="1"/>
  <c r="AU334" i="1"/>
  <c r="AT334" i="1"/>
  <c r="AR334" i="1"/>
  <c r="AQ334" i="1"/>
  <c r="AP334" i="1"/>
  <c r="AO334" i="1"/>
  <c r="AN334" i="1"/>
  <c r="AM334" i="1"/>
  <c r="AL334" i="1"/>
  <c r="AK334" i="1"/>
  <c r="AJ334" i="1"/>
  <c r="AI334" i="1"/>
  <c r="AH334" i="1"/>
  <c r="AG334" i="1"/>
  <c r="AF334" i="1"/>
  <c r="AE334" i="1"/>
  <c r="O335" i="1" s="1"/>
  <c r="P335" i="1" s="1"/>
  <c r="AD334" i="1"/>
  <c r="S334" i="1"/>
  <c r="T334" i="1" s="1"/>
  <c r="O334" i="1"/>
  <c r="P334" i="1" s="1"/>
  <c r="G334" i="1"/>
  <c r="B334" i="1"/>
  <c r="BB336" i="1" s="1"/>
  <c r="DE333" i="1"/>
  <c r="DD333" i="1"/>
  <c r="DC333" i="1"/>
  <c r="DB333" i="1"/>
  <c r="DA333" i="1"/>
  <c r="CZ333" i="1"/>
  <c r="CY333" i="1"/>
  <c r="CX333" i="1"/>
  <c r="CW333" i="1"/>
  <c r="CV333" i="1"/>
  <c r="CU333" i="1"/>
  <c r="CT333" i="1"/>
  <c r="CS333" i="1"/>
  <c r="CR333" i="1"/>
  <c r="CQ333" i="1"/>
  <c r="CP333" i="1"/>
  <c r="CO333" i="1"/>
  <c r="CN333" i="1"/>
  <c r="CM333" i="1"/>
  <c r="CL333" i="1"/>
  <c r="CK333" i="1"/>
  <c r="CJ333" i="1"/>
  <c r="CI333" i="1"/>
  <c r="CH333" i="1"/>
  <c r="CG333" i="1"/>
  <c r="CF333" i="1"/>
  <c r="BR333" i="1"/>
  <c r="BQ333" i="1"/>
  <c r="BP333" i="1"/>
  <c r="BO333" i="1"/>
  <c r="BN333" i="1"/>
  <c r="BM333" i="1"/>
  <c r="BL333" i="1"/>
  <c r="BK333" i="1"/>
  <c r="BJ333" i="1"/>
  <c r="BI333" i="1"/>
  <c r="BH333" i="1"/>
  <c r="BG333" i="1"/>
  <c r="BF333" i="1"/>
  <c r="BC333" i="1"/>
  <c r="AU333" i="1"/>
  <c r="AR333" i="1"/>
  <c r="AQ333" i="1"/>
  <c r="AP333" i="1"/>
  <c r="AO333" i="1"/>
  <c r="AN333" i="1"/>
  <c r="AM333" i="1"/>
  <c r="AL333" i="1"/>
  <c r="AK333" i="1"/>
  <c r="AJ333" i="1"/>
  <c r="AI333" i="1"/>
  <c r="AH333" i="1"/>
  <c r="AG333" i="1"/>
  <c r="AF333" i="1"/>
  <c r="AE333" i="1"/>
  <c r="AD333" i="1"/>
  <c r="R333" i="1"/>
  <c r="Q333" i="1"/>
  <c r="DE332" i="1"/>
  <c r="DD332" i="1"/>
  <c r="DC332" i="1"/>
  <c r="DB332" i="1"/>
  <c r="DA332" i="1"/>
  <c r="CZ332" i="1"/>
  <c r="CY332" i="1"/>
  <c r="CX332" i="1"/>
  <c r="CW332" i="1"/>
  <c r="CV332" i="1"/>
  <c r="CU332" i="1"/>
  <c r="CT332" i="1"/>
  <c r="CS332" i="1"/>
  <c r="CR332" i="1"/>
  <c r="CQ332" i="1"/>
  <c r="CP332" i="1"/>
  <c r="CO332" i="1"/>
  <c r="CN332" i="1"/>
  <c r="CM332" i="1"/>
  <c r="CL332" i="1"/>
  <c r="CK332" i="1"/>
  <c r="CJ332" i="1"/>
  <c r="CI332" i="1"/>
  <c r="CH332" i="1"/>
  <c r="CG332" i="1"/>
  <c r="CF332" i="1"/>
  <c r="BR332" i="1"/>
  <c r="BQ332" i="1"/>
  <c r="BP332" i="1"/>
  <c r="BO332" i="1"/>
  <c r="BN332" i="1"/>
  <c r="BM332" i="1"/>
  <c r="BL332" i="1"/>
  <c r="BK332" i="1"/>
  <c r="BJ332" i="1"/>
  <c r="BI332" i="1"/>
  <c r="BH332" i="1"/>
  <c r="BG332" i="1"/>
  <c r="BF332" i="1"/>
  <c r="BD332" i="1"/>
  <c r="AV332" i="1"/>
  <c r="AR332" i="1"/>
  <c r="AQ332" i="1"/>
  <c r="AP332" i="1"/>
  <c r="AO332" i="1"/>
  <c r="AN332" i="1"/>
  <c r="AM332" i="1"/>
  <c r="AL332" i="1"/>
  <c r="AK332" i="1"/>
  <c r="AJ332" i="1"/>
  <c r="AI332" i="1"/>
  <c r="AH332" i="1"/>
  <c r="AG332" i="1"/>
  <c r="AF332" i="1"/>
  <c r="AE332" i="1"/>
  <c r="O331" i="1" s="1"/>
  <c r="P331" i="1" s="1"/>
  <c r="AD332" i="1"/>
  <c r="J332" i="1"/>
  <c r="DE331" i="1"/>
  <c r="DD331" i="1"/>
  <c r="DC331" i="1"/>
  <c r="DB331" i="1"/>
  <c r="DA331" i="1"/>
  <c r="CZ331" i="1"/>
  <c r="CY331" i="1"/>
  <c r="CX331" i="1"/>
  <c r="CW331" i="1"/>
  <c r="CV331" i="1"/>
  <c r="CU331" i="1"/>
  <c r="CT331" i="1"/>
  <c r="CS331" i="1"/>
  <c r="CR331" i="1"/>
  <c r="CQ331" i="1"/>
  <c r="CP331" i="1"/>
  <c r="CO331" i="1"/>
  <c r="CN331" i="1"/>
  <c r="CM331" i="1"/>
  <c r="CL331" i="1"/>
  <c r="CK331" i="1"/>
  <c r="CJ331" i="1"/>
  <c r="CI331" i="1"/>
  <c r="CH331" i="1"/>
  <c r="CG331" i="1"/>
  <c r="CF331" i="1"/>
  <c r="CA331" i="1"/>
  <c r="BS331" i="1"/>
  <c r="BR331" i="1"/>
  <c r="BQ331" i="1"/>
  <c r="BP331" i="1"/>
  <c r="BO331" i="1"/>
  <c r="BN331" i="1"/>
  <c r="BM331" i="1"/>
  <c r="BL331" i="1"/>
  <c r="BK331" i="1"/>
  <c r="BJ331" i="1"/>
  <c r="BI331" i="1"/>
  <c r="BH331" i="1"/>
  <c r="BG331" i="1"/>
  <c r="BF331" i="1"/>
  <c r="AY331" i="1"/>
  <c r="AR331" i="1"/>
  <c r="AQ331" i="1"/>
  <c r="AP331" i="1"/>
  <c r="AO331" i="1"/>
  <c r="AN331" i="1"/>
  <c r="AM331" i="1"/>
  <c r="AL331" i="1"/>
  <c r="AK331" i="1"/>
  <c r="AJ331" i="1"/>
  <c r="AI331" i="1"/>
  <c r="AH331" i="1"/>
  <c r="AG331" i="1"/>
  <c r="AF331" i="1"/>
  <c r="AE331" i="1"/>
  <c r="AD331" i="1"/>
  <c r="F331" i="1"/>
  <c r="B331" i="1"/>
  <c r="DE330" i="1"/>
  <c r="DD330" i="1"/>
  <c r="DC330" i="1"/>
  <c r="DB330" i="1"/>
  <c r="DA330" i="1"/>
  <c r="CZ330" i="1"/>
  <c r="CY330" i="1"/>
  <c r="CX330" i="1"/>
  <c r="CW330" i="1"/>
  <c r="CV330" i="1"/>
  <c r="CU330" i="1"/>
  <c r="CT330" i="1"/>
  <c r="CS330" i="1"/>
  <c r="CR330" i="1"/>
  <c r="CQ330" i="1"/>
  <c r="CP330" i="1"/>
  <c r="CO330" i="1"/>
  <c r="CN330" i="1"/>
  <c r="CM330" i="1"/>
  <c r="CL330" i="1"/>
  <c r="CK330" i="1"/>
  <c r="CJ330" i="1"/>
  <c r="CI330" i="1"/>
  <c r="CH330" i="1"/>
  <c r="CG330" i="1"/>
  <c r="CF330" i="1"/>
  <c r="BR330" i="1"/>
  <c r="BQ330" i="1"/>
  <c r="BP330" i="1"/>
  <c r="BO330" i="1"/>
  <c r="BN330" i="1"/>
  <c r="BM330" i="1"/>
  <c r="BL330" i="1"/>
  <c r="BK330" i="1"/>
  <c r="BJ330" i="1"/>
  <c r="BI330" i="1"/>
  <c r="BH330" i="1"/>
  <c r="BG330" i="1"/>
  <c r="BF330" i="1"/>
  <c r="AY330" i="1"/>
  <c r="AR330" i="1"/>
  <c r="AQ330" i="1"/>
  <c r="AP330" i="1"/>
  <c r="AO330" i="1"/>
  <c r="AN330" i="1"/>
  <c r="AM330" i="1"/>
  <c r="AL330" i="1"/>
  <c r="AK330" i="1"/>
  <c r="AJ330" i="1"/>
  <c r="AI330" i="1"/>
  <c r="AH330" i="1"/>
  <c r="AG330" i="1"/>
  <c r="AF330" i="1"/>
  <c r="AE330" i="1"/>
  <c r="R330" i="1"/>
  <c r="Q330" i="1"/>
  <c r="O330" i="1"/>
  <c r="P330" i="1" s="1"/>
  <c r="DE329" i="1"/>
  <c r="DD329" i="1"/>
  <c r="DC329" i="1"/>
  <c r="DB329" i="1"/>
  <c r="DA329" i="1"/>
  <c r="CZ329" i="1"/>
  <c r="CY329" i="1"/>
  <c r="CX329" i="1"/>
  <c r="CW329" i="1"/>
  <c r="CV329" i="1"/>
  <c r="CU329" i="1"/>
  <c r="CT329" i="1"/>
  <c r="CS329" i="1"/>
  <c r="CR329" i="1"/>
  <c r="CQ329" i="1"/>
  <c r="CP329" i="1"/>
  <c r="CO329" i="1"/>
  <c r="CN329" i="1"/>
  <c r="CM329" i="1"/>
  <c r="CL329" i="1"/>
  <c r="CK329" i="1"/>
  <c r="CJ329" i="1"/>
  <c r="CI329" i="1"/>
  <c r="CH329" i="1"/>
  <c r="CG329" i="1"/>
  <c r="CF329" i="1"/>
  <c r="BR329" i="1"/>
  <c r="BQ329" i="1"/>
  <c r="BP329" i="1"/>
  <c r="BO329" i="1"/>
  <c r="BN329" i="1"/>
  <c r="BM329" i="1"/>
  <c r="BL329" i="1"/>
  <c r="BK329" i="1"/>
  <c r="BJ329" i="1"/>
  <c r="BI329" i="1"/>
  <c r="BH329" i="1"/>
  <c r="BG329" i="1"/>
  <c r="BF329" i="1"/>
  <c r="BB329" i="1"/>
  <c r="AT329" i="1"/>
  <c r="AR329" i="1"/>
  <c r="AP329" i="1"/>
  <c r="AO329" i="1"/>
  <c r="AN329" i="1"/>
  <c r="AM329" i="1"/>
  <c r="AL329" i="1"/>
  <c r="AK329" i="1"/>
  <c r="AJ329" i="1"/>
  <c r="AI329" i="1"/>
  <c r="AH329" i="1"/>
  <c r="AG329" i="1"/>
  <c r="AF329" i="1"/>
  <c r="AE329" i="1"/>
  <c r="DE328" i="1"/>
  <c r="DD328" i="1"/>
  <c r="DC328" i="1"/>
  <c r="DB328" i="1"/>
  <c r="DA328" i="1"/>
  <c r="CZ328" i="1"/>
  <c r="CY328" i="1"/>
  <c r="CX328" i="1"/>
  <c r="CW328" i="1"/>
  <c r="CV328" i="1"/>
  <c r="CU328" i="1"/>
  <c r="CT328" i="1"/>
  <c r="CS328" i="1"/>
  <c r="CR328" i="1"/>
  <c r="CQ328" i="1"/>
  <c r="CP328" i="1"/>
  <c r="CO328" i="1"/>
  <c r="CN328" i="1"/>
  <c r="CM328" i="1"/>
  <c r="CL328" i="1"/>
  <c r="CK328" i="1"/>
  <c r="CJ328" i="1"/>
  <c r="CI328" i="1"/>
  <c r="CH328" i="1"/>
  <c r="CG328" i="1"/>
  <c r="CF328" i="1"/>
  <c r="BV328" i="1"/>
  <c r="BR328" i="1"/>
  <c r="BQ328" i="1"/>
  <c r="BP328" i="1"/>
  <c r="BO328" i="1"/>
  <c r="BN328" i="1"/>
  <c r="BL328" i="1"/>
  <c r="BK328" i="1"/>
  <c r="BJ328" i="1"/>
  <c r="BI328" i="1"/>
  <c r="BH328" i="1"/>
  <c r="BG328" i="1"/>
  <c r="BF328" i="1"/>
  <c r="AY328" i="1"/>
  <c r="AR328" i="1"/>
  <c r="AQ328" i="1"/>
  <c r="AP328" i="1"/>
  <c r="AO328" i="1"/>
  <c r="AN328" i="1"/>
  <c r="AL328" i="1"/>
  <c r="AK328" i="1"/>
  <c r="AJ328" i="1"/>
  <c r="AI328" i="1"/>
  <c r="AH328" i="1"/>
  <c r="AG328" i="1"/>
  <c r="AF328" i="1"/>
  <c r="AE328" i="1"/>
  <c r="O329" i="1" s="1"/>
  <c r="P329" i="1" s="1"/>
  <c r="AQ329" i="1" s="1"/>
  <c r="AD328" i="1"/>
  <c r="O328" i="1"/>
  <c r="F328" i="1"/>
  <c r="B328" i="1"/>
  <c r="DE327" i="1"/>
  <c r="DD327" i="1"/>
  <c r="DC327" i="1"/>
  <c r="DB327" i="1"/>
  <c r="DA327" i="1"/>
  <c r="CZ327" i="1"/>
  <c r="CY327" i="1"/>
  <c r="CX327" i="1"/>
  <c r="CW327" i="1"/>
  <c r="CV327" i="1"/>
  <c r="CU327" i="1"/>
  <c r="CT327" i="1"/>
  <c r="CS327" i="1"/>
  <c r="CR327" i="1"/>
  <c r="CQ327" i="1"/>
  <c r="CP327" i="1"/>
  <c r="CO327" i="1"/>
  <c r="CN327" i="1"/>
  <c r="CM327" i="1"/>
  <c r="CL327" i="1"/>
  <c r="CK327" i="1"/>
  <c r="CJ327" i="1"/>
  <c r="CI327" i="1"/>
  <c r="CH327" i="1"/>
  <c r="CG327" i="1"/>
  <c r="CF327" i="1"/>
  <c r="BR327" i="1"/>
  <c r="BP327" i="1"/>
  <c r="BO327" i="1"/>
  <c r="BN327" i="1"/>
  <c r="BM327" i="1"/>
  <c r="BL327" i="1"/>
  <c r="BK327" i="1"/>
  <c r="BJ327" i="1"/>
  <c r="BI327" i="1"/>
  <c r="BH327" i="1"/>
  <c r="BG327" i="1"/>
  <c r="BF327" i="1"/>
  <c r="BC327" i="1"/>
  <c r="AY327" i="1"/>
  <c r="AX327" i="1"/>
  <c r="AU327" i="1"/>
  <c r="AR327" i="1"/>
  <c r="AP327" i="1"/>
  <c r="AO327" i="1"/>
  <c r="AN327" i="1"/>
  <c r="AM327" i="1"/>
  <c r="AL327" i="1"/>
  <c r="AK327" i="1"/>
  <c r="AJ327" i="1"/>
  <c r="AI327" i="1"/>
  <c r="AH327" i="1"/>
  <c r="AG327" i="1"/>
  <c r="AF327" i="1"/>
  <c r="AE327" i="1"/>
  <c r="AD327" i="1"/>
  <c r="DE326" i="1"/>
  <c r="DD326" i="1"/>
  <c r="DC326" i="1"/>
  <c r="DB326" i="1"/>
  <c r="DA326" i="1"/>
  <c r="CZ326" i="1"/>
  <c r="CY326" i="1"/>
  <c r="CX326" i="1"/>
  <c r="CW326" i="1"/>
  <c r="CV326" i="1"/>
  <c r="CU326" i="1"/>
  <c r="CT326" i="1"/>
  <c r="CS326" i="1"/>
  <c r="CR326" i="1"/>
  <c r="CQ326" i="1"/>
  <c r="CP326" i="1"/>
  <c r="CO326" i="1"/>
  <c r="CN326" i="1"/>
  <c r="CM326" i="1"/>
  <c r="CL326" i="1"/>
  <c r="CK326" i="1"/>
  <c r="CJ326" i="1"/>
  <c r="CI326" i="1"/>
  <c r="CH326" i="1"/>
  <c r="CG326" i="1"/>
  <c r="CF326" i="1"/>
  <c r="BR326" i="1"/>
  <c r="BP326" i="1"/>
  <c r="BO326" i="1"/>
  <c r="BN326" i="1"/>
  <c r="BM326" i="1"/>
  <c r="BL326" i="1"/>
  <c r="BK326" i="1"/>
  <c r="BJ326" i="1"/>
  <c r="BI326" i="1"/>
  <c r="BH326" i="1"/>
  <c r="BG326" i="1"/>
  <c r="BF326" i="1"/>
  <c r="BC326" i="1"/>
  <c r="BB326" i="1"/>
  <c r="AX326" i="1"/>
  <c r="AU326" i="1"/>
  <c r="AT326" i="1"/>
  <c r="AR326" i="1"/>
  <c r="AP326" i="1"/>
  <c r="AO326" i="1"/>
  <c r="AN326" i="1"/>
  <c r="AM326" i="1"/>
  <c r="AL326" i="1"/>
  <c r="AK326" i="1"/>
  <c r="AJ326" i="1"/>
  <c r="AI326" i="1"/>
  <c r="AH326" i="1"/>
  <c r="AG326" i="1"/>
  <c r="AF326" i="1"/>
  <c r="AE326" i="1"/>
  <c r="O325" i="1" s="1"/>
  <c r="AD326" i="1"/>
  <c r="J326" i="1"/>
  <c r="DE325" i="1"/>
  <c r="DD325" i="1"/>
  <c r="DC325" i="1"/>
  <c r="DB325" i="1"/>
  <c r="DA325" i="1"/>
  <c r="CZ325" i="1"/>
  <c r="CY325" i="1"/>
  <c r="CX325" i="1"/>
  <c r="CW325" i="1"/>
  <c r="CV325" i="1"/>
  <c r="CU325" i="1"/>
  <c r="CT325" i="1"/>
  <c r="CS325" i="1"/>
  <c r="CR325" i="1"/>
  <c r="CQ325" i="1"/>
  <c r="CP325" i="1"/>
  <c r="CO325" i="1"/>
  <c r="CN325" i="1"/>
  <c r="CM325" i="1"/>
  <c r="CL325" i="1"/>
  <c r="CK325" i="1"/>
  <c r="CJ325" i="1"/>
  <c r="CI325" i="1"/>
  <c r="CH325" i="1"/>
  <c r="CG325" i="1"/>
  <c r="CF325" i="1"/>
  <c r="BZ325" i="1"/>
  <c r="BY325" i="1"/>
  <c r="BV325" i="1"/>
  <c r="BR325" i="1"/>
  <c r="BQ325" i="1"/>
  <c r="BP325" i="1"/>
  <c r="BO325" i="1"/>
  <c r="BN325" i="1"/>
  <c r="BM325" i="1"/>
  <c r="BL325" i="1"/>
  <c r="BK325" i="1"/>
  <c r="BJ325" i="1"/>
  <c r="BI325" i="1"/>
  <c r="BH325" i="1"/>
  <c r="BG325" i="1"/>
  <c r="BF325" i="1"/>
  <c r="BE325" i="1"/>
  <c r="BB325" i="1"/>
  <c r="AX325" i="1"/>
  <c r="AW325" i="1"/>
  <c r="AT325" i="1"/>
  <c r="AR325" i="1"/>
  <c r="AQ325" i="1"/>
  <c r="AP325" i="1"/>
  <c r="AO325" i="1"/>
  <c r="AN325" i="1"/>
  <c r="AL325" i="1"/>
  <c r="AK325" i="1"/>
  <c r="AJ325" i="1"/>
  <c r="AI325" i="1"/>
  <c r="AH325" i="1"/>
  <c r="AG325" i="1"/>
  <c r="AF325" i="1"/>
  <c r="AE325" i="1"/>
  <c r="AD325" i="1"/>
  <c r="G325" i="1"/>
  <c r="B325" i="1"/>
  <c r="DE324" i="1"/>
  <c r="DD324" i="1"/>
  <c r="DC324" i="1"/>
  <c r="DB324" i="1"/>
  <c r="DA324" i="1"/>
  <c r="CZ324" i="1"/>
  <c r="CY324" i="1"/>
  <c r="CX324" i="1"/>
  <c r="CW324" i="1"/>
  <c r="CV324" i="1"/>
  <c r="CU324" i="1"/>
  <c r="CT324" i="1"/>
  <c r="CS324" i="1"/>
  <c r="CR324" i="1"/>
  <c r="CQ324" i="1"/>
  <c r="CP324" i="1"/>
  <c r="CO324" i="1"/>
  <c r="CN324" i="1"/>
  <c r="CM324" i="1"/>
  <c r="CL324" i="1"/>
  <c r="CK324" i="1"/>
  <c r="CJ324" i="1"/>
  <c r="CI324" i="1"/>
  <c r="CH324" i="1"/>
  <c r="CG324" i="1"/>
  <c r="CF324" i="1"/>
  <c r="BR324" i="1"/>
  <c r="BQ324" i="1"/>
  <c r="BP324" i="1"/>
  <c r="BO324" i="1"/>
  <c r="BN324" i="1"/>
  <c r="BM324" i="1"/>
  <c r="BL324" i="1"/>
  <c r="BK324" i="1"/>
  <c r="BJ324" i="1"/>
  <c r="BI324" i="1"/>
  <c r="BH324" i="1"/>
  <c r="BG324" i="1"/>
  <c r="BF324" i="1"/>
  <c r="AR324" i="1"/>
  <c r="AQ324" i="1"/>
  <c r="AP324" i="1"/>
  <c r="AO324" i="1"/>
  <c r="AN324" i="1"/>
  <c r="AM324" i="1"/>
  <c r="AL324" i="1"/>
  <c r="AK324" i="1"/>
  <c r="AJ324" i="1"/>
  <c r="AI324" i="1"/>
  <c r="AH324" i="1"/>
  <c r="AG324" i="1"/>
  <c r="AF324" i="1"/>
  <c r="AE324" i="1"/>
  <c r="R324" i="1"/>
  <c r="Q324" i="1"/>
  <c r="DE323" i="1"/>
  <c r="DD323" i="1"/>
  <c r="DC323" i="1"/>
  <c r="DB323" i="1"/>
  <c r="DA323" i="1"/>
  <c r="CZ323" i="1"/>
  <c r="CY323" i="1"/>
  <c r="CX323" i="1"/>
  <c r="CW323" i="1"/>
  <c r="CV323" i="1"/>
  <c r="CU323" i="1"/>
  <c r="CT323" i="1"/>
  <c r="CS323" i="1"/>
  <c r="CR323" i="1"/>
  <c r="CQ323" i="1"/>
  <c r="CP323" i="1"/>
  <c r="CO323" i="1"/>
  <c r="CN323" i="1"/>
  <c r="CM323" i="1"/>
  <c r="CL323" i="1"/>
  <c r="CK323" i="1"/>
  <c r="CJ323" i="1"/>
  <c r="CI323" i="1"/>
  <c r="CH323" i="1"/>
  <c r="CG323" i="1"/>
  <c r="CF323" i="1"/>
  <c r="BR323" i="1"/>
  <c r="BP323" i="1"/>
  <c r="BO323" i="1"/>
  <c r="BN323" i="1"/>
  <c r="BM323" i="1"/>
  <c r="BL323" i="1"/>
  <c r="BK323" i="1"/>
  <c r="BJ323" i="1"/>
  <c r="BI323" i="1"/>
  <c r="BH323" i="1"/>
  <c r="BG323" i="1"/>
  <c r="BF323" i="1"/>
  <c r="AR323" i="1"/>
  <c r="AP323" i="1"/>
  <c r="AO323" i="1"/>
  <c r="AN323" i="1"/>
  <c r="AM323" i="1"/>
  <c r="AL323" i="1"/>
  <c r="AK323" i="1"/>
  <c r="AJ323" i="1"/>
  <c r="AI323" i="1"/>
  <c r="AH323" i="1"/>
  <c r="AG323" i="1"/>
  <c r="AF323" i="1"/>
  <c r="AE323" i="1"/>
  <c r="J323" i="1"/>
  <c r="DE322" i="1"/>
  <c r="DD322" i="1"/>
  <c r="DC322" i="1"/>
  <c r="DB322" i="1"/>
  <c r="DA322" i="1"/>
  <c r="CZ322" i="1"/>
  <c r="CY322" i="1"/>
  <c r="CX322" i="1"/>
  <c r="CW322" i="1"/>
  <c r="CV322" i="1"/>
  <c r="CU322" i="1"/>
  <c r="CT322" i="1"/>
  <c r="CS322" i="1"/>
  <c r="CR322" i="1"/>
  <c r="CQ322" i="1"/>
  <c r="CP322" i="1"/>
  <c r="CO322" i="1"/>
  <c r="CN322" i="1"/>
  <c r="CM322" i="1"/>
  <c r="CL322" i="1"/>
  <c r="CK322" i="1"/>
  <c r="CJ322" i="1"/>
  <c r="CI322" i="1"/>
  <c r="CH322" i="1"/>
  <c r="CG322" i="1"/>
  <c r="CF322" i="1"/>
  <c r="BR322" i="1"/>
  <c r="BQ322" i="1"/>
  <c r="BP322" i="1"/>
  <c r="BO322" i="1"/>
  <c r="BN322" i="1"/>
  <c r="BL322" i="1"/>
  <c r="BK322" i="1"/>
  <c r="BJ322" i="1"/>
  <c r="BI322" i="1"/>
  <c r="BH322" i="1"/>
  <c r="BG322" i="1"/>
  <c r="BF322" i="1"/>
  <c r="AR322" i="1"/>
  <c r="AQ322" i="1"/>
  <c r="AP322" i="1"/>
  <c r="AO322" i="1"/>
  <c r="AN322" i="1"/>
  <c r="AL322" i="1"/>
  <c r="AK322" i="1"/>
  <c r="AJ322" i="1"/>
  <c r="AI322" i="1"/>
  <c r="AH322" i="1"/>
  <c r="AG322" i="1"/>
  <c r="AF322" i="1"/>
  <c r="AE322" i="1"/>
  <c r="O323" i="1" s="1"/>
  <c r="P323" i="1" s="1"/>
  <c r="AQ323" i="1" s="1"/>
  <c r="AD322" i="1"/>
  <c r="F322" i="1"/>
  <c r="B322" i="1"/>
  <c r="DE321" i="1"/>
  <c r="DD321" i="1"/>
  <c r="DC321" i="1"/>
  <c r="DB321" i="1"/>
  <c r="DA321" i="1"/>
  <c r="CZ321" i="1"/>
  <c r="CY321" i="1"/>
  <c r="CX321" i="1"/>
  <c r="CW321" i="1"/>
  <c r="CV321" i="1"/>
  <c r="CU321" i="1"/>
  <c r="CT321" i="1"/>
  <c r="CS321" i="1"/>
  <c r="CR321" i="1"/>
  <c r="CQ321" i="1"/>
  <c r="CP321" i="1"/>
  <c r="CO321" i="1"/>
  <c r="CN321" i="1"/>
  <c r="CM321" i="1"/>
  <c r="CL321" i="1"/>
  <c r="CK321" i="1"/>
  <c r="CJ321" i="1"/>
  <c r="CI321" i="1"/>
  <c r="CH321" i="1"/>
  <c r="CG321" i="1"/>
  <c r="CF321" i="1"/>
  <c r="BR321" i="1"/>
  <c r="BQ321" i="1"/>
  <c r="BP321" i="1"/>
  <c r="BO321" i="1"/>
  <c r="BN321" i="1"/>
  <c r="BM321" i="1"/>
  <c r="BL321" i="1"/>
  <c r="BK321" i="1"/>
  <c r="BJ321" i="1"/>
  <c r="BI321" i="1"/>
  <c r="BH321" i="1"/>
  <c r="BG321" i="1"/>
  <c r="BF321" i="1"/>
  <c r="BD321" i="1"/>
  <c r="BC321" i="1"/>
  <c r="AZ321" i="1"/>
  <c r="AY321" i="1"/>
  <c r="AV321" i="1"/>
  <c r="AU321" i="1"/>
  <c r="AR321" i="1"/>
  <c r="AQ321" i="1"/>
  <c r="AP321" i="1"/>
  <c r="AO321" i="1"/>
  <c r="AN321" i="1"/>
  <c r="AM321" i="1"/>
  <c r="AL321" i="1"/>
  <c r="AK321" i="1"/>
  <c r="AJ321" i="1"/>
  <c r="AI321" i="1"/>
  <c r="AH321" i="1"/>
  <c r="AG321" i="1"/>
  <c r="AF321" i="1"/>
  <c r="AE321" i="1"/>
  <c r="AD321" i="1"/>
  <c r="R321" i="1"/>
  <c r="Q321" i="1"/>
  <c r="DE320" i="1"/>
  <c r="DD320" i="1"/>
  <c r="DC320" i="1"/>
  <c r="DB320" i="1"/>
  <c r="DA320" i="1"/>
  <c r="CZ320" i="1"/>
  <c r="CY320" i="1"/>
  <c r="CX320" i="1"/>
  <c r="CW320" i="1"/>
  <c r="CV320" i="1"/>
  <c r="CU320" i="1"/>
  <c r="CT320" i="1"/>
  <c r="CS320" i="1"/>
  <c r="CR320" i="1"/>
  <c r="CQ320" i="1"/>
  <c r="CP320" i="1"/>
  <c r="CO320" i="1"/>
  <c r="CN320" i="1"/>
  <c r="CM320" i="1"/>
  <c r="CL320" i="1"/>
  <c r="CK320" i="1"/>
  <c r="CJ320" i="1"/>
  <c r="CI320" i="1"/>
  <c r="CH320" i="1"/>
  <c r="CG320" i="1"/>
  <c r="CF320" i="1"/>
  <c r="BR320" i="1"/>
  <c r="BP320" i="1"/>
  <c r="BO320" i="1"/>
  <c r="BN320" i="1"/>
  <c r="BM320" i="1"/>
  <c r="BL320" i="1"/>
  <c r="BK320" i="1"/>
  <c r="BJ320" i="1"/>
  <c r="BI320" i="1"/>
  <c r="BH320" i="1"/>
  <c r="BG320" i="1"/>
  <c r="BF320" i="1"/>
  <c r="BD320" i="1"/>
  <c r="BC320" i="1"/>
  <c r="AZ320" i="1"/>
  <c r="AY320" i="1"/>
  <c r="AV320" i="1"/>
  <c r="AU320" i="1"/>
  <c r="AR320" i="1"/>
  <c r="AP320" i="1"/>
  <c r="AO320" i="1"/>
  <c r="AN320" i="1"/>
  <c r="AM320" i="1"/>
  <c r="AL320" i="1"/>
  <c r="AK320" i="1"/>
  <c r="AJ320" i="1"/>
  <c r="AI320" i="1"/>
  <c r="AH320" i="1"/>
  <c r="AG320" i="1"/>
  <c r="AF320" i="1"/>
  <c r="AE320" i="1"/>
  <c r="O319" i="1" s="1"/>
  <c r="AD320" i="1"/>
  <c r="DE319" i="1"/>
  <c r="DD319" i="1"/>
  <c r="DC319" i="1"/>
  <c r="DB319" i="1"/>
  <c r="DA319" i="1"/>
  <c r="CZ319" i="1"/>
  <c r="CY319" i="1"/>
  <c r="CX319" i="1"/>
  <c r="CW319" i="1"/>
  <c r="CV319" i="1"/>
  <c r="CU319" i="1"/>
  <c r="CT319" i="1"/>
  <c r="CS319" i="1"/>
  <c r="CR319" i="1"/>
  <c r="CQ319" i="1"/>
  <c r="CP319" i="1"/>
  <c r="CO319" i="1"/>
  <c r="CN319" i="1"/>
  <c r="CM319" i="1"/>
  <c r="CL319" i="1"/>
  <c r="CK319" i="1"/>
  <c r="CJ319" i="1"/>
  <c r="CI319" i="1"/>
  <c r="CH319" i="1"/>
  <c r="CG319" i="1"/>
  <c r="CF319" i="1"/>
  <c r="CC319" i="1"/>
  <c r="BZ319" i="1"/>
  <c r="BY319" i="1"/>
  <c r="BV319" i="1"/>
  <c r="BU319" i="1"/>
  <c r="BR319" i="1"/>
  <c r="BQ319" i="1"/>
  <c r="BP319" i="1"/>
  <c r="BO319" i="1"/>
  <c r="BN319" i="1"/>
  <c r="BM319" i="1"/>
  <c r="BL319" i="1"/>
  <c r="BK319" i="1"/>
  <c r="BJ319" i="1"/>
  <c r="BI319" i="1"/>
  <c r="BH319" i="1"/>
  <c r="BG319" i="1"/>
  <c r="BF319" i="1"/>
  <c r="BE319" i="1"/>
  <c r="BB319" i="1"/>
  <c r="BA319" i="1"/>
  <c r="AX319" i="1"/>
  <c r="AW319" i="1"/>
  <c r="AT319" i="1"/>
  <c r="AS319" i="1"/>
  <c r="AR319" i="1"/>
  <c r="AQ319" i="1"/>
  <c r="AP319" i="1"/>
  <c r="AO319" i="1"/>
  <c r="AN319" i="1"/>
  <c r="AL319" i="1"/>
  <c r="AK319" i="1"/>
  <c r="AJ319" i="1"/>
  <c r="AI319" i="1"/>
  <c r="AH319" i="1"/>
  <c r="AG319" i="1"/>
  <c r="AF319" i="1"/>
  <c r="AE319" i="1"/>
  <c r="O321" i="1" s="1"/>
  <c r="P321" i="1" s="1"/>
  <c r="AD319" i="1"/>
  <c r="F319" i="1"/>
  <c r="B319" i="1"/>
  <c r="BB321" i="1" s="1"/>
  <c r="DE318" i="1"/>
  <c r="DD318" i="1"/>
  <c r="DC318" i="1"/>
  <c r="DB318" i="1"/>
  <c r="DA318" i="1"/>
  <c r="CZ318" i="1"/>
  <c r="CY318" i="1"/>
  <c r="CX318" i="1"/>
  <c r="CW318" i="1"/>
  <c r="CV318" i="1"/>
  <c r="CU318" i="1"/>
  <c r="CT318" i="1"/>
  <c r="CS318" i="1"/>
  <c r="CR318" i="1"/>
  <c r="CQ318" i="1"/>
  <c r="CP318" i="1"/>
  <c r="CO318" i="1"/>
  <c r="CN318" i="1"/>
  <c r="CM318" i="1"/>
  <c r="CL318" i="1"/>
  <c r="CK318" i="1"/>
  <c r="CJ318" i="1"/>
  <c r="CI318" i="1"/>
  <c r="CH318" i="1"/>
  <c r="CG318" i="1"/>
  <c r="CF318" i="1"/>
  <c r="BR318" i="1"/>
  <c r="BQ318" i="1"/>
  <c r="BP318" i="1"/>
  <c r="BO318" i="1"/>
  <c r="BN318" i="1"/>
  <c r="BM318" i="1"/>
  <c r="BL318" i="1"/>
  <c r="BK318" i="1"/>
  <c r="BJ318" i="1"/>
  <c r="BI318" i="1"/>
  <c r="BH318" i="1"/>
  <c r="BF318" i="1"/>
  <c r="BE318" i="1"/>
  <c r="BB318" i="1"/>
  <c r="BA318" i="1"/>
  <c r="AX318" i="1"/>
  <c r="AW318" i="1"/>
  <c r="AT318" i="1"/>
  <c r="AS318" i="1"/>
  <c r="AR318" i="1"/>
  <c r="AQ318" i="1"/>
  <c r="AP318" i="1"/>
  <c r="AO318" i="1"/>
  <c r="AN318" i="1"/>
  <c r="AM318" i="1"/>
  <c r="AL318" i="1"/>
  <c r="AK318" i="1"/>
  <c r="AJ318" i="1"/>
  <c r="AI318" i="1"/>
  <c r="AH318" i="1"/>
  <c r="AF318" i="1"/>
  <c r="AE318" i="1"/>
  <c r="DE317" i="1"/>
  <c r="DD317" i="1"/>
  <c r="DC317" i="1"/>
  <c r="DB317" i="1"/>
  <c r="DA317" i="1"/>
  <c r="CZ317" i="1"/>
  <c r="CY317" i="1"/>
  <c r="CX317" i="1"/>
  <c r="CW317" i="1"/>
  <c r="CV317" i="1"/>
  <c r="CU317" i="1"/>
  <c r="CT317" i="1"/>
  <c r="CS317" i="1"/>
  <c r="CR317" i="1"/>
  <c r="CQ317" i="1"/>
  <c r="CP317" i="1"/>
  <c r="CO317" i="1"/>
  <c r="CN317" i="1"/>
  <c r="CM317" i="1"/>
  <c r="CL317" i="1"/>
  <c r="CK317" i="1"/>
  <c r="CJ317" i="1"/>
  <c r="CI317" i="1"/>
  <c r="CH317" i="1"/>
  <c r="CG317" i="1"/>
  <c r="CF317" i="1"/>
  <c r="BR317" i="1"/>
  <c r="BQ317" i="1"/>
  <c r="BP317" i="1"/>
  <c r="BO317" i="1"/>
  <c r="BN317" i="1"/>
  <c r="BM317" i="1"/>
  <c r="BL317" i="1"/>
  <c r="BK317" i="1"/>
  <c r="BJ317" i="1"/>
  <c r="BI317" i="1"/>
  <c r="BH317" i="1"/>
  <c r="BF317" i="1"/>
  <c r="BE317" i="1"/>
  <c r="BD317" i="1"/>
  <c r="BA317" i="1"/>
  <c r="AZ317" i="1"/>
  <c r="AW317" i="1"/>
  <c r="AV317" i="1"/>
  <c r="AS317" i="1"/>
  <c r="AR317" i="1"/>
  <c r="AQ317" i="1"/>
  <c r="AP317" i="1"/>
  <c r="AO317" i="1"/>
  <c r="AN317" i="1"/>
  <c r="AM317" i="1"/>
  <c r="AL317" i="1"/>
  <c r="AK317" i="1"/>
  <c r="AJ317" i="1"/>
  <c r="AI317" i="1"/>
  <c r="AH317" i="1"/>
  <c r="AF317" i="1"/>
  <c r="AE317" i="1"/>
  <c r="DE316" i="1"/>
  <c r="DD316" i="1"/>
  <c r="DC316" i="1"/>
  <c r="DB316" i="1"/>
  <c r="DA316" i="1"/>
  <c r="CZ316" i="1"/>
  <c r="CY316" i="1"/>
  <c r="CX316" i="1"/>
  <c r="CW316" i="1"/>
  <c r="CV316" i="1"/>
  <c r="CU316" i="1"/>
  <c r="CT316" i="1"/>
  <c r="CS316" i="1"/>
  <c r="CR316" i="1"/>
  <c r="CQ316" i="1"/>
  <c r="CP316" i="1"/>
  <c r="CO316" i="1"/>
  <c r="CN316" i="1"/>
  <c r="CM316" i="1"/>
  <c r="CL316" i="1"/>
  <c r="CK316" i="1"/>
  <c r="CJ316" i="1"/>
  <c r="CI316" i="1"/>
  <c r="CH316" i="1"/>
  <c r="CG316" i="1"/>
  <c r="CF316" i="1"/>
  <c r="CD316" i="1"/>
  <c r="CC316" i="1"/>
  <c r="BZ316" i="1"/>
  <c r="BY316" i="1"/>
  <c r="BV316" i="1"/>
  <c r="BU316" i="1"/>
  <c r="BR316" i="1"/>
  <c r="BQ316" i="1"/>
  <c r="BP316" i="1"/>
  <c r="BO316" i="1"/>
  <c r="BN316" i="1"/>
  <c r="BM316" i="1"/>
  <c r="BL316" i="1"/>
  <c r="BK316" i="1"/>
  <c r="BJ316" i="1"/>
  <c r="BI316" i="1"/>
  <c r="BH316" i="1"/>
  <c r="BG316" i="1"/>
  <c r="BF316" i="1"/>
  <c r="BE316" i="1"/>
  <c r="BB316" i="1"/>
  <c r="BA316" i="1"/>
  <c r="AX316" i="1"/>
  <c r="AW316" i="1"/>
  <c r="AT316" i="1"/>
  <c r="AS316" i="1"/>
  <c r="AR316" i="1"/>
  <c r="AQ316" i="1"/>
  <c r="AP316" i="1"/>
  <c r="AO316" i="1"/>
  <c r="AN316" i="1"/>
  <c r="AL316" i="1"/>
  <c r="AK316" i="1"/>
  <c r="AJ316" i="1"/>
  <c r="AI316" i="1"/>
  <c r="AH316" i="1"/>
  <c r="AG316" i="1"/>
  <c r="AF316" i="1"/>
  <c r="AE316" i="1"/>
  <c r="O317" i="1" s="1"/>
  <c r="BG317" i="1" s="1"/>
  <c r="AD316" i="1"/>
  <c r="O316" i="1"/>
  <c r="P316" i="1" s="1"/>
  <c r="F316" i="1"/>
  <c r="B316" i="1"/>
  <c r="BD318" i="1" s="1"/>
  <c r="DE315" i="1"/>
  <c r="DD315" i="1"/>
  <c r="DC315" i="1"/>
  <c r="DB315" i="1"/>
  <c r="DA315" i="1"/>
  <c r="CZ315" i="1"/>
  <c r="CY315" i="1"/>
  <c r="CX315" i="1"/>
  <c r="CW315" i="1"/>
  <c r="CV315" i="1"/>
  <c r="CU315" i="1"/>
  <c r="CT315" i="1"/>
  <c r="CS315" i="1"/>
  <c r="CR315" i="1"/>
  <c r="CQ315" i="1"/>
  <c r="CP315" i="1"/>
  <c r="CO315" i="1"/>
  <c r="CN315" i="1"/>
  <c r="CM315" i="1"/>
  <c r="CL315" i="1"/>
  <c r="CK315" i="1"/>
  <c r="CJ315" i="1"/>
  <c r="CI315" i="1"/>
  <c r="CH315" i="1"/>
  <c r="CG315" i="1"/>
  <c r="CF315" i="1"/>
  <c r="BR315" i="1"/>
  <c r="BQ315" i="1"/>
  <c r="BP315" i="1"/>
  <c r="BO315" i="1"/>
  <c r="BN315" i="1"/>
  <c r="BM315" i="1"/>
  <c r="BL315" i="1"/>
  <c r="BK315" i="1"/>
  <c r="BJ315" i="1"/>
  <c r="BI315" i="1"/>
  <c r="BH315" i="1"/>
  <c r="BG315" i="1"/>
  <c r="BF315" i="1"/>
  <c r="BE315" i="1"/>
  <c r="BC315" i="1"/>
  <c r="BB315" i="1"/>
  <c r="BA315" i="1"/>
  <c r="AY315" i="1"/>
  <c r="AX315" i="1"/>
  <c r="AW315" i="1"/>
  <c r="AU315" i="1"/>
  <c r="AT315" i="1"/>
  <c r="AS315" i="1"/>
  <c r="AR315" i="1"/>
  <c r="AQ315" i="1"/>
  <c r="AP315" i="1"/>
  <c r="AO315" i="1"/>
  <c r="AN315" i="1"/>
  <c r="AM315" i="1"/>
  <c r="AL315" i="1"/>
  <c r="AK315" i="1"/>
  <c r="AJ315" i="1"/>
  <c r="AI315" i="1"/>
  <c r="AH315" i="1"/>
  <c r="AG315" i="1"/>
  <c r="AF315" i="1"/>
  <c r="AE315" i="1"/>
  <c r="AD315" i="1"/>
  <c r="R315" i="1"/>
  <c r="Q315" i="1"/>
  <c r="O315" i="1"/>
  <c r="P315" i="1" s="1"/>
  <c r="DE314" i="1"/>
  <c r="DD314" i="1"/>
  <c r="DC314" i="1"/>
  <c r="DB314" i="1"/>
  <c r="DA314" i="1"/>
  <c r="CZ314" i="1"/>
  <c r="CY314" i="1"/>
  <c r="CX314" i="1"/>
  <c r="CW314" i="1"/>
  <c r="CV314" i="1"/>
  <c r="CU314" i="1"/>
  <c r="CT314" i="1"/>
  <c r="CS314" i="1"/>
  <c r="CR314" i="1"/>
  <c r="CQ314" i="1"/>
  <c r="CP314" i="1"/>
  <c r="CO314" i="1"/>
  <c r="CN314" i="1"/>
  <c r="CM314" i="1"/>
  <c r="CL314" i="1"/>
  <c r="CK314" i="1"/>
  <c r="CJ314" i="1"/>
  <c r="CI314" i="1"/>
  <c r="CH314" i="1"/>
  <c r="CG314" i="1"/>
  <c r="CF314" i="1"/>
  <c r="BR314" i="1"/>
  <c r="BQ314" i="1"/>
  <c r="BP314" i="1"/>
  <c r="BO314" i="1"/>
  <c r="BN314" i="1"/>
  <c r="BM314" i="1"/>
  <c r="BL314" i="1"/>
  <c r="BK314" i="1"/>
  <c r="BI314" i="1"/>
  <c r="BH314" i="1"/>
  <c r="BG314" i="1"/>
  <c r="BF314" i="1"/>
  <c r="BE314" i="1"/>
  <c r="BC314" i="1"/>
  <c r="BB314" i="1"/>
  <c r="BA314" i="1"/>
  <c r="AY314" i="1"/>
  <c r="AX314" i="1"/>
  <c r="AW314" i="1"/>
  <c r="AU314" i="1"/>
  <c r="AT314" i="1"/>
  <c r="AS314" i="1"/>
  <c r="AR314" i="1"/>
  <c r="AQ314" i="1"/>
  <c r="AP314" i="1"/>
  <c r="AO314" i="1"/>
  <c r="AN314" i="1"/>
  <c r="AM314" i="1"/>
  <c r="AL314" i="1"/>
  <c r="AK314" i="1"/>
  <c r="AI314" i="1"/>
  <c r="AH314" i="1"/>
  <c r="AG314" i="1"/>
  <c r="AF314" i="1"/>
  <c r="AE314" i="1"/>
  <c r="O313" i="1" s="1"/>
  <c r="P313" i="1" s="1"/>
  <c r="AM313" i="1" s="1"/>
  <c r="AD314" i="1"/>
  <c r="O314" i="1"/>
  <c r="J314" i="1"/>
  <c r="DE313" i="1"/>
  <c r="DD313" i="1"/>
  <c r="DC313" i="1"/>
  <c r="DB313" i="1"/>
  <c r="DA313" i="1"/>
  <c r="CZ313" i="1"/>
  <c r="CY313" i="1"/>
  <c r="CX313" i="1"/>
  <c r="CW313" i="1"/>
  <c r="CV313" i="1"/>
  <c r="CU313" i="1"/>
  <c r="CT313" i="1"/>
  <c r="CS313" i="1"/>
  <c r="CR313" i="1"/>
  <c r="CQ313" i="1"/>
  <c r="CP313" i="1"/>
  <c r="CO313" i="1"/>
  <c r="CN313" i="1"/>
  <c r="CM313" i="1"/>
  <c r="CL313" i="1"/>
  <c r="CK313" i="1"/>
  <c r="CJ313" i="1"/>
  <c r="CI313" i="1"/>
  <c r="CH313" i="1"/>
  <c r="CG313" i="1"/>
  <c r="CF313" i="1"/>
  <c r="CD313" i="1"/>
  <c r="CC313" i="1"/>
  <c r="CB313" i="1"/>
  <c r="BY313" i="1"/>
  <c r="BX313" i="1"/>
  <c r="BV313" i="1"/>
  <c r="BU313" i="1"/>
  <c r="BT313" i="1"/>
  <c r="BR313" i="1"/>
  <c r="BQ313" i="1"/>
  <c r="BP313" i="1"/>
  <c r="BO313" i="1"/>
  <c r="BN313" i="1"/>
  <c r="BL313" i="1"/>
  <c r="BK313" i="1"/>
  <c r="BJ313" i="1"/>
  <c r="BI313" i="1"/>
  <c r="BH313" i="1"/>
  <c r="BG313" i="1"/>
  <c r="BF313" i="1"/>
  <c r="BE313" i="1"/>
  <c r="BD313" i="1"/>
  <c r="BB313" i="1"/>
  <c r="BA313" i="1"/>
  <c r="AZ313" i="1"/>
  <c r="AX313" i="1"/>
  <c r="AW313" i="1"/>
  <c r="AV313" i="1"/>
  <c r="AT313" i="1"/>
  <c r="AS313" i="1"/>
  <c r="AR313" i="1"/>
  <c r="AQ313" i="1"/>
  <c r="AP313" i="1"/>
  <c r="AO313" i="1"/>
  <c r="AN313" i="1"/>
  <c r="AL313" i="1"/>
  <c r="AK313" i="1"/>
  <c r="AJ313" i="1"/>
  <c r="AI313" i="1"/>
  <c r="AH313" i="1"/>
  <c r="AG313" i="1"/>
  <c r="AF313" i="1"/>
  <c r="AE313" i="1"/>
  <c r="AD313" i="1"/>
  <c r="F313" i="1"/>
  <c r="B313" i="1"/>
  <c r="BD315" i="1" s="1"/>
  <c r="DE312" i="1"/>
  <c r="DD312" i="1"/>
  <c r="DC312" i="1"/>
  <c r="DB312" i="1"/>
  <c r="DA312" i="1"/>
  <c r="CZ312" i="1"/>
  <c r="CY312" i="1"/>
  <c r="CX312" i="1"/>
  <c r="CW312" i="1"/>
  <c r="CV312" i="1"/>
  <c r="CU312" i="1"/>
  <c r="CT312" i="1"/>
  <c r="CS312" i="1"/>
  <c r="CR312" i="1"/>
  <c r="CQ312" i="1"/>
  <c r="CP312" i="1"/>
  <c r="CO312" i="1"/>
  <c r="CN312" i="1"/>
  <c r="CM312" i="1"/>
  <c r="CL312" i="1"/>
  <c r="CK312" i="1"/>
  <c r="CJ312" i="1"/>
  <c r="CI312" i="1"/>
  <c r="CH312" i="1"/>
  <c r="CG312" i="1"/>
  <c r="CF312" i="1"/>
  <c r="BR312" i="1"/>
  <c r="BQ312" i="1"/>
  <c r="BP312" i="1"/>
  <c r="BO312" i="1"/>
  <c r="BN312" i="1"/>
  <c r="BM312" i="1"/>
  <c r="BL312" i="1"/>
  <c r="BK312" i="1"/>
  <c r="BJ312" i="1"/>
  <c r="BI312" i="1"/>
  <c r="BH312" i="1"/>
  <c r="BG312" i="1"/>
  <c r="BF312" i="1"/>
  <c r="BE312" i="1"/>
  <c r="BD312" i="1"/>
  <c r="BA312" i="1"/>
  <c r="AZ312" i="1"/>
  <c r="AW312" i="1"/>
  <c r="AV312" i="1"/>
  <c r="AS312" i="1"/>
  <c r="AR312" i="1"/>
  <c r="AQ312" i="1"/>
  <c r="AP312" i="1"/>
  <c r="AO312" i="1"/>
  <c r="AN312" i="1"/>
  <c r="AM312" i="1"/>
  <c r="AL312" i="1"/>
  <c r="AK312" i="1"/>
  <c r="AJ312" i="1"/>
  <c r="AI312" i="1"/>
  <c r="AH312" i="1"/>
  <c r="AG312" i="1"/>
  <c r="AF312" i="1"/>
  <c r="AE312" i="1"/>
  <c r="R312" i="1"/>
  <c r="Q312" i="1"/>
  <c r="DE311" i="1"/>
  <c r="DD311" i="1"/>
  <c r="DC311" i="1"/>
  <c r="DB311" i="1"/>
  <c r="DA311" i="1"/>
  <c r="CZ311" i="1"/>
  <c r="CY311" i="1"/>
  <c r="CX311" i="1"/>
  <c r="CW311" i="1"/>
  <c r="CV311" i="1"/>
  <c r="CU311" i="1"/>
  <c r="CT311" i="1"/>
  <c r="CS311" i="1"/>
  <c r="CR311" i="1"/>
  <c r="CQ311" i="1"/>
  <c r="CP311" i="1"/>
  <c r="CO311" i="1"/>
  <c r="CN311" i="1"/>
  <c r="CM311" i="1"/>
  <c r="CL311" i="1"/>
  <c r="CK311" i="1"/>
  <c r="CJ311" i="1"/>
  <c r="CI311" i="1"/>
  <c r="CH311" i="1"/>
  <c r="CG311" i="1"/>
  <c r="CF311" i="1"/>
  <c r="BR311" i="1"/>
  <c r="BQ311" i="1"/>
  <c r="BP311" i="1"/>
  <c r="BO311" i="1"/>
  <c r="BN311" i="1"/>
  <c r="BM311" i="1"/>
  <c r="BL311" i="1"/>
  <c r="BK311" i="1"/>
  <c r="BJ311" i="1"/>
  <c r="BI311" i="1"/>
  <c r="BH311" i="1"/>
  <c r="BG311" i="1"/>
  <c r="BF311" i="1"/>
  <c r="BD311" i="1"/>
  <c r="BC311" i="1"/>
  <c r="AZ311" i="1"/>
  <c r="AY311" i="1"/>
  <c r="AV311" i="1"/>
  <c r="AU311" i="1"/>
  <c r="AR311" i="1"/>
  <c r="AQ311" i="1"/>
  <c r="AP311" i="1"/>
  <c r="AO311" i="1"/>
  <c r="AN311" i="1"/>
  <c r="AM311" i="1"/>
  <c r="AL311" i="1"/>
  <c r="AK311" i="1"/>
  <c r="AJ311" i="1"/>
  <c r="AI311" i="1"/>
  <c r="AH311" i="1"/>
  <c r="AG311" i="1"/>
  <c r="AF311" i="1"/>
  <c r="AE311" i="1"/>
  <c r="O310" i="1" s="1"/>
  <c r="P310" i="1" s="1"/>
  <c r="J311" i="1"/>
  <c r="DE310" i="1"/>
  <c r="DD310" i="1"/>
  <c r="DC310" i="1"/>
  <c r="DB310" i="1"/>
  <c r="DA310" i="1"/>
  <c r="CZ310" i="1"/>
  <c r="CY310" i="1"/>
  <c r="CX310" i="1"/>
  <c r="CW310" i="1"/>
  <c r="CV310" i="1"/>
  <c r="CU310" i="1"/>
  <c r="CT310" i="1"/>
  <c r="CS310" i="1"/>
  <c r="CR310" i="1"/>
  <c r="CQ310" i="1"/>
  <c r="CP310" i="1"/>
  <c r="CO310" i="1"/>
  <c r="CN310" i="1"/>
  <c r="CM310" i="1"/>
  <c r="CL310" i="1"/>
  <c r="CK310" i="1"/>
  <c r="CJ310" i="1"/>
  <c r="CI310" i="1"/>
  <c r="CH310" i="1"/>
  <c r="CG310" i="1"/>
  <c r="CF310" i="1"/>
  <c r="CD310" i="1"/>
  <c r="CC310" i="1"/>
  <c r="BZ310" i="1"/>
  <c r="BY310" i="1"/>
  <c r="BV310" i="1"/>
  <c r="BU310" i="1"/>
  <c r="BR310" i="1"/>
  <c r="BQ310" i="1"/>
  <c r="BP310" i="1"/>
  <c r="BO310" i="1"/>
  <c r="BN310" i="1"/>
  <c r="BM310" i="1"/>
  <c r="BL310" i="1"/>
  <c r="BK310" i="1"/>
  <c r="BJ310" i="1"/>
  <c r="BI310" i="1"/>
  <c r="BH310" i="1"/>
  <c r="BG310" i="1"/>
  <c r="BF310" i="1"/>
  <c r="BE310" i="1"/>
  <c r="BB310" i="1"/>
  <c r="BA310" i="1"/>
  <c r="AX310" i="1"/>
  <c r="AW310" i="1"/>
  <c r="AT310" i="1"/>
  <c r="AS310" i="1"/>
  <c r="AR310" i="1"/>
  <c r="AQ310" i="1"/>
  <c r="AP310" i="1"/>
  <c r="AO310" i="1"/>
  <c r="AN310" i="1"/>
  <c r="AM310" i="1"/>
  <c r="AL310" i="1"/>
  <c r="AK310" i="1"/>
  <c r="AJ310" i="1"/>
  <c r="AI310" i="1"/>
  <c r="AH310" i="1"/>
  <c r="AG310" i="1"/>
  <c r="AF310" i="1"/>
  <c r="AE310" i="1"/>
  <c r="O312" i="1" s="1"/>
  <c r="P312" i="1" s="1"/>
  <c r="AD310" i="1"/>
  <c r="F310" i="1"/>
  <c r="B310" i="1"/>
  <c r="BC312" i="1" s="1"/>
  <c r="DE309" i="1"/>
  <c r="DD309" i="1"/>
  <c r="DC309" i="1"/>
  <c r="DB309" i="1"/>
  <c r="DA309" i="1"/>
  <c r="CZ309" i="1"/>
  <c r="CY309" i="1"/>
  <c r="CX309" i="1"/>
  <c r="CW309" i="1"/>
  <c r="CV309" i="1"/>
  <c r="CU309" i="1"/>
  <c r="CT309" i="1"/>
  <c r="CS309" i="1"/>
  <c r="CR309" i="1"/>
  <c r="CQ309" i="1"/>
  <c r="CP309" i="1"/>
  <c r="CO309" i="1"/>
  <c r="CN309" i="1"/>
  <c r="CM309" i="1"/>
  <c r="CL309" i="1"/>
  <c r="CK309" i="1"/>
  <c r="CJ309" i="1"/>
  <c r="CI309" i="1"/>
  <c r="CH309" i="1"/>
  <c r="CG309" i="1"/>
  <c r="CF309" i="1"/>
  <c r="BR309" i="1"/>
  <c r="BQ309" i="1"/>
  <c r="BP309" i="1"/>
  <c r="BO309" i="1"/>
  <c r="BN309" i="1"/>
  <c r="BM309" i="1"/>
  <c r="BL309" i="1"/>
  <c r="BK309" i="1"/>
  <c r="BI309" i="1"/>
  <c r="BH309" i="1"/>
  <c r="BG309" i="1"/>
  <c r="BF309" i="1"/>
  <c r="BE309" i="1"/>
  <c r="BB309" i="1"/>
  <c r="BA309" i="1"/>
  <c r="AX309" i="1"/>
  <c r="AW309" i="1"/>
  <c r="AT309" i="1"/>
  <c r="AS309" i="1"/>
  <c r="AR309" i="1"/>
  <c r="AQ309" i="1"/>
  <c r="AP309" i="1"/>
  <c r="AO309" i="1"/>
  <c r="AN309" i="1"/>
  <c r="AM309" i="1"/>
  <c r="AL309" i="1"/>
  <c r="AK309" i="1"/>
  <c r="AI309" i="1"/>
  <c r="AH309" i="1"/>
  <c r="AG309" i="1"/>
  <c r="AF309" i="1"/>
  <c r="AE309" i="1"/>
  <c r="AD309" i="1"/>
  <c r="O309" i="1"/>
  <c r="P309" i="1" s="1"/>
  <c r="AJ309" i="1" s="1"/>
  <c r="DE308" i="1"/>
  <c r="DD308" i="1"/>
  <c r="DC308" i="1"/>
  <c r="DB308" i="1"/>
  <c r="DA308" i="1"/>
  <c r="CZ308" i="1"/>
  <c r="CY308" i="1"/>
  <c r="CX308" i="1"/>
  <c r="CW308" i="1"/>
  <c r="CV308" i="1"/>
  <c r="CU308" i="1"/>
  <c r="CT308" i="1"/>
  <c r="CS308" i="1"/>
  <c r="CR308" i="1"/>
  <c r="CQ308" i="1"/>
  <c r="CP308" i="1"/>
  <c r="CO308" i="1"/>
  <c r="CN308" i="1"/>
  <c r="CM308" i="1"/>
  <c r="CL308" i="1"/>
  <c r="CK308" i="1"/>
  <c r="CJ308" i="1"/>
  <c r="CI308" i="1"/>
  <c r="CH308" i="1"/>
  <c r="CG308" i="1"/>
  <c r="CF308" i="1"/>
  <c r="BR308" i="1"/>
  <c r="BQ308" i="1"/>
  <c r="BP308" i="1"/>
  <c r="BO308" i="1"/>
  <c r="BN308" i="1"/>
  <c r="BM308" i="1"/>
  <c r="BL308" i="1"/>
  <c r="BK308" i="1"/>
  <c r="BJ308" i="1"/>
  <c r="BI308" i="1"/>
  <c r="BH308" i="1"/>
  <c r="BG308" i="1"/>
  <c r="BF308" i="1"/>
  <c r="BE308" i="1"/>
  <c r="BB308" i="1"/>
  <c r="BA308" i="1"/>
  <c r="AX308" i="1"/>
  <c r="AW308" i="1"/>
  <c r="AT308" i="1"/>
  <c r="AS308" i="1"/>
  <c r="AR308" i="1"/>
  <c r="AQ308" i="1"/>
  <c r="AP308" i="1"/>
  <c r="AO308" i="1"/>
  <c r="AN308" i="1"/>
  <c r="AM308" i="1"/>
  <c r="AL308" i="1"/>
  <c r="AK308" i="1"/>
  <c r="AI308" i="1"/>
  <c r="AH308" i="1"/>
  <c r="AG308" i="1"/>
  <c r="AF308" i="1"/>
  <c r="AE308" i="1"/>
  <c r="O307" i="1" s="1"/>
  <c r="AM307" i="1" s="1"/>
  <c r="AD308" i="1"/>
  <c r="O308" i="1"/>
  <c r="P308" i="1" s="1"/>
  <c r="AJ308" i="1" s="1"/>
  <c r="J308" i="1"/>
  <c r="DE307" i="1"/>
  <c r="DD307" i="1"/>
  <c r="DC307" i="1"/>
  <c r="DB307" i="1"/>
  <c r="DA307" i="1"/>
  <c r="CZ307" i="1"/>
  <c r="CY307" i="1"/>
  <c r="CX307" i="1"/>
  <c r="CW307" i="1"/>
  <c r="CV307" i="1"/>
  <c r="CU307" i="1"/>
  <c r="CT307" i="1"/>
  <c r="CS307" i="1"/>
  <c r="CR307" i="1"/>
  <c r="CQ307" i="1"/>
  <c r="CP307" i="1"/>
  <c r="CO307" i="1"/>
  <c r="CN307" i="1"/>
  <c r="CM307" i="1"/>
  <c r="CL307" i="1"/>
  <c r="CK307" i="1"/>
  <c r="CJ307" i="1"/>
  <c r="CI307" i="1"/>
  <c r="CH307" i="1"/>
  <c r="CG307" i="1"/>
  <c r="CF307" i="1"/>
  <c r="CC307" i="1"/>
  <c r="CB307" i="1"/>
  <c r="BY307" i="1"/>
  <c r="BX307" i="1"/>
  <c r="BU307" i="1"/>
  <c r="BT307" i="1"/>
  <c r="BR307" i="1"/>
  <c r="BQ307" i="1"/>
  <c r="BP307" i="1"/>
  <c r="BO307" i="1"/>
  <c r="BN307" i="1"/>
  <c r="BM307" i="1"/>
  <c r="BL307" i="1"/>
  <c r="BK307" i="1"/>
  <c r="BJ307" i="1"/>
  <c r="BI307" i="1"/>
  <c r="BH307" i="1"/>
  <c r="BG307" i="1"/>
  <c r="BF307" i="1"/>
  <c r="BE307" i="1"/>
  <c r="BD307" i="1"/>
  <c r="BA307" i="1"/>
  <c r="AZ307" i="1"/>
  <c r="AW307" i="1"/>
  <c r="AV307" i="1"/>
  <c r="AS307" i="1"/>
  <c r="AR307" i="1"/>
  <c r="AQ307" i="1"/>
  <c r="AP307" i="1"/>
  <c r="AO307" i="1"/>
  <c r="AN307" i="1"/>
  <c r="AL307" i="1"/>
  <c r="AK307" i="1"/>
  <c r="AJ307" i="1"/>
  <c r="AI307" i="1"/>
  <c r="AH307" i="1"/>
  <c r="AG307" i="1"/>
  <c r="AF307" i="1"/>
  <c r="AE307" i="1"/>
  <c r="AD307" i="1"/>
  <c r="P307" i="1"/>
  <c r="G307" i="1"/>
  <c r="F307" i="1"/>
  <c r="B307" i="1"/>
  <c r="BD309" i="1" s="1"/>
  <c r="DE306" i="1"/>
  <c r="DD306" i="1"/>
  <c r="DC306" i="1"/>
  <c r="DB306" i="1"/>
  <c r="DA306" i="1"/>
  <c r="CZ306" i="1"/>
  <c r="CY306" i="1"/>
  <c r="CX306" i="1"/>
  <c r="CW306" i="1"/>
  <c r="CV306" i="1"/>
  <c r="CU306" i="1"/>
  <c r="CT306" i="1"/>
  <c r="CS306" i="1"/>
  <c r="CR306" i="1"/>
  <c r="CQ306" i="1"/>
  <c r="CP306" i="1"/>
  <c r="CO306" i="1"/>
  <c r="CN306" i="1"/>
  <c r="CM306" i="1"/>
  <c r="CL306" i="1"/>
  <c r="CK306" i="1"/>
  <c r="CJ306" i="1"/>
  <c r="CI306" i="1"/>
  <c r="CH306" i="1"/>
  <c r="CG306" i="1"/>
  <c r="CF306" i="1"/>
  <c r="BR306" i="1"/>
  <c r="BQ306" i="1"/>
  <c r="BP306" i="1"/>
  <c r="BO306" i="1"/>
  <c r="BN306" i="1"/>
  <c r="BL306" i="1"/>
  <c r="BK306" i="1"/>
  <c r="BJ306" i="1"/>
  <c r="BI306" i="1"/>
  <c r="BH306" i="1"/>
  <c r="BG306" i="1"/>
  <c r="BF306" i="1"/>
  <c r="AR306" i="1"/>
  <c r="AQ306" i="1"/>
  <c r="AP306" i="1"/>
  <c r="AO306" i="1"/>
  <c r="AN306" i="1"/>
  <c r="AL306" i="1"/>
  <c r="AK306" i="1"/>
  <c r="AJ306" i="1"/>
  <c r="AI306" i="1"/>
  <c r="AH306" i="1"/>
  <c r="AG306" i="1"/>
  <c r="AF306" i="1"/>
  <c r="AE306" i="1"/>
  <c r="DE305" i="1"/>
  <c r="DD305" i="1"/>
  <c r="DC305" i="1"/>
  <c r="DB305" i="1"/>
  <c r="DA305" i="1"/>
  <c r="CZ305" i="1"/>
  <c r="CY305" i="1"/>
  <c r="CX305" i="1"/>
  <c r="CW305" i="1"/>
  <c r="CV305" i="1"/>
  <c r="CU305" i="1"/>
  <c r="CT305" i="1"/>
  <c r="CS305" i="1"/>
  <c r="CR305" i="1"/>
  <c r="CQ305" i="1"/>
  <c r="CP305" i="1"/>
  <c r="CO305" i="1"/>
  <c r="CN305" i="1"/>
  <c r="CM305" i="1"/>
  <c r="CL305" i="1"/>
  <c r="CK305" i="1"/>
  <c r="CJ305" i="1"/>
  <c r="CI305" i="1"/>
  <c r="CH305" i="1"/>
  <c r="CG305" i="1"/>
  <c r="CF305" i="1"/>
  <c r="BR305" i="1"/>
  <c r="BQ305" i="1"/>
  <c r="BP305" i="1"/>
  <c r="BO305" i="1"/>
  <c r="BN305" i="1"/>
  <c r="BM305" i="1"/>
  <c r="BL305" i="1"/>
  <c r="BK305" i="1"/>
  <c r="BJ305" i="1"/>
  <c r="BH305" i="1"/>
  <c r="BG305" i="1"/>
  <c r="BF305" i="1"/>
  <c r="AR305" i="1"/>
  <c r="AQ305" i="1"/>
  <c r="AP305" i="1"/>
  <c r="AO305" i="1"/>
  <c r="AN305" i="1"/>
  <c r="AM305" i="1"/>
  <c r="AL305" i="1"/>
  <c r="AK305" i="1"/>
  <c r="AJ305" i="1"/>
  <c r="AH305" i="1"/>
  <c r="AG305" i="1"/>
  <c r="AF305" i="1"/>
  <c r="AE305" i="1"/>
  <c r="J305" i="1"/>
  <c r="DE304" i="1"/>
  <c r="DD304" i="1"/>
  <c r="DC304" i="1"/>
  <c r="DB304" i="1"/>
  <c r="DA304" i="1"/>
  <c r="CZ304" i="1"/>
  <c r="CY304" i="1"/>
  <c r="CX304" i="1"/>
  <c r="CW304" i="1"/>
  <c r="CV304" i="1"/>
  <c r="CU304" i="1"/>
  <c r="CT304" i="1"/>
  <c r="CS304" i="1"/>
  <c r="CR304" i="1"/>
  <c r="CQ304" i="1"/>
  <c r="CP304" i="1"/>
  <c r="CO304" i="1"/>
  <c r="CN304" i="1"/>
  <c r="CM304" i="1"/>
  <c r="CL304" i="1"/>
  <c r="CK304" i="1"/>
  <c r="CJ304" i="1"/>
  <c r="CI304" i="1"/>
  <c r="CH304" i="1"/>
  <c r="CG304" i="1"/>
  <c r="CF304" i="1"/>
  <c r="BR304" i="1"/>
  <c r="BQ304" i="1"/>
  <c r="BP304" i="1"/>
  <c r="BO304" i="1"/>
  <c r="BN304" i="1"/>
  <c r="BM304" i="1"/>
  <c r="BL304" i="1"/>
  <c r="BK304" i="1"/>
  <c r="BJ304" i="1"/>
  <c r="BI304" i="1"/>
  <c r="BH304" i="1"/>
  <c r="BG304" i="1"/>
  <c r="BF304" i="1"/>
  <c r="AR304" i="1"/>
  <c r="AQ304" i="1"/>
  <c r="AP304" i="1"/>
  <c r="AO304" i="1"/>
  <c r="AN304" i="1"/>
  <c r="AM304" i="1"/>
  <c r="AL304" i="1"/>
  <c r="AK304" i="1"/>
  <c r="AI304" i="1"/>
  <c r="AH304" i="1"/>
  <c r="AG304" i="1"/>
  <c r="AF304" i="1"/>
  <c r="AE304" i="1"/>
  <c r="AD304" i="1"/>
  <c r="O304" i="1"/>
  <c r="P304" i="1" s="1"/>
  <c r="AJ304" i="1" s="1"/>
  <c r="F304" i="1"/>
  <c r="B304" i="1"/>
  <c r="DE303" i="1"/>
  <c r="DD303" i="1"/>
  <c r="DC303" i="1"/>
  <c r="DB303" i="1"/>
  <c r="DA303" i="1"/>
  <c r="CZ303" i="1"/>
  <c r="CY303" i="1"/>
  <c r="CX303" i="1"/>
  <c r="CW303" i="1"/>
  <c r="CV303" i="1"/>
  <c r="CU303" i="1"/>
  <c r="CT303" i="1"/>
  <c r="CS303" i="1"/>
  <c r="CR303" i="1"/>
  <c r="CQ303" i="1"/>
  <c r="CP303" i="1"/>
  <c r="CO303" i="1"/>
  <c r="CN303" i="1"/>
  <c r="CM303" i="1"/>
  <c r="CL303" i="1"/>
  <c r="CK303" i="1"/>
  <c r="CJ303" i="1"/>
  <c r="CI303" i="1"/>
  <c r="CH303" i="1"/>
  <c r="CG303" i="1"/>
  <c r="CF303" i="1"/>
  <c r="BR303" i="1"/>
  <c r="BQ303" i="1"/>
  <c r="BP303" i="1"/>
  <c r="BO303" i="1"/>
  <c r="BN303" i="1"/>
  <c r="BM303" i="1"/>
  <c r="BL303" i="1"/>
  <c r="BK303" i="1"/>
  <c r="BJ303" i="1"/>
  <c r="BI303" i="1"/>
  <c r="BH303" i="1"/>
  <c r="BG303" i="1"/>
  <c r="BF303" i="1"/>
  <c r="BC303" i="1"/>
  <c r="BB303" i="1"/>
  <c r="AY303" i="1"/>
  <c r="AU303" i="1"/>
  <c r="AT303" i="1"/>
  <c r="AR303" i="1"/>
  <c r="AQ303" i="1"/>
  <c r="AP303" i="1"/>
  <c r="AO303" i="1"/>
  <c r="AN303" i="1"/>
  <c r="AM303" i="1"/>
  <c r="AL303" i="1"/>
  <c r="AK303" i="1"/>
  <c r="AJ303" i="1"/>
  <c r="AI303" i="1"/>
  <c r="AH303" i="1"/>
  <c r="AG303" i="1"/>
  <c r="AF303" i="1"/>
  <c r="AE303" i="1"/>
  <c r="AD303" i="1"/>
  <c r="R303" i="1"/>
  <c r="Q303" i="1"/>
  <c r="DE302" i="1"/>
  <c r="DD302" i="1"/>
  <c r="DC302" i="1"/>
  <c r="DB302" i="1"/>
  <c r="DA302" i="1"/>
  <c r="CZ302" i="1"/>
  <c r="CY302" i="1"/>
  <c r="CX302" i="1"/>
  <c r="CW302" i="1"/>
  <c r="CV302" i="1"/>
  <c r="CU302" i="1"/>
  <c r="CT302" i="1"/>
  <c r="CS302" i="1"/>
  <c r="CR302" i="1"/>
  <c r="CQ302" i="1"/>
  <c r="CP302" i="1"/>
  <c r="CO302" i="1"/>
  <c r="CN302" i="1"/>
  <c r="CM302" i="1"/>
  <c r="CL302" i="1"/>
  <c r="CK302" i="1"/>
  <c r="CJ302" i="1"/>
  <c r="CI302" i="1"/>
  <c r="CH302" i="1"/>
  <c r="CG302" i="1"/>
  <c r="CF302" i="1"/>
  <c r="BR302" i="1"/>
  <c r="BQ302" i="1"/>
  <c r="BP302" i="1"/>
  <c r="BO302" i="1"/>
  <c r="BN302" i="1"/>
  <c r="BM302" i="1"/>
  <c r="BL302" i="1"/>
  <c r="BK302" i="1"/>
  <c r="BI302" i="1"/>
  <c r="BH302" i="1"/>
  <c r="BG302" i="1"/>
  <c r="BF302" i="1"/>
  <c r="BC302" i="1"/>
  <c r="AY302" i="1"/>
  <c r="AX302" i="1"/>
  <c r="AU302" i="1"/>
  <c r="AR302" i="1"/>
  <c r="AQ302" i="1"/>
  <c r="AP302" i="1"/>
  <c r="AO302" i="1"/>
  <c r="AN302" i="1"/>
  <c r="AM302" i="1"/>
  <c r="AL302" i="1"/>
  <c r="AK302" i="1"/>
  <c r="AI302" i="1"/>
  <c r="AH302" i="1"/>
  <c r="AG302" i="1"/>
  <c r="AF302" i="1"/>
  <c r="AE302" i="1"/>
  <c r="O301" i="1" s="1"/>
  <c r="AD302" i="1"/>
  <c r="J302" i="1"/>
  <c r="DE301" i="1"/>
  <c r="DD301" i="1"/>
  <c r="DC301" i="1"/>
  <c r="DB301" i="1"/>
  <c r="DA301" i="1"/>
  <c r="CZ301" i="1"/>
  <c r="CY301" i="1"/>
  <c r="CX301" i="1"/>
  <c r="CW301" i="1"/>
  <c r="CV301" i="1"/>
  <c r="CU301" i="1"/>
  <c r="CT301" i="1"/>
  <c r="CS301" i="1"/>
  <c r="CR301" i="1"/>
  <c r="CQ301" i="1"/>
  <c r="CP301" i="1"/>
  <c r="CO301" i="1"/>
  <c r="CN301" i="1"/>
  <c r="CM301" i="1"/>
  <c r="CL301" i="1"/>
  <c r="CK301" i="1"/>
  <c r="CJ301" i="1"/>
  <c r="CI301" i="1"/>
  <c r="CH301" i="1"/>
  <c r="CG301" i="1"/>
  <c r="CF301" i="1"/>
  <c r="CD301" i="1"/>
  <c r="BZ301" i="1"/>
  <c r="BY301" i="1"/>
  <c r="BV301" i="1"/>
  <c r="BR301" i="1"/>
  <c r="BQ301" i="1"/>
  <c r="BP301" i="1"/>
  <c r="BO301" i="1"/>
  <c r="BN301" i="1"/>
  <c r="BM301" i="1"/>
  <c r="BL301" i="1"/>
  <c r="BK301" i="1"/>
  <c r="BJ301" i="1"/>
  <c r="BI301" i="1"/>
  <c r="BH301" i="1"/>
  <c r="BG301" i="1"/>
  <c r="BF301" i="1"/>
  <c r="BE301" i="1"/>
  <c r="BB301" i="1"/>
  <c r="AX301" i="1"/>
  <c r="AW301" i="1"/>
  <c r="AT301" i="1"/>
  <c r="AR301" i="1"/>
  <c r="AP301" i="1"/>
  <c r="AO301" i="1"/>
  <c r="AN301" i="1"/>
  <c r="AM301" i="1"/>
  <c r="AL301" i="1"/>
  <c r="AK301" i="1"/>
  <c r="AJ301" i="1"/>
  <c r="AI301" i="1"/>
  <c r="AH301" i="1"/>
  <c r="AG301" i="1"/>
  <c r="AF301" i="1"/>
  <c r="AE301" i="1"/>
  <c r="AD301" i="1"/>
  <c r="G301" i="1"/>
  <c r="B301" i="1"/>
  <c r="DE300" i="1"/>
  <c r="DD300" i="1"/>
  <c r="DC300" i="1"/>
  <c r="DB300" i="1"/>
  <c r="DA300" i="1"/>
  <c r="CZ300" i="1"/>
  <c r="CY300" i="1"/>
  <c r="CX300" i="1"/>
  <c r="CW300" i="1"/>
  <c r="CV300" i="1"/>
  <c r="CU300" i="1"/>
  <c r="CT300" i="1"/>
  <c r="CS300" i="1"/>
  <c r="CR300" i="1"/>
  <c r="CQ300" i="1"/>
  <c r="CP300" i="1"/>
  <c r="CO300" i="1"/>
  <c r="CN300" i="1"/>
  <c r="CM300" i="1"/>
  <c r="CL300" i="1"/>
  <c r="CK300" i="1"/>
  <c r="CJ300" i="1"/>
  <c r="CI300" i="1"/>
  <c r="CH300" i="1"/>
  <c r="CG300" i="1"/>
  <c r="CF300" i="1"/>
  <c r="BR300" i="1"/>
  <c r="BQ300" i="1"/>
  <c r="BP300" i="1"/>
  <c r="BO300" i="1"/>
  <c r="BN300" i="1"/>
  <c r="BM300" i="1"/>
  <c r="BL300" i="1"/>
  <c r="BK300" i="1"/>
  <c r="BJ300" i="1"/>
  <c r="BI300" i="1"/>
  <c r="BH300" i="1"/>
  <c r="BG300" i="1"/>
  <c r="BF300" i="1"/>
  <c r="BC300" i="1"/>
  <c r="AY300" i="1"/>
  <c r="AX300" i="1"/>
  <c r="AU300" i="1"/>
  <c r="AR300" i="1"/>
  <c r="AQ300" i="1"/>
  <c r="AP300" i="1"/>
  <c r="AO300" i="1"/>
  <c r="AN300" i="1"/>
  <c r="AM300" i="1"/>
  <c r="AL300" i="1"/>
  <c r="AK300" i="1"/>
  <c r="AI300" i="1"/>
  <c r="AH300" i="1"/>
  <c r="AG300" i="1"/>
  <c r="AF300" i="1"/>
  <c r="AE300" i="1"/>
  <c r="O300" i="1"/>
  <c r="P300" i="1" s="1"/>
  <c r="AJ300" i="1" s="1"/>
  <c r="DE299" i="1"/>
  <c r="DD299" i="1"/>
  <c r="DC299" i="1"/>
  <c r="DB299" i="1"/>
  <c r="DA299" i="1"/>
  <c r="CZ299" i="1"/>
  <c r="CY299" i="1"/>
  <c r="CX299" i="1"/>
  <c r="CW299" i="1"/>
  <c r="CV299" i="1"/>
  <c r="CU299" i="1"/>
  <c r="CT299" i="1"/>
  <c r="CS299" i="1"/>
  <c r="CR299" i="1"/>
  <c r="CQ299" i="1"/>
  <c r="CP299" i="1"/>
  <c r="CO299" i="1"/>
  <c r="CN299" i="1"/>
  <c r="CM299" i="1"/>
  <c r="CL299" i="1"/>
  <c r="CK299" i="1"/>
  <c r="CJ299" i="1"/>
  <c r="CI299" i="1"/>
  <c r="CH299" i="1"/>
  <c r="CG299" i="1"/>
  <c r="CF299" i="1"/>
  <c r="BR299" i="1"/>
  <c r="BQ299" i="1"/>
  <c r="BP299" i="1"/>
  <c r="BO299" i="1"/>
  <c r="BN299" i="1"/>
  <c r="BM299" i="1"/>
  <c r="BL299" i="1"/>
  <c r="BK299" i="1"/>
  <c r="BJ299" i="1"/>
  <c r="BI299" i="1"/>
  <c r="BH299" i="1"/>
  <c r="BG299" i="1"/>
  <c r="BF299" i="1"/>
  <c r="BE299" i="1"/>
  <c r="BB299" i="1"/>
  <c r="AX299" i="1"/>
  <c r="AW299" i="1"/>
  <c r="AT299" i="1"/>
  <c r="AR299" i="1"/>
  <c r="AQ299" i="1"/>
  <c r="AP299" i="1"/>
  <c r="AO299" i="1"/>
  <c r="AN299" i="1"/>
  <c r="AM299" i="1"/>
  <c r="AL299" i="1"/>
  <c r="AK299" i="1"/>
  <c r="AI299" i="1"/>
  <c r="AH299" i="1"/>
  <c r="AG299" i="1"/>
  <c r="AF299" i="1"/>
  <c r="AE299" i="1"/>
  <c r="J299" i="1"/>
  <c r="DE298" i="1"/>
  <c r="DD298" i="1"/>
  <c r="DC298" i="1"/>
  <c r="DB298" i="1"/>
  <c r="DA298" i="1"/>
  <c r="CZ298" i="1"/>
  <c r="CY298" i="1"/>
  <c r="CX298" i="1"/>
  <c r="CW298" i="1"/>
  <c r="CV298" i="1"/>
  <c r="CU298" i="1"/>
  <c r="CT298" i="1"/>
  <c r="CS298" i="1"/>
  <c r="CR298" i="1"/>
  <c r="CQ298" i="1"/>
  <c r="CP298" i="1"/>
  <c r="CO298" i="1"/>
  <c r="CN298" i="1"/>
  <c r="CM298" i="1"/>
  <c r="CL298" i="1"/>
  <c r="CK298" i="1"/>
  <c r="CJ298" i="1"/>
  <c r="CI298" i="1"/>
  <c r="CH298" i="1"/>
  <c r="CG298" i="1"/>
  <c r="CF298" i="1"/>
  <c r="CE298" i="1"/>
  <c r="CB298" i="1"/>
  <c r="BX298" i="1"/>
  <c r="BT298" i="1"/>
  <c r="BR298" i="1"/>
  <c r="BP298" i="1"/>
  <c r="BO298" i="1"/>
  <c r="BN298" i="1"/>
  <c r="BM298" i="1"/>
  <c r="BL298" i="1"/>
  <c r="BK298" i="1"/>
  <c r="BJ298" i="1"/>
  <c r="BI298" i="1"/>
  <c r="BH298" i="1"/>
  <c r="BG298" i="1"/>
  <c r="BF298" i="1"/>
  <c r="BD298" i="1"/>
  <c r="BC298" i="1"/>
  <c r="AZ298" i="1"/>
  <c r="AV298" i="1"/>
  <c r="AU298" i="1"/>
  <c r="AR298" i="1"/>
  <c r="AP298" i="1"/>
  <c r="AO298" i="1"/>
  <c r="AN298" i="1"/>
  <c r="AM298" i="1"/>
  <c r="AL298" i="1"/>
  <c r="AK298" i="1"/>
  <c r="AJ298" i="1"/>
  <c r="AI298" i="1"/>
  <c r="AH298" i="1"/>
  <c r="AG298" i="1"/>
  <c r="AF298" i="1"/>
  <c r="AE298" i="1"/>
  <c r="O299" i="1" s="1"/>
  <c r="P299" i="1" s="1"/>
  <c r="AJ299" i="1" s="1"/>
  <c r="AD298" i="1"/>
  <c r="O298" i="1"/>
  <c r="BQ298" i="1" s="1"/>
  <c r="F298" i="1"/>
  <c r="B298" i="1"/>
  <c r="DE297" i="1"/>
  <c r="DD297" i="1"/>
  <c r="DC297" i="1"/>
  <c r="DB297" i="1"/>
  <c r="DA297" i="1"/>
  <c r="CZ297" i="1"/>
  <c r="CY297" i="1"/>
  <c r="CX297" i="1"/>
  <c r="CW297" i="1"/>
  <c r="CV297" i="1"/>
  <c r="CU297" i="1"/>
  <c r="CT297" i="1"/>
  <c r="CS297" i="1"/>
  <c r="CR297" i="1"/>
  <c r="CQ297" i="1"/>
  <c r="CP297" i="1"/>
  <c r="CO297" i="1"/>
  <c r="CN297" i="1"/>
  <c r="CM297" i="1"/>
  <c r="CL297" i="1"/>
  <c r="CK297" i="1"/>
  <c r="CJ297" i="1"/>
  <c r="CI297" i="1"/>
  <c r="CH297" i="1"/>
  <c r="CG297" i="1"/>
  <c r="CF297" i="1"/>
  <c r="BR297" i="1"/>
  <c r="BQ297" i="1"/>
  <c r="BP297" i="1"/>
  <c r="BO297" i="1"/>
  <c r="BN297" i="1"/>
  <c r="BM297" i="1"/>
  <c r="BL297" i="1"/>
  <c r="BK297" i="1"/>
  <c r="BJ297" i="1"/>
  <c r="BH297" i="1"/>
  <c r="BG297" i="1"/>
  <c r="BF297" i="1"/>
  <c r="BD297" i="1"/>
  <c r="BC297" i="1"/>
  <c r="AZ297" i="1"/>
  <c r="AY297" i="1"/>
  <c r="AV297" i="1"/>
  <c r="AU297" i="1"/>
  <c r="AR297" i="1"/>
  <c r="AQ297" i="1"/>
  <c r="AP297" i="1"/>
  <c r="AO297" i="1"/>
  <c r="AN297" i="1"/>
  <c r="AM297" i="1"/>
  <c r="AL297" i="1"/>
  <c r="AK297" i="1"/>
  <c r="AJ297" i="1"/>
  <c r="AH297" i="1"/>
  <c r="AG297" i="1"/>
  <c r="AF297" i="1"/>
  <c r="AE297" i="1"/>
  <c r="AD297" i="1"/>
  <c r="DE296" i="1"/>
  <c r="DD296" i="1"/>
  <c r="DC296" i="1"/>
  <c r="DB296" i="1"/>
  <c r="DA296" i="1"/>
  <c r="CZ296" i="1"/>
  <c r="CY296" i="1"/>
  <c r="CX296" i="1"/>
  <c r="CW296" i="1"/>
  <c r="CV296" i="1"/>
  <c r="CU296" i="1"/>
  <c r="CT296" i="1"/>
  <c r="CS296" i="1"/>
  <c r="CR296" i="1"/>
  <c r="CQ296" i="1"/>
  <c r="CP296" i="1"/>
  <c r="CO296" i="1"/>
  <c r="CN296" i="1"/>
  <c r="CM296" i="1"/>
  <c r="CL296" i="1"/>
  <c r="CK296" i="1"/>
  <c r="CJ296" i="1"/>
  <c r="CI296" i="1"/>
  <c r="CH296" i="1"/>
  <c r="CG296" i="1"/>
  <c r="CF296" i="1"/>
  <c r="BR296" i="1"/>
  <c r="BQ296" i="1"/>
  <c r="BP296" i="1"/>
  <c r="BO296" i="1"/>
  <c r="BN296" i="1"/>
  <c r="BM296" i="1"/>
  <c r="BL296" i="1"/>
  <c r="BK296" i="1"/>
  <c r="BJ296" i="1"/>
  <c r="BH296" i="1"/>
  <c r="BG296" i="1"/>
  <c r="BF296" i="1"/>
  <c r="BD296" i="1"/>
  <c r="BC296" i="1"/>
  <c r="AZ296" i="1"/>
  <c r="AY296" i="1"/>
  <c r="AV296" i="1"/>
  <c r="AU296" i="1"/>
  <c r="AR296" i="1"/>
  <c r="AQ296" i="1"/>
  <c r="AP296" i="1"/>
  <c r="AO296" i="1"/>
  <c r="AN296" i="1"/>
  <c r="AM296" i="1"/>
  <c r="AL296" i="1"/>
  <c r="AK296" i="1"/>
  <c r="AJ296" i="1"/>
  <c r="AH296" i="1"/>
  <c r="AG296" i="1"/>
  <c r="AF296" i="1"/>
  <c r="AE296" i="1"/>
  <c r="O295" i="1" s="1"/>
  <c r="P295" i="1" s="1"/>
  <c r="AJ295" i="1" s="1"/>
  <c r="AD296" i="1"/>
  <c r="DE295" i="1"/>
  <c r="DD295" i="1"/>
  <c r="DC295" i="1"/>
  <c r="DB295" i="1"/>
  <c r="DA295" i="1"/>
  <c r="CZ295" i="1"/>
  <c r="CY295" i="1"/>
  <c r="CX295" i="1"/>
  <c r="CW295" i="1"/>
  <c r="CV295" i="1"/>
  <c r="CU295" i="1"/>
  <c r="CT295" i="1"/>
  <c r="CS295" i="1"/>
  <c r="CR295" i="1"/>
  <c r="CQ295" i="1"/>
  <c r="CP295" i="1"/>
  <c r="CO295" i="1"/>
  <c r="CN295" i="1"/>
  <c r="CM295" i="1"/>
  <c r="CL295" i="1"/>
  <c r="CK295" i="1"/>
  <c r="CJ295" i="1"/>
  <c r="CI295" i="1"/>
  <c r="CH295" i="1"/>
  <c r="CG295" i="1"/>
  <c r="CF295" i="1"/>
  <c r="CD295" i="1"/>
  <c r="CC295" i="1"/>
  <c r="BZ295" i="1"/>
  <c r="BY295" i="1"/>
  <c r="BV295" i="1"/>
  <c r="BU295" i="1"/>
  <c r="BR295" i="1"/>
  <c r="BQ295" i="1"/>
  <c r="BP295" i="1"/>
  <c r="BO295" i="1"/>
  <c r="BN295" i="1"/>
  <c r="BM295" i="1"/>
  <c r="BL295" i="1"/>
  <c r="BK295" i="1"/>
  <c r="BJ295" i="1"/>
  <c r="BI295" i="1"/>
  <c r="BH295" i="1"/>
  <c r="BG295" i="1"/>
  <c r="BF295" i="1"/>
  <c r="BE295" i="1"/>
  <c r="BB295" i="1"/>
  <c r="BA295" i="1"/>
  <c r="AX295" i="1"/>
  <c r="AW295" i="1"/>
  <c r="AT295" i="1"/>
  <c r="AS295" i="1"/>
  <c r="AR295" i="1"/>
  <c r="AQ295" i="1"/>
  <c r="AP295" i="1"/>
  <c r="AO295" i="1"/>
  <c r="AN295" i="1"/>
  <c r="AM295" i="1"/>
  <c r="AL295" i="1"/>
  <c r="AK295" i="1"/>
  <c r="AI295" i="1"/>
  <c r="AH295" i="1"/>
  <c r="AG295" i="1"/>
  <c r="AF295" i="1"/>
  <c r="AE295" i="1"/>
  <c r="O297" i="1" s="1"/>
  <c r="BI297" i="1" s="1"/>
  <c r="AD295" i="1"/>
  <c r="F295" i="1"/>
  <c r="B295" i="1"/>
  <c r="BB297" i="1" s="1"/>
  <c r="DE294" i="1"/>
  <c r="DD294" i="1"/>
  <c r="DC294" i="1"/>
  <c r="DB294" i="1"/>
  <c r="DA294" i="1"/>
  <c r="CZ294" i="1"/>
  <c r="CY294" i="1"/>
  <c r="CX294" i="1"/>
  <c r="CW294" i="1"/>
  <c r="CV294" i="1"/>
  <c r="CU294" i="1"/>
  <c r="CT294" i="1"/>
  <c r="CS294" i="1"/>
  <c r="CR294" i="1"/>
  <c r="CQ294" i="1"/>
  <c r="CP294" i="1"/>
  <c r="CO294" i="1"/>
  <c r="CN294" i="1"/>
  <c r="CM294" i="1"/>
  <c r="CL294" i="1"/>
  <c r="CK294" i="1"/>
  <c r="CJ294" i="1"/>
  <c r="CI294" i="1"/>
  <c r="CH294" i="1"/>
  <c r="CG294" i="1"/>
  <c r="CF294" i="1"/>
  <c r="BR294" i="1"/>
  <c r="BQ294" i="1"/>
  <c r="BP294" i="1"/>
  <c r="BO294" i="1"/>
  <c r="BN294" i="1"/>
  <c r="BM294" i="1"/>
  <c r="BL294" i="1"/>
  <c r="BK294" i="1"/>
  <c r="BI294" i="1"/>
  <c r="BH294" i="1"/>
  <c r="BG294" i="1"/>
  <c r="BF294" i="1"/>
  <c r="BB294" i="1"/>
  <c r="AT294" i="1"/>
  <c r="AR294" i="1"/>
  <c r="AQ294" i="1"/>
  <c r="AP294" i="1"/>
  <c r="AO294" i="1"/>
  <c r="AN294" i="1"/>
  <c r="AM294" i="1"/>
  <c r="AL294" i="1"/>
  <c r="AK294" i="1"/>
  <c r="AI294" i="1"/>
  <c r="AH294" i="1"/>
  <c r="AG294" i="1"/>
  <c r="AF294" i="1"/>
  <c r="AE294" i="1"/>
  <c r="DE293" i="1"/>
  <c r="DD293" i="1"/>
  <c r="DC293" i="1"/>
  <c r="DB293" i="1"/>
  <c r="DA293" i="1"/>
  <c r="CZ293" i="1"/>
  <c r="CY293" i="1"/>
  <c r="CX293" i="1"/>
  <c r="CW293" i="1"/>
  <c r="CV293" i="1"/>
  <c r="CU293" i="1"/>
  <c r="CT293" i="1"/>
  <c r="CS293" i="1"/>
  <c r="CR293" i="1"/>
  <c r="CQ293" i="1"/>
  <c r="CP293" i="1"/>
  <c r="CO293" i="1"/>
  <c r="CN293" i="1"/>
  <c r="CM293" i="1"/>
  <c r="CL293" i="1"/>
  <c r="CK293" i="1"/>
  <c r="CJ293" i="1"/>
  <c r="CI293" i="1"/>
  <c r="CH293" i="1"/>
  <c r="CG293" i="1"/>
  <c r="CF293" i="1"/>
  <c r="BR293" i="1"/>
  <c r="BQ293" i="1"/>
  <c r="BP293" i="1"/>
  <c r="BO293" i="1"/>
  <c r="BN293" i="1"/>
  <c r="BM293" i="1"/>
  <c r="BL293" i="1"/>
  <c r="BK293" i="1"/>
  <c r="BI293" i="1"/>
  <c r="BH293" i="1"/>
  <c r="BG293" i="1"/>
  <c r="BF293" i="1"/>
  <c r="BA293" i="1"/>
  <c r="AV293" i="1"/>
  <c r="AR293" i="1"/>
  <c r="AQ293" i="1"/>
  <c r="AP293" i="1"/>
  <c r="AO293" i="1"/>
  <c r="AN293" i="1"/>
  <c r="AM293" i="1"/>
  <c r="AL293" i="1"/>
  <c r="AK293" i="1"/>
  <c r="AI293" i="1"/>
  <c r="AH293" i="1"/>
  <c r="AG293" i="1"/>
  <c r="AF293" i="1"/>
  <c r="AE293" i="1"/>
  <c r="J293" i="1"/>
  <c r="DE292" i="1"/>
  <c r="DD292" i="1"/>
  <c r="DC292" i="1"/>
  <c r="DB292" i="1"/>
  <c r="DA292" i="1"/>
  <c r="CZ292" i="1"/>
  <c r="CY292" i="1"/>
  <c r="CX292" i="1"/>
  <c r="CW292" i="1"/>
  <c r="CV292" i="1"/>
  <c r="CU292" i="1"/>
  <c r="CT292" i="1"/>
  <c r="CS292" i="1"/>
  <c r="CR292" i="1"/>
  <c r="CQ292" i="1"/>
  <c r="CP292" i="1"/>
  <c r="CO292" i="1"/>
  <c r="CN292" i="1"/>
  <c r="CM292" i="1"/>
  <c r="CL292" i="1"/>
  <c r="CK292" i="1"/>
  <c r="CJ292" i="1"/>
  <c r="CI292" i="1"/>
  <c r="CH292" i="1"/>
  <c r="CG292" i="1"/>
  <c r="CF292" i="1"/>
  <c r="CE292" i="1"/>
  <c r="BZ292" i="1"/>
  <c r="BT292" i="1"/>
  <c r="BR292" i="1"/>
  <c r="BP292" i="1"/>
  <c r="BO292" i="1"/>
  <c r="BN292" i="1"/>
  <c r="BM292" i="1"/>
  <c r="BL292" i="1"/>
  <c r="BK292" i="1"/>
  <c r="BJ292" i="1"/>
  <c r="BI292" i="1"/>
  <c r="BH292" i="1"/>
  <c r="BG292" i="1"/>
  <c r="BF292" i="1"/>
  <c r="BB292" i="1"/>
  <c r="AV292" i="1"/>
  <c r="AR292" i="1"/>
  <c r="AP292" i="1"/>
  <c r="AO292" i="1"/>
  <c r="AN292" i="1"/>
  <c r="AM292" i="1"/>
  <c r="AL292" i="1"/>
  <c r="AK292" i="1"/>
  <c r="AJ292" i="1"/>
  <c r="AI292" i="1"/>
  <c r="AH292" i="1"/>
  <c r="AG292" i="1"/>
  <c r="AF292" i="1"/>
  <c r="AE292" i="1"/>
  <c r="O293" i="1" s="1"/>
  <c r="P293" i="1" s="1"/>
  <c r="AJ293" i="1" s="1"/>
  <c r="AD292" i="1"/>
  <c r="O292" i="1"/>
  <c r="BQ292" i="1" s="1"/>
  <c r="F292" i="1"/>
  <c r="B292" i="1"/>
  <c r="DE291" i="1"/>
  <c r="DD291" i="1"/>
  <c r="DC291" i="1"/>
  <c r="DB291" i="1"/>
  <c r="DA291" i="1"/>
  <c r="CZ291" i="1"/>
  <c r="CY291" i="1"/>
  <c r="CX291" i="1"/>
  <c r="CW291" i="1"/>
  <c r="CV291" i="1"/>
  <c r="CU291" i="1"/>
  <c r="CT291" i="1"/>
  <c r="CS291" i="1"/>
  <c r="CR291" i="1"/>
  <c r="CQ291" i="1"/>
  <c r="CP291" i="1"/>
  <c r="CO291" i="1"/>
  <c r="CN291" i="1"/>
  <c r="CM291" i="1"/>
  <c r="CL291" i="1"/>
  <c r="CK291" i="1"/>
  <c r="CJ291" i="1"/>
  <c r="CI291" i="1"/>
  <c r="CH291" i="1"/>
  <c r="CG291" i="1"/>
  <c r="CF291" i="1"/>
  <c r="BR291" i="1"/>
  <c r="BQ291" i="1"/>
  <c r="BP291" i="1"/>
  <c r="BO291" i="1"/>
  <c r="BN291" i="1"/>
  <c r="BM291" i="1"/>
  <c r="BL291" i="1"/>
  <c r="BK291" i="1"/>
  <c r="BJ291" i="1"/>
  <c r="BI291" i="1"/>
  <c r="BH291" i="1"/>
  <c r="BG291" i="1"/>
  <c r="BF291" i="1"/>
  <c r="BD291" i="1"/>
  <c r="BC291" i="1"/>
  <c r="AY291" i="1"/>
  <c r="AX291" i="1"/>
  <c r="AT291" i="1"/>
  <c r="AR291" i="1"/>
  <c r="AQ291" i="1"/>
  <c r="AP291" i="1"/>
  <c r="AO291" i="1"/>
  <c r="AN291" i="1"/>
  <c r="AM291" i="1"/>
  <c r="AL291" i="1"/>
  <c r="AK291" i="1"/>
  <c r="AJ291" i="1"/>
  <c r="AI291" i="1"/>
  <c r="AH291" i="1"/>
  <c r="AG291" i="1"/>
  <c r="AF291" i="1"/>
  <c r="AE291" i="1"/>
  <c r="AD291" i="1"/>
  <c r="R291" i="1"/>
  <c r="Q291" i="1"/>
  <c r="DE290" i="1"/>
  <c r="DD290" i="1"/>
  <c r="DC290" i="1"/>
  <c r="DB290" i="1"/>
  <c r="DA290" i="1"/>
  <c r="CZ290" i="1"/>
  <c r="CY290" i="1"/>
  <c r="CX290" i="1"/>
  <c r="CW290" i="1"/>
  <c r="CV290" i="1"/>
  <c r="CU290" i="1"/>
  <c r="CT290" i="1"/>
  <c r="CS290" i="1"/>
  <c r="CR290" i="1"/>
  <c r="CQ290" i="1"/>
  <c r="CP290" i="1"/>
  <c r="CO290" i="1"/>
  <c r="CN290" i="1"/>
  <c r="CM290" i="1"/>
  <c r="CL290" i="1"/>
  <c r="CK290" i="1"/>
  <c r="CJ290" i="1"/>
  <c r="CI290" i="1"/>
  <c r="CH290" i="1"/>
  <c r="CG290" i="1"/>
  <c r="CF290" i="1"/>
  <c r="BR290" i="1"/>
  <c r="BQ290" i="1"/>
  <c r="BP290" i="1"/>
  <c r="BO290" i="1"/>
  <c r="BN290" i="1"/>
  <c r="BM290" i="1"/>
  <c r="BL290" i="1"/>
  <c r="BK290" i="1"/>
  <c r="BJ290" i="1"/>
  <c r="BI290" i="1"/>
  <c r="BH290" i="1"/>
  <c r="BG290" i="1"/>
  <c r="BF290" i="1"/>
  <c r="BB290" i="1"/>
  <c r="AZ290" i="1"/>
  <c r="AV290" i="1"/>
  <c r="AU290" i="1"/>
  <c r="AR290" i="1"/>
  <c r="AQ290" i="1"/>
  <c r="AP290" i="1"/>
  <c r="AO290" i="1"/>
  <c r="AN290" i="1"/>
  <c r="AM290" i="1"/>
  <c r="AL290" i="1"/>
  <c r="AK290" i="1"/>
  <c r="AI290" i="1"/>
  <c r="AH290" i="1"/>
  <c r="AG290" i="1"/>
  <c r="AF290" i="1"/>
  <c r="AE290" i="1"/>
  <c r="O289" i="1" s="1"/>
  <c r="AD290" i="1"/>
  <c r="O290" i="1"/>
  <c r="P290" i="1" s="1"/>
  <c r="AJ290" i="1" s="1"/>
  <c r="J290" i="1"/>
  <c r="DE289" i="1"/>
  <c r="DD289" i="1"/>
  <c r="DC289" i="1"/>
  <c r="DB289" i="1"/>
  <c r="DA289" i="1"/>
  <c r="CZ289" i="1"/>
  <c r="CY289" i="1"/>
  <c r="CX289" i="1"/>
  <c r="CW289" i="1"/>
  <c r="CV289" i="1"/>
  <c r="CU289" i="1"/>
  <c r="CT289" i="1"/>
  <c r="CS289" i="1"/>
  <c r="CR289" i="1"/>
  <c r="CQ289" i="1"/>
  <c r="CP289" i="1"/>
  <c r="CO289" i="1"/>
  <c r="CN289" i="1"/>
  <c r="CM289" i="1"/>
  <c r="CL289" i="1"/>
  <c r="CK289" i="1"/>
  <c r="CJ289" i="1"/>
  <c r="CI289" i="1"/>
  <c r="CH289" i="1"/>
  <c r="CG289" i="1"/>
  <c r="CF289" i="1"/>
  <c r="CE289" i="1"/>
  <c r="CA289" i="1"/>
  <c r="BZ289" i="1"/>
  <c r="BV289" i="1"/>
  <c r="BU289" i="1"/>
  <c r="BR289" i="1"/>
  <c r="BP289" i="1"/>
  <c r="BO289" i="1"/>
  <c r="BN289" i="1"/>
  <c r="BM289" i="1"/>
  <c r="BL289" i="1"/>
  <c r="BK289" i="1"/>
  <c r="BJ289" i="1"/>
  <c r="BI289" i="1"/>
  <c r="BH289" i="1"/>
  <c r="BG289" i="1"/>
  <c r="BF289" i="1"/>
  <c r="BE289" i="1"/>
  <c r="BC289" i="1"/>
  <c r="AY289" i="1"/>
  <c r="AX289" i="1"/>
  <c r="AT289" i="1"/>
  <c r="AS289" i="1"/>
  <c r="AR289" i="1"/>
  <c r="AP289" i="1"/>
  <c r="AO289" i="1"/>
  <c r="AN289" i="1"/>
  <c r="AM289" i="1"/>
  <c r="AL289" i="1"/>
  <c r="AK289" i="1"/>
  <c r="AJ289" i="1"/>
  <c r="AI289" i="1"/>
  <c r="AH289" i="1"/>
  <c r="AG289" i="1"/>
  <c r="AF289" i="1"/>
  <c r="AE289" i="1"/>
  <c r="O291" i="1" s="1"/>
  <c r="P291" i="1" s="1"/>
  <c r="AD289" i="1"/>
  <c r="F289" i="1"/>
  <c r="B289" i="1"/>
  <c r="AZ291" i="1" s="1"/>
  <c r="DE288" i="1"/>
  <c r="DD288" i="1"/>
  <c r="DC288" i="1"/>
  <c r="DB288" i="1"/>
  <c r="DA288" i="1"/>
  <c r="CZ288" i="1"/>
  <c r="CY288" i="1"/>
  <c r="CX288" i="1"/>
  <c r="CW288" i="1"/>
  <c r="CV288" i="1"/>
  <c r="CU288" i="1"/>
  <c r="CT288" i="1"/>
  <c r="CS288" i="1"/>
  <c r="CR288" i="1"/>
  <c r="CQ288" i="1"/>
  <c r="CP288" i="1"/>
  <c r="CO288" i="1"/>
  <c r="CN288" i="1"/>
  <c r="CM288" i="1"/>
  <c r="CL288" i="1"/>
  <c r="CK288" i="1"/>
  <c r="CJ288" i="1"/>
  <c r="CI288" i="1"/>
  <c r="CH288" i="1"/>
  <c r="CG288" i="1"/>
  <c r="CF288" i="1"/>
  <c r="BR288" i="1"/>
  <c r="BQ288" i="1"/>
  <c r="BP288" i="1"/>
  <c r="BO288" i="1"/>
  <c r="BN288" i="1"/>
  <c r="BM288" i="1"/>
  <c r="BL288" i="1"/>
  <c r="BK288" i="1"/>
  <c r="BJ288" i="1"/>
  <c r="BI288" i="1"/>
  <c r="BH288" i="1"/>
  <c r="BG288" i="1"/>
  <c r="BF288" i="1"/>
  <c r="BC288" i="1"/>
  <c r="BB288" i="1"/>
  <c r="BA288" i="1"/>
  <c r="AX288" i="1"/>
  <c r="AW288" i="1"/>
  <c r="AU288" i="1"/>
  <c r="AS288" i="1"/>
  <c r="AR288" i="1"/>
  <c r="AQ288" i="1"/>
  <c r="AP288" i="1"/>
  <c r="AO288" i="1"/>
  <c r="AN288" i="1"/>
  <c r="AM288" i="1"/>
  <c r="AL288" i="1"/>
  <c r="AK288" i="1"/>
  <c r="AJ288" i="1"/>
  <c r="AI288" i="1"/>
  <c r="AH288" i="1"/>
  <c r="AG288" i="1"/>
  <c r="AF288" i="1"/>
  <c r="AE288" i="1"/>
  <c r="R288" i="1"/>
  <c r="Q288" i="1"/>
  <c r="O288" i="1"/>
  <c r="P288" i="1" s="1"/>
  <c r="DE287" i="1"/>
  <c r="DD287" i="1"/>
  <c r="DC287" i="1"/>
  <c r="DB287" i="1"/>
  <c r="DA287" i="1"/>
  <c r="CZ287" i="1"/>
  <c r="CY287" i="1"/>
  <c r="CX287" i="1"/>
  <c r="CW287" i="1"/>
  <c r="CV287" i="1"/>
  <c r="CU287" i="1"/>
  <c r="CT287" i="1"/>
  <c r="CS287" i="1"/>
  <c r="CR287" i="1"/>
  <c r="CQ287" i="1"/>
  <c r="CP287" i="1"/>
  <c r="CO287" i="1"/>
  <c r="CN287" i="1"/>
  <c r="CM287" i="1"/>
  <c r="CL287" i="1"/>
  <c r="CK287" i="1"/>
  <c r="CJ287" i="1"/>
  <c r="CI287" i="1"/>
  <c r="CH287" i="1"/>
  <c r="CG287" i="1"/>
  <c r="CF287" i="1"/>
  <c r="BR287" i="1"/>
  <c r="BQ287" i="1"/>
  <c r="BP287" i="1"/>
  <c r="BO287" i="1"/>
  <c r="BN287" i="1"/>
  <c r="BM287" i="1"/>
  <c r="BL287" i="1"/>
  <c r="BK287" i="1"/>
  <c r="BJ287" i="1"/>
  <c r="BI287" i="1"/>
  <c r="BH287" i="1"/>
  <c r="BG287" i="1"/>
  <c r="BF287" i="1"/>
  <c r="BE287" i="1"/>
  <c r="BD287" i="1"/>
  <c r="BA287" i="1"/>
  <c r="AZ287" i="1"/>
  <c r="AX287" i="1"/>
  <c r="AV287" i="1"/>
  <c r="AT287" i="1"/>
  <c r="AS287" i="1"/>
  <c r="AR287" i="1"/>
  <c r="AP287" i="1"/>
  <c r="AO287" i="1"/>
  <c r="AN287" i="1"/>
  <c r="AM287" i="1"/>
  <c r="AL287" i="1"/>
  <c r="AK287" i="1"/>
  <c r="AJ287" i="1"/>
  <c r="AI287" i="1"/>
  <c r="AH287" i="1"/>
  <c r="AG287" i="1"/>
  <c r="AF287" i="1"/>
  <c r="AE287" i="1"/>
  <c r="P287" i="1"/>
  <c r="AQ287" i="1" s="1"/>
  <c r="J287" i="1"/>
  <c r="DE286" i="1"/>
  <c r="DD286" i="1"/>
  <c r="DC286" i="1"/>
  <c r="DB286" i="1"/>
  <c r="DA286" i="1"/>
  <c r="CZ286" i="1"/>
  <c r="CY286" i="1"/>
  <c r="CX286" i="1"/>
  <c r="CW286" i="1"/>
  <c r="CV286" i="1"/>
  <c r="CU286" i="1"/>
  <c r="CT286" i="1"/>
  <c r="CS286" i="1"/>
  <c r="CR286" i="1"/>
  <c r="CQ286" i="1"/>
  <c r="CP286" i="1"/>
  <c r="CO286" i="1"/>
  <c r="CN286" i="1"/>
  <c r="CM286" i="1"/>
  <c r="CL286" i="1"/>
  <c r="CK286" i="1"/>
  <c r="CJ286" i="1"/>
  <c r="CI286" i="1"/>
  <c r="CH286" i="1"/>
  <c r="CG286" i="1"/>
  <c r="CF286" i="1"/>
  <c r="CB286" i="1"/>
  <c r="CA286" i="1"/>
  <c r="BX286" i="1"/>
  <c r="BW286" i="1"/>
  <c r="BV286" i="1"/>
  <c r="BS286" i="1"/>
  <c r="BR286" i="1"/>
  <c r="BQ286" i="1"/>
  <c r="BP286" i="1"/>
  <c r="BO286" i="1"/>
  <c r="BN286" i="1"/>
  <c r="BM286" i="1"/>
  <c r="BL286" i="1"/>
  <c r="BK286" i="1"/>
  <c r="BJ286" i="1"/>
  <c r="BI286" i="1"/>
  <c r="BH286" i="1"/>
  <c r="BG286" i="1"/>
  <c r="BF286" i="1"/>
  <c r="BD286" i="1"/>
  <c r="BB286" i="1"/>
  <c r="AZ286" i="1"/>
  <c r="AY286" i="1"/>
  <c r="AV286" i="1"/>
  <c r="AU286" i="1"/>
  <c r="AT286" i="1"/>
  <c r="AR286" i="1"/>
  <c r="AQ286" i="1"/>
  <c r="AP286" i="1"/>
  <c r="AO286" i="1"/>
  <c r="AN286" i="1"/>
  <c r="AM286" i="1"/>
  <c r="AL286" i="1"/>
  <c r="AK286" i="1"/>
  <c r="AJ286" i="1"/>
  <c r="AI286" i="1"/>
  <c r="AH286" i="1"/>
  <c r="AF286" i="1"/>
  <c r="AE286" i="1"/>
  <c r="O287" i="1" s="1"/>
  <c r="AD286" i="1"/>
  <c r="S286" i="1"/>
  <c r="T286" i="1" s="1"/>
  <c r="P286" i="1"/>
  <c r="O286" i="1"/>
  <c r="AG286" i="1" s="1"/>
  <c r="G286" i="1"/>
  <c r="F286" i="1" s="1"/>
  <c r="B286" i="1"/>
  <c r="DE285" i="1"/>
  <c r="DD285" i="1"/>
  <c r="DC285" i="1"/>
  <c r="DB285" i="1"/>
  <c r="DA285" i="1"/>
  <c r="CZ285" i="1"/>
  <c r="CY285" i="1"/>
  <c r="CX285" i="1"/>
  <c r="CW285" i="1"/>
  <c r="CV285" i="1"/>
  <c r="CU285" i="1"/>
  <c r="CT285" i="1"/>
  <c r="CS285" i="1"/>
  <c r="CR285" i="1"/>
  <c r="CQ285" i="1"/>
  <c r="CP285" i="1"/>
  <c r="CO285" i="1"/>
  <c r="CN285" i="1"/>
  <c r="CM285" i="1"/>
  <c r="CL285" i="1"/>
  <c r="CK285" i="1"/>
  <c r="CJ285" i="1"/>
  <c r="CI285" i="1"/>
  <c r="CH285" i="1"/>
  <c r="CG285" i="1"/>
  <c r="CF285" i="1"/>
  <c r="BR285" i="1"/>
  <c r="BQ285" i="1"/>
  <c r="BP285" i="1"/>
  <c r="BO285" i="1"/>
  <c r="BN285" i="1"/>
  <c r="BM285" i="1"/>
  <c r="BL285" i="1"/>
  <c r="BK285" i="1"/>
  <c r="BJ285" i="1"/>
  <c r="BI285" i="1"/>
  <c r="BH285" i="1"/>
  <c r="BG285" i="1"/>
  <c r="BF285" i="1"/>
  <c r="BD285" i="1"/>
  <c r="BC285" i="1"/>
  <c r="AY285" i="1"/>
  <c r="AW285" i="1"/>
  <c r="AS285" i="1"/>
  <c r="AR285" i="1"/>
  <c r="AQ285" i="1"/>
  <c r="AP285" i="1"/>
  <c r="AO285" i="1"/>
  <c r="AN285" i="1"/>
  <c r="AM285" i="1"/>
  <c r="AL285" i="1"/>
  <c r="AK285" i="1"/>
  <c r="AJ285" i="1"/>
  <c r="AI285" i="1"/>
  <c r="AH285" i="1"/>
  <c r="AG285" i="1"/>
  <c r="AF285" i="1"/>
  <c r="AE285" i="1"/>
  <c r="AD285" i="1"/>
  <c r="R285" i="1"/>
  <c r="Q285" i="1"/>
  <c r="DE284" i="1"/>
  <c r="DD284" i="1"/>
  <c r="DC284" i="1"/>
  <c r="DB284" i="1"/>
  <c r="DA284" i="1"/>
  <c r="CZ284" i="1"/>
  <c r="CY284" i="1"/>
  <c r="CX284" i="1"/>
  <c r="CW284" i="1"/>
  <c r="CV284" i="1"/>
  <c r="CU284" i="1"/>
  <c r="CT284" i="1"/>
  <c r="CS284" i="1"/>
  <c r="CR284" i="1"/>
  <c r="CQ284" i="1"/>
  <c r="CP284" i="1"/>
  <c r="CO284" i="1"/>
  <c r="CN284" i="1"/>
  <c r="CM284" i="1"/>
  <c r="CL284" i="1"/>
  <c r="CK284" i="1"/>
  <c r="CJ284" i="1"/>
  <c r="CI284" i="1"/>
  <c r="CH284" i="1"/>
  <c r="CG284" i="1"/>
  <c r="CF284" i="1"/>
  <c r="BR284" i="1"/>
  <c r="BP284" i="1"/>
  <c r="BO284" i="1"/>
  <c r="BN284" i="1"/>
  <c r="BM284" i="1"/>
  <c r="BL284" i="1"/>
  <c r="BK284" i="1"/>
  <c r="BJ284" i="1"/>
  <c r="BI284" i="1"/>
  <c r="BH284" i="1"/>
  <c r="BG284" i="1"/>
  <c r="BF284" i="1"/>
  <c r="BC284" i="1"/>
  <c r="BA284" i="1"/>
  <c r="AW284" i="1"/>
  <c r="AV284" i="1"/>
  <c r="AR284" i="1"/>
  <c r="AP284" i="1"/>
  <c r="AO284" i="1"/>
  <c r="AN284" i="1"/>
  <c r="AM284" i="1"/>
  <c r="AL284" i="1"/>
  <c r="AK284" i="1"/>
  <c r="AJ284" i="1"/>
  <c r="AI284" i="1"/>
  <c r="AH284" i="1"/>
  <c r="AG284" i="1"/>
  <c r="AF284" i="1"/>
  <c r="AE284" i="1"/>
  <c r="O283" i="1" s="1"/>
  <c r="AD284" i="1"/>
  <c r="J284" i="1"/>
  <c r="DE283" i="1"/>
  <c r="DD283" i="1"/>
  <c r="DC283" i="1"/>
  <c r="DB283" i="1"/>
  <c r="DA283" i="1"/>
  <c r="CZ283" i="1"/>
  <c r="CY283" i="1"/>
  <c r="CX283" i="1"/>
  <c r="CW283" i="1"/>
  <c r="CV283" i="1"/>
  <c r="CU283" i="1"/>
  <c r="CT283" i="1"/>
  <c r="CS283" i="1"/>
  <c r="CR283" i="1"/>
  <c r="CQ283" i="1"/>
  <c r="CP283" i="1"/>
  <c r="CO283" i="1"/>
  <c r="CN283" i="1"/>
  <c r="CM283" i="1"/>
  <c r="CL283" i="1"/>
  <c r="CK283" i="1"/>
  <c r="CJ283" i="1"/>
  <c r="CI283" i="1"/>
  <c r="CH283" i="1"/>
  <c r="CG283" i="1"/>
  <c r="CF283" i="1"/>
  <c r="CB283" i="1"/>
  <c r="CA283" i="1"/>
  <c r="BW283" i="1"/>
  <c r="BV283" i="1"/>
  <c r="BR283" i="1"/>
  <c r="BQ283" i="1"/>
  <c r="BP283" i="1"/>
  <c r="BO283" i="1"/>
  <c r="BN283" i="1"/>
  <c r="BM283" i="1"/>
  <c r="BL283" i="1"/>
  <c r="BK283" i="1"/>
  <c r="BJ283" i="1"/>
  <c r="BI283" i="1"/>
  <c r="BH283" i="1"/>
  <c r="BF283" i="1"/>
  <c r="BD283" i="1"/>
  <c r="AZ283" i="1"/>
  <c r="AY283" i="1"/>
  <c r="AU283" i="1"/>
  <c r="AT283" i="1"/>
  <c r="AR283" i="1"/>
  <c r="AQ283" i="1"/>
  <c r="AP283" i="1"/>
  <c r="AO283" i="1"/>
  <c r="AN283" i="1"/>
  <c r="AM283" i="1"/>
  <c r="AL283" i="1"/>
  <c r="AK283" i="1"/>
  <c r="AJ283" i="1"/>
  <c r="AI283" i="1"/>
  <c r="AH283" i="1"/>
  <c r="AF283" i="1"/>
  <c r="AE283" i="1"/>
  <c r="AD283" i="1"/>
  <c r="G283" i="1"/>
  <c r="F283" i="1" s="1"/>
  <c r="D283" i="1"/>
  <c r="B283" i="1"/>
  <c r="BE285" i="1" s="1"/>
  <c r="DJ282" i="1"/>
  <c r="DE282" i="1"/>
  <c r="DD282" i="1"/>
  <c r="DC282" i="1"/>
  <c r="DB282" i="1"/>
  <c r="DA282" i="1"/>
  <c r="CZ282" i="1"/>
  <c r="CY282" i="1"/>
  <c r="CX282" i="1"/>
  <c r="CW282" i="1"/>
  <c r="CV282" i="1"/>
  <c r="CU282" i="1"/>
  <c r="CT282" i="1"/>
  <c r="CS282" i="1"/>
  <c r="CR282" i="1"/>
  <c r="CQ282" i="1"/>
  <c r="CP282" i="1"/>
  <c r="CO282" i="1"/>
  <c r="CN282" i="1"/>
  <c r="CM282" i="1"/>
  <c r="CL282" i="1"/>
  <c r="CK282" i="1"/>
  <c r="CJ282" i="1"/>
  <c r="CI282" i="1"/>
  <c r="CH282" i="1"/>
  <c r="CG282" i="1"/>
  <c r="CF282" i="1"/>
  <c r="BR282" i="1"/>
  <c r="BQ282" i="1"/>
  <c r="BP282" i="1"/>
  <c r="BO282" i="1"/>
  <c r="BN282" i="1"/>
  <c r="BM282" i="1"/>
  <c r="BL282" i="1"/>
  <c r="BK282" i="1"/>
  <c r="BJ282" i="1"/>
  <c r="BI282" i="1"/>
  <c r="BH282" i="1"/>
  <c r="BG282" i="1"/>
  <c r="BF282" i="1"/>
  <c r="BA282" i="1"/>
  <c r="AV282" i="1"/>
  <c r="AR282" i="1"/>
  <c r="AQ282" i="1"/>
  <c r="AP282" i="1"/>
  <c r="AO282" i="1"/>
  <c r="AN282" i="1"/>
  <c r="AM282" i="1"/>
  <c r="AL282" i="1"/>
  <c r="AK282" i="1"/>
  <c r="AJ282" i="1"/>
  <c r="AI282" i="1"/>
  <c r="AH282" i="1"/>
  <c r="AG282" i="1"/>
  <c r="AF282" i="1"/>
  <c r="AE282" i="1"/>
  <c r="R282" i="1"/>
  <c r="Q282" i="1"/>
  <c r="O282" i="1"/>
  <c r="P282" i="1" s="1"/>
  <c r="DJ281" i="1"/>
  <c r="DE281" i="1"/>
  <c r="DD281" i="1"/>
  <c r="DC281" i="1"/>
  <c r="DB281" i="1"/>
  <c r="DA281" i="1"/>
  <c r="CZ281" i="1"/>
  <c r="CY281" i="1"/>
  <c r="CX281" i="1"/>
  <c r="CW281" i="1"/>
  <c r="CV281" i="1"/>
  <c r="CU281" i="1"/>
  <c r="CT281" i="1"/>
  <c r="CS281" i="1"/>
  <c r="CR281" i="1"/>
  <c r="CQ281" i="1"/>
  <c r="CP281" i="1"/>
  <c r="CO281" i="1"/>
  <c r="CN281" i="1"/>
  <c r="CM281" i="1"/>
  <c r="CL281" i="1"/>
  <c r="CK281" i="1"/>
  <c r="CJ281" i="1"/>
  <c r="CI281" i="1"/>
  <c r="CH281" i="1"/>
  <c r="CG281" i="1"/>
  <c r="CF281" i="1"/>
  <c r="BR281" i="1"/>
  <c r="BP281" i="1"/>
  <c r="BO281" i="1"/>
  <c r="BN281" i="1"/>
  <c r="BM281" i="1"/>
  <c r="BL281" i="1"/>
  <c r="BK281" i="1"/>
  <c r="BJ281" i="1"/>
  <c r="BI281" i="1"/>
  <c r="BH281" i="1"/>
  <c r="BG281" i="1"/>
  <c r="BF281" i="1"/>
  <c r="BC281" i="1"/>
  <c r="AX281" i="1"/>
  <c r="AR281" i="1"/>
  <c r="AP281" i="1"/>
  <c r="AO281" i="1"/>
  <c r="AN281" i="1"/>
  <c r="AM281" i="1"/>
  <c r="AL281" i="1"/>
  <c r="AK281" i="1"/>
  <c r="AJ281" i="1"/>
  <c r="AI281" i="1"/>
  <c r="AH281" i="1"/>
  <c r="AG281" i="1"/>
  <c r="AF281" i="1"/>
  <c r="AE281" i="1"/>
  <c r="O280" i="1" s="1"/>
  <c r="BG280" i="1" s="1"/>
  <c r="O281" i="1"/>
  <c r="BQ281" i="1" s="1"/>
  <c r="J281" i="1"/>
  <c r="DJ280" i="1"/>
  <c r="DE280" i="1"/>
  <c r="DD280" i="1"/>
  <c r="DC280" i="1"/>
  <c r="DB280" i="1"/>
  <c r="DA280" i="1"/>
  <c r="CZ280" i="1"/>
  <c r="CY280" i="1"/>
  <c r="CX280" i="1"/>
  <c r="CW280" i="1"/>
  <c r="CV280" i="1"/>
  <c r="CU280" i="1"/>
  <c r="CT280" i="1"/>
  <c r="CS280" i="1"/>
  <c r="CR280" i="1"/>
  <c r="CQ280" i="1"/>
  <c r="CP280" i="1"/>
  <c r="CO280" i="1"/>
  <c r="CN280" i="1"/>
  <c r="CM280" i="1"/>
  <c r="CL280" i="1"/>
  <c r="CK280" i="1"/>
  <c r="CJ280" i="1"/>
  <c r="CI280" i="1"/>
  <c r="CH280" i="1"/>
  <c r="CG280" i="1"/>
  <c r="CF280" i="1"/>
  <c r="BY280" i="1"/>
  <c r="BT280" i="1"/>
  <c r="BR280" i="1"/>
  <c r="BQ280" i="1"/>
  <c r="BP280" i="1"/>
  <c r="BO280" i="1"/>
  <c r="BN280" i="1"/>
  <c r="BM280" i="1"/>
  <c r="BL280" i="1"/>
  <c r="BK280" i="1"/>
  <c r="BJ280" i="1"/>
  <c r="BI280" i="1"/>
  <c r="BH280" i="1"/>
  <c r="BF280" i="1"/>
  <c r="BA280" i="1"/>
  <c r="AV280" i="1"/>
  <c r="AR280" i="1"/>
  <c r="AQ280" i="1"/>
  <c r="AP280" i="1"/>
  <c r="AO280" i="1"/>
  <c r="AN280" i="1"/>
  <c r="AM280" i="1"/>
  <c r="AL280" i="1"/>
  <c r="AK280" i="1"/>
  <c r="AJ280" i="1"/>
  <c r="AI280" i="1"/>
  <c r="AH280" i="1"/>
  <c r="AF280" i="1"/>
  <c r="AE280" i="1"/>
  <c r="AD280" i="1"/>
  <c r="P280" i="1"/>
  <c r="F280" i="1"/>
  <c r="B280" i="1"/>
  <c r="DE279" i="1"/>
  <c r="DD279" i="1"/>
  <c r="DC279" i="1"/>
  <c r="DB279" i="1"/>
  <c r="DA279" i="1"/>
  <c r="CZ279" i="1"/>
  <c r="CY279" i="1"/>
  <c r="CX279" i="1"/>
  <c r="CW279" i="1"/>
  <c r="CV279" i="1"/>
  <c r="CU279" i="1"/>
  <c r="CT279" i="1"/>
  <c r="CS279" i="1"/>
  <c r="CR279" i="1"/>
  <c r="CQ279" i="1"/>
  <c r="CP279" i="1"/>
  <c r="CO279" i="1"/>
  <c r="CN279" i="1"/>
  <c r="CM279" i="1"/>
  <c r="CL279" i="1"/>
  <c r="CK279" i="1"/>
  <c r="CJ279" i="1"/>
  <c r="CI279" i="1"/>
  <c r="CH279" i="1"/>
  <c r="CG279" i="1"/>
  <c r="CF279" i="1"/>
  <c r="BR279" i="1"/>
  <c r="BQ279" i="1"/>
  <c r="BP279" i="1"/>
  <c r="BO279" i="1"/>
  <c r="BN279" i="1"/>
  <c r="BM279" i="1"/>
  <c r="BL279" i="1"/>
  <c r="BK279" i="1"/>
  <c r="BJ279" i="1"/>
  <c r="BH279" i="1"/>
  <c r="BG279" i="1"/>
  <c r="BF279" i="1"/>
  <c r="BE279" i="1"/>
  <c r="BD279" i="1"/>
  <c r="AZ279" i="1"/>
  <c r="AY279" i="1"/>
  <c r="AU279" i="1"/>
  <c r="AS279" i="1"/>
  <c r="AR279" i="1"/>
  <c r="AQ279" i="1"/>
  <c r="AP279" i="1"/>
  <c r="AO279" i="1"/>
  <c r="AN279" i="1"/>
  <c r="AM279" i="1"/>
  <c r="AL279" i="1"/>
  <c r="AK279" i="1"/>
  <c r="AJ279" i="1"/>
  <c r="AH279" i="1"/>
  <c r="AG279" i="1"/>
  <c r="AF279" i="1"/>
  <c r="AE279" i="1"/>
  <c r="AD279" i="1"/>
  <c r="DE278" i="1"/>
  <c r="DD278" i="1"/>
  <c r="DC278" i="1"/>
  <c r="DB278" i="1"/>
  <c r="DA278" i="1"/>
  <c r="CZ278" i="1"/>
  <c r="CY278" i="1"/>
  <c r="CX278" i="1"/>
  <c r="CW278" i="1"/>
  <c r="CV278" i="1"/>
  <c r="CU278" i="1"/>
  <c r="CT278" i="1"/>
  <c r="CS278" i="1"/>
  <c r="CR278" i="1"/>
  <c r="CQ278" i="1"/>
  <c r="CP278" i="1"/>
  <c r="CO278" i="1"/>
  <c r="CN278" i="1"/>
  <c r="CM278" i="1"/>
  <c r="CL278" i="1"/>
  <c r="CK278" i="1"/>
  <c r="CJ278" i="1"/>
  <c r="CI278" i="1"/>
  <c r="CH278" i="1"/>
  <c r="CG278" i="1"/>
  <c r="CF278" i="1"/>
  <c r="BR278" i="1"/>
  <c r="BQ278" i="1"/>
  <c r="BP278" i="1"/>
  <c r="BO278" i="1"/>
  <c r="BN278" i="1"/>
  <c r="BM278" i="1"/>
  <c r="BL278" i="1"/>
  <c r="BK278" i="1"/>
  <c r="BJ278" i="1"/>
  <c r="BI278" i="1"/>
  <c r="BH278" i="1"/>
  <c r="BG278" i="1"/>
  <c r="BC278" i="1"/>
  <c r="BA278" i="1"/>
  <c r="AW278" i="1"/>
  <c r="AV278" i="1"/>
  <c r="AR278" i="1"/>
  <c r="AQ278" i="1"/>
  <c r="AP278" i="1"/>
  <c r="AO278" i="1"/>
  <c r="AN278" i="1"/>
  <c r="AM278" i="1"/>
  <c r="AL278" i="1"/>
  <c r="AK278" i="1"/>
  <c r="AJ278" i="1"/>
  <c r="AI278" i="1"/>
  <c r="AH278" i="1"/>
  <c r="AG278" i="1"/>
  <c r="AE278" i="1"/>
  <c r="O277" i="1" s="1"/>
  <c r="P277" i="1" s="1"/>
  <c r="AD278" i="1"/>
  <c r="DE277" i="1"/>
  <c r="DD277" i="1"/>
  <c r="DC277" i="1"/>
  <c r="DB277" i="1"/>
  <c r="DA277" i="1"/>
  <c r="CZ277" i="1"/>
  <c r="CY277" i="1"/>
  <c r="CX277" i="1"/>
  <c r="CW277" i="1"/>
  <c r="CV277" i="1"/>
  <c r="CU277" i="1"/>
  <c r="CT277" i="1"/>
  <c r="CS277" i="1"/>
  <c r="CR277" i="1"/>
  <c r="CQ277" i="1"/>
  <c r="CP277" i="1"/>
  <c r="CO277" i="1"/>
  <c r="CN277" i="1"/>
  <c r="CM277" i="1"/>
  <c r="CL277" i="1"/>
  <c r="CK277" i="1"/>
  <c r="CJ277" i="1"/>
  <c r="CI277" i="1"/>
  <c r="CH277" i="1"/>
  <c r="CG277" i="1"/>
  <c r="CF277" i="1"/>
  <c r="CE277" i="1"/>
  <c r="CA277" i="1"/>
  <c r="BZ277" i="1"/>
  <c r="BV277" i="1"/>
  <c r="BU277" i="1"/>
  <c r="BR277" i="1"/>
  <c r="BQ277" i="1"/>
  <c r="BP277" i="1"/>
  <c r="BO277" i="1"/>
  <c r="BN277" i="1"/>
  <c r="BM277" i="1"/>
  <c r="BL277" i="1"/>
  <c r="BK277" i="1"/>
  <c r="BJ277" i="1"/>
  <c r="BI277" i="1"/>
  <c r="BH277" i="1"/>
  <c r="BG277" i="1"/>
  <c r="BF277" i="1"/>
  <c r="BE277" i="1"/>
  <c r="BC277" i="1"/>
  <c r="AY277" i="1"/>
  <c r="AX277" i="1"/>
  <c r="AT277" i="1"/>
  <c r="AS277" i="1"/>
  <c r="AR277" i="1"/>
  <c r="AQ277" i="1"/>
  <c r="AP277" i="1"/>
  <c r="AO277" i="1"/>
  <c r="AN277" i="1"/>
  <c r="AM277" i="1"/>
  <c r="AL277" i="1"/>
  <c r="AK277" i="1"/>
  <c r="AJ277" i="1"/>
  <c r="AI277" i="1"/>
  <c r="AH277" i="1"/>
  <c r="AG277" i="1"/>
  <c r="AF277" i="1"/>
  <c r="AE277" i="1"/>
  <c r="AD277" i="1"/>
  <c r="F277" i="1"/>
  <c r="B277" i="1"/>
  <c r="BA279" i="1" s="1"/>
  <c r="DE276" i="1"/>
  <c r="DD276" i="1"/>
  <c r="DC276" i="1"/>
  <c r="DB276" i="1"/>
  <c r="DA276" i="1"/>
  <c r="CZ276" i="1"/>
  <c r="CY276" i="1"/>
  <c r="CX276" i="1"/>
  <c r="CW276" i="1"/>
  <c r="CV276" i="1"/>
  <c r="CU276" i="1"/>
  <c r="CT276" i="1"/>
  <c r="CS276" i="1"/>
  <c r="CR276" i="1"/>
  <c r="CQ276" i="1"/>
  <c r="CP276" i="1"/>
  <c r="CO276" i="1"/>
  <c r="CN276" i="1"/>
  <c r="CM276" i="1"/>
  <c r="CL276" i="1"/>
  <c r="CK276" i="1"/>
  <c r="CJ276" i="1"/>
  <c r="CI276" i="1"/>
  <c r="CH276" i="1"/>
  <c r="CG276" i="1"/>
  <c r="CF276" i="1"/>
  <c r="BR276" i="1"/>
  <c r="BQ276" i="1"/>
  <c r="BP276" i="1"/>
  <c r="BO276" i="1"/>
  <c r="BN276" i="1"/>
  <c r="BM276" i="1"/>
  <c r="BL276" i="1"/>
  <c r="BK276" i="1"/>
  <c r="BJ276" i="1"/>
  <c r="BI276" i="1"/>
  <c r="BH276" i="1"/>
  <c r="BG276" i="1"/>
  <c r="BF276" i="1"/>
  <c r="BC276" i="1"/>
  <c r="BB276" i="1"/>
  <c r="BA276" i="1"/>
  <c r="AX276" i="1"/>
  <c r="AW276" i="1"/>
  <c r="AU276" i="1"/>
  <c r="AS276" i="1"/>
  <c r="AR276" i="1"/>
  <c r="AQ276" i="1"/>
  <c r="AP276" i="1"/>
  <c r="AO276" i="1"/>
  <c r="AN276" i="1"/>
  <c r="AM276" i="1"/>
  <c r="AL276" i="1"/>
  <c r="AK276" i="1"/>
  <c r="AJ276" i="1"/>
  <c r="AI276" i="1"/>
  <c r="AH276" i="1"/>
  <c r="AG276" i="1"/>
  <c r="AF276" i="1"/>
  <c r="AE276" i="1"/>
  <c r="R276" i="1"/>
  <c r="Q276" i="1"/>
  <c r="O276" i="1"/>
  <c r="P276" i="1" s="1"/>
  <c r="DE275" i="1"/>
  <c r="DD275" i="1"/>
  <c r="DC275" i="1"/>
  <c r="DB275" i="1"/>
  <c r="DA275" i="1"/>
  <c r="CZ275" i="1"/>
  <c r="CY275" i="1"/>
  <c r="CX275" i="1"/>
  <c r="CW275" i="1"/>
  <c r="CV275" i="1"/>
  <c r="CU275" i="1"/>
  <c r="CT275" i="1"/>
  <c r="CS275" i="1"/>
  <c r="CR275" i="1"/>
  <c r="CQ275" i="1"/>
  <c r="CP275" i="1"/>
  <c r="CO275" i="1"/>
  <c r="CN275" i="1"/>
  <c r="CM275" i="1"/>
  <c r="CL275" i="1"/>
  <c r="CK275" i="1"/>
  <c r="CJ275" i="1"/>
  <c r="CI275" i="1"/>
  <c r="CH275" i="1"/>
  <c r="CG275" i="1"/>
  <c r="CF275" i="1"/>
  <c r="BR275" i="1"/>
  <c r="BQ275" i="1"/>
  <c r="BP275" i="1"/>
  <c r="BO275" i="1"/>
  <c r="BN275" i="1"/>
  <c r="BM275" i="1"/>
  <c r="BL275" i="1"/>
  <c r="BK275" i="1"/>
  <c r="BJ275" i="1"/>
  <c r="BI275" i="1"/>
  <c r="BH275" i="1"/>
  <c r="BG275" i="1"/>
  <c r="BE275" i="1"/>
  <c r="BD275" i="1"/>
  <c r="BA275" i="1"/>
  <c r="AZ275" i="1"/>
  <c r="AX275" i="1"/>
  <c r="AV275" i="1"/>
  <c r="AT275" i="1"/>
  <c r="AS275" i="1"/>
  <c r="AR275" i="1"/>
  <c r="AQ275" i="1"/>
  <c r="AP275" i="1"/>
  <c r="AO275" i="1"/>
  <c r="AN275" i="1"/>
  <c r="AM275" i="1"/>
  <c r="AL275" i="1"/>
  <c r="AK275" i="1"/>
  <c r="AJ275" i="1"/>
  <c r="AI275" i="1"/>
  <c r="AH275" i="1"/>
  <c r="AG275" i="1"/>
  <c r="AE275" i="1"/>
  <c r="J275" i="1"/>
  <c r="DE274" i="1"/>
  <c r="DD274" i="1"/>
  <c r="DC274" i="1"/>
  <c r="DB274" i="1"/>
  <c r="DA274" i="1"/>
  <c r="CZ274" i="1"/>
  <c r="CY274" i="1"/>
  <c r="CX274" i="1"/>
  <c r="CW274" i="1"/>
  <c r="CV274" i="1"/>
  <c r="CU274" i="1"/>
  <c r="CT274" i="1"/>
  <c r="CS274" i="1"/>
  <c r="CR274" i="1"/>
  <c r="CQ274" i="1"/>
  <c r="CP274" i="1"/>
  <c r="CO274" i="1"/>
  <c r="CN274" i="1"/>
  <c r="CM274" i="1"/>
  <c r="CL274" i="1"/>
  <c r="CK274" i="1"/>
  <c r="CJ274" i="1"/>
  <c r="CI274" i="1"/>
  <c r="CH274" i="1"/>
  <c r="CG274" i="1"/>
  <c r="CF274" i="1"/>
  <c r="CE274" i="1"/>
  <c r="CD274" i="1"/>
  <c r="CB274" i="1"/>
  <c r="BZ274" i="1"/>
  <c r="BX274" i="1"/>
  <c r="BW274" i="1"/>
  <c r="BT274" i="1"/>
  <c r="BR274" i="1"/>
  <c r="BQ274" i="1"/>
  <c r="BP274" i="1"/>
  <c r="BO274" i="1"/>
  <c r="BN274" i="1"/>
  <c r="BM274" i="1"/>
  <c r="BL274" i="1"/>
  <c r="BK274" i="1"/>
  <c r="BJ274" i="1"/>
  <c r="BI274" i="1"/>
  <c r="BH274" i="1"/>
  <c r="BG274" i="1"/>
  <c r="BF274" i="1"/>
  <c r="BC274" i="1"/>
  <c r="BB274" i="1"/>
  <c r="AZ274" i="1"/>
  <c r="AX274" i="1"/>
  <c r="AV274" i="1"/>
  <c r="AU274" i="1"/>
  <c r="AR274" i="1"/>
  <c r="AQ274" i="1"/>
  <c r="AP274" i="1"/>
  <c r="AO274" i="1"/>
  <c r="AN274" i="1"/>
  <c r="AM274" i="1"/>
  <c r="AL274" i="1"/>
  <c r="AK274" i="1"/>
  <c r="AJ274" i="1"/>
  <c r="AI274" i="1"/>
  <c r="AH274" i="1"/>
  <c r="AF274" i="1"/>
  <c r="AE274" i="1"/>
  <c r="O275" i="1" s="1"/>
  <c r="P275" i="1" s="1"/>
  <c r="AD274" i="1"/>
  <c r="O274" i="1"/>
  <c r="AG274" i="1" s="1"/>
  <c r="F274" i="1"/>
  <c r="B274" i="1"/>
  <c r="DE273" i="1"/>
  <c r="DD273" i="1"/>
  <c r="DC273" i="1"/>
  <c r="DB273" i="1"/>
  <c r="DA273" i="1"/>
  <c r="CZ273" i="1"/>
  <c r="CY273" i="1"/>
  <c r="CX273" i="1"/>
  <c r="CW273" i="1"/>
  <c r="CV273" i="1"/>
  <c r="CU273" i="1"/>
  <c r="CT273" i="1"/>
  <c r="CS273" i="1"/>
  <c r="CR273" i="1"/>
  <c r="CQ273" i="1"/>
  <c r="CP273" i="1"/>
  <c r="CO273" i="1"/>
  <c r="CN273" i="1"/>
  <c r="CM273" i="1"/>
  <c r="CL273" i="1"/>
  <c r="CK273" i="1"/>
  <c r="CJ273" i="1"/>
  <c r="CI273" i="1"/>
  <c r="CH273" i="1"/>
  <c r="CG273" i="1"/>
  <c r="CF273" i="1"/>
  <c r="BR273" i="1"/>
  <c r="BQ273" i="1"/>
  <c r="BP273" i="1"/>
  <c r="BO273" i="1"/>
  <c r="BN273" i="1"/>
  <c r="BM273" i="1"/>
  <c r="BL273" i="1"/>
  <c r="BK273" i="1"/>
  <c r="BJ273" i="1"/>
  <c r="BI273" i="1"/>
  <c r="BH273" i="1"/>
  <c r="BG273" i="1"/>
  <c r="BF273" i="1"/>
  <c r="BC273" i="1"/>
  <c r="BB273" i="1"/>
  <c r="AZ273" i="1"/>
  <c r="AX273" i="1"/>
  <c r="AV273" i="1"/>
  <c r="AU273" i="1"/>
  <c r="AR273" i="1"/>
  <c r="AQ273" i="1"/>
  <c r="AP273" i="1"/>
  <c r="AO273" i="1"/>
  <c r="AN273" i="1"/>
  <c r="AM273" i="1"/>
  <c r="AL273" i="1"/>
  <c r="AK273" i="1"/>
  <c r="AJ273" i="1"/>
  <c r="AI273" i="1"/>
  <c r="AH273" i="1"/>
  <c r="AG273" i="1"/>
  <c r="AF273" i="1"/>
  <c r="AE273" i="1"/>
  <c r="AD273" i="1"/>
  <c r="R273" i="1"/>
  <c r="Q273" i="1"/>
  <c r="DE272" i="1"/>
  <c r="DD272" i="1"/>
  <c r="DC272" i="1"/>
  <c r="DB272" i="1"/>
  <c r="DA272" i="1"/>
  <c r="CZ272" i="1"/>
  <c r="CY272" i="1"/>
  <c r="CX272" i="1"/>
  <c r="CW272" i="1"/>
  <c r="CV272" i="1"/>
  <c r="CU272" i="1"/>
  <c r="CT272" i="1"/>
  <c r="CS272" i="1"/>
  <c r="CR272" i="1"/>
  <c r="CQ272" i="1"/>
  <c r="CP272" i="1"/>
  <c r="CO272" i="1"/>
  <c r="CN272" i="1"/>
  <c r="CM272" i="1"/>
  <c r="CL272" i="1"/>
  <c r="CK272" i="1"/>
  <c r="CJ272" i="1"/>
  <c r="CI272" i="1"/>
  <c r="CH272" i="1"/>
  <c r="CG272" i="1"/>
  <c r="CF272" i="1"/>
  <c r="BR272" i="1"/>
  <c r="BQ272" i="1"/>
  <c r="BP272" i="1"/>
  <c r="BO272" i="1"/>
  <c r="BN272" i="1"/>
  <c r="BL272" i="1"/>
  <c r="BK272" i="1"/>
  <c r="BJ272" i="1"/>
  <c r="BI272" i="1"/>
  <c r="BH272" i="1"/>
  <c r="BG272" i="1"/>
  <c r="BF272" i="1"/>
  <c r="BD272" i="1"/>
  <c r="BC272" i="1"/>
  <c r="BB272" i="1"/>
  <c r="AY272" i="1"/>
  <c r="AX272" i="1"/>
  <c r="AV272" i="1"/>
  <c r="AT272" i="1"/>
  <c r="AR272" i="1"/>
  <c r="AQ272" i="1"/>
  <c r="AP272" i="1"/>
  <c r="AO272" i="1"/>
  <c r="AN272" i="1"/>
  <c r="AL272" i="1"/>
  <c r="AK272" i="1"/>
  <c r="AJ272" i="1"/>
  <c r="AI272" i="1"/>
  <c r="AH272" i="1"/>
  <c r="AG272" i="1"/>
  <c r="AF272" i="1"/>
  <c r="AE272" i="1"/>
  <c r="AD272" i="1"/>
  <c r="J272" i="1"/>
  <c r="DE271" i="1"/>
  <c r="DD271" i="1"/>
  <c r="DC271" i="1"/>
  <c r="DB271" i="1"/>
  <c r="DA271" i="1"/>
  <c r="CZ271" i="1"/>
  <c r="CY271" i="1"/>
  <c r="CX271" i="1"/>
  <c r="CW271" i="1"/>
  <c r="CV271" i="1"/>
  <c r="CU271" i="1"/>
  <c r="CT271" i="1"/>
  <c r="CS271" i="1"/>
  <c r="CR271" i="1"/>
  <c r="CQ271" i="1"/>
  <c r="CP271" i="1"/>
  <c r="CO271" i="1"/>
  <c r="CN271" i="1"/>
  <c r="CM271" i="1"/>
  <c r="CL271" i="1"/>
  <c r="CK271" i="1"/>
  <c r="CJ271" i="1"/>
  <c r="CI271" i="1"/>
  <c r="CH271" i="1"/>
  <c r="CG271" i="1"/>
  <c r="CF271" i="1"/>
  <c r="CD271" i="1"/>
  <c r="CC271" i="1"/>
  <c r="CA271" i="1"/>
  <c r="BY271" i="1"/>
  <c r="BW271" i="1"/>
  <c r="BV271" i="1"/>
  <c r="BS271" i="1"/>
  <c r="BR271" i="1"/>
  <c r="BQ271" i="1"/>
  <c r="BP271" i="1"/>
  <c r="BO271" i="1"/>
  <c r="BN271" i="1"/>
  <c r="BM271" i="1"/>
  <c r="BL271" i="1"/>
  <c r="BK271" i="1"/>
  <c r="BJ271" i="1"/>
  <c r="BI271" i="1"/>
  <c r="BH271" i="1"/>
  <c r="BG271" i="1"/>
  <c r="BF271" i="1"/>
  <c r="BE271" i="1"/>
  <c r="BB271" i="1"/>
  <c r="BA271" i="1"/>
  <c r="AY271" i="1"/>
  <c r="AW271" i="1"/>
  <c r="AU271" i="1"/>
  <c r="AT271" i="1"/>
  <c r="AR271" i="1"/>
  <c r="AQ271" i="1"/>
  <c r="AP271" i="1"/>
  <c r="AO271" i="1"/>
  <c r="AN271" i="1"/>
  <c r="AM271" i="1"/>
  <c r="AL271" i="1"/>
  <c r="AK271" i="1"/>
  <c r="AI271" i="1"/>
  <c r="AH271" i="1"/>
  <c r="AG271" i="1"/>
  <c r="AF271" i="1"/>
  <c r="AE271" i="1"/>
  <c r="O273" i="1" s="1"/>
  <c r="P273" i="1" s="1"/>
  <c r="AD271" i="1"/>
  <c r="O271" i="1"/>
  <c r="F271" i="1"/>
  <c r="B271" i="1"/>
  <c r="DE270" i="1"/>
  <c r="DD270" i="1"/>
  <c r="DC270" i="1"/>
  <c r="DB270" i="1"/>
  <c r="DA270" i="1"/>
  <c r="CZ270" i="1"/>
  <c r="CY270" i="1"/>
  <c r="CX270" i="1"/>
  <c r="CW270" i="1"/>
  <c r="CV270" i="1"/>
  <c r="CU270" i="1"/>
  <c r="CT270" i="1"/>
  <c r="CS270" i="1"/>
  <c r="CR270" i="1"/>
  <c r="CQ270" i="1"/>
  <c r="CP270" i="1"/>
  <c r="CO270" i="1"/>
  <c r="CN270" i="1"/>
  <c r="CM270" i="1"/>
  <c r="CL270" i="1"/>
  <c r="CK270" i="1"/>
  <c r="CJ270" i="1"/>
  <c r="CI270" i="1"/>
  <c r="CH270" i="1"/>
  <c r="CG270" i="1"/>
  <c r="CF270" i="1"/>
  <c r="BR270" i="1"/>
  <c r="BQ270" i="1"/>
  <c r="BP270" i="1"/>
  <c r="BO270" i="1"/>
  <c r="BN270" i="1"/>
  <c r="BM270" i="1"/>
  <c r="BL270" i="1"/>
  <c r="BK270" i="1"/>
  <c r="BJ270" i="1"/>
  <c r="BI270" i="1"/>
  <c r="BG270" i="1"/>
  <c r="BF270" i="1"/>
  <c r="BC270" i="1"/>
  <c r="BB270" i="1"/>
  <c r="AX270" i="1"/>
  <c r="AW270" i="1"/>
  <c r="AS270" i="1"/>
  <c r="AR270" i="1"/>
  <c r="AQ270" i="1"/>
  <c r="AP270" i="1"/>
  <c r="AO270" i="1"/>
  <c r="AN270" i="1"/>
  <c r="AM270" i="1"/>
  <c r="AL270" i="1"/>
  <c r="AK270" i="1"/>
  <c r="AJ270" i="1"/>
  <c r="AI270" i="1"/>
  <c r="AG270" i="1"/>
  <c r="AF270" i="1"/>
  <c r="AE270" i="1"/>
  <c r="O270" i="1"/>
  <c r="DE269" i="1"/>
  <c r="DD269" i="1"/>
  <c r="DC269" i="1"/>
  <c r="DB269" i="1"/>
  <c r="DA269" i="1"/>
  <c r="CZ269" i="1"/>
  <c r="CY269" i="1"/>
  <c r="CX269" i="1"/>
  <c r="CW269" i="1"/>
  <c r="CV269" i="1"/>
  <c r="CU269" i="1"/>
  <c r="CT269" i="1"/>
  <c r="CS269" i="1"/>
  <c r="CR269" i="1"/>
  <c r="CQ269" i="1"/>
  <c r="CP269" i="1"/>
  <c r="CO269" i="1"/>
  <c r="CN269" i="1"/>
  <c r="CM269" i="1"/>
  <c r="CL269" i="1"/>
  <c r="CK269" i="1"/>
  <c r="CJ269" i="1"/>
  <c r="CI269" i="1"/>
  <c r="CH269" i="1"/>
  <c r="CG269" i="1"/>
  <c r="CF269" i="1"/>
  <c r="BR269" i="1"/>
  <c r="BQ269" i="1"/>
  <c r="BP269" i="1"/>
  <c r="BO269" i="1"/>
  <c r="BN269" i="1"/>
  <c r="BM269" i="1"/>
  <c r="BL269" i="1"/>
  <c r="BK269" i="1"/>
  <c r="BJ269" i="1"/>
  <c r="BI269" i="1"/>
  <c r="BH269" i="1"/>
  <c r="BF269" i="1"/>
  <c r="BE269" i="1"/>
  <c r="BD269" i="1"/>
  <c r="AZ269" i="1"/>
  <c r="AX269" i="1"/>
  <c r="AT269" i="1"/>
  <c r="AS269" i="1"/>
  <c r="AR269" i="1"/>
  <c r="AQ269" i="1"/>
  <c r="AP269" i="1"/>
  <c r="AO269" i="1"/>
  <c r="AN269" i="1"/>
  <c r="AM269" i="1"/>
  <c r="AL269" i="1"/>
  <c r="AK269" i="1"/>
  <c r="AJ269" i="1"/>
  <c r="AI269" i="1"/>
  <c r="AH269" i="1"/>
  <c r="AG269" i="1"/>
  <c r="AF269" i="1"/>
  <c r="AE269" i="1"/>
  <c r="P269" i="1"/>
  <c r="J269" i="1"/>
  <c r="DE268" i="1"/>
  <c r="DD268" i="1"/>
  <c r="DC268" i="1"/>
  <c r="DB268" i="1"/>
  <c r="DA268" i="1"/>
  <c r="CZ268" i="1"/>
  <c r="CY268" i="1"/>
  <c r="CX268" i="1"/>
  <c r="CW268" i="1"/>
  <c r="CV268" i="1"/>
  <c r="CU268" i="1"/>
  <c r="CT268" i="1"/>
  <c r="CS268" i="1"/>
  <c r="CR268" i="1"/>
  <c r="CQ268" i="1"/>
  <c r="CP268" i="1"/>
  <c r="CO268" i="1"/>
  <c r="CN268" i="1"/>
  <c r="CM268" i="1"/>
  <c r="CL268" i="1"/>
  <c r="CK268" i="1"/>
  <c r="CJ268" i="1"/>
  <c r="CI268" i="1"/>
  <c r="CH268" i="1"/>
  <c r="CG268" i="1"/>
  <c r="CF268" i="1"/>
  <c r="CD268" i="1"/>
  <c r="CB268" i="1"/>
  <c r="BX268" i="1"/>
  <c r="BW268" i="1"/>
  <c r="BS268" i="1"/>
  <c r="BR268" i="1"/>
  <c r="BQ268" i="1"/>
  <c r="BP268" i="1"/>
  <c r="BO268" i="1"/>
  <c r="BN268" i="1"/>
  <c r="BM268" i="1"/>
  <c r="BL268" i="1"/>
  <c r="BK268" i="1"/>
  <c r="BJ268" i="1"/>
  <c r="BI268" i="1"/>
  <c r="BH268" i="1"/>
  <c r="BG268" i="1"/>
  <c r="BF268" i="1"/>
  <c r="BB268" i="1"/>
  <c r="AZ268" i="1"/>
  <c r="AV268" i="1"/>
  <c r="AU268" i="1"/>
  <c r="AR268" i="1"/>
  <c r="AQ268" i="1"/>
  <c r="AP268" i="1"/>
  <c r="AO268" i="1"/>
  <c r="AN268" i="1"/>
  <c r="AM268" i="1"/>
  <c r="AL268" i="1"/>
  <c r="AK268" i="1"/>
  <c r="AJ268" i="1"/>
  <c r="AI268" i="1"/>
  <c r="AH268" i="1"/>
  <c r="AF268" i="1"/>
  <c r="AE268" i="1"/>
  <c r="O269" i="1" s="1"/>
  <c r="BG269" i="1" s="1"/>
  <c r="AD268" i="1"/>
  <c r="P268" i="1"/>
  <c r="O268" i="1"/>
  <c r="AG268" i="1" s="1"/>
  <c r="F268" i="1"/>
  <c r="B268" i="1"/>
  <c r="BE270" i="1" s="1"/>
  <c r="DE267" i="1"/>
  <c r="DD267" i="1"/>
  <c r="DC267" i="1"/>
  <c r="DB267" i="1"/>
  <c r="DA267" i="1"/>
  <c r="CZ267" i="1"/>
  <c r="CY267" i="1"/>
  <c r="CX267" i="1"/>
  <c r="CW267" i="1"/>
  <c r="CV267" i="1"/>
  <c r="CU267" i="1"/>
  <c r="CT267" i="1"/>
  <c r="CS267" i="1"/>
  <c r="CR267" i="1"/>
  <c r="CQ267" i="1"/>
  <c r="CP267" i="1"/>
  <c r="CO267" i="1"/>
  <c r="CN267" i="1"/>
  <c r="CM267" i="1"/>
  <c r="CL267" i="1"/>
  <c r="CK267" i="1"/>
  <c r="CJ267" i="1"/>
  <c r="CI267" i="1"/>
  <c r="CH267" i="1"/>
  <c r="CG267" i="1"/>
  <c r="CF267" i="1"/>
  <c r="BR267" i="1"/>
  <c r="BQ267" i="1"/>
  <c r="BP267" i="1"/>
  <c r="BO267" i="1"/>
  <c r="BN267" i="1"/>
  <c r="BM267" i="1"/>
  <c r="BL267" i="1"/>
  <c r="BK267" i="1"/>
  <c r="BJ267" i="1"/>
  <c r="BI267" i="1"/>
  <c r="BH267" i="1"/>
  <c r="BG267" i="1"/>
  <c r="BF267" i="1"/>
  <c r="AZ267" i="1"/>
  <c r="AU267" i="1"/>
  <c r="AR267" i="1"/>
  <c r="AQ267" i="1"/>
  <c r="AP267" i="1"/>
  <c r="AO267" i="1"/>
  <c r="AN267" i="1"/>
  <c r="AM267" i="1"/>
  <c r="AL267" i="1"/>
  <c r="AK267" i="1"/>
  <c r="AJ267" i="1"/>
  <c r="AI267" i="1"/>
  <c r="AH267" i="1"/>
  <c r="AG267" i="1"/>
  <c r="AF267" i="1"/>
  <c r="AE267" i="1"/>
  <c r="AD267" i="1"/>
  <c r="R267" i="1"/>
  <c r="Q267" i="1"/>
  <c r="DE266" i="1"/>
  <c r="DD266" i="1"/>
  <c r="DC266" i="1"/>
  <c r="DB266" i="1"/>
  <c r="DA266" i="1"/>
  <c r="CZ266" i="1"/>
  <c r="CY266" i="1"/>
  <c r="CX266" i="1"/>
  <c r="CW266" i="1"/>
  <c r="CV266" i="1"/>
  <c r="CU266" i="1"/>
  <c r="CT266" i="1"/>
  <c r="CS266" i="1"/>
  <c r="CR266" i="1"/>
  <c r="CQ266" i="1"/>
  <c r="CP266" i="1"/>
  <c r="CO266" i="1"/>
  <c r="CN266" i="1"/>
  <c r="CM266" i="1"/>
  <c r="CL266" i="1"/>
  <c r="CK266" i="1"/>
  <c r="CJ266" i="1"/>
  <c r="CI266" i="1"/>
  <c r="CH266" i="1"/>
  <c r="CG266" i="1"/>
  <c r="CF266" i="1"/>
  <c r="BR266" i="1"/>
  <c r="BQ266" i="1"/>
  <c r="BP266" i="1"/>
  <c r="BO266" i="1"/>
  <c r="BN266" i="1"/>
  <c r="BM266" i="1"/>
  <c r="BL266" i="1"/>
  <c r="BK266" i="1"/>
  <c r="BJ266" i="1"/>
  <c r="BI266" i="1"/>
  <c r="BH266" i="1"/>
  <c r="BG266" i="1"/>
  <c r="BC266" i="1"/>
  <c r="AX266" i="1"/>
  <c r="AR266" i="1"/>
  <c r="AQ266" i="1"/>
  <c r="AP266" i="1"/>
  <c r="AO266" i="1"/>
  <c r="AN266" i="1"/>
  <c r="AM266" i="1"/>
  <c r="AL266" i="1"/>
  <c r="AK266" i="1"/>
  <c r="AJ266" i="1"/>
  <c r="AI266" i="1"/>
  <c r="AH266" i="1"/>
  <c r="AG266" i="1"/>
  <c r="AE266" i="1"/>
  <c r="AD266" i="1"/>
  <c r="J266" i="1"/>
  <c r="DE265" i="1"/>
  <c r="DD265" i="1"/>
  <c r="DC265" i="1"/>
  <c r="DB265" i="1"/>
  <c r="DA265" i="1"/>
  <c r="CZ265" i="1"/>
  <c r="CY265" i="1"/>
  <c r="CX265" i="1"/>
  <c r="CW265" i="1"/>
  <c r="CV265" i="1"/>
  <c r="CU265" i="1"/>
  <c r="CT265" i="1"/>
  <c r="CS265" i="1"/>
  <c r="CR265" i="1"/>
  <c r="CQ265" i="1"/>
  <c r="CP265" i="1"/>
  <c r="CO265" i="1"/>
  <c r="CN265" i="1"/>
  <c r="CM265" i="1"/>
  <c r="CL265" i="1"/>
  <c r="CK265" i="1"/>
  <c r="CJ265" i="1"/>
  <c r="CI265" i="1"/>
  <c r="CH265" i="1"/>
  <c r="CG265" i="1"/>
  <c r="CF265" i="1"/>
  <c r="CC265" i="1"/>
  <c r="BW265" i="1"/>
  <c r="BR265" i="1"/>
  <c r="BQ265" i="1"/>
  <c r="BP265" i="1"/>
  <c r="BO265" i="1"/>
  <c r="BN265" i="1"/>
  <c r="BL265" i="1"/>
  <c r="BK265" i="1"/>
  <c r="BJ265" i="1"/>
  <c r="BI265" i="1"/>
  <c r="BH265" i="1"/>
  <c r="BG265" i="1"/>
  <c r="BF265" i="1"/>
  <c r="BA265" i="1"/>
  <c r="AU265" i="1"/>
  <c r="AR265" i="1"/>
  <c r="AQ265" i="1"/>
  <c r="AP265" i="1"/>
  <c r="AO265" i="1"/>
  <c r="AN265" i="1"/>
  <c r="AL265" i="1"/>
  <c r="AK265" i="1"/>
  <c r="AJ265" i="1"/>
  <c r="AI265" i="1"/>
  <c r="AH265" i="1"/>
  <c r="AG265" i="1"/>
  <c r="AF265" i="1"/>
  <c r="AE265" i="1"/>
  <c r="O266" i="1" s="1"/>
  <c r="AD265" i="1"/>
  <c r="O265" i="1"/>
  <c r="P265" i="1" s="1"/>
  <c r="AM265" i="1" s="1"/>
  <c r="F265" i="1"/>
  <c r="B265" i="1"/>
  <c r="BC267" i="1" s="1"/>
  <c r="DE264" i="1"/>
  <c r="DD264" i="1"/>
  <c r="DC264" i="1"/>
  <c r="DB264" i="1"/>
  <c r="DA264" i="1"/>
  <c r="CZ264" i="1"/>
  <c r="CY264" i="1"/>
  <c r="CX264" i="1"/>
  <c r="CW264" i="1"/>
  <c r="CV264" i="1"/>
  <c r="CU264" i="1"/>
  <c r="CT264" i="1"/>
  <c r="CS264" i="1"/>
  <c r="CR264" i="1"/>
  <c r="CQ264" i="1"/>
  <c r="CP264" i="1"/>
  <c r="CO264" i="1"/>
  <c r="CN264" i="1"/>
  <c r="CM264" i="1"/>
  <c r="CL264" i="1"/>
  <c r="CK264" i="1"/>
  <c r="CJ264" i="1"/>
  <c r="CI264" i="1"/>
  <c r="CH264" i="1"/>
  <c r="CG264" i="1"/>
  <c r="CF264" i="1"/>
  <c r="BR264" i="1"/>
  <c r="BQ264" i="1"/>
  <c r="BP264" i="1"/>
  <c r="BO264" i="1"/>
  <c r="BN264" i="1"/>
  <c r="BM264" i="1"/>
  <c r="BL264" i="1"/>
  <c r="BK264" i="1"/>
  <c r="BJ264" i="1"/>
  <c r="BI264" i="1"/>
  <c r="BH264" i="1"/>
  <c r="BG264" i="1"/>
  <c r="BF264" i="1"/>
  <c r="AR264" i="1"/>
  <c r="AQ264" i="1"/>
  <c r="AP264" i="1"/>
  <c r="AO264" i="1"/>
  <c r="AN264" i="1"/>
  <c r="AM264" i="1"/>
  <c r="AL264" i="1"/>
  <c r="AK264" i="1"/>
  <c r="AJ264" i="1"/>
  <c r="AI264" i="1"/>
  <c r="AH264" i="1"/>
  <c r="AG264" i="1"/>
  <c r="AF264" i="1"/>
  <c r="AE264" i="1"/>
  <c r="R264" i="1"/>
  <c r="Q264" i="1"/>
  <c r="DE263" i="1"/>
  <c r="DD263" i="1"/>
  <c r="DC263" i="1"/>
  <c r="DB263" i="1"/>
  <c r="DA263" i="1"/>
  <c r="CZ263" i="1"/>
  <c r="CY263" i="1"/>
  <c r="CX263" i="1"/>
  <c r="CW263" i="1"/>
  <c r="CV263" i="1"/>
  <c r="CU263" i="1"/>
  <c r="CT263" i="1"/>
  <c r="CS263" i="1"/>
  <c r="CR263" i="1"/>
  <c r="CQ263" i="1"/>
  <c r="CP263" i="1"/>
  <c r="CO263" i="1"/>
  <c r="CN263" i="1"/>
  <c r="CM263" i="1"/>
  <c r="CL263" i="1"/>
  <c r="CK263" i="1"/>
  <c r="CJ263" i="1"/>
  <c r="CI263" i="1"/>
  <c r="CH263" i="1"/>
  <c r="CG263" i="1"/>
  <c r="CF263" i="1"/>
  <c r="BR263" i="1"/>
  <c r="BQ263" i="1"/>
  <c r="BP263" i="1"/>
  <c r="BO263" i="1"/>
  <c r="BN263" i="1"/>
  <c r="BL263" i="1"/>
  <c r="BK263" i="1"/>
  <c r="BJ263" i="1"/>
  <c r="BI263" i="1"/>
  <c r="BH263" i="1"/>
  <c r="BG263" i="1"/>
  <c r="BF263" i="1"/>
  <c r="AR263" i="1"/>
  <c r="AQ263" i="1"/>
  <c r="AP263" i="1"/>
  <c r="AO263" i="1"/>
  <c r="AN263" i="1"/>
  <c r="AL263" i="1"/>
  <c r="AK263" i="1"/>
  <c r="AJ263" i="1"/>
  <c r="AI263" i="1"/>
  <c r="AH263" i="1"/>
  <c r="AG263" i="1"/>
  <c r="AF263" i="1"/>
  <c r="AE263" i="1"/>
  <c r="P263" i="1"/>
  <c r="J263" i="1"/>
  <c r="DE262" i="1"/>
  <c r="DD262" i="1"/>
  <c r="DC262" i="1"/>
  <c r="DB262" i="1"/>
  <c r="DA262" i="1"/>
  <c r="CZ262" i="1"/>
  <c r="CY262" i="1"/>
  <c r="CX262" i="1"/>
  <c r="CW262" i="1"/>
  <c r="CV262" i="1"/>
  <c r="CU262" i="1"/>
  <c r="CT262" i="1"/>
  <c r="CS262" i="1"/>
  <c r="CR262" i="1"/>
  <c r="CQ262" i="1"/>
  <c r="CP262" i="1"/>
  <c r="CO262" i="1"/>
  <c r="CN262" i="1"/>
  <c r="CM262" i="1"/>
  <c r="CL262" i="1"/>
  <c r="CK262" i="1"/>
  <c r="CJ262" i="1"/>
  <c r="CI262" i="1"/>
  <c r="CH262" i="1"/>
  <c r="CG262" i="1"/>
  <c r="CF262" i="1"/>
  <c r="BR262" i="1"/>
  <c r="BQ262" i="1"/>
  <c r="BP262" i="1"/>
  <c r="BO262" i="1"/>
  <c r="BN262" i="1"/>
  <c r="BM262" i="1"/>
  <c r="BL262" i="1"/>
  <c r="BK262" i="1"/>
  <c r="BI262" i="1"/>
  <c r="BH262" i="1"/>
  <c r="BG262" i="1"/>
  <c r="BF262" i="1"/>
  <c r="AR262" i="1"/>
  <c r="AQ262" i="1"/>
  <c r="AP262" i="1"/>
  <c r="AO262" i="1"/>
  <c r="AN262" i="1"/>
  <c r="AM262" i="1"/>
  <c r="AL262" i="1"/>
  <c r="AK262" i="1"/>
  <c r="AI262" i="1"/>
  <c r="AH262" i="1"/>
  <c r="AG262" i="1"/>
  <c r="AF262" i="1"/>
  <c r="AE262" i="1"/>
  <c r="O263" i="1" s="1"/>
  <c r="AM263" i="1" s="1"/>
  <c r="AD262" i="1"/>
  <c r="P262" i="1"/>
  <c r="AJ262" i="1" s="1"/>
  <c r="O262" i="1"/>
  <c r="BJ262" i="1" s="1"/>
  <c r="F262" i="1"/>
  <c r="D262" i="1"/>
  <c r="B262" i="1"/>
  <c r="DJ261" i="1"/>
  <c r="Q281" i="1" s="1"/>
  <c r="DE261" i="1"/>
  <c r="DD261" i="1"/>
  <c r="DC261" i="1"/>
  <c r="DB261" i="1"/>
  <c r="DA261" i="1"/>
  <c r="CZ261" i="1"/>
  <c r="CY261" i="1"/>
  <c r="CX261" i="1"/>
  <c r="CW261" i="1"/>
  <c r="CV261" i="1"/>
  <c r="CU261" i="1"/>
  <c r="CT261" i="1"/>
  <c r="CS261" i="1"/>
  <c r="CR261" i="1"/>
  <c r="CQ261" i="1"/>
  <c r="CP261" i="1"/>
  <c r="CO261" i="1"/>
  <c r="CN261" i="1"/>
  <c r="CM261" i="1"/>
  <c r="CL261" i="1"/>
  <c r="CK261" i="1"/>
  <c r="CJ261" i="1"/>
  <c r="CI261" i="1"/>
  <c r="CH261" i="1"/>
  <c r="CG261" i="1"/>
  <c r="CF261" i="1"/>
  <c r="BR261" i="1"/>
  <c r="BP261" i="1"/>
  <c r="BO261" i="1"/>
  <c r="BN261" i="1"/>
  <c r="BM261" i="1"/>
  <c r="BL261" i="1"/>
  <c r="BK261" i="1"/>
  <c r="BJ261" i="1"/>
  <c r="BI261" i="1"/>
  <c r="BH261" i="1"/>
  <c r="BG261" i="1"/>
  <c r="BF261" i="1"/>
  <c r="BD261" i="1"/>
  <c r="BC261" i="1"/>
  <c r="AZ261" i="1"/>
  <c r="AY261" i="1"/>
  <c r="AX261" i="1"/>
  <c r="AU261" i="1"/>
  <c r="AT261" i="1"/>
  <c r="AR261" i="1"/>
  <c r="AP261" i="1"/>
  <c r="AO261" i="1"/>
  <c r="AN261" i="1"/>
  <c r="AM261" i="1"/>
  <c r="AL261" i="1"/>
  <c r="AK261" i="1"/>
  <c r="AJ261" i="1"/>
  <c r="AI261" i="1"/>
  <c r="AH261" i="1"/>
  <c r="AG261" i="1"/>
  <c r="AF261" i="1"/>
  <c r="AE261" i="1"/>
  <c r="AD261" i="1"/>
  <c r="DJ260" i="1"/>
  <c r="DE260" i="1"/>
  <c r="DD260" i="1"/>
  <c r="DC260" i="1"/>
  <c r="DB260" i="1"/>
  <c r="DA260" i="1"/>
  <c r="CZ260" i="1"/>
  <c r="CY260" i="1"/>
  <c r="CX260" i="1"/>
  <c r="CW260" i="1"/>
  <c r="CV260" i="1"/>
  <c r="CU260" i="1"/>
  <c r="CT260" i="1"/>
  <c r="CS260" i="1"/>
  <c r="CR260" i="1"/>
  <c r="CQ260" i="1"/>
  <c r="CP260" i="1"/>
  <c r="CO260" i="1"/>
  <c r="CN260" i="1"/>
  <c r="CM260" i="1"/>
  <c r="CL260" i="1"/>
  <c r="CK260" i="1"/>
  <c r="CJ260" i="1"/>
  <c r="CI260" i="1"/>
  <c r="CH260" i="1"/>
  <c r="CG260" i="1"/>
  <c r="CF260" i="1"/>
  <c r="BR260" i="1"/>
  <c r="BQ260" i="1"/>
  <c r="BP260" i="1"/>
  <c r="BO260" i="1"/>
  <c r="BN260" i="1"/>
  <c r="BM260" i="1"/>
  <c r="BL260" i="1"/>
  <c r="BK260" i="1"/>
  <c r="BJ260" i="1"/>
  <c r="BI260" i="1"/>
  <c r="BH260" i="1"/>
  <c r="BF260" i="1"/>
  <c r="BC260" i="1"/>
  <c r="BB260" i="1"/>
  <c r="AZ260" i="1"/>
  <c r="AX260" i="1"/>
  <c r="AV260" i="1"/>
  <c r="AU260" i="1"/>
  <c r="AR260" i="1"/>
  <c r="AQ260" i="1"/>
  <c r="AP260" i="1"/>
  <c r="AO260" i="1"/>
  <c r="AN260" i="1"/>
  <c r="AM260" i="1"/>
  <c r="AL260" i="1"/>
  <c r="AK260" i="1"/>
  <c r="AJ260" i="1"/>
  <c r="AI260" i="1"/>
  <c r="AH260" i="1"/>
  <c r="AF260" i="1"/>
  <c r="AE260" i="1"/>
  <c r="O259" i="1" s="1"/>
  <c r="P259" i="1" s="1"/>
  <c r="AJ259" i="1" s="1"/>
  <c r="AD260" i="1"/>
  <c r="DJ259" i="1"/>
  <c r="DE259" i="1"/>
  <c r="DD259" i="1"/>
  <c r="DC259" i="1"/>
  <c r="DB259" i="1"/>
  <c r="DA259" i="1"/>
  <c r="CZ259" i="1"/>
  <c r="CY259" i="1"/>
  <c r="CX259" i="1"/>
  <c r="CW259" i="1"/>
  <c r="CV259" i="1"/>
  <c r="CU259" i="1"/>
  <c r="CT259" i="1"/>
  <c r="CS259" i="1"/>
  <c r="CR259" i="1"/>
  <c r="CQ259" i="1"/>
  <c r="CP259" i="1"/>
  <c r="CO259" i="1"/>
  <c r="CN259" i="1"/>
  <c r="CM259" i="1"/>
  <c r="CL259" i="1"/>
  <c r="CK259" i="1"/>
  <c r="CJ259" i="1"/>
  <c r="CI259" i="1"/>
  <c r="CH259" i="1"/>
  <c r="CG259" i="1"/>
  <c r="CF259" i="1"/>
  <c r="CC259" i="1"/>
  <c r="CB259" i="1"/>
  <c r="BZ259" i="1"/>
  <c r="BX259" i="1"/>
  <c r="BV259" i="1"/>
  <c r="BU259" i="1"/>
  <c r="BR259" i="1"/>
  <c r="BQ259" i="1"/>
  <c r="BP259" i="1"/>
  <c r="BO259" i="1"/>
  <c r="BN259" i="1"/>
  <c r="BM259" i="1"/>
  <c r="BL259" i="1"/>
  <c r="BK259" i="1"/>
  <c r="BI259" i="1"/>
  <c r="BH259" i="1"/>
  <c r="BG259" i="1"/>
  <c r="BF259" i="1"/>
  <c r="BE259" i="1"/>
  <c r="BD259" i="1"/>
  <c r="BA259" i="1"/>
  <c r="AZ259" i="1"/>
  <c r="AX259" i="1"/>
  <c r="AV259" i="1"/>
  <c r="AT259" i="1"/>
  <c r="AS259" i="1"/>
  <c r="AR259" i="1"/>
  <c r="AQ259" i="1"/>
  <c r="AP259" i="1"/>
  <c r="AO259" i="1"/>
  <c r="AN259" i="1"/>
  <c r="AM259" i="1"/>
  <c r="AL259" i="1"/>
  <c r="AK259" i="1"/>
  <c r="AI259" i="1"/>
  <c r="AH259" i="1"/>
  <c r="AG259" i="1"/>
  <c r="AF259" i="1"/>
  <c r="AE259" i="1"/>
  <c r="AD259" i="1"/>
  <c r="F259" i="1"/>
  <c r="B259" i="1"/>
  <c r="DE258" i="1"/>
  <c r="DD258" i="1"/>
  <c r="DC258" i="1"/>
  <c r="DB258" i="1"/>
  <c r="DA258" i="1"/>
  <c r="CZ258" i="1"/>
  <c r="CY258" i="1"/>
  <c r="CX258" i="1"/>
  <c r="CW258" i="1"/>
  <c r="CV258" i="1"/>
  <c r="CU258" i="1"/>
  <c r="CT258" i="1"/>
  <c r="CS258" i="1"/>
  <c r="CR258" i="1"/>
  <c r="CQ258" i="1"/>
  <c r="CP258" i="1"/>
  <c r="CO258" i="1"/>
  <c r="CN258" i="1"/>
  <c r="CM258" i="1"/>
  <c r="CL258" i="1"/>
  <c r="CK258" i="1"/>
  <c r="CJ258" i="1"/>
  <c r="CI258" i="1"/>
  <c r="CH258" i="1"/>
  <c r="CG258" i="1"/>
  <c r="CF258" i="1"/>
  <c r="BR258" i="1"/>
  <c r="BQ258" i="1"/>
  <c r="BP258" i="1"/>
  <c r="BO258" i="1"/>
  <c r="BN258" i="1"/>
  <c r="BM258" i="1"/>
  <c r="BL258" i="1"/>
  <c r="BK258" i="1"/>
  <c r="BJ258" i="1"/>
  <c r="BI258" i="1"/>
  <c r="BH258" i="1"/>
  <c r="BG258" i="1"/>
  <c r="BF258" i="1"/>
  <c r="BE258" i="1"/>
  <c r="BD258" i="1"/>
  <c r="BC258" i="1"/>
  <c r="BA258" i="1"/>
  <c r="AZ258" i="1"/>
  <c r="AY258" i="1"/>
  <c r="AW258" i="1"/>
  <c r="AV258" i="1"/>
  <c r="AU258" i="1"/>
  <c r="AS258" i="1"/>
  <c r="AR258" i="1"/>
  <c r="AQ258" i="1"/>
  <c r="AP258" i="1"/>
  <c r="AO258" i="1"/>
  <c r="AN258" i="1"/>
  <c r="AM258" i="1"/>
  <c r="AL258" i="1"/>
  <c r="AK258" i="1"/>
  <c r="AJ258" i="1"/>
  <c r="AI258" i="1"/>
  <c r="AH258" i="1"/>
  <c r="AG258" i="1"/>
  <c r="AF258" i="1"/>
  <c r="AE258" i="1"/>
  <c r="R258" i="1"/>
  <c r="Q258" i="1"/>
  <c r="P258" i="1"/>
  <c r="O258" i="1"/>
  <c r="DE257" i="1"/>
  <c r="DD257" i="1"/>
  <c r="DC257" i="1"/>
  <c r="DB257" i="1"/>
  <c r="DA257" i="1"/>
  <c r="CZ257" i="1"/>
  <c r="CY257" i="1"/>
  <c r="CX257" i="1"/>
  <c r="CW257" i="1"/>
  <c r="CV257" i="1"/>
  <c r="CU257" i="1"/>
  <c r="CT257" i="1"/>
  <c r="CS257" i="1"/>
  <c r="CR257" i="1"/>
  <c r="CQ257" i="1"/>
  <c r="CP257" i="1"/>
  <c r="CO257" i="1"/>
  <c r="CN257" i="1"/>
  <c r="CM257" i="1"/>
  <c r="CL257" i="1"/>
  <c r="CK257" i="1"/>
  <c r="CJ257" i="1"/>
  <c r="CI257" i="1"/>
  <c r="CH257" i="1"/>
  <c r="CG257" i="1"/>
  <c r="CF257" i="1"/>
  <c r="BR257" i="1"/>
  <c r="BQ257" i="1"/>
  <c r="BP257" i="1"/>
  <c r="BO257" i="1"/>
  <c r="BN257" i="1"/>
  <c r="BM257" i="1"/>
  <c r="BL257" i="1"/>
  <c r="BK257" i="1"/>
  <c r="BJ257" i="1"/>
  <c r="BI257" i="1"/>
  <c r="BH257" i="1"/>
  <c r="BG257" i="1"/>
  <c r="BF257" i="1"/>
  <c r="BD257" i="1"/>
  <c r="BC257" i="1"/>
  <c r="BB257" i="1"/>
  <c r="AZ257" i="1"/>
  <c r="AY257" i="1"/>
  <c r="AX257" i="1"/>
  <c r="AV257" i="1"/>
  <c r="AU257" i="1"/>
  <c r="AT257" i="1"/>
  <c r="AR257" i="1"/>
  <c r="AQ257" i="1"/>
  <c r="AP257" i="1"/>
  <c r="AO257" i="1"/>
  <c r="AN257" i="1"/>
  <c r="AM257" i="1"/>
  <c r="AL257" i="1"/>
  <c r="AK257" i="1"/>
  <c r="AI257" i="1"/>
  <c r="AH257" i="1"/>
  <c r="AG257" i="1"/>
  <c r="AF257" i="1"/>
  <c r="AE257" i="1"/>
  <c r="O256" i="1" s="1"/>
  <c r="P257" i="1"/>
  <c r="O257" i="1"/>
  <c r="AJ257" i="1" s="1"/>
  <c r="J257" i="1"/>
  <c r="DE256" i="1"/>
  <c r="DD256" i="1"/>
  <c r="DC256" i="1"/>
  <c r="DB256" i="1"/>
  <c r="DA256" i="1"/>
  <c r="CZ256" i="1"/>
  <c r="CY256" i="1"/>
  <c r="CX256" i="1"/>
  <c r="CW256" i="1"/>
  <c r="CV256" i="1"/>
  <c r="CU256" i="1"/>
  <c r="CT256" i="1"/>
  <c r="CS256" i="1"/>
  <c r="CR256" i="1"/>
  <c r="CQ256" i="1"/>
  <c r="CP256" i="1"/>
  <c r="CO256" i="1"/>
  <c r="CN256" i="1"/>
  <c r="CM256" i="1"/>
  <c r="CL256" i="1"/>
  <c r="CK256" i="1"/>
  <c r="CJ256" i="1"/>
  <c r="CI256" i="1"/>
  <c r="CH256" i="1"/>
  <c r="CG256" i="1"/>
  <c r="CF256" i="1"/>
  <c r="CD256" i="1"/>
  <c r="CC256" i="1"/>
  <c r="CB256" i="1"/>
  <c r="BZ256" i="1"/>
  <c r="BY256" i="1"/>
  <c r="BX256" i="1"/>
  <c r="BV256" i="1"/>
  <c r="BU256" i="1"/>
  <c r="BT256" i="1"/>
  <c r="BR256" i="1"/>
  <c r="BQ256" i="1"/>
  <c r="BP256" i="1"/>
  <c r="BO256" i="1"/>
  <c r="BN256" i="1"/>
  <c r="BM256" i="1"/>
  <c r="BL256" i="1"/>
  <c r="BK256" i="1"/>
  <c r="BJ256" i="1"/>
  <c r="BI256" i="1"/>
  <c r="BH256" i="1"/>
  <c r="BG256" i="1"/>
  <c r="BF256" i="1"/>
  <c r="BE256" i="1"/>
  <c r="BD256" i="1"/>
  <c r="BB256" i="1"/>
  <c r="BA256" i="1"/>
  <c r="AZ256" i="1"/>
  <c r="AX256" i="1"/>
  <c r="AW256" i="1"/>
  <c r="AV256" i="1"/>
  <c r="AT256" i="1"/>
  <c r="AS256" i="1"/>
  <c r="AR256" i="1"/>
  <c r="AQ256" i="1"/>
  <c r="AP256" i="1"/>
  <c r="AO256" i="1"/>
  <c r="AN256" i="1"/>
  <c r="AM256" i="1"/>
  <c r="AL256" i="1"/>
  <c r="AK256" i="1"/>
  <c r="AJ256" i="1"/>
  <c r="AI256" i="1"/>
  <c r="AH256" i="1"/>
  <c r="AG256" i="1"/>
  <c r="AF256" i="1"/>
  <c r="AE256" i="1"/>
  <c r="AD256" i="1"/>
  <c r="P256" i="1"/>
  <c r="F256" i="1"/>
  <c r="B256" i="1"/>
  <c r="BB258" i="1" s="1"/>
  <c r="DE255" i="1"/>
  <c r="DD255" i="1"/>
  <c r="DC255" i="1"/>
  <c r="DB255" i="1"/>
  <c r="DA255" i="1"/>
  <c r="CZ255" i="1"/>
  <c r="CY255" i="1"/>
  <c r="CX255" i="1"/>
  <c r="CW255" i="1"/>
  <c r="CV255" i="1"/>
  <c r="CU255" i="1"/>
  <c r="CT255" i="1"/>
  <c r="CS255" i="1"/>
  <c r="CR255" i="1"/>
  <c r="CQ255" i="1"/>
  <c r="CP255" i="1"/>
  <c r="CO255" i="1"/>
  <c r="CN255" i="1"/>
  <c r="CM255" i="1"/>
  <c r="CL255" i="1"/>
  <c r="CK255" i="1"/>
  <c r="CJ255" i="1"/>
  <c r="CI255" i="1"/>
  <c r="CH255" i="1"/>
  <c r="CG255" i="1"/>
  <c r="CF255" i="1"/>
  <c r="BR255" i="1"/>
  <c r="BQ255" i="1"/>
  <c r="BP255" i="1"/>
  <c r="BO255" i="1"/>
  <c r="BN255" i="1"/>
  <c r="BM255" i="1"/>
  <c r="BL255" i="1"/>
  <c r="BK255" i="1"/>
  <c r="BJ255" i="1"/>
  <c r="BI255" i="1"/>
  <c r="BH255" i="1"/>
  <c r="BG255" i="1"/>
  <c r="BF255" i="1"/>
  <c r="BE255" i="1"/>
  <c r="BD255" i="1"/>
  <c r="BB255" i="1"/>
  <c r="BA255" i="1"/>
  <c r="AZ255" i="1"/>
  <c r="AX255" i="1"/>
  <c r="AW255" i="1"/>
  <c r="AV255" i="1"/>
  <c r="AT255" i="1"/>
  <c r="AS255" i="1"/>
  <c r="AR255" i="1"/>
  <c r="AQ255" i="1"/>
  <c r="AP255" i="1"/>
  <c r="AO255" i="1"/>
  <c r="AN255" i="1"/>
  <c r="AM255" i="1"/>
  <c r="AL255" i="1"/>
  <c r="AK255" i="1"/>
  <c r="AJ255" i="1"/>
  <c r="AI255" i="1"/>
  <c r="AH255" i="1"/>
  <c r="AG255" i="1"/>
  <c r="AF255" i="1"/>
  <c r="AE255" i="1"/>
  <c r="AD255" i="1"/>
  <c r="R255" i="1"/>
  <c r="Q255" i="1"/>
  <c r="DE254" i="1"/>
  <c r="DD254" i="1"/>
  <c r="DC254" i="1"/>
  <c r="DB254" i="1"/>
  <c r="DA254" i="1"/>
  <c r="CZ254" i="1"/>
  <c r="CY254" i="1"/>
  <c r="CX254" i="1"/>
  <c r="CW254" i="1"/>
  <c r="CV254" i="1"/>
  <c r="CU254" i="1"/>
  <c r="CT254" i="1"/>
  <c r="CS254" i="1"/>
  <c r="CR254" i="1"/>
  <c r="CQ254" i="1"/>
  <c r="CP254" i="1"/>
  <c r="CO254" i="1"/>
  <c r="CN254" i="1"/>
  <c r="CM254" i="1"/>
  <c r="CL254" i="1"/>
  <c r="CK254" i="1"/>
  <c r="CJ254" i="1"/>
  <c r="CI254" i="1"/>
  <c r="CH254" i="1"/>
  <c r="CG254" i="1"/>
  <c r="CF254" i="1"/>
  <c r="BR254" i="1"/>
  <c r="BQ254" i="1"/>
  <c r="BP254" i="1"/>
  <c r="BO254" i="1"/>
  <c r="BN254" i="1"/>
  <c r="BM254" i="1"/>
  <c r="BL254" i="1"/>
  <c r="BK254" i="1"/>
  <c r="BJ254" i="1"/>
  <c r="BI254" i="1"/>
  <c r="BH254" i="1"/>
  <c r="BG254" i="1"/>
  <c r="BE254" i="1"/>
  <c r="BD254" i="1"/>
  <c r="BB254" i="1"/>
  <c r="BA254" i="1"/>
  <c r="AZ254" i="1"/>
  <c r="AX254" i="1"/>
  <c r="AW254" i="1"/>
  <c r="AV254" i="1"/>
  <c r="AT254" i="1"/>
  <c r="AS254" i="1"/>
  <c r="AR254" i="1"/>
  <c r="AQ254" i="1"/>
  <c r="AP254" i="1"/>
  <c r="AO254" i="1"/>
  <c r="AN254" i="1"/>
  <c r="AM254" i="1"/>
  <c r="AL254" i="1"/>
  <c r="AK254" i="1"/>
  <c r="AJ254" i="1"/>
  <c r="AI254" i="1"/>
  <c r="AH254" i="1"/>
  <c r="AG254" i="1"/>
  <c r="AE254" i="1"/>
  <c r="AD254" i="1"/>
  <c r="J254" i="1"/>
  <c r="DE253" i="1"/>
  <c r="DD253" i="1"/>
  <c r="DC253" i="1"/>
  <c r="DB253" i="1"/>
  <c r="DA253" i="1"/>
  <c r="CZ253" i="1"/>
  <c r="CY253" i="1"/>
  <c r="CX253" i="1"/>
  <c r="CW253" i="1"/>
  <c r="CV253" i="1"/>
  <c r="CU253" i="1"/>
  <c r="CT253" i="1"/>
  <c r="CS253" i="1"/>
  <c r="CR253" i="1"/>
  <c r="CQ253" i="1"/>
  <c r="CP253" i="1"/>
  <c r="CO253" i="1"/>
  <c r="CN253" i="1"/>
  <c r="CM253" i="1"/>
  <c r="CL253" i="1"/>
  <c r="CK253" i="1"/>
  <c r="CJ253" i="1"/>
  <c r="CI253" i="1"/>
  <c r="CH253" i="1"/>
  <c r="CG253" i="1"/>
  <c r="CF253" i="1"/>
  <c r="CE253" i="1"/>
  <c r="CC253" i="1"/>
  <c r="CB253" i="1"/>
  <c r="CA253" i="1"/>
  <c r="BY253" i="1"/>
  <c r="BX253" i="1"/>
  <c r="BW253" i="1"/>
  <c r="BU253" i="1"/>
  <c r="BT253" i="1"/>
  <c r="BS253" i="1"/>
  <c r="BR253" i="1"/>
  <c r="BQ253" i="1"/>
  <c r="BP253" i="1"/>
  <c r="BO253" i="1"/>
  <c r="BN253" i="1"/>
  <c r="BM253" i="1"/>
  <c r="BL253" i="1"/>
  <c r="BK253" i="1"/>
  <c r="BJ253" i="1"/>
  <c r="BI253" i="1"/>
  <c r="BH253" i="1"/>
  <c r="BG253" i="1"/>
  <c r="BF253" i="1"/>
  <c r="BE253" i="1"/>
  <c r="BD253" i="1"/>
  <c r="BC253" i="1"/>
  <c r="BA253" i="1"/>
  <c r="AZ253" i="1"/>
  <c r="AY253" i="1"/>
  <c r="AW253" i="1"/>
  <c r="AV253" i="1"/>
  <c r="AU253" i="1"/>
  <c r="AS253" i="1"/>
  <c r="AR253" i="1"/>
  <c r="AQ253" i="1"/>
  <c r="AP253" i="1"/>
  <c r="AO253" i="1"/>
  <c r="AN253" i="1"/>
  <c r="AM253" i="1"/>
  <c r="AL253" i="1"/>
  <c r="AK253" i="1"/>
  <c r="AJ253" i="1"/>
  <c r="AH253" i="1"/>
  <c r="AG253" i="1"/>
  <c r="AF253" i="1"/>
  <c r="AE253" i="1"/>
  <c r="O254" i="1" s="1"/>
  <c r="AF254" i="1" s="1"/>
  <c r="AD253" i="1"/>
  <c r="O253" i="1"/>
  <c r="P253" i="1" s="1"/>
  <c r="G253" i="1"/>
  <c r="F253" i="1"/>
  <c r="B253" i="1"/>
  <c r="BC255" i="1" s="1"/>
  <c r="DE252" i="1"/>
  <c r="DD252" i="1"/>
  <c r="DC252" i="1"/>
  <c r="DB252" i="1"/>
  <c r="DA252" i="1"/>
  <c r="CZ252" i="1"/>
  <c r="CY252" i="1"/>
  <c r="CX252" i="1"/>
  <c r="CW252" i="1"/>
  <c r="CV252" i="1"/>
  <c r="CU252" i="1"/>
  <c r="CT252" i="1"/>
  <c r="CS252" i="1"/>
  <c r="CR252" i="1"/>
  <c r="CQ252" i="1"/>
  <c r="CP252" i="1"/>
  <c r="CO252" i="1"/>
  <c r="CN252" i="1"/>
  <c r="CM252" i="1"/>
  <c r="CL252" i="1"/>
  <c r="CK252" i="1"/>
  <c r="CJ252" i="1"/>
  <c r="CI252" i="1"/>
  <c r="CH252" i="1"/>
  <c r="CG252" i="1"/>
  <c r="CF252" i="1"/>
  <c r="BR252" i="1"/>
  <c r="BQ252" i="1"/>
  <c r="BP252" i="1"/>
  <c r="BO252" i="1"/>
  <c r="BN252" i="1"/>
  <c r="BM252" i="1"/>
  <c r="BL252" i="1"/>
  <c r="BK252" i="1"/>
  <c r="BJ252" i="1"/>
  <c r="BI252" i="1"/>
  <c r="BH252" i="1"/>
  <c r="BG252" i="1"/>
  <c r="BF252" i="1"/>
  <c r="BB252" i="1"/>
  <c r="AW252" i="1"/>
  <c r="AR252" i="1"/>
  <c r="AQ252" i="1"/>
  <c r="AP252" i="1"/>
  <c r="AO252" i="1"/>
  <c r="AN252" i="1"/>
  <c r="AM252" i="1"/>
  <c r="AL252" i="1"/>
  <c r="AK252" i="1"/>
  <c r="AJ252" i="1"/>
  <c r="AI252" i="1"/>
  <c r="AH252" i="1"/>
  <c r="AG252" i="1"/>
  <c r="AF252" i="1"/>
  <c r="AE252" i="1"/>
  <c r="R252" i="1"/>
  <c r="Q252" i="1"/>
  <c r="DE251" i="1"/>
  <c r="DD251" i="1"/>
  <c r="DC251" i="1"/>
  <c r="DB251" i="1"/>
  <c r="DA251" i="1"/>
  <c r="CZ251" i="1"/>
  <c r="CY251" i="1"/>
  <c r="CX251" i="1"/>
  <c r="CW251" i="1"/>
  <c r="CV251" i="1"/>
  <c r="CU251" i="1"/>
  <c r="CT251" i="1"/>
  <c r="CS251" i="1"/>
  <c r="CR251" i="1"/>
  <c r="CQ251" i="1"/>
  <c r="CP251" i="1"/>
  <c r="CO251" i="1"/>
  <c r="CN251" i="1"/>
  <c r="CM251" i="1"/>
  <c r="CL251" i="1"/>
  <c r="CK251" i="1"/>
  <c r="CJ251" i="1"/>
  <c r="CI251" i="1"/>
  <c r="CH251" i="1"/>
  <c r="CG251" i="1"/>
  <c r="CF251" i="1"/>
  <c r="BR251" i="1"/>
  <c r="BQ251" i="1"/>
  <c r="BP251" i="1"/>
  <c r="BO251" i="1"/>
  <c r="BN251" i="1"/>
  <c r="BM251" i="1"/>
  <c r="BL251" i="1"/>
  <c r="BK251" i="1"/>
  <c r="BJ251" i="1"/>
  <c r="BI251" i="1"/>
  <c r="BH251" i="1"/>
  <c r="BG251" i="1"/>
  <c r="BD251" i="1"/>
  <c r="AY251" i="1"/>
  <c r="AS251" i="1"/>
  <c r="AR251" i="1"/>
  <c r="AQ251" i="1"/>
  <c r="AP251" i="1"/>
  <c r="AO251" i="1"/>
  <c r="AN251" i="1"/>
  <c r="AM251" i="1"/>
  <c r="AL251" i="1"/>
  <c r="AK251" i="1"/>
  <c r="AJ251" i="1"/>
  <c r="AI251" i="1"/>
  <c r="AH251" i="1"/>
  <c r="AG251" i="1"/>
  <c r="AE251" i="1"/>
  <c r="J251" i="1"/>
  <c r="DE250" i="1"/>
  <c r="DD250" i="1"/>
  <c r="DC250" i="1"/>
  <c r="DB250" i="1"/>
  <c r="DA250" i="1"/>
  <c r="CZ250" i="1"/>
  <c r="CY250" i="1"/>
  <c r="CX250" i="1"/>
  <c r="CW250" i="1"/>
  <c r="CV250" i="1"/>
  <c r="CU250" i="1"/>
  <c r="CT250" i="1"/>
  <c r="CS250" i="1"/>
  <c r="CR250" i="1"/>
  <c r="CQ250" i="1"/>
  <c r="CP250" i="1"/>
  <c r="CO250" i="1"/>
  <c r="CN250" i="1"/>
  <c r="CM250" i="1"/>
  <c r="CL250" i="1"/>
  <c r="CK250" i="1"/>
  <c r="CJ250" i="1"/>
  <c r="CI250" i="1"/>
  <c r="CH250" i="1"/>
  <c r="CG250" i="1"/>
  <c r="CF250" i="1"/>
  <c r="CC250" i="1"/>
  <c r="BW250" i="1"/>
  <c r="BR250" i="1"/>
  <c r="BQ250" i="1"/>
  <c r="BP250" i="1"/>
  <c r="BO250" i="1"/>
  <c r="BN250" i="1"/>
  <c r="BM250" i="1"/>
  <c r="BL250" i="1"/>
  <c r="BK250" i="1"/>
  <c r="BJ250" i="1"/>
  <c r="BH250" i="1"/>
  <c r="BG250" i="1"/>
  <c r="BF250" i="1"/>
  <c r="BA250" i="1"/>
  <c r="AU250" i="1"/>
  <c r="AR250" i="1"/>
  <c r="AQ250" i="1"/>
  <c r="AP250" i="1"/>
  <c r="AO250" i="1"/>
  <c r="AN250" i="1"/>
  <c r="AM250" i="1"/>
  <c r="AL250" i="1"/>
  <c r="AK250" i="1"/>
  <c r="AJ250" i="1"/>
  <c r="AH250" i="1"/>
  <c r="AG250" i="1"/>
  <c r="AF250" i="1"/>
  <c r="AE250" i="1"/>
  <c r="AD250" i="1"/>
  <c r="O250" i="1"/>
  <c r="F250" i="1"/>
  <c r="B250" i="1"/>
  <c r="DE249" i="1"/>
  <c r="DD249" i="1"/>
  <c r="DC249" i="1"/>
  <c r="DB249" i="1"/>
  <c r="DA249" i="1"/>
  <c r="CZ249" i="1"/>
  <c r="CY249" i="1"/>
  <c r="CX249" i="1"/>
  <c r="CW249" i="1"/>
  <c r="CV249" i="1"/>
  <c r="CU249" i="1"/>
  <c r="CT249" i="1"/>
  <c r="CS249" i="1"/>
  <c r="CR249" i="1"/>
  <c r="CQ249" i="1"/>
  <c r="CP249" i="1"/>
  <c r="CO249" i="1"/>
  <c r="CN249" i="1"/>
  <c r="CM249" i="1"/>
  <c r="CL249" i="1"/>
  <c r="CK249" i="1"/>
  <c r="CJ249" i="1"/>
  <c r="CI249" i="1"/>
  <c r="CH249" i="1"/>
  <c r="CG249" i="1"/>
  <c r="CF249" i="1"/>
  <c r="BR249" i="1"/>
  <c r="BQ249" i="1"/>
  <c r="BP249" i="1"/>
  <c r="BO249" i="1"/>
  <c r="BN249" i="1"/>
  <c r="BM249" i="1"/>
  <c r="BL249" i="1"/>
  <c r="BK249" i="1"/>
  <c r="BJ249" i="1"/>
  <c r="BI249" i="1"/>
  <c r="BH249" i="1"/>
  <c r="BF249" i="1"/>
  <c r="BE249" i="1"/>
  <c r="BC249" i="1"/>
  <c r="BB249" i="1"/>
  <c r="BA249" i="1"/>
  <c r="AY249" i="1"/>
  <c r="AX249" i="1"/>
  <c r="AW249" i="1"/>
  <c r="AU249" i="1"/>
  <c r="AT249" i="1"/>
  <c r="AS249" i="1"/>
  <c r="AR249" i="1"/>
  <c r="AQ249" i="1"/>
  <c r="AP249" i="1"/>
  <c r="AO249" i="1"/>
  <c r="AN249" i="1"/>
  <c r="AM249" i="1"/>
  <c r="AL249" i="1"/>
  <c r="AK249" i="1"/>
  <c r="AJ249" i="1"/>
  <c r="AI249" i="1"/>
  <c r="AH249" i="1"/>
  <c r="AF249" i="1"/>
  <c r="AE249" i="1"/>
  <c r="AD249" i="1"/>
  <c r="O249" i="1"/>
  <c r="BG249" i="1" s="1"/>
  <c r="DE248" i="1"/>
  <c r="DD248" i="1"/>
  <c r="DC248" i="1"/>
  <c r="DB248" i="1"/>
  <c r="DA248" i="1"/>
  <c r="CZ248" i="1"/>
  <c r="CY248" i="1"/>
  <c r="CX248" i="1"/>
  <c r="CW248" i="1"/>
  <c r="CV248" i="1"/>
  <c r="CU248" i="1"/>
  <c r="CT248" i="1"/>
  <c r="CS248" i="1"/>
  <c r="CR248" i="1"/>
  <c r="CQ248" i="1"/>
  <c r="CP248" i="1"/>
  <c r="CO248" i="1"/>
  <c r="CN248" i="1"/>
  <c r="CM248" i="1"/>
  <c r="CL248" i="1"/>
  <c r="CK248" i="1"/>
  <c r="CJ248" i="1"/>
  <c r="CI248" i="1"/>
  <c r="CH248" i="1"/>
  <c r="CG248" i="1"/>
  <c r="CF248" i="1"/>
  <c r="BR248" i="1"/>
  <c r="BQ248" i="1"/>
  <c r="BP248" i="1"/>
  <c r="BO248" i="1"/>
  <c r="BN248" i="1"/>
  <c r="BM248" i="1"/>
  <c r="BL248" i="1"/>
  <c r="BK248" i="1"/>
  <c r="BJ248" i="1"/>
  <c r="BI248" i="1"/>
  <c r="BH248" i="1"/>
  <c r="BG248" i="1"/>
  <c r="BF248" i="1"/>
  <c r="BE248" i="1"/>
  <c r="BC248" i="1"/>
  <c r="BB248" i="1"/>
  <c r="BA248" i="1"/>
  <c r="AY248" i="1"/>
  <c r="AX248" i="1"/>
  <c r="AW248" i="1"/>
  <c r="AU248" i="1"/>
  <c r="AT248" i="1"/>
  <c r="AS248" i="1"/>
  <c r="AR248" i="1"/>
  <c r="AP248" i="1"/>
  <c r="AO248" i="1"/>
  <c r="AN248" i="1"/>
  <c r="AM248" i="1"/>
  <c r="AL248" i="1"/>
  <c r="AK248" i="1"/>
  <c r="AJ248" i="1"/>
  <c r="AI248" i="1"/>
  <c r="AH248" i="1"/>
  <c r="AG248" i="1"/>
  <c r="AF248" i="1"/>
  <c r="AE248" i="1"/>
  <c r="O247" i="1" s="1"/>
  <c r="AQ247" i="1" s="1"/>
  <c r="AD248" i="1"/>
  <c r="P248" i="1"/>
  <c r="O248" i="1"/>
  <c r="AQ248" i="1" s="1"/>
  <c r="J248" i="1"/>
  <c r="DE247" i="1"/>
  <c r="DD247" i="1"/>
  <c r="DC247" i="1"/>
  <c r="DB247" i="1"/>
  <c r="DA247" i="1"/>
  <c r="CZ247" i="1"/>
  <c r="CY247" i="1"/>
  <c r="CX247" i="1"/>
  <c r="CW247" i="1"/>
  <c r="CV247" i="1"/>
  <c r="CU247" i="1"/>
  <c r="CT247" i="1"/>
  <c r="CS247" i="1"/>
  <c r="CR247" i="1"/>
  <c r="CQ247" i="1"/>
  <c r="CP247" i="1"/>
  <c r="CO247" i="1"/>
  <c r="CN247" i="1"/>
  <c r="CM247" i="1"/>
  <c r="CL247" i="1"/>
  <c r="CK247" i="1"/>
  <c r="CJ247" i="1"/>
  <c r="CI247" i="1"/>
  <c r="CH247" i="1"/>
  <c r="CG247" i="1"/>
  <c r="CF247" i="1"/>
  <c r="CD247" i="1"/>
  <c r="CC247" i="1"/>
  <c r="CB247" i="1"/>
  <c r="BZ247" i="1"/>
  <c r="BY247" i="1"/>
  <c r="BX247" i="1"/>
  <c r="BV247" i="1"/>
  <c r="BU247" i="1"/>
  <c r="BT247" i="1"/>
  <c r="BR247" i="1"/>
  <c r="BQ247" i="1"/>
  <c r="BP247" i="1"/>
  <c r="BO247" i="1"/>
  <c r="BN247" i="1"/>
  <c r="BM247" i="1"/>
  <c r="BL247" i="1"/>
  <c r="BK247" i="1"/>
  <c r="BJ247" i="1"/>
  <c r="BI247" i="1"/>
  <c r="BH247" i="1"/>
  <c r="BG247" i="1"/>
  <c r="BF247" i="1"/>
  <c r="BE247" i="1"/>
  <c r="BD247" i="1"/>
  <c r="BB247" i="1"/>
  <c r="BA247" i="1"/>
  <c r="AZ247" i="1"/>
  <c r="AX247" i="1"/>
  <c r="AW247" i="1"/>
  <c r="AV247" i="1"/>
  <c r="AT247" i="1"/>
  <c r="AS247" i="1"/>
  <c r="AR247" i="1"/>
  <c r="AP247" i="1"/>
  <c r="AO247" i="1"/>
  <c r="AN247" i="1"/>
  <c r="AM247" i="1"/>
  <c r="AL247" i="1"/>
  <c r="AK247" i="1"/>
  <c r="AJ247" i="1"/>
  <c r="AI247" i="1"/>
  <c r="AH247" i="1"/>
  <c r="AG247" i="1"/>
  <c r="AF247" i="1"/>
  <c r="AE247" i="1"/>
  <c r="AD247" i="1"/>
  <c r="P247" i="1"/>
  <c r="F247" i="1"/>
  <c r="B247" i="1"/>
  <c r="BD249" i="1" s="1"/>
  <c r="DE246" i="1"/>
  <c r="DD246" i="1"/>
  <c r="DC246" i="1"/>
  <c r="DB246" i="1"/>
  <c r="DA246" i="1"/>
  <c r="CZ246" i="1"/>
  <c r="CY246" i="1"/>
  <c r="CX246" i="1"/>
  <c r="CW246" i="1"/>
  <c r="CV246" i="1"/>
  <c r="CU246" i="1"/>
  <c r="CT246" i="1"/>
  <c r="CS246" i="1"/>
  <c r="CR246" i="1"/>
  <c r="CQ246" i="1"/>
  <c r="CP246" i="1"/>
  <c r="CO246" i="1"/>
  <c r="CN246" i="1"/>
  <c r="CM246" i="1"/>
  <c r="CL246" i="1"/>
  <c r="CK246" i="1"/>
  <c r="CJ246" i="1"/>
  <c r="CI246" i="1"/>
  <c r="CH246" i="1"/>
  <c r="CG246" i="1"/>
  <c r="CF246" i="1"/>
  <c r="BR246" i="1"/>
  <c r="BQ246" i="1"/>
  <c r="BP246" i="1"/>
  <c r="BO246" i="1"/>
  <c r="BN246" i="1"/>
  <c r="BM246" i="1"/>
  <c r="BL246" i="1"/>
  <c r="BK246" i="1"/>
  <c r="BJ246" i="1"/>
  <c r="BI246" i="1"/>
  <c r="BH246" i="1"/>
  <c r="BG246" i="1"/>
  <c r="BF246" i="1"/>
  <c r="AR246" i="1"/>
  <c r="AQ246" i="1"/>
  <c r="AP246" i="1"/>
  <c r="AO246" i="1"/>
  <c r="AN246" i="1"/>
  <c r="AM246" i="1"/>
  <c r="AL246" i="1"/>
  <c r="AK246" i="1"/>
  <c r="AJ246" i="1"/>
  <c r="AI246" i="1"/>
  <c r="AH246" i="1"/>
  <c r="AG246" i="1"/>
  <c r="AF246" i="1"/>
  <c r="AE246" i="1"/>
  <c r="R246" i="1"/>
  <c r="Q246" i="1"/>
  <c r="DE245" i="1"/>
  <c r="DD245" i="1"/>
  <c r="DC245" i="1"/>
  <c r="DB245" i="1"/>
  <c r="DA245" i="1"/>
  <c r="CZ245" i="1"/>
  <c r="CY245" i="1"/>
  <c r="CX245" i="1"/>
  <c r="CW245" i="1"/>
  <c r="CV245" i="1"/>
  <c r="CU245" i="1"/>
  <c r="CT245" i="1"/>
  <c r="CS245" i="1"/>
  <c r="CR245" i="1"/>
  <c r="CQ245" i="1"/>
  <c r="CP245" i="1"/>
  <c r="CO245" i="1"/>
  <c r="CN245" i="1"/>
  <c r="CM245" i="1"/>
  <c r="CL245" i="1"/>
  <c r="CK245" i="1"/>
  <c r="CJ245" i="1"/>
  <c r="CI245" i="1"/>
  <c r="CH245" i="1"/>
  <c r="CG245" i="1"/>
  <c r="CF245" i="1"/>
  <c r="BR245" i="1"/>
  <c r="BQ245" i="1"/>
  <c r="BP245" i="1"/>
  <c r="BO245" i="1"/>
  <c r="BN245" i="1"/>
  <c r="BM245" i="1"/>
  <c r="BL245" i="1"/>
  <c r="BK245" i="1"/>
  <c r="BJ245" i="1"/>
  <c r="BI245" i="1"/>
  <c r="BH245" i="1"/>
  <c r="BF245" i="1"/>
  <c r="AR245" i="1"/>
  <c r="AQ245" i="1"/>
  <c r="AP245" i="1"/>
  <c r="AO245" i="1"/>
  <c r="AN245" i="1"/>
  <c r="AM245" i="1"/>
  <c r="AL245" i="1"/>
  <c r="AK245" i="1"/>
  <c r="AJ245" i="1"/>
  <c r="AI245" i="1"/>
  <c r="AH245" i="1"/>
  <c r="AF245" i="1"/>
  <c r="AE245" i="1"/>
  <c r="J245" i="1"/>
  <c r="DE244" i="1"/>
  <c r="DD244" i="1"/>
  <c r="DC244" i="1"/>
  <c r="DB244" i="1"/>
  <c r="DA244" i="1"/>
  <c r="CZ244" i="1"/>
  <c r="CY244" i="1"/>
  <c r="CX244" i="1"/>
  <c r="CW244" i="1"/>
  <c r="CV244" i="1"/>
  <c r="CU244" i="1"/>
  <c r="CT244" i="1"/>
  <c r="CS244" i="1"/>
  <c r="CR244" i="1"/>
  <c r="CQ244" i="1"/>
  <c r="CP244" i="1"/>
  <c r="CO244" i="1"/>
  <c r="CN244" i="1"/>
  <c r="CM244" i="1"/>
  <c r="CL244" i="1"/>
  <c r="CK244" i="1"/>
  <c r="CJ244" i="1"/>
  <c r="CI244" i="1"/>
  <c r="CH244" i="1"/>
  <c r="CG244" i="1"/>
  <c r="CF244" i="1"/>
  <c r="BR244" i="1"/>
  <c r="BQ244" i="1"/>
  <c r="BP244" i="1"/>
  <c r="BO244" i="1"/>
  <c r="BN244" i="1"/>
  <c r="BM244" i="1"/>
  <c r="BL244" i="1"/>
  <c r="BK244" i="1"/>
  <c r="BJ244" i="1"/>
  <c r="BI244" i="1"/>
  <c r="BH244" i="1"/>
  <c r="BG244" i="1"/>
  <c r="AR244" i="1"/>
  <c r="AQ244" i="1"/>
  <c r="AP244" i="1"/>
  <c r="AO244" i="1"/>
  <c r="AN244" i="1"/>
  <c r="AM244" i="1"/>
  <c r="AL244" i="1"/>
  <c r="AK244" i="1"/>
  <c r="AJ244" i="1"/>
  <c r="AI244" i="1"/>
  <c r="AH244" i="1"/>
  <c r="AG244" i="1"/>
  <c r="AE244" i="1"/>
  <c r="AD244" i="1"/>
  <c r="F244" i="1"/>
  <c r="B244" i="1"/>
  <c r="AS246" i="1" s="1"/>
  <c r="DE243" i="1"/>
  <c r="DD243" i="1"/>
  <c r="DC243" i="1"/>
  <c r="DB243" i="1"/>
  <c r="DA243" i="1"/>
  <c r="CZ243" i="1"/>
  <c r="CY243" i="1"/>
  <c r="CX243" i="1"/>
  <c r="CW243" i="1"/>
  <c r="CV243" i="1"/>
  <c r="CU243" i="1"/>
  <c r="CT243" i="1"/>
  <c r="CS243" i="1"/>
  <c r="CR243" i="1"/>
  <c r="CQ243" i="1"/>
  <c r="CP243" i="1"/>
  <c r="CO243" i="1"/>
  <c r="CN243" i="1"/>
  <c r="CM243" i="1"/>
  <c r="CL243" i="1"/>
  <c r="CK243" i="1"/>
  <c r="CJ243" i="1"/>
  <c r="CI243" i="1"/>
  <c r="CH243" i="1"/>
  <c r="CG243" i="1"/>
  <c r="CF243" i="1"/>
  <c r="BR243" i="1"/>
  <c r="BQ243" i="1"/>
  <c r="BP243" i="1"/>
  <c r="BO243" i="1"/>
  <c r="BN243" i="1"/>
  <c r="BM243" i="1"/>
  <c r="BL243" i="1"/>
  <c r="BK243" i="1"/>
  <c r="BJ243" i="1"/>
  <c r="BI243" i="1"/>
  <c r="BH243" i="1"/>
  <c r="BG243" i="1"/>
  <c r="BF243" i="1"/>
  <c r="BA243" i="1"/>
  <c r="AU243" i="1"/>
  <c r="AR243" i="1"/>
  <c r="AQ243" i="1"/>
  <c r="AP243" i="1"/>
  <c r="AO243" i="1"/>
  <c r="AN243" i="1"/>
  <c r="AM243" i="1"/>
  <c r="AL243" i="1"/>
  <c r="AK243" i="1"/>
  <c r="AJ243" i="1"/>
  <c r="AI243" i="1"/>
  <c r="AH243" i="1"/>
  <c r="AG243" i="1"/>
  <c r="AF243" i="1"/>
  <c r="AE243" i="1"/>
  <c r="AD243" i="1"/>
  <c r="R243" i="1"/>
  <c r="Q243" i="1"/>
  <c r="P243" i="1"/>
  <c r="DE242" i="1"/>
  <c r="DD242" i="1"/>
  <c r="DC242" i="1"/>
  <c r="DB242" i="1"/>
  <c r="DA242" i="1"/>
  <c r="CZ242" i="1"/>
  <c r="CY242" i="1"/>
  <c r="CX242" i="1"/>
  <c r="CW242" i="1"/>
  <c r="CV242" i="1"/>
  <c r="CU242" i="1"/>
  <c r="CT242" i="1"/>
  <c r="CS242" i="1"/>
  <c r="CR242" i="1"/>
  <c r="CQ242" i="1"/>
  <c r="CP242" i="1"/>
  <c r="CO242" i="1"/>
  <c r="CN242" i="1"/>
  <c r="CM242" i="1"/>
  <c r="CL242" i="1"/>
  <c r="CK242" i="1"/>
  <c r="CJ242" i="1"/>
  <c r="CI242" i="1"/>
  <c r="CH242" i="1"/>
  <c r="CG242" i="1"/>
  <c r="CF242" i="1"/>
  <c r="BR242" i="1"/>
  <c r="BQ242" i="1"/>
  <c r="BP242" i="1"/>
  <c r="BO242" i="1"/>
  <c r="BN242" i="1"/>
  <c r="BM242" i="1"/>
  <c r="BL242" i="1"/>
  <c r="BK242" i="1"/>
  <c r="BJ242" i="1"/>
  <c r="BI242" i="1"/>
  <c r="BH242" i="1"/>
  <c r="BF242" i="1"/>
  <c r="BA242" i="1"/>
  <c r="AU242" i="1"/>
  <c r="AR242" i="1"/>
  <c r="AQ242" i="1"/>
  <c r="AP242" i="1"/>
  <c r="AO242" i="1"/>
  <c r="AN242" i="1"/>
  <c r="AM242" i="1"/>
  <c r="AL242" i="1"/>
  <c r="AK242" i="1"/>
  <c r="AJ242" i="1"/>
  <c r="AI242" i="1"/>
  <c r="AH242" i="1"/>
  <c r="AF242" i="1"/>
  <c r="AE242" i="1"/>
  <c r="AD242" i="1"/>
  <c r="O242" i="1"/>
  <c r="M242" i="1"/>
  <c r="J242" i="1"/>
  <c r="DE241" i="1"/>
  <c r="DD241" i="1"/>
  <c r="DC241" i="1"/>
  <c r="DB241" i="1"/>
  <c r="DA241" i="1"/>
  <c r="CZ241" i="1"/>
  <c r="CY241" i="1"/>
  <c r="CX241" i="1"/>
  <c r="CW241" i="1"/>
  <c r="CV241" i="1"/>
  <c r="CU241" i="1"/>
  <c r="CT241" i="1"/>
  <c r="CS241" i="1"/>
  <c r="CR241" i="1"/>
  <c r="CQ241" i="1"/>
  <c r="CP241" i="1"/>
  <c r="CO241" i="1"/>
  <c r="CN241" i="1"/>
  <c r="CM241" i="1"/>
  <c r="CL241" i="1"/>
  <c r="CK241" i="1"/>
  <c r="CJ241" i="1"/>
  <c r="CI241" i="1"/>
  <c r="CH241" i="1"/>
  <c r="CG241" i="1"/>
  <c r="CF241" i="1"/>
  <c r="CC241" i="1"/>
  <c r="BW241" i="1"/>
  <c r="BR241" i="1"/>
  <c r="BP241" i="1"/>
  <c r="BO241" i="1"/>
  <c r="BN241" i="1"/>
  <c r="BM241" i="1"/>
  <c r="BL241" i="1"/>
  <c r="BK241" i="1"/>
  <c r="BJ241" i="1"/>
  <c r="BI241" i="1"/>
  <c r="BH241" i="1"/>
  <c r="BG241" i="1"/>
  <c r="BF241" i="1"/>
  <c r="BA241" i="1"/>
  <c r="AU241" i="1"/>
  <c r="AR241" i="1"/>
  <c r="AP241" i="1"/>
  <c r="AO241" i="1"/>
  <c r="AN241" i="1"/>
  <c r="AM241" i="1"/>
  <c r="AL241" i="1"/>
  <c r="AK241" i="1"/>
  <c r="AJ241" i="1"/>
  <c r="AI241" i="1"/>
  <c r="AH241" i="1"/>
  <c r="AG241" i="1"/>
  <c r="AF241" i="1"/>
  <c r="AE241" i="1"/>
  <c r="O243" i="1" s="1"/>
  <c r="AD241" i="1"/>
  <c r="O241" i="1"/>
  <c r="F241" i="1"/>
  <c r="B241" i="1"/>
  <c r="BC243" i="1" s="1"/>
  <c r="DE240" i="1"/>
  <c r="DD240" i="1"/>
  <c r="DC240" i="1"/>
  <c r="DB240" i="1"/>
  <c r="DA240" i="1"/>
  <c r="CZ240" i="1"/>
  <c r="CY240" i="1"/>
  <c r="CX240" i="1"/>
  <c r="CW240" i="1"/>
  <c r="CV240" i="1"/>
  <c r="CU240" i="1"/>
  <c r="CT240" i="1"/>
  <c r="CS240" i="1"/>
  <c r="CR240" i="1"/>
  <c r="CQ240" i="1"/>
  <c r="CP240" i="1"/>
  <c r="CO240" i="1"/>
  <c r="CN240" i="1"/>
  <c r="CM240" i="1"/>
  <c r="CL240" i="1"/>
  <c r="CK240" i="1"/>
  <c r="CJ240" i="1"/>
  <c r="CI240" i="1"/>
  <c r="CH240" i="1"/>
  <c r="CG240" i="1"/>
  <c r="CF240" i="1"/>
  <c r="BR240" i="1"/>
  <c r="BQ240" i="1"/>
  <c r="BP240" i="1"/>
  <c r="BO240" i="1"/>
  <c r="BN240" i="1"/>
  <c r="BM240" i="1"/>
  <c r="BL240" i="1"/>
  <c r="BK240" i="1"/>
  <c r="BJ240" i="1"/>
  <c r="BI240" i="1"/>
  <c r="BH240" i="1"/>
  <c r="BG240" i="1"/>
  <c r="BF240" i="1"/>
  <c r="AY240" i="1"/>
  <c r="AR240" i="1"/>
  <c r="AQ240" i="1"/>
  <c r="AP240" i="1"/>
  <c r="AO240" i="1"/>
  <c r="AN240" i="1"/>
  <c r="AM240" i="1"/>
  <c r="AL240" i="1"/>
  <c r="AK240" i="1"/>
  <c r="AJ240" i="1"/>
  <c r="AI240" i="1"/>
  <c r="AH240" i="1"/>
  <c r="AG240" i="1"/>
  <c r="AF240" i="1"/>
  <c r="AE240" i="1"/>
  <c r="R240" i="1"/>
  <c r="Q240" i="1"/>
  <c r="DE239" i="1"/>
  <c r="DD239" i="1"/>
  <c r="DC239" i="1"/>
  <c r="DB239" i="1"/>
  <c r="DA239" i="1"/>
  <c r="CZ239" i="1"/>
  <c r="CY239" i="1"/>
  <c r="CX239" i="1"/>
  <c r="CW239" i="1"/>
  <c r="CV239" i="1"/>
  <c r="CU239" i="1"/>
  <c r="CT239" i="1"/>
  <c r="CS239" i="1"/>
  <c r="CR239" i="1"/>
  <c r="CQ239" i="1"/>
  <c r="CP239" i="1"/>
  <c r="CO239" i="1"/>
  <c r="CN239" i="1"/>
  <c r="CM239" i="1"/>
  <c r="CL239" i="1"/>
  <c r="CK239" i="1"/>
  <c r="CJ239" i="1"/>
  <c r="CI239" i="1"/>
  <c r="CH239" i="1"/>
  <c r="CG239" i="1"/>
  <c r="CF239" i="1"/>
  <c r="BR239" i="1"/>
  <c r="BQ239" i="1"/>
  <c r="BP239" i="1"/>
  <c r="BO239" i="1"/>
  <c r="BN239" i="1"/>
  <c r="BL239" i="1"/>
  <c r="BK239" i="1"/>
  <c r="BJ239" i="1"/>
  <c r="BI239" i="1"/>
  <c r="BH239" i="1"/>
  <c r="BG239" i="1"/>
  <c r="BF239" i="1"/>
  <c r="AR239" i="1"/>
  <c r="AQ239" i="1"/>
  <c r="AP239" i="1"/>
  <c r="AO239" i="1"/>
  <c r="AN239" i="1"/>
  <c r="AL239" i="1"/>
  <c r="AK239" i="1"/>
  <c r="AJ239" i="1"/>
  <c r="AI239" i="1"/>
  <c r="AH239" i="1"/>
  <c r="AG239" i="1"/>
  <c r="AF239" i="1"/>
  <c r="AE239" i="1"/>
  <c r="P239" i="1"/>
  <c r="J239" i="1"/>
  <c r="DE238" i="1"/>
  <c r="DD238" i="1"/>
  <c r="DC238" i="1"/>
  <c r="DB238" i="1"/>
  <c r="DA238" i="1"/>
  <c r="CZ238" i="1"/>
  <c r="CY238" i="1"/>
  <c r="CX238" i="1"/>
  <c r="CW238" i="1"/>
  <c r="CV238" i="1"/>
  <c r="CU238" i="1"/>
  <c r="CT238" i="1"/>
  <c r="CS238" i="1"/>
  <c r="CR238" i="1"/>
  <c r="CQ238" i="1"/>
  <c r="CP238" i="1"/>
  <c r="CO238" i="1"/>
  <c r="CN238" i="1"/>
  <c r="CM238" i="1"/>
  <c r="CL238" i="1"/>
  <c r="CK238" i="1"/>
  <c r="CJ238" i="1"/>
  <c r="CI238" i="1"/>
  <c r="CH238" i="1"/>
  <c r="CG238" i="1"/>
  <c r="CF238" i="1"/>
  <c r="BR238" i="1"/>
  <c r="BQ238" i="1"/>
  <c r="BP238" i="1"/>
  <c r="BO238" i="1"/>
  <c r="BN238" i="1"/>
  <c r="BM238" i="1"/>
  <c r="BL238" i="1"/>
  <c r="BK238" i="1"/>
  <c r="BI238" i="1"/>
  <c r="BH238" i="1"/>
  <c r="BG238" i="1"/>
  <c r="BF238" i="1"/>
  <c r="BC238" i="1"/>
  <c r="AR238" i="1"/>
  <c r="AQ238" i="1"/>
  <c r="AP238" i="1"/>
  <c r="AO238" i="1"/>
  <c r="AN238" i="1"/>
  <c r="AM238" i="1"/>
  <c r="AL238" i="1"/>
  <c r="AK238" i="1"/>
  <c r="AI238" i="1"/>
  <c r="AH238" i="1"/>
  <c r="AG238" i="1"/>
  <c r="AF238" i="1"/>
  <c r="AE238" i="1"/>
  <c r="O239" i="1" s="1"/>
  <c r="AM239" i="1" s="1"/>
  <c r="AD238" i="1"/>
  <c r="P238" i="1"/>
  <c r="AJ238" i="1" s="1"/>
  <c r="O238" i="1"/>
  <c r="BJ238" i="1" s="1"/>
  <c r="F238" i="1"/>
  <c r="B238" i="1"/>
  <c r="BE240" i="1" s="1"/>
  <c r="DE237" i="1"/>
  <c r="DD237" i="1"/>
  <c r="DC237" i="1"/>
  <c r="DB237" i="1"/>
  <c r="DA237" i="1"/>
  <c r="CZ237" i="1"/>
  <c r="CY237" i="1"/>
  <c r="CX237" i="1"/>
  <c r="CW237" i="1"/>
  <c r="CV237" i="1"/>
  <c r="CU237" i="1"/>
  <c r="CT237" i="1"/>
  <c r="CS237" i="1"/>
  <c r="CR237" i="1"/>
  <c r="CQ237" i="1"/>
  <c r="CP237" i="1"/>
  <c r="CO237" i="1"/>
  <c r="CN237" i="1"/>
  <c r="CM237" i="1"/>
  <c r="CL237" i="1"/>
  <c r="CK237" i="1"/>
  <c r="CJ237" i="1"/>
  <c r="CI237" i="1"/>
  <c r="CH237" i="1"/>
  <c r="CG237" i="1"/>
  <c r="CF237" i="1"/>
  <c r="BR237" i="1"/>
  <c r="BQ237" i="1"/>
  <c r="BP237" i="1"/>
  <c r="BO237" i="1"/>
  <c r="BN237" i="1"/>
  <c r="BM237" i="1"/>
  <c r="BL237" i="1"/>
  <c r="BK237" i="1"/>
  <c r="BJ237" i="1"/>
  <c r="BI237" i="1"/>
  <c r="BH237" i="1"/>
  <c r="BG237" i="1"/>
  <c r="BF237" i="1"/>
  <c r="BD237" i="1"/>
  <c r="BC237" i="1"/>
  <c r="AZ237" i="1"/>
  <c r="AY237" i="1"/>
  <c r="AX237" i="1"/>
  <c r="AU237" i="1"/>
  <c r="AT237" i="1"/>
  <c r="AR237" i="1"/>
  <c r="AQ237" i="1"/>
  <c r="AP237" i="1"/>
  <c r="AO237" i="1"/>
  <c r="AN237" i="1"/>
  <c r="AM237" i="1"/>
  <c r="AL237" i="1"/>
  <c r="AK237" i="1"/>
  <c r="AJ237" i="1"/>
  <c r="AI237" i="1"/>
  <c r="AH237" i="1"/>
  <c r="AG237" i="1"/>
  <c r="AF237" i="1"/>
  <c r="AE237" i="1"/>
  <c r="AD237" i="1"/>
  <c r="R237" i="1"/>
  <c r="Q237" i="1"/>
  <c r="DE236" i="1"/>
  <c r="DD236" i="1"/>
  <c r="DC236" i="1"/>
  <c r="DB236" i="1"/>
  <c r="DA236" i="1"/>
  <c r="CZ236" i="1"/>
  <c r="CY236" i="1"/>
  <c r="CX236" i="1"/>
  <c r="CW236" i="1"/>
  <c r="CV236" i="1"/>
  <c r="CU236" i="1"/>
  <c r="CT236" i="1"/>
  <c r="CS236" i="1"/>
  <c r="CR236" i="1"/>
  <c r="CQ236" i="1"/>
  <c r="CP236" i="1"/>
  <c r="CO236" i="1"/>
  <c r="CN236" i="1"/>
  <c r="CM236" i="1"/>
  <c r="CL236" i="1"/>
  <c r="CK236" i="1"/>
  <c r="CJ236" i="1"/>
  <c r="CI236" i="1"/>
  <c r="CH236" i="1"/>
  <c r="CG236" i="1"/>
  <c r="CF236" i="1"/>
  <c r="BR236" i="1"/>
  <c r="BQ236" i="1"/>
  <c r="BP236" i="1"/>
  <c r="BO236" i="1"/>
  <c r="BN236" i="1"/>
  <c r="BM236" i="1"/>
  <c r="BL236" i="1"/>
  <c r="BK236" i="1"/>
  <c r="BI236" i="1"/>
  <c r="BH236" i="1"/>
  <c r="BG236" i="1"/>
  <c r="BF236" i="1"/>
  <c r="BD236" i="1"/>
  <c r="BC236" i="1"/>
  <c r="BB236" i="1"/>
  <c r="AZ236" i="1"/>
  <c r="AY236" i="1"/>
  <c r="AX236" i="1"/>
  <c r="AV236" i="1"/>
  <c r="AU236" i="1"/>
  <c r="AT236" i="1"/>
  <c r="AR236" i="1"/>
  <c r="AQ236" i="1"/>
  <c r="AP236" i="1"/>
  <c r="AO236" i="1"/>
  <c r="AN236" i="1"/>
  <c r="AM236" i="1"/>
  <c r="AL236" i="1"/>
  <c r="AK236" i="1"/>
  <c r="AI236" i="1"/>
  <c r="AH236" i="1"/>
  <c r="AG236" i="1"/>
  <c r="AF236" i="1"/>
  <c r="AE236" i="1"/>
  <c r="AD236" i="1"/>
  <c r="DE235" i="1"/>
  <c r="DD235" i="1"/>
  <c r="DC235" i="1"/>
  <c r="DB235" i="1"/>
  <c r="DA235" i="1"/>
  <c r="CZ235" i="1"/>
  <c r="CY235" i="1"/>
  <c r="CX235" i="1"/>
  <c r="CW235" i="1"/>
  <c r="CV235" i="1"/>
  <c r="CU235" i="1"/>
  <c r="CT235" i="1"/>
  <c r="CS235" i="1"/>
  <c r="CR235" i="1"/>
  <c r="CQ235" i="1"/>
  <c r="CP235" i="1"/>
  <c r="CO235" i="1"/>
  <c r="CN235" i="1"/>
  <c r="CM235" i="1"/>
  <c r="CL235" i="1"/>
  <c r="CK235" i="1"/>
  <c r="CJ235" i="1"/>
  <c r="CI235" i="1"/>
  <c r="CH235" i="1"/>
  <c r="CG235" i="1"/>
  <c r="CF235" i="1"/>
  <c r="CD235" i="1"/>
  <c r="CC235" i="1"/>
  <c r="CB235" i="1"/>
  <c r="BZ235" i="1"/>
  <c r="BY235" i="1"/>
  <c r="BX235" i="1"/>
  <c r="BU235" i="1"/>
  <c r="BT235" i="1"/>
  <c r="BR235" i="1"/>
  <c r="BQ235" i="1"/>
  <c r="BP235" i="1"/>
  <c r="BO235" i="1"/>
  <c r="BN235" i="1"/>
  <c r="BM235" i="1"/>
  <c r="BL235" i="1"/>
  <c r="BK235" i="1"/>
  <c r="BJ235" i="1"/>
  <c r="BH235" i="1"/>
  <c r="BG235" i="1"/>
  <c r="BF235" i="1"/>
  <c r="BE235" i="1"/>
  <c r="BD235" i="1"/>
  <c r="BB235" i="1"/>
  <c r="BA235" i="1"/>
  <c r="AZ235" i="1"/>
  <c r="AX235" i="1"/>
  <c r="AW235" i="1"/>
  <c r="AV235" i="1"/>
  <c r="AT235" i="1"/>
  <c r="AS235" i="1"/>
  <c r="AR235" i="1"/>
  <c r="AQ235" i="1"/>
  <c r="AP235" i="1"/>
  <c r="AO235" i="1"/>
  <c r="AN235" i="1"/>
  <c r="AM235" i="1"/>
  <c r="AL235" i="1"/>
  <c r="AK235" i="1"/>
  <c r="AJ235" i="1"/>
  <c r="AH235" i="1"/>
  <c r="AG235" i="1"/>
  <c r="AF235" i="1"/>
  <c r="AE235" i="1"/>
  <c r="AD235" i="1"/>
  <c r="F235" i="1"/>
  <c r="B235" i="1"/>
  <c r="DE234" i="1"/>
  <c r="DD234" i="1"/>
  <c r="DC234" i="1"/>
  <c r="DB234" i="1"/>
  <c r="DA234" i="1"/>
  <c r="CZ234" i="1"/>
  <c r="CY234" i="1"/>
  <c r="CX234" i="1"/>
  <c r="CW234" i="1"/>
  <c r="CV234" i="1"/>
  <c r="CU234" i="1"/>
  <c r="CT234" i="1"/>
  <c r="CS234" i="1"/>
  <c r="CR234" i="1"/>
  <c r="CQ234" i="1"/>
  <c r="CP234" i="1"/>
  <c r="CO234" i="1"/>
  <c r="CN234" i="1"/>
  <c r="CM234" i="1"/>
  <c r="CL234" i="1"/>
  <c r="CK234" i="1"/>
  <c r="CJ234" i="1"/>
  <c r="CI234" i="1"/>
  <c r="CH234" i="1"/>
  <c r="CG234" i="1"/>
  <c r="CF234" i="1"/>
  <c r="BR234" i="1"/>
  <c r="BQ234" i="1"/>
  <c r="BP234" i="1"/>
  <c r="BO234" i="1"/>
  <c r="BN234" i="1"/>
  <c r="BM234" i="1"/>
  <c r="BL234" i="1"/>
  <c r="BK234" i="1"/>
  <c r="BJ234" i="1"/>
  <c r="BI234" i="1"/>
  <c r="BH234" i="1"/>
  <c r="BG234" i="1"/>
  <c r="BF234" i="1"/>
  <c r="BE234" i="1"/>
  <c r="BD234" i="1"/>
  <c r="BB234" i="1"/>
  <c r="BA234" i="1"/>
  <c r="AZ234" i="1"/>
  <c r="AX234" i="1"/>
  <c r="AW234" i="1"/>
  <c r="AV234" i="1"/>
  <c r="AT234" i="1"/>
  <c r="AS234" i="1"/>
  <c r="AR234" i="1"/>
  <c r="AQ234" i="1"/>
  <c r="AP234" i="1"/>
  <c r="AO234" i="1"/>
  <c r="AN234" i="1"/>
  <c r="AM234" i="1"/>
  <c r="AL234" i="1"/>
  <c r="AK234" i="1"/>
  <c r="AJ234" i="1"/>
  <c r="AI234" i="1"/>
  <c r="AH234" i="1"/>
  <c r="AG234" i="1"/>
  <c r="AF234" i="1"/>
  <c r="AE234" i="1"/>
  <c r="R234" i="1"/>
  <c r="Q234" i="1"/>
  <c r="DE233" i="1"/>
  <c r="DD233" i="1"/>
  <c r="DC233" i="1"/>
  <c r="DB233" i="1"/>
  <c r="DA233" i="1"/>
  <c r="CZ233" i="1"/>
  <c r="CY233" i="1"/>
  <c r="CX233" i="1"/>
  <c r="CW233" i="1"/>
  <c r="CV233" i="1"/>
  <c r="CU233" i="1"/>
  <c r="CT233" i="1"/>
  <c r="CS233" i="1"/>
  <c r="CR233" i="1"/>
  <c r="CQ233" i="1"/>
  <c r="CP233" i="1"/>
  <c r="CO233" i="1"/>
  <c r="CN233" i="1"/>
  <c r="CM233" i="1"/>
  <c r="CL233" i="1"/>
  <c r="CK233" i="1"/>
  <c r="CJ233" i="1"/>
  <c r="CI233" i="1"/>
  <c r="CH233" i="1"/>
  <c r="CG233" i="1"/>
  <c r="CF233" i="1"/>
  <c r="BR233" i="1"/>
  <c r="BQ233" i="1"/>
  <c r="BP233" i="1"/>
  <c r="BO233" i="1"/>
  <c r="BN233" i="1"/>
  <c r="BM233" i="1"/>
  <c r="BL233" i="1"/>
  <c r="BK233" i="1"/>
  <c r="BJ233" i="1"/>
  <c r="BI233" i="1"/>
  <c r="BH233" i="1"/>
  <c r="BG233" i="1"/>
  <c r="BF233" i="1"/>
  <c r="BE233" i="1"/>
  <c r="BD233" i="1"/>
  <c r="BC233" i="1"/>
  <c r="BA233" i="1"/>
  <c r="AZ233" i="1"/>
  <c r="AY233" i="1"/>
  <c r="AW233" i="1"/>
  <c r="AV233" i="1"/>
  <c r="AU233" i="1"/>
  <c r="AS233" i="1"/>
  <c r="AR233" i="1"/>
  <c r="AQ233" i="1"/>
  <c r="AP233" i="1"/>
  <c r="AO233" i="1"/>
  <c r="AN233" i="1"/>
  <c r="AL233" i="1"/>
  <c r="AK233" i="1"/>
  <c r="AJ233" i="1"/>
  <c r="AI233" i="1"/>
  <c r="AH233" i="1"/>
  <c r="AG233" i="1"/>
  <c r="AF233" i="1"/>
  <c r="AE233" i="1"/>
  <c r="O232" i="1" s="1"/>
  <c r="P233" i="1"/>
  <c r="O233" i="1"/>
  <c r="AM233" i="1" s="1"/>
  <c r="DE232" i="1"/>
  <c r="DD232" i="1"/>
  <c r="DC232" i="1"/>
  <c r="DB232" i="1"/>
  <c r="DA232" i="1"/>
  <c r="CZ232" i="1"/>
  <c r="CY232" i="1"/>
  <c r="CX232" i="1"/>
  <c r="CW232" i="1"/>
  <c r="CV232" i="1"/>
  <c r="CU232" i="1"/>
  <c r="CT232" i="1"/>
  <c r="CS232" i="1"/>
  <c r="CR232" i="1"/>
  <c r="CQ232" i="1"/>
  <c r="CP232" i="1"/>
  <c r="CO232" i="1"/>
  <c r="CN232" i="1"/>
  <c r="CM232" i="1"/>
  <c r="CL232" i="1"/>
  <c r="CK232" i="1"/>
  <c r="CJ232" i="1"/>
  <c r="CI232" i="1"/>
  <c r="CH232" i="1"/>
  <c r="CG232" i="1"/>
  <c r="CF232" i="1"/>
  <c r="CD232" i="1"/>
  <c r="CC232" i="1"/>
  <c r="CB232" i="1"/>
  <c r="BZ232" i="1"/>
  <c r="BY232" i="1"/>
  <c r="BX232" i="1"/>
  <c r="BV232" i="1"/>
  <c r="BU232" i="1"/>
  <c r="BT232" i="1"/>
  <c r="BR232" i="1"/>
  <c r="BQ232" i="1"/>
  <c r="BP232" i="1"/>
  <c r="BO232" i="1"/>
  <c r="BN232" i="1"/>
  <c r="BM232" i="1"/>
  <c r="BL232" i="1"/>
  <c r="BK232" i="1"/>
  <c r="BI232" i="1"/>
  <c r="BH232" i="1"/>
  <c r="BG232" i="1"/>
  <c r="BF232" i="1"/>
  <c r="BE232" i="1"/>
  <c r="BD232" i="1"/>
  <c r="BB232" i="1"/>
  <c r="BA232" i="1"/>
  <c r="AZ232" i="1"/>
  <c r="AX232" i="1"/>
  <c r="AW232" i="1"/>
  <c r="AV232" i="1"/>
  <c r="AT232" i="1"/>
  <c r="AS232" i="1"/>
  <c r="AR232" i="1"/>
  <c r="AQ232" i="1"/>
  <c r="AP232" i="1"/>
  <c r="AO232" i="1"/>
  <c r="AN232" i="1"/>
  <c r="AM232" i="1"/>
  <c r="AL232" i="1"/>
  <c r="AK232" i="1"/>
  <c r="AI232" i="1"/>
  <c r="AH232" i="1"/>
  <c r="AG232" i="1"/>
  <c r="AF232" i="1"/>
  <c r="AE232" i="1"/>
  <c r="O234" i="1" s="1"/>
  <c r="P234" i="1" s="1"/>
  <c r="AD232" i="1"/>
  <c r="F232" i="1"/>
  <c r="B232" i="1"/>
  <c r="BC234" i="1" s="1"/>
  <c r="DE231" i="1"/>
  <c r="DD231" i="1"/>
  <c r="DC231" i="1"/>
  <c r="DB231" i="1"/>
  <c r="DA231" i="1"/>
  <c r="CZ231" i="1"/>
  <c r="CY231" i="1"/>
  <c r="CX231" i="1"/>
  <c r="CW231" i="1"/>
  <c r="CV231" i="1"/>
  <c r="CU231" i="1"/>
  <c r="CT231" i="1"/>
  <c r="CS231" i="1"/>
  <c r="CR231" i="1"/>
  <c r="CQ231" i="1"/>
  <c r="CP231" i="1"/>
  <c r="CO231" i="1"/>
  <c r="CN231" i="1"/>
  <c r="CM231" i="1"/>
  <c r="CL231" i="1"/>
  <c r="CK231" i="1"/>
  <c r="CJ231" i="1"/>
  <c r="CI231" i="1"/>
  <c r="CH231" i="1"/>
  <c r="CG231" i="1"/>
  <c r="CF231" i="1"/>
  <c r="BR231" i="1"/>
  <c r="BQ231" i="1"/>
  <c r="BP231" i="1"/>
  <c r="BO231" i="1"/>
  <c r="BN231" i="1"/>
  <c r="BM231" i="1"/>
  <c r="BL231" i="1"/>
  <c r="BK231" i="1"/>
  <c r="BJ231" i="1"/>
  <c r="BI231" i="1"/>
  <c r="BH231" i="1"/>
  <c r="BG231" i="1"/>
  <c r="BF231" i="1"/>
  <c r="BE231" i="1"/>
  <c r="BB231" i="1"/>
  <c r="BA231" i="1"/>
  <c r="AX231" i="1"/>
  <c r="AW231" i="1"/>
  <c r="AT231" i="1"/>
  <c r="AS231" i="1"/>
  <c r="AR231" i="1"/>
  <c r="AQ231" i="1"/>
  <c r="AP231" i="1"/>
  <c r="AO231" i="1"/>
  <c r="AN231" i="1"/>
  <c r="AM231" i="1"/>
  <c r="AL231" i="1"/>
  <c r="AK231" i="1"/>
  <c r="AJ231" i="1"/>
  <c r="AI231" i="1"/>
  <c r="AH231" i="1"/>
  <c r="AG231" i="1"/>
  <c r="AF231" i="1"/>
  <c r="AE231" i="1"/>
  <c r="AD231" i="1"/>
  <c r="R231" i="1"/>
  <c r="Q231" i="1"/>
  <c r="DE230" i="1"/>
  <c r="DD230" i="1"/>
  <c r="DC230" i="1"/>
  <c r="DB230" i="1"/>
  <c r="DA230" i="1"/>
  <c r="CZ230" i="1"/>
  <c r="CY230" i="1"/>
  <c r="CX230" i="1"/>
  <c r="CW230" i="1"/>
  <c r="CV230" i="1"/>
  <c r="CU230" i="1"/>
  <c r="CT230" i="1"/>
  <c r="CS230" i="1"/>
  <c r="CR230" i="1"/>
  <c r="CQ230" i="1"/>
  <c r="CP230" i="1"/>
  <c r="CO230" i="1"/>
  <c r="CN230" i="1"/>
  <c r="CM230" i="1"/>
  <c r="CL230" i="1"/>
  <c r="CK230" i="1"/>
  <c r="CJ230" i="1"/>
  <c r="CI230" i="1"/>
  <c r="CH230" i="1"/>
  <c r="CG230" i="1"/>
  <c r="CF230" i="1"/>
  <c r="BR230" i="1"/>
  <c r="BQ230" i="1"/>
  <c r="BP230" i="1"/>
  <c r="BO230" i="1"/>
  <c r="BN230" i="1"/>
  <c r="BM230" i="1"/>
  <c r="BL230" i="1"/>
  <c r="BK230" i="1"/>
  <c r="BJ230" i="1"/>
  <c r="BI230" i="1"/>
  <c r="BH230" i="1"/>
  <c r="BG230" i="1"/>
  <c r="BE230" i="1"/>
  <c r="BB230" i="1"/>
  <c r="BA230" i="1"/>
  <c r="AX230" i="1"/>
  <c r="AW230" i="1"/>
  <c r="AT230" i="1"/>
  <c r="AS230" i="1"/>
  <c r="AR230" i="1"/>
  <c r="AQ230" i="1"/>
  <c r="AP230" i="1"/>
  <c r="AO230" i="1"/>
  <c r="AN230" i="1"/>
  <c r="AM230" i="1"/>
  <c r="AL230" i="1"/>
  <c r="AK230" i="1"/>
  <c r="AJ230" i="1"/>
  <c r="AI230" i="1"/>
  <c r="AH230" i="1"/>
  <c r="AG230" i="1"/>
  <c r="AE230" i="1"/>
  <c r="AD230" i="1"/>
  <c r="DE229" i="1"/>
  <c r="DD229" i="1"/>
  <c r="DC229" i="1"/>
  <c r="DB229" i="1"/>
  <c r="DA229" i="1"/>
  <c r="CZ229" i="1"/>
  <c r="CY229" i="1"/>
  <c r="CX229" i="1"/>
  <c r="CW229" i="1"/>
  <c r="CV229" i="1"/>
  <c r="CU229" i="1"/>
  <c r="CT229" i="1"/>
  <c r="CS229" i="1"/>
  <c r="CR229" i="1"/>
  <c r="CQ229" i="1"/>
  <c r="CP229" i="1"/>
  <c r="CO229" i="1"/>
  <c r="CN229" i="1"/>
  <c r="CM229" i="1"/>
  <c r="CL229" i="1"/>
  <c r="CK229" i="1"/>
  <c r="CJ229" i="1"/>
  <c r="CI229" i="1"/>
  <c r="CH229" i="1"/>
  <c r="CG229" i="1"/>
  <c r="CF229" i="1"/>
  <c r="CE229" i="1"/>
  <c r="CB229" i="1"/>
  <c r="CA229" i="1"/>
  <c r="BX229" i="1"/>
  <c r="BT229" i="1"/>
  <c r="BS229" i="1"/>
  <c r="BR229" i="1"/>
  <c r="BQ229" i="1"/>
  <c r="BP229" i="1"/>
  <c r="BO229" i="1"/>
  <c r="BN229" i="1"/>
  <c r="BM229" i="1"/>
  <c r="BL229" i="1"/>
  <c r="BK229" i="1"/>
  <c r="BI229" i="1"/>
  <c r="BH229" i="1"/>
  <c r="BG229" i="1"/>
  <c r="BF229" i="1"/>
  <c r="BD229" i="1"/>
  <c r="BC229" i="1"/>
  <c r="AZ229" i="1"/>
  <c r="AY229" i="1"/>
  <c r="AV229" i="1"/>
  <c r="AU229" i="1"/>
  <c r="AR229" i="1"/>
  <c r="AQ229" i="1"/>
  <c r="AP229" i="1"/>
  <c r="AO229" i="1"/>
  <c r="AN229" i="1"/>
  <c r="AM229" i="1"/>
  <c r="AL229" i="1"/>
  <c r="AK229" i="1"/>
  <c r="AI229" i="1"/>
  <c r="AH229" i="1"/>
  <c r="AG229" i="1"/>
  <c r="AF229" i="1"/>
  <c r="AE229" i="1"/>
  <c r="O229" i="1" s="1"/>
  <c r="AD229" i="1"/>
  <c r="G229" i="1"/>
  <c r="F229" i="1" s="1"/>
  <c r="D229" i="1"/>
  <c r="DJ231" i="1" s="1"/>
  <c r="B229" i="1"/>
  <c r="BD231" i="1" s="1"/>
  <c r="DJ228" i="1"/>
  <c r="DE228" i="1"/>
  <c r="DD228" i="1"/>
  <c r="DC228" i="1"/>
  <c r="DB228" i="1"/>
  <c r="DA228" i="1"/>
  <c r="CZ228" i="1"/>
  <c r="CY228" i="1"/>
  <c r="CX228" i="1"/>
  <c r="CW228" i="1"/>
  <c r="CV228" i="1"/>
  <c r="CU228" i="1"/>
  <c r="CT228" i="1"/>
  <c r="CS228" i="1"/>
  <c r="CR228" i="1"/>
  <c r="CQ228" i="1"/>
  <c r="CP228" i="1"/>
  <c r="CO228" i="1"/>
  <c r="CN228" i="1"/>
  <c r="CM228" i="1"/>
  <c r="CL228" i="1"/>
  <c r="CK228" i="1"/>
  <c r="CJ228" i="1"/>
  <c r="CI228" i="1"/>
  <c r="CH228" i="1"/>
  <c r="CG228" i="1"/>
  <c r="CF228" i="1"/>
  <c r="BR228" i="1"/>
  <c r="BQ228" i="1"/>
  <c r="BP228" i="1"/>
  <c r="BO228" i="1"/>
  <c r="BN228" i="1"/>
  <c r="BM228" i="1"/>
  <c r="BL228" i="1"/>
  <c r="BK228" i="1"/>
  <c r="BJ228" i="1"/>
  <c r="BI228" i="1"/>
  <c r="BH228" i="1"/>
  <c r="BG228" i="1"/>
  <c r="BF228" i="1"/>
  <c r="BE228" i="1"/>
  <c r="BD228" i="1"/>
  <c r="BA228" i="1"/>
  <c r="AZ228" i="1"/>
  <c r="AW228" i="1"/>
  <c r="AV228" i="1"/>
  <c r="AS228" i="1"/>
  <c r="AR228" i="1"/>
  <c r="AQ228" i="1"/>
  <c r="AP228" i="1"/>
  <c r="AO228" i="1"/>
  <c r="AN228" i="1"/>
  <c r="AM228" i="1"/>
  <c r="AL228" i="1"/>
  <c r="AK228" i="1"/>
  <c r="AJ228" i="1"/>
  <c r="AI228" i="1"/>
  <c r="AH228" i="1"/>
  <c r="AG228" i="1"/>
  <c r="AF228" i="1"/>
  <c r="AE228" i="1"/>
  <c r="R228" i="1"/>
  <c r="Q228" i="1"/>
  <c r="DJ227" i="1"/>
  <c r="DE227" i="1"/>
  <c r="DD227" i="1"/>
  <c r="DC227" i="1"/>
  <c r="DB227" i="1"/>
  <c r="DA227" i="1"/>
  <c r="CZ227" i="1"/>
  <c r="CY227" i="1"/>
  <c r="CX227" i="1"/>
  <c r="CW227" i="1"/>
  <c r="CV227" i="1"/>
  <c r="CU227" i="1"/>
  <c r="CT227" i="1"/>
  <c r="CS227" i="1"/>
  <c r="CR227" i="1"/>
  <c r="CQ227" i="1"/>
  <c r="CP227" i="1"/>
  <c r="CO227" i="1"/>
  <c r="CN227" i="1"/>
  <c r="CM227" i="1"/>
  <c r="CL227" i="1"/>
  <c r="CK227" i="1"/>
  <c r="CJ227" i="1"/>
  <c r="CI227" i="1"/>
  <c r="CH227" i="1"/>
  <c r="CG227" i="1"/>
  <c r="CF227" i="1"/>
  <c r="BR227" i="1"/>
  <c r="BQ227" i="1"/>
  <c r="BP227" i="1"/>
  <c r="BO227" i="1"/>
  <c r="BN227" i="1"/>
  <c r="BM227" i="1"/>
  <c r="BL227" i="1"/>
  <c r="BK227" i="1"/>
  <c r="BJ227" i="1"/>
  <c r="BI227" i="1"/>
  <c r="BH227" i="1"/>
  <c r="BG227" i="1"/>
  <c r="BD227" i="1"/>
  <c r="BC227" i="1"/>
  <c r="AZ227" i="1"/>
  <c r="AY227" i="1"/>
  <c r="AV227" i="1"/>
  <c r="AU227" i="1"/>
  <c r="AR227" i="1"/>
  <c r="AQ227" i="1"/>
  <c r="AP227" i="1"/>
  <c r="AO227" i="1"/>
  <c r="AN227" i="1"/>
  <c r="AM227" i="1"/>
  <c r="AL227" i="1"/>
  <c r="AK227" i="1"/>
  <c r="AJ227" i="1"/>
  <c r="AI227" i="1"/>
  <c r="AH227" i="1"/>
  <c r="AG227" i="1"/>
  <c r="AE227" i="1"/>
  <c r="O227" i="1" s="1"/>
  <c r="J227" i="1"/>
  <c r="DJ226" i="1"/>
  <c r="DE226" i="1"/>
  <c r="DD226" i="1"/>
  <c r="DC226" i="1"/>
  <c r="DB226" i="1"/>
  <c r="DA226" i="1"/>
  <c r="CZ226" i="1"/>
  <c r="CY226" i="1"/>
  <c r="CX226" i="1"/>
  <c r="CW226" i="1"/>
  <c r="CV226" i="1"/>
  <c r="CU226" i="1"/>
  <c r="CT226" i="1"/>
  <c r="CS226" i="1"/>
  <c r="CR226" i="1"/>
  <c r="CQ226" i="1"/>
  <c r="CP226" i="1"/>
  <c r="CO226" i="1"/>
  <c r="CN226" i="1"/>
  <c r="CM226" i="1"/>
  <c r="CL226" i="1"/>
  <c r="CK226" i="1"/>
  <c r="CJ226" i="1"/>
  <c r="CI226" i="1"/>
  <c r="CH226" i="1"/>
  <c r="CG226" i="1"/>
  <c r="CF226" i="1"/>
  <c r="CD226" i="1"/>
  <c r="CC226" i="1"/>
  <c r="BZ226" i="1"/>
  <c r="BY226" i="1"/>
  <c r="BV226" i="1"/>
  <c r="BU226" i="1"/>
  <c r="BR226" i="1"/>
  <c r="BQ226" i="1"/>
  <c r="BP226" i="1"/>
  <c r="BO226" i="1"/>
  <c r="BN226" i="1"/>
  <c r="BM226" i="1"/>
  <c r="BL226" i="1"/>
  <c r="BK226" i="1"/>
  <c r="BI226" i="1"/>
  <c r="BH226" i="1"/>
  <c r="BG226" i="1"/>
  <c r="BF226" i="1"/>
  <c r="BE226" i="1"/>
  <c r="BB226" i="1"/>
  <c r="BA226" i="1"/>
  <c r="AX226" i="1"/>
  <c r="AW226" i="1"/>
  <c r="AT226" i="1"/>
  <c r="AS226" i="1"/>
  <c r="AR226" i="1"/>
  <c r="AQ226" i="1"/>
  <c r="AP226" i="1"/>
  <c r="AO226" i="1"/>
  <c r="AN226" i="1"/>
  <c r="AM226" i="1"/>
  <c r="AL226" i="1"/>
  <c r="AK226" i="1"/>
  <c r="AI226" i="1"/>
  <c r="AH226" i="1"/>
  <c r="AG226" i="1"/>
  <c r="AF226" i="1"/>
  <c r="AE226" i="1"/>
  <c r="AD226" i="1"/>
  <c r="F226" i="1"/>
  <c r="B226" i="1"/>
  <c r="BC228" i="1" s="1"/>
  <c r="DE225" i="1"/>
  <c r="DD225" i="1"/>
  <c r="DC225" i="1"/>
  <c r="DB225" i="1"/>
  <c r="DA225" i="1"/>
  <c r="CZ225" i="1"/>
  <c r="CY225" i="1"/>
  <c r="CX225" i="1"/>
  <c r="CW225" i="1"/>
  <c r="CV225" i="1"/>
  <c r="CU225" i="1"/>
  <c r="CT225" i="1"/>
  <c r="CS225" i="1"/>
  <c r="CR225" i="1"/>
  <c r="CQ225" i="1"/>
  <c r="CP225" i="1"/>
  <c r="CO225" i="1"/>
  <c r="CN225" i="1"/>
  <c r="CM225" i="1"/>
  <c r="CL225" i="1"/>
  <c r="CK225" i="1"/>
  <c r="CJ225" i="1"/>
  <c r="CI225" i="1"/>
  <c r="CH225" i="1"/>
  <c r="CG225" i="1"/>
  <c r="CF225" i="1"/>
  <c r="BR225" i="1"/>
  <c r="BQ225" i="1"/>
  <c r="BP225" i="1"/>
  <c r="BO225" i="1"/>
  <c r="BN225" i="1"/>
  <c r="BM225" i="1"/>
  <c r="BL225" i="1"/>
  <c r="BK225" i="1"/>
  <c r="BJ225" i="1"/>
  <c r="BI225" i="1"/>
  <c r="BH225" i="1"/>
  <c r="BG225" i="1"/>
  <c r="BF225" i="1"/>
  <c r="BE225" i="1"/>
  <c r="BD225" i="1"/>
  <c r="BA225" i="1"/>
  <c r="AZ225" i="1"/>
  <c r="AW225" i="1"/>
  <c r="AV225" i="1"/>
  <c r="AS225" i="1"/>
  <c r="AR225" i="1"/>
  <c r="AQ225" i="1"/>
  <c r="AP225" i="1"/>
  <c r="AO225" i="1"/>
  <c r="AN225" i="1"/>
  <c r="AM225" i="1"/>
  <c r="AL225" i="1"/>
  <c r="AK225" i="1"/>
  <c r="AJ225" i="1"/>
  <c r="AI225" i="1"/>
  <c r="AH225" i="1"/>
  <c r="AG225" i="1"/>
  <c r="AF225" i="1"/>
  <c r="AE225" i="1"/>
  <c r="AD225" i="1"/>
  <c r="R225" i="1"/>
  <c r="Q225" i="1"/>
  <c r="DE224" i="1"/>
  <c r="DD224" i="1"/>
  <c r="DC224" i="1"/>
  <c r="DB224" i="1"/>
  <c r="DA224" i="1"/>
  <c r="CZ224" i="1"/>
  <c r="CY224" i="1"/>
  <c r="CX224" i="1"/>
  <c r="CW224" i="1"/>
  <c r="CV224" i="1"/>
  <c r="CU224" i="1"/>
  <c r="CT224" i="1"/>
  <c r="CS224" i="1"/>
  <c r="CR224" i="1"/>
  <c r="CQ224" i="1"/>
  <c r="CP224" i="1"/>
  <c r="CO224" i="1"/>
  <c r="CN224" i="1"/>
  <c r="CM224" i="1"/>
  <c r="CL224" i="1"/>
  <c r="CK224" i="1"/>
  <c r="CJ224" i="1"/>
  <c r="CI224" i="1"/>
  <c r="CH224" i="1"/>
  <c r="CG224" i="1"/>
  <c r="CF224" i="1"/>
  <c r="BR224" i="1"/>
  <c r="BQ224" i="1"/>
  <c r="BP224" i="1"/>
  <c r="BO224" i="1"/>
  <c r="BN224" i="1"/>
  <c r="BM224" i="1"/>
  <c r="BL224" i="1"/>
  <c r="BK224" i="1"/>
  <c r="BJ224" i="1"/>
  <c r="BI224" i="1"/>
  <c r="BG224" i="1"/>
  <c r="BF224" i="1"/>
  <c r="BE224" i="1"/>
  <c r="BD224" i="1"/>
  <c r="BA224" i="1"/>
  <c r="AZ224" i="1"/>
  <c r="AW224" i="1"/>
  <c r="AV224" i="1"/>
  <c r="AS224" i="1"/>
  <c r="AR224" i="1"/>
  <c r="AQ224" i="1"/>
  <c r="AP224" i="1"/>
  <c r="AO224" i="1"/>
  <c r="AN224" i="1"/>
  <c r="AM224" i="1"/>
  <c r="AL224" i="1"/>
  <c r="AK224" i="1"/>
  <c r="AJ224" i="1"/>
  <c r="AI224" i="1"/>
  <c r="AG224" i="1"/>
  <c r="AF224" i="1"/>
  <c r="AE224" i="1"/>
  <c r="AD224" i="1"/>
  <c r="J224" i="1"/>
  <c r="DE223" i="1"/>
  <c r="DD223" i="1"/>
  <c r="DC223" i="1"/>
  <c r="DB223" i="1"/>
  <c r="DA223" i="1"/>
  <c r="CZ223" i="1"/>
  <c r="CY223" i="1"/>
  <c r="CX223" i="1"/>
  <c r="CW223" i="1"/>
  <c r="CV223" i="1"/>
  <c r="CU223" i="1"/>
  <c r="CT223" i="1"/>
  <c r="CS223" i="1"/>
  <c r="CR223" i="1"/>
  <c r="CQ223" i="1"/>
  <c r="CP223" i="1"/>
  <c r="CO223" i="1"/>
  <c r="CN223" i="1"/>
  <c r="CM223" i="1"/>
  <c r="CL223" i="1"/>
  <c r="CK223" i="1"/>
  <c r="CJ223" i="1"/>
  <c r="CI223" i="1"/>
  <c r="CH223" i="1"/>
  <c r="CG223" i="1"/>
  <c r="CF223" i="1"/>
  <c r="CE223" i="1"/>
  <c r="CB223" i="1"/>
  <c r="CA223" i="1"/>
  <c r="BX223" i="1"/>
  <c r="BW223" i="1"/>
  <c r="BT223" i="1"/>
  <c r="BS223" i="1"/>
  <c r="BR223" i="1"/>
  <c r="BQ223" i="1"/>
  <c r="BP223" i="1"/>
  <c r="BO223" i="1"/>
  <c r="BN223" i="1"/>
  <c r="BM223" i="1"/>
  <c r="BL223" i="1"/>
  <c r="BK223" i="1"/>
  <c r="BJ223" i="1"/>
  <c r="BI223" i="1"/>
  <c r="BH223" i="1"/>
  <c r="BF223" i="1"/>
  <c r="BD223" i="1"/>
  <c r="BC223" i="1"/>
  <c r="AZ223" i="1"/>
  <c r="AY223" i="1"/>
  <c r="AV223" i="1"/>
  <c r="AU223" i="1"/>
  <c r="AR223" i="1"/>
  <c r="AQ223" i="1"/>
  <c r="AP223" i="1"/>
  <c r="AO223" i="1"/>
  <c r="AN223" i="1"/>
  <c r="AM223" i="1"/>
  <c r="AL223" i="1"/>
  <c r="AK223" i="1"/>
  <c r="AJ223" i="1"/>
  <c r="AI223" i="1"/>
  <c r="AH223" i="1"/>
  <c r="AF223" i="1"/>
  <c r="AE223" i="1"/>
  <c r="O223" i="1" s="1"/>
  <c r="AD223" i="1"/>
  <c r="G223" i="1"/>
  <c r="F223" i="1" s="1"/>
  <c r="B223" i="1"/>
  <c r="BC225" i="1" s="1"/>
  <c r="DE222" i="1"/>
  <c r="DD222" i="1"/>
  <c r="DC222" i="1"/>
  <c r="DB222" i="1"/>
  <c r="DA222" i="1"/>
  <c r="CZ222" i="1"/>
  <c r="CY222" i="1"/>
  <c r="CX222" i="1"/>
  <c r="CW222" i="1"/>
  <c r="CV222" i="1"/>
  <c r="CU222" i="1"/>
  <c r="CT222" i="1"/>
  <c r="CS222" i="1"/>
  <c r="CR222" i="1"/>
  <c r="CQ222" i="1"/>
  <c r="CP222" i="1"/>
  <c r="CO222" i="1"/>
  <c r="CN222" i="1"/>
  <c r="CM222" i="1"/>
  <c r="CL222" i="1"/>
  <c r="CK222" i="1"/>
  <c r="CJ222" i="1"/>
  <c r="CI222" i="1"/>
  <c r="CH222" i="1"/>
  <c r="CG222" i="1"/>
  <c r="CF222" i="1"/>
  <c r="BR222" i="1"/>
  <c r="BQ222" i="1"/>
  <c r="BP222" i="1"/>
  <c r="BO222" i="1"/>
  <c r="BN222" i="1"/>
  <c r="BM222" i="1"/>
  <c r="BL222" i="1"/>
  <c r="BK222" i="1"/>
  <c r="BJ222" i="1"/>
  <c r="BI222" i="1"/>
  <c r="BH222" i="1"/>
  <c r="BG222" i="1"/>
  <c r="BE222" i="1"/>
  <c r="BD222" i="1"/>
  <c r="BA222" i="1"/>
  <c r="AZ222" i="1"/>
  <c r="AW222" i="1"/>
  <c r="AV222" i="1"/>
  <c r="AS222" i="1"/>
  <c r="AR222" i="1"/>
  <c r="AQ222" i="1"/>
  <c r="AP222" i="1"/>
  <c r="AO222" i="1"/>
  <c r="AN222" i="1"/>
  <c r="AM222" i="1"/>
  <c r="AL222" i="1"/>
  <c r="AK222" i="1"/>
  <c r="AJ222" i="1"/>
  <c r="AI222" i="1"/>
  <c r="AH222" i="1"/>
  <c r="AG222" i="1"/>
  <c r="AE222" i="1"/>
  <c r="M222" i="1"/>
  <c r="DE221" i="1"/>
  <c r="DD221" i="1"/>
  <c r="DC221" i="1"/>
  <c r="DB221" i="1"/>
  <c r="DA221" i="1"/>
  <c r="CZ221" i="1"/>
  <c r="CY221" i="1"/>
  <c r="CX221" i="1"/>
  <c r="CW221" i="1"/>
  <c r="CV221" i="1"/>
  <c r="CU221" i="1"/>
  <c r="CT221" i="1"/>
  <c r="CS221" i="1"/>
  <c r="CR221" i="1"/>
  <c r="CQ221" i="1"/>
  <c r="CP221" i="1"/>
  <c r="CO221" i="1"/>
  <c r="CN221" i="1"/>
  <c r="CM221" i="1"/>
  <c r="CL221" i="1"/>
  <c r="CK221" i="1"/>
  <c r="CJ221" i="1"/>
  <c r="CI221" i="1"/>
  <c r="CH221" i="1"/>
  <c r="CG221" i="1"/>
  <c r="CF221" i="1"/>
  <c r="BR221" i="1"/>
  <c r="BQ221" i="1"/>
  <c r="BP221" i="1"/>
  <c r="BO221" i="1"/>
  <c r="BN221" i="1"/>
  <c r="BM221" i="1"/>
  <c r="BL221" i="1"/>
  <c r="BK221" i="1"/>
  <c r="BI221" i="1"/>
  <c r="BH221" i="1"/>
  <c r="BG221" i="1"/>
  <c r="BF221" i="1"/>
  <c r="BE221" i="1"/>
  <c r="BD221" i="1"/>
  <c r="BA221" i="1"/>
  <c r="AZ221" i="1"/>
  <c r="AW221" i="1"/>
  <c r="AV221" i="1"/>
  <c r="AS221" i="1"/>
  <c r="AR221" i="1"/>
  <c r="AQ221" i="1"/>
  <c r="AP221" i="1"/>
  <c r="AO221" i="1"/>
  <c r="AN221" i="1"/>
  <c r="AM221" i="1"/>
  <c r="AL221" i="1"/>
  <c r="AK221" i="1"/>
  <c r="AI221" i="1"/>
  <c r="AH221" i="1"/>
  <c r="AG221" i="1"/>
  <c r="AF221" i="1"/>
  <c r="AE221" i="1"/>
  <c r="M221" i="1"/>
  <c r="J221" i="1"/>
  <c r="DE220" i="1"/>
  <c r="DD220" i="1"/>
  <c r="DC220" i="1"/>
  <c r="DB220" i="1"/>
  <c r="DA220" i="1"/>
  <c r="CZ220" i="1"/>
  <c r="CY220" i="1"/>
  <c r="CX220" i="1"/>
  <c r="CW220" i="1"/>
  <c r="CV220" i="1"/>
  <c r="CU220" i="1"/>
  <c r="CT220" i="1"/>
  <c r="CS220" i="1"/>
  <c r="CR220" i="1"/>
  <c r="CQ220" i="1"/>
  <c r="CP220" i="1"/>
  <c r="CO220" i="1"/>
  <c r="CN220" i="1"/>
  <c r="CM220" i="1"/>
  <c r="CL220" i="1"/>
  <c r="CK220" i="1"/>
  <c r="CJ220" i="1"/>
  <c r="CI220" i="1"/>
  <c r="CH220" i="1"/>
  <c r="CG220" i="1"/>
  <c r="CF220" i="1"/>
  <c r="CE220" i="1"/>
  <c r="CB220" i="1"/>
  <c r="CA220" i="1"/>
  <c r="BX220" i="1"/>
  <c r="BT220" i="1"/>
  <c r="BS220" i="1"/>
  <c r="BR220" i="1"/>
  <c r="BQ220" i="1"/>
  <c r="BP220" i="1"/>
  <c r="BO220" i="1"/>
  <c r="BN220" i="1"/>
  <c r="BL220" i="1"/>
  <c r="BK220" i="1"/>
  <c r="BJ220" i="1"/>
  <c r="BI220" i="1"/>
  <c r="BH220" i="1"/>
  <c r="BG220" i="1"/>
  <c r="BF220" i="1"/>
  <c r="BD220" i="1"/>
  <c r="BC220" i="1"/>
  <c r="AZ220" i="1"/>
  <c r="AY220" i="1"/>
  <c r="AV220" i="1"/>
  <c r="AU220" i="1"/>
  <c r="AR220" i="1"/>
  <c r="AQ220" i="1"/>
  <c r="AP220" i="1"/>
  <c r="AO220" i="1"/>
  <c r="AN220" i="1"/>
  <c r="AL220" i="1"/>
  <c r="AK220" i="1"/>
  <c r="AJ220" i="1"/>
  <c r="AI220" i="1"/>
  <c r="AH220" i="1"/>
  <c r="AG220" i="1"/>
  <c r="AF220" i="1"/>
  <c r="AE220" i="1"/>
  <c r="O220" i="1" s="1"/>
  <c r="AD220" i="1"/>
  <c r="M220" i="1"/>
  <c r="F220" i="1"/>
  <c r="B220" i="1"/>
  <c r="BC222" i="1" s="1"/>
  <c r="DE219" i="1"/>
  <c r="DD219" i="1"/>
  <c r="DC219" i="1"/>
  <c r="DB219" i="1"/>
  <c r="DA219" i="1"/>
  <c r="CZ219" i="1"/>
  <c r="CY219" i="1"/>
  <c r="CX219" i="1"/>
  <c r="CW219" i="1"/>
  <c r="CV219" i="1"/>
  <c r="CU219" i="1"/>
  <c r="CT219" i="1"/>
  <c r="CS219" i="1"/>
  <c r="CR219" i="1"/>
  <c r="CQ219" i="1"/>
  <c r="CP219" i="1"/>
  <c r="CO219" i="1"/>
  <c r="CN219" i="1"/>
  <c r="CM219" i="1"/>
  <c r="CL219" i="1"/>
  <c r="CK219" i="1"/>
  <c r="CJ219" i="1"/>
  <c r="CI219" i="1"/>
  <c r="CH219" i="1"/>
  <c r="CG219" i="1"/>
  <c r="CF219" i="1"/>
  <c r="BR219" i="1"/>
  <c r="BQ219" i="1"/>
  <c r="BP219" i="1"/>
  <c r="BO219" i="1"/>
  <c r="BN219" i="1"/>
  <c r="BM219" i="1"/>
  <c r="BL219" i="1"/>
  <c r="BK219" i="1"/>
  <c r="BJ219" i="1"/>
  <c r="BI219" i="1"/>
  <c r="BH219" i="1"/>
  <c r="BG219" i="1"/>
  <c r="BF219" i="1"/>
  <c r="BE219" i="1"/>
  <c r="BD219" i="1"/>
  <c r="BA219" i="1"/>
  <c r="AZ219" i="1"/>
  <c r="AW219" i="1"/>
  <c r="AV219" i="1"/>
  <c r="AS219" i="1"/>
  <c r="AR219" i="1"/>
  <c r="AQ219" i="1"/>
  <c r="AP219" i="1"/>
  <c r="AO219" i="1"/>
  <c r="AN219" i="1"/>
  <c r="AM219" i="1"/>
  <c r="AL219" i="1"/>
  <c r="AK219" i="1"/>
  <c r="AJ219" i="1"/>
  <c r="AI219" i="1"/>
  <c r="AH219" i="1"/>
  <c r="AG219" i="1"/>
  <c r="AF219" i="1"/>
  <c r="AE219" i="1"/>
  <c r="AD219" i="1"/>
  <c r="R219" i="1"/>
  <c r="Q219" i="1"/>
  <c r="DE218" i="1"/>
  <c r="DD218" i="1"/>
  <c r="DC218" i="1"/>
  <c r="DB218" i="1"/>
  <c r="DA218" i="1"/>
  <c r="CZ218" i="1"/>
  <c r="CY218" i="1"/>
  <c r="CX218" i="1"/>
  <c r="CW218" i="1"/>
  <c r="CV218" i="1"/>
  <c r="CU218" i="1"/>
  <c r="CT218" i="1"/>
  <c r="CS218" i="1"/>
  <c r="CR218" i="1"/>
  <c r="CQ218" i="1"/>
  <c r="CP218" i="1"/>
  <c r="CO218" i="1"/>
  <c r="CN218" i="1"/>
  <c r="CM218" i="1"/>
  <c r="CL218" i="1"/>
  <c r="CK218" i="1"/>
  <c r="CJ218" i="1"/>
  <c r="CI218" i="1"/>
  <c r="CH218" i="1"/>
  <c r="CG218" i="1"/>
  <c r="CF218" i="1"/>
  <c r="BR218" i="1"/>
  <c r="BQ218" i="1"/>
  <c r="BP218" i="1"/>
  <c r="BO218" i="1"/>
  <c r="BN218" i="1"/>
  <c r="BM218" i="1"/>
  <c r="BL218" i="1"/>
  <c r="BK218" i="1"/>
  <c r="BJ218" i="1"/>
  <c r="BI218" i="1"/>
  <c r="BH218" i="1"/>
  <c r="BF218" i="1"/>
  <c r="BE218" i="1"/>
  <c r="BD218" i="1"/>
  <c r="BA218" i="1"/>
  <c r="AZ218" i="1"/>
  <c r="AW218" i="1"/>
  <c r="AV218" i="1"/>
  <c r="AS218" i="1"/>
  <c r="AR218" i="1"/>
  <c r="AQ218" i="1"/>
  <c r="AP218" i="1"/>
  <c r="AO218" i="1"/>
  <c r="AN218" i="1"/>
  <c r="AM218" i="1"/>
  <c r="AL218" i="1"/>
  <c r="AK218" i="1"/>
  <c r="AJ218" i="1"/>
  <c r="AI218" i="1"/>
  <c r="AH218" i="1"/>
  <c r="AF218" i="1"/>
  <c r="AE218" i="1"/>
  <c r="AD218" i="1"/>
  <c r="J218" i="1"/>
  <c r="DE217" i="1"/>
  <c r="DD217" i="1"/>
  <c r="DC217" i="1"/>
  <c r="DB217" i="1"/>
  <c r="DA217" i="1"/>
  <c r="CZ217" i="1"/>
  <c r="CY217" i="1"/>
  <c r="CX217" i="1"/>
  <c r="CW217" i="1"/>
  <c r="CV217" i="1"/>
  <c r="CU217" i="1"/>
  <c r="CT217" i="1"/>
  <c r="CS217" i="1"/>
  <c r="CR217" i="1"/>
  <c r="CQ217" i="1"/>
  <c r="CP217" i="1"/>
  <c r="CO217" i="1"/>
  <c r="CN217" i="1"/>
  <c r="CM217" i="1"/>
  <c r="CL217" i="1"/>
  <c r="CK217" i="1"/>
  <c r="CJ217" i="1"/>
  <c r="CI217" i="1"/>
  <c r="CH217" i="1"/>
  <c r="CG217" i="1"/>
  <c r="CF217" i="1"/>
  <c r="CE217" i="1"/>
  <c r="CB217" i="1"/>
  <c r="CA217" i="1"/>
  <c r="BX217" i="1"/>
  <c r="BW217" i="1"/>
  <c r="BS217" i="1"/>
  <c r="BR217" i="1"/>
  <c r="BP217" i="1"/>
  <c r="BO217" i="1"/>
  <c r="BN217" i="1"/>
  <c r="BM217" i="1"/>
  <c r="BL217" i="1"/>
  <c r="BK217" i="1"/>
  <c r="BJ217" i="1"/>
  <c r="BI217" i="1"/>
  <c r="BH217" i="1"/>
  <c r="BG217" i="1"/>
  <c r="BF217" i="1"/>
  <c r="BD217" i="1"/>
  <c r="BC217" i="1"/>
  <c r="AZ217" i="1"/>
  <c r="AY217" i="1"/>
  <c r="AV217" i="1"/>
  <c r="AU217" i="1"/>
  <c r="AR217" i="1"/>
  <c r="AP217" i="1"/>
  <c r="AO217" i="1"/>
  <c r="AN217" i="1"/>
  <c r="AM217" i="1"/>
  <c r="AL217" i="1"/>
  <c r="AK217" i="1"/>
  <c r="AJ217" i="1"/>
  <c r="AI217" i="1"/>
  <c r="AH217" i="1"/>
  <c r="AG217" i="1"/>
  <c r="AF217" i="1"/>
  <c r="AE217" i="1"/>
  <c r="AD217" i="1"/>
  <c r="O217" i="1"/>
  <c r="G217" i="1"/>
  <c r="F217" i="1" s="1"/>
  <c r="B217" i="1"/>
  <c r="BC219" i="1" s="1"/>
  <c r="DE216" i="1"/>
  <c r="DD216" i="1"/>
  <c r="DC216" i="1"/>
  <c r="DB216" i="1"/>
  <c r="DA216" i="1"/>
  <c r="CZ216" i="1"/>
  <c r="CY216" i="1"/>
  <c r="CX216" i="1"/>
  <c r="CW216" i="1"/>
  <c r="CV216" i="1"/>
  <c r="CU216" i="1"/>
  <c r="CT216" i="1"/>
  <c r="CS216" i="1"/>
  <c r="CR216" i="1"/>
  <c r="CQ216" i="1"/>
  <c r="CP216" i="1"/>
  <c r="CO216" i="1"/>
  <c r="CN216" i="1"/>
  <c r="CM216" i="1"/>
  <c r="CL216" i="1"/>
  <c r="CK216" i="1"/>
  <c r="CJ216" i="1"/>
  <c r="CI216" i="1"/>
  <c r="CH216" i="1"/>
  <c r="CG216" i="1"/>
  <c r="CF216" i="1"/>
  <c r="BR216" i="1"/>
  <c r="BQ216" i="1"/>
  <c r="BP216" i="1"/>
  <c r="BO216" i="1"/>
  <c r="BN216" i="1"/>
  <c r="BM216" i="1"/>
  <c r="BL216" i="1"/>
  <c r="BK216" i="1"/>
  <c r="BJ216" i="1"/>
  <c r="BI216" i="1"/>
  <c r="BH216" i="1"/>
  <c r="BG216" i="1"/>
  <c r="BF216" i="1"/>
  <c r="BE216" i="1"/>
  <c r="BD216" i="1"/>
  <c r="BC216" i="1"/>
  <c r="BA216" i="1"/>
  <c r="AZ216" i="1"/>
  <c r="AY216" i="1"/>
  <c r="AW216" i="1"/>
  <c r="AV216" i="1"/>
  <c r="AU216" i="1"/>
  <c r="AS216" i="1"/>
  <c r="AR216" i="1"/>
  <c r="AQ216" i="1"/>
  <c r="AP216" i="1"/>
  <c r="AO216" i="1"/>
  <c r="AN216" i="1"/>
  <c r="AM216" i="1"/>
  <c r="AL216" i="1"/>
  <c r="AK216" i="1"/>
  <c r="AJ216" i="1"/>
  <c r="AI216" i="1"/>
  <c r="AH216" i="1"/>
  <c r="AG216" i="1"/>
  <c r="AF216" i="1"/>
  <c r="AE216" i="1"/>
  <c r="R216" i="1"/>
  <c r="Q216" i="1"/>
  <c r="DE215" i="1"/>
  <c r="DD215" i="1"/>
  <c r="DC215" i="1"/>
  <c r="DB215" i="1"/>
  <c r="DA215" i="1"/>
  <c r="CZ215" i="1"/>
  <c r="CY215" i="1"/>
  <c r="CX215" i="1"/>
  <c r="CW215" i="1"/>
  <c r="CV215" i="1"/>
  <c r="CU215" i="1"/>
  <c r="CT215" i="1"/>
  <c r="CS215" i="1"/>
  <c r="CR215" i="1"/>
  <c r="CQ215" i="1"/>
  <c r="CP215" i="1"/>
  <c r="CO215" i="1"/>
  <c r="CN215" i="1"/>
  <c r="CM215" i="1"/>
  <c r="CL215" i="1"/>
  <c r="CK215" i="1"/>
  <c r="CJ215" i="1"/>
  <c r="CI215" i="1"/>
  <c r="CH215" i="1"/>
  <c r="CG215" i="1"/>
  <c r="CF215" i="1"/>
  <c r="BR215" i="1"/>
  <c r="BQ215" i="1"/>
  <c r="BP215" i="1"/>
  <c r="BO215" i="1"/>
  <c r="BN215" i="1"/>
  <c r="BM215" i="1"/>
  <c r="BL215" i="1"/>
  <c r="BK215" i="1"/>
  <c r="BJ215" i="1"/>
  <c r="BI215" i="1"/>
  <c r="BH215" i="1"/>
  <c r="BF215" i="1"/>
  <c r="BD215" i="1"/>
  <c r="BC215" i="1"/>
  <c r="BB215" i="1"/>
  <c r="AZ215" i="1"/>
  <c r="AY215" i="1"/>
  <c r="AX215" i="1"/>
  <c r="AV215" i="1"/>
  <c r="AU215" i="1"/>
  <c r="AT215" i="1"/>
  <c r="AR215" i="1"/>
  <c r="AQ215" i="1"/>
  <c r="AP215" i="1"/>
  <c r="AO215" i="1"/>
  <c r="AN215" i="1"/>
  <c r="AM215" i="1"/>
  <c r="AL215" i="1"/>
  <c r="AK215" i="1"/>
  <c r="AJ215" i="1"/>
  <c r="AI215" i="1"/>
  <c r="AH215" i="1"/>
  <c r="AF215" i="1"/>
  <c r="AE215" i="1"/>
  <c r="O215" i="1" s="1"/>
  <c r="J215" i="1"/>
  <c r="DE214" i="1"/>
  <c r="DD214" i="1"/>
  <c r="DC214" i="1"/>
  <c r="DB214" i="1"/>
  <c r="DA214" i="1"/>
  <c r="CZ214" i="1"/>
  <c r="CY214" i="1"/>
  <c r="CX214" i="1"/>
  <c r="CW214" i="1"/>
  <c r="CV214" i="1"/>
  <c r="CU214" i="1"/>
  <c r="CT214" i="1"/>
  <c r="CS214" i="1"/>
  <c r="CR214" i="1"/>
  <c r="CQ214" i="1"/>
  <c r="CP214" i="1"/>
  <c r="CO214" i="1"/>
  <c r="CN214" i="1"/>
  <c r="CM214" i="1"/>
  <c r="CL214" i="1"/>
  <c r="CK214" i="1"/>
  <c r="CJ214" i="1"/>
  <c r="CI214" i="1"/>
  <c r="CH214" i="1"/>
  <c r="CG214" i="1"/>
  <c r="CF214" i="1"/>
  <c r="CD214" i="1"/>
  <c r="CC214" i="1"/>
  <c r="CB214" i="1"/>
  <c r="BZ214" i="1"/>
  <c r="BY214" i="1"/>
  <c r="BX214" i="1"/>
  <c r="BV214" i="1"/>
  <c r="BU214" i="1"/>
  <c r="BR214" i="1"/>
  <c r="BQ214" i="1"/>
  <c r="BP214" i="1"/>
  <c r="BO214" i="1"/>
  <c r="BN214" i="1"/>
  <c r="BM214" i="1"/>
  <c r="BL214" i="1"/>
  <c r="BK214" i="1"/>
  <c r="BJ214" i="1"/>
  <c r="BH214" i="1"/>
  <c r="BG214" i="1"/>
  <c r="BF214" i="1"/>
  <c r="BE214" i="1"/>
  <c r="BD214" i="1"/>
  <c r="BB214" i="1"/>
  <c r="BA214" i="1"/>
  <c r="AZ214" i="1"/>
  <c r="AX214" i="1"/>
  <c r="AW214" i="1"/>
  <c r="AV214" i="1"/>
  <c r="AT214" i="1"/>
  <c r="AS214" i="1"/>
  <c r="AR214" i="1"/>
  <c r="AQ214" i="1"/>
  <c r="AP214" i="1"/>
  <c r="AO214" i="1"/>
  <c r="AN214" i="1"/>
  <c r="AM214" i="1"/>
  <c r="AL214" i="1"/>
  <c r="AK214" i="1"/>
  <c r="AJ214" i="1"/>
  <c r="AH214" i="1"/>
  <c r="AG214" i="1"/>
  <c r="AF214" i="1"/>
  <c r="AE214" i="1"/>
  <c r="AD214" i="1"/>
  <c r="F214" i="1"/>
  <c r="B214" i="1"/>
  <c r="BB216" i="1" s="1"/>
  <c r="DE213" i="1"/>
  <c r="DD213" i="1"/>
  <c r="DC213" i="1"/>
  <c r="DB213" i="1"/>
  <c r="DA213" i="1"/>
  <c r="CZ213" i="1"/>
  <c r="CY213" i="1"/>
  <c r="CX213" i="1"/>
  <c r="CW213" i="1"/>
  <c r="CV213" i="1"/>
  <c r="CU213" i="1"/>
  <c r="CT213" i="1"/>
  <c r="CS213" i="1"/>
  <c r="CR213" i="1"/>
  <c r="CQ213" i="1"/>
  <c r="CP213" i="1"/>
  <c r="CO213" i="1"/>
  <c r="CN213" i="1"/>
  <c r="CM213" i="1"/>
  <c r="CL213" i="1"/>
  <c r="CK213" i="1"/>
  <c r="CJ213" i="1"/>
  <c r="CI213" i="1"/>
  <c r="CH213" i="1"/>
  <c r="CG213" i="1"/>
  <c r="CF213" i="1"/>
  <c r="BR213" i="1"/>
  <c r="BQ213" i="1"/>
  <c r="BP213" i="1"/>
  <c r="BO213" i="1"/>
  <c r="BN213" i="1"/>
  <c r="BM213" i="1"/>
  <c r="BL213" i="1"/>
  <c r="BK213" i="1"/>
  <c r="BJ213" i="1"/>
  <c r="BI213" i="1"/>
  <c r="BH213" i="1"/>
  <c r="BG213" i="1"/>
  <c r="BF213" i="1"/>
  <c r="BE213" i="1"/>
  <c r="BB213" i="1"/>
  <c r="BA213" i="1"/>
  <c r="AX213" i="1"/>
  <c r="AW213" i="1"/>
  <c r="AT213" i="1"/>
  <c r="AS213" i="1"/>
  <c r="AR213" i="1"/>
  <c r="AQ213" i="1"/>
  <c r="AP213" i="1"/>
  <c r="AO213" i="1"/>
  <c r="AN213" i="1"/>
  <c r="AM213" i="1"/>
  <c r="AL213" i="1"/>
  <c r="AK213" i="1"/>
  <c r="AJ213" i="1"/>
  <c r="AI213" i="1"/>
  <c r="AH213" i="1"/>
  <c r="AG213" i="1"/>
  <c r="AF213" i="1"/>
  <c r="AE213" i="1"/>
  <c r="AD213" i="1"/>
  <c r="R213" i="1"/>
  <c r="Q213" i="1"/>
  <c r="O213" i="1"/>
  <c r="P213" i="1" s="1"/>
  <c r="DE212" i="1"/>
  <c r="DD212" i="1"/>
  <c r="DC212" i="1"/>
  <c r="DB212" i="1"/>
  <c r="DA212" i="1"/>
  <c r="CZ212" i="1"/>
  <c r="CY212" i="1"/>
  <c r="CX212" i="1"/>
  <c r="CW212" i="1"/>
  <c r="CV212" i="1"/>
  <c r="CU212" i="1"/>
  <c r="CT212" i="1"/>
  <c r="CS212" i="1"/>
  <c r="CR212" i="1"/>
  <c r="CQ212" i="1"/>
  <c r="CP212" i="1"/>
  <c r="CO212" i="1"/>
  <c r="CN212" i="1"/>
  <c r="CM212" i="1"/>
  <c r="CL212" i="1"/>
  <c r="CK212" i="1"/>
  <c r="CJ212" i="1"/>
  <c r="CI212" i="1"/>
  <c r="CH212" i="1"/>
  <c r="CG212" i="1"/>
  <c r="CF212" i="1"/>
  <c r="BR212" i="1"/>
  <c r="BQ212" i="1"/>
  <c r="BP212" i="1"/>
  <c r="BO212" i="1"/>
  <c r="BN212" i="1"/>
  <c r="BM212" i="1"/>
  <c r="BL212" i="1"/>
  <c r="BK212" i="1"/>
  <c r="BJ212" i="1"/>
  <c r="BI212" i="1"/>
  <c r="BH212" i="1"/>
  <c r="BG212" i="1"/>
  <c r="BE212" i="1"/>
  <c r="BB212" i="1"/>
  <c r="BA212" i="1"/>
  <c r="AX212" i="1"/>
  <c r="AW212" i="1"/>
  <c r="AT212" i="1"/>
  <c r="AS212" i="1"/>
  <c r="AR212" i="1"/>
  <c r="AQ212" i="1"/>
  <c r="AP212" i="1"/>
  <c r="AO212" i="1"/>
  <c r="AN212" i="1"/>
  <c r="AM212" i="1"/>
  <c r="AL212" i="1"/>
  <c r="AK212" i="1"/>
  <c r="AJ212" i="1"/>
  <c r="AI212" i="1"/>
  <c r="AH212" i="1"/>
  <c r="AG212" i="1"/>
  <c r="AE212" i="1"/>
  <c r="AD212" i="1"/>
  <c r="O212" i="1"/>
  <c r="AF212" i="1" s="1"/>
  <c r="J212" i="1"/>
  <c r="DE211" i="1"/>
  <c r="DD211" i="1"/>
  <c r="DC211" i="1"/>
  <c r="DB211" i="1"/>
  <c r="DA211" i="1"/>
  <c r="CZ211" i="1"/>
  <c r="CY211" i="1"/>
  <c r="CX211" i="1"/>
  <c r="CW211" i="1"/>
  <c r="CV211" i="1"/>
  <c r="CU211" i="1"/>
  <c r="CT211" i="1"/>
  <c r="CS211" i="1"/>
  <c r="CR211" i="1"/>
  <c r="CQ211" i="1"/>
  <c r="CP211" i="1"/>
  <c r="CO211" i="1"/>
  <c r="CN211" i="1"/>
  <c r="CM211" i="1"/>
  <c r="CL211" i="1"/>
  <c r="CK211" i="1"/>
  <c r="CJ211" i="1"/>
  <c r="CI211" i="1"/>
  <c r="CH211" i="1"/>
  <c r="CG211" i="1"/>
  <c r="CF211" i="1"/>
  <c r="CC211" i="1"/>
  <c r="CB211" i="1"/>
  <c r="BY211" i="1"/>
  <c r="BX211" i="1"/>
  <c r="BU211" i="1"/>
  <c r="BT211" i="1"/>
  <c r="BR211" i="1"/>
  <c r="BQ211" i="1"/>
  <c r="BP211" i="1"/>
  <c r="BO211" i="1"/>
  <c r="BN211" i="1"/>
  <c r="BM211" i="1"/>
  <c r="BL211" i="1"/>
  <c r="BK211" i="1"/>
  <c r="BI211" i="1"/>
  <c r="BH211" i="1"/>
  <c r="BG211" i="1"/>
  <c r="BF211" i="1"/>
  <c r="BE211" i="1"/>
  <c r="BD211" i="1"/>
  <c r="BA211" i="1"/>
  <c r="AZ211" i="1"/>
  <c r="AW211" i="1"/>
  <c r="AV211" i="1"/>
  <c r="AS211" i="1"/>
  <c r="AR211" i="1"/>
  <c r="AQ211" i="1"/>
  <c r="AP211" i="1"/>
  <c r="AO211" i="1"/>
  <c r="AN211" i="1"/>
  <c r="AM211" i="1"/>
  <c r="AL211" i="1"/>
  <c r="AK211" i="1"/>
  <c r="AI211" i="1"/>
  <c r="AH211" i="1"/>
  <c r="AG211" i="1"/>
  <c r="AF211" i="1"/>
  <c r="AE211" i="1"/>
  <c r="AD211" i="1"/>
  <c r="P211" i="1"/>
  <c r="AJ211" i="1" s="1"/>
  <c r="O211" i="1"/>
  <c r="BJ211" i="1" s="1"/>
  <c r="F211" i="1"/>
  <c r="B211" i="1"/>
  <c r="BD213" i="1" s="1"/>
  <c r="DE210" i="1"/>
  <c r="DD210" i="1"/>
  <c r="DC210" i="1"/>
  <c r="DB210" i="1"/>
  <c r="DA210" i="1"/>
  <c r="CZ210" i="1"/>
  <c r="CY210" i="1"/>
  <c r="CX210" i="1"/>
  <c r="CW210" i="1"/>
  <c r="CV210" i="1"/>
  <c r="CU210" i="1"/>
  <c r="CT210" i="1"/>
  <c r="CS210" i="1"/>
  <c r="CR210" i="1"/>
  <c r="CQ210" i="1"/>
  <c r="CP210" i="1"/>
  <c r="CO210" i="1"/>
  <c r="CN210" i="1"/>
  <c r="CM210" i="1"/>
  <c r="CL210" i="1"/>
  <c r="CK210" i="1"/>
  <c r="CJ210" i="1"/>
  <c r="CI210" i="1"/>
  <c r="CH210" i="1"/>
  <c r="CG210" i="1"/>
  <c r="CF210" i="1"/>
  <c r="BR210" i="1"/>
  <c r="BQ210" i="1"/>
  <c r="BP210" i="1"/>
  <c r="BO210" i="1"/>
  <c r="BN210" i="1"/>
  <c r="BM210" i="1"/>
  <c r="BL210" i="1"/>
  <c r="BK210" i="1"/>
  <c r="BJ210" i="1"/>
  <c r="BI210" i="1"/>
  <c r="BH210" i="1"/>
  <c r="BG210" i="1"/>
  <c r="BF210" i="1"/>
  <c r="BE210" i="1"/>
  <c r="BD210" i="1"/>
  <c r="BC210" i="1"/>
  <c r="BA210" i="1"/>
  <c r="AZ210" i="1"/>
  <c r="AY210" i="1"/>
  <c r="AW210" i="1"/>
  <c r="AV210" i="1"/>
  <c r="AU210" i="1"/>
  <c r="AS210" i="1"/>
  <c r="AR210" i="1"/>
  <c r="AQ210" i="1"/>
  <c r="AP210" i="1"/>
  <c r="AO210" i="1"/>
  <c r="AN210" i="1"/>
  <c r="AM210" i="1"/>
  <c r="AL210" i="1"/>
  <c r="AK210" i="1"/>
  <c r="AJ210" i="1"/>
  <c r="AI210" i="1"/>
  <c r="AH210" i="1"/>
  <c r="AG210" i="1"/>
  <c r="AF210" i="1"/>
  <c r="AE210" i="1"/>
  <c r="R210" i="1"/>
  <c r="Q210" i="1"/>
  <c r="DE209" i="1"/>
  <c r="DD209" i="1"/>
  <c r="DC209" i="1"/>
  <c r="DB209" i="1"/>
  <c r="DA209" i="1"/>
  <c r="CZ209" i="1"/>
  <c r="CY209" i="1"/>
  <c r="CX209" i="1"/>
  <c r="CW209" i="1"/>
  <c r="CV209" i="1"/>
  <c r="CU209" i="1"/>
  <c r="CT209" i="1"/>
  <c r="CS209" i="1"/>
  <c r="CR209" i="1"/>
  <c r="CQ209" i="1"/>
  <c r="CP209" i="1"/>
  <c r="CO209" i="1"/>
  <c r="CN209" i="1"/>
  <c r="CM209" i="1"/>
  <c r="CL209" i="1"/>
  <c r="CK209" i="1"/>
  <c r="CJ209" i="1"/>
  <c r="CI209" i="1"/>
  <c r="CH209" i="1"/>
  <c r="CG209" i="1"/>
  <c r="CF209" i="1"/>
  <c r="BR209" i="1"/>
  <c r="BQ209" i="1"/>
  <c r="BP209" i="1"/>
  <c r="BO209" i="1"/>
  <c r="BN209" i="1"/>
  <c r="BM209" i="1"/>
  <c r="BL209" i="1"/>
  <c r="BK209" i="1"/>
  <c r="BJ209" i="1"/>
  <c r="BI209" i="1"/>
  <c r="BH209" i="1"/>
  <c r="BG209" i="1"/>
  <c r="BD209" i="1"/>
  <c r="BC209" i="1"/>
  <c r="BB209" i="1"/>
  <c r="AZ209" i="1"/>
  <c r="AY209" i="1"/>
  <c r="AX209" i="1"/>
  <c r="AV209" i="1"/>
  <c r="AU209" i="1"/>
  <c r="AT209" i="1"/>
  <c r="AR209" i="1"/>
  <c r="AQ209" i="1"/>
  <c r="AP209" i="1"/>
  <c r="AO209" i="1"/>
  <c r="AN209" i="1"/>
  <c r="AM209" i="1"/>
  <c r="AL209" i="1"/>
  <c r="AK209" i="1"/>
  <c r="AJ209" i="1"/>
  <c r="AI209" i="1"/>
  <c r="AH209" i="1"/>
  <c r="AG209" i="1"/>
  <c r="AE209" i="1"/>
  <c r="O209" i="1" s="1"/>
  <c r="J209" i="1"/>
  <c r="DE208" i="1"/>
  <c r="DD208" i="1"/>
  <c r="DC208" i="1"/>
  <c r="DB208" i="1"/>
  <c r="DA208" i="1"/>
  <c r="CZ208" i="1"/>
  <c r="CY208" i="1"/>
  <c r="CX208" i="1"/>
  <c r="CW208" i="1"/>
  <c r="CV208" i="1"/>
  <c r="CU208" i="1"/>
  <c r="CT208" i="1"/>
  <c r="CS208" i="1"/>
  <c r="CR208" i="1"/>
  <c r="CQ208" i="1"/>
  <c r="CP208" i="1"/>
  <c r="CO208" i="1"/>
  <c r="CN208" i="1"/>
  <c r="CM208" i="1"/>
  <c r="CL208" i="1"/>
  <c r="CK208" i="1"/>
  <c r="CJ208" i="1"/>
  <c r="CI208" i="1"/>
  <c r="CH208" i="1"/>
  <c r="CG208" i="1"/>
  <c r="CF208" i="1"/>
  <c r="CD208" i="1"/>
  <c r="CC208" i="1"/>
  <c r="CB208" i="1"/>
  <c r="BZ208" i="1"/>
  <c r="BY208" i="1"/>
  <c r="BX208" i="1"/>
  <c r="BV208" i="1"/>
  <c r="BU208" i="1"/>
  <c r="BT208" i="1"/>
  <c r="BR208" i="1"/>
  <c r="BQ208" i="1"/>
  <c r="BP208" i="1"/>
  <c r="BO208" i="1"/>
  <c r="BN208" i="1"/>
  <c r="BM208" i="1"/>
  <c r="BL208" i="1"/>
  <c r="BK208" i="1"/>
  <c r="BJ208" i="1"/>
  <c r="BI208" i="1"/>
  <c r="BH208" i="1"/>
  <c r="BF208" i="1"/>
  <c r="BE208" i="1"/>
  <c r="BD208" i="1"/>
  <c r="BB208" i="1"/>
  <c r="BA208" i="1"/>
  <c r="AZ208" i="1"/>
  <c r="AX208" i="1"/>
  <c r="AW208" i="1"/>
  <c r="AV208" i="1"/>
  <c r="AT208" i="1"/>
  <c r="AS208" i="1"/>
  <c r="AR208" i="1"/>
  <c r="AQ208" i="1"/>
  <c r="AP208" i="1"/>
  <c r="AO208" i="1"/>
  <c r="AN208" i="1"/>
  <c r="AM208" i="1"/>
  <c r="AL208" i="1"/>
  <c r="AK208" i="1"/>
  <c r="AJ208" i="1"/>
  <c r="AI208" i="1"/>
  <c r="AH208" i="1"/>
  <c r="AF208" i="1"/>
  <c r="AE208" i="1"/>
  <c r="AD208" i="1"/>
  <c r="F208" i="1"/>
  <c r="B208" i="1"/>
  <c r="BB210" i="1" s="1"/>
  <c r="DE207" i="1"/>
  <c r="DD207" i="1"/>
  <c r="DC207" i="1"/>
  <c r="DB207" i="1"/>
  <c r="DA207" i="1"/>
  <c r="CZ207" i="1"/>
  <c r="CY207" i="1"/>
  <c r="CX207" i="1"/>
  <c r="CW207" i="1"/>
  <c r="CV207" i="1"/>
  <c r="CU207" i="1"/>
  <c r="CT207" i="1"/>
  <c r="CS207" i="1"/>
  <c r="CR207" i="1"/>
  <c r="CQ207" i="1"/>
  <c r="CP207" i="1"/>
  <c r="CO207" i="1"/>
  <c r="CN207" i="1"/>
  <c r="CM207" i="1"/>
  <c r="CL207" i="1"/>
  <c r="CK207" i="1"/>
  <c r="CJ207" i="1"/>
  <c r="CI207" i="1"/>
  <c r="CH207" i="1"/>
  <c r="CG207" i="1"/>
  <c r="CF207" i="1"/>
  <c r="BR207" i="1"/>
  <c r="BQ207" i="1"/>
  <c r="BP207" i="1"/>
  <c r="BO207" i="1"/>
  <c r="BN207" i="1"/>
  <c r="BM207" i="1"/>
  <c r="BL207" i="1"/>
  <c r="BK207" i="1"/>
  <c r="BJ207" i="1"/>
  <c r="BI207" i="1"/>
  <c r="BH207" i="1"/>
  <c r="BG207" i="1"/>
  <c r="BF207" i="1"/>
  <c r="BE207" i="1"/>
  <c r="BB207" i="1"/>
  <c r="BA207" i="1"/>
  <c r="AX207" i="1"/>
  <c r="AW207" i="1"/>
  <c r="AT207" i="1"/>
  <c r="AS207" i="1"/>
  <c r="AR207" i="1"/>
  <c r="AQ207" i="1"/>
  <c r="AP207" i="1"/>
  <c r="AO207" i="1"/>
  <c r="AN207" i="1"/>
  <c r="AM207" i="1"/>
  <c r="AL207" i="1"/>
  <c r="AK207" i="1"/>
  <c r="AJ207" i="1"/>
  <c r="AI207" i="1"/>
  <c r="AH207" i="1"/>
  <c r="AG207" i="1"/>
  <c r="AF207" i="1"/>
  <c r="AE207" i="1"/>
  <c r="AD207" i="1"/>
  <c r="R207" i="1"/>
  <c r="Q207" i="1"/>
  <c r="O207" i="1"/>
  <c r="P207" i="1" s="1"/>
  <c r="DE206" i="1"/>
  <c r="DD206" i="1"/>
  <c r="DC206" i="1"/>
  <c r="DB206" i="1"/>
  <c r="DA206" i="1"/>
  <c r="CZ206" i="1"/>
  <c r="CY206" i="1"/>
  <c r="CX206" i="1"/>
  <c r="CW206" i="1"/>
  <c r="CV206" i="1"/>
  <c r="CU206" i="1"/>
  <c r="CT206" i="1"/>
  <c r="CS206" i="1"/>
  <c r="CR206" i="1"/>
  <c r="CQ206" i="1"/>
  <c r="CP206" i="1"/>
  <c r="CO206" i="1"/>
  <c r="CN206" i="1"/>
  <c r="CM206" i="1"/>
  <c r="CL206" i="1"/>
  <c r="CK206" i="1"/>
  <c r="CJ206" i="1"/>
  <c r="CI206" i="1"/>
  <c r="CH206" i="1"/>
  <c r="CG206" i="1"/>
  <c r="CF206" i="1"/>
  <c r="BR206" i="1"/>
  <c r="BQ206" i="1"/>
  <c r="BP206" i="1"/>
  <c r="BO206" i="1"/>
  <c r="BN206" i="1"/>
  <c r="BM206" i="1"/>
  <c r="BL206" i="1"/>
  <c r="BK206" i="1"/>
  <c r="BJ206" i="1"/>
  <c r="BI206" i="1"/>
  <c r="BH206" i="1"/>
  <c r="BG206" i="1"/>
  <c r="BF206" i="1"/>
  <c r="BE206" i="1"/>
  <c r="BB206" i="1"/>
  <c r="BA206" i="1"/>
  <c r="AX206" i="1"/>
  <c r="AW206" i="1"/>
  <c r="AT206" i="1"/>
  <c r="AS206" i="1"/>
  <c r="AR206" i="1"/>
  <c r="AP206" i="1"/>
  <c r="AO206" i="1"/>
  <c r="AN206" i="1"/>
  <c r="AM206" i="1"/>
  <c r="AL206" i="1"/>
  <c r="AK206" i="1"/>
  <c r="AJ206" i="1"/>
  <c r="AI206" i="1"/>
  <c r="AH206" i="1"/>
  <c r="AG206" i="1"/>
  <c r="AF206" i="1"/>
  <c r="AE206" i="1"/>
  <c r="AD206" i="1"/>
  <c r="O206" i="1"/>
  <c r="AQ206" i="1" s="1"/>
  <c r="J206" i="1"/>
  <c r="DE205" i="1"/>
  <c r="DD205" i="1"/>
  <c r="DC205" i="1"/>
  <c r="DB205" i="1"/>
  <c r="DA205" i="1"/>
  <c r="CZ205" i="1"/>
  <c r="CY205" i="1"/>
  <c r="CX205" i="1"/>
  <c r="CW205" i="1"/>
  <c r="CV205" i="1"/>
  <c r="CU205" i="1"/>
  <c r="CT205" i="1"/>
  <c r="CS205" i="1"/>
  <c r="CR205" i="1"/>
  <c r="CQ205" i="1"/>
  <c r="CP205" i="1"/>
  <c r="CO205" i="1"/>
  <c r="CN205" i="1"/>
  <c r="CM205" i="1"/>
  <c r="CL205" i="1"/>
  <c r="CK205" i="1"/>
  <c r="CJ205" i="1"/>
  <c r="CI205" i="1"/>
  <c r="CH205" i="1"/>
  <c r="CG205" i="1"/>
  <c r="CF205" i="1"/>
  <c r="CC205" i="1"/>
  <c r="CB205" i="1"/>
  <c r="BY205" i="1"/>
  <c r="BX205" i="1"/>
  <c r="BU205" i="1"/>
  <c r="BT205" i="1"/>
  <c r="BR205" i="1"/>
  <c r="BQ205" i="1"/>
  <c r="BP205" i="1"/>
  <c r="BO205" i="1"/>
  <c r="BN205" i="1"/>
  <c r="BM205" i="1"/>
  <c r="BL205" i="1"/>
  <c r="BK205" i="1"/>
  <c r="BJ205" i="1"/>
  <c r="BI205" i="1"/>
  <c r="BH205" i="1"/>
  <c r="BG205" i="1"/>
  <c r="BF205" i="1"/>
  <c r="BE205" i="1"/>
  <c r="BD205" i="1"/>
  <c r="BA205" i="1"/>
  <c r="AZ205" i="1"/>
  <c r="AW205" i="1"/>
  <c r="AV205" i="1"/>
  <c r="AS205" i="1"/>
  <c r="AR205" i="1"/>
  <c r="AQ205" i="1"/>
  <c r="AP205" i="1"/>
  <c r="AO205" i="1"/>
  <c r="AN205" i="1"/>
  <c r="AL205" i="1"/>
  <c r="AK205" i="1"/>
  <c r="AJ205" i="1"/>
  <c r="AI205" i="1"/>
  <c r="AH205" i="1"/>
  <c r="AG205" i="1"/>
  <c r="AF205" i="1"/>
  <c r="AE205" i="1"/>
  <c r="AD205" i="1"/>
  <c r="P205" i="1"/>
  <c r="AM205" i="1" s="1"/>
  <c r="O205" i="1"/>
  <c r="F205" i="1"/>
  <c r="B205" i="1"/>
  <c r="BD207" i="1" s="1"/>
  <c r="DE204" i="1"/>
  <c r="DD204" i="1"/>
  <c r="DC204" i="1"/>
  <c r="DB204" i="1"/>
  <c r="DA204" i="1"/>
  <c r="CZ204" i="1"/>
  <c r="CY204" i="1"/>
  <c r="CX204" i="1"/>
  <c r="CW204" i="1"/>
  <c r="CV204" i="1"/>
  <c r="CU204" i="1"/>
  <c r="CT204" i="1"/>
  <c r="CS204" i="1"/>
  <c r="CR204" i="1"/>
  <c r="CQ204" i="1"/>
  <c r="CP204" i="1"/>
  <c r="CO204" i="1"/>
  <c r="CN204" i="1"/>
  <c r="CM204" i="1"/>
  <c r="CL204" i="1"/>
  <c r="CK204" i="1"/>
  <c r="CJ204" i="1"/>
  <c r="CI204" i="1"/>
  <c r="CH204" i="1"/>
  <c r="CG204" i="1"/>
  <c r="CF204" i="1"/>
  <c r="BR204" i="1"/>
  <c r="BQ204" i="1"/>
  <c r="BP204" i="1"/>
  <c r="BO204" i="1"/>
  <c r="BN204" i="1"/>
  <c r="BM204" i="1"/>
  <c r="BL204" i="1"/>
  <c r="BK204" i="1"/>
  <c r="BJ204" i="1"/>
  <c r="BI204" i="1"/>
  <c r="BH204" i="1"/>
  <c r="BG204" i="1"/>
  <c r="BF204" i="1"/>
  <c r="BE204" i="1"/>
  <c r="BD204" i="1"/>
  <c r="BC204" i="1"/>
  <c r="BA204" i="1"/>
  <c r="AZ204" i="1"/>
  <c r="AY204" i="1"/>
  <c r="AW204" i="1"/>
  <c r="AV204" i="1"/>
  <c r="AU204" i="1"/>
  <c r="AS204" i="1"/>
  <c r="AR204" i="1"/>
  <c r="AQ204" i="1"/>
  <c r="AP204" i="1"/>
  <c r="AO204" i="1"/>
  <c r="AN204" i="1"/>
  <c r="AM204" i="1"/>
  <c r="AL204" i="1"/>
  <c r="AK204" i="1"/>
  <c r="AJ204" i="1"/>
  <c r="AI204" i="1"/>
  <c r="AH204" i="1"/>
  <c r="AG204" i="1"/>
  <c r="AF204" i="1"/>
  <c r="AE204" i="1"/>
  <c r="R204" i="1"/>
  <c r="Q204" i="1"/>
  <c r="DE203" i="1"/>
  <c r="DD203" i="1"/>
  <c r="DC203" i="1"/>
  <c r="DB203" i="1"/>
  <c r="DA203" i="1"/>
  <c r="CZ203" i="1"/>
  <c r="CY203" i="1"/>
  <c r="CX203" i="1"/>
  <c r="CW203" i="1"/>
  <c r="CV203" i="1"/>
  <c r="CU203" i="1"/>
  <c r="CT203" i="1"/>
  <c r="CS203" i="1"/>
  <c r="CR203" i="1"/>
  <c r="CQ203" i="1"/>
  <c r="CP203" i="1"/>
  <c r="CO203" i="1"/>
  <c r="CN203" i="1"/>
  <c r="CM203" i="1"/>
  <c r="CL203" i="1"/>
  <c r="CK203" i="1"/>
  <c r="CJ203" i="1"/>
  <c r="CI203" i="1"/>
  <c r="CH203" i="1"/>
  <c r="CG203" i="1"/>
  <c r="CF203" i="1"/>
  <c r="BR203" i="1"/>
  <c r="BQ203" i="1"/>
  <c r="BP203" i="1"/>
  <c r="BO203" i="1"/>
  <c r="BN203" i="1"/>
  <c r="BM203" i="1"/>
  <c r="BL203" i="1"/>
  <c r="BK203" i="1"/>
  <c r="BJ203" i="1"/>
  <c r="BI203" i="1"/>
  <c r="BH203" i="1"/>
  <c r="BF203" i="1"/>
  <c r="BD203" i="1"/>
  <c r="BC203" i="1"/>
  <c r="BB203" i="1"/>
  <c r="AZ203" i="1"/>
  <c r="AY203" i="1"/>
  <c r="AX203" i="1"/>
  <c r="AV203" i="1"/>
  <c r="AU203" i="1"/>
  <c r="AT203" i="1"/>
  <c r="AR203" i="1"/>
  <c r="AQ203" i="1"/>
  <c r="AP203" i="1"/>
  <c r="AO203" i="1"/>
  <c r="AN203" i="1"/>
  <c r="AM203" i="1"/>
  <c r="AL203" i="1"/>
  <c r="AK203" i="1"/>
  <c r="AJ203" i="1"/>
  <c r="AI203" i="1"/>
  <c r="AH203" i="1"/>
  <c r="AF203" i="1"/>
  <c r="AE203" i="1"/>
  <c r="O203" i="1"/>
  <c r="P203" i="1" s="1"/>
  <c r="AG203" i="1" s="1"/>
  <c r="J203" i="1"/>
  <c r="DE202" i="1"/>
  <c r="DD202" i="1"/>
  <c r="DC202" i="1"/>
  <c r="DB202" i="1"/>
  <c r="DA202" i="1"/>
  <c r="CZ202" i="1"/>
  <c r="CY202" i="1"/>
  <c r="CX202" i="1"/>
  <c r="CW202" i="1"/>
  <c r="CV202" i="1"/>
  <c r="CU202" i="1"/>
  <c r="CT202" i="1"/>
  <c r="CS202" i="1"/>
  <c r="CR202" i="1"/>
  <c r="CQ202" i="1"/>
  <c r="CP202" i="1"/>
  <c r="CO202" i="1"/>
  <c r="CN202" i="1"/>
  <c r="CM202" i="1"/>
  <c r="CL202" i="1"/>
  <c r="CK202" i="1"/>
  <c r="CJ202" i="1"/>
  <c r="CI202" i="1"/>
  <c r="CH202" i="1"/>
  <c r="CG202" i="1"/>
  <c r="CF202" i="1"/>
  <c r="CD202" i="1"/>
  <c r="CC202" i="1"/>
  <c r="CB202" i="1"/>
  <c r="BZ202" i="1"/>
  <c r="BY202" i="1"/>
  <c r="BX202" i="1"/>
  <c r="BV202" i="1"/>
  <c r="BU202" i="1"/>
  <c r="BR202" i="1"/>
  <c r="BP202" i="1"/>
  <c r="BO202" i="1"/>
  <c r="BN202" i="1"/>
  <c r="BM202" i="1"/>
  <c r="BL202" i="1"/>
  <c r="BK202" i="1"/>
  <c r="BJ202" i="1"/>
  <c r="BI202" i="1"/>
  <c r="BH202" i="1"/>
  <c r="BG202" i="1"/>
  <c r="BF202" i="1"/>
  <c r="BE202" i="1"/>
  <c r="BD202" i="1"/>
  <c r="BB202" i="1"/>
  <c r="BA202" i="1"/>
  <c r="AZ202" i="1"/>
  <c r="AX202" i="1"/>
  <c r="AW202" i="1"/>
  <c r="AV202" i="1"/>
  <c r="AT202" i="1"/>
  <c r="AS202" i="1"/>
  <c r="AR202" i="1"/>
  <c r="AP202" i="1"/>
  <c r="AO202" i="1"/>
  <c r="AN202" i="1"/>
  <c r="AM202" i="1"/>
  <c r="AL202" i="1"/>
  <c r="AK202" i="1"/>
  <c r="AJ202" i="1"/>
  <c r="AI202" i="1"/>
  <c r="AH202" i="1"/>
  <c r="AG202" i="1"/>
  <c r="AF202" i="1"/>
  <c r="AE202" i="1"/>
  <c r="AD202" i="1"/>
  <c r="F202" i="1"/>
  <c r="B202" i="1"/>
  <c r="BB204" i="1" s="1"/>
  <c r="DE201" i="1"/>
  <c r="DD201" i="1"/>
  <c r="DC201" i="1"/>
  <c r="DB201" i="1"/>
  <c r="DA201" i="1"/>
  <c r="CZ201" i="1"/>
  <c r="CY201" i="1"/>
  <c r="CX201" i="1"/>
  <c r="CW201" i="1"/>
  <c r="CV201" i="1"/>
  <c r="CU201" i="1"/>
  <c r="CT201" i="1"/>
  <c r="CS201" i="1"/>
  <c r="CR201" i="1"/>
  <c r="CQ201" i="1"/>
  <c r="CP201" i="1"/>
  <c r="CO201" i="1"/>
  <c r="CN201" i="1"/>
  <c r="CM201" i="1"/>
  <c r="CL201" i="1"/>
  <c r="CK201" i="1"/>
  <c r="CJ201" i="1"/>
  <c r="CI201" i="1"/>
  <c r="CH201" i="1"/>
  <c r="CG201" i="1"/>
  <c r="CF201" i="1"/>
  <c r="BR201" i="1"/>
  <c r="BQ201" i="1"/>
  <c r="BP201" i="1"/>
  <c r="BO201" i="1"/>
  <c r="BN201" i="1"/>
  <c r="BM201" i="1"/>
  <c r="BL201" i="1"/>
  <c r="BK201" i="1"/>
  <c r="BJ201" i="1"/>
  <c r="BI201" i="1"/>
  <c r="BH201" i="1"/>
  <c r="BG201" i="1"/>
  <c r="BF201" i="1"/>
  <c r="BE201" i="1"/>
  <c r="BB201" i="1"/>
  <c r="BA201" i="1"/>
  <c r="AX201" i="1"/>
  <c r="AW201" i="1"/>
  <c r="AT201" i="1"/>
  <c r="AS201" i="1"/>
  <c r="AR201" i="1"/>
  <c r="AQ201" i="1"/>
  <c r="AP201" i="1"/>
  <c r="AO201" i="1"/>
  <c r="AN201" i="1"/>
  <c r="AM201" i="1"/>
  <c r="AL201" i="1"/>
  <c r="AK201" i="1"/>
  <c r="AJ201" i="1"/>
  <c r="AI201" i="1"/>
  <c r="AH201" i="1"/>
  <c r="AG201" i="1"/>
  <c r="AF201" i="1"/>
  <c r="AE201" i="1"/>
  <c r="AD201" i="1"/>
  <c r="R201" i="1"/>
  <c r="Q201" i="1"/>
  <c r="O201" i="1"/>
  <c r="P201" i="1" s="1"/>
  <c r="DE200" i="1"/>
  <c r="DD200" i="1"/>
  <c r="DC200" i="1"/>
  <c r="DB200" i="1"/>
  <c r="DA200" i="1"/>
  <c r="CZ200" i="1"/>
  <c r="CY200" i="1"/>
  <c r="CX200" i="1"/>
  <c r="CW200" i="1"/>
  <c r="CV200" i="1"/>
  <c r="CU200" i="1"/>
  <c r="CT200" i="1"/>
  <c r="CS200" i="1"/>
  <c r="CR200" i="1"/>
  <c r="CQ200" i="1"/>
  <c r="CP200" i="1"/>
  <c r="CO200" i="1"/>
  <c r="CN200" i="1"/>
  <c r="CM200" i="1"/>
  <c r="CL200" i="1"/>
  <c r="CK200" i="1"/>
  <c r="CJ200" i="1"/>
  <c r="CI200" i="1"/>
  <c r="CH200" i="1"/>
  <c r="CG200" i="1"/>
  <c r="CF200" i="1"/>
  <c r="BR200" i="1"/>
  <c r="BQ200" i="1"/>
  <c r="BP200" i="1"/>
  <c r="BO200" i="1"/>
  <c r="BN200" i="1"/>
  <c r="BM200" i="1"/>
  <c r="BL200" i="1"/>
  <c r="BK200" i="1"/>
  <c r="BI200" i="1"/>
  <c r="BH200" i="1"/>
  <c r="BG200" i="1"/>
  <c r="BF200" i="1"/>
  <c r="BE200" i="1"/>
  <c r="BB200" i="1"/>
  <c r="BA200" i="1"/>
  <c r="AX200" i="1"/>
  <c r="AW200" i="1"/>
  <c r="AT200" i="1"/>
  <c r="AS200" i="1"/>
  <c r="AR200" i="1"/>
  <c r="AQ200" i="1"/>
  <c r="AP200" i="1"/>
  <c r="AO200" i="1"/>
  <c r="AN200" i="1"/>
  <c r="AM200" i="1"/>
  <c r="AL200" i="1"/>
  <c r="AK200" i="1"/>
  <c r="AI200" i="1"/>
  <c r="AH200" i="1"/>
  <c r="AG200" i="1"/>
  <c r="AF200" i="1"/>
  <c r="AE200" i="1"/>
  <c r="AD200" i="1"/>
  <c r="O200" i="1"/>
  <c r="AJ200" i="1" s="1"/>
  <c r="J200" i="1"/>
  <c r="DE199" i="1"/>
  <c r="DD199" i="1"/>
  <c r="DC199" i="1"/>
  <c r="DB199" i="1"/>
  <c r="DA199" i="1"/>
  <c r="CZ199" i="1"/>
  <c r="CY199" i="1"/>
  <c r="CX199" i="1"/>
  <c r="CW199" i="1"/>
  <c r="CV199" i="1"/>
  <c r="CU199" i="1"/>
  <c r="CT199" i="1"/>
  <c r="CS199" i="1"/>
  <c r="CR199" i="1"/>
  <c r="CQ199" i="1"/>
  <c r="CP199" i="1"/>
  <c r="CO199" i="1"/>
  <c r="CN199" i="1"/>
  <c r="CM199" i="1"/>
  <c r="CL199" i="1"/>
  <c r="CK199" i="1"/>
  <c r="CJ199" i="1"/>
  <c r="CI199" i="1"/>
  <c r="CH199" i="1"/>
  <c r="CG199" i="1"/>
  <c r="CF199" i="1"/>
  <c r="CC199" i="1"/>
  <c r="CB199" i="1"/>
  <c r="BY199" i="1"/>
  <c r="BX199" i="1"/>
  <c r="BU199" i="1"/>
  <c r="BT199" i="1"/>
  <c r="BR199" i="1"/>
  <c r="BQ199" i="1"/>
  <c r="BP199" i="1"/>
  <c r="BO199" i="1"/>
  <c r="BN199" i="1"/>
  <c r="BM199" i="1"/>
  <c r="BL199" i="1"/>
  <c r="BK199" i="1"/>
  <c r="BJ199" i="1"/>
  <c r="BI199" i="1"/>
  <c r="BH199" i="1"/>
  <c r="BG199" i="1"/>
  <c r="BF199" i="1"/>
  <c r="BE199" i="1"/>
  <c r="BD199" i="1"/>
  <c r="BA199" i="1"/>
  <c r="AZ199" i="1"/>
  <c r="AW199" i="1"/>
  <c r="AV199" i="1"/>
  <c r="AS199" i="1"/>
  <c r="AR199" i="1"/>
  <c r="AQ199" i="1"/>
  <c r="AP199" i="1"/>
  <c r="AO199" i="1"/>
  <c r="AN199" i="1"/>
  <c r="AL199" i="1"/>
  <c r="AK199" i="1"/>
  <c r="AJ199" i="1"/>
  <c r="AI199" i="1"/>
  <c r="AH199" i="1"/>
  <c r="AG199" i="1"/>
  <c r="AF199" i="1"/>
  <c r="AE199" i="1"/>
  <c r="AD199" i="1"/>
  <c r="P199" i="1"/>
  <c r="AM199" i="1" s="1"/>
  <c r="O199" i="1"/>
  <c r="F199" i="1"/>
  <c r="B199" i="1"/>
  <c r="BD201" i="1" s="1"/>
  <c r="DE198" i="1"/>
  <c r="DD198" i="1"/>
  <c r="DC198" i="1"/>
  <c r="DB198" i="1"/>
  <c r="DA198" i="1"/>
  <c r="CZ198" i="1"/>
  <c r="CY198" i="1"/>
  <c r="CX198" i="1"/>
  <c r="CW198" i="1"/>
  <c r="CV198" i="1"/>
  <c r="CU198" i="1"/>
  <c r="CT198" i="1"/>
  <c r="CS198" i="1"/>
  <c r="CR198" i="1"/>
  <c r="CQ198" i="1"/>
  <c r="CP198" i="1"/>
  <c r="CO198" i="1"/>
  <c r="CN198" i="1"/>
  <c r="CM198" i="1"/>
  <c r="CL198" i="1"/>
  <c r="CK198" i="1"/>
  <c r="CJ198" i="1"/>
  <c r="CI198" i="1"/>
  <c r="CH198" i="1"/>
  <c r="CG198" i="1"/>
  <c r="CF198" i="1"/>
  <c r="BR198" i="1"/>
  <c r="BQ198" i="1"/>
  <c r="BP198" i="1"/>
  <c r="BO198" i="1"/>
  <c r="BN198" i="1"/>
  <c r="BM198" i="1"/>
  <c r="BL198" i="1"/>
  <c r="BK198" i="1"/>
  <c r="BJ198" i="1"/>
  <c r="BI198" i="1"/>
  <c r="BH198" i="1"/>
  <c r="BG198" i="1"/>
  <c r="BF198" i="1"/>
  <c r="BE198" i="1"/>
  <c r="BD198" i="1"/>
  <c r="BC198" i="1"/>
  <c r="BA198" i="1"/>
  <c r="AZ198" i="1"/>
  <c r="AY198" i="1"/>
  <c r="AW198" i="1"/>
  <c r="AV198" i="1"/>
  <c r="AU198" i="1"/>
  <c r="AS198" i="1"/>
  <c r="AR198" i="1"/>
  <c r="AQ198" i="1"/>
  <c r="AP198" i="1"/>
  <c r="AO198" i="1"/>
  <c r="AN198" i="1"/>
  <c r="AM198" i="1"/>
  <c r="AL198" i="1"/>
  <c r="AK198" i="1"/>
  <c r="AJ198" i="1"/>
  <c r="AI198" i="1"/>
  <c r="AH198" i="1"/>
  <c r="AG198" i="1"/>
  <c r="AF198" i="1"/>
  <c r="AE198" i="1"/>
  <c r="R198" i="1"/>
  <c r="Q198" i="1"/>
  <c r="DE197" i="1"/>
  <c r="DD197" i="1"/>
  <c r="DC197" i="1"/>
  <c r="DB197" i="1"/>
  <c r="DA197" i="1"/>
  <c r="CZ197" i="1"/>
  <c r="CY197" i="1"/>
  <c r="CX197" i="1"/>
  <c r="CW197" i="1"/>
  <c r="CV197" i="1"/>
  <c r="CU197" i="1"/>
  <c r="CT197" i="1"/>
  <c r="CS197" i="1"/>
  <c r="CR197" i="1"/>
  <c r="CQ197" i="1"/>
  <c r="CP197" i="1"/>
  <c r="CO197" i="1"/>
  <c r="CN197" i="1"/>
  <c r="CM197" i="1"/>
  <c r="CL197" i="1"/>
  <c r="CK197" i="1"/>
  <c r="CJ197" i="1"/>
  <c r="CI197" i="1"/>
  <c r="CH197" i="1"/>
  <c r="CG197" i="1"/>
  <c r="CF197" i="1"/>
  <c r="BR197" i="1"/>
  <c r="BQ197" i="1"/>
  <c r="BP197" i="1"/>
  <c r="BO197" i="1"/>
  <c r="BN197" i="1"/>
  <c r="BM197" i="1"/>
  <c r="BL197" i="1"/>
  <c r="BK197" i="1"/>
  <c r="BI197" i="1"/>
  <c r="BH197" i="1"/>
  <c r="BG197" i="1"/>
  <c r="BF197" i="1"/>
  <c r="BD197" i="1"/>
  <c r="BC197" i="1"/>
  <c r="BB197" i="1"/>
  <c r="AZ197" i="1"/>
  <c r="AY197" i="1"/>
  <c r="AX197" i="1"/>
  <c r="AV197" i="1"/>
  <c r="AU197" i="1"/>
  <c r="AT197" i="1"/>
  <c r="AR197" i="1"/>
  <c r="AQ197" i="1"/>
  <c r="AP197" i="1"/>
  <c r="AO197" i="1"/>
  <c r="AN197" i="1"/>
  <c r="AM197" i="1"/>
  <c r="AL197" i="1"/>
  <c r="AK197" i="1"/>
  <c r="AI197" i="1"/>
  <c r="AH197" i="1"/>
  <c r="AG197" i="1"/>
  <c r="AF197" i="1"/>
  <c r="AE197" i="1"/>
  <c r="O197" i="1"/>
  <c r="J197" i="1"/>
  <c r="DE196" i="1"/>
  <c r="DD196" i="1"/>
  <c r="DC196" i="1"/>
  <c r="DB196" i="1"/>
  <c r="DA196" i="1"/>
  <c r="CZ196" i="1"/>
  <c r="CY196" i="1"/>
  <c r="CX196" i="1"/>
  <c r="CW196" i="1"/>
  <c r="CV196" i="1"/>
  <c r="CU196" i="1"/>
  <c r="CT196" i="1"/>
  <c r="CS196" i="1"/>
  <c r="CR196" i="1"/>
  <c r="CQ196" i="1"/>
  <c r="CP196" i="1"/>
  <c r="CO196" i="1"/>
  <c r="CN196" i="1"/>
  <c r="CM196" i="1"/>
  <c r="CL196" i="1"/>
  <c r="CK196" i="1"/>
  <c r="CJ196" i="1"/>
  <c r="CI196" i="1"/>
  <c r="CH196" i="1"/>
  <c r="CG196" i="1"/>
  <c r="CF196" i="1"/>
  <c r="CD196" i="1"/>
  <c r="CC196" i="1"/>
  <c r="CB196" i="1"/>
  <c r="BZ196" i="1"/>
  <c r="BY196" i="1"/>
  <c r="BX196" i="1"/>
  <c r="BV196" i="1"/>
  <c r="BU196" i="1"/>
  <c r="BT196" i="1"/>
  <c r="BR196" i="1"/>
  <c r="BQ196" i="1"/>
  <c r="BP196" i="1"/>
  <c r="BO196" i="1"/>
  <c r="BN196" i="1"/>
  <c r="BM196" i="1"/>
  <c r="BL196" i="1"/>
  <c r="BK196" i="1"/>
  <c r="BJ196" i="1"/>
  <c r="BH196" i="1"/>
  <c r="BG196" i="1"/>
  <c r="BF196" i="1"/>
  <c r="BE196" i="1"/>
  <c r="BD196" i="1"/>
  <c r="BB196" i="1"/>
  <c r="BA196" i="1"/>
  <c r="AZ196" i="1"/>
  <c r="AX196" i="1"/>
  <c r="AW196" i="1"/>
  <c r="AV196" i="1"/>
  <c r="AT196" i="1"/>
  <c r="AS196" i="1"/>
  <c r="AR196" i="1"/>
  <c r="AQ196" i="1"/>
  <c r="AP196" i="1"/>
  <c r="AO196" i="1"/>
  <c r="AN196" i="1"/>
  <c r="AM196" i="1"/>
  <c r="AL196" i="1"/>
  <c r="AK196" i="1"/>
  <c r="AJ196" i="1"/>
  <c r="AH196" i="1"/>
  <c r="AG196" i="1"/>
  <c r="AF196" i="1"/>
  <c r="AE196" i="1"/>
  <c r="AD196" i="1"/>
  <c r="R196" i="1"/>
  <c r="R214" i="1" s="1"/>
  <c r="R235" i="1" s="1"/>
  <c r="F196" i="1"/>
  <c r="B196" i="1"/>
  <c r="BB198" i="1" s="1"/>
  <c r="DE195" i="1"/>
  <c r="DD195" i="1"/>
  <c r="DC195" i="1"/>
  <c r="DB195" i="1"/>
  <c r="DA195" i="1"/>
  <c r="CZ195" i="1"/>
  <c r="CY195" i="1"/>
  <c r="CX195" i="1"/>
  <c r="CW195" i="1"/>
  <c r="CV195" i="1"/>
  <c r="CU195" i="1"/>
  <c r="CT195" i="1"/>
  <c r="CS195" i="1"/>
  <c r="CR195" i="1"/>
  <c r="CQ195" i="1"/>
  <c r="CP195" i="1"/>
  <c r="CO195" i="1"/>
  <c r="CN195" i="1"/>
  <c r="CM195" i="1"/>
  <c r="CL195" i="1"/>
  <c r="CK195" i="1"/>
  <c r="CJ195" i="1"/>
  <c r="CI195" i="1"/>
  <c r="CH195" i="1"/>
  <c r="CG195" i="1"/>
  <c r="CF195" i="1"/>
  <c r="BR195" i="1"/>
  <c r="BQ195" i="1"/>
  <c r="BP195" i="1"/>
  <c r="BO195" i="1"/>
  <c r="BN195" i="1"/>
  <c r="BM195" i="1"/>
  <c r="BL195" i="1"/>
  <c r="BK195" i="1"/>
  <c r="BJ195" i="1"/>
  <c r="BI195" i="1"/>
  <c r="BH195" i="1"/>
  <c r="BG195" i="1"/>
  <c r="BF195" i="1"/>
  <c r="BE195" i="1"/>
  <c r="BB195" i="1"/>
  <c r="BA195" i="1"/>
  <c r="AX195" i="1"/>
  <c r="AW195" i="1"/>
  <c r="AT195" i="1"/>
  <c r="AS195" i="1"/>
  <c r="AR195" i="1"/>
  <c r="AQ195" i="1"/>
  <c r="AP195" i="1"/>
  <c r="AO195" i="1"/>
  <c r="AN195" i="1"/>
  <c r="AM195" i="1"/>
  <c r="AL195" i="1"/>
  <c r="AK195" i="1"/>
  <c r="AJ195" i="1"/>
  <c r="AI195" i="1"/>
  <c r="AH195" i="1"/>
  <c r="AG195" i="1"/>
  <c r="AF195" i="1"/>
  <c r="AE195" i="1"/>
  <c r="AD195" i="1"/>
  <c r="R195" i="1"/>
  <c r="Q195" i="1"/>
  <c r="O195" i="1"/>
  <c r="P195" i="1" s="1"/>
  <c r="DE194" i="1"/>
  <c r="DD194" i="1"/>
  <c r="DC194" i="1"/>
  <c r="DB194" i="1"/>
  <c r="DA194" i="1"/>
  <c r="CZ194" i="1"/>
  <c r="CY194" i="1"/>
  <c r="CX194" i="1"/>
  <c r="CW194" i="1"/>
  <c r="CV194" i="1"/>
  <c r="CU194" i="1"/>
  <c r="CT194" i="1"/>
  <c r="CS194" i="1"/>
  <c r="CR194" i="1"/>
  <c r="CQ194" i="1"/>
  <c r="CP194" i="1"/>
  <c r="CO194" i="1"/>
  <c r="CN194" i="1"/>
  <c r="CM194" i="1"/>
  <c r="CL194" i="1"/>
  <c r="CK194" i="1"/>
  <c r="CJ194" i="1"/>
  <c r="CI194" i="1"/>
  <c r="CH194" i="1"/>
  <c r="CG194" i="1"/>
  <c r="CF194" i="1"/>
  <c r="BR194" i="1"/>
  <c r="BQ194" i="1"/>
  <c r="BP194" i="1"/>
  <c r="BO194" i="1"/>
  <c r="BN194" i="1"/>
  <c r="BM194" i="1"/>
  <c r="BL194" i="1"/>
  <c r="BK194" i="1"/>
  <c r="BJ194" i="1"/>
  <c r="BI194" i="1"/>
  <c r="BH194" i="1"/>
  <c r="BG194" i="1"/>
  <c r="BE194" i="1"/>
  <c r="BB194" i="1"/>
  <c r="BA194" i="1"/>
  <c r="AX194" i="1"/>
  <c r="AW194" i="1"/>
  <c r="AT194" i="1"/>
  <c r="AS194" i="1"/>
  <c r="AR194" i="1"/>
  <c r="AQ194" i="1"/>
  <c r="AP194" i="1"/>
  <c r="AO194" i="1"/>
  <c r="AN194" i="1"/>
  <c r="AM194" i="1"/>
  <c r="AL194" i="1"/>
  <c r="AK194" i="1"/>
  <c r="AJ194" i="1"/>
  <c r="AI194" i="1"/>
  <c r="AH194" i="1"/>
  <c r="AG194" i="1"/>
  <c r="AE194" i="1"/>
  <c r="AD194" i="1"/>
  <c r="O194" i="1"/>
  <c r="P194" i="1" s="1"/>
  <c r="AF194" i="1" s="1"/>
  <c r="J194" i="1"/>
  <c r="DE193" i="1"/>
  <c r="DD193" i="1"/>
  <c r="DC193" i="1"/>
  <c r="DB193" i="1"/>
  <c r="DA193" i="1"/>
  <c r="CZ193" i="1"/>
  <c r="CY193" i="1"/>
  <c r="CX193" i="1"/>
  <c r="CW193" i="1"/>
  <c r="CV193" i="1"/>
  <c r="CU193" i="1"/>
  <c r="CT193" i="1"/>
  <c r="CS193" i="1"/>
  <c r="CR193" i="1"/>
  <c r="CQ193" i="1"/>
  <c r="CP193" i="1"/>
  <c r="CO193" i="1"/>
  <c r="CN193" i="1"/>
  <c r="CM193" i="1"/>
  <c r="CL193" i="1"/>
  <c r="CK193" i="1"/>
  <c r="CJ193" i="1"/>
  <c r="CI193" i="1"/>
  <c r="CH193" i="1"/>
  <c r="CG193" i="1"/>
  <c r="CF193" i="1"/>
  <c r="CC193" i="1"/>
  <c r="CB193" i="1"/>
  <c r="BY193" i="1"/>
  <c r="BX193" i="1"/>
  <c r="BU193" i="1"/>
  <c r="BT193" i="1"/>
  <c r="BR193" i="1"/>
  <c r="BQ193" i="1"/>
  <c r="BP193" i="1"/>
  <c r="BO193" i="1"/>
  <c r="BN193" i="1"/>
  <c r="BM193" i="1"/>
  <c r="BL193" i="1"/>
  <c r="BK193" i="1"/>
  <c r="BJ193" i="1"/>
  <c r="BI193" i="1"/>
  <c r="BH193" i="1"/>
  <c r="BF193" i="1"/>
  <c r="BE193" i="1"/>
  <c r="BD193" i="1"/>
  <c r="BA193" i="1"/>
  <c r="AZ193" i="1"/>
  <c r="AW193" i="1"/>
  <c r="AV193" i="1"/>
  <c r="AS193" i="1"/>
  <c r="AR193" i="1"/>
  <c r="AQ193" i="1"/>
  <c r="AP193" i="1"/>
  <c r="AO193" i="1"/>
  <c r="AN193" i="1"/>
  <c r="AM193" i="1"/>
  <c r="AL193" i="1"/>
  <c r="AK193" i="1"/>
  <c r="AJ193" i="1"/>
  <c r="AI193" i="1"/>
  <c r="AH193" i="1"/>
  <c r="AG193" i="1"/>
  <c r="AF193" i="1"/>
  <c r="AE193" i="1"/>
  <c r="AD193" i="1"/>
  <c r="P193" i="1"/>
  <c r="O193" i="1"/>
  <c r="BG193" i="1" s="1"/>
  <c r="F193" i="1"/>
  <c r="B193" i="1"/>
  <c r="BD195" i="1" s="1"/>
  <c r="DE192" i="1"/>
  <c r="DD192" i="1"/>
  <c r="DC192" i="1"/>
  <c r="DB192" i="1"/>
  <c r="DA192" i="1"/>
  <c r="CZ192" i="1"/>
  <c r="CY192" i="1"/>
  <c r="CX192" i="1"/>
  <c r="CW192" i="1"/>
  <c r="CV192" i="1"/>
  <c r="CU192" i="1"/>
  <c r="CT192" i="1"/>
  <c r="CS192" i="1"/>
  <c r="CR192" i="1"/>
  <c r="CQ192" i="1"/>
  <c r="CP192" i="1"/>
  <c r="CO192" i="1"/>
  <c r="CN192" i="1"/>
  <c r="CM192" i="1"/>
  <c r="CL192" i="1"/>
  <c r="CK192" i="1"/>
  <c r="CJ192" i="1"/>
  <c r="CI192" i="1"/>
  <c r="CH192" i="1"/>
  <c r="CG192" i="1"/>
  <c r="CF192" i="1"/>
  <c r="BR192" i="1"/>
  <c r="BQ192" i="1"/>
  <c r="BP192" i="1"/>
  <c r="BO192" i="1"/>
  <c r="BN192" i="1"/>
  <c r="BM192" i="1"/>
  <c r="BL192" i="1"/>
  <c r="BK192" i="1"/>
  <c r="BJ192" i="1"/>
  <c r="BI192" i="1"/>
  <c r="BH192" i="1"/>
  <c r="BG192" i="1"/>
  <c r="BF192" i="1"/>
  <c r="BE192" i="1"/>
  <c r="BD192" i="1"/>
  <c r="BC192" i="1"/>
  <c r="BA192" i="1"/>
  <c r="AZ192" i="1"/>
  <c r="AY192" i="1"/>
  <c r="AW192" i="1"/>
  <c r="AV192" i="1"/>
  <c r="AU192" i="1"/>
  <c r="AS192" i="1"/>
  <c r="AR192" i="1"/>
  <c r="AQ192" i="1"/>
  <c r="AP192" i="1"/>
  <c r="AO192" i="1"/>
  <c r="AN192" i="1"/>
  <c r="AM192" i="1"/>
  <c r="AL192" i="1"/>
  <c r="AK192" i="1"/>
  <c r="AJ192" i="1"/>
  <c r="AI192" i="1"/>
  <c r="AH192" i="1"/>
  <c r="AG192" i="1"/>
  <c r="AF192" i="1"/>
  <c r="AE192" i="1"/>
  <c r="R192" i="1"/>
  <c r="Q192" i="1"/>
  <c r="DE191" i="1"/>
  <c r="DD191" i="1"/>
  <c r="DC191" i="1"/>
  <c r="DB191" i="1"/>
  <c r="DA191" i="1"/>
  <c r="CZ191" i="1"/>
  <c r="CY191" i="1"/>
  <c r="CX191" i="1"/>
  <c r="CW191" i="1"/>
  <c r="CV191" i="1"/>
  <c r="CU191" i="1"/>
  <c r="CT191" i="1"/>
  <c r="CS191" i="1"/>
  <c r="CR191" i="1"/>
  <c r="CQ191" i="1"/>
  <c r="CP191" i="1"/>
  <c r="CO191" i="1"/>
  <c r="CN191" i="1"/>
  <c r="CM191" i="1"/>
  <c r="CL191" i="1"/>
  <c r="CK191" i="1"/>
  <c r="CJ191" i="1"/>
  <c r="CI191" i="1"/>
  <c r="CH191" i="1"/>
  <c r="CG191" i="1"/>
  <c r="CF191" i="1"/>
  <c r="BR191" i="1"/>
  <c r="BQ191" i="1"/>
  <c r="BP191" i="1"/>
  <c r="BO191" i="1"/>
  <c r="BN191" i="1"/>
  <c r="BM191" i="1"/>
  <c r="BL191" i="1"/>
  <c r="BK191" i="1"/>
  <c r="BJ191" i="1"/>
  <c r="BH191" i="1"/>
  <c r="BG191" i="1"/>
  <c r="BF191" i="1"/>
  <c r="BD191" i="1"/>
  <c r="BC191" i="1"/>
  <c r="BB191" i="1"/>
  <c r="AZ191" i="1"/>
  <c r="AY191" i="1"/>
  <c r="AX191" i="1"/>
  <c r="AV191" i="1"/>
  <c r="AU191" i="1"/>
  <c r="AT191" i="1"/>
  <c r="AR191" i="1"/>
  <c r="AQ191" i="1"/>
  <c r="AP191" i="1"/>
  <c r="AO191" i="1"/>
  <c r="AN191" i="1"/>
  <c r="AM191" i="1"/>
  <c r="AL191" i="1"/>
  <c r="AK191" i="1"/>
  <c r="AJ191" i="1"/>
  <c r="AH191" i="1"/>
  <c r="AG191" i="1"/>
  <c r="AF191" i="1"/>
  <c r="AE191" i="1"/>
  <c r="O191" i="1" s="1"/>
  <c r="J191" i="1"/>
  <c r="DE190" i="1"/>
  <c r="DD190" i="1"/>
  <c r="DC190" i="1"/>
  <c r="DB190" i="1"/>
  <c r="DA190" i="1"/>
  <c r="CZ190" i="1"/>
  <c r="CY190" i="1"/>
  <c r="CX190" i="1"/>
  <c r="CW190" i="1"/>
  <c r="CV190" i="1"/>
  <c r="CU190" i="1"/>
  <c r="CT190" i="1"/>
  <c r="CS190" i="1"/>
  <c r="CR190" i="1"/>
  <c r="CQ190" i="1"/>
  <c r="CP190" i="1"/>
  <c r="CO190" i="1"/>
  <c r="CN190" i="1"/>
  <c r="CM190" i="1"/>
  <c r="CL190" i="1"/>
  <c r="CK190" i="1"/>
  <c r="CJ190" i="1"/>
  <c r="CI190" i="1"/>
  <c r="CH190" i="1"/>
  <c r="CG190" i="1"/>
  <c r="CF190" i="1"/>
  <c r="CD190" i="1"/>
  <c r="CC190" i="1"/>
  <c r="CB190" i="1"/>
  <c r="BZ190" i="1"/>
  <c r="BY190" i="1"/>
  <c r="BX190" i="1"/>
  <c r="BU190" i="1"/>
  <c r="BT190" i="1"/>
  <c r="BR190" i="1"/>
  <c r="BQ190" i="1"/>
  <c r="BP190" i="1"/>
  <c r="BO190" i="1"/>
  <c r="BN190" i="1"/>
  <c r="BM190" i="1"/>
  <c r="BL190" i="1"/>
  <c r="BK190" i="1"/>
  <c r="BJ190" i="1"/>
  <c r="BI190" i="1"/>
  <c r="BH190" i="1"/>
  <c r="BF190" i="1"/>
  <c r="BE190" i="1"/>
  <c r="BD190" i="1"/>
  <c r="BB190" i="1"/>
  <c r="BA190" i="1"/>
  <c r="AZ190" i="1"/>
  <c r="AX190" i="1"/>
  <c r="AW190" i="1"/>
  <c r="AV190" i="1"/>
  <c r="AT190" i="1"/>
  <c r="AS190" i="1"/>
  <c r="AR190" i="1"/>
  <c r="AQ190" i="1"/>
  <c r="AP190" i="1"/>
  <c r="AO190" i="1"/>
  <c r="AN190" i="1"/>
  <c r="AM190" i="1"/>
  <c r="AL190" i="1"/>
  <c r="AK190" i="1"/>
  <c r="AJ190" i="1"/>
  <c r="AI190" i="1"/>
  <c r="AH190" i="1"/>
  <c r="AF190" i="1"/>
  <c r="AE190" i="1"/>
  <c r="AD190" i="1"/>
  <c r="F190" i="1"/>
  <c r="B190" i="1"/>
  <c r="BB192" i="1" s="1"/>
  <c r="DE189" i="1"/>
  <c r="DD189" i="1"/>
  <c r="DC189" i="1"/>
  <c r="DB189" i="1"/>
  <c r="DA189" i="1"/>
  <c r="CZ189" i="1"/>
  <c r="CY189" i="1"/>
  <c r="CX189" i="1"/>
  <c r="CW189" i="1"/>
  <c r="CV189" i="1"/>
  <c r="CU189" i="1"/>
  <c r="CT189" i="1"/>
  <c r="CS189" i="1"/>
  <c r="CR189" i="1"/>
  <c r="CQ189" i="1"/>
  <c r="CP189" i="1"/>
  <c r="CO189" i="1"/>
  <c r="CN189" i="1"/>
  <c r="CM189" i="1"/>
  <c r="CL189" i="1"/>
  <c r="CK189" i="1"/>
  <c r="CJ189" i="1"/>
  <c r="CI189" i="1"/>
  <c r="CH189" i="1"/>
  <c r="CG189" i="1"/>
  <c r="CF189" i="1"/>
  <c r="BR189" i="1"/>
  <c r="BQ189" i="1"/>
  <c r="BP189" i="1"/>
  <c r="BO189" i="1"/>
  <c r="BN189" i="1"/>
  <c r="BM189" i="1"/>
  <c r="BL189" i="1"/>
  <c r="BK189" i="1"/>
  <c r="BJ189" i="1"/>
  <c r="BI189" i="1"/>
  <c r="BH189" i="1"/>
  <c r="BF189" i="1"/>
  <c r="AR189" i="1"/>
  <c r="AQ189" i="1"/>
  <c r="AP189" i="1"/>
  <c r="AO189" i="1"/>
  <c r="AN189" i="1"/>
  <c r="AM189" i="1"/>
  <c r="AL189" i="1"/>
  <c r="AK189" i="1"/>
  <c r="AJ189" i="1"/>
  <c r="AI189" i="1"/>
  <c r="AH189" i="1"/>
  <c r="AF189" i="1"/>
  <c r="AE189" i="1"/>
  <c r="AD189" i="1"/>
  <c r="DE188" i="1"/>
  <c r="DD188" i="1"/>
  <c r="DC188" i="1"/>
  <c r="DB188" i="1"/>
  <c r="DA188" i="1"/>
  <c r="CZ188" i="1"/>
  <c r="CY188" i="1"/>
  <c r="CX188" i="1"/>
  <c r="CW188" i="1"/>
  <c r="CV188" i="1"/>
  <c r="CU188" i="1"/>
  <c r="CT188" i="1"/>
  <c r="CS188" i="1"/>
  <c r="CR188" i="1"/>
  <c r="CQ188" i="1"/>
  <c r="CP188" i="1"/>
  <c r="CO188" i="1"/>
  <c r="CN188" i="1"/>
  <c r="CM188" i="1"/>
  <c r="CL188" i="1"/>
  <c r="CK188" i="1"/>
  <c r="CJ188" i="1"/>
  <c r="CI188" i="1"/>
  <c r="CH188" i="1"/>
  <c r="CG188" i="1"/>
  <c r="CF188" i="1"/>
  <c r="BR188" i="1"/>
  <c r="BQ188" i="1"/>
  <c r="BP188" i="1"/>
  <c r="BO188" i="1"/>
  <c r="BN188" i="1"/>
  <c r="BM188" i="1"/>
  <c r="BL188" i="1"/>
  <c r="BK188" i="1"/>
  <c r="BJ188" i="1"/>
  <c r="BI188" i="1"/>
  <c r="BH188" i="1"/>
  <c r="BF188" i="1"/>
  <c r="AR188" i="1"/>
  <c r="AQ188" i="1"/>
  <c r="AP188" i="1"/>
  <c r="AO188" i="1"/>
  <c r="AN188" i="1"/>
  <c r="AM188" i="1"/>
  <c r="AL188" i="1"/>
  <c r="AK188" i="1"/>
  <c r="AJ188" i="1"/>
  <c r="AI188" i="1"/>
  <c r="AH188" i="1"/>
  <c r="AF188" i="1"/>
  <c r="AE188" i="1"/>
  <c r="AD188" i="1"/>
  <c r="DE187" i="1"/>
  <c r="DD187" i="1"/>
  <c r="DC187" i="1"/>
  <c r="DB187" i="1"/>
  <c r="DA187" i="1"/>
  <c r="CZ187" i="1"/>
  <c r="CY187" i="1"/>
  <c r="CX187" i="1"/>
  <c r="CW187" i="1"/>
  <c r="CV187" i="1"/>
  <c r="CU187" i="1"/>
  <c r="CT187" i="1"/>
  <c r="CS187" i="1"/>
  <c r="CR187" i="1"/>
  <c r="CQ187" i="1"/>
  <c r="CP187" i="1"/>
  <c r="CO187" i="1"/>
  <c r="CN187" i="1"/>
  <c r="CM187" i="1"/>
  <c r="CL187" i="1"/>
  <c r="CK187" i="1"/>
  <c r="CJ187" i="1"/>
  <c r="CI187" i="1"/>
  <c r="CH187" i="1"/>
  <c r="CG187" i="1"/>
  <c r="CF187" i="1"/>
  <c r="BR187" i="1"/>
  <c r="BQ187" i="1"/>
  <c r="BP187" i="1"/>
  <c r="BO187" i="1"/>
  <c r="BN187" i="1"/>
  <c r="BM187" i="1"/>
  <c r="BL187" i="1"/>
  <c r="BK187" i="1"/>
  <c r="BJ187" i="1"/>
  <c r="BI187" i="1"/>
  <c r="BH187" i="1"/>
  <c r="BG187" i="1"/>
  <c r="AR187" i="1"/>
  <c r="AQ187" i="1"/>
  <c r="AP187" i="1"/>
  <c r="AO187" i="1"/>
  <c r="AN187" i="1"/>
  <c r="AM187" i="1"/>
  <c r="AL187" i="1"/>
  <c r="AK187" i="1"/>
  <c r="AJ187" i="1"/>
  <c r="AI187" i="1"/>
  <c r="AH187" i="1"/>
  <c r="AG187" i="1"/>
  <c r="AE187" i="1"/>
  <c r="AD187" i="1"/>
  <c r="O187" i="1"/>
  <c r="F187" i="1"/>
  <c r="B187" i="1"/>
  <c r="AS189" i="1" s="1"/>
  <c r="DE186" i="1"/>
  <c r="DD186" i="1"/>
  <c r="DC186" i="1"/>
  <c r="DB186" i="1"/>
  <c r="DA186" i="1"/>
  <c r="CZ186" i="1"/>
  <c r="CY186" i="1"/>
  <c r="CX186" i="1"/>
  <c r="CW186" i="1"/>
  <c r="CV186" i="1"/>
  <c r="CU186" i="1"/>
  <c r="CT186" i="1"/>
  <c r="CS186" i="1"/>
  <c r="CR186" i="1"/>
  <c r="CQ186" i="1"/>
  <c r="CP186" i="1"/>
  <c r="CO186" i="1"/>
  <c r="CN186" i="1"/>
  <c r="CM186" i="1"/>
  <c r="CL186" i="1"/>
  <c r="CK186" i="1"/>
  <c r="CJ186" i="1"/>
  <c r="CI186" i="1"/>
  <c r="CH186" i="1"/>
  <c r="CG186" i="1"/>
  <c r="CF186" i="1"/>
  <c r="BR186" i="1"/>
  <c r="BQ186" i="1"/>
  <c r="BP186" i="1"/>
  <c r="BO186" i="1"/>
  <c r="BN186" i="1"/>
  <c r="BM186" i="1"/>
  <c r="BL186" i="1"/>
  <c r="BK186" i="1"/>
  <c r="BI186" i="1"/>
  <c r="BH186" i="1"/>
  <c r="BG186" i="1"/>
  <c r="BF186" i="1"/>
  <c r="BD186" i="1"/>
  <c r="BC186" i="1"/>
  <c r="BB186" i="1"/>
  <c r="AZ186" i="1"/>
  <c r="AY186" i="1"/>
  <c r="AX186" i="1"/>
  <c r="AV186" i="1"/>
  <c r="AU186" i="1"/>
  <c r="AT186" i="1"/>
  <c r="AR186" i="1"/>
  <c r="AQ186" i="1"/>
  <c r="AP186" i="1"/>
  <c r="AO186" i="1"/>
  <c r="AN186" i="1"/>
  <c r="AM186" i="1"/>
  <c r="AL186" i="1"/>
  <c r="AK186" i="1"/>
  <c r="AI186" i="1"/>
  <c r="AH186" i="1"/>
  <c r="AG186" i="1"/>
  <c r="AF186" i="1"/>
  <c r="AE186" i="1"/>
  <c r="O186" i="1"/>
  <c r="DE185" i="1"/>
  <c r="DD185" i="1"/>
  <c r="DC185" i="1"/>
  <c r="DB185" i="1"/>
  <c r="DA185" i="1"/>
  <c r="CZ185" i="1"/>
  <c r="CY185" i="1"/>
  <c r="CX185" i="1"/>
  <c r="CW185" i="1"/>
  <c r="CV185" i="1"/>
  <c r="CU185" i="1"/>
  <c r="CT185" i="1"/>
  <c r="CS185" i="1"/>
  <c r="CR185" i="1"/>
  <c r="CQ185" i="1"/>
  <c r="CP185" i="1"/>
  <c r="CO185" i="1"/>
  <c r="CN185" i="1"/>
  <c r="CM185" i="1"/>
  <c r="CL185" i="1"/>
  <c r="CK185" i="1"/>
  <c r="CJ185" i="1"/>
  <c r="CI185" i="1"/>
  <c r="CH185" i="1"/>
  <c r="CG185" i="1"/>
  <c r="CF185" i="1"/>
  <c r="BR185" i="1"/>
  <c r="BQ185" i="1"/>
  <c r="BP185" i="1"/>
  <c r="BO185" i="1"/>
  <c r="BN185" i="1"/>
  <c r="BM185" i="1"/>
  <c r="BL185" i="1"/>
  <c r="BK185" i="1"/>
  <c r="BI185" i="1"/>
  <c r="BH185" i="1"/>
  <c r="BG185" i="1"/>
  <c r="BF185" i="1"/>
  <c r="BE185" i="1"/>
  <c r="BC185" i="1"/>
  <c r="BB185" i="1"/>
  <c r="BA185" i="1"/>
  <c r="AY185" i="1"/>
  <c r="AX185" i="1"/>
  <c r="AW185" i="1"/>
  <c r="AU185" i="1"/>
  <c r="AT185" i="1"/>
  <c r="AS185" i="1"/>
  <c r="AR185" i="1"/>
  <c r="AQ185" i="1"/>
  <c r="AP185" i="1"/>
  <c r="AO185" i="1"/>
  <c r="AN185" i="1"/>
  <c r="AM185" i="1"/>
  <c r="AL185" i="1"/>
  <c r="AK185" i="1"/>
  <c r="AI185" i="1"/>
  <c r="AH185" i="1"/>
  <c r="AG185" i="1"/>
  <c r="AF185" i="1"/>
  <c r="AE185" i="1"/>
  <c r="O184" i="1" s="1"/>
  <c r="BM184" i="1" s="1"/>
  <c r="J185" i="1"/>
  <c r="DE184" i="1"/>
  <c r="DD184" i="1"/>
  <c r="DC184" i="1"/>
  <c r="DB184" i="1"/>
  <c r="DA184" i="1"/>
  <c r="CZ184" i="1"/>
  <c r="CY184" i="1"/>
  <c r="CX184" i="1"/>
  <c r="CW184" i="1"/>
  <c r="CV184" i="1"/>
  <c r="CU184" i="1"/>
  <c r="CT184" i="1"/>
  <c r="CS184" i="1"/>
  <c r="CR184" i="1"/>
  <c r="CQ184" i="1"/>
  <c r="CP184" i="1"/>
  <c r="CO184" i="1"/>
  <c r="CN184" i="1"/>
  <c r="CM184" i="1"/>
  <c r="CL184" i="1"/>
  <c r="CK184" i="1"/>
  <c r="CJ184" i="1"/>
  <c r="CI184" i="1"/>
  <c r="CH184" i="1"/>
  <c r="CG184" i="1"/>
  <c r="CF184" i="1"/>
  <c r="CE184" i="1"/>
  <c r="CC184" i="1"/>
  <c r="CB184" i="1"/>
  <c r="CA184" i="1"/>
  <c r="BY184" i="1"/>
  <c r="BX184" i="1"/>
  <c r="BW184" i="1"/>
  <c r="BU184" i="1"/>
  <c r="BT184" i="1"/>
  <c r="BS184" i="1"/>
  <c r="BR184" i="1"/>
  <c r="BQ184" i="1"/>
  <c r="BP184" i="1"/>
  <c r="BO184" i="1"/>
  <c r="BN184" i="1"/>
  <c r="BL184" i="1"/>
  <c r="BK184" i="1"/>
  <c r="BJ184" i="1"/>
  <c r="BI184" i="1"/>
  <c r="BH184" i="1"/>
  <c r="BG184" i="1"/>
  <c r="BF184" i="1"/>
  <c r="BE184" i="1"/>
  <c r="BD184" i="1"/>
  <c r="BC184" i="1"/>
  <c r="BA184" i="1"/>
  <c r="AZ184" i="1"/>
  <c r="AY184" i="1"/>
  <c r="AW184" i="1"/>
  <c r="AV184" i="1"/>
  <c r="AU184" i="1"/>
  <c r="AS184" i="1"/>
  <c r="AR184" i="1"/>
  <c r="AQ184" i="1"/>
  <c r="AP184" i="1"/>
  <c r="AO184" i="1"/>
  <c r="AN184" i="1"/>
  <c r="AL184" i="1"/>
  <c r="AK184" i="1"/>
  <c r="AJ184" i="1"/>
  <c r="AI184" i="1"/>
  <c r="AH184" i="1"/>
  <c r="AG184" i="1"/>
  <c r="AF184" i="1"/>
  <c r="AE184" i="1"/>
  <c r="AD184" i="1"/>
  <c r="P184" i="1"/>
  <c r="G184" i="1"/>
  <c r="F184" i="1"/>
  <c r="B184" i="1"/>
  <c r="BE186" i="1" s="1"/>
  <c r="DE183" i="1"/>
  <c r="DD183" i="1"/>
  <c r="DC183" i="1"/>
  <c r="DB183" i="1"/>
  <c r="DA183" i="1"/>
  <c r="CZ183" i="1"/>
  <c r="CY183" i="1"/>
  <c r="CX183" i="1"/>
  <c r="CW183" i="1"/>
  <c r="CV183" i="1"/>
  <c r="CU183" i="1"/>
  <c r="CT183" i="1"/>
  <c r="CS183" i="1"/>
  <c r="CR183" i="1"/>
  <c r="CQ183" i="1"/>
  <c r="CP183" i="1"/>
  <c r="CO183" i="1"/>
  <c r="CN183" i="1"/>
  <c r="CM183" i="1"/>
  <c r="CL183" i="1"/>
  <c r="CK183" i="1"/>
  <c r="CJ183" i="1"/>
  <c r="CI183" i="1"/>
  <c r="CH183" i="1"/>
  <c r="CG183" i="1"/>
  <c r="CF183" i="1"/>
  <c r="BR183" i="1"/>
  <c r="BQ183" i="1"/>
  <c r="BP183" i="1"/>
  <c r="BO183" i="1"/>
  <c r="BN183" i="1"/>
  <c r="BM183" i="1"/>
  <c r="BL183" i="1"/>
  <c r="BK183" i="1"/>
  <c r="BI183" i="1"/>
  <c r="BH183" i="1"/>
  <c r="BG183" i="1"/>
  <c r="BF183" i="1"/>
  <c r="BE183" i="1"/>
  <c r="BB183" i="1"/>
  <c r="BA183" i="1"/>
  <c r="AX183" i="1"/>
  <c r="AW183" i="1"/>
  <c r="AT183" i="1"/>
  <c r="AS183" i="1"/>
  <c r="AR183" i="1"/>
  <c r="AQ183" i="1"/>
  <c r="AP183" i="1"/>
  <c r="AO183" i="1"/>
  <c r="AN183" i="1"/>
  <c r="AM183" i="1"/>
  <c r="AL183" i="1"/>
  <c r="AK183" i="1"/>
  <c r="AI183" i="1"/>
  <c r="AH183" i="1"/>
  <c r="AG183" i="1"/>
  <c r="AF183" i="1"/>
  <c r="AE183" i="1"/>
  <c r="AD183" i="1"/>
  <c r="O183" i="1"/>
  <c r="AJ183" i="1" s="1"/>
  <c r="DJ182" i="1"/>
  <c r="DE182" i="1"/>
  <c r="DD182" i="1"/>
  <c r="DC182" i="1"/>
  <c r="DB182" i="1"/>
  <c r="DA182" i="1"/>
  <c r="CZ182" i="1"/>
  <c r="CY182" i="1"/>
  <c r="CX182" i="1"/>
  <c r="CW182" i="1"/>
  <c r="CV182" i="1"/>
  <c r="CU182" i="1"/>
  <c r="CT182" i="1"/>
  <c r="CS182" i="1"/>
  <c r="CR182" i="1"/>
  <c r="CQ182" i="1"/>
  <c r="CP182" i="1"/>
  <c r="CO182" i="1"/>
  <c r="CN182" i="1"/>
  <c r="CM182" i="1"/>
  <c r="CL182" i="1"/>
  <c r="CK182" i="1"/>
  <c r="CJ182" i="1"/>
  <c r="CI182" i="1"/>
  <c r="CH182" i="1"/>
  <c r="CG182" i="1"/>
  <c r="CF182" i="1"/>
  <c r="BR182" i="1"/>
  <c r="BQ182" i="1"/>
  <c r="BP182" i="1"/>
  <c r="BO182" i="1"/>
  <c r="BN182" i="1"/>
  <c r="BM182" i="1"/>
  <c r="BL182" i="1"/>
  <c r="BK182" i="1"/>
  <c r="BI182" i="1"/>
  <c r="BH182" i="1"/>
  <c r="BG182" i="1"/>
  <c r="BF182" i="1"/>
  <c r="BE182" i="1"/>
  <c r="BB182" i="1"/>
  <c r="BA182" i="1"/>
  <c r="AX182" i="1"/>
  <c r="AW182" i="1"/>
  <c r="AT182" i="1"/>
  <c r="AS182" i="1"/>
  <c r="AR182" i="1"/>
  <c r="AQ182" i="1"/>
  <c r="AP182" i="1"/>
  <c r="AO182" i="1"/>
  <c r="AN182" i="1"/>
  <c r="AM182" i="1"/>
  <c r="AL182" i="1"/>
  <c r="AK182" i="1"/>
  <c r="AI182" i="1"/>
  <c r="AH182" i="1"/>
  <c r="AG182" i="1"/>
  <c r="AF182" i="1"/>
  <c r="AE182" i="1"/>
  <c r="AD182" i="1"/>
  <c r="O182" i="1"/>
  <c r="AJ182" i="1" s="1"/>
  <c r="J182" i="1"/>
  <c r="DE181" i="1"/>
  <c r="DD181" i="1"/>
  <c r="DC181" i="1"/>
  <c r="DB181" i="1"/>
  <c r="DA181" i="1"/>
  <c r="CZ181" i="1"/>
  <c r="CY181" i="1"/>
  <c r="CX181" i="1"/>
  <c r="CW181" i="1"/>
  <c r="CV181" i="1"/>
  <c r="CU181" i="1"/>
  <c r="CT181" i="1"/>
  <c r="CS181" i="1"/>
  <c r="CR181" i="1"/>
  <c r="CQ181" i="1"/>
  <c r="CP181" i="1"/>
  <c r="CO181" i="1"/>
  <c r="CN181" i="1"/>
  <c r="CM181" i="1"/>
  <c r="CL181" i="1"/>
  <c r="CK181" i="1"/>
  <c r="CJ181" i="1"/>
  <c r="CI181" i="1"/>
  <c r="CH181" i="1"/>
  <c r="CG181" i="1"/>
  <c r="CF181" i="1"/>
  <c r="CC181" i="1"/>
  <c r="CB181" i="1"/>
  <c r="BY181" i="1"/>
  <c r="BX181" i="1"/>
  <c r="BU181" i="1"/>
  <c r="BT181" i="1"/>
  <c r="BR181" i="1"/>
  <c r="BQ181" i="1"/>
  <c r="BP181" i="1"/>
  <c r="BO181" i="1"/>
  <c r="BN181" i="1"/>
  <c r="BM181" i="1"/>
  <c r="BL181" i="1"/>
  <c r="BK181" i="1"/>
  <c r="BJ181" i="1"/>
  <c r="BI181" i="1"/>
  <c r="BH181" i="1"/>
  <c r="BG181" i="1"/>
  <c r="BF181" i="1"/>
  <c r="BE181" i="1"/>
  <c r="BD181" i="1"/>
  <c r="BA181" i="1"/>
  <c r="AZ181" i="1"/>
  <c r="AW181" i="1"/>
  <c r="AV181" i="1"/>
  <c r="AS181" i="1"/>
  <c r="AR181" i="1"/>
  <c r="AP181" i="1"/>
  <c r="AO181" i="1"/>
  <c r="AN181" i="1"/>
  <c r="AM181" i="1"/>
  <c r="AL181" i="1"/>
  <c r="AK181" i="1"/>
  <c r="AJ181" i="1"/>
  <c r="AI181" i="1"/>
  <c r="AH181" i="1"/>
  <c r="AG181" i="1"/>
  <c r="AF181" i="1"/>
  <c r="AE181" i="1"/>
  <c r="AD181" i="1"/>
  <c r="P181" i="1"/>
  <c r="AQ181" i="1" s="1"/>
  <c r="O181" i="1"/>
  <c r="F181" i="1"/>
  <c r="D181" i="1"/>
  <c r="B181" i="1"/>
  <c r="BD183" i="1" s="1"/>
  <c r="DJ180" i="1"/>
  <c r="DE180" i="1"/>
  <c r="DD180" i="1"/>
  <c r="DC180" i="1"/>
  <c r="DB180" i="1"/>
  <c r="DA180" i="1"/>
  <c r="CZ180" i="1"/>
  <c r="CY180" i="1"/>
  <c r="CX180" i="1"/>
  <c r="CW180" i="1"/>
  <c r="CV180" i="1"/>
  <c r="CU180" i="1"/>
  <c r="CT180" i="1"/>
  <c r="CS180" i="1"/>
  <c r="CR180" i="1"/>
  <c r="CQ180" i="1"/>
  <c r="CP180" i="1"/>
  <c r="CO180" i="1"/>
  <c r="CN180" i="1"/>
  <c r="CM180" i="1"/>
  <c r="CL180" i="1"/>
  <c r="CK180" i="1"/>
  <c r="CJ180" i="1"/>
  <c r="CI180" i="1"/>
  <c r="CH180" i="1"/>
  <c r="CG180" i="1"/>
  <c r="CF180" i="1"/>
  <c r="BR180" i="1"/>
  <c r="BQ180" i="1"/>
  <c r="BP180" i="1"/>
  <c r="BO180" i="1"/>
  <c r="BN180" i="1"/>
  <c r="BM180" i="1"/>
  <c r="BL180" i="1"/>
  <c r="BK180" i="1"/>
  <c r="BJ180" i="1"/>
  <c r="BI180" i="1"/>
  <c r="BH180" i="1"/>
  <c r="BG180" i="1"/>
  <c r="BF180" i="1"/>
  <c r="BE180" i="1"/>
  <c r="BD180" i="1"/>
  <c r="BC180" i="1"/>
  <c r="BA180" i="1"/>
  <c r="AZ180" i="1"/>
  <c r="AY180" i="1"/>
  <c r="AW180" i="1"/>
  <c r="AV180" i="1"/>
  <c r="AU180" i="1"/>
  <c r="AS180" i="1"/>
  <c r="AR180" i="1"/>
  <c r="AQ180" i="1"/>
  <c r="AP180" i="1"/>
  <c r="AO180" i="1"/>
  <c r="AN180" i="1"/>
  <c r="AM180" i="1"/>
  <c r="AL180" i="1"/>
  <c r="AK180" i="1"/>
  <c r="AJ180" i="1"/>
  <c r="AI180" i="1"/>
  <c r="AH180" i="1"/>
  <c r="AG180" i="1"/>
  <c r="AF180" i="1"/>
  <c r="AE180" i="1"/>
  <c r="R180" i="1"/>
  <c r="Q180" i="1"/>
  <c r="DE179" i="1"/>
  <c r="DD179" i="1"/>
  <c r="DC179" i="1"/>
  <c r="DB179" i="1"/>
  <c r="DA179" i="1"/>
  <c r="CZ179" i="1"/>
  <c r="CY179" i="1"/>
  <c r="CX179" i="1"/>
  <c r="CW179" i="1"/>
  <c r="CV179" i="1"/>
  <c r="CU179" i="1"/>
  <c r="CT179" i="1"/>
  <c r="CS179" i="1"/>
  <c r="CR179" i="1"/>
  <c r="CQ179" i="1"/>
  <c r="CP179" i="1"/>
  <c r="CO179" i="1"/>
  <c r="CN179" i="1"/>
  <c r="CM179" i="1"/>
  <c r="CL179" i="1"/>
  <c r="CK179" i="1"/>
  <c r="CJ179" i="1"/>
  <c r="CI179" i="1"/>
  <c r="CH179" i="1"/>
  <c r="CG179" i="1"/>
  <c r="CF179" i="1"/>
  <c r="BR179" i="1"/>
  <c r="BQ179" i="1"/>
  <c r="BP179" i="1"/>
  <c r="BO179" i="1"/>
  <c r="BN179" i="1"/>
  <c r="BL179" i="1"/>
  <c r="BK179" i="1"/>
  <c r="BJ179" i="1"/>
  <c r="BI179" i="1"/>
  <c r="BH179" i="1"/>
  <c r="BG179" i="1"/>
  <c r="BF179" i="1"/>
  <c r="BD179" i="1"/>
  <c r="BC179" i="1"/>
  <c r="BB179" i="1"/>
  <c r="AZ179" i="1"/>
  <c r="AY179" i="1"/>
  <c r="AX179" i="1"/>
  <c r="AV179" i="1"/>
  <c r="AU179" i="1"/>
  <c r="AT179" i="1"/>
  <c r="AR179" i="1"/>
  <c r="AQ179" i="1"/>
  <c r="AP179" i="1"/>
  <c r="AO179" i="1"/>
  <c r="AN179" i="1"/>
  <c r="AL179" i="1"/>
  <c r="AK179" i="1"/>
  <c r="AJ179" i="1"/>
  <c r="AI179" i="1"/>
  <c r="AH179" i="1"/>
  <c r="AG179" i="1"/>
  <c r="AF179" i="1"/>
  <c r="AE179" i="1"/>
  <c r="O179" i="1" s="1"/>
  <c r="J179" i="1"/>
  <c r="DJ178" i="1"/>
  <c r="DE178" i="1"/>
  <c r="DD178" i="1"/>
  <c r="DC178" i="1"/>
  <c r="DB178" i="1"/>
  <c r="DA178" i="1"/>
  <c r="CZ178" i="1"/>
  <c r="CY178" i="1"/>
  <c r="CX178" i="1"/>
  <c r="CW178" i="1"/>
  <c r="CV178" i="1"/>
  <c r="CU178" i="1"/>
  <c r="CT178" i="1"/>
  <c r="CS178" i="1"/>
  <c r="CR178" i="1"/>
  <c r="CQ178" i="1"/>
  <c r="CP178" i="1"/>
  <c r="CO178" i="1"/>
  <c r="CN178" i="1"/>
  <c r="CM178" i="1"/>
  <c r="CL178" i="1"/>
  <c r="CK178" i="1"/>
  <c r="CJ178" i="1"/>
  <c r="CI178" i="1"/>
  <c r="CH178" i="1"/>
  <c r="CG178" i="1"/>
  <c r="CF178" i="1"/>
  <c r="CD178" i="1"/>
  <c r="CC178" i="1"/>
  <c r="CB178" i="1"/>
  <c r="BZ178" i="1"/>
  <c r="BY178" i="1"/>
  <c r="BX178" i="1"/>
  <c r="BV178" i="1"/>
  <c r="BU178" i="1"/>
  <c r="BT178" i="1"/>
  <c r="BR178" i="1"/>
  <c r="BQ178" i="1"/>
  <c r="BP178" i="1"/>
  <c r="BO178" i="1"/>
  <c r="BN178" i="1"/>
  <c r="BM178" i="1"/>
  <c r="BL178" i="1"/>
  <c r="BK178" i="1"/>
  <c r="BI178" i="1"/>
  <c r="BH178" i="1"/>
  <c r="BG178" i="1"/>
  <c r="BF178" i="1"/>
  <c r="BE178" i="1"/>
  <c r="BD178" i="1"/>
  <c r="BB178" i="1"/>
  <c r="BA178" i="1"/>
  <c r="AZ178" i="1"/>
  <c r="AX178" i="1"/>
  <c r="AW178" i="1"/>
  <c r="AV178" i="1"/>
  <c r="AT178" i="1"/>
  <c r="AS178" i="1"/>
  <c r="AR178" i="1"/>
  <c r="AQ178" i="1"/>
  <c r="AP178" i="1"/>
  <c r="AO178" i="1"/>
  <c r="AN178" i="1"/>
  <c r="AM178" i="1"/>
  <c r="AL178" i="1"/>
  <c r="AK178" i="1"/>
  <c r="AI178" i="1"/>
  <c r="AH178" i="1"/>
  <c r="AG178" i="1"/>
  <c r="AF178" i="1"/>
  <c r="AE178" i="1"/>
  <c r="AD178" i="1"/>
  <c r="F178" i="1"/>
  <c r="D178" i="1"/>
  <c r="B178" i="1"/>
  <c r="BB180" i="1" s="1"/>
  <c r="DJ177" i="1"/>
  <c r="DE177" i="1"/>
  <c r="DD177" i="1"/>
  <c r="DC177" i="1"/>
  <c r="DB177" i="1"/>
  <c r="DA177" i="1"/>
  <c r="CZ177" i="1"/>
  <c r="CY177" i="1"/>
  <c r="CX177" i="1"/>
  <c r="CW177" i="1"/>
  <c r="CV177" i="1"/>
  <c r="CU177" i="1"/>
  <c r="CT177" i="1"/>
  <c r="CS177" i="1"/>
  <c r="CR177" i="1"/>
  <c r="CQ177" i="1"/>
  <c r="CP177" i="1"/>
  <c r="CO177" i="1"/>
  <c r="CN177" i="1"/>
  <c r="CM177" i="1"/>
  <c r="CL177" i="1"/>
  <c r="CK177" i="1"/>
  <c r="CJ177" i="1"/>
  <c r="CI177" i="1"/>
  <c r="CH177" i="1"/>
  <c r="CG177" i="1"/>
  <c r="CF177" i="1"/>
  <c r="BR177" i="1"/>
  <c r="BQ177" i="1"/>
  <c r="BP177" i="1"/>
  <c r="BO177" i="1"/>
  <c r="BN177" i="1"/>
  <c r="BM177" i="1"/>
  <c r="BL177" i="1"/>
  <c r="BK177" i="1"/>
  <c r="BJ177" i="1"/>
  <c r="BI177" i="1"/>
  <c r="BH177" i="1"/>
  <c r="BG177" i="1"/>
  <c r="BF177" i="1"/>
  <c r="AR177" i="1"/>
  <c r="AQ177" i="1"/>
  <c r="AP177" i="1"/>
  <c r="AO177" i="1"/>
  <c r="AN177" i="1"/>
  <c r="AM177" i="1"/>
  <c r="AL177" i="1"/>
  <c r="AK177" i="1"/>
  <c r="AJ177" i="1"/>
  <c r="AI177" i="1"/>
  <c r="AH177" i="1"/>
  <c r="AG177" i="1"/>
  <c r="AF177" i="1"/>
  <c r="AE177" i="1"/>
  <c r="AD177" i="1"/>
  <c r="R177" i="1"/>
  <c r="Q177" i="1"/>
  <c r="O177" i="1"/>
  <c r="P177" i="1" s="1"/>
  <c r="DJ176" i="1"/>
  <c r="DE176" i="1"/>
  <c r="DD176" i="1"/>
  <c r="DC176" i="1"/>
  <c r="DB176" i="1"/>
  <c r="DA176" i="1"/>
  <c r="CZ176" i="1"/>
  <c r="CY176" i="1"/>
  <c r="CX176" i="1"/>
  <c r="CW176" i="1"/>
  <c r="CV176" i="1"/>
  <c r="CU176" i="1"/>
  <c r="CT176" i="1"/>
  <c r="CS176" i="1"/>
  <c r="CR176" i="1"/>
  <c r="CQ176" i="1"/>
  <c r="CP176" i="1"/>
  <c r="CO176" i="1"/>
  <c r="CN176" i="1"/>
  <c r="CM176" i="1"/>
  <c r="CL176" i="1"/>
  <c r="CK176" i="1"/>
  <c r="CJ176" i="1"/>
  <c r="CI176" i="1"/>
  <c r="CH176" i="1"/>
  <c r="CG176" i="1"/>
  <c r="CF176" i="1"/>
  <c r="BR176" i="1"/>
  <c r="BQ176" i="1"/>
  <c r="BP176" i="1"/>
  <c r="BO176" i="1"/>
  <c r="BN176" i="1"/>
  <c r="BM176" i="1"/>
  <c r="BL176" i="1"/>
  <c r="BK176" i="1"/>
  <c r="BJ176" i="1"/>
  <c r="BI176" i="1"/>
  <c r="BH176" i="1"/>
  <c r="BF176" i="1"/>
  <c r="AR176" i="1"/>
  <c r="AQ176" i="1"/>
  <c r="AP176" i="1"/>
  <c r="AO176" i="1"/>
  <c r="AN176" i="1"/>
  <c r="AM176" i="1"/>
  <c r="AL176" i="1"/>
  <c r="AK176" i="1"/>
  <c r="AJ176" i="1"/>
  <c r="AI176" i="1"/>
  <c r="AH176" i="1"/>
  <c r="AF176" i="1"/>
  <c r="AE176" i="1"/>
  <c r="AD176" i="1"/>
  <c r="O176" i="1"/>
  <c r="BG176" i="1" s="1"/>
  <c r="J176" i="1"/>
  <c r="DJ175" i="1"/>
  <c r="DE175" i="1"/>
  <c r="DD175" i="1"/>
  <c r="DC175" i="1"/>
  <c r="DB175" i="1"/>
  <c r="DA175" i="1"/>
  <c r="CZ175" i="1"/>
  <c r="CY175" i="1"/>
  <c r="CX175" i="1"/>
  <c r="CW175" i="1"/>
  <c r="CV175" i="1"/>
  <c r="CU175" i="1"/>
  <c r="CT175" i="1"/>
  <c r="CS175" i="1"/>
  <c r="CR175" i="1"/>
  <c r="CQ175" i="1"/>
  <c r="CP175" i="1"/>
  <c r="CO175" i="1"/>
  <c r="CN175" i="1"/>
  <c r="CM175" i="1"/>
  <c r="CL175" i="1"/>
  <c r="CK175" i="1"/>
  <c r="CJ175" i="1"/>
  <c r="CI175" i="1"/>
  <c r="CH175" i="1"/>
  <c r="CG175" i="1"/>
  <c r="CF175" i="1"/>
  <c r="BR175" i="1"/>
  <c r="BQ175" i="1"/>
  <c r="BP175" i="1"/>
  <c r="BO175" i="1"/>
  <c r="BN175" i="1"/>
  <c r="BM175" i="1"/>
  <c r="BL175" i="1"/>
  <c r="BK175" i="1"/>
  <c r="BJ175" i="1"/>
  <c r="BI175" i="1"/>
  <c r="BH175" i="1"/>
  <c r="BG175" i="1"/>
  <c r="BF175" i="1"/>
  <c r="AR175" i="1"/>
  <c r="AP175" i="1"/>
  <c r="AO175" i="1"/>
  <c r="AN175" i="1"/>
  <c r="AM175" i="1"/>
  <c r="AL175" i="1"/>
  <c r="AK175" i="1"/>
  <c r="AJ175" i="1"/>
  <c r="AI175" i="1"/>
  <c r="AH175" i="1"/>
  <c r="AG175" i="1"/>
  <c r="AF175" i="1"/>
  <c r="AE175" i="1"/>
  <c r="AD175" i="1"/>
  <c r="P175" i="1"/>
  <c r="O175" i="1"/>
  <c r="AQ175" i="1" s="1"/>
  <c r="F175" i="1"/>
  <c r="B175" i="1"/>
  <c r="BE177" i="1" s="1"/>
  <c r="DE174" i="1"/>
  <c r="DD174" i="1"/>
  <c r="DC174" i="1"/>
  <c r="DB174" i="1"/>
  <c r="DA174" i="1"/>
  <c r="CZ174" i="1"/>
  <c r="CY174" i="1"/>
  <c r="CX174" i="1"/>
  <c r="CW174" i="1"/>
  <c r="CV174" i="1"/>
  <c r="CU174" i="1"/>
  <c r="CT174" i="1"/>
  <c r="CS174" i="1"/>
  <c r="CR174" i="1"/>
  <c r="CQ174" i="1"/>
  <c r="CP174" i="1"/>
  <c r="CO174" i="1"/>
  <c r="CN174" i="1"/>
  <c r="CM174" i="1"/>
  <c r="CL174" i="1"/>
  <c r="CK174" i="1"/>
  <c r="CJ174" i="1"/>
  <c r="CI174" i="1"/>
  <c r="CH174" i="1"/>
  <c r="CG174" i="1"/>
  <c r="CF174" i="1"/>
  <c r="BR174" i="1"/>
  <c r="BQ174" i="1"/>
  <c r="BP174" i="1"/>
  <c r="BO174" i="1"/>
  <c r="BN174" i="1"/>
  <c r="BM174" i="1"/>
  <c r="BL174" i="1"/>
  <c r="BK174" i="1"/>
  <c r="BJ174" i="1"/>
  <c r="BI174" i="1"/>
  <c r="BH174" i="1"/>
  <c r="BG174" i="1"/>
  <c r="BF174" i="1"/>
  <c r="BD174" i="1"/>
  <c r="BC174" i="1"/>
  <c r="AZ174" i="1"/>
  <c r="AY174" i="1"/>
  <c r="AV174" i="1"/>
  <c r="AU174" i="1"/>
  <c r="AR174" i="1"/>
  <c r="AQ174" i="1"/>
  <c r="AP174" i="1"/>
  <c r="AO174" i="1"/>
  <c r="AN174" i="1"/>
  <c r="AM174" i="1"/>
  <c r="AL174" i="1"/>
  <c r="AK174" i="1"/>
  <c r="AJ174" i="1"/>
  <c r="AI174" i="1"/>
  <c r="AH174" i="1"/>
  <c r="AG174" i="1"/>
  <c r="AF174" i="1"/>
  <c r="AE174" i="1"/>
  <c r="R174" i="1"/>
  <c r="Q174" i="1"/>
  <c r="O174" i="1"/>
  <c r="P174" i="1" s="1"/>
  <c r="DE173" i="1"/>
  <c r="DD173" i="1"/>
  <c r="DC173" i="1"/>
  <c r="DB173" i="1"/>
  <c r="DA173" i="1"/>
  <c r="CZ173" i="1"/>
  <c r="CY173" i="1"/>
  <c r="CX173" i="1"/>
  <c r="CW173" i="1"/>
  <c r="CV173" i="1"/>
  <c r="CU173" i="1"/>
  <c r="CT173" i="1"/>
  <c r="CS173" i="1"/>
  <c r="CR173" i="1"/>
  <c r="CQ173" i="1"/>
  <c r="CP173" i="1"/>
  <c r="CO173" i="1"/>
  <c r="CN173" i="1"/>
  <c r="CM173" i="1"/>
  <c r="CL173" i="1"/>
  <c r="CK173" i="1"/>
  <c r="CJ173" i="1"/>
  <c r="CI173" i="1"/>
  <c r="CH173" i="1"/>
  <c r="CG173" i="1"/>
  <c r="CF173" i="1"/>
  <c r="BR173" i="1"/>
  <c r="BQ173" i="1"/>
  <c r="BP173" i="1"/>
  <c r="BO173" i="1"/>
  <c r="BN173" i="1"/>
  <c r="BM173" i="1"/>
  <c r="BL173" i="1"/>
  <c r="BK173" i="1"/>
  <c r="BJ173" i="1"/>
  <c r="BI173" i="1"/>
  <c r="BH173" i="1"/>
  <c r="BF173" i="1"/>
  <c r="BC173" i="1"/>
  <c r="BB173" i="1"/>
  <c r="AY173" i="1"/>
  <c r="AX173" i="1"/>
  <c r="AU173" i="1"/>
  <c r="AT173" i="1"/>
  <c r="AR173" i="1"/>
  <c r="AQ173" i="1"/>
  <c r="AP173" i="1"/>
  <c r="AO173" i="1"/>
  <c r="AN173" i="1"/>
  <c r="AM173" i="1"/>
  <c r="AL173" i="1"/>
  <c r="AK173" i="1"/>
  <c r="AJ173" i="1"/>
  <c r="AI173" i="1"/>
  <c r="AH173" i="1"/>
  <c r="AF173" i="1"/>
  <c r="AE173" i="1"/>
  <c r="O172" i="1" s="1"/>
  <c r="J173" i="1"/>
  <c r="DE172" i="1"/>
  <c r="DD172" i="1"/>
  <c r="DC172" i="1"/>
  <c r="DB172" i="1"/>
  <c r="DA172" i="1"/>
  <c r="CZ172" i="1"/>
  <c r="CY172" i="1"/>
  <c r="CX172" i="1"/>
  <c r="CW172" i="1"/>
  <c r="CV172" i="1"/>
  <c r="CU172" i="1"/>
  <c r="CT172" i="1"/>
  <c r="CS172" i="1"/>
  <c r="CR172" i="1"/>
  <c r="CQ172" i="1"/>
  <c r="CP172" i="1"/>
  <c r="CO172" i="1"/>
  <c r="CN172" i="1"/>
  <c r="CM172" i="1"/>
  <c r="CL172" i="1"/>
  <c r="CK172" i="1"/>
  <c r="CJ172" i="1"/>
  <c r="CI172" i="1"/>
  <c r="CH172" i="1"/>
  <c r="CG172" i="1"/>
  <c r="CF172" i="1"/>
  <c r="CC172" i="1"/>
  <c r="CB172" i="1"/>
  <c r="BY172" i="1"/>
  <c r="BX172" i="1"/>
  <c r="BU172" i="1"/>
  <c r="BR172" i="1"/>
  <c r="BP172" i="1"/>
  <c r="BO172" i="1"/>
  <c r="BN172" i="1"/>
  <c r="BM172" i="1"/>
  <c r="BL172" i="1"/>
  <c r="BK172" i="1"/>
  <c r="BJ172" i="1"/>
  <c r="BI172" i="1"/>
  <c r="BH172" i="1"/>
  <c r="BG172" i="1"/>
  <c r="BF172" i="1"/>
  <c r="BE172" i="1"/>
  <c r="BD172" i="1"/>
  <c r="BA172" i="1"/>
  <c r="AZ172" i="1"/>
  <c r="AW172" i="1"/>
  <c r="AV172" i="1"/>
  <c r="AS172" i="1"/>
  <c r="AR172" i="1"/>
  <c r="AP172" i="1"/>
  <c r="AO172" i="1"/>
  <c r="AN172" i="1"/>
  <c r="AM172" i="1"/>
  <c r="AL172" i="1"/>
  <c r="AK172" i="1"/>
  <c r="AJ172" i="1"/>
  <c r="AI172" i="1"/>
  <c r="AH172" i="1"/>
  <c r="AG172" i="1"/>
  <c r="AF172" i="1"/>
  <c r="AE172" i="1"/>
  <c r="AD172" i="1"/>
  <c r="P172" i="1"/>
  <c r="F172" i="1"/>
  <c r="B172" i="1"/>
  <c r="BB174" i="1" s="1"/>
  <c r="DE171" i="1"/>
  <c r="DD171" i="1"/>
  <c r="DC171" i="1"/>
  <c r="DB171" i="1"/>
  <c r="DA171" i="1"/>
  <c r="CZ171" i="1"/>
  <c r="CY171" i="1"/>
  <c r="CX171" i="1"/>
  <c r="CW171" i="1"/>
  <c r="CV171" i="1"/>
  <c r="CU171" i="1"/>
  <c r="CT171" i="1"/>
  <c r="CS171" i="1"/>
  <c r="CR171" i="1"/>
  <c r="CQ171" i="1"/>
  <c r="CP171" i="1"/>
  <c r="CO171" i="1"/>
  <c r="CN171" i="1"/>
  <c r="CM171" i="1"/>
  <c r="CL171" i="1"/>
  <c r="CK171" i="1"/>
  <c r="CJ171" i="1"/>
  <c r="CI171" i="1"/>
  <c r="CH171" i="1"/>
  <c r="CG171" i="1"/>
  <c r="CF171" i="1"/>
  <c r="BR171" i="1"/>
  <c r="BQ171" i="1"/>
  <c r="BP171" i="1"/>
  <c r="BO171" i="1"/>
  <c r="BN171" i="1"/>
  <c r="BM171" i="1"/>
  <c r="BL171" i="1"/>
  <c r="BK171" i="1"/>
  <c r="BJ171" i="1"/>
  <c r="BI171" i="1"/>
  <c r="BH171" i="1"/>
  <c r="BG171" i="1"/>
  <c r="BF171" i="1"/>
  <c r="AZ171" i="1"/>
  <c r="AR171" i="1"/>
  <c r="AQ171" i="1"/>
  <c r="AP171" i="1"/>
  <c r="AO171" i="1"/>
  <c r="AN171" i="1"/>
  <c r="AM171" i="1"/>
  <c r="AL171" i="1"/>
  <c r="AK171" i="1"/>
  <c r="AJ171" i="1"/>
  <c r="AI171" i="1"/>
  <c r="AH171" i="1"/>
  <c r="AG171" i="1"/>
  <c r="AF171" i="1"/>
  <c r="AE171" i="1"/>
  <c r="AD171" i="1"/>
  <c r="R171" i="1"/>
  <c r="Q171" i="1"/>
  <c r="DE170" i="1"/>
  <c r="DD170" i="1"/>
  <c r="DC170" i="1"/>
  <c r="DB170" i="1"/>
  <c r="DA170" i="1"/>
  <c r="CZ170" i="1"/>
  <c r="CY170" i="1"/>
  <c r="CX170" i="1"/>
  <c r="CW170" i="1"/>
  <c r="CV170" i="1"/>
  <c r="CU170" i="1"/>
  <c r="CT170" i="1"/>
  <c r="CS170" i="1"/>
  <c r="CR170" i="1"/>
  <c r="CQ170" i="1"/>
  <c r="CP170" i="1"/>
  <c r="CO170" i="1"/>
  <c r="CN170" i="1"/>
  <c r="CM170" i="1"/>
  <c r="CL170" i="1"/>
  <c r="CK170" i="1"/>
  <c r="CJ170" i="1"/>
  <c r="CI170" i="1"/>
  <c r="CH170" i="1"/>
  <c r="CG170" i="1"/>
  <c r="CF170" i="1"/>
  <c r="BR170" i="1"/>
  <c r="BQ170" i="1"/>
  <c r="BP170" i="1"/>
  <c r="BO170" i="1"/>
  <c r="BN170" i="1"/>
  <c r="BM170" i="1"/>
  <c r="BL170" i="1"/>
  <c r="BK170" i="1"/>
  <c r="BJ170" i="1"/>
  <c r="BI170" i="1"/>
  <c r="BH170" i="1"/>
  <c r="BF170" i="1"/>
  <c r="BD170" i="1"/>
  <c r="AV170" i="1"/>
  <c r="AR170" i="1"/>
  <c r="AQ170" i="1"/>
  <c r="AP170" i="1"/>
  <c r="AO170" i="1"/>
  <c r="AN170" i="1"/>
  <c r="AM170" i="1"/>
  <c r="AL170" i="1"/>
  <c r="AK170" i="1"/>
  <c r="AJ170" i="1"/>
  <c r="AI170" i="1"/>
  <c r="AH170" i="1"/>
  <c r="AF170" i="1"/>
  <c r="AE170" i="1"/>
  <c r="AD170" i="1"/>
  <c r="J170" i="1"/>
  <c r="DE169" i="1"/>
  <c r="DD169" i="1"/>
  <c r="DC169" i="1"/>
  <c r="DB169" i="1"/>
  <c r="DA169" i="1"/>
  <c r="CZ169" i="1"/>
  <c r="CY169" i="1"/>
  <c r="CX169" i="1"/>
  <c r="CW169" i="1"/>
  <c r="CV169" i="1"/>
  <c r="CU169" i="1"/>
  <c r="CT169" i="1"/>
  <c r="CS169" i="1"/>
  <c r="CR169" i="1"/>
  <c r="CQ169" i="1"/>
  <c r="CP169" i="1"/>
  <c r="CO169" i="1"/>
  <c r="CN169" i="1"/>
  <c r="CM169" i="1"/>
  <c r="CL169" i="1"/>
  <c r="CK169" i="1"/>
  <c r="CJ169" i="1"/>
  <c r="CI169" i="1"/>
  <c r="CH169" i="1"/>
  <c r="CG169" i="1"/>
  <c r="CF169" i="1"/>
  <c r="CA169" i="1"/>
  <c r="BR169" i="1"/>
  <c r="BQ169" i="1"/>
  <c r="BP169" i="1"/>
  <c r="BO169" i="1"/>
  <c r="BN169" i="1"/>
  <c r="BM169" i="1"/>
  <c r="BL169" i="1"/>
  <c r="BK169" i="1"/>
  <c r="BJ169" i="1"/>
  <c r="BI169" i="1"/>
  <c r="BH169" i="1"/>
  <c r="BG169" i="1"/>
  <c r="AY169" i="1"/>
  <c r="AR169" i="1"/>
  <c r="AQ169" i="1"/>
  <c r="AP169" i="1"/>
  <c r="AO169" i="1"/>
  <c r="AN169" i="1"/>
  <c r="AM169" i="1"/>
  <c r="AL169" i="1"/>
  <c r="AK169" i="1"/>
  <c r="AJ169" i="1"/>
  <c r="AI169" i="1"/>
  <c r="AH169" i="1"/>
  <c r="AG169" i="1"/>
  <c r="AE169" i="1"/>
  <c r="O169" i="1" s="1"/>
  <c r="AD169" i="1"/>
  <c r="F169" i="1"/>
  <c r="B169" i="1"/>
  <c r="AV171" i="1" s="1"/>
  <c r="DE168" i="1"/>
  <c r="DD168" i="1"/>
  <c r="DC168" i="1"/>
  <c r="DB168" i="1"/>
  <c r="DA168" i="1"/>
  <c r="CZ168" i="1"/>
  <c r="CY168" i="1"/>
  <c r="CX168" i="1"/>
  <c r="CW168" i="1"/>
  <c r="CV168" i="1"/>
  <c r="CU168" i="1"/>
  <c r="CT168" i="1"/>
  <c r="CS168" i="1"/>
  <c r="CR168" i="1"/>
  <c r="CQ168" i="1"/>
  <c r="CP168" i="1"/>
  <c r="CO168" i="1"/>
  <c r="CN168" i="1"/>
  <c r="CM168" i="1"/>
  <c r="CL168" i="1"/>
  <c r="CK168" i="1"/>
  <c r="CJ168" i="1"/>
  <c r="CI168" i="1"/>
  <c r="CH168" i="1"/>
  <c r="CG168" i="1"/>
  <c r="CF168" i="1"/>
  <c r="BR168" i="1"/>
  <c r="BQ168" i="1"/>
  <c r="BP168" i="1"/>
  <c r="BO168" i="1"/>
  <c r="BN168" i="1"/>
  <c r="BM168" i="1"/>
  <c r="BL168" i="1"/>
  <c r="BK168" i="1"/>
  <c r="BJ168" i="1"/>
  <c r="BI168" i="1"/>
  <c r="BH168" i="1"/>
  <c r="BG168" i="1"/>
  <c r="BF168" i="1"/>
  <c r="BD168" i="1"/>
  <c r="BC168" i="1"/>
  <c r="AZ168" i="1"/>
  <c r="AY168" i="1"/>
  <c r="AV168" i="1"/>
  <c r="AU168" i="1"/>
  <c r="AR168" i="1"/>
  <c r="AQ168" i="1"/>
  <c r="AP168" i="1"/>
  <c r="AO168" i="1"/>
  <c r="AN168" i="1"/>
  <c r="AM168" i="1"/>
  <c r="AL168" i="1"/>
  <c r="AK168" i="1"/>
  <c r="AJ168" i="1"/>
  <c r="AI168" i="1"/>
  <c r="AH168" i="1"/>
  <c r="AG168" i="1"/>
  <c r="AF168" i="1"/>
  <c r="AE168" i="1"/>
  <c r="R168" i="1"/>
  <c r="Q168" i="1"/>
  <c r="DE167" i="1"/>
  <c r="DD167" i="1"/>
  <c r="DC167" i="1"/>
  <c r="DB167" i="1"/>
  <c r="DA167" i="1"/>
  <c r="CZ167" i="1"/>
  <c r="CY167" i="1"/>
  <c r="CX167" i="1"/>
  <c r="CW167" i="1"/>
  <c r="CV167" i="1"/>
  <c r="CU167" i="1"/>
  <c r="CT167" i="1"/>
  <c r="CS167" i="1"/>
  <c r="CR167" i="1"/>
  <c r="CQ167" i="1"/>
  <c r="CP167" i="1"/>
  <c r="CO167" i="1"/>
  <c r="CN167" i="1"/>
  <c r="CM167" i="1"/>
  <c r="CL167" i="1"/>
  <c r="CK167" i="1"/>
  <c r="CJ167" i="1"/>
  <c r="CI167" i="1"/>
  <c r="CH167" i="1"/>
  <c r="CG167" i="1"/>
  <c r="CF167" i="1"/>
  <c r="BR167" i="1"/>
  <c r="BQ167" i="1"/>
  <c r="BP167" i="1"/>
  <c r="BO167" i="1"/>
  <c r="BN167" i="1"/>
  <c r="BL167" i="1"/>
  <c r="BK167" i="1"/>
  <c r="BJ167" i="1"/>
  <c r="BI167" i="1"/>
  <c r="BH167" i="1"/>
  <c r="BG167" i="1"/>
  <c r="BF167" i="1"/>
  <c r="BC167" i="1"/>
  <c r="BB167" i="1"/>
  <c r="AY167" i="1"/>
  <c r="AX167" i="1"/>
  <c r="AU167" i="1"/>
  <c r="AT167" i="1"/>
  <c r="AR167" i="1"/>
  <c r="AQ167" i="1"/>
  <c r="AP167" i="1"/>
  <c r="AO167" i="1"/>
  <c r="AN167" i="1"/>
  <c r="AL167" i="1"/>
  <c r="AK167" i="1"/>
  <c r="AJ167" i="1"/>
  <c r="AI167" i="1"/>
  <c r="AH167" i="1"/>
  <c r="AG167" i="1"/>
  <c r="AF167" i="1"/>
  <c r="AE167" i="1"/>
  <c r="O166" i="1" s="1"/>
  <c r="BG166" i="1" s="1"/>
  <c r="J167" i="1"/>
  <c r="DE166" i="1"/>
  <c r="DD166" i="1"/>
  <c r="DC166" i="1"/>
  <c r="DB166" i="1"/>
  <c r="DA166" i="1"/>
  <c r="CZ166" i="1"/>
  <c r="CY166" i="1"/>
  <c r="CX166" i="1"/>
  <c r="CW166" i="1"/>
  <c r="CV166" i="1"/>
  <c r="CU166" i="1"/>
  <c r="CT166" i="1"/>
  <c r="CS166" i="1"/>
  <c r="CR166" i="1"/>
  <c r="CQ166" i="1"/>
  <c r="CP166" i="1"/>
  <c r="CO166" i="1"/>
  <c r="CN166" i="1"/>
  <c r="CM166" i="1"/>
  <c r="CL166" i="1"/>
  <c r="CK166" i="1"/>
  <c r="CJ166" i="1"/>
  <c r="CI166" i="1"/>
  <c r="CH166" i="1"/>
  <c r="CG166" i="1"/>
  <c r="CF166" i="1"/>
  <c r="CC166" i="1"/>
  <c r="CB166" i="1"/>
  <c r="BY166" i="1"/>
  <c r="BX166" i="1"/>
  <c r="BU166" i="1"/>
  <c r="BT166" i="1"/>
  <c r="BR166" i="1"/>
  <c r="BQ166" i="1"/>
  <c r="BP166" i="1"/>
  <c r="BO166" i="1"/>
  <c r="BN166" i="1"/>
  <c r="BM166" i="1"/>
  <c r="BL166" i="1"/>
  <c r="BK166" i="1"/>
  <c r="BJ166" i="1"/>
  <c r="BI166" i="1"/>
  <c r="BH166" i="1"/>
  <c r="BF166" i="1"/>
  <c r="BE166" i="1"/>
  <c r="BD166" i="1"/>
  <c r="BA166" i="1"/>
  <c r="AZ166" i="1"/>
  <c r="AW166" i="1"/>
  <c r="AV166" i="1"/>
  <c r="AS166" i="1"/>
  <c r="AR166" i="1"/>
  <c r="AQ166" i="1"/>
  <c r="AP166" i="1"/>
  <c r="AO166" i="1"/>
  <c r="AN166" i="1"/>
  <c r="AM166" i="1"/>
  <c r="AL166" i="1"/>
  <c r="AK166" i="1"/>
  <c r="AJ166" i="1"/>
  <c r="AI166" i="1"/>
  <c r="AH166" i="1"/>
  <c r="AF166" i="1"/>
  <c r="AE166" i="1"/>
  <c r="AD166" i="1"/>
  <c r="P166" i="1"/>
  <c r="AG166" i="1" s="1"/>
  <c r="F166" i="1"/>
  <c r="B166" i="1"/>
  <c r="BB168" i="1" s="1"/>
  <c r="DE165" i="1"/>
  <c r="DD165" i="1"/>
  <c r="DC165" i="1"/>
  <c r="DB165" i="1"/>
  <c r="DA165" i="1"/>
  <c r="CZ165" i="1"/>
  <c r="CY165" i="1"/>
  <c r="CX165" i="1"/>
  <c r="CW165" i="1"/>
  <c r="CV165" i="1"/>
  <c r="CU165" i="1"/>
  <c r="CT165" i="1"/>
  <c r="CS165" i="1"/>
  <c r="CR165" i="1"/>
  <c r="CQ165" i="1"/>
  <c r="CP165" i="1"/>
  <c r="CO165" i="1"/>
  <c r="CN165" i="1"/>
  <c r="CM165" i="1"/>
  <c r="CL165" i="1"/>
  <c r="CK165" i="1"/>
  <c r="CJ165" i="1"/>
  <c r="CI165" i="1"/>
  <c r="CH165" i="1"/>
  <c r="CG165" i="1"/>
  <c r="CF165" i="1"/>
  <c r="BR165" i="1"/>
  <c r="BQ165" i="1"/>
  <c r="BP165" i="1"/>
  <c r="BO165" i="1"/>
  <c r="BN165" i="1"/>
  <c r="BM165" i="1"/>
  <c r="BL165" i="1"/>
  <c r="BK165" i="1"/>
  <c r="BJ165" i="1"/>
  <c r="BI165" i="1"/>
  <c r="BH165" i="1"/>
  <c r="BG165" i="1"/>
  <c r="BF165" i="1"/>
  <c r="AR165" i="1"/>
  <c r="AQ165" i="1"/>
  <c r="AP165" i="1"/>
  <c r="AO165" i="1"/>
  <c r="AN165" i="1"/>
  <c r="AM165" i="1"/>
  <c r="AL165" i="1"/>
  <c r="AK165" i="1"/>
  <c r="AJ165" i="1"/>
  <c r="AI165" i="1"/>
  <c r="AH165" i="1"/>
  <c r="AG165" i="1"/>
  <c r="AF165" i="1"/>
  <c r="AE165" i="1"/>
  <c r="AD165" i="1"/>
  <c r="R165" i="1"/>
  <c r="Q165" i="1"/>
  <c r="DE164" i="1"/>
  <c r="DD164" i="1"/>
  <c r="DC164" i="1"/>
  <c r="DB164" i="1"/>
  <c r="DA164" i="1"/>
  <c r="CZ164" i="1"/>
  <c r="CY164" i="1"/>
  <c r="CX164" i="1"/>
  <c r="CW164" i="1"/>
  <c r="CV164" i="1"/>
  <c r="CU164" i="1"/>
  <c r="CT164" i="1"/>
  <c r="CS164" i="1"/>
  <c r="CR164" i="1"/>
  <c r="CQ164" i="1"/>
  <c r="CP164" i="1"/>
  <c r="CO164" i="1"/>
  <c r="CN164" i="1"/>
  <c r="CM164" i="1"/>
  <c r="CL164" i="1"/>
  <c r="CK164" i="1"/>
  <c r="CJ164" i="1"/>
  <c r="CI164" i="1"/>
  <c r="CH164" i="1"/>
  <c r="CG164" i="1"/>
  <c r="CF164" i="1"/>
  <c r="BR164" i="1"/>
  <c r="BQ164" i="1"/>
  <c r="BP164" i="1"/>
  <c r="BO164" i="1"/>
  <c r="BN164" i="1"/>
  <c r="BM164" i="1"/>
  <c r="BL164" i="1"/>
  <c r="BK164" i="1"/>
  <c r="BI164" i="1"/>
  <c r="BH164" i="1"/>
  <c r="BG164" i="1"/>
  <c r="BF164" i="1"/>
  <c r="AR164" i="1"/>
  <c r="AQ164" i="1"/>
  <c r="AP164" i="1"/>
  <c r="AO164" i="1"/>
  <c r="AN164" i="1"/>
  <c r="AM164" i="1"/>
  <c r="AL164" i="1"/>
  <c r="AK164" i="1"/>
  <c r="AI164" i="1"/>
  <c r="AH164" i="1"/>
  <c r="AG164" i="1"/>
  <c r="AF164" i="1"/>
  <c r="AE164" i="1"/>
  <c r="AD164" i="1"/>
  <c r="J164" i="1"/>
  <c r="DE163" i="1"/>
  <c r="DD163" i="1"/>
  <c r="DC163" i="1"/>
  <c r="DB163" i="1"/>
  <c r="DA163" i="1"/>
  <c r="CZ163" i="1"/>
  <c r="CY163" i="1"/>
  <c r="CX163" i="1"/>
  <c r="CW163" i="1"/>
  <c r="CV163" i="1"/>
  <c r="CU163" i="1"/>
  <c r="CT163" i="1"/>
  <c r="CS163" i="1"/>
  <c r="CR163" i="1"/>
  <c r="CQ163" i="1"/>
  <c r="CP163" i="1"/>
  <c r="CO163" i="1"/>
  <c r="CN163" i="1"/>
  <c r="CM163" i="1"/>
  <c r="CL163" i="1"/>
  <c r="CK163" i="1"/>
  <c r="CJ163" i="1"/>
  <c r="CI163" i="1"/>
  <c r="CH163" i="1"/>
  <c r="CG163" i="1"/>
  <c r="CF163" i="1"/>
  <c r="BR163" i="1"/>
  <c r="BQ163" i="1"/>
  <c r="BP163" i="1"/>
  <c r="BO163" i="1"/>
  <c r="BN163" i="1"/>
  <c r="BM163" i="1"/>
  <c r="BL163" i="1"/>
  <c r="BK163" i="1"/>
  <c r="BJ163" i="1"/>
  <c r="BI163" i="1"/>
  <c r="BH163" i="1"/>
  <c r="BG163" i="1"/>
  <c r="AR163" i="1"/>
  <c r="AQ163" i="1"/>
  <c r="AP163" i="1"/>
  <c r="AO163" i="1"/>
  <c r="AN163" i="1"/>
  <c r="AM163" i="1"/>
  <c r="AL163" i="1"/>
  <c r="AK163" i="1"/>
  <c r="AJ163" i="1"/>
  <c r="AI163" i="1"/>
  <c r="AH163" i="1"/>
  <c r="AG163" i="1"/>
  <c r="AE163" i="1"/>
  <c r="O163" i="1" s="1"/>
  <c r="AD163" i="1"/>
  <c r="F163" i="1"/>
  <c r="B163" i="1"/>
  <c r="BA165" i="1" s="1"/>
  <c r="DE162" i="1"/>
  <c r="DD162" i="1"/>
  <c r="DC162" i="1"/>
  <c r="DB162" i="1"/>
  <c r="DA162" i="1"/>
  <c r="CZ162" i="1"/>
  <c r="CY162" i="1"/>
  <c r="CX162" i="1"/>
  <c r="CW162" i="1"/>
  <c r="CV162" i="1"/>
  <c r="CU162" i="1"/>
  <c r="CT162" i="1"/>
  <c r="CS162" i="1"/>
  <c r="CR162" i="1"/>
  <c r="CQ162" i="1"/>
  <c r="CP162" i="1"/>
  <c r="CO162" i="1"/>
  <c r="CN162" i="1"/>
  <c r="CM162" i="1"/>
  <c r="CL162" i="1"/>
  <c r="CK162" i="1"/>
  <c r="CJ162" i="1"/>
  <c r="CI162" i="1"/>
  <c r="CH162" i="1"/>
  <c r="CG162" i="1"/>
  <c r="CF162" i="1"/>
  <c r="BR162" i="1"/>
  <c r="BQ162" i="1"/>
  <c r="BP162" i="1"/>
  <c r="BO162" i="1"/>
  <c r="BN162" i="1"/>
  <c r="BM162" i="1"/>
  <c r="BL162" i="1"/>
  <c r="BK162" i="1"/>
  <c r="BJ162" i="1"/>
  <c r="BI162" i="1"/>
  <c r="BH162" i="1"/>
  <c r="BG162" i="1"/>
  <c r="BF162" i="1"/>
  <c r="BD162" i="1"/>
  <c r="BC162" i="1"/>
  <c r="AZ162" i="1"/>
  <c r="AY162" i="1"/>
  <c r="AV162" i="1"/>
  <c r="AU162" i="1"/>
  <c r="AR162" i="1"/>
  <c r="AQ162" i="1"/>
  <c r="AP162" i="1"/>
  <c r="AO162" i="1"/>
  <c r="AN162" i="1"/>
  <c r="AM162" i="1"/>
  <c r="AL162" i="1"/>
  <c r="AK162" i="1"/>
  <c r="AJ162" i="1"/>
  <c r="AI162" i="1"/>
  <c r="AH162" i="1"/>
  <c r="AG162" i="1"/>
  <c r="AF162" i="1"/>
  <c r="AE162" i="1"/>
  <c r="R162" i="1"/>
  <c r="Q162" i="1"/>
  <c r="DE161" i="1"/>
  <c r="DD161" i="1"/>
  <c r="DC161" i="1"/>
  <c r="DB161" i="1"/>
  <c r="DA161" i="1"/>
  <c r="CZ161" i="1"/>
  <c r="CY161" i="1"/>
  <c r="CX161" i="1"/>
  <c r="CW161" i="1"/>
  <c r="CV161" i="1"/>
  <c r="CU161" i="1"/>
  <c r="CT161" i="1"/>
  <c r="CS161" i="1"/>
  <c r="CR161" i="1"/>
  <c r="CQ161" i="1"/>
  <c r="CP161" i="1"/>
  <c r="CO161" i="1"/>
  <c r="CN161" i="1"/>
  <c r="CM161" i="1"/>
  <c r="CL161" i="1"/>
  <c r="CK161" i="1"/>
  <c r="CJ161" i="1"/>
  <c r="CI161" i="1"/>
  <c r="CH161" i="1"/>
  <c r="CG161" i="1"/>
  <c r="CF161" i="1"/>
  <c r="BR161" i="1"/>
  <c r="BQ161" i="1"/>
  <c r="BP161" i="1"/>
  <c r="BO161" i="1"/>
  <c r="BN161" i="1"/>
  <c r="BM161" i="1"/>
  <c r="BL161" i="1"/>
  <c r="BK161" i="1"/>
  <c r="BJ161" i="1"/>
  <c r="BI161" i="1"/>
  <c r="BH161" i="1"/>
  <c r="BG161" i="1"/>
  <c r="BF161" i="1"/>
  <c r="BC161" i="1"/>
  <c r="BB161" i="1"/>
  <c r="AY161" i="1"/>
  <c r="AX161" i="1"/>
  <c r="AU161" i="1"/>
  <c r="AT161" i="1"/>
  <c r="AR161" i="1"/>
  <c r="AQ161" i="1"/>
  <c r="AP161" i="1"/>
  <c r="AO161" i="1"/>
  <c r="AN161" i="1"/>
  <c r="AM161" i="1"/>
  <c r="AL161" i="1"/>
  <c r="AK161" i="1"/>
  <c r="AJ161" i="1"/>
  <c r="AI161" i="1"/>
  <c r="AH161" i="1"/>
  <c r="AG161" i="1"/>
  <c r="AF161" i="1"/>
  <c r="AE161" i="1"/>
  <c r="O160" i="1" s="1"/>
  <c r="O161" i="1"/>
  <c r="P161" i="1" s="1"/>
  <c r="J161" i="1"/>
  <c r="DE160" i="1"/>
  <c r="DD160" i="1"/>
  <c r="DC160" i="1"/>
  <c r="DB160" i="1"/>
  <c r="DA160" i="1"/>
  <c r="CZ160" i="1"/>
  <c r="CY160" i="1"/>
  <c r="CX160" i="1"/>
  <c r="CW160" i="1"/>
  <c r="CV160" i="1"/>
  <c r="CU160" i="1"/>
  <c r="CT160" i="1"/>
  <c r="CS160" i="1"/>
  <c r="CR160" i="1"/>
  <c r="CQ160" i="1"/>
  <c r="CP160" i="1"/>
  <c r="CO160" i="1"/>
  <c r="CN160" i="1"/>
  <c r="CM160" i="1"/>
  <c r="CL160" i="1"/>
  <c r="CK160" i="1"/>
  <c r="CJ160" i="1"/>
  <c r="CI160" i="1"/>
  <c r="CH160" i="1"/>
  <c r="CG160" i="1"/>
  <c r="CF160" i="1"/>
  <c r="CC160" i="1"/>
  <c r="CB160" i="1"/>
  <c r="BY160" i="1"/>
  <c r="BX160" i="1"/>
  <c r="BU160" i="1"/>
  <c r="BT160" i="1"/>
  <c r="BR160" i="1"/>
  <c r="BQ160" i="1"/>
  <c r="BP160" i="1"/>
  <c r="BO160" i="1"/>
  <c r="BN160" i="1"/>
  <c r="BM160" i="1"/>
  <c r="BL160" i="1"/>
  <c r="BK160" i="1"/>
  <c r="BJ160" i="1"/>
  <c r="BI160" i="1"/>
  <c r="BH160" i="1"/>
  <c r="BG160" i="1"/>
  <c r="BF160" i="1"/>
  <c r="BE160" i="1"/>
  <c r="BD160" i="1"/>
  <c r="BA160" i="1"/>
  <c r="AZ160" i="1"/>
  <c r="AW160" i="1"/>
  <c r="AV160" i="1"/>
  <c r="AS160" i="1"/>
  <c r="AR160" i="1"/>
  <c r="AQ160" i="1"/>
  <c r="AP160" i="1"/>
  <c r="AO160" i="1"/>
  <c r="AN160" i="1"/>
  <c r="AM160" i="1"/>
  <c r="AL160" i="1"/>
  <c r="AK160" i="1"/>
  <c r="AJ160" i="1"/>
  <c r="AI160" i="1"/>
  <c r="AH160" i="1"/>
  <c r="AG160" i="1"/>
  <c r="AF160" i="1"/>
  <c r="AE160" i="1"/>
  <c r="AD160" i="1"/>
  <c r="P160" i="1"/>
  <c r="F160" i="1"/>
  <c r="B160" i="1"/>
  <c r="BB162" i="1" s="1"/>
  <c r="DE159" i="1"/>
  <c r="DD159" i="1"/>
  <c r="DC159" i="1"/>
  <c r="DB159" i="1"/>
  <c r="DA159" i="1"/>
  <c r="CZ159" i="1"/>
  <c r="CY159" i="1"/>
  <c r="CX159" i="1"/>
  <c r="CW159" i="1"/>
  <c r="CV159" i="1"/>
  <c r="CU159" i="1"/>
  <c r="CT159" i="1"/>
  <c r="CS159" i="1"/>
  <c r="CR159" i="1"/>
  <c r="CQ159" i="1"/>
  <c r="CP159" i="1"/>
  <c r="CO159" i="1"/>
  <c r="CN159" i="1"/>
  <c r="CM159" i="1"/>
  <c r="CL159" i="1"/>
  <c r="CK159" i="1"/>
  <c r="CJ159" i="1"/>
  <c r="CI159" i="1"/>
  <c r="CH159" i="1"/>
  <c r="CG159" i="1"/>
  <c r="CF159" i="1"/>
  <c r="BR159" i="1"/>
  <c r="BQ159" i="1"/>
  <c r="BP159" i="1"/>
  <c r="BO159" i="1"/>
  <c r="BN159" i="1"/>
  <c r="BM159" i="1"/>
  <c r="BL159" i="1"/>
  <c r="BK159" i="1"/>
  <c r="BJ159" i="1"/>
  <c r="BI159" i="1"/>
  <c r="BH159" i="1"/>
  <c r="BG159" i="1"/>
  <c r="BF159" i="1"/>
  <c r="AR159" i="1"/>
  <c r="AQ159" i="1"/>
  <c r="AP159" i="1"/>
  <c r="AO159" i="1"/>
  <c r="AN159" i="1"/>
  <c r="AM159" i="1"/>
  <c r="AL159" i="1"/>
  <c r="AK159" i="1"/>
  <c r="AJ159" i="1"/>
  <c r="AI159" i="1"/>
  <c r="AH159" i="1"/>
  <c r="AG159" i="1"/>
  <c r="AF159" i="1"/>
  <c r="AE159" i="1"/>
  <c r="AD159" i="1"/>
  <c r="R159" i="1"/>
  <c r="Q159" i="1"/>
  <c r="DE158" i="1"/>
  <c r="DD158" i="1"/>
  <c r="DC158" i="1"/>
  <c r="DB158" i="1"/>
  <c r="DA158" i="1"/>
  <c r="CZ158" i="1"/>
  <c r="CY158" i="1"/>
  <c r="CX158" i="1"/>
  <c r="CW158" i="1"/>
  <c r="CV158" i="1"/>
  <c r="CU158" i="1"/>
  <c r="CT158" i="1"/>
  <c r="CS158" i="1"/>
  <c r="CR158" i="1"/>
  <c r="CQ158" i="1"/>
  <c r="CP158" i="1"/>
  <c r="CO158" i="1"/>
  <c r="CN158" i="1"/>
  <c r="CM158" i="1"/>
  <c r="CL158" i="1"/>
  <c r="CK158" i="1"/>
  <c r="CJ158" i="1"/>
  <c r="CI158" i="1"/>
  <c r="CH158" i="1"/>
  <c r="CG158" i="1"/>
  <c r="CF158" i="1"/>
  <c r="BR158" i="1"/>
  <c r="BQ158" i="1"/>
  <c r="BP158" i="1"/>
  <c r="BO158" i="1"/>
  <c r="BN158" i="1"/>
  <c r="BM158" i="1"/>
  <c r="BL158" i="1"/>
  <c r="BK158" i="1"/>
  <c r="BJ158" i="1"/>
  <c r="BI158" i="1"/>
  <c r="BH158" i="1"/>
  <c r="BG158" i="1"/>
  <c r="AR158" i="1"/>
  <c r="AQ158" i="1"/>
  <c r="AP158" i="1"/>
  <c r="AO158" i="1"/>
  <c r="AN158" i="1"/>
  <c r="AM158" i="1"/>
  <c r="AL158" i="1"/>
  <c r="AK158" i="1"/>
  <c r="AJ158" i="1"/>
  <c r="AI158" i="1"/>
  <c r="AH158" i="1"/>
  <c r="AG158" i="1"/>
  <c r="AE158" i="1"/>
  <c r="AD158" i="1"/>
  <c r="J158" i="1"/>
  <c r="DE157" i="1"/>
  <c r="DD157" i="1"/>
  <c r="DC157" i="1"/>
  <c r="DB157" i="1"/>
  <c r="DA157" i="1"/>
  <c r="CZ157" i="1"/>
  <c r="CY157" i="1"/>
  <c r="CX157" i="1"/>
  <c r="CW157" i="1"/>
  <c r="CV157" i="1"/>
  <c r="CU157" i="1"/>
  <c r="CT157" i="1"/>
  <c r="CS157" i="1"/>
  <c r="CR157" i="1"/>
  <c r="CQ157" i="1"/>
  <c r="CP157" i="1"/>
  <c r="CO157" i="1"/>
  <c r="CN157" i="1"/>
  <c r="CM157" i="1"/>
  <c r="CL157" i="1"/>
  <c r="CK157" i="1"/>
  <c r="CJ157" i="1"/>
  <c r="CI157" i="1"/>
  <c r="CH157" i="1"/>
  <c r="CG157" i="1"/>
  <c r="CF157" i="1"/>
  <c r="BR157" i="1"/>
  <c r="BQ157" i="1"/>
  <c r="BP157" i="1"/>
  <c r="BO157" i="1"/>
  <c r="BN157" i="1"/>
  <c r="BM157" i="1"/>
  <c r="BL157" i="1"/>
  <c r="BK157" i="1"/>
  <c r="BI157" i="1"/>
  <c r="BH157" i="1"/>
  <c r="BG157" i="1"/>
  <c r="BF157" i="1"/>
  <c r="AR157" i="1"/>
  <c r="AQ157" i="1"/>
  <c r="AP157" i="1"/>
  <c r="AO157" i="1"/>
  <c r="AN157" i="1"/>
  <c r="AM157" i="1"/>
  <c r="AL157" i="1"/>
  <c r="AK157" i="1"/>
  <c r="AI157" i="1"/>
  <c r="AH157" i="1"/>
  <c r="AG157" i="1"/>
  <c r="AF157" i="1"/>
  <c r="AE157" i="1"/>
  <c r="O157" i="1" s="1"/>
  <c r="AD157" i="1"/>
  <c r="F157" i="1"/>
  <c r="B157" i="1"/>
  <c r="BA159" i="1" s="1"/>
  <c r="DE156" i="1"/>
  <c r="DD156" i="1"/>
  <c r="DC156" i="1"/>
  <c r="DB156" i="1"/>
  <c r="DA156" i="1"/>
  <c r="CZ156" i="1"/>
  <c r="CY156" i="1"/>
  <c r="CX156" i="1"/>
  <c r="CW156" i="1"/>
  <c r="CV156" i="1"/>
  <c r="CU156" i="1"/>
  <c r="CT156" i="1"/>
  <c r="CS156" i="1"/>
  <c r="CR156" i="1"/>
  <c r="CQ156" i="1"/>
  <c r="CP156" i="1"/>
  <c r="CO156" i="1"/>
  <c r="CN156" i="1"/>
  <c r="CM156" i="1"/>
  <c r="CL156" i="1"/>
  <c r="CK156" i="1"/>
  <c r="CJ156" i="1"/>
  <c r="CI156" i="1"/>
  <c r="CH156" i="1"/>
  <c r="CG156" i="1"/>
  <c r="CF156" i="1"/>
  <c r="BR156" i="1"/>
  <c r="BQ156" i="1"/>
  <c r="BP156" i="1"/>
  <c r="BO156" i="1"/>
  <c r="BN156" i="1"/>
  <c r="BM156" i="1"/>
  <c r="BL156" i="1"/>
  <c r="BK156" i="1"/>
  <c r="BJ156" i="1"/>
  <c r="BI156" i="1"/>
  <c r="BH156" i="1"/>
  <c r="BG156" i="1"/>
  <c r="BF156" i="1"/>
  <c r="BD156" i="1"/>
  <c r="BC156" i="1"/>
  <c r="BB156" i="1"/>
  <c r="AZ156" i="1"/>
  <c r="AY156" i="1"/>
  <c r="AX156" i="1"/>
  <c r="AV156" i="1"/>
  <c r="AU156" i="1"/>
  <c r="AT156" i="1"/>
  <c r="AR156" i="1"/>
  <c r="AQ156" i="1"/>
  <c r="AP156" i="1"/>
  <c r="AO156" i="1"/>
  <c r="AN156" i="1"/>
  <c r="AM156" i="1"/>
  <c r="AL156" i="1"/>
  <c r="AK156" i="1"/>
  <c r="AJ156" i="1"/>
  <c r="AI156" i="1"/>
  <c r="AH156" i="1"/>
  <c r="AG156" i="1"/>
  <c r="AF156" i="1"/>
  <c r="AE156" i="1"/>
  <c r="R156" i="1"/>
  <c r="Q156" i="1"/>
  <c r="DE155" i="1"/>
  <c r="DD155" i="1"/>
  <c r="DC155" i="1"/>
  <c r="DB155" i="1"/>
  <c r="DA155" i="1"/>
  <c r="CZ155" i="1"/>
  <c r="CY155" i="1"/>
  <c r="CX155" i="1"/>
  <c r="CW155" i="1"/>
  <c r="CV155" i="1"/>
  <c r="CU155" i="1"/>
  <c r="CT155" i="1"/>
  <c r="CS155" i="1"/>
  <c r="CR155" i="1"/>
  <c r="CQ155" i="1"/>
  <c r="CP155" i="1"/>
  <c r="CO155" i="1"/>
  <c r="CN155" i="1"/>
  <c r="CM155" i="1"/>
  <c r="CL155" i="1"/>
  <c r="CK155" i="1"/>
  <c r="CJ155" i="1"/>
  <c r="CI155" i="1"/>
  <c r="CH155" i="1"/>
  <c r="CG155" i="1"/>
  <c r="CF155" i="1"/>
  <c r="BR155" i="1"/>
  <c r="BQ155" i="1"/>
  <c r="BP155" i="1"/>
  <c r="BO155" i="1"/>
  <c r="BN155" i="1"/>
  <c r="BM155" i="1"/>
  <c r="BL155" i="1"/>
  <c r="BK155" i="1"/>
  <c r="BJ155" i="1"/>
  <c r="BI155" i="1"/>
  <c r="BH155" i="1"/>
  <c r="BF155" i="1"/>
  <c r="BE155" i="1"/>
  <c r="BC155" i="1"/>
  <c r="BB155" i="1"/>
  <c r="BA155" i="1"/>
  <c r="AY155" i="1"/>
  <c r="AX155" i="1"/>
  <c r="AW155" i="1"/>
  <c r="AU155" i="1"/>
  <c r="AT155" i="1"/>
  <c r="AS155" i="1"/>
  <c r="AR155" i="1"/>
  <c r="AQ155" i="1"/>
  <c r="AP155" i="1"/>
  <c r="AO155" i="1"/>
  <c r="AN155" i="1"/>
  <c r="AM155" i="1"/>
  <c r="AL155" i="1"/>
  <c r="AK155" i="1"/>
  <c r="AJ155" i="1"/>
  <c r="AI155" i="1"/>
  <c r="AH155" i="1"/>
  <c r="AF155" i="1"/>
  <c r="AE155" i="1"/>
  <c r="O154" i="1" s="1"/>
  <c r="P154" i="1" s="1"/>
  <c r="J155" i="1"/>
  <c r="DE154" i="1"/>
  <c r="DD154" i="1"/>
  <c r="DC154" i="1"/>
  <c r="DB154" i="1"/>
  <c r="DA154" i="1"/>
  <c r="CZ154" i="1"/>
  <c r="CY154" i="1"/>
  <c r="CX154" i="1"/>
  <c r="CW154" i="1"/>
  <c r="CV154" i="1"/>
  <c r="CU154" i="1"/>
  <c r="CT154" i="1"/>
  <c r="CS154" i="1"/>
  <c r="CR154" i="1"/>
  <c r="CQ154" i="1"/>
  <c r="CP154" i="1"/>
  <c r="CO154" i="1"/>
  <c r="CN154" i="1"/>
  <c r="CM154" i="1"/>
  <c r="CL154" i="1"/>
  <c r="CK154" i="1"/>
  <c r="CJ154" i="1"/>
  <c r="CI154" i="1"/>
  <c r="CH154" i="1"/>
  <c r="CG154" i="1"/>
  <c r="CF154" i="1"/>
  <c r="CE154" i="1"/>
  <c r="CC154" i="1"/>
  <c r="CB154" i="1"/>
  <c r="CA154" i="1"/>
  <c r="BY154" i="1"/>
  <c r="BX154" i="1"/>
  <c r="BW154" i="1"/>
  <c r="BU154" i="1"/>
  <c r="BS154" i="1"/>
  <c r="BR154" i="1"/>
  <c r="BQ154" i="1"/>
  <c r="BP154" i="1"/>
  <c r="BO154" i="1"/>
  <c r="BN154" i="1"/>
  <c r="BL154" i="1"/>
  <c r="BK154" i="1"/>
  <c r="BJ154" i="1"/>
  <c r="BI154" i="1"/>
  <c r="BH154" i="1"/>
  <c r="BG154" i="1"/>
  <c r="BF154" i="1"/>
  <c r="BE154" i="1"/>
  <c r="BD154" i="1"/>
  <c r="BC154" i="1"/>
  <c r="BA154" i="1"/>
  <c r="AZ154" i="1"/>
  <c r="AY154" i="1"/>
  <c r="AW154" i="1"/>
  <c r="AV154" i="1"/>
  <c r="AU154" i="1"/>
  <c r="AS154" i="1"/>
  <c r="AR154" i="1"/>
  <c r="AQ154" i="1"/>
  <c r="AP154" i="1"/>
  <c r="AO154" i="1"/>
  <c r="AN154" i="1"/>
  <c r="AL154" i="1"/>
  <c r="AK154" i="1"/>
  <c r="AJ154" i="1"/>
  <c r="AI154" i="1"/>
  <c r="AH154" i="1"/>
  <c r="AG154" i="1"/>
  <c r="AF154" i="1"/>
  <c r="AE154" i="1"/>
  <c r="AD154" i="1"/>
  <c r="G154" i="1"/>
  <c r="F154" i="1"/>
  <c r="B154" i="1"/>
  <c r="BE156" i="1" s="1"/>
  <c r="DE153" i="1"/>
  <c r="DD153" i="1"/>
  <c r="DC153" i="1"/>
  <c r="DB153" i="1"/>
  <c r="DA153" i="1"/>
  <c r="CZ153" i="1"/>
  <c r="CY153" i="1"/>
  <c r="CX153" i="1"/>
  <c r="CW153" i="1"/>
  <c r="CV153" i="1"/>
  <c r="CU153" i="1"/>
  <c r="CT153" i="1"/>
  <c r="CS153" i="1"/>
  <c r="CR153" i="1"/>
  <c r="CQ153" i="1"/>
  <c r="CP153" i="1"/>
  <c r="CO153" i="1"/>
  <c r="CN153" i="1"/>
  <c r="CM153" i="1"/>
  <c r="CL153" i="1"/>
  <c r="CK153" i="1"/>
  <c r="CJ153" i="1"/>
  <c r="CI153" i="1"/>
  <c r="CH153" i="1"/>
  <c r="CG153" i="1"/>
  <c r="CF153" i="1"/>
  <c r="BR153" i="1"/>
  <c r="BQ153" i="1"/>
  <c r="BP153" i="1"/>
  <c r="BO153" i="1"/>
  <c r="BN153" i="1"/>
  <c r="BM153" i="1"/>
  <c r="BL153" i="1"/>
  <c r="BK153" i="1"/>
  <c r="BJ153" i="1"/>
  <c r="BI153" i="1"/>
  <c r="BH153" i="1"/>
  <c r="BG153" i="1"/>
  <c r="BF153" i="1"/>
  <c r="BE153" i="1"/>
  <c r="BB153" i="1"/>
  <c r="BA153" i="1"/>
  <c r="AX153" i="1"/>
  <c r="AW153" i="1"/>
  <c r="AT153" i="1"/>
  <c r="AS153" i="1"/>
  <c r="AR153" i="1"/>
  <c r="AQ153" i="1"/>
  <c r="AP153" i="1"/>
  <c r="AO153" i="1"/>
  <c r="AN153" i="1"/>
  <c r="AM153" i="1"/>
  <c r="AL153" i="1"/>
  <c r="AK153" i="1"/>
  <c r="AJ153" i="1"/>
  <c r="AI153" i="1"/>
  <c r="AH153" i="1"/>
  <c r="AG153" i="1"/>
  <c r="AF153" i="1"/>
  <c r="AE153" i="1"/>
  <c r="AD153" i="1"/>
  <c r="R153" i="1"/>
  <c r="Q153" i="1"/>
  <c r="O153" i="1"/>
  <c r="P153" i="1" s="1"/>
  <c r="DE152" i="1"/>
  <c r="DD152" i="1"/>
  <c r="DC152" i="1"/>
  <c r="DB152" i="1"/>
  <c r="DA152" i="1"/>
  <c r="CZ152" i="1"/>
  <c r="CY152" i="1"/>
  <c r="CX152" i="1"/>
  <c r="CW152" i="1"/>
  <c r="CV152" i="1"/>
  <c r="CU152" i="1"/>
  <c r="CT152" i="1"/>
  <c r="CS152" i="1"/>
  <c r="CR152" i="1"/>
  <c r="CQ152" i="1"/>
  <c r="CP152" i="1"/>
  <c r="CO152" i="1"/>
  <c r="CN152" i="1"/>
  <c r="CM152" i="1"/>
  <c r="CL152" i="1"/>
  <c r="CK152" i="1"/>
  <c r="CJ152" i="1"/>
  <c r="CI152" i="1"/>
  <c r="CH152" i="1"/>
  <c r="CG152" i="1"/>
  <c r="CF152" i="1"/>
  <c r="BR152" i="1"/>
  <c r="BQ152" i="1"/>
  <c r="BP152" i="1"/>
  <c r="BO152" i="1"/>
  <c r="BN152" i="1"/>
  <c r="BM152" i="1"/>
  <c r="BL152" i="1"/>
  <c r="BK152" i="1"/>
  <c r="BJ152" i="1"/>
  <c r="BI152" i="1"/>
  <c r="BH152" i="1"/>
  <c r="BF152" i="1"/>
  <c r="BE152" i="1"/>
  <c r="BB152" i="1"/>
  <c r="BA152" i="1"/>
  <c r="AX152" i="1"/>
  <c r="AW152" i="1"/>
  <c r="AT152" i="1"/>
  <c r="AS152" i="1"/>
  <c r="AR152" i="1"/>
  <c r="AQ152" i="1"/>
  <c r="AP152" i="1"/>
  <c r="AO152" i="1"/>
  <c r="AN152" i="1"/>
  <c r="AM152" i="1"/>
  <c r="AL152" i="1"/>
  <c r="AK152" i="1"/>
  <c r="AJ152" i="1"/>
  <c r="AI152" i="1"/>
  <c r="AH152" i="1"/>
  <c r="AF152" i="1"/>
  <c r="AE152" i="1"/>
  <c r="AD152" i="1"/>
  <c r="O152" i="1"/>
  <c r="J152" i="1"/>
  <c r="DE151" i="1"/>
  <c r="DD151" i="1"/>
  <c r="DC151" i="1"/>
  <c r="DB151" i="1"/>
  <c r="DA151" i="1"/>
  <c r="CZ151" i="1"/>
  <c r="CY151" i="1"/>
  <c r="CX151" i="1"/>
  <c r="CW151" i="1"/>
  <c r="CV151" i="1"/>
  <c r="CU151" i="1"/>
  <c r="CT151" i="1"/>
  <c r="CS151" i="1"/>
  <c r="CR151" i="1"/>
  <c r="CQ151" i="1"/>
  <c r="CP151" i="1"/>
  <c r="CO151" i="1"/>
  <c r="CN151" i="1"/>
  <c r="CM151" i="1"/>
  <c r="CL151" i="1"/>
  <c r="CK151" i="1"/>
  <c r="CJ151" i="1"/>
  <c r="CI151" i="1"/>
  <c r="CH151" i="1"/>
  <c r="CG151" i="1"/>
  <c r="CF151" i="1"/>
  <c r="CC151" i="1"/>
  <c r="CB151" i="1"/>
  <c r="BY151" i="1"/>
  <c r="BX151" i="1"/>
  <c r="BU151" i="1"/>
  <c r="BR151" i="1"/>
  <c r="BQ151" i="1"/>
  <c r="BP151" i="1"/>
  <c r="BO151" i="1"/>
  <c r="BN151" i="1"/>
  <c r="BM151" i="1"/>
  <c r="BL151" i="1"/>
  <c r="BK151" i="1"/>
  <c r="BJ151" i="1"/>
  <c r="BI151" i="1"/>
  <c r="BH151" i="1"/>
  <c r="BG151" i="1"/>
  <c r="BF151" i="1"/>
  <c r="BE151" i="1"/>
  <c r="BD151" i="1"/>
  <c r="BA151" i="1"/>
  <c r="AZ151" i="1"/>
  <c r="AW151" i="1"/>
  <c r="AV151" i="1"/>
  <c r="AS151" i="1"/>
  <c r="AR151" i="1"/>
  <c r="AQ151" i="1"/>
  <c r="AP151" i="1"/>
  <c r="AO151" i="1"/>
  <c r="AN151" i="1"/>
  <c r="AL151" i="1"/>
  <c r="AK151" i="1"/>
  <c r="AJ151" i="1"/>
  <c r="AI151" i="1"/>
  <c r="AH151" i="1"/>
  <c r="AG151" i="1"/>
  <c r="AF151" i="1"/>
  <c r="AE151" i="1"/>
  <c r="AD151" i="1"/>
  <c r="P151" i="1"/>
  <c r="O151" i="1"/>
  <c r="AM151" i="1" s="1"/>
  <c r="F151" i="1"/>
  <c r="B151" i="1"/>
  <c r="BD153" i="1" s="1"/>
  <c r="DE150" i="1"/>
  <c r="DD150" i="1"/>
  <c r="DC150" i="1"/>
  <c r="DB150" i="1"/>
  <c r="DA150" i="1"/>
  <c r="CZ150" i="1"/>
  <c r="CY150" i="1"/>
  <c r="CX150" i="1"/>
  <c r="CW150" i="1"/>
  <c r="CV150" i="1"/>
  <c r="CU150" i="1"/>
  <c r="CT150" i="1"/>
  <c r="CS150" i="1"/>
  <c r="CR150" i="1"/>
  <c r="CQ150" i="1"/>
  <c r="CP150" i="1"/>
  <c r="CO150" i="1"/>
  <c r="CN150" i="1"/>
  <c r="CM150" i="1"/>
  <c r="CL150" i="1"/>
  <c r="CK150" i="1"/>
  <c r="CJ150" i="1"/>
  <c r="CI150" i="1"/>
  <c r="CH150" i="1"/>
  <c r="CG150" i="1"/>
  <c r="CF150" i="1"/>
  <c r="BR150" i="1"/>
  <c r="BP150" i="1"/>
  <c r="BO150" i="1"/>
  <c r="BN150" i="1"/>
  <c r="BM150" i="1"/>
  <c r="BL150" i="1"/>
  <c r="BK150" i="1"/>
  <c r="BJ150" i="1"/>
  <c r="BI150" i="1"/>
  <c r="BH150" i="1"/>
  <c r="BG150" i="1"/>
  <c r="BF150" i="1"/>
  <c r="BE150" i="1"/>
  <c r="AW150" i="1"/>
  <c r="AR150" i="1"/>
  <c r="AP150" i="1"/>
  <c r="AO150" i="1"/>
  <c r="AN150" i="1"/>
  <c r="AM150" i="1"/>
  <c r="AL150" i="1"/>
  <c r="AK150" i="1"/>
  <c r="AJ150" i="1"/>
  <c r="AI150" i="1"/>
  <c r="AH150" i="1"/>
  <c r="AG150" i="1"/>
  <c r="AF150" i="1"/>
  <c r="AE150" i="1"/>
  <c r="DE149" i="1"/>
  <c r="DD149" i="1"/>
  <c r="DC149" i="1"/>
  <c r="DB149" i="1"/>
  <c r="DA149" i="1"/>
  <c r="CZ149" i="1"/>
  <c r="CY149" i="1"/>
  <c r="CX149" i="1"/>
  <c r="CW149" i="1"/>
  <c r="CV149" i="1"/>
  <c r="CU149" i="1"/>
  <c r="CT149" i="1"/>
  <c r="CS149" i="1"/>
  <c r="CR149" i="1"/>
  <c r="CQ149" i="1"/>
  <c r="CP149" i="1"/>
  <c r="CO149" i="1"/>
  <c r="CN149" i="1"/>
  <c r="CM149" i="1"/>
  <c r="CL149" i="1"/>
  <c r="CK149" i="1"/>
  <c r="CJ149" i="1"/>
  <c r="CI149" i="1"/>
  <c r="CH149" i="1"/>
  <c r="CG149" i="1"/>
  <c r="CF149" i="1"/>
  <c r="BR149" i="1"/>
  <c r="BP149" i="1"/>
  <c r="BO149" i="1"/>
  <c r="BN149" i="1"/>
  <c r="BM149" i="1"/>
  <c r="BL149" i="1"/>
  <c r="BK149" i="1"/>
  <c r="BJ149" i="1"/>
  <c r="BI149" i="1"/>
  <c r="BH149" i="1"/>
  <c r="BG149" i="1"/>
  <c r="BF149" i="1"/>
  <c r="AZ149" i="1"/>
  <c r="AR149" i="1"/>
  <c r="AP149" i="1"/>
  <c r="AO149" i="1"/>
  <c r="AN149" i="1"/>
  <c r="AM149" i="1"/>
  <c r="AL149" i="1"/>
  <c r="AK149" i="1"/>
  <c r="AJ149" i="1"/>
  <c r="AI149" i="1"/>
  <c r="AH149" i="1"/>
  <c r="AG149" i="1"/>
  <c r="AF149" i="1"/>
  <c r="AE149" i="1"/>
  <c r="J149" i="1"/>
  <c r="DE148" i="1"/>
  <c r="DD148" i="1"/>
  <c r="DC148" i="1"/>
  <c r="DB148" i="1"/>
  <c r="DA148" i="1"/>
  <c r="CZ148" i="1"/>
  <c r="CY148" i="1"/>
  <c r="CX148" i="1"/>
  <c r="CW148" i="1"/>
  <c r="CV148" i="1"/>
  <c r="CU148" i="1"/>
  <c r="CT148" i="1"/>
  <c r="CS148" i="1"/>
  <c r="CR148" i="1"/>
  <c r="CQ148" i="1"/>
  <c r="CP148" i="1"/>
  <c r="CO148" i="1"/>
  <c r="CN148" i="1"/>
  <c r="CM148" i="1"/>
  <c r="CL148" i="1"/>
  <c r="CK148" i="1"/>
  <c r="CJ148" i="1"/>
  <c r="CI148" i="1"/>
  <c r="CH148" i="1"/>
  <c r="CG148" i="1"/>
  <c r="CF148" i="1"/>
  <c r="BZ148" i="1"/>
  <c r="BY148" i="1"/>
  <c r="BR148" i="1"/>
  <c r="BQ148" i="1"/>
  <c r="BP148" i="1"/>
  <c r="BO148" i="1"/>
  <c r="BN148" i="1"/>
  <c r="BM148" i="1"/>
  <c r="BL148" i="1"/>
  <c r="BK148" i="1"/>
  <c r="BJ148" i="1"/>
  <c r="BI148" i="1"/>
  <c r="BH148" i="1"/>
  <c r="BF148" i="1"/>
  <c r="BE148" i="1"/>
  <c r="BB148" i="1"/>
  <c r="AW148" i="1"/>
  <c r="AT148" i="1"/>
  <c r="AR148" i="1"/>
  <c r="AQ148" i="1"/>
  <c r="AP148" i="1"/>
  <c r="AO148" i="1"/>
  <c r="AN148" i="1"/>
  <c r="AM148" i="1"/>
  <c r="AL148" i="1"/>
  <c r="AK148" i="1"/>
  <c r="AJ148" i="1"/>
  <c r="AI148" i="1"/>
  <c r="AH148" i="1"/>
  <c r="AF148" i="1"/>
  <c r="AE148" i="1"/>
  <c r="AD148" i="1"/>
  <c r="G148" i="1"/>
  <c r="B148" i="1"/>
  <c r="BD150" i="1" s="1"/>
  <c r="DE147" i="1"/>
  <c r="DD147" i="1"/>
  <c r="DC147" i="1"/>
  <c r="DB147" i="1"/>
  <c r="DA147" i="1"/>
  <c r="CZ147" i="1"/>
  <c r="CY147" i="1"/>
  <c r="CX147" i="1"/>
  <c r="CW147" i="1"/>
  <c r="CV147" i="1"/>
  <c r="CU147" i="1"/>
  <c r="CT147" i="1"/>
  <c r="CS147" i="1"/>
  <c r="CR147" i="1"/>
  <c r="CQ147" i="1"/>
  <c r="CP147" i="1"/>
  <c r="CO147" i="1"/>
  <c r="CN147" i="1"/>
  <c r="CM147" i="1"/>
  <c r="CL147" i="1"/>
  <c r="CK147" i="1"/>
  <c r="CJ147" i="1"/>
  <c r="CI147" i="1"/>
  <c r="CH147" i="1"/>
  <c r="CG147" i="1"/>
  <c r="CF147" i="1"/>
  <c r="BR147" i="1"/>
  <c r="BQ147" i="1"/>
  <c r="BP147" i="1"/>
  <c r="BO147" i="1"/>
  <c r="BN147" i="1"/>
  <c r="BM147" i="1"/>
  <c r="BL147" i="1"/>
  <c r="BK147" i="1"/>
  <c r="BJ147" i="1"/>
  <c r="BI147" i="1"/>
  <c r="BH147" i="1"/>
  <c r="BG147" i="1"/>
  <c r="BF147" i="1"/>
  <c r="AY147" i="1"/>
  <c r="AR147" i="1"/>
  <c r="AQ147" i="1"/>
  <c r="AP147" i="1"/>
  <c r="AO147" i="1"/>
  <c r="AN147" i="1"/>
  <c r="AM147" i="1"/>
  <c r="AL147" i="1"/>
  <c r="AK147" i="1"/>
  <c r="AJ147" i="1"/>
  <c r="AI147" i="1"/>
  <c r="AH147" i="1"/>
  <c r="AG147" i="1"/>
  <c r="AF147" i="1"/>
  <c r="AE147" i="1"/>
  <c r="AD147" i="1"/>
  <c r="R147" i="1"/>
  <c r="Q147" i="1"/>
  <c r="DE146" i="1"/>
  <c r="DD146" i="1"/>
  <c r="DC146" i="1"/>
  <c r="DB146" i="1"/>
  <c r="DA146" i="1"/>
  <c r="CZ146" i="1"/>
  <c r="CY146" i="1"/>
  <c r="CX146" i="1"/>
  <c r="CW146" i="1"/>
  <c r="CV146" i="1"/>
  <c r="CU146" i="1"/>
  <c r="CT146" i="1"/>
  <c r="CS146" i="1"/>
  <c r="CR146" i="1"/>
  <c r="CQ146" i="1"/>
  <c r="CP146" i="1"/>
  <c r="CO146" i="1"/>
  <c r="CN146" i="1"/>
  <c r="CM146" i="1"/>
  <c r="CL146" i="1"/>
  <c r="CK146" i="1"/>
  <c r="CJ146" i="1"/>
  <c r="CI146" i="1"/>
  <c r="CH146" i="1"/>
  <c r="CG146" i="1"/>
  <c r="CF146" i="1"/>
  <c r="BR146" i="1"/>
  <c r="BP146" i="1"/>
  <c r="BO146" i="1"/>
  <c r="BN146" i="1"/>
  <c r="BM146" i="1"/>
  <c r="BL146" i="1"/>
  <c r="BK146" i="1"/>
  <c r="BJ146" i="1"/>
  <c r="BI146" i="1"/>
  <c r="BH146" i="1"/>
  <c r="BG146" i="1"/>
  <c r="BF146" i="1"/>
  <c r="BB146" i="1"/>
  <c r="AT146" i="1"/>
  <c r="AR146" i="1"/>
  <c r="AP146" i="1"/>
  <c r="AO146" i="1"/>
  <c r="AN146" i="1"/>
  <c r="AM146" i="1"/>
  <c r="AL146" i="1"/>
  <c r="AK146" i="1"/>
  <c r="AJ146" i="1"/>
  <c r="AI146" i="1"/>
  <c r="AH146" i="1"/>
  <c r="AG146" i="1"/>
  <c r="AF146" i="1"/>
  <c r="AE146" i="1"/>
  <c r="O145" i="1" s="1"/>
  <c r="AD146" i="1"/>
  <c r="P146" i="1"/>
  <c r="AQ146" i="1" s="1"/>
  <c r="O146" i="1"/>
  <c r="BQ146" i="1" s="1"/>
  <c r="J146" i="1"/>
  <c r="DE145" i="1"/>
  <c r="DD145" i="1"/>
  <c r="DC145" i="1"/>
  <c r="DB145" i="1"/>
  <c r="DA145" i="1"/>
  <c r="CZ145" i="1"/>
  <c r="CY145" i="1"/>
  <c r="CX145" i="1"/>
  <c r="CW145" i="1"/>
  <c r="CV145" i="1"/>
  <c r="CU145" i="1"/>
  <c r="CT145" i="1"/>
  <c r="CS145" i="1"/>
  <c r="CR145" i="1"/>
  <c r="CQ145" i="1"/>
  <c r="CP145" i="1"/>
  <c r="CO145" i="1"/>
  <c r="CN145" i="1"/>
  <c r="CM145" i="1"/>
  <c r="CL145" i="1"/>
  <c r="CK145" i="1"/>
  <c r="CJ145" i="1"/>
  <c r="CI145" i="1"/>
  <c r="CH145" i="1"/>
  <c r="CG145" i="1"/>
  <c r="CF145" i="1"/>
  <c r="BV145" i="1"/>
  <c r="BR145" i="1"/>
  <c r="BQ145" i="1"/>
  <c r="BP145" i="1"/>
  <c r="BO145" i="1"/>
  <c r="BN145" i="1"/>
  <c r="BM145" i="1"/>
  <c r="BL145" i="1"/>
  <c r="BK145" i="1"/>
  <c r="BJ145" i="1"/>
  <c r="BI145" i="1"/>
  <c r="BH145" i="1"/>
  <c r="BF145" i="1"/>
  <c r="BA145" i="1"/>
  <c r="AS145" i="1"/>
  <c r="AR145" i="1"/>
  <c r="AQ145" i="1"/>
  <c r="AP145" i="1"/>
  <c r="AO145" i="1"/>
  <c r="AN145" i="1"/>
  <c r="AM145" i="1"/>
  <c r="AL145" i="1"/>
  <c r="AK145" i="1"/>
  <c r="AJ145" i="1"/>
  <c r="AI145" i="1"/>
  <c r="AH145" i="1"/>
  <c r="AG145" i="1"/>
  <c r="AF145" i="1"/>
  <c r="AE145" i="1"/>
  <c r="AD145" i="1"/>
  <c r="G145" i="1"/>
  <c r="F145" i="1"/>
  <c r="B145" i="1"/>
  <c r="DE144" i="1"/>
  <c r="DD144" i="1"/>
  <c r="DC144" i="1"/>
  <c r="DB144" i="1"/>
  <c r="DA144" i="1"/>
  <c r="CZ144" i="1"/>
  <c r="CY144" i="1"/>
  <c r="CX144" i="1"/>
  <c r="CW144" i="1"/>
  <c r="CV144" i="1"/>
  <c r="CU144" i="1"/>
  <c r="CT144" i="1"/>
  <c r="CS144" i="1"/>
  <c r="CR144" i="1"/>
  <c r="CQ144" i="1"/>
  <c r="CP144" i="1"/>
  <c r="CO144" i="1"/>
  <c r="CN144" i="1"/>
  <c r="CM144" i="1"/>
  <c r="CL144" i="1"/>
  <c r="CK144" i="1"/>
  <c r="CJ144" i="1"/>
  <c r="CI144" i="1"/>
  <c r="CH144" i="1"/>
  <c r="CG144" i="1"/>
  <c r="CF144" i="1"/>
  <c r="BR144" i="1"/>
  <c r="BQ144" i="1"/>
  <c r="BP144" i="1"/>
  <c r="BO144" i="1"/>
  <c r="BN144" i="1"/>
  <c r="BM144" i="1"/>
  <c r="BL144" i="1"/>
  <c r="BK144" i="1"/>
  <c r="BJ144" i="1"/>
  <c r="BI144" i="1"/>
  <c r="BH144" i="1"/>
  <c r="BG144" i="1"/>
  <c r="BF144" i="1"/>
  <c r="BC144" i="1"/>
  <c r="BB144" i="1"/>
  <c r="AU144" i="1"/>
  <c r="AT144" i="1"/>
  <c r="AR144" i="1"/>
  <c r="AQ144" i="1"/>
  <c r="AP144" i="1"/>
  <c r="AO144" i="1"/>
  <c r="AN144" i="1"/>
  <c r="AM144" i="1"/>
  <c r="AL144" i="1"/>
  <c r="AK144" i="1"/>
  <c r="AJ144" i="1"/>
  <c r="AI144" i="1"/>
  <c r="AH144" i="1"/>
  <c r="AG144" i="1"/>
  <c r="AF144" i="1"/>
  <c r="AE144" i="1"/>
  <c r="R144" i="1"/>
  <c r="Q144" i="1"/>
  <c r="DE143" i="1"/>
  <c r="DD143" i="1"/>
  <c r="DC143" i="1"/>
  <c r="DB143" i="1"/>
  <c r="DA143" i="1"/>
  <c r="CZ143" i="1"/>
  <c r="CY143" i="1"/>
  <c r="CX143" i="1"/>
  <c r="CW143" i="1"/>
  <c r="CV143" i="1"/>
  <c r="CU143" i="1"/>
  <c r="CT143" i="1"/>
  <c r="CS143" i="1"/>
  <c r="CR143" i="1"/>
  <c r="CQ143" i="1"/>
  <c r="CP143" i="1"/>
  <c r="CO143" i="1"/>
  <c r="CN143" i="1"/>
  <c r="CM143" i="1"/>
  <c r="CL143" i="1"/>
  <c r="CK143" i="1"/>
  <c r="CJ143" i="1"/>
  <c r="CI143" i="1"/>
  <c r="CH143" i="1"/>
  <c r="CG143" i="1"/>
  <c r="CF143" i="1"/>
  <c r="BR143" i="1"/>
  <c r="BQ143" i="1"/>
  <c r="BP143" i="1"/>
  <c r="BO143" i="1"/>
  <c r="BN143" i="1"/>
  <c r="BM143" i="1"/>
  <c r="BL143" i="1"/>
  <c r="BK143" i="1"/>
  <c r="BJ143" i="1"/>
  <c r="BI143" i="1"/>
  <c r="BH143" i="1"/>
  <c r="BG143" i="1"/>
  <c r="BF143" i="1"/>
  <c r="BE143" i="1"/>
  <c r="AX143" i="1"/>
  <c r="AW143" i="1"/>
  <c r="AR143" i="1"/>
  <c r="AP143" i="1"/>
  <c r="AO143" i="1"/>
  <c r="AN143" i="1"/>
  <c r="AM143" i="1"/>
  <c r="AL143" i="1"/>
  <c r="AK143" i="1"/>
  <c r="AJ143" i="1"/>
  <c r="AI143" i="1"/>
  <c r="AH143" i="1"/>
  <c r="AG143" i="1"/>
  <c r="AF143" i="1"/>
  <c r="AE143" i="1"/>
  <c r="J143" i="1"/>
  <c r="DE142" i="1"/>
  <c r="DD142" i="1"/>
  <c r="DC142" i="1"/>
  <c r="DB142" i="1"/>
  <c r="DA142" i="1"/>
  <c r="CZ142" i="1"/>
  <c r="CY142" i="1"/>
  <c r="CX142" i="1"/>
  <c r="CW142" i="1"/>
  <c r="CV142" i="1"/>
  <c r="CU142" i="1"/>
  <c r="CT142" i="1"/>
  <c r="CS142" i="1"/>
  <c r="CR142" i="1"/>
  <c r="CQ142" i="1"/>
  <c r="CP142" i="1"/>
  <c r="CO142" i="1"/>
  <c r="CN142" i="1"/>
  <c r="CM142" i="1"/>
  <c r="CL142" i="1"/>
  <c r="CK142" i="1"/>
  <c r="CJ142" i="1"/>
  <c r="CI142" i="1"/>
  <c r="CH142" i="1"/>
  <c r="CG142" i="1"/>
  <c r="CF142" i="1"/>
  <c r="CE142" i="1"/>
  <c r="BX142" i="1"/>
  <c r="BW142" i="1"/>
  <c r="BR142" i="1"/>
  <c r="BQ142" i="1"/>
  <c r="BP142" i="1"/>
  <c r="BO142" i="1"/>
  <c r="BN142" i="1"/>
  <c r="BM142" i="1"/>
  <c r="BL142" i="1"/>
  <c r="BK142" i="1"/>
  <c r="BJ142" i="1"/>
  <c r="BI142" i="1"/>
  <c r="BH142" i="1"/>
  <c r="BF142" i="1"/>
  <c r="BD142" i="1"/>
  <c r="AY142" i="1"/>
  <c r="AV142" i="1"/>
  <c r="AR142" i="1"/>
  <c r="AQ142" i="1"/>
  <c r="AP142" i="1"/>
  <c r="AO142" i="1"/>
  <c r="AN142" i="1"/>
  <c r="AM142" i="1"/>
  <c r="AL142" i="1"/>
  <c r="AK142" i="1"/>
  <c r="AJ142" i="1"/>
  <c r="AI142" i="1"/>
  <c r="AH142" i="1"/>
  <c r="AF142" i="1"/>
  <c r="AE142" i="1"/>
  <c r="O143" i="1" s="1"/>
  <c r="P143" i="1" s="1"/>
  <c r="AQ143" i="1" s="1"/>
  <c r="AD142" i="1"/>
  <c r="O142" i="1"/>
  <c r="AG142" i="1" s="1"/>
  <c r="F142" i="1"/>
  <c r="B142" i="1"/>
  <c r="DE141" i="1"/>
  <c r="DD141" i="1"/>
  <c r="DC141" i="1"/>
  <c r="DB141" i="1"/>
  <c r="DA141" i="1"/>
  <c r="CZ141" i="1"/>
  <c r="CY141" i="1"/>
  <c r="CX141" i="1"/>
  <c r="CW141" i="1"/>
  <c r="CV141" i="1"/>
  <c r="CU141" i="1"/>
  <c r="CT141" i="1"/>
  <c r="CS141" i="1"/>
  <c r="CR141" i="1"/>
  <c r="CQ141" i="1"/>
  <c r="CP141" i="1"/>
  <c r="CO141" i="1"/>
  <c r="CN141" i="1"/>
  <c r="CM141" i="1"/>
  <c r="CL141" i="1"/>
  <c r="CK141" i="1"/>
  <c r="CJ141" i="1"/>
  <c r="CI141" i="1"/>
  <c r="CH141" i="1"/>
  <c r="CG141" i="1"/>
  <c r="CF141" i="1"/>
  <c r="BR141" i="1"/>
  <c r="BQ141" i="1"/>
  <c r="BP141" i="1"/>
  <c r="BO141" i="1"/>
  <c r="BN141" i="1"/>
  <c r="BM141" i="1"/>
  <c r="BL141" i="1"/>
  <c r="BK141" i="1"/>
  <c r="BJ141" i="1"/>
  <c r="BI141" i="1"/>
  <c r="BH141" i="1"/>
  <c r="BG141" i="1"/>
  <c r="BF141" i="1"/>
  <c r="BD141" i="1"/>
  <c r="AY141" i="1"/>
  <c r="AV141" i="1"/>
  <c r="AR141" i="1"/>
  <c r="AQ141" i="1"/>
  <c r="AP141" i="1"/>
  <c r="AO141" i="1"/>
  <c r="AN141" i="1"/>
  <c r="AM141" i="1"/>
  <c r="AL141" i="1"/>
  <c r="AK141" i="1"/>
  <c r="AJ141" i="1"/>
  <c r="AI141" i="1"/>
  <c r="AH141" i="1"/>
  <c r="AG141" i="1"/>
  <c r="AF141" i="1"/>
  <c r="AE141" i="1"/>
  <c r="AD141" i="1"/>
  <c r="R141" i="1"/>
  <c r="Q141" i="1"/>
  <c r="DE140" i="1"/>
  <c r="DD140" i="1"/>
  <c r="DC140" i="1"/>
  <c r="DB140" i="1"/>
  <c r="DA140" i="1"/>
  <c r="CZ140" i="1"/>
  <c r="CY140" i="1"/>
  <c r="CX140" i="1"/>
  <c r="CW140" i="1"/>
  <c r="CV140" i="1"/>
  <c r="CU140" i="1"/>
  <c r="CT140" i="1"/>
  <c r="CS140" i="1"/>
  <c r="CR140" i="1"/>
  <c r="CQ140" i="1"/>
  <c r="CP140" i="1"/>
  <c r="CO140" i="1"/>
  <c r="CN140" i="1"/>
  <c r="CM140" i="1"/>
  <c r="CL140" i="1"/>
  <c r="CK140" i="1"/>
  <c r="CJ140" i="1"/>
  <c r="CI140" i="1"/>
  <c r="CH140" i="1"/>
  <c r="CG140" i="1"/>
  <c r="CF140" i="1"/>
  <c r="BR140" i="1"/>
  <c r="BP140" i="1"/>
  <c r="BO140" i="1"/>
  <c r="BN140" i="1"/>
  <c r="BM140" i="1"/>
  <c r="BL140" i="1"/>
  <c r="BK140" i="1"/>
  <c r="BJ140" i="1"/>
  <c r="BI140" i="1"/>
  <c r="BH140" i="1"/>
  <c r="BG140" i="1"/>
  <c r="BF140" i="1"/>
  <c r="BD140" i="1"/>
  <c r="AY140" i="1"/>
  <c r="AV140" i="1"/>
  <c r="AR140" i="1"/>
  <c r="AP140" i="1"/>
  <c r="AO140" i="1"/>
  <c r="AN140" i="1"/>
  <c r="AM140" i="1"/>
  <c r="AL140" i="1"/>
  <c r="AK140" i="1"/>
  <c r="AJ140" i="1"/>
  <c r="AI140" i="1"/>
  <c r="AH140" i="1"/>
  <c r="AG140" i="1"/>
  <c r="AF140" i="1"/>
  <c r="AE140" i="1"/>
  <c r="O139" i="1" s="1"/>
  <c r="AD140" i="1"/>
  <c r="J140" i="1"/>
  <c r="DE139" i="1"/>
  <c r="DD139" i="1"/>
  <c r="DC139" i="1"/>
  <c r="DB139" i="1"/>
  <c r="DA139" i="1"/>
  <c r="CZ139" i="1"/>
  <c r="CY139" i="1"/>
  <c r="CX139" i="1"/>
  <c r="CW139" i="1"/>
  <c r="CV139" i="1"/>
  <c r="CU139" i="1"/>
  <c r="CT139" i="1"/>
  <c r="CS139" i="1"/>
  <c r="CR139" i="1"/>
  <c r="CQ139" i="1"/>
  <c r="CP139" i="1"/>
  <c r="CO139" i="1"/>
  <c r="CN139" i="1"/>
  <c r="CM139" i="1"/>
  <c r="CL139" i="1"/>
  <c r="CK139" i="1"/>
  <c r="CJ139" i="1"/>
  <c r="CI139" i="1"/>
  <c r="CH139" i="1"/>
  <c r="CG139" i="1"/>
  <c r="CF139" i="1"/>
  <c r="CA139" i="1"/>
  <c r="BV139" i="1"/>
  <c r="BS139" i="1"/>
  <c r="BR139" i="1"/>
  <c r="BQ139" i="1"/>
  <c r="BP139" i="1"/>
  <c r="BO139" i="1"/>
  <c r="BN139" i="1"/>
  <c r="BM139" i="1"/>
  <c r="BL139" i="1"/>
  <c r="BK139" i="1"/>
  <c r="BI139" i="1"/>
  <c r="BH139" i="1"/>
  <c r="BG139" i="1"/>
  <c r="BF139" i="1"/>
  <c r="BB139" i="1"/>
  <c r="AY139" i="1"/>
  <c r="AT139" i="1"/>
  <c r="AR139" i="1"/>
  <c r="AQ139" i="1"/>
  <c r="AP139" i="1"/>
  <c r="AO139" i="1"/>
  <c r="AN139" i="1"/>
  <c r="AM139" i="1"/>
  <c r="AL139" i="1"/>
  <c r="AK139" i="1"/>
  <c r="AI139" i="1"/>
  <c r="AH139" i="1"/>
  <c r="AG139" i="1"/>
  <c r="AF139" i="1"/>
  <c r="AE139" i="1"/>
  <c r="AD139" i="1"/>
  <c r="F139" i="1"/>
  <c r="B139" i="1"/>
  <c r="DE138" i="1"/>
  <c r="DD138" i="1"/>
  <c r="DC138" i="1"/>
  <c r="DB138" i="1"/>
  <c r="DA138" i="1"/>
  <c r="CZ138" i="1"/>
  <c r="CY138" i="1"/>
  <c r="CX138" i="1"/>
  <c r="CW138" i="1"/>
  <c r="CV138" i="1"/>
  <c r="CU138" i="1"/>
  <c r="CT138" i="1"/>
  <c r="CS138" i="1"/>
  <c r="CR138" i="1"/>
  <c r="CQ138" i="1"/>
  <c r="CP138" i="1"/>
  <c r="CO138" i="1"/>
  <c r="CN138" i="1"/>
  <c r="CM138" i="1"/>
  <c r="CL138" i="1"/>
  <c r="CK138" i="1"/>
  <c r="CJ138" i="1"/>
  <c r="CI138" i="1"/>
  <c r="CH138" i="1"/>
  <c r="CG138" i="1"/>
  <c r="CF138" i="1"/>
  <c r="BR138" i="1"/>
  <c r="BQ138" i="1"/>
  <c r="BP138" i="1"/>
  <c r="BO138" i="1"/>
  <c r="BN138" i="1"/>
  <c r="BM138" i="1"/>
  <c r="BL138" i="1"/>
  <c r="BK138" i="1"/>
  <c r="BJ138" i="1"/>
  <c r="BI138" i="1"/>
  <c r="BH138" i="1"/>
  <c r="BG138" i="1"/>
  <c r="BF138" i="1"/>
  <c r="AY138" i="1"/>
  <c r="AR138" i="1"/>
  <c r="AQ138" i="1"/>
  <c r="AP138" i="1"/>
  <c r="AO138" i="1"/>
  <c r="AN138" i="1"/>
  <c r="AM138" i="1"/>
  <c r="AL138" i="1"/>
  <c r="AK138" i="1"/>
  <c r="AJ138" i="1"/>
  <c r="AI138" i="1"/>
  <c r="AH138" i="1"/>
  <c r="AG138" i="1"/>
  <c r="AF138" i="1"/>
  <c r="AE138" i="1"/>
  <c r="R138" i="1"/>
  <c r="Q138" i="1"/>
  <c r="O138" i="1"/>
  <c r="P138" i="1" s="1"/>
  <c r="DE137" i="1"/>
  <c r="DD137" i="1"/>
  <c r="DC137" i="1"/>
  <c r="DB137" i="1"/>
  <c r="DA137" i="1"/>
  <c r="CZ137" i="1"/>
  <c r="CY137" i="1"/>
  <c r="CX137" i="1"/>
  <c r="CW137" i="1"/>
  <c r="CV137" i="1"/>
  <c r="CU137" i="1"/>
  <c r="CT137" i="1"/>
  <c r="CS137" i="1"/>
  <c r="CR137" i="1"/>
  <c r="CQ137" i="1"/>
  <c r="CP137" i="1"/>
  <c r="CO137" i="1"/>
  <c r="CN137" i="1"/>
  <c r="CM137" i="1"/>
  <c r="CL137" i="1"/>
  <c r="CK137" i="1"/>
  <c r="CJ137" i="1"/>
  <c r="CI137" i="1"/>
  <c r="CH137" i="1"/>
  <c r="CG137" i="1"/>
  <c r="CF137" i="1"/>
  <c r="BR137" i="1"/>
  <c r="BQ137" i="1"/>
  <c r="BP137" i="1"/>
  <c r="BO137" i="1"/>
  <c r="BN137" i="1"/>
  <c r="BL137" i="1"/>
  <c r="BK137" i="1"/>
  <c r="BJ137" i="1"/>
  <c r="BI137" i="1"/>
  <c r="BH137" i="1"/>
  <c r="BG137" i="1"/>
  <c r="BF137" i="1"/>
  <c r="BB137" i="1"/>
  <c r="AT137" i="1"/>
  <c r="AR137" i="1"/>
  <c r="AQ137" i="1"/>
  <c r="AP137" i="1"/>
  <c r="AO137" i="1"/>
  <c r="AN137" i="1"/>
  <c r="AL137" i="1"/>
  <c r="AK137" i="1"/>
  <c r="AJ137" i="1"/>
  <c r="AI137" i="1"/>
  <c r="AH137" i="1"/>
  <c r="AG137" i="1"/>
  <c r="AF137" i="1"/>
  <c r="AE137" i="1"/>
  <c r="J137" i="1"/>
  <c r="DE136" i="1"/>
  <c r="DD136" i="1"/>
  <c r="DC136" i="1"/>
  <c r="DB136" i="1"/>
  <c r="DA136" i="1"/>
  <c r="CZ136" i="1"/>
  <c r="CY136" i="1"/>
  <c r="CX136" i="1"/>
  <c r="CW136" i="1"/>
  <c r="CV136" i="1"/>
  <c r="CU136" i="1"/>
  <c r="CT136" i="1"/>
  <c r="CS136" i="1"/>
  <c r="CR136" i="1"/>
  <c r="CQ136" i="1"/>
  <c r="CP136" i="1"/>
  <c r="CO136" i="1"/>
  <c r="CN136" i="1"/>
  <c r="CM136" i="1"/>
  <c r="CL136" i="1"/>
  <c r="CK136" i="1"/>
  <c r="CJ136" i="1"/>
  <c r="CI136" i="1"/>
  <c r="CH136" i="1"/>
  <c r="CG136" i="1"/>
  <c r="CF136" i="1"/>
  <c r="CB136" i="1"/>
  <c r="BT136" i="1"/>
  <c r="BR136" i="1"/>
  <c r="BQ136" i="1"/>
  <c r="BP136" i="1"/>
  <c r="BO136" i="1"/>
  <c r="BN136" i="1"/>
  <c r="BM136" i="1"/>
  <c r="BL136" i="1"/>
  <c r="BK136" i="1"/>
  <c r="BJ136" i="1"/>
  <c r="BI136" i="1"/>
  <c r="BH136" i="1"/>
  <c r="BG136" i="1"/>
  <c r="AZ136" i="1"/>
  <c r="AR136" i="1"/>
  <c r="AQ136" i="1"/>
  <c r="AP136" i="1"/>
  <c r="AO136" i="1"/>
  <c r="AN136" i="1"/>
  <c r="AM136" i="1"/>
  <c r="AL136" i="1"/>
  <c r="AK136" i="1"/>
  <c r="AJ136" i="1"/>
  <c r="AI136" i="1"/>
  <c r="AH136" i="1"/>
  <c r="AG136" i="1"/>
  <c r="AE136" i="1"/>
  <c r="O137" i="1" s="1"/>
  <c r="P137" i="1" s="1"/>
  <c r="AM137" i="1" s="1"/>
  <c r="AD136" i="1"/>
  <c r="F136" i="1"/>
  <c r="D136" i="1"/>
  <c r="DJ137" i="1" s="1"/>
  <c r="B136" i="1"/>
  <c r="DJ135" i="1"/>
  <c r="DE135" i="1"/>
  <c r="DD135" i="1"/>
  <c r="DC135" i="1"/>
  <c r="DB135" i="1"/>
  <c r="DA135" i="1"/>
  <c r="CZ135" i="1"/>
  <c r="CY135" i="1"/>
  <c r="CX135" i="1"/>
  <c r="CW135" i="1"/>
  <c r="CV135" i="1"/>
  <c r="CU135" i="1"/>
  <c r="CT135" i="1"/>
  <c r="CS135" i="1"/>
  <c r="CR135" i="1"/>
  <c r="CQ135" i="1"/>
  <c r="CP135" i="1"/>
  <c r="CO135" i="1"/>
  <c r="CN135" i="1"/>
  <c r="CM135" i="1"/>
  <c r="CL135" i="1"/>
  <c r="CK135" i="1"/>
  <c r="CJ135" i="1"/>
  <c r="CI135" i="1"/>
  <c r="CH135" i="1"/>
  <c r="CG135" i="1"/>
  <c r="CF135" i="1"/>
  <c r="BR135" i="1"/>
  <c r="BQ135" i="1"/>
  <c r="BP135" i="1"/>
  <c r="BO135" i="1"/>
  <c r="BN135" i="1"/>
  <c r="BM135" i="1"/>
  <c r="BL135" i="1"/>
  <c r="BK135" i="1"/>
  <c r="BJ135" i="1"/>
  <c r="BI135" i="1"/>
  <c r="BH135" i="1"/>
  <c r="BG135" i="1"/>
  <c r="BF135" i="1"/>
  <c r="BD135" i="1"/>
  <c r="BC135" i="1"/>
  <c r="BB135" i="1"/>
  <c r="AZ135" i="1"/>
  <c r="AY135" i="1"/>
  <c r="AX135" i="1"/>
  <c r="AV135" i="1"/>
  <c r="AU135" i="1"/>
  <c r="AT135" i="1"/>
  <c r="AR135" i="1"/>
  <c r="AQ135" i="1"/>
  <c r="AP135" i="1"/>
  <c r="AO135" i="1"/>
  <c r="AN135" i="1"/>
  <c r="AM135" i="1"/>
  <c r="AL135" i="1"/>
  <c r="AK135" i="1"/>
  <c r="AJ135" i="1"/>
  <c r="AI135" i="1"/>
  <c r="AH135" i="1"/>
  <c r="AG135" i="1"/>
  <c r="AF135" i="1"/>
  <c r="AE135" i="1"/>
  <c r="AD135" i="1"/>
  <c r="R135" i="1"/>
  <c r="Q135" i="1"/>
  <c r="DJ134" i="1"/>
  <c r="DE134" i="1"/>
  <c r="DD134" i="1"/>
  <c r="DC134" i="1"/>
  <c r="DB134" i="1"/>
  <c r="DA134" i="1"/>
  <c r="CZ134" i="1"/>
  <c r="CY134" i="1"/>
  <c r="CX134" i="1"/>
  <c r="CW134" i="1"/>
  <c r="CV134" i="1"/>
  <c r="CU134" i="1"/>
  <c r="CT134" i="1"/>
  <c r="CS134" i="1"/>
  <c r="CR134" i="1"/>
  <c r="CQ134" i="1"/>
  <c r="CP134" i="1"/>
  <c r="CO134" i="1"/>
  <c r="CN134" i="1"/>
  <c r="CM134" i="1"/>
  <c r="CL134" i="1"/>
  <c r="CK134" i="1"/>
  <c r="CJ134" i="1"/>
  <c r="CI134" i="1"/>
  <c r="CH134" i="1"/>
  <c r="CG134" i="1"/>
  <c r="CF134" i="1"/>
  <c r="BR134" i="1"/>
  <c r="BQ134" i="1"/>
  <c r="BP134" i="1"/>
  <c r="BO134" i="1"/>
  <c r="BN134" i="1"/>
  <c r="BL134" i="1"/>
  <c r="BK134" i="1"/>
  <c r="BJ134" i="1"/>
  <c r="BI134" i="1"/>
  <c r="BH134" i="1"/>
  <c r="BG134" i="1"/>
  <c r="BF134" i="1"/>
  <c r="BD134" i="1"/>
  <c r="BC134" i="1"/>
  <c r="BB134" i="1"/>
  <c r="AZ134" i="1"/>
  <c r="AY134" i="1"/>
  <c r="AX134" i="1"/>
  <c r="AV134" i="1"/>
  <c r="AU134" i="1"/>
  <c r="AT134" i="1"/>
  <c r="AR134" i="1"/>
  <c r="AQ134" i="1"/>
  <c r="AP134" i="1"/>
  <c r="AO134" i="1"/>
  <c r="AN134" i="1"/>
  <c r="AL134" i="1"/>
  <c r="AK134" i="1"/>
  <c r="AJ134" i="1"/>
  <c r="AI134" i="1"/>
  <c r="AH134" i="1"/>
  <c r="AG134" i="1"/>
  <c r="AF134" i="1"/>
  <c r="AE134" i="1"/>
  <c r="AD134" i="1"/>
  <c r="J134" i="1"/>
  <c r="DK133" i="1"/>
  <c r="DJ133" i="1"/>
  <c r="DE133" i="1"/>
  <c r="DD133" i="1"/>
  <c r="DC133" i="1"/>
  <c r="DB133" i="1"/>
  <c r="DA133" i="1"/>
  <c r="CZ133" i="1"/>
  <c r="CY133" i="1"/>
  <c r="CX133" i="1"/>
  <c r="CW133" i="1"/>
  <c r="CV133" i="1"/>
  <c r="CU133" i="1"/>
  <c r="CT133" i="1"/>
  <c r="CS133" i="1"/>
  <c r="CR133" i="1"/>
  <c r="CQ133" i="1"/>
  <c r="CP133" i="1"/>
  <c r="CO133" i="1"/>
  <c r="CN133" i="1"/>
  <c r="CM133" i="1"/>
  <c r="CL133" i="1"/>
  <c r="CK133" i="1"/>
  <c r="CJ133" i="1"/>
  <c r="CI133" i="1"/>
  <c r="CH133" i="1"/>
  <c r="CG133" i="1"/>
  <c r="CF133" i="1"/>
  <c r="CE133" i="1"/>
  <c r="CD133" i="1"/>
  <c r="CC133" i="1"/>
  <c r="CA133" i="1"/>
  <c r="BY133" i="1"/>
  <c r="BW133" i="1"/>
  <c r="BV133" i="1"/>
  <c r="BU133" i="1"/>
  <c r="BS133" i="1"/>
  <c r="BR133" i="1"/>
  <c r="BQ133" i="1"/>
  <c r="BP133" i="1"/>
  <c r="BO133" i="1"/>
  <c r="BN133" i="1"/>
  <c r="BM133" i="1"/>
  <c r="BL133" i="1"/>
  <c r="BK133" i="1"/>
  <c r="BJ133" i="1"/>
  <c r="BI133" i="1"/>
  <c r="BH133" i="1"/>
  <c r="BG133" i="1"/>
  <c r="BF133" i="1"/>
  <c r="BE133" i="1"/>
  <c r="BC133" i="1"/>
  <c r="BB133" i="1"/>
  <c r="BA133" i="1"/>
  <c r="AY133" i="1"/>
  <c r="AX133" i="1"/>
  <c r="AW133" i="1"/>
  <c r="AU133" i="1"/>
  <c r="AT133" i="1"/>
  <c r="AS133" i="1"/>
  <c r="AR133" i="1"/>
  <c r="AQ133" i="1"/>
  <c r="AP133" i="1"/>
  <c r="AO133" i="1"/>
  <c r="AN133" i="1"/>
  <c r="AM133" i="1"/>
  <c r="AL133" i="1"/>
  <c r="AK133" i="1"/>
  <c r="AI133" i="1"/>
  <c r="AH133" i="1"/>
  <c r="AG133" i="1"/>
  <c r="AF133" i="1"/>
  <c r="AE133" i="1"/>
  <c r="AD133" i="1"/>
  <c r="O133" i="1"/>
  <c r="F133" i="1"/>
  <c r="B133" i="1"/>
  <c r="BE135" i="1" s="1"/>
  <c r="DE132" i="1"/>
  <c r="DD132" i="1"/>
  <c r="DC132" i="1"/>
  <c r="DB132" i="1"/>
  <c r="DA132" i="1"/>
  <c r="CZ132" i="1"/>
  <c r="CY132" i="1"/>
  <c r="CX132" i="1"/>
  <c r="CW132" i="1"/>
  <c r="CV132" i="1"/>
  <c r="CU132" i="1"/>
  <c r="CT132" i="1"/>
  <c r="CS132" i="1"/>
  <c r="CR132" i="1"/>
  <c r="CQ132" i="1"/>
  <c r="CP132" i="1"/>
  <c r="CO132" i="1"/>
  <c r="CN132" i="1"/>
  <c r="CM132" i="1"/>
  <c r="CL132" i="1"/>
  <c r="CK132" i="1"/>
  <c r="CJ132" i="1"/>
  <c r="CI132" i="1"/>
  <c r="CH132" i="1"/>
  <c r="CG132" i="1"/>
  <c r="CF132" i="1"/>
  <c r="BR132" i="1"/>
  <c r="BQ132" i="1"/>
  <c r="BP132" i="1"/>
  <c r="BO132" i="1"/>
  <c r="BN132" i="1"/>
  <c r="BM132" i="1"/>
  <c r="BL132" i="1"/>
  <c r="BK132" i="1"/>
  <c r="BI132" i="1"/>
  <c r="BH132" i="1"/>
  <c r="BG132" i="1"/>
  <c r="BF132" i="1"/>
  <c r="BE132" i="1"/>
  <c r="AW132" i="1"/>
  <c r="AR132" i="1"/>
  <c r="AQ132" i="1"/>
  <c r="AP132" i="1"/>
  <c r="AO132" i="1"/>
  <c r="AN132" i="1"/>
  <c r="AM132" i="1"/>
  <c r="AL132" i="1"/>
  <c r="AK132" i="1"/>
  <c r="AI132" i="1"/>
  <c r="AH132" i="1"/>
  <c r="AG132" i="1"/>
  <c r="AF132" i="1"/>
  <c r="AE132" i="1"/>
  <c r="DE131" i="1"/>
  <c r="DD131" i="1"/>
  <c r="DC131" i="1"/>
  <c r="DB131" i="1"/>
  <c r="DA131" i="1"/>
  <c r="CZ131" i="1"/>
  <c r="CY131" i="1"/>
  <c r="CX131" i="1"/>
  <c r="CW131" i="1"/>
  <c r="CV131" i="1"/>
  <c r="CU131" i="1"/>
  <c r="CT131" i="1"/>
  <c r="CS131" i="1"/>
  <c r="CR131" i="1"/>
  <c r="CQ131" i="1"/>
  <c r="CP131" i="1"/>
  <c r="CO131" i="1"/>
  <c r="CN131" i="1"/>
  <c r="CM131" i="1"/>
  <c r="CL131" i="1"/>
  <c r="CK131" i="1"/>
  <c r="CJ131" i="1"/>
  <c r="CI131" i="1"/>
  <c r="CH131" i="1"/>
  <c r="CG131" i="1"/>
  <c r="CF131" i="1"/>
  <c r="BR131" i="1"/>
  <c r="BQ131" i="1"/>
  <c r="BP131" i="1"/>
  <c r="BO131" i="1"/>
  <c r="BN131" i="1"/>
  <c r="BM131" i="1"/>
  <c r="BL131" i="1"/>
  <c r="BK131" i="1"/>
  <c r="BI131" i="1"/>
  <c r="BH131" i="1"/>
  <c r="BG131" i="1"/>
  <c r="BF131" i="1"/>
  <c r="BD131" i="1"/>
  <c r="AV131" i="1"/>
  <c r="AR131" i="1"/>
  <c r="AQ131" i="1"/>
  <c r="AP131" i="1"/>
  <c r="AO131" i="1"/>
  <c r="AN131" i="1"/>
  <c r="AM131" i="1"/>
  <c r="AL131" i="1"/>
  <c r="AK131" i="1"/>
  <c r="AI131" i="1"/>
  <c r="AH131" i="1"/>
  <c r="AG131" i="1"/>
  <c r="AF131" i="1"/>
  <c r="AE131" i="1"/>
  <c r="J131" i="1"/>
  <c r="DE130" i="1"/>
  <c r="DD130" i="1"/>
  <c r="DC130" i="1"/>
  <c r="DB130" i="1"/>
  <c r="DA130" i="1"/>
  <c r="CZ130" i="1"/>
  <c r="CY130" i="1"/>
  <c r="CX130" i="1"/>
  <c r="CW130" i="1"/>
  <c r="CV130" i="1"/>
  <c r="CU130" i="1"/>
  <c r="CT130" i="1"/>
  <c r="CS130" i="1"/>
  <c r="CR130" i="1"/>
  <c r="CQ130" i="1"/>
  <c r="CP130" i="1"/>
  <c r="CO130" i="1"/>
  <c r="CN130" i="1"/>
  <c r="CM130" i="1"/>
  <c r="CL130" i="1"/>
  <c r="CK130" i="1"/>
  <c r="CJ130" i="1"/>
  <c r="CI130" i="1"/>
  <c r="CH130" i="1"/>
  <c r="CG130" i="1"/>
  <c r="CF130" i="1"/>
  <c r="BZ130" i="1"/>
  <c r="BR130" i="1"/>
  <c r="BP130" i="1"/>
  <c r="BO130" i="1"/>
  <c r="BN130" i="1"/>
  <c r="BM130" i="1"/>
  <c r="BL130" i="1"/>
  <c r="BK130" i="1"/>
  <c r="BJ130" i="1"/>
  <c r="BI130" i="1"/>
  <c r="BH130" i="1"/>
  <c r="BG130" i="1"/>
  <c r="BF130" i="1"/>
  <c r="BC130" i="1"/>
  <c r="AU130" i="1"/>
  <c r="AR130" i="1"/>
  <c r="AP130" i="1"/>
  <c r="AO130" i="1"/>
  <c r="AN130" i="1"/>
  <c r="AM130" i="1"/>
  <c r="AL130" i="1"/>
  <c r="AK130" i="1"/>
  <c r="AJ130" i="1"/>
  <c r="AI130" i="1"/>
  <c r="AH130" i="1"/>
  <c r="AG130" i="1"/>
  <c r="AF130" i="1"/>
  <c r="AE130" i="1"/>
  <c r="AD130" i="1"/>
  <c r="O130" i="1"/>
  <c r="F130" i="1"/>
  <c r="B130" i="1"/>
  <c r="DE129" i="1"/>
  <c r="DD129" i="1"/>
  <c r="DC129" i="1"/>
  <c r="DB129" i="1"/>
  <c r="DA129" i="1"/>
  <c r="CZ129" i="1"/>
  <c r="CY129" i="1"/>
  <c r="CX129" i="1"/>
  <c r="CW129" i="1"/>
  <c r="CV129" i="1"/>
  <c r="CU129" i="1"/>
  <c r="CT129" i="1"/>
  <c r="CS129" i="1"/>
  <c r="CR129" i="1"/>
  <c r="CQ129" i="1"/>
  <c r="CP129" i="1"/>
  <c r="CO129" i="1"/>
  <c r="CN129" i="1"/>
  <c r="CM129" i="1"/>
  <c r="CL129" i="1"/>
  <c r="CK129" i="1"/>
  <c r="CJ129" i="1"/>
  <c r="CI129" i="1"/>
  <c r="CH129" i="1"/>
  <c r="CG129" i="1"/>
  <c r="CF129" i="1"/>
  <c r="BR129" i="1"/>
  <c r="BQ129" i="1"/>
  <c r="BP129" i="1"/>
  <c r="BO129" i="1"/>
  <c r="BN129" i="1"/>
  <c r="BM129" i="1"/>
  <c r="BL129" i="1"/>
  <c r="BK129" i="1"/>
  <c r="BJ129" i="1"/>
  <c r="BI129" i="1"/>
  <c r="BH129" i="1"/>
  <c r="BG129" i="1"/>
  <c r="BF129" i="1"/>
  <c r="BE129" i="1"/>
  <c r="BC129" i="1"/>
  <c r="BB129" i="1"/>
  <c r="BA129" i="1"/>
  <c r="AY129" i="1"/>
  <c r="AX129" i="1"/>
  <c r="AW129" i="1"/>
  <c r="AU129" i="1"/>
  <c r="AT129" i="1"/>
  <c r="AS129" i="1"/>
  <c r="AR129" i="1"/>
  <c r="AQ129" i="1"/>
  <c r="AP129" i="1"/>
  <c r="AO129" i="1"/>
  <c r="AN129" i="1"/>
  <c r="AM129" i="1"/>
  <c r="AL129" i="1"/>
  <c r="AK129" i="1"/>
  <c r="AJ129" i="1"/>
  <c r="AI129" i="1"/>
  <c r="AH129" i="1"/>
  <c r="AG129" i="1"/>
  <c r="AF129" i="1"/>
  <c r="AE129" i="1"/>
  <c r="AD129" i="1"/>
  <c r="R129" i="1"/>
  <c r="Q129" i="1"/>
  <c r="DE128" i="1"/>
  <c r="DD128" i="1"/>
  <c r="DC128" i="1"/>
  <c r="DB128" i="1"/>
  <c r="DA128" i="1"/>
  <c r="CZ128" i="1"/>
  <c r="CY128" i="1"/>
  <c r="CX128" i="1"/>
  <c r="CW128" i="1"/>
  <c r="CV128" i="1"/>
  <c r="CU128" i="1"/>
  <c r="CT128" i="1"/>
  <c r="CS128" i="1"/>
  <c r="CR128" i="1"/>
  <c r="CQ128" i="1"/>
  <c r="CP128" i="1"/>
  <c r="CO128" i="1"/>
  <c r="CN128" i="1"/>
  <c r="CM128" i="1"/>
  <c r="CL128" i="1"/>
  <c r="CK128" i="1"/>
  <c r="CJ128" i="1"/>
  <c r="CI128" i="1"/>
  <c r="CH128" i="1"/>
  <c r="CG128" i="1"/>
  <c r="CF128" i="1"/>
  <c r="BR128" i="1"/>
  <c r="BQ128" i="1"/>
  <c r="BP128" i="1"/>
  <c r="BO128" i="1"/>
  <c r="BN128" i="1"/>
  <c r="BL128" i="1"/>
  <c r="BK128" i="1"/>
  <c r="BJ128" i="1"/>
  <c r="BI128" i="1"/>
  <c r="BH128" i="1"/>
  <c r="BG128" i="1"/>
  <c r="BF128" i="1"/>
  <c r="BE128" i="1"/>
  <c r="BC128" i="1"/>
  <c r="BB128" i="1"/>
  <c r="BA128" i="1"/>
  <c r="AY128" i="1"/>
  <c r="AX128" i="1"/>
  <c r="AW128" i="1"/>
  <c r="AU128" i="1"/>
  <c r="AT128" i="1"/>
  <c r="AS128" i="1"/>
  <c r="AR128" i="1"/>
  <c r="AQ128" i="1"/>
  <c r="AP128" i="1"/>
  <c r="AO128" i="1"/>
  <c r="AN128" i="1"/>
  <c r="AL128" i="1"/>
  <c r="AK128" i="1"/>
  <c r="AJ128" i="1"/>
  <c r="AI128" i="1"/>
  <c r="AH128" i="1"/>
  <c r="AG128" i="1"/>
  <c r="AF128" i="1"/>
  <c r="AE128" i="1"/>
  <c r="O127" i="1" s="1"/>
  <c r="P127" i="1" s="1"/>
  <c r="AF127" i="1" s="1"/>
  <c r="AD128" i="1"/>
  <c r="J128" i="1"/>
  <c r="DE127" i="1"/>
  <c r="DD127" i="1"/>
  <c r="DC127" i="1"/>
  <c r="DB127" i="1"/>
  <c r="DA127" i="1"/>
  <c r="CZ127" i="1"/>
  <c r="CY127" i="1"/>
  <c r="CX127" i="1"/>
  <c r="CW127" i="1"/>
  <c r="CV127" i="1"/>
  <c r="CU127" i="1"/>
  <c r="CT127" i="1"/>
  <c r="CS127" i="1"/>
  <c r="CR127" i="1"/>
  <c r="CQ127" i="1"/>
  <c r="CP127" i="1"/>
  <c r="CO127" i="1"/>
  <c r="CN127" i="1"/>
  <c r="CM127" i="1"/>
  <c r="CL127" i="1"/>
  <c r="CK127" i="1"/>
  <c r="CJ127" i="1"/>
  <c r="CI127" i="1"/>
  <c r="CH127" i="1"/>
  <c r="CG127" i="1"/>
  <c r="CF127" i="1"/>
  <c r="CD127" i="1"/>
  <c r="CC127" i="1"/>
  <c r="CB127" i="1"/>
  <c r="BZ127" i="1"/>
  <c r="BY127" i="1"/>
  <c r="BX127" i="1"/>
  <c r="BV127" i="1"/>
  <c r="BU127" i="1"/>
  <c r="BT127" i="1"/>
  <c r="BR127" i="1"/>
  <c r="BQ127" i="1"/>
  <c r="BP127" i="1"/>
  <c r="BO127" i="1"/>
  <c r="BN127" i="1"/>
  <c r="BM127" i="1"/>
  <c r="BL127" i="1"/>
  <c r="BK127" i="1"/>
  <c r="BJ127" i="1"/>
  <c r="BI127" i="1"/>
  <c r="BH127" i="1"/>
  <c r="BG127" i="1"/>
  <c r="BE127" i="1"/>
  <c r="BD127" i="1"/>
  <c r="BB127" i="1"/>
  <c r="BA127" i="1"/>
  <c r="AZ127" i="1"/>
  <c r="AX127" i="1"/>
  <c r="AW127" i="1"/>
  <c r="AV127" i="1"/>
  <c r="AT127" i="1"/>
  <c r="AS127" i="1"/>
  <c r="AR127" i="1"/>
  <c r="AQ127" i="1"/>
  <c r="AP127" i="1"/>
  <c r="AO127" i="1"/>
  <c r="AN127" i="1"/>
  <c r="AM127" i="1"/>
  <c r="AL127" i="1"/>
  <c r="AK127" i="1"/>
  <c r="AJ127" i="1"/>
  <c r="AI127" i="1"/>
  <c r="AH127" i="1"/>
  <c r="AG127" i="1"/>
  <c r="AE127" i="1"/>
  <c r="AD127" i="1"/>
  <c r="F127" i="1"/>
  <c r="B127" i="1"/>
  <c r="BD129" i="1" s="1"/>
  <c r="DE126" i="1"/>
  <c r="DD126" i="1"/>
  <c r="DC126" i="1"/>
  <c r="DB126" i="1"/>
  <c r="DA126" i="1"/>
  <c r="CZ126" i="1"/>
  <c r="CY126" i="1"/>
  <c r="CX126" i="1"/>
  <c r="CW126" i="1"/>
  <c r="CV126" i="1"/>
  <c r="CU126" i="1"/>
  <c r="CT126" i="1"/>
  <c r="CS126" i="1"/>
  <c r="CR126" i="1"/>
  <c r="CQ126" i="1"/>
  <c r="CP126" i="1"/>
  <c r="CO126" i="1"/>
  <c r="CN126" i="1"/>
  <c r="CM126" i="1"/>
  <c r="CL126" i="1"/>
  <c r="CK126" i="1"/>
  <c r="CJ126" i="1"/>
  <c r="CI126" i="1"/>
  <c r="CH126" i="1"/>
  <c r="CG126" i="1"/>
  <c r="CF126" i="1"/>
  <c r="BR126" i="1"/>
  <c r="BQ126" i="1"/>
  <c r="BP126" i="1"/>
  <c r="BO126" i="1"/>
  <c r="BN126" i="1"/>
  <c r="BM126" i="1"/>
  <c r="BL126" i="1"/>
  <c r="BK126" i="1"/>
  <c r="BJ126" i="1"/>
  <c r="BI126" i="1"/>
  <c r="BH126" i="1"/>
  <c r="BG126" i="1"/>
  <c r="BF126" i="1"/>
  <c r="AX126" i="1"/>
  <c r="AR126" i="1"/>
  <c r="AQ126" i="1"/>
  <c r="AP126" i="1"/>
  <c r="AO126" i="1"/>
  <c r="AN126" i="1"/>
  <c r="AM126" i="1"/>
  <c r="AL126" i="1"/>
  <c r="AK126" i="1"/>
  <c r="AJ126" i="1"/>
  <c r="AI126" i="1"/>
  <c r="AH126" i="1"/>
  <c r="AG126" i="1"/>
  <c r="AF126" i="1"/>
  <c r="AE126" i="1"/>
  <c r="R126" i="1"/>
  <c r="Q126" i="1"/>
  <c r="DE125" i="1"/>
  <c r="DD125" i="1"/>
  <c r="DC125" i="1"/>
  <c r="DB125" i="1"/>
  <c r="DA125" i="1"/>
  <c r="CZ125" i="1"/>
  <c r="CY125" i="1"/>
  <c r="CX125" i="1"/>
  <c r="CW125" i="1"/>
  <c r="CV125" i="1"/>
  <c r="CU125" i="1"/>
  <c r="CT125" i="1"/>
  <c r="CS125" i="1"/>
  <c r="CR125" i="1"/>
  <c r="CQ125" i="1"/>
  <c r="CP125" i="1"/>
  <c r="CO125" i="1"/>
  <c r="CN125" i="1"/>
  <c r="CM125" i="1"/>
  <c r="CL125" i="1"/>
  <c r="CK125" i="1"/>
  <c r="CJ125" i="1"/>
  <c r="CI125" i="1"/>
  <c r="CH125" i="1"/>
  <c r="CG125" i="1"/>
  <c r="CF125" i="1"/>
  <c r="BR125" i="1"/>
  <c r="BQ125" i="1"/>
  <c r="BP125" i="1"/>
  <c r="BO125" i="1"/>
  <c r="BN125" i="1"/>
  <c r="BM125" i="1"/>
  <c r="BL125" i="1"/>
  <c r="BK125" i="1"/>
  <c r="BJ125" i="1"/>
  <c r="BI125" i="1"/>
  <c r="BH125" i="1"/>
  <c r="BG125" i="1"/>
  <c r="AZ125" i="1"/>
  <c r="AR125" i="1"/>
  <c r="AQ125" i="1"/>
  <c r="AP125" i="1"/>
  <c r="AO125" i="1"/>
  <c r="AN125" i="1"/>
  <c r="AM125" i="1"/>
  <c r="AL125" i="1"/>
  <c r="AK125" i="1"/>
  <c r="AJ125" i="1"/>
  <c r="AI125" i="1"/>
  <c r="AH125" i="1"/>
  <c r="AG125" i="1"/>
  <c r="AE125" i="1"/>
  <c r="J125" i="1"/>
  <c r="DE124" i="1"/>
  <c r="DD124" i="1"/>
  <c r="DC124" i="1"/>
  <c r="DB124" i="1"/>
  <c r="DA124" i="1"/>
  <c r="CZ124" i="1"/>
  <c r="CY124" i="1"/>
  <c r="CX124" i="1"/>
  <c r="CW124" i="1"/>
  <c r="CV124" i="1"/>
  <c r="CU124" i="1"/>
  <c r="CT124" i="1"/>
  <c r="CS124" i="1"/>
  <c r="CR124" i="1"/>
  <c r="CQ124" i="1"/>
  <c r="CP124" i="1"/>
  <c r="CO124" i="1"/>
  <c r="CN124" i="1"/>
  <c r="CM124" i="1"/>
  <c r="CL124" i="1"/>
  <c r="CK124" i="1"/>
  <c r="CJ124" i="1"/>
  <c r="CI124" i="1"/>
  <c r="CH124" i="1"/>
  <c r="CG124" i="1"/>
  <c r="CF124" i="1"/>
  <c r="CD124" i="1"/>
  <c r="BV124" i="1"/>
  <c r="BR124" i="1"/>
  <c r="BQ124" i="1"/>
  <c r="BP124" i="1"/>
  <c r="BO124" i="1"/>
  <c r="BN124" i="1"/>
  <c r="BM124" i="1"/>
  <c r="BL124" i="1"/>
  <c r="BK124" i="1"/>
  <c r="BI124" i="1"/>
  <c r="BH124" i="1"/>
  <c r="BG124" i="1"/>
  <c r="BF124" i="1"/>
  <c r="BB124" i="1"/>
  <c r="AY124" i="1"/>
  <c r="AT124" i="1"/>
  <c r="AR124" i="1"/>
  <c r="AQ124" i="1"/>
  <c r="AP124" i="1"/>
  <c r="AO124" i="1"/>
  <c r="AN124" i="1"/>
  <c r="AM124" i="1"/>
  <c r="AL124" i="1"/>
  <c r="AK124" i="1"/>
  <c r="AI124" i="1"/>
  <c r="AH124" i="1"/>
  <c r="AG124" i="1"/>
  <c r="AF124" i="1"/>
  <c r="AE124" i="1"/>
  <c r="AD124" i="1"/>
  <c r="O124" i="1"/>
  <c r="F124" i="1"/>
  <c r="B124" i="1"/>
  <c r="BE126" i="1" s="1"/>
  <c r="DE123" i="1"/>
  <c r="DD123" i="1"/>
  <c r="DC123" i="1"/>
  <c r="DB123" i="1"/>
  <c r="DA123" i="1"/>
  <c r="CZ123" i="1"/>
  <c r="CY123" i="1"/>
  <c r="CX123" i="1"/>
  <c r="CW123" i="1"/>
  <c r="CV123" i="1"/>
  <c r="CU123" i="1"/>
  <c r="CT123" i="1"/>
  <c r="CS123" i="1"/>
  <c r="CR123" i="1"/>
  <c r="CQ123" i="1"/>
  <c r="CP123" i="1"/>
  <c r="CO123" i="1"/>
  <c r="CN123" i="1"/>
  <c r="CM123" i="1"/>
  <c r="CL123" i="1"/>
  <c r="CK123" i="1"/>
  <c r="CJ123" i="1"/>
  <c r="CI123" i="1"/>
  <c r="CH123" i="1"/>
  <c r="CG123" i="1"/>
  <c r="CF123" i="1"/>
  <c r="BR123" i="1"/>
  <c r="BQ123" i="1"/>
  <c r="BP123" i="1"/>
  <c r="BO123" i="1"/>
  <c r="BN123" i="1"/>
  <c r="BM123" i="1"/>
  <c r="BL123" i="1"/>
  <c r="BK123" i="1"/>
  <c r="BJ123" i="1"/>
  <c r="BI123" i="1"/>
  <c r="BH123" i="1"/>
  <c r="BG123" i="1"/>
  <c r="BF123" i="1"/>
  <c r="BE123" i="1"/>
  <c r="BC123" i="1"/>
  <c r="BB123" i="1"/>
  <c r="BA123" i="1"/>
  <c r="AY123" i="1"/>
  <c r="AX123" i="1"/>
  <c r="AW123" i="1"/>
  <c r="AU123" i="1"/>
  <c r="AT123" i="1"/>
  <c r="AS123" i="1"/>
  <c r="AR123" i="1"/>
  <c r="AQ123" i="1"/>
  <c r="AP123" i="1"/>
  <c r="AO123" i="1"/>
  <c r="AN123" i="1"/>
  <c r="AM123" i="1"/>
  <c r="AL123" i="1"/>
  <c r="AK123" i="1"/>
  <c r="AJ123" i="1"/>
  <c r="AI123" i="1"/>
  <c r="AH123" i="1"/>
  <c r="AG123" i="1"/>
  <c r="AF123" i="1"/>
  <c r="AE123" i="1"/>
  <c r="AD123" i="1"/>
  <c r="R123" i="1"/>
  <c r="Q123" i="1"/>
  <c r="DE122" i="1"/>
  <c r="DD122" i="1"/>
  <c r="DC122" i="1"/>
  <c r="DB122" i="1"/>
  <c r="DA122" i="1"/>
  <c r="CZ122" i="1"/>
  <c r="CY122" i="1"/>
  <c r="CX122" i="1"/>
  <c r="CW122" i="1"/>
  <c r="CV122" i="1"/>
  <c r="CU122" i="1"/>
  <c r="CT122" i="1"/>
  <c r="CS122" i="1"/>
  <c r="CR122" i="1"/>
  <c r="CQ122" i="1"/>
  <c r="CP122" i="1"/>
  <c r="CO122" i="1"/>
  <c r="CN122" i="1"/>
  <c r="CM122" i="1"/>
  <c r="CL122" i="1"/>
  <c r="CK122" i="1"/>
  <c r="CJ122" i="1"/>
  <c r="CI122" i="1"/>
  <c r="CH122" i="1"/>
  <c r="CG122" i="1"/>
  <c r="CF122" i="1"/>
  <c r="BR122" i="1"/>
  <c r="BP122" i="1"/>
  <c r="BO122" i="1"/>
  <c r="BN122" i="1"/>
  <c r="BM122" i="1"/>
  <c r="BL122" i="1"/>
  <c r="BK122" i="1"/>
  <c r="BJ122" i="1"/>
  <c r="BI122" i="1"/>
  <c r="BH122" i="1"/>
  <c r="BG122" i="1"/>
  <c r="BF122" i="1"/>
  <c r="BE122" i="1"/>
  <c r="BC122" i="1"/>
  <c r="BB122" i="1"/>
  <c r="BA122" i="1"/>
  <c r="AY122" i="1"/>
  <c r="AX122" i="1"/>
  <c r="AW122" i="1"/>
  <c r="AU122" i="1"/>
  <c r="AT122" i="1"/>
  <c r="AS122" i="1"/>
  <c r="AR122" i="1"/>
  <c r="AP122" i="1"/>
  <c r="AO122" i="1"/>
  <c r="AN122" i="1"/>
  <c r="AM122" i="1"/>
  <c r="AL122" i="1"/>
  <c r="AK122" i="1"/>
  <c r="AJ122" i="1"/>
  <c r="AI122" i="1"/>
  <c r="AH122" i="1"/>
  <c r="AG122" i="1"/>
  <c r="AF122" i="1"/>
  <c r="AE122" i="1"/>
  <c r="O121" i="1" s="1"/>
  <c r="P121" i="1" s="1"/>
  <c r="AJ121" i="1" s="1"/>
  <c r="AD122" i="1"/>
  <c r="P122" i="1"/>
  <c r="O122" i="1"/>
  <c r="BQ122" i="1" s="1"/>
  <c r="J122" i="1"/>
  <c r="DE121" i="1"/>
  <c r="DD121" i="1"/>
  <c r="DC121" i="1"/>
  <c r="DB121" i="1"/>
  <c r="DA121" i="1"/>
  <c r="CZ121" i="1"/>
  <c r="CY121" i="1"/>
  <c r="CX121" i="1"/>
  <c r="CW121" i="1"/>
  <c r="CV121" i="1"/>
  <c r="CU121" i="1"/>
  <c r="CT121" i="1"/>
  <c r="CS121" i="1"/>
  <c r="CR121" i="1"/>
  <c r="CQ121" i="1"/>
  <c r="CP121" i="1"/>
  <c r="CO121" i="1"/>
  <c r="CN121" i="1"/>
  <c r="CM121" i="1"/>
  <c r="CL121" i="1"/>
  <c r="CK121" i="1"/>
  <c r="CJ121" i="1"/>
  <c r="CI121" i="1"/>
  <c r="CH121" i="1"/>
  <c r="CG121" i="1"/>
  <c r="CF121" i="1"/>
  <c r="CD121" i="1"/>
  <c r="CC121" i="1"/>
  <c r="CB121" i="1"/>
  <c r="BZ121" i="1"/>
  <c r="BY121" i="1"/>
  <c r="BX121" i="1"/>
  <c r="BV121" i="1"/>
  <c r="BU121" i="1"/>
  <c r="BT121" i="1"/>
  <c r="BR121" i="1"/>
  <c r="BQ121" i="1"/>
  <c r="BP121" i="1"/>
  <c r="BO121" i="1"/>
  <c r="BN121" i="1"/>
  <c r="BM121" i="1"/>
  <c r="BL121" i="1"/>
  <c r="BK121" i="1"/>
  <c r="BJ121" i="1"/>
  <c r="BI121" i="1"/>
  <c r="BH121" i="1"/>
  <c r="BG121" i="1"/>
  <c r="BF121" i="1"/>
  <c r="BE121" i="1"/>
  <c r="BD121" i="1"/>
  <c r="BB121" i="1"/>
  <c r="BA121" i="1"/>
  <c r="AZ121" i="1"/>
  <c r="AX121" i="1"/>
  <c r="AW121" i="1"/>
  <c r="AV121" i="1"/>
  <c r="AT121" i="1"/>
  <c r="AS121" i="1"/>
  <c r="AR121" i="1"/>
  <c r="AQ121" i="1"/>
  <c r="AP121" i="1"/>
  <c r="AO121" i="1"/>
  <c r="AN121" i="1"/>
  <c r="AM121" i="1"/>
  <c r="AL121" i="1"/>
  <c r="AK121" i="1"/>
  <c r="AI121" i="1"/>
  <c r="AH121" i="1"/>
  <c r="AG121" i="1"/>
  <c r="AF121" i="1"/>
  <c r="AE121" i="1"/>
  <c r="AD121" i="1"/>
  <c r="F121" i="1"/>
  <c r="B121" i="1"/>
  <c r="BD123" i="1" s="1"/>
  <c r="DE120" i="1"/>
  <c r="DD120" i="1"/>
  <c r="DC120" i="1"/>
  <c r="DB120" i="1"/>
  <c r="DA120" i="1"/>
  <c r="CZ120" i="1"/>
  <c r="CY120" i="1"/>
  <c r="CX120" i="1"/>
  <c r="CW120" i="1"/>
  <c r="CV120" i="1"/>
  <c r="CU120" i="1"/>
  <c r="CT120" i="1"/>
  <c r="CS120" i="1"/>
  <c r="CR120" i="1"/>
  <c r="CQ120" i="1"/>
  <c r="CP120" i="1"/>
  <c r="CO120" i="1"/>
  <c r="CN120" i="1"/>
  <c r="CM120" i="1"/>
  <c r="CL120" i="1"/>
  <c r="CK120" i="1"/>
  <c r="CJ120" i="1"/>
  <c r="CI120" i="1"/>
  <c r="CH120" i="1"/>
  <c r="CG120" i="1"/>
  <c r="CF120" i="1"/>
  <c r="BR120" i="1"/>
  <c r="BQ120" i="1"/>
  <c r="BP120" i="1"/>
  <c r="BO120" i="1"/>
  <c r="BN120" i="1"/>
  <c r="BM120" i="1"/>
  <c r="BL120" i="1"/>
  <c r="BK120" i="1"/>
  <c r="BJ120" i="1"/>
  <c r="BI120" i="1"/>
  <c r="BH120" i="1"/>
  <c r="BG120" i="1"/>
  <c r="BF120" i="1"/>
  <c r="BB120" i="1"/>
  <c r="AT120" i="1"/>
  <c r="AR120" i="1"/>
  <c r="AQ120" i="1"/>
  <c r="AP120" i="1"/>
  <c r="AO120" i="1"/>
  <c r="AN120" i="1"/>
  <c r="AM120" i="1"/>
  <c r="AL120" i="1"/>
  <c r="AK120" i="1"/>
  <c r="AJ120" i="1"/>
  <c r="AI120" i="1"/>
  <c r="AH120" i="1"/>
  <c r="AG120" i="1"/>
  <c r="AF120" i="1"/>
  <c r="AE120" i="1"/>
  <c r="R120" i="1"/>
  <c r="Q120" i="1"/>
  <c r="DE119" i="1"/>
  <c r="DD119" i="1"/>
  <c r="DC119" i="1"/>
  <c r="DB119" i="1"/>
  <c r="DA119" i="1"/>
  <c r="CZ119" i="1"/>
  <c r="CY119" i="1"/>
  <c r="CX119" i="1"/>
  <c r="CW119" i="1"/>
  <c r="CV119" i="1"/>
  <c r="CU119" i="1"/>
  <c r="CT119" i="1"/>
  <c r="CS119" i="1"/>
  <c r="CR119" i="1"/>
  <c r="CQ119" i="1"/>
  <c r="CP119" i="1"/>
  <c r="CO119" i="1"/>
  <c r="CN119" i="1"/>
  <c r="CM119" i="1"/>
  <c r="CL119" i="1"/>
  <c r="CK119" i="1"/>
  <c r="CJ119" i="1"/>
  <c r="CI119" i="1"/>
  <c r="CH119" i="1"/>
  <c r="CG119" i="1"/>
  <c r="CF119" i="1"/>
  <c r="BR119" i="1"/>
  <c r="BQ119" i="1"/>
  <c r="BP119" i="1"/>
  <c r="BO119" i="1"/>
  <c r="BN119" i="1"/>
  <c r="BM119" i="1"/>
  <c r="BL119" i="1"/>
  <c r="BK119" i="1"/>
  <c r="BI119" i="1"/>
  <c r="BH119" i="1"/>
  <c r="BG119" i="1"/>
  <c r="BF119" i="1"/>
  <c r="BD119" i="1"/>
  <c r="AV119" i="1"/>
  <c r="AR119" i="1"/>
  <c r="AQ119" i="1"/>
  <c r="AP119" i="1"/>
  <c r="AO119" i="1"/>
  <c r="AN119" i="1"/>
  <c r="AM119" i="1"/>
  <c r="AL119" i="1"/>
  <c r="AK119" i="1"/>
  <c r="AI119" i="1"/>
  <c r="AH119" i="1"/>
  <c r="AG119" i="1"/>
  <c r="AF119" i="1"/>
  <c r="AE119" i="1"/>
  <c r="J119" i="1"/>
  <c r="DE118" i="1"/>
  <c r="DD118" i="1"/>
  <c r="DC118" i="1"/>
  <c r="DB118" i="1"/>
  <c r="DA118" i="1"/>
  <c r="CZ118" i="1"/>
  <c r="CY118" i="1"/>
  <c r="CX118" i="1"/>
  <c r="CW118" i="1"/>
  <c r="CV118" i="1"/>
  <c r="CU118" i="1"/>
  <c r="CT118" i="1"/>
  <c r="CS118" i="1"/>
  <c r="CR118" i="1"/>
  <c r="CQ118" i="1"/>
  <c r="CP118" i="1"/>
  <c r="CO118" i="1"/>
  <c r="CN118" i="1"/>
  <c r="CM118" i="1"/>
  <c r="CL118" i="1"/>
  <c r="CK118" i="1"/>
  <c r="CJ118" i="1"/>
  <c r="CI118" i="1"/>
  <c r="CH118" i="1"/>
  <c r="CG118" i="1"/>
  <c r="CF118" i="1"/>
  <c r="BZ118" i="1"/>
  <c r="BR118" i="1"/>
  <c r="BP118" i="1"/>
  <c r="BO118" i="1"/>
  <c r="BN118" i="1"/>
  <c r="BM118" i="1"/>
  <c r="BL118" i="1"/>
  <c r="BK118" i="1"/>
  <c r="BJ118" i="1"/>
  <c r="BI118" i="1"/>
  <c r="BH118" i="1"/>
  <c r="BG118" i="1"/>
  <c r="BF118" i="1"/>
  <c r="BC118" i="1"/>
  <c r="AU118" i="1"/>
  <c r="AR118" i="1"/>
  <c r="AP118" i="1"/>
  <c r="AO118" i="1"/>
  <c r="AN118" i="1"/>
  <c r="AM118" i="1"/>
  <c r="AL118" i="1"/>
  <c r="AK118" i="1"/>
  <c r="AJ118" i="1"/>
  <c r="AI118" i="1"/>
  <c r="AH118" i="1"/>
  <c r="AG118" i="1"/>
  <c r="AF118" i="1"/>
  <c r="AE118" i="1"/>
  <c r="AD118" i="1"/>
  <c r="O118" i="1"/>
  <c r="F118" i="1"/>
  <c r="B118" i="1"/>
  <c r="DE117" i="1"/>
  <c r="DD117" i="1"/>
  <c r="DC117" i="1"/>
  <c r="DB117" i="1"/>
  <c r="DA117" i="1"/>
  <c r="CZ117" i="1"/>
  <c r="CY117" i="1"/>
  <c r="CX117" i="1"/>
  <c r="CW117" i="1"/>
  <c r="CV117" i="1"/>
  <c r="CU117" i="1"/>
  <c r="CT117" i="1"/>
  <c r="CS117" i="1"/>
  <c r="CR117" i="1"/>
  <c r="CQ117" i="1"/>
  <c r="CP117" i="1"/>
  <c r="CO117" i="1"/>
  <c r="CN117" i="1"/>
  <c r="CM117" i="1"/>
  <c r="CL117" i="1"/>
  <c r="CK117" i="1"/>
  <c r="CJ117" i="1"/>
  <c r="CI117" i="1"/>
  <c r="CH117" i="1"/>
  <c r="CG117" i="1"/>
  <c r="CF117" i="1"/>
  <c r="BR117" i="1"/>
  <c r="BQ117" i="1"/>
  <c r="BP117" i="1"/>
  <c r="BO117" i="1"/>
  <c r="BN117" i="1"/>
  <c r="BM117" i="1"/>
  <c r="BL117" i="1"/>
  <c r="BK117" i="1"/>
  <c r="BJ117" i="1"/>
  <c r="BI117" i="1"/>
  <c r="BH117" i="1"/>
  <c r="BG117" i="1"/>
  <c r="BF117" i="1"/>
  <c r="BC117" i="1"/>
  <c r="BB117" i="1"/>
  <c r="AU117" i="1"/>
  <c r="AT117" i="1"/>
  <c r="AR117" i="1"/>
  <c r="AQ117" i="1"/>
  <c r="AP117" i="1"/>
  <c r="AO117" i="1"/>
  <c r="AN117" i="1"/>
  <c r="AM117" i="1"/>
  <c r="AL117" i="1"/>
  <c r="AK117" i="1"/>
  <c r="AJ117" i="1"/>
  <c r="AI117" i="1"/>
  <c r="AH117" i="1"/>
  <c r="AG117" i="1"/>
  <c r="AF117" i="1"/>
  <c r="AE117" i="1"/>
  <c r="AD117" i="1"/>
  <c r="R117" i="1"/>
  <c r="Q117" i="1"/>
  <c r="DE116" i="1"/>
  <c r="DD116" i="1"/>
  <c r="DC116" i="1"/>
  <c r="DB116" i="1"/>
  <c r="DA116" i="1"/>
  <c r="CZ116" i="1"/>
  <c r="CY116" i="1"/>
  <c r="CX116" i="1"/>
  <c r="CW116" i="1"/>
  <c r="CV116" i="1"/>
  <c r="CU116" i="1"/>
  <c r="CT116" i="1"/>
  <c r="CS116" i="1"/>
  <c r="CR116" i="1"/>
  <c r="CQ116" i="1"/>
  <c r="CP116" i="1"/>
  <c r="CO116" i="1"/>
  <c r="CN116" i="1"/>
  <c r="CM116" i="1"/>
  <c r="CL116" i="1"/>
  <c r="CK116" i="1"/>
  <c r="CJ116" i="1"/>
  <c r="CI116" i="1"/>
  <c r="CH116" i="1"/>
  <c r="CG116" i="1"/>
  <c r="CF116" i="1"/>
  <c r="BR116" i="1"/>
  <c r="BQ116" i="1"/>
  <c r="BP116" i="1"/>
  <c r="BO116" i="1"/>
  <c r="BN116" i="1"/>
  <c r="BM116" i="1"/>
  <c r="BL116" i="1"/>
  <c r="BK116" i="1"/>
  <c r="BJ116" i="1"/>
  <c r="BI116" i="1"/>
  <c r="BH116" i="1"/>
  <c r="BG116" i="1"/>
  <c r="AY116" i="1"/>
  <c r="AX116" i="1"/>
  <c r="AR116" i="1"/>
  <c r="AQ116" i="1"/>
  <c r="AP116" i="1"/>
  <c r="AO116" i="1"/>
  <c r="AN116" i="1"/>
  <c r="AM116" i="1"/>
  <c r="AL116" i="1"/>
  <c r="AK116" i="1"/>
  <c r="AJ116" i="1"/>
  <c r="AI116" i="1"/>
  <c r="AH116" i="1"/>
  <c r="AG116" i="1"/>
  <c r="AE116" i="1"/>
  <c r="O115" i="1" s="1"/>
  <c r="AD116" i="1"/>
  <c r="J116" i="1"/>
  <c r="DE115" i="1"/>
  <c r="DD115" i="1"/>
  <c r="DC115" i="1"/>
  <c r="DB115" i="1"/>
  <c r="DA115" i="1"/>
  <c r="CZ115" i="1"/>
  <c r="CY115" i="1"/>
  <c r="CX115" i="1"/>
  <c r="CW115" i="1"/>
  <c r="CV115" i="1"/>
  <c r="CU115" i="1"/>
  <c r="CT115" i="1"/>
  <c r="CS115" i="1"/>
  <c r="CR115" i="1"/>
  <c r="CQ115" i="1"/>
  <c r="CP115" i="1"/>
  <c r="CO115" i="1"/>
  <c r="CN115" i="1"/>
  <c r="CM115" i="1"/>
  <c r="CL115" i="1"/>
  <c r="CK115" i="1"/>
  <c r="CJ115" i="1"/>
  <c r="CI115" i="1"/>
  <c r="CH115" i="1"/>
  <c r="CG115" i="1"/>
  <c r="CF115" i="1"/>
  <c r="BZ115" i="1"/>
  <c r="BY115" i="1"/>
  <c r="BR115" i="1"/>
  <c r="BQ115" i="1"/>
  <c r="BP115" i="1"/>
  <c r="BO115" i="1"/>
  <c r="BN115" i="1"/>
  <c r="BM115" i="1"/>
  <c r="BL115" i="1"/>
  <c r="BK115" i="1"/>
  <c r="BJ115" i="1"/>
  <c r="BI115" i="1"/>
  <c r="BH115" i="1"/>
  <c r="BG115" i="1"/>
  <c r="BF115" i="1"/>
  <c r="BE115" i="1"/>
  <c r="AX115" i="1"/>
  <c r="AW115" i="1"/>
  <c r="AR115" i="1"/>
  <c r="AQ115" i="1"/>
  <c r="AP115" i="1"/>
  <c r="AO115" i="1"/>
  <c r="AN115" i="1"/>
  <c r="AM115" i="1"/>
  <c r="AL115" i="1"/>
  <c r="AK115" i="1"/>
  <c r="AI115" i="1"/>
  <c r="AH115" i="1"/>
  <c r="AG115" i="1"/>
  <c r="AF115" i="1"/>
  <c r="AE115" i="1"/>
  <c r="AD115" i="1"/>
  <c r="G115" i="1"/>
  <c r="B115" i="1"/>
  <c r="DE114" i="1"/>
  <c r="DD114" i="1"/>
  <c r="DC114" i="1"/>
  <c r="DB114" i="1"/>
  <c r="DA114" i="1"/>
  <c r="CZ114" i="1"/>
  <c r="CY114" i="1"/>
  <c r="CX114" i="1"/>
  <c r="CW114" i="1"/>
  <c r="CV114" i="1"/>
  <c r="CU114" i="1"/>
  <c r="CT114" i="1"/>
  <c r="CS114" i="1"/>
  <c r="CR114" i="1"/>
  <c r="CQ114" i="1"/>
  <c r="CP114" i="1"/>
  <c r="CO114" i="1"/>
  <c r="CN114" i="1"/>
  <c r="CM114" i="1"/>
  <c r="CL114" i="1"/>
  <c r="CK114" i="1"/>
  <c r="CJ114" i="1"/>
  <c r="CI114" i="1"/>
  <c r="CH114" i="1"/>
  <c r="CG114" i="1"/>
  <c r="CF114" i="1"/>
  <c r="BR114" i="1"/>
  <c r="BQ114" i="1"/>
  <c r="BP114" i="1"/>
  <c r="BO114" i="1"/>
  <c r="BN114" i="1"/>
  <c r="BM114" i="1"/>
  <c r="BL114" i="1"/>
  <c r="BK114" i="1"/>
  <c r="BJ114" i="1"/>
  <c r="BI114" i="1"/>
  <c r="BH114" i="1"/>
  <c r="BG114" i="1"/>
  <c r="BF114" i="1"/>
  <c r="AY114" i="1"/>
  <c r="AR114" i="1"/>
  <c r="AQ114" i="1"/>
  <c r="AP114" i="1"/>
  <c r="AO114" i="1"/>
  <c r="AN114" i="1"/>
  <c r="AM114" i="1"/>
  <c r="AL114" i="1"/>
  <c r="AK114" i="1"/>
  <c r="AJ114" i="1"/>
  <c r="AI114" i="1"/>
  <c r="AH114" i="1"/>
  <c r="AG114" i="1"/>
  <c r="AF114" i="1"/>
  <c r="AE114" i="1"/>
  <c r="R114" i="1"/>
  <c r="Q114" i="1"/>
  <c r="O114" i="1"/>
  <c r="P114" i="1" s="1"/>
  <c r="DE113" i="1"/>
  <c r="DD113" i="1"/>
  <c r="DC113" i="1"/>
  <c r="DB113" i="1"/>
  <c r="DA113" i="1"/>
  <c r="CZ113" i="1"/>
  <c r="CY113" i="1"/>
  <c r="CX113" i="1"/>
  <c r="CW113" i="1"/>
  <c r="CV113" i="1"/>
  <c r="CU113" i="1"/>
  <c r="CT113" i="1"/>
  <c r="CS113" i="1"/>
  <c r="CR113" i="1"/>
  <c r="CQ113" i="1"/>
  <c r="CP113" i="1"/>
  <c r="CO113" i="1"/>
  <c r="CN113" i="1"/>
  <c r="CM113" i="1"/>
  <c r="CL113" i="1"/>
  <c r="CK113" i="1"/>
  <c r="CJ113" i="1"/>
  <c r="CI113" i="1"/>
  <c r="CH113" i="1"/>
  <c r="CG113" i="1"/>
  <c r="CF113" i="1"/>
  <c r="BR113" i="1"/>
  <c r="BQ113" i="1"/>
  <c r="BP113" i="1"/>
  <c r="BO113" i="1"/>
  <c r="BN113" i="1"/>
  <c r="BM113" i="1"/>
  <c r="BL113" i="1"/>
  <c r="BK113" i="1"/>
  <c r="BJ113" i="1"/>
  <c r="BI113" i="1"/>
  <c r="BH113" i="1"/>
  <c r="BG113" i="1"/>
  <c r="BB113" i="1"/>
  <c r="AT113" i="1"/>
  <c r="AR113" i="1"/>
  <c r="AQ113" i="1"/>
  <c r="AP113" i="1"/>
  <c r="AO113" i="1"/>
  <c r="AN113" i="1"/>
  <c r="AM113" i="1"/>
  <c r="AL113" i="1"/>
  <c r="AK113" i="1"/>
  <c r="AJ113" i="1"/>
  <c r="AI113" i="1"/>
  <c r="AH113" i="1"/>
  <c r="AG113" i="1"/>
  <c r="AE113" i="1"/>
  <c r="J113" i="1"/>
  <c r="DE112" i="1"/>
  <c r="DD112" i="1"/>
  <c r="DC112" i="1"/>
  <c r="DB112" i="1"/>
  <c r="DA112" i="1"/>
  <c r="CZ112" i="1"/>
  <c r="CY112" i="1"/>
  <c r="CX112" i="1"/>
  <c r="CW112" i="1"/>
  <c r="CV112" i="1"/>
  <c r="CU112" i="1"/>
  <c r="CT112" i="1"/>
  <c r="CS112" i="1"/>
  <c r="CR112" i="1"/>
  <c r="CQ112" i="1"/>
  <c r="CP112" i="1"/>
  <c r="CO112" i="1"/>
  <c r="CN112" i="1"/>
  <c r="CM112" i="1"/>
  <c r="CL112" i="1"/>
  <c r="CK112" i="1"/>
  <c r="CJ112" i="1"/>
  <c r="CI112" i="1"/>
  <c r="CH112" i="1"/>
  <c r="CG112" i="1"/>
  <c r="CF112" i="1"/>
  <c r="CB112" i="1"/>
  <c r="BT112" i="1"/>
  <c r="BR112" i="1"/>
  <c r="BQ112" i="1"/>
  <c r="BP112" i="1"/>
  <c r="BO112" i="1"/>
  <c r="BN112" i="1"/>
  <c r="BM112" i="1"/>
  <c r="BL112" i="1"/>
  <c r="BK112" i="1"/>
  <c r="BI112" i="1"/>
  <c r="BH112" i="1"/>
  <c r="BG112" i="1"/>
  <c r="BF112" i="1"/>
  <c r="AZ112" i="1"/>
  <c r="AR112" i="1"/>
  <c r="AQ112" i="1"/>
  <c r="AP112" i="1"/>
  <c r="AO112" i="1"/>
  <c r="AN112" i="1"/>
  <c r="AM112" i="1"/>
  <c r="AL112" i="1"/>
  <c r="AK112" i="1"/>
  <c r="AI112" i="1"/>
  <c r="AH112" i="1"/>
  <c r="AG112" i="1"/>
  <c r="AF112" i="1"/>
  <c r="AE112" i="1"/>
  <c r="O113" i="1" s="1"/>
  <c r="AD112" i="1"/>
  <c r="F112" i="1"/>
  <c r="B112" i="1"/>
  <c r="DE111" i="1"/>
  <c r="DD111" i="1"/>
  <c r="DC111" i="1"/>
  <c r="DB111" i="1"/>
  <c r="DA111" i="1"/>
  <c r="CZ111" i="1"/>
  <c r="CY111" i="1"/>
  <c r="CX111" i="1"/>
  <c r="CW111" i="1"/>
  <c r="CV111" i="1"/>
  <c r="CU111" i="1"/>
  <c r="CT111" i="1"/>
  <c r="CS111" i="1"/>
  <c r="CR111" i="1"/>
  <c r="CQ111" i="1"/>
  <c r="CP111" i="1"/>
  <c r="CO111" i="1"/>
  <c r="CN111" i="1"/>
  <c r="CM111" i="1"/>
  <c r="CL111" i="1"/>
  <c r="CK111" i="1"/>
  <c r="CJ111" i="1"/>
  <c r="CI111" i="1"/>
  <c r="CH111" i="1"/>
  <c r="CG111" i="1"/>
  <c r="CF111" i="1"/>
  <c r="BR111" i="1"/>
  <c r="BQ111" i="1"/>
  <c r="BP111" i="1"/>
  <c r="BO111" i="1"/>
  <c r="BN111" i="1"/>
  <c r="BM111" i="1"/>
  <c r="BL111" i="1"/>
  <c r="BK111" i="1"/>
  <c r="BJ111" i="1"/>
  <c r="BI111" i="1"/>
  <c r="BH111" i="1"/>
  <c r="BG111" i="1"/>
  <c r="BF111" i="1"/>
  <c r="BC111" i="1"/>
  <c r="AU111" i="1"/>
  <c r="AR111" i="1"/>
  <c r="AQ111" i="1"/>
  <c r="AP111" i="1"/>
  <c r="AO111" i="1"/>
  <c r="AN111" i="1"/>
  <c r="AM111" i="1"/>
  <c r="AL111" i="1"/>
  <c r="AK111" i="1"/>
  <c r="AJ111" i="1"/>
  <c r="AI111" i="1"/>
  <c r="AH111" i="1"/>
  <c r="AG111" i="1"/>
  <c r="AF111" i="1"/>
  <c r="AE111" i="1"/>
  <c r="AD111" i="1"/>
  <c r="R111" i="1"/>
  <c r="Q111" i="1"/>
  <c r="DE110" i="1"/>
  <c r="DD110" i="1"/>
  <c r="DC110" i="1"/>
  <c r="DB110" i="1"/>
  <c r="DA110" i="1"/>
  <c r="CZ110" i="1"/>
  <c r="CY110" i="1"/>
  <c r="CX110" i="1"/>
  <c r="CW110" i="1"/>
  <c r="CV110" i="1"/>
  <c r="CU110" i="1"/>
  <c r="CT110" i="1"/>
  <c r="CS110" i="1"/>
  <c r="CR110" i="1"/>
  <c r="CQ110" i="1"/>
  <c r="CP110" i="1"/>
  <c r="CO110" i="1"/>
  <c r="CN110" i="1"/>
  <c r="CM110" i="1"/>
  <c r="CL110" i="1"/>
  <c r="CK110" i="1"/>
  <c r="CJ110" i="1"/>
  <c r="CI110" i="1"/>
  <c r="CH110" i="1"/>
  <c r="CG110" i="1"/>
  <c r="CF110" i="1"/>
  <c r="BR110" i="1"/>
  <c r="BQ110" i="1"/>
  <c r="BP110" i="1"/>
  <c r="BO110" i="1"/>
  <c r="BN110" i="1"/>
  <c r="BL110" i="1"/>
  <c r="BK110" i="1"/>
  <c r="BJ110" i="1"/>
  <c r="BI110" i="1"/>
  <c r="BH110" i="1"/>
  <c r="BG110" i="1"/>
  <c r="BF110" i="1"/>
  <c r="BC110" i="1"/>
  <c r="AU110" i="1"/>
  <c r="AR110" i="1"/>
  <c r="AQ110" i="1"/>
  <c r="AP110" i="1"/>
  <c r="AO110" i="1"/>
  <c r="AN110" i="1"/>
  <c r="AL110" i="1"/>
  <c r="AK110" i="1"/>
  <c r="AJ110" i="1"/>
  <c r="AI110" i="1"/>
  <c r="AH110" i="1"/>
  <c r="AG110" i="1"/>
  <c r="AF110" i="1"/>
  <c r="AE110" i="1"/>
  <c r="AD110" i="1"/>
  <c r="J110" i="1"/>
  <c r="DE109" i="1"/>
  <c r="DD109" i="1"/>
  <c r="DC109" i="1"/>
  <c r="DB109" i="1"/>
  <c r="DA109" i="1"/>
  <c r="CZ109" i="1"/>
  <c r="CY109" i="1"/>
  <c r="CX109" i="1"/>
  <c r="CW109" i="1"/>
  <c r="CV109" i="1"/>
  <c r="CU109" i="1"/>
  <c r="CT109" i="1"/>
  <c r="CS109" i="1"/>
  <c r="CR109" i="1"/>
  <c r="CQ109" i="1"/>
  <c r="CP109" i="1"/>
  <c r="CO109" i="1"/>
  <c r="CN109" i="1"/>
  <c r="CM109" i="1"/>
  <c r="CL109" i="1"/>
  <c r="CK109" i="1"/>
  <c r="CJ109" i="1"/>
  <c r="CI109" i="1"/>
  <c r="CH109" i="1"/>
  <c r="CG109" i="1"/>
  <c r="CF109" i="1"/>
  <c r="BZ109" i="1"/>
  <c r="BR109" i="1"/>
  <c r="BQ109" i="1"/>
  <c r="BP109" i="1"/>
  <c r="BO109" i="1"/>
  <c r="BN109" i="1"/>
  <c r="BM109" i="1"/>
  <c r="BL109" i="1"/>
  <c r="BK109" i="1"/>
  <c r="BJ109" i="1"/>
  <c r="BI109" i="1"/>
  <c r="BH109" i="1"/>
  <c r="BF109" i="1"/>
  <c r="AX109" i="1"/>
  <c r="AR109" i="1"/>
  <c r="AQ109" i="1"/>
  <c r="AP109" i="1"/>
  <c r="AO109" i="1"/>
  <c r="AN109" i="1"/>
  <c r="AM109" i="1"/>
  <c r="AL109" i="1"/>
  <c r="AK109" i="1"/>
  <c r="AJ109" i="1"/>
  <c r="AI109" i="1"/>
  <c r="AH109" i="1"/>
  <c r="AF109" i="1"/>
  <c r="AE109" i="1"/>
  <c r="AD109" i="1"/>
  <c r="O109" i="1"/>
  <c r="P109" i="1" s="1"/>
  <c r="AG109" i="1" s="1"/>
  <c r="F109" i="1"/>
  <c r="B109" i="1"/>
  <c r="DE108" i="1"/>
  <c r="DD108" i="1"/>
  <c r="DC108" i="1"/>
  <c r="DB108" i="1"/>
  <c r="DA108" i="1"/>
  <c r="CZ108" i="1"/>
  <c r="CY108" i="1"/>
  <c r="CX108" i="1"/>
  <c r="CW108" i="1"/>
  <c r="CV108" i="1"/>
  <c r="CU108" i="1"/>
  <c r="CT108" i="1"/>
  <c r="CS108" i="1"/>
  <c r="CR108" i="1"/>
  <c r="CQ108" i="1"/>
  <c r="CP108" i="1"/>
  <c r="CO108" i="1"/>
  <c r="CN108" i="1"/>
  <c r="CM108" i="1"/>
  <c r="CL108" i="1"/>
  <c r="CK108" i="1"/>
  <c r="CJ108" i="1"/>
  <c r="CI108" i="1"/>
  <c r="CH108" i="1"/>
  <c r="CG108" i="1"/>
  <c r="CF108" i="1"/>
  <c r="BR108" i="1"/>
  <c r="BQ108" i="1"/>
  <c r="BP108" i="1"/>
  <c r="BO108" i="1"/>
  <c r="BN108" i="1"/>
  <c r="BM108" i="1"/>
  <c r="BL108" i="1"/>
  <c r="BK108" i="1"/>
  <c r="BJ108" i="1"/>
  <c r="BI108" i="1"/>
  <c r="BH108" i="1"/>
  <c r="BG108" i="1"/>
  <c r="BF108" i="1"/>
  <c r="BC108" i="1"/>
  <c r="BB108" i="1"/>
  <c r="AU108" i="1"/>
  <c r="AT108" i="1"/>
  <c r="AR108" i="1"/>
  <c r="AQ108" i="1"/>
  <c r="AP108" i="1"/>
  <c r="AO108" i="1"/>
  <c r="AN108" i="1"/>
  <c r="AM108" i="1"/>
  <c r="AL108" i="1"/>
  <c r="AK108" i="1"/>
  <c r="AJ108" i="1"/>
  <c r="AI108" i="1"/>
  <c r="AH108" i="1"/>
  <c r="AG108" i="1"/>
  <c r="AF108" i="1"/>
  <c r="AE108" i="1"/>
  <c r="R108" i="1"/>
  <c r="Q108" i="1"/>
  <c r="DE107" i="1"/>
  <c r="DD107" i="1"/>
  <c r="DC107" i="1"/>
  <c r="DB107" i="1"/>
  <c r="DA107" i="1"/>
  <c r="CZ107" i="1"/>
  <c r="CY107" i="1"/>
  <c r="CX107" i="1"/>
  <c r="CW107" i="1"/>
  <c r="CV107" i="1"/>
  <c r="CU107" i="1"/>
  <c r="CT107" i="1"/>
  <c r="CS107" i="1"/>
  <c r="CR107" i="1"/>
  <c r="CQ107" i="1"/>
  <c r="CP107" i="1"/>
  <c r="CO107" i="1"/>
  <c r="CN107" i="1"/>
  <c r="CM107" i="1"/>
  <c r="CL107" i="1"/>
  <c r="CK107" i="1"/>
  <c r="CJ107" i="1"/>
  <c r="CI107" i="1"/>
  <c r="CH107" i="1"/>
  <c r="CG107" i="1"/>
  <c r="CF107" i="1"/>
  <c r="BR107" i="1"/>
  <c r="BQ107" i="1"/>
  <c r="BP107" i="1"/>
  <c r="BO107" i="1"/>
  <c r="BN107" i="1"/>
  <c r="BM107" i="1"/>
  <c r="BL107" i="1"/>
  <c r="BK107" i="1"/>
  <c r="BJ107" i="1"/>
  <c r="BI107" i="1"/>
  <c r="BG107" i="1"/>
  <c r="BF107" i="1"/>
  <c r="BE107" i="1"/>
  <c r="BB107" i="1"/>
  <c r="AW107" i="1"/>
  <c r="AT107" i="1"/>
  <c r="AR107" i="1"/>
  <c r="AQ107" i="1"/>
  <c r="AP107" i="1"/>
  <c r="AO107" i="1"/>
  <c r="AN107" i="1"/>
  <c r="AM107" i="1"/>
  <c r="AL107" i="1"/>
  <c r="AK107" i="1"/>
  <c r="AJ107" i="1"/>
  <c r="AI107" i="1"/>
  <c r="AH107" i="1"/>
  <c r="AG107" i="1"/>
  <c r="AF107" i="1"/>
  <c r="AE107" i="1"/>
  <c r="R107" i="1"/>
  <c r="R224" i="1" s="1"/>
  <c r="R270" i="1" s="1"/>
  <c r="R353" i="1" s="1"/>
  <c r="R356" i="1" s="1"/>
  <c r="R365" i="1" s="1"/>
  <c r="R368" i="1" s="1"/>
  <c r="R428" i="1" s="1"/>
  <c r="J107" i="1"/>
  <c r="DE106" i="1"/>
  <c r="DD106" i="1"/>
  <c r="DC106" i="1"/>
  <c r="DB106" i="1"/>
  <c r="DA106" i="1"/>
  <c r="CZ106" i="1"/>
  <c r="CY106" i="1"/>
  <c r="CX106" i="1"/>
  <c r="CW106" i="1"/>
  <c r="CV106" i="1"/>
  <c r="CU106" i="1"/>
  <c r="CT106" i="1"/>
  <c r="CS106" i="1"/>
  <c r="CR106" i="1"/>
  <c r="CQ106" i="1"/>
  <c r="CP106" i="1"/>
  <c r="CO106" i="1"/>
  <c r="CN106" i="1"/>
  <c r="CM106" i="1"/>
  <c r="CL106" i="1"/>
  <c r="CK106" i="1"/>
  <c r="CJ106" i="1"/>
  <c r="CI106" i="1"/>
  <c r="CH106" i="1"/>
  <c r="CG106" i="1"/>
  <c r="CF106" i="1"/>
  <c r="CE106" i="1"/>
  <c r="BX106" i="1"/>
  <c r="BW106" i="1"/>
  <c r="BR106" i="1"/>
  <c r="BQ106" i="1"/>
  <c r="BP106" i="1"/>
  <c r="BO106" i="1"/>
  <c r="BN106" i="1"/>
  <c r="BM106" i="1"/>
  <c r="BL106" i="1"/>
  <c r="BK106" i="1"/>
  <c r="BJ106" i="1"/>
  <c r="BI106" i="1"/>
  <c r="BH106" i="1"/>
  <c r="BF106" i="1"/>
  <c r="BD106" i="1"/>
  <c r="AY106" i="1"/>
  <c r="AV106" i="1"/>
  <c r="AR106" i="1"/>
  <c r="AQ106" i="1"/>
  <c r="AP106" i="1"/>
  <c r="AO106" i="1"/>
  <c r="AN106" i="1"/>
  <c r="AM106" i="1"/>
  <c r="AL106" i="1"/>
  <c r="AK106" i="1"/>
  <c r="AJ106" i="1"/>
  <c r="AI106" i="1"/>
  <c r="AH106" i="1"/>
  <c r="AF106" i="1"/>
  <c r="AE106" i="1"/>
  <c r="O107" i="1" s="1"/>
  <c r="AD106" i="1"/>
  <c r="O106" i="1"/>
  <c r="BG106" i="1" s="1"/>
  <c r="F106" i="1"/>
  <c r="B106" i="1"/>
  <c r="DE105" i="1"/>
  <c r="DD105" i="1"/>
  <c r="DC105" i="1"/>
  <c r="DB105" i="1"/>
  <c r="DA105" i="1"/>
  <c r="CZ105" i="1"/>
  <c r="CY105" i="1"/>
  <c r="CX105" i="1"/>
  <c r="CW105" i="1"/>
  <c r="CV105" i="1"/>
  <c r="CU105" i="1"/>
  <c r="CT105" i="1"/>
  <c r="CS105" i="1"/>
  <c r="CR105" i="1"/>
  <c r="CQ105" i="1"/>
  <c r="CP105" i="1"/>
  <c r="CO105" i="1"/>
  <c r="CN105" i="1"/>
  <c r="CM105" i="1"/>
  <c r="CL105" i="1"/>
  <c r="CK105" i="1"/>
  <c r="CJ105" i="1"/>
  <c r="CI105" i="1"/>
  <c r="CH105" i="1"/>
  <c r="CG105" i="1"/>
  <c r="CF105" i="1"/>
  <c r="BR105" i="1"/>
  <c r="BQ105" i="1"/>
  <c r="BP105" i="1"/>
  <c r="BO105" i="1"/>
  <c r="BN105" i="1"/>
  <c r="BM105" i="1"/>
  <c r="BL105" i="1"/>
  <c r="BK105" i="1"/>
  <c r="BJ105" i="1"/>
  <c r="BI105" i="1"/>
  <c r="BH105" i="1"/>
  <c r="BG105" i="1"/>
  <c r="BF105" i="1"/>
  <c r="BD105" i="1"/>
  <c r="AY105" i="1"/>
  <c r="AV105" i="1"/>
  <c r="AR105" i="1"/>
  <c r="AQ105" i="1"/>
  <c r="AP105" i="1"/>
  <c r="AO105" i="1"/>
  <c r="AN105" i="1"/>
  <c r="AM105" i="1"/>
  <c r="AL105" i="1"/>
  <c r="AK105" i="1"/>
  <c r="AJ105" i="1"/>
  <c r="AI105" i="1"/>
  <c r="AH105" i="1"/>
  <c r="AG105" i="1"/>
  <c r="AF105" i="1"/>
  <c r="AE105" i="1"/>
  <c r="AD105" i="1"/>
  <c r="R105" i="1"/>
  <c r="Q105" i="1"/>
  <c r="DE104" i="1"/>
  <c r="DD104" i="1"/>
  <c r="DC104" i="1"/>
  <c r="DB104" i="1"/>
  <c r="DA104" i="1"/>
  <c r="CZ104" i="1"/>
  <c r="CY104" i="1"/>
  <c r="CX104" i="1"/>
  <c r="CW104" i="1"/>
  <c r="CV104" i="1"/>
  <c r="CU104" i="1"/>
  <c r="CT104" i="1"/>
  <c r="CS104" i="1"/>
  <c r="CR104" i="1"/>
  <c r="CQ104" i="1"/>
  <c r="CP104" i="1"/>
  <c r="CO104" i="1"/>
  <c r="CN104" i="1"/>
  <c r="CM104" i="1"/>
  <c r="CL104" i="1"/>
  <c r="CK104" i="1"/>
  <c r="CJ104" i="1"/>
  <c r="CI104" i="1"/>
  <c r="CH104" i="1"/>
  <c r="CG104" i="1"/>
  <c r="CF104" i="1"/>
  <c r="BR104" i="1"/>
  <c r="BQ104" i="1"/>
  <c r="BP104" i="1"/>
  <c r="BO104" i="1"/>
  <c r="BN104" i="1"/>
  <c r="BM104" i="1"/>
  <c r="BL104" i="1"/>
  <c r="BK104" i="1"/>
  <c r="BI104" i="1"/>
  <c r="BH104" i="1"/>
  <c r="BG104" i="1"/>
  <c r="BF104" i="1"/>
  <c r="BD104" i="1"/>
  <c r="AY104" i="1"/>
  <c r="AV104" i="1"/>
  <c r="AR104" i="1"/>
  <c r="AQ104" i="1"/>
  <c r="AP104" i="1"/>
  <c r="AO104" i="1"/>
  <c r="AN104" i="1"/>
  <c r="AM104" i="1"/>
  <c r="AL104" i="1"/>
  <c r="AK104" i="1"/>
  <c r="AI104" i="1"/>
  <c r="AH104" i="1"/>
  <c r="AG104" i="1"/>
  <c r="AF104" i="1"/>
  <c r="AE104" i="1"/>
  <c r="O103" i="1" s="1"/>
  <c r="AD104" i="1"/>
  <c r="J104" i="1"/>
  <c r="DE103" i="1"/>
  <c r="DD103" i="1"/>
  <c r="DC103" i="1"/>
  <c r="DB103" i="1"/>
  <c r="DA103" i="1"/>
  <c r="CZ103" i="1"/>
  <c r="CY103" i="1"/>
  <c r="CX103" i="1"/>
  <c r="CW103" i="1"/>
  <c r="CV103" i="1"/>
  <c r="CU103" i="1"/>
  <c r="CT103" i="1"/>
  <c r="CS103" i="1"/>
  <c r="CR103" i="1"/>
  <c r="CQ103" i="1"/>
  <c r="CP103" i="1"/>
  <c r="CO103" i="1"/>
  <c r="CN103" i="1"/>
  <c r="CM103" i="1"/>
  <c r="CL103" i="1"/>
  <c r="CK103" i="1"/>
  <c r="CJ103" i="1"/>
  <c r="CI103" i="1"/>
  <c r="CH103" i="1"/>
  <c r="CG103" i="1"/>
  <c r="CF103" i="1"/>
  <c r="CA103" i="1"/>
  <c r="BV103" i="1"/>
  <c r="BS103" i="1"/>
  <c r="BR103" i="1"/>
  <c r="BP103" i="1"/>
  <c r="BO103" i="1"/>
  <c r="BN103" i="1"/>
  <c r="BM103" i="1"/>
  <c r="BL103" i="1"/>
  <c r="BK103" i="1"/>
  <c r="BJ103" i="1"/>
  <c r="BI103" i="1"/>
  <c r="BH103" i="1"/>
  <c r="BG103" i="1"/>
  <c r="BF103" i="1"/>
  <c r="AY103" i="1"/>
  <c r="AX103" i="1"/>
  <c r="AR103" i="1"/>
  <c r="AP103" i="1"/>
  <c r="AO103" i="1"/>
  <c r="AN103" i="1"/>
  <c r="AM103" i="1"/>
  <c r="AL103" i="1"/>
  <c r="AK103" i="1"/>
  <c r="AJ103" i="1"/>
  <c r="AI103" i="1"/>
  <c r="AH103" i="1"/>
  <c r="AG103" i="1"/>
  <c r="AF103" i="1"/>
  <c r="AE103" i="1"/>
  <c r="AD103" i="1"/>
  <c r="F103" i="1"/>
  <c r="B103" i="1"/>
  <c r="DE102" i="1"/>
  <c r="DD102" i="1"/>
  <c r="DC102" i="1"/>
  <c r="DB102" i="1"/>
  <c r="DA102" i="1"/>
  <c r="CZ102" i="1"/>
  <c r="CY102" i="1"/>
  <c r="CX102" i="1"/>
  <c r="CW102" i="1"/>
  <c r="CV102" i="1"/>
  <c r="CU102" i="1"/>
  <c r="CT102" i="1"/>
  <c r="CS102" i="1"/>
  <c r="CR102" i="1"/>
  <c r="CQ102" i="1"/>
  <c r="CP102" i="1"/>
  <c r="CO102" i="1"/>
  <c r="CN102" i="1"/>
  <c r="CM102" i="1"/>
  <c r="CL102" i="1"/>
  <c r="CK102" i="1"/>
  <c r="CJ102" i="1"/>
  <c r="CI102" i="1"/>
  <c r="CH102" i="1"/>
  <c r="CG102" i="1"/>
  <c r="CF102" i="1"/>
  <c r="BR102" i="1"/>
  <c r="BQ102" i="1"/>
  <c r="BP102" i="1"/>
  <c r="BO102" i="1"/>
  <c r="BN102" i="1"/>
  <c r="BM102" i="1"/>
  <c r="BL102" i="1"/>
  <c r="BK102" i="1"/>
  <c r="BJ102" i="1"/>
  <c r="BI102" i="1"/>
  <c r="BH102" i="1"/>
  <c r="BG102" i="1"/>
  <c r="AY102" i="1"/>
  <c r="AR102" i="1"/>
  <c r="AQ102" i="1"/>
  <c r="AP102" i="1"/>
  <c r="AO102" i="1"/>
  <c r="AN102" i="1"/>
  <c r="AM102" i="1"/>
  <c r="AL102" i="1"/>
  <c r="AK102" i="1"/>
  <c r="AJ102" i="1"/>
  <c r="AI102" i="1"/>
  <c r="AH102" i="1"/>
  <c r="AG102" i="1"/>
  <c r="AE102" i="1"/>
  <c r="DE101" i="1"/>
  <c r="DD101" i="1"/>
  <c r="DC101" i="1"/>
  <c r="DB101" i="1"/>
  <c r="DA101" i="1"/>
  <c r="CZ101" i="1"/>
  <c r="CY101" i="1"/>
  <c r="CX101" i="1"/>
  <c r="CW101" i="1"/>
  <c r="CV101" i="1"/>
  <c r="CU101" i="1"/>
  <c r="CT101" i="1"/>
  <c r="CS101" i="1"/>
  <c r="CR101" i="1"/>
  <c r="CQ101" i="1"/>
  <c r="CP101" i="1"/>
  <c r="CO101" i="1"/>
  <c r="CN101" i="1"/>
  <c r="CM101" i="1"/>
  <c r="CL101" i="1"/>
  <c r="CK101" i="1"/>
  <c r="CJ101" i="1"/>
  <c r="CI101" i="1"/>
  <c r="CH101" i="1"/>
  <c r="CG101" i="1"/>
  <c r="CF101" i="1"/>
  <c r="BR101" i="1"/>
  <c r="BQ101" i="1"/>
  <c r="BP101" i="1"/>
  <c r="BO101" i="1"/>
  <c r="BN101" i="1"/>
  <c r="BM101" i="1"/>
  <c r="BL101" i="1"/>
  <c r="BK101" i="1"/>
  <c r="BJ101" i="1"/>
  <c r="BI101" i="1"/>
  <c r="BH101" i="1"/>
  <c r="BG101" i="1"/>
  <c r="BF101" i="1"/>
  <c r="AX101" i="1"/>
  <c r="AR101" i="1"/>
  <c r="AQ101" i="1"/>
  <c r="AP101" i="1"/>
  <c r="AO101" i="1"/>
  <c r="AN101" i="1"/>
  <c r="AM101" i="1"/>
  <c r="AL101" i="1"/>
  <c r="AK101" i="1"/>
  <c r="AJ101" i="1"/>
  <c r="AI101" i="1"/>
  <c r="AH101" i="1"/>
  <c r="AG101" i="1"/>
  <c r="AE101" i="1"/>
  <c r="DE100" i="1"/>
  <c r="DD100" i="1"/>
  <c r="DC100" i="1"/>
  <c r="DB100" i="1"/>
  <c r="DA100" i="1"/>
  <c r="CZ100" i="1"/>
  <c r="CY100" i="1"/>
  <c r="CX100" i="1"/>
  <c r="CW100" i="1"/>
  <c r="CV100" i="1"/>
  <c r="CU100" i="1"/>
  <c r="CT100" i="1"/>
  <c r="CS100" i="1"/>
  <c r="CR100" i="1"/>
  <c r="CQ100" i="1"/>
  <c r="CP100" i="1"/>
  <c r="CO100" i="1"/>
  <c r="CN100" i="1"/>
  <c r="CM100" i="1"/>
  <c r="CL100" i="1"/>
  <c r="CK100" i="1"/>
  <c r="CJ100" i="1"/>
  <c r="CI100" i="1"/>
  <c r="CH100" i="1"/>
  <c r="CG100" i="1"/>
  <c r="CF100" i="1"/>
  <c r="BZ100" i="1"/>
  <c r="BR100" i="1"/>
  <c r="BQ100" i="1"/>
  <c r="BP100" i="1"/>
  <c r="BO100" i="1"/>
  <c r="BN100" i="1"/>
  <c r="BL100" i="1"/>
  <c r="BK100" i="1"/>
  <c r="BJ100" i="1"/>
  <c r="BI100" i="1"/>
  <c r="BH100" i="1"/>
  <c r="BG100" i="1"/>
  <c r="BF100" i="1"/>
  <c r="BC100" i="1"/>
  <c r="AU100" i="1"/>
  <c r="AR100" i="1"/>
  <c r="AQ100" i="1"/>
  <c r="AP100" i="1"/>
  <c r="AO100" i="1"/>
  <c r="AN100" i="1"/>
  <c r="AL100" i="1"/>
  <c r="AK100" i="1"/>
  <c r="AJ100" i="1"/>
  <c r="AI100" i="1"/>
  <c r="AH100" i="1"/>
  <c r="AG100" i="1"/>
  <c r="AF100" i="1"/>
  <c r="AE100" i="1"/>
  <c r="O101" i="1" s="1"/>
  <c r="P101" i="1" s="1"/>
  <c r="AF101" i="1" s="1"/>
  <c r="AD100" i="1"/>
  <c r="O100" i="1"/>
  <c r="F100" i="1"/>
  <c r="B100" i="1"/>
  <c r="DE99" i="1"/>
  <c r="DD99" i="1"/>
  <c r="DC99" i="1"/>
  <c r="DB99" i="1"/>
  <c r="DA99" i="1"/>
  <c r="CZ99" i="1"/>
  <c r="CY99" i="1"/>
  <c r="CX99" i="1"/>
  <c r="CW99" i="1"/>
  <c r="CV99" i="1"/>
  <c r="CU99" i="1"/>
  <c r="CT99" i="1"/>
  <c r="CS99" i="1"/>
  <c r="CR99" i="1"/>
  <c r="CQ99" i="1"/>
  <c r="CP99" i="1"/>
  <c r="CO99" i="1"/>
  <c r="CN99" i="1"/>
  <c r="CM99" i="1"/>
  <c r="CL99" i="1"/>
  <c r="CK99" i="1"/>
  <c r="CJ99" i="1"/>
  <c r="CI99" i="1"/>
  <c r="CH99" i="1"/>
  <c r="CG99" i="1"/>
  <c r="CF99" i="1"/>
  <c r="BR99" i="1"/>
  <c r="BQ99" i="1"/>
  <c r="BP99" i="1"/>
  <c r="BO99" i="1"/>
  <c r="BN99" i="1"/>
  <c r="BM99" i="1"/>
  <c r="BL99" i="1"/>
  <c r="BK99" i="1"/>
  <c r="BJ99" i="1"/>
  <c r="BI99" i="1"/>
  <c r="BH99" i="1"/>
  <c r="BG99" i="1"/>
  <c r="BF99" i="1"/>
  <c r="BE99" i="1"/>
  <c r="BC99" i="1"/>
  <c r="BB99" i="1"/>
  <c r="BA99" i="1"/>
  <c r="AY99" i="1"/>
  <c r="AX99" i="1"/>
  <c r="AW99" i="1"/>
  <c r="AU99" i="1"/>
  <c r="AT99" i="1"/>
  <c r="AS99" i="1"/>
  <c r="AR99" i="1"/>
  <c r="AQ99" i="1"/>
  <c r="AP99" i="1"/>
  <c r="AO99" i="1"/>
  <c r="AN99" i="1"/>
  <c r="AM99" i="1"/>
  <c r="AL99" i="1"/>
  <c r="AK99" i="1"/>
  <c r="AJ99" i="1"/>
  <c r="AI99" i="1"/>
  <c r="AH99" i="1"/>
  <c r="AG99" i="1"/>
  <c r="AF99" i="1"/>
  <c r="AE99" i="1"/>
  <c r="AD99" i="1"/>
  <c r="R99" i="1"/>
  <c r="Q99" i="1"/>
  <c r="DE98" i="1"/>
  <c r="DD98" i="1"/>
  <c r="DC98" i="1"/>
  <c r="DB98" i="1"/>
  <c r="DA98" i="1"/>
  <c r="CZ98" i="1"/>
  <c r="CY98" i="1"/>
  <c r="CX98" i="1"/>
  <c r="CW98" i="1"/>
  <c r="CV98" i="1"/>
  <c r="CU98" i="1"/>
  <c r="CT98" i="1"/>
  <c r="CS98" i="1"/>
  <c r="CR98" i="1"/>
  <c r="CQ98" i="1"/>
  <c r="CP98" i="1"/>
  <c r="CO98" i="1"/>
  <c r="CN98" i="1"/>
  <c r="CM98" i="1"/>
  <c r="CL98" i="1"/>
  <c r="CK98" i="1"/>
  <c r="CJ98" i="1"/>
  <c r="CI98" i="1"/>
  <c r="CH98" i="1"/>
  <c r="CG98" i="1"/>
  <c r="CF98" i="1"/>
  <c r="BR98" i="1"/>
  <c r="BQ98" i="1"/>
  <c r="BP98" i="1"/>
  <c r="BO98" i="1"/>
  <c r="BN98" i="1"/>
  <c r="BM98" i="1"/>
  <c r="BL98" i="1"/>
  <c r="BK98" i="1"/>
  <c r="BI98" i="1"/>
  <c r="BH98" i="1"/>
  <c r="BG98" i="1"/>
  <c r="BF98" i="1"/>
  <c r="BE98" i="1"/>
  <c r="BC98" i="1"/>
  <c r="BB98" i="1"/>
  <c r="BA98" i="1"/>
  <c r="AY98" i="1"/>
  <c r="AX98" i="1"/>
  <c r="AW98" i="1"/>
  <c r="AU98" i="1"/>
  <c r="AT98" i="1"/>
  <c r="AS98" i="1"/>
  <c r="AR98" i="1"/>
  <c r="AQ98" i="1"/>
  <c r="AP98" i="1"/>
  <c r="AO98" i="1"/>
  <c r="AN98" i="1"/>
  <c r="AM98" i="1"/>
  <c r="AL98" i="1"/>
  <c r="AK98" i="1"/>
  <c r="AI98" i="1"/>
  <c r="AH98" i="1"/>
  <c r="AG98" i="1"/>
  <c r="AF98" i="1"/>
  <c r="AE98" i="1"/>
  <c r="O97" i="1" s="1"/>
  <c r="AD98" i="1"/>
  <c r="J98"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D97" i="1"/>
  <c r="CC97" i="1"/>
  <c r="CB97" i="1"/>
  <c r="BZ97" i="1"/>
  <c r="BY97" i="1"/>
  <c r="BX97" i="1"/>
  <c r="BV97" i="1"/>
  <c r="BU97" i="1"/>
  <c r="BT97" i="1"/>
  <c r="BR97" i="1"/>
  <c r="BQ97" i="1"/>
  <c r="BP97" i="1"/>
  <c r="BO97" i="1"/>
  <c r="BN97" i="1"/>
  <c r="BM97" i="1"/>
  <c r="BL97" i="1"/>
  <c r="BK97" i="1"/>
  <c r="BJ97" i="1"/>
  <c r="BI97" i="1"/>
  <c r="BH97" i="1"/>
  <c r="BG97" i="1"/>
  <c r="BF97" i="1"/>
  <c r="BE97" i="1"/>
  <c r="BD97" i="1"/>
  <c r="BB97" i="1"/>
  <c r="BA97" i="1"/>
  <c r="AZ97" i="1"/>
  <c r="AX97" i="1"/>
  <c r="AW97" i="1"/>
  <c r="AV97" i="1"/>
  <c r="AT97" i="1"/>
  <c r="AS97" i="1"/>
  <c r="AR97" i="1"/>
  <c r="AQ97" i="1"/>
  <c r="AP97" i="1"/>
  <c r="AO97" i="1"/>
  <c r="AN97" i="1"/>
  <c r="AL97" i="1"/>
  <c r="AK97" i="1"/>
  <c r="AJ97" i="1"/>
  <c r="AI97" i="1"/>
  <c r="AH97" i="1"/>
  <c r="AG97" i="1"/>
  <c r="AF97" i="1"/>
  <c r="AE97" i="1"/>
  <c r="AD97" i="1"/>
  <c r="R97" i="1"/>
  <c r="F97" i="1"/>
  <c r="B97" i="1"/>
  <c r="BD99" i="1" s="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BR96" i="1"/>
  <c r="BQ96" i="1"/>
  <c r="BP96" i="1"/>
  <c r="BO96" i="1"/>
  <c r="BN96" i="1"/>
  <c r="BM96" i="1"/>
  <c r="BL96" i="1"/>
  <c r="BK96" i="1"/>
  <c r="BJ96" i="1"/>
  <c r="BI96" i="1"/>
  <c r="BH96" i="1"/>
  <c r="BG96" i="1"/>
  <c r="BF96" i="1"/>
  <c r="BE96" i="1"/>
  <c r="BD96" i="1"/>
  <c r="BB96" i="1"/>
  <c r="BA96" i="1"/>
  <c r="AZ96" i="1"/>
  <c r="AX96" i="1"/>
  <c r="AW96" i="1"/>
  <c r="AV96" i="1"/>
  <c r="AT96" i="1"/>
  <c r="AS96" i="1"/>
  <c r="AR96" i="1"/>
  <c r="AQ96" i="1"/>
  <c r="AP96" i="1"/>
  <c r="AO96" i="1"/>
  <c r="AN96" i="1"/>
  <c r="AM96" i="1"/>
  <c r="AL96" i="1"/>
  <c r="AK96" i="1"/>
  <c r="AJ96" i="1"/>
  <c r="AI96" i="1"/>
  <c r="AH96" i="1"/>
  <c r="AG96" i="1"/>
  <c r="AF96" i="1"/>
  <c r="AE96" i="1"/>
  <c r="R96" i="1"/>
  <c r="Q96"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BR95" i="1"/>
  <c r="BQ95" i="1"/>
  <c r="BP95" i="1"/>
  <c r="BO95" i="1"/>
  <c r="BN95" i="1"/>
  <c r="BM95" i="1"/>
  <c r="BL95" i="1"/>
  <c r="BK95" i="1"/>
  <c r="BJ95" i="1"/>
  <c r="BI95" i="1"/>
  <c r="BH95" i="1"/>
  <c r="BF95" i="1"/>
  <c r="BE95" i="1"/>
  <c r="BD95" i="1"/>
  <c r="BC95" i="1"/>
  <c r="BA95" i="1"/>
  <c r="AZ95" i="1"/>
  <c r="AY95" i="1"/>
  <c r="AW95" i="1"/>
  <c r="AV95" i="1"/>
  <c r="AU95" i="1"/>
  <c r="AS95" i="1"/>
  <c r="AR95" i="1"/>
  <c r="AQ95" i="1"/>
  <c r="AP95" i="1"/>
  <c r="AO95" i="1"/>
  <c r="AN95" i="1"/>
  <c r="AM95" i="1"/>
  <c r="AL95" i="1"/>
  <c r="AK95" i="1"/>
  <c r="AJ95" i="1"/>
  <c r="AI95" i="1"/>
  <c r="AH95" i="1"/>
  <c r="AG95" i="1"/>
  <c r="AF95" i="1"/>
  <c r="AE95" i="1"/>
  <c r="O94" i="1" s="1"/>
  <c r="P94" i="1" s="1"/>
  <c r="AJ94" i="1" s="1"/>
  <c r="P95" i="1"/>
  <c r="O95" i="1"/>
  <c r="BG95" i="1" s="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D94" i="1"/>
  <c r="CC94" i="1"/>
  <c r="CB94" i="1"/>
  <c r="BZ94" i="1"/>
  <c r="BY94" i="1"/>
  <c r="BX94" i="1"/>
  <c r="BV94" i="1"/>
  <c r="BU94" i="1"/>
  <c r="BR94" i="1"/>
  <c r="BQ94" i="1"/>
  <c r="BP94" i="1"/>
  <c r="BO94" i="1"/>
  <c r="BN94" i="1"/>
  <c r="BM94" i="1"/>
  <c r="BL94" i="1"/>
  <c r="BK94" i="1"/>
  <c r="BJ94" i="1"/>
  <c r="BI94" i="1"/>
  <c r="BH94" i="1"/>
  <c r="BG94" i="1"/>
  <c r="BF94" i="1"/>
  <c r="BE94" i="1"/>
  <c r="BD94" i="1"/>
  <c r="BB94" i="1"/>
  <c r="BA94" i="1"/>
  <c r="AZ94" i="1"/>
  <c r="AX94" i="1"/>
  <c r="AW94" i="1"/>
  <c r="AV94" i="1"/>
  <c r="AT94" i="1"/>
  <c r="AS94" i="1"/>
  <c r="AR94" i="1"/>
  <c r="AQ94" i="1"/>
  <c r="AP94" i="1"/>
  <c r="AO94" i="1"/>
  <c r="AN94" i="1"/>
  <c r="AM94" i="1"/>
  <c r="AL94" i="1"/>
  <c r="AK94" i="1"/>
  <c r="AI94" i="1"/>
  <c r="AH94" i="1"/>
  <c r="AG94" i="1"/>
  <c r="AF94" i="1"/>
  <c r="AE94" i="1"/>
  <c r="O96" i="1" s="1"/>
  <c r="P96" i="1" s="1"/>
  <c r="AD94" i="1"/>
  <c r="F94" i="1"/>
  <c r="B94" i="1"/>
  <c r="BC96" i="1" s="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BR93" i="1"/>
  <c r="BQ93" i="1"/>
  <c r="BP93" i="1"/>
  <c r="BO93" i="1"/>
  <c r="BN93" i="1"/>
  <c r="BM93" i="1"/>
  <c r="BL93" i="1"/>
  <c r="BK93" i="1"/>
  <c r="BJ93" i="1"/>
  <c r="BI93" i="1"/>
  <c r="BH93" i="1"/>
  <c r="BG93" i="1"/>
  <c r="BF93" i="1"/>
  <c r="BE93" i="1"/>
  <c r="BD93" i="1"/>
  <c r="BB93" i="1"/>
  <c r="BA93" i="1"/>
  <c r="AZ93" i="1"/>
  <c r="AX93" i="1"/>
  <c r="AW93" i="1"/>
  <c r="AV93" i="1"/>
  <c r="AT93" i="1"/>
  <c r="AS93" i="1"/>
  <c r="AR93" i="1"/>
  <c r="AQ93" i="1"/>
  <c r="AP93" i="1"/>
  <c r="AO93" i="1"/>
  <c r="AN93" i="1"/>
  <c r="AM93" i="1"/>
  <c r="AL93" i="1"/>
  <c r="AK93" i="1"/>
  <c r="AJ93" i="1"/>
  <c r="AI93" i="1"/>
  <c r="AH93" i="1"/>
  <c r="AG93" i="1"/>
  <c r="AF93" i="1"/>
  <c r="AE93" i="1"/>
  <c r="AD93" i="1"/>
  <c r="R93" i="1"/>
  <c r="Q93" i="1"/>
  <c r="O93" i="1"/>
  <c r="P93" i="1" s="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BR92" i="1"/>
  <c r="BQ92" i="1"/>
  <c r="BP92" i="1"/>
  <c r="BO92" i="1"/>
  <c r="BN92" i="1"/>
  <c r="BM92" i="1"/>
  <c r="BL92" i="1"/>
  <c r="BK92" i="1"/>
  <c r="BJ92" i="1"/>
  <c r="BI92" i="1"/>
  <c r="BH92" i="1"/>
  <c r="BG92" i="1"/>
  <c r="BF92" i="1"/>
  <c r="BE92" i="1"/>
  <c r="BD92" i="1"/>
  <c r="BB92" i="1"/>
  <c r="BA92" i="1"/>
  <c r="AZ92" i="1"/>
  <c r="AX92" i="1"/>
  <c r="AW92" i="1"/>
  <c r="AV92" i="1"/>
  <c r="AT92" i="1"/>
  <c r="AS92" i="1"/>
  <c r="AR92" i="1"/>
  <c r="AP92" i="1"/>
  <c r="AO92" i="1"/>
  <c r="AN92" i="1"/>
  <c r="AM92" i="1"/>
  <c r="AL92" i="1"/>
  <c r="AK92" i="1"/>
  <c r="AJ92" i="1"/>
  <c r="AI92" i="1"/>
  <c r="AH92" i="1"/>
  <c r="AG92" i="1"/>
  <c r="AF92" i="1"/>
  <c r="AE92" i="1"/>
  <c r="AD92" i="1"/>
  <c r="O92" i="1"/>
  <c r="P92" i="1" s="1"/>
  <c r="AQ92" i="1" s="1"/>
  <c r="J92"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C91" i="1"/>
  <c r="CB91" i="1"/>
  <c r="CA91" i="1"/>
  <c r="BY91" i="1"/>
  <c r="BX91" i="1"/>
  <c r="BW91" i="1"/>
  <c r="BU91" i="1"/>
  <c r="BT91" i="1"/>
  <c r="BS91" i="1"/>
  <c r="BR91" i="1"/>
  <c r="BQ91" i="1"/>
  <c r="BP91" i="1"/>
  <c r="BO91" i="1"/>
  <c r="BN91" i="1"/>
  <c r="BM91" i="1"/>
  <c r="BL91" i="1"/>
  <c r="BK91" i="1"/>
  <c r="BJ91" i="1"/>
  <c r="BI91" i="1"/>
  <c r="BH91" i="1"/>
  <c r="BF91" i="1"/>
  <c r="BE91" i="1"/>
  <c r="BD91" i="1"/>
  <c r="BC91" i="1"/>
  <c r="BA91" i="1"/>
  <c r="AZ91" i="1"/>
  <c r="AY91" i="1"/>
  <c r="AW91" i="1"/>
  <c r="AV91" i="1"/>
  <c r="AU91" i="1"/>
  <c r="AS91" i="1"/>
  <c r="AR91" i="1"/>
  <c r="AQ91" i="1"/>
  <c r="AP91" i="1"/>
  <c r="AO91" i="1"/>
  <c r="AN91" i="1"/>
  <c r="AM91" i="1"/>
  <c r="AL91" i="1"/>
  <c r="AK91" i="1"/>
  <c r="AJ91" i="1"/>
  <c r="AI91" i="1"/>
  <c r="AH91" i="1"/>
  <c r="AG91" i="1"/>
  <c r="AF91" i="1"/>
  <c r="AE91" i="1"/>
  <c r="AD91" i="1"/>
  <c r="P91" i="1"/>
  <c r="O91" i="1"/>
  <c r="BG91" i="1" s="1"/>
  <c r="G91" i="1"/>
  <c r="F91" i="1"/>
  <c r="B91" i="1"/>
  <c r="BC93" i="1" s="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BR90" i="1"/>
  <c r="BQ90" i="1"/>
  <c r="BP90" i="1"/>
  <c r="BO90" i="1"/>
  <c r="BN90" i="1"/>
  <c r="BM90" i="1"/>
  <c r="BL90" i="1"/>
  <c r="BK90" i="1"/>
  <c r="BJ90" i="1"/>
  <c r="BI90" i="1"/>
  <c r="BH90" i="1"/>
  <c r="BG90" i="1"/>
  <c r="BF90" i="1"/>
  <c r="BA90" i="1"/>
  <c r="AS90" i="1"/>
  <c r="AR90" i="1"/>
  <c r="AQ90" i="1"/>
  <c r="AP90" i="1"/>
  <c r="AO90" i="1"/>
  <c r="AN90" i="1"/>
  <c r="AM90" i="1"/>
  <c r="AL90" i="1"/>
  <c r="AK90" i="1"/>
  <c r="AJ90" i="1"/>
  <c r="AI90" i="1"/>
  <c r="AH90" i="1"/>
  <c r="AG90" i="1"/>
  <c r="AF90" i="1"/>
  <c r="AE90" i="1"/>
  <c r="R90" i="1"/>
  <c r="Q90" i="1"/>
  <c r="DE89" i="1"/>
  <c r="DD89" i="1"/>
  <c r="DC89" i="1"/>
  <c r="DB89" i="1"/>
  <c r="DA89" i="1"/>
  <c r="CZ89" i="1"/>
  <c r="CY89" i="1"/>
  <c r="CX89" i="1"/>
  <c r="CW89" i="1"/>
  <c r="CV89" i="1"/>
  <c r="CU89" i="1"/>
  <c r="CT89" i="1"/>
  <c r="CS89" i="1"/>
  <c r="CR89" i="1"/>
  <c r="CQ89" i="1"/>
  <c r="CP89" i="1"/>
  <c r="CO89" i="1"/>
  <c r="CN89" i="1"/>
  <c r="CM89" i="1"/>
  <c r="CL89" i="1"/>
  <c r="CK89" i="1"/>
  <c r="CJ89" i="1"/>
  <c r="CI89" i="1"/>
  <c r="CH89" i="1"/>
  <c r="CG89" i="1"/>
  <c r="CF89" i="1"/>
  <c r="BR89" i="1"/>
  <c r="BP89" i="1"/>
  <c r="BO89" i="1"/>
  <c r="BN89" i="1"/>
  <c r="BM89" i="1"/>
  <c r="BL89" i="1"/>
  <c r="BK89" i="1"/>
  <c r="BJ89" i="1"/>
  <c r="BI89" i="1"/>
  <c r="BH89" i="1"/>
  <c r="BG89" i="1"/>
  <c r="BF89" i="1"/>
  <c r="BD89" i="1"/>
  <c r="AV89" i="1"/>
  <c r="AR89" i="1"/>
  <c r="AP89" i="1"/>
  <c r="AO89" i="1"/>
  <c r="AN89" i="1"/>
  <c r="AM89" i="1"/>
  <c r="AL89" i="1"/>
  <c r="AK89" i="1"/>
  <c r="AJ89" i="1"/>
  <c r="AI89" i="1"/>
  <c r="AH89" i="1"/>
  <c r="AG89" i="1"/>
  <c r="AF89" i="1"/>
  <c r="AE89" i="1"/>
  <c r="J89" i="1"/>
  <c r="DE88" i="1"/>
  <c r="DD88" i="1"/>
  <c r="DC88" i="1"/>
  <c r="DB88" i="1"/>
  <c r="DA88" i="1"/>
  <c r="CZ88" i="1"/>
  <c r="CY88" i="1"/>
  <c r="CX88" i="1"/>
  <c r="CW88" i="1"/>
  <c r="CV88" i="1"/>
  <c r="CU88" i="1"/>
  <c r="CT88" i="1"/>
  <c r="CS88" i="1"/>
  <c r="CR88" i="1"/>
  <c r="CQ88" i="1"/>
  <c r="CP88" i="1"/>
  <c r="CO88" i="1"/>
  <c r="CN88" i="1"/>
  <c r="CM88" i="1"/>
  <c r="CL88" i="1"/>
  <c r="CK88" i="1"/>
  <c r="CJ88" i="1"/>
  <c r="CI88" i="1"/>
  <c r="CH88" i="1"/>
  <c r="CG88" i="1"/>
  <c r="CF88" i="1"/>
  <c r="CE88" i="1"/>
  <c r="BW88" i="1"/>
  <c r="BR88" i="1"/>
  <c r="BQ88" i="1"/>
  <c r="BP88" i="1"/>
  <c r="BO88" i="1"/>
  <c r="BN88" i="1"/>
  <c r="BM88" i="1"/>
  <c r="BL88" i="1"/>
  <c r="BK88" i="1"/>
  <c r="BJ88" i="1"/>
  <c r="BI88" i="1"/>
  <c r="BH88" i="1"/>
  <c r="BF88" i="1"/>
  <c r="BC88" i="1"/>
  <c r="AU88" i="1"/>
  <c r="AR88" i="1"/>
  <c r="AQ88" i="1"/>
  <c r="AP88" i="1"/>
  <c r="AO88" i="1"/>
  <c r="AN88" i="1"/>
  <c r="AM88" i="1"/>
  <c r="AL88" i="1"/>
  <c r="AK88" i="1"/>
  <c r="AJ88" i="1"/>
  <c r="AI88" i="1"/>
  <c r="AH88" i="1"/>
  <c r="AF88" i="1"/>
  <c r="AE88" i="1"/>
  <c r="AD88" i="1"/>
  <c r="O88" i="1"/>
  <c r="G88" i="1"/>
  <c r="B88" i="1"/>
  <c r="DE87" i="1"/>
  <c r="DD87" i="1"/>
  <c r="DC87" i="1"/>
  <c r="DB87" i="1"/>
  <c r="DA87" i="1"/>
  <c r="CZ87" i="1"/>
  <c r="CY87" i="1"/>
  <c r="CX87" i="1"/>
  <c r="CW87" i="1"/>
  <c r="CV87" i="1"/>
  <c r="CU87" i="1"/>
  <c r="CT87" i="1"/>
  <c r="CS87" i="1"/>
  <c r="CR87" i="1"/>
  <c r="CQ87" i="1"/>
  <c r="CP87" i="1"/>
  <c r="CO87" i="1"/>
  <c r="CN87" i="1"/>
  <c r="CM87" i="1"/>
  <c r="CL87" i="1"/>
  <c r="CK87" i="1"/>
  <c r="CJ87" i="1"/>
  <c r="CI87" i="1"/>
  <c r="CH87" i="1"/>
  <c r="CG87" i="1"/>
  <c r="CF87" i="1"/>
  <c r="BR87" i="1"/>
  <c r="BQ87" i="1"/>
  <c r="BP87" i="1"/>
  <c r="BO87" i="1"/>
  <c r="BN87" i="1"/>
  <c r="BM87" i="1"/>
  <c r="BL87" i="1"/>
  <c r="BK87" i="1"/>
  <c r="BJ87" i="1"/>
  <c r="BI87" i="1"/>
  <c r="BH87" i="1"/>
  <c r="BG87" i="1"/>
  <c r="BF87" i="1"/>
  <c r="BD87" i="1"/>
  <c r="BC87" i="1"/>
  <c r="AZ87" i="1"/>
  <c r="AV87" i="1"/>
  <c r="AU87" i="1"/>
  <c r="AR87" i="1"/>
  <c r="AQ87" i="1"/>
  <c r="AP87" i="1"/>
  <c r="AO87" i="1"/>
  <c r="AN87" i="1"/>
  <c r="AM87" i="1"/>
  <c r="AL87" i="1"/>
  <c r="AK87" i="1"/>
  <c r="AJ87" i="1"/>
  <c r="AI87" i="1"/>
  <c r="AH87" i="1"/>
  <c r="AG87" i="1"/>
  <c r="AF87" i="1"/>
  <c r="AE87" i="1"/>
  <c r="AD87" i="1"/>
  <c r="R87" i="1"/>
  <c r="Q87" i="1"/>
  <c r="DE86" i="1"/>
  <c r="DD86" i="1"/>
  <c r="DC86" i="1"/>
  <c r="DB86" i="1"/>
  <c r="DA86" i="1"/>
  <c r="CZ86" i="1"/>
  <c r="CY86" i="1"/>
  <c r="CX86" i="1"/>
  <c r="CW86" i="1"/>
  <c r="CV86" i="1"/>
  <c r="CU86" i="1"/>
  <c r="CT86" i="1"/>
  <c r="CS86" i="1"/>
  <c r="CR86" i="1"/>
  <c r="CQ86" i="1"/>
  <c r="CP86" i="1"/>
  <c r="CO86" i="1"/>
  <c r="CN86" i="1"/>
  <c r="CM86" i="1"/>
  <c r="CL86" i="1"/>
  <c r="CK86" i="1"/>
  <c r="CJ86" i="1"/>
  <c r="CI86" i="1"/>
  <c r="CH86" i="1"/>
  <c r="CG86" i="1"/>
  <c r="CF86" i="1"/>
  <c r="BR86" i="1"/>
  <c r="BP86" i="1"/>
  <c r="BO86" i="1"/>
  <c r="BN86" i="1"/>
  <c r="BM86" i="1"/>
  <c r="BL86" i="1"/>
  <c r="BK86" i="1"/>
  <c r="BJ86" i="1"/>
  <c r="BI86" i="1"/>
  <c r="BH86" i="1"/>
  <c r="BG86" i="1"/>
  <c r="BF86" i="1"/>
  <c r="BD86" i="1"/>
  <c r="BC86" i="1"/>
  <c r="AZ86" i="1"/>
  <c r="AV86" i="1"/>
  <c r="AU86" i="1"/>
  <c r="AR86" i="1"/>
  <c r="AP86" i="1"/>
  <c r="AO86" i="1"/>
  <c r="AN86" i="1"/>
  <c r="AM86" i="1"/>
  <c r="AL86" i="1"/>
  <c r="AK86" i="1"/>
  <c r="AJ86" i="1"/>
  <c r="AI86" i="1"/>
  <c r="AH86" i="1"/>
  <c r="AG86" i="1"/>
  <c r="AF86" i="1"/>
  <c r="AE86" i="1"/>
  <c r="AD86" i="1"/>
  <c r="J86" i="1"/>
  <c r="DE85" i="1"/>
  <c r="DD85" i="1"/>
  <c r="DC85" i="1"/>
  <c r="DB85" i="1"/>
  <c r="DA85" i="1"/>
  <c r="CZ85" i="1"/>
  <c r="CY85" i="1"/>
  <c r="CX85" i="1"/>
  <c r="CW85" i="1"/>
  <c r="CV85" i="1"/>
  <c r="CU85" i="1"/>
  <c r="CT85" i="1"/>
  <c r="CS85" i="1"/>
  <c r="CR85" i="1"/>
  <c r="CQ85" i="1"/>
  <c r="CP85" i="1"/>
  <c r="CO85" i="1"/>
  <c r="CN85" i="1"/>
  <c r="CM85" i="1"/>
  <c r="CL85" i="1"/>
  <c r="CK85" i="1"/>
  <c r="CJ85" i="1"/>
  <c r="CI85" i="1"/>
  <c r="CH85" i="1"/>
  <c r="CG85" i="1"/>
  <c r="CF85" i="1"/>
  <c r="CE85" i="1"/>
  <c r="CA85" i="1"/>
  <c r="BZ85" i="1"/>
  <c r="BW85" i="1"/>
  <c r="BS85" i="1"/>
  <c r="BR85" i="1"/>
  <c r="BQ85" i="1"/>
  <c r="BP85" i="1"/>
  <c r="BO85" i="1"/>
  <c r="BN85" i="1"/>
  <c r="BM85" i="1"/>
  <c r="BL85" i="1"/>
  <c r="BK85" i="1"/>
  <c r="BJ85" i="1"/>
  <c r="BI85" i="1"/>
  <c r="BH85" i="1"/>
  <c r="BF85" i="1"/>
  <c r="BC85" i="1"/>
  <c r="AY85" i="1"/>
  <c r="AX85" i="1"/>
  <c r="AU85" i="1"/>
  <c r="AR85" i="1"/>
  <c r="AQ85" i="1"/>
  <c r="AP85" i="1"/>
  <c r="AO85" i="1"/>
  <c r="AN85" i="1"/>
  <c r="AM85" i="1"/>
  <c r="AL85" i="1"/>
  <c r="AK85" i="1"/>
  <c r="AJ85" i="1"/>
  <c r="AI85" i="1"/>
  <c r="AH85" i="1"/>
  <c r="AF85" i="1"/>
  <c r="AE85" i="1"/>
  <c r="AD85" i="1"/>
  <c r="O85" i="1"/>
  <c r="G85" i="1"/>
  <c r="B85" i="1"/>
  <c r="DE84" i="1"/>
  <c r="DD84" i="1"/>
  <c r="DC84" i="1"/>
  <c r="DB84" i="1"/>
  <c r="DA84" i="1"/>
  <c r="CZ84" i="1"/>
  <c r="CY84" i="1"/>
  <c r="CX84" i="1"/>
  <c r="CW84" i="1"/>
  <c r="CV84" i="1"/>
  <c r="CU84" i="1"/>
  <c r="CT84" i="1"/>
  <c r="CS84" i="1"/>
  <c r="CR84" i="1"/>
  <c r="CQ84" i="1"/>
  <c r="CP84" i="1"/>
  <c r="CO84" i="1"/>
  <c r="CN84" i="1"/>
  <c r="CM84" i="1"/>
  <c r="CL84" i="1"/>
  <c r="CK84" i="1"/>
  <c r="CJ84" i="1"/>
  <c r="CI84" i="1"/>
  <c r="CH84" i="1"/>
  <c r="CG84" i="1"/>
  <c r="CF84" i="1"/>
  <c r="BR84" i="1"/>
  <c r="BQ84" i="1"/>
  <c r="BP84" i="1"/>
  <c r="BO84" i="1"/>
  <c r="BN84" i="1"/>
  <c r="BM84" i="1"/>
  <c r="BL84" i="1"/>
  <c r="BK84" i="1"/>
  <c r="BJ84" i="1"/>
  <c r="BI84" i="1"/>
  <c r="BH84" i="1"/>
  <c r="BG84" i="1"/>
  <c r="BF84" i="1"/>
  <c r="BD84" i="1"/>
  <c r="BC84" i="1"/>
  <c r="AZ84" i="1"/>
  <c r="AY84" i="1"/>
  <c r="AV84" i="1"/>
  <c r="AU84" i="1"/>
  <c r="AR84" i="1"/>
  <c r="AQ84" i="1"/>
  <c r="AP84" i="1"/>
  <c r="AO84" i="1"/>
  <c r="AN84" i="1"/>
  <c r="AM84" i="1"/>
  <c r="AL84" i="1"/>
  <c r="AK84" i="1"/>
  <c r="AJ84" i="1"/>
  <c r="AI84" i="1"/>
  <c r="AH84" i="1"/>
  <c r="AG84" i="1"/>
  <c r="AF84" i="1"/>
  <c r="AE84" i="1"/>
  <c r="R84" i="1"/>
  <c r="Q84" i="1"/>
  <c r="DE83" i="1"/>
  <c r="DD83" i="1"/>
  <c r="DC83" i="1"/>
  <c r="DB83" i="1"/>
  <c r="DA83" i="1"/>
  <c r="CZ83" i="1"/>
  <c r="CY83" i="1"/>
  <c r="CX83" i="1"/>
  <c r="CW83" i="1"/>
  <c r="CV83" i="1"/>
  <c r="CU83" i="1"/>
  <c r="CT83" i="1"/>
  <c r="CS83" i="1"/>
  <c r="CR83" i="1"/>
  <c r="CQ83" i="1"/>
  <c r="CP83" i="1"/>
  <c r="CO83" i="1"/>
  <c r="CN83" i="1"/>
  <c r="CM83" i="1"/>
  <c r="CL83" i="1"/>
  <c r="CK83" i="1"/>
  <c r="CJ83" i="1"/>
  <c r="CI83" i="1"/>
  <c r="CH83" i="1"/>
  <c r="CG83" i="1"/>
  <c r="CF83" i="1"/>
  <c r="BR83" i="1"/>
  <c r="BP83" i="1"/>
  <c r="BO83" i="1"/>
  <c r="BN83" i="1"/>
  <c r="BM83" i="1"/>
  <c r="BL83" i="1"/>
  <c r="BK83" i="1"/>
  <c r="BJ83" i="1"/>
  <c r="BI83" i="1"/>
  <c r="BH83" i="1"/>
  <c r="BG83" i="1"/>
  <c r="BF83" i="1"/>
  <c r="BC83" i="1"/>
  <c r="BB83" i="1"/>
  <c r="AY83" i="1"/>
  <c r="AX83" i="1"/>
  <c r="AU83" i="1"/>
  <c r="AT83" i="1"/>
  <c r="AR83" i="1"/>
  <c r="AP83" i="1"/>
  <c r="AO83" i="1"/>
  <c r="AN83" i="1"/>
  <c r="AM83" i="1"/>
  <c r="AL83" i="1"/>
  <c r="AK83" i="1"/>
  <c r="AJ83" i="1"/>
  <c r="AI83" i="1"/>
  <c r="AH83" i="1"/>
  <c r="AG83" i="1"/>
  <c r="AF83" i="1"/>
  <c r="AE83" i="1"/>
  <c r="O82" i="1" s="1"/>
  <c r="BG82" i="1" s="1"/>
  <c r="O83" i="1"/>
  <c r="J83"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C82" i="1"/>
  <c r="CB82" i="1"/>
  <c r="BY82" i="1"/>
  <c r="BX82" i="1"/>
  <c r="BU82" i="1"/>
  <c r="BT82" i="1"/>
  <c r="BR82" i="1"/>
  <c r="BQ82" i="1"/>
  <c r="BP82" i="1"/>
  <c r="BO82" i="1"/>
  <c r="BN82" i="1"/>
  <c r="BM82" i="1"/>
  <c r="BL82" i="1"/>
  <c r="BK82" i="1"/>
  <c r="BJ82" i="1"/>
  <c r="BI82" i="1"/>
  <c r="BH82" i="1"/>
  <c r="BF82" i="1"/>
  <c r="BE82" i="1"/>
  <c r="BD82" i="1"/>
  <c r="BA82" i="1"/>
  <c r="AZ82" i="1"/>
  <c r="AW82" i="1"/>
  <c r="AV82" i="1"/>
  <c r="AS82" i="1"/>
  <c r="AR82" i="1"/>
  <c r="AQ82" i="1"/>
  <c r="AP82" i="1"/>
  <c r="AO82" i="1"/>
  <c r="AN82" i="1"/>
  <c r="AM82" i="1"/>
  <c r="AL82" i="1"/>
  <c r="AK82" i="1"/>
  <c r="AJ82" i="1"/>
  <c r="AI82" i="1"/>
  <c r="AH82" i="1"/>
  <c r="AG82" i="1"/>
  <c r="AF82" i="1"/>
  <c r="AE82" i="1"/>
  <c r="AD82" i="1"/>
  <c r="F82" i="1"/>
  <c r="B82" i="1"/>
  <c r="BB84" i="1" s="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BR81" i="1"/>
  <c r="BQ81" i="1"/>
  <c r="BP81" i="1"/>
  <c r="BO81" i="1"/>
  <c r="BN81" i="1"/>
  <c r="BM81" i="1"/>
  <c r="BL81" i="1"/>
  <c r="BK81" i="1"/>
  <c r="BJ81" i="1"/>
  <c r="BI81" i="1"/>
  <c r="BH81" i="1"/>
  <c r="BG81" i="1"/>
  <c r="BF81" i="1"/>
  <c r="BE81" i="1"/>
  <c r="AZ81" i="1"/>
  <c r="AW81" i="1"/>
  <c r="AR81" i="1"/>
  <c r="AQ81" i="1"/>
  <c r="AP81" i="1"/>
  <c r="AO81" i="1"/>
  <c r="AN81" i="1"/>
  <c r="AM81" i="1"/>
  <c r="AL81" i="1"/>
  <c r="AK81" i="1"/>
  <c r="AJ81" i="1"/>
  <c r="AI81" i="1"/>
  <c r="AH81" i="1"/>
  <c r="AG81" i="1"/>
  <c r="AF81" i="1"/>
  <c r="AE81" i="1"/>
  <c r="AD81" i="1"/>
  <c r="R81" i="1"/>
  <c r="Q81"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BR80" i="1"/>
  <c r="BQ80" i="1"/>
  <c r="BP80" i="1"/>
  <c r="BO80" i="1"/>
  <c r="BN80" i="1"/>
  <c r="BM80" i="1"/>
  <c r="BL80" i="1"/>
  <c r="BK80" i="1"/>
  <c r="BJ80" i="1"/>
  <c r="BI80" i="1"/>
  <c r="BH80" i="1"/>
  <c r="BF80" i="1"/>
  <c r="BA80" i="1"/>
  <c r="AZ80" i="1"/>
  <c r="AS80" i="1"/>
  <c r="AR80" i="1"/>
  <c r="AQ80" i="1"/>
  <c r="AP80" i="1"/>
  <c r="AO80" i="1"/>
  <c r="AN80" i="1"/>
  <c r="AM80" i="1"/>
  <c r="AL80" i="1"/>
  <c r="AK80" i="1"/>
  <c r="AJ80" i="1"/>
  <c r="AI80" i="1"/>
  <c r="AH80" i="1"/>
  <c r="AF80" i="1"/>
  <c r="AE80" i="1"/>
  <c r="AD80" i="1"/>
  <c r="J80"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B79" i="1"/>
  <c r="BW79" i="1"/>
  <c r="BR79" i="1"/>
  <c r="BQ79" i="1"/>
  <c r="BP79" i="1"/>
  <c r="BO79" i="1"/>
  <c r="BN79" i="1"/>
  <c r="BM79" i="1"/>
  <c r="BL79" i="1"/>
  <c r="BK79" i="1"/>
  <c r="BJ79" i="1"/>
  <c r="BI79" i="1"/>
  <c r="BG79" i="1"/>
  <c r="BF79" i="1"/>
  <c r="BD79" i="1"/>
  <c r="BC79" i="1"/>
  <c r="AV79" i="1"/>
  <c r="AU79" i="1"/>
  <c r="AR79" i="1"/>
  <c r="AQ79" i="1"/>
  <c r="AP79" i="1"/>
  <c r="AO79" i="1"/>
  <c r="AN79" i="1"/>
  <c r="AM79" i="1"/>
  <c r="AL79" i="1"/>
  <c r="AK79" i="1"/>
  <c r="AJ79" i="1"/>
  <c r="AI79" i="1"/>
  <c r="AG79" i="1"/>
  <c r="AF79" i="1"/>
  <c r="AE79" i="1"/>
  <c r="AD79" i="1"/>
  <c r="R79" i="1"/>
  <c r="O79" i="1"/>
  <c r="P79" i="1" s="1"/>
  <c r="F79" i="1"/>
  <c r="B79"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BR78" i="1"/>
  <c r="BQ78" i="1"/>
  <c r="BP78" i="1"/>
  <c r="BO78" i="1"/>
  <c r="BN78" i="1"/>
  <c r="BM78" i="1"/>
  <c r="BL78" i="1"/>
  <c r="BK78" i="1"/>
  <c r="BJ78" i="1"/>
  <c r="BI78" i="1"/>
  <c r="BH78" i="1"/>
  <c r="BG78" i="1"/>
  <c r="BF78" i="1"/>
  <c r="BD78" i="1"/>
  <c r="BC78" i="1"/>
  <c r="AZ78" i="1"/>
  <c r="AY78" i="1"/>
  <c r="AV78" i="1"/>
  <c r="AU78" i="1"/>
  <c r="AR78" i="1"/>
  <c r="AQ78" i="1"/>
  <c r="AP78" i="1"/>
  <c r="AO78" i="1"/>
  <c r="AN78" i="1"/>
  <c r="AM78" i="1"/>
  <c r="AL78" i="1"/>
  <c r="AK78" i="1"/>
  <c r="AJ78" i="1"/>
  <c r="AI78" i="1"/>
  <c r="AH78" i="1"/>
  <c r="AG78" i="1"/>
  <c r="AF78" i="1"/>
  <c r="AE78" i="1"/>
  <c r="R78" i="1"/>
  <c r="Q78"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BR77" i="1"/>
  <c r="BQ77" i="1"/>
  <c r="BP77" i="1"/>
  <c r="BO77" i="1"/>
  <c r="BN77" i="1"/>
  <c r="BM77" i="1"/>
  <c r="BL77" i="1"/>
  <c r="BK77" i="1"/>
  <c r="BI77" i="1"/>
  <c r="BH77" i="1"/>
  <c r="BG77" i="1"/>
  <c r="BF77" i="1"/>
  <c r="BC77" i="1"/>
  <c r="BB77" i="1"/>
  <c r="AY77" i="1"/>
  <c r="AX77" i="1"/>
  <c r="AU77" i="1"/>
  <c r="AT77" i="1"/>
  <c r="AR77" i="1"/>
  <c r="AQ77" i="1"/>
  <c r="AP77" i="1"/>
  <c r="AO77" i="1"/>
  <c r="AN77" i="1"/>
  <c r="AM77" i="1"/>
  <c r="AL77" i="1"/>
  <c r="AK77" i="1"/>
  <c r="AI77" i="1"/>
  <c r="AH77" i="1"/>
  <c r="AG77" i="1"/>
  <c r="AF77" i="1"/>
  <c r="AE77" i="1"/>
  <c r="O76" i="1" s="1"/>
  <c r="BQ76" i="1" s="1"/>
  <c r="J77"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C76" i="1"/>
  <c r="CB76" i="1"/>
  <c r="BY76" i="1"/>
  <c r="BX76" i="1"/>
  <c r="BU76" i="1"/>
  <c r="BT76" i="1"/>
  <c r="BR76" i="1"/>
  <c r="BP76" i="1"/>
  <c r="BO76" i="1"/>
  <c r="BN76" i="1"/>
  <c r="BM76" i="1"/>
  <c r="BL76" i="1"/>
  <c r="BK76" i="1"/>
  <c r="BJ76" i="1"/>
  <c r="BI76" i="1"/>
  <c r="BH76" i="1"/>
  <c r="BG76" i="1"/>
  <c r="BF76" i="1"/>
  <c r="BE76" i="1"/>
  <c r="BD76" i="1"/>
  <c r="BA76" i="1"/>
  <c r="AZ76" i="1"/>
  <c r="AW76" i="1"/>
  <c r="AV76" i="1"/>
  <c r="AS76" i="1"/>
  <c r="AR76" i="1"/>
  <c r="AP76" i="1"/>
  <c r="AO76" i="1"/>
  <c r="AN76" i="1"/>
  <c r="AM76" i="1"/>
  <c r="AL76" i="1"/>
  <c r="AK76" i="1"/>
  <c r="AJ76" i="1"/>
  <c r="AI76" i="1"/>
  <c r="AH76" i="1"/>
  <c r="AG76" i="1"/>
  <c r="AF76" i="1"/>
  <c r="AE76" i="1"/>
  <c r="AD76" i="1"/>
  <c r="F76" i="1"/>
  <c r="B76" i="1"/>
  <c r="BB78" i="1" s="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BR75" i="1"/>
  <c r="BQ75" i="1"/>
  <c r="BP75" i="1"/>
  <c r="BO75" i="1"/>
  <c r="BN75" i="1"/>
  <c r="BM75" i="1"/>
  <c r="BL75" i="1"/>
  <c r="BK75" i="1"/>
  <c r="BJ75" i="1"/>
  <c r="BI75" i="1"/>
  <c r="BH75" i="1"/>
  <c r="BG75" i="1"/>
  <c r="BF75" i="1"/>
  <c r="AR75" i="1"/>
  <c r="AQ75" i="1"/>
  <c r="AP75" i="1"/>
  <c r="AO75" i="1"/>
  <c r="AN75" i="1"/>
  <c r="AM75" i="1"/>
  <c r="AL75" i="1"/>
  <c r="AK75" i="1"/>
  <c r="AJ75" i="1"/>
  <c r="AI75" i="1"/>
  <c r="AH75" i="1"/>
  <c r="AG75" i="1"/>
  <c r="AF75" i="1"/>
  <c r="AE75" i="1"/>
  <c r="AD75" i="1"/>
  <c r="R75" i="1"/>
  <c r="Q75" i="1"/>
  <c r="DE74" i="1"/>
  <c r="DD74" i="1"/>
  <c r="DC74" i="1"/>
  <c r="DB74" i="1"/>
  <c r="DA74" i="1"/>
  <c r="CZ74" i="1"/>
  <c r="CY74" i="1"/>
  <c r="CX74" i="1"/>
  <c r="CW74" i="1"/>
  <c r="CV74" i="1"/>
  <c r="CU74" i="1"/>
  <c r="CT74" i="1"/>
  <c r="CS74" i="1"/>
  <c r="CR74" i="1"/>
  <c r="CQ74" i="1"/>
  <c r="CP74" i="1"/>
  <c r="CO74" i="1"/>
  <c r="CN74" i="1"/>
  <c r="CM74" i="1"/>
  <c r="CL74" i="1"/>
  <c r="CK74" i="1"/>
  <c r="CJ74" i="1"/>
  <c r="CI74" i="1"/>
  <c r="CH74" i="1"/>
  <c r="CG74" i="1"/>
  <c r="CF74" i="1"/>
  <c r="BR74" i="1"/>
  <c r="BP74" i="1"/>
  <c r="BO74" i="1"/>
  <c r="BN74" i="1"/>
  <c r="BM74" i="1"/>
  <c r="BL74" i="1"/>
  <c r="BK74" i="1"/>
  <c r="BJ74" i="1"/>
  <c r="BI74" i="1"/>
  <c r="BH74" i="1"/>
  <c r="BG74" i="1"/>
  <c r="BF74" i="1"/>
  <c r="AR74" i="1"/>
  <c r="AP74" i="1"/>
  <c r="AO74" i="1"/>
  <c r="AN74" i="1"/>
  <c r="AM74" i="1"/>
  <c r="AL74" i="1"/>
  <c r="AK74" i="1"/>
  <c r="AJ74" i="1"/>
  <c r="AI74" i="1"/>
  <c r="AH74" i="1"/>
  <c r="AG74" i="1"/>
  <c r="AF74" i="1"/>
  <c r="AE74" i="1"/>
  <c r="AD74" i="1"/>
  <c r="J74" i="1"/>
  <c r="DE73" i="1"/>
  <c r="DD73" i="1"/>
  <c r="DC73" i="1"/>
  <c r="DB73" i="1"/>
  <c r="DA73" i="1"/>
  <c r="CZ73" i="1"/>
  <c r="CY73" i="1"/>
  <c r="CX73" i="1"/>
  <c r="CW73" i="1"/>
  <c r="CV73" i="1"/>
  <c r="CU73" i="1"/>
  <c r="CT73" i="1"/>
  <c r="CS73" i="1"/>
  <c r="CR73" i="1"/>
  <c r="CQ73" i="1"/>
  <c r="CP73" i="1"/>
  <c r="CO73" i="1"/>
  <c r="CN73" i="1"/>
  <c r="CM73" i="1"/>
  <c r="CL73" i="1"/>
  <c r="CK73" i="1"/>
  <c r="CJ73" i="1"/>
  <c r="CI73" i="1"/>
  <c r="CH73" i="1"/>
  <c r="CG73" i="1"/>
  <c r="CF73" i="1"/>
  <c r="BR73" i="1"/>
  <c r="BQ73" i="1"/>
  <c r="BP73" i="1"/>
  <c r="BO73" i="1"/>
  <c r="BN73" i="1"/>
  <c r="BM73" i="1"/>
  <c r="BL73" i="1"/>
  <c r="BK73" i="1"/>
  <c r="BJ73" i="1"/>
  <c r="BH73" i="1"/>
  <c r="BG73" i="1"/>
  <c r="BF73" i="1"/>
  <c r="AR73" i="1"/>
  <c r="AQ73" i="1"/>
  <c r="AP73" i="1"/>
  <c r="AO73" i="1"/>
  <c r="AN73" i="1"/>
  <c r="AM73" i="1"/>
  <c r="AL73" i="1"/>
  <c r="AK73" i="1"/>
  <c r="AJ73" i="1"/>
  <c r="AH73" i="1"/>
  <c r="AG73" i="1"/>
  <c r="AF73" i="1"/>
  <c r="AE73" i="1"/>
  <c r="AD73" i="1"/>
  <c r="R73" i="1"/>
  <c r="R191" i="1" s="1"/>
  <c r="P73" i="1"/>
  <c r="AI73" i="1" s="1"/>
  <c r="O73" i="1"/>
  <c r="BI73" i="1" s="1"/>
  <c r="F73" i="1"/>
  <c r="B73" i="1"/>
  <c r="AZ75" i="1" s="1"/>
  <c r="DE72" i="1"/>
  <c r="DD72" i="1"/>
  <c r="DC72" i="1"/>
  <c r="DB72" i="1"/>
  <c r="DA72" i="1"/>
  <c r="CZ72" i="1"/>
  <c r="CY72" i="1"/>
  <c r="CX72" i="1"/>
  <c r="CW72" i="1"/>
  <c r="CV72" i="1"/>
  <c r="CU72" i="1"/>
  <c r="CT72" i="1"/>
  <c r="CS72" i="1"/>
  <c r="CR72" i="1"/>
  <c r="CQ72" i="1"/>
  <c r="CP72" i="1"/>
  <c r="CO72" i="1"/>
  <c r="CN72" i="1"/>
  <c r="CM72" i="1"/>
  <c r="CL72" i="1"/>
  <c r="CK72" i="1"/>
  <c r="CJ72" i="1"/>
  <c r="CI72" i="1"/>
  <c r="CH72" i="1"/>
  <c r="CG72" i="1"/>
  <c r="CF72" i="1"/>
  <c r="BR72" i="1"/>
  <c r="BQ72" i="1"/>
  <c r="BP72" i="1"/>
  <c r="BO72" i="1"/>
  <c r="BN72" i="1"/>
  <c r="BM72" i="1"/>
  <c r="BL72" i="1"/>
  <c r="BK72" i="1"/>
  <c r="BJ72" i="1"/>
  <c r="BI72" i="1"/>
  <c r="BH72" i="1"/>
  <c r="BG72" i="1"/>
  <c r="BF72" i="1"/>
  <c r="BD72" i="1"/>
  <c r="BC72" i="1"/>
  <c r="AZ72" i="1"/>
  <c r="AY72" i="1"/>
  <c r="AV72" i="1"/>
  <c r="AU72" i="1"/>
  <c r="AR72" i="1"/>
  <c r="AQ72" i="1"/>
  <c r="AP72" i="1"/>
  <c r="AO72" i="1"/>
  <c r="AN72" i="1"/>
  <c r="AM72" i="1"/>
  <c r="AL72" i="1"/>
  <c r="AK72" i="1"/>
  <c r="AJ72" i="1"/>
  <c r="AI72" i="1"/>
  <c r="AH72" i="1"/>
  <c r="AG72" i="1"/>
  <c r="AF72" i="1"/>
  <c r="AE72" i="1"/>
  <c r="R72" i="1"/>
  <c r="Q72" i="1"/>
  <c r="DE71" i="1"/>
  <c r="DD71" i="1"/>
  <c r="DC71" i="1"/>
  <c r="DB71" i="1"/>
  <c r="DA71" i="1"/>
  <c r="CZ71" i="1"/>
  <c r="CY71" i="1"/>
  <c r="CX71" i="1"/>
  <c r="CW71" i="1"/>
  <c r="CV71" i="1"/>
  <c r="CU71" i="1"/>
  <c r="CT71" i="1"/>
  <c r="CS71" i="1"/>
  <c r="CR71" i="1"/>
  <c r="CQ71" i="1"/>
  <c r="CP71" i="1"/>
  <c r="CO71" i="1"/>
  <c r="CN71" i="1"/>
  <c r="CM71" i="1"/>
  <c r="CL71" i="1"/>
  <c r="CK71" i="1"/>
  <c r="CJ71" i="1"/>
  <c r="CI71" i="1"/>
  <c r="CH71" i="1"/>
  <c r="CG71" i="1"/>
  <c r="CF71" i="1"/>
  <c r="BR71" i="1"/>
  <c r="BQ71" i="1"/>
  <c r="BP71" i="1"/>
  <c r="BO71" i="1"/>
  <c r="BN71" i="1"/>
  <c r="BL71" i="1"/>
  <c r="BK71" i="1"/>
  <c r="BJ71" i="1"/>
  <c r="BI71" i="1"/>
  <c r="BH71" i="1"/>
  <c r="BG71" i="1"/>
  <c r="BF71" i="1"/>
  <c r="BC71" i="1"/>
  <c r="BB71" i="1"/>
  <c r="AY71" i="1"/>
  <c r="AX71" i="1"/>
  <c r="AU71" i="1"/>
  <c r="AT71" i="1"/>
  <c r="AR71" i="1"/>
  <c r="AQ71" i="1"/>
  <c r="AP71" i="1"/>
  <c r="AO71" i="1"/>
  <c r="AN71" i="1"/>
  <c r="AL71" i="1"/>
  <c r="AK71" i="1"/>
  <c r="AJ71" i="1"/>
  <c r="AI71" i="1"/>
  <c r="AH71" i="1"/>
  <c r="AG71" i="1"/>
  <c r="AF71" i="1"/>
  <c r="AE71" i="1"/>
  <c r="O70" i="1" s="1"/>
  <c r="BF70" i="1" s="1"/>
  <c r="R71" i="1"/>
  <c r="R100" i="1" s="1"/>
  <c r="R110" i="1" s="1"/>
  <c r="R128" i="1" s="1"/>
  <c r="J71" i="1"/>
  <c r="DE70" i="1"/>
  <c r="DD70" i="1"/>
  <c r="DC70" i="1"/>
  <c r="DB70" i="1"/>
  <c r="DA70" i="1"/>
  <c r="CZ70" i="1"/>
  <c r="CY70" i="1"/>
  <c r="CX70" i="1"/>
  <c r="CW70" i="1"/>
  <c r="CV70" i="1"/>
  <c r="CU70" i="1"/>
  <c r="CT70" i="1"/>
  <c r="CS70" i="1"/>
  <c r="CR70" i="1"/>
  <c r="CQ70" i="1"/>
  <c r="CP70" i="1"/>
  <c r="CO70" i="1"/>
  <c r="CN70" i="1"/>
  <c r="CM70" i="1"/>
  <c r="CL70" i="1"/>
  <c r="CK70" i="1"/>
  <c r="CJ70" i="1"/>
  <c r="CI70" i="1"/>
  <c r="CH70" i="1"/>
  <c r="CG70" i="1"/>
  <c r="CF70" i="1"/>
  <c r="CC70" i="1"/>
  <c r="CB70" i="1"/>
  <c r="BY70" i="1"/>
  <c r="BX70" i="1"/>
  <c r="BU70" i="1"/>
  <c r="BT70" i="1"/>
  <c r="BR70" i="1"/>
  <c r="BQ70" i="1"/>
  <c r="BP70" i="1"/>
  <c r="BO70" i="1"/>
  <c r="BN70" i="1"/>
  <c r="BM70" i="1"/>
  <c r="BL70" i="1"/>
  <c r="BK70" i="1"/>
  <c r="BJ70" i="1"/>
  <c r="BI70" i="1"/>
  <c r="BH70" i="1"/>
  <c r="BG70" i="1"/>
  <c r="BE70" i="1"/>
  <c r="BD70" i="1"/>
  <c r="BA70" i="1"/>
  <c r="AZ70" i="1"/>
  <c r="AW70" i="1"/>
  <c r="AV70" i="1"/>
  <c r="AS70" i="1"/>
  <c r="AR70" i="1"/>
  <c r="AQ70" i="1"/>
  <c r="AP70" i="1"/>
  <c r="AO70" i="1"/>
  <c r="AN70" i="1"/>
  <c r="AM70" i="1"/>
  <c r="AL70" i="1"/>
  <c r="AK70" i="1"/>
  <c r="AJ70" i="1"/>
  <c r="AI70" i="1"/>
  <c r="AH70" i="1"/>
  <c r="AG70" i="1"/>
  <c r="AE70" i="1"/>
  <c r="AD70" i="1"/>
  <c r="P70" i="1"/>
  <c r="F70" i="1"/>
  <c r="B70" i="1"/>
  <c r="BB72" i="1" s="1"/>
  <c r="DE69" i="1"/>
  <c r="DD69" i="1"/>
  <c r="DC69" i="1"/>
  <c r="DB69" i="1"/>
  <c r="DA69" i="1"/>
  <c r="CZ69" i="1"/>
  <c r="CY69" i="1"/>
  <c r="CX69" i="1"/>
  <c r="CW69" i="1"/>
  <c r="CV69" i="1"/>
  <c r="CU69" i="1"/>
  <c r="CT69" i="1"/>
  <c r="CS69" i="1"/>
  <c r="CR69" i="1"/>
  <c r="CQ69" i="1"/>
  <c r="CP69" i="1"/>
  <c r="CO69" i="1"/>
  <c r="CN69" i="1"/>
  <c r="CM69" i="1"/>
  <c r="CL69" i="1"/>
  <c r="CK69" i="1"/>
  <c r="CJ69" i="1"/>
  <c r="CI69" i="1"/>
  <c r="CH69" i="1"/>
  <c r="CG69" i="1"/>
  <c r="CF69" i="1"/>
  <c r="BR69" i="1"/>
  <c r="BQ69" i="1"/>
  <c r="BP69" i="1"/>
  <c r="BO69" i="1"/>
  <c r="BN69" i="1"/>
  <c r="BM69" i="1"/>
  <c r="BL69" i="1"/>
  <c r="BK69" i="1"/>
  <c r="BI69" i="1"/>
  <c r="BH69" i="1"/>
  <c r="BG69" i="1"/>
  <c r="BF69" i="1"/>
  <c r="BA69" i="1"/>
  <c r="AS69" i="1"/>
  <c r="AR69" i="1"/>
  <c r="AQ69" i="1"/>
  <c r="AP69" i="1"/>
  <c r="AO69" i="1"/>
  <c r="AN69" i="1"/>
  <c r="AM69" i="1"/>
  <c r="AL69" i="1"/>
  <c r="AK69" i="1"/>
  <c r="AI69" i="1"/>
  <c r="AH69" i="1"/>
  <c r="AG69" i="1"/>
  <c r="AF69" i="1"/>
  <c r="AE69" i="1"/>
  <c r="AD69" i="1"/>
  <c r="DE68" i="1"/>
  <c r="DD68" i="1"/>
  <c r="DC68" i="1"/>
  <c r="DB68" i="1"/>
  <c r="DA68" i="1"/>
  <c r="CZ68" i="1"/>
  <c r="CY68" i="1"/>
  <c r="CX68" i="1"/>
  <c r="CW68" i="1"/>
  <c r="CV68" i="1"/>
  <c r="CU68" i="1"/>
  <c r="CT68" i="1"/>
  <c r="CS68" i="1"/>
  <c r="CR68" i="1"/>
  <c r="CQ68" i="1"/>
  <c r="CP68" i="1"/>
  <c r="CO68" i="1"/>
  <c r="CN68" i="1"/>
  <c r="CM68" i="1"/>
  <c r="CL68" i="1"/>
  <c r="CK68" i="1"/>
  <c r="CJ68" i="1"/>
  <c r="CI68" i="1"/>
  <c r="CH68" i="1"/>
  <c r="CG68" i="1"/>
  <c r="CF68" i="1"/>
  <c r="BR68" i="1"/>
  <c r="BQ68" i="1"/>
  <c r="BP68" i="1"/>
  <c r="BO68" i="1"/>
  <c r="BN68" i="1"/>
  <c r="BM68" i="1"/>
  <c r="BL68" i="1"/>
  <c r="BK68" i="1"/>
  <c r="BI68" i="1"/>
  <c r="BH68" i="1"/>
  <c r="BG68" i="1"/>
  <c r="BF68" i="1"/>
  <c r="BD68" i="1"/>
  <c r="AV68" i="1"/>
  <c r="AR68" i="1"/>
  <c r="AQ68" i="1"/>
  <c r="AP68" i="1"/>
  <c r="AO68" i="1"/>
  <c r="AN68" i="1"/>
  <c r="AM68" i="1"/>
  <c r="AL68" i="1"/>
  <c r="AK68" i="1"/>
  <c r="AI68" i="1"/>
  <c r="AH68" i="1"/>
  <c r="AG68" i="1"/>
  <c r="AF68" i="1"/>
  <c r="AE68" i="1"/>
  <c r="AD68"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BZ67" i="1"/>
  <c r="BR67" i="1"/>
  <c r="BQ67" i="1"/>
  <c r="BP67" i="1"/>
  <c r="BO67" i="1"/>
  <c r="BN67" i="1"/>
  <c r="BM67" i="1"/>
  <c r="BL67" i="1"/>
  <c r="BK67" i="1"/>
  <c r="BJ67" i="1"/>
  <c r="BI67" i="1"/>
  <c r="BH67" i="1"/>
  <c r="BG67" i="1"/>
  <c r="BF67" i="1"/>
  <c r="AX67" i="1"/>
  <c r="AR67" i="1"/>
  <c r="AQ67" i="1"/>
  <c r="AP67" i="1"/>
  <c r="AO67" i="1"/>
  <c r="AN67" i="1"/>
  <c r="AM67" i="1"/>
  <c r="AL67" i="1"/>
  <c r="AK67" i="1"/>
  <c r="AJ67" i="1"/>
  <c r="AI67" i="1"/>
  <c r="AH67" i="1"/>
  <c r="AG67" i="1"/>
  <c r="AE67" i="1"/>
  <c r="AD67" i="1"/>
  <c r="O67" i="1"/>
  <c r="P67" i="1" s="1"/>
  <c r="AF67" i="1" s="1"/>
  <c r="F67" i="1"/>
  <c r="B67"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BR66" i="1"/>
  <c r="BP66" i="1"/>
  <c r="BO66" i="1"/>
  <c r="BN66" i="1"/>
  <c r="BM66" i="1"/>
  <c r="BL66" i="1"/>
  <c r="BK66" i="1"/>
  <c r="BJ66" i="1"/>
  <c r="BI66" i="1"/>
  <c r="BH66" i="1"/>
  <c r="BG66" i="1"/>
  <c r="BF66" i="1"/>
  <c r="BC66" i="1"/>
  <c r="BB66" i="1"/>
  <c r="AY66" i="1"/>
  <c r="AX66" i="1"/>
  <c r="AU66" i="1"/>
  <c r="AT66" i="1"/>
  <c r="AR66" i="1"/>
  <c r="AP66" i="1"/>
  <c r="AO66" i="1"/>
  <c r="AN66" i="1"/>
  <c r="AM66" i="1"/>
  <c r="AL66" i="1"/>
  <c r="AK66" i="1"/>
  <c r="AJ66" i="1"/>
  <c r="AI66" i="1"/>
  <c r="AH66" i="1"/>
  <c r="AG66" i="1"/>
  <c r="AF66" i="1"/>
  <c r="AE66" i="1"/>
  <c r="O66"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BR65" i="1"/>
  <c r="BQ65" i="1"/>
  <c r="BP65" i="1"/>
  <c r="BO65" i="1"/>
  <c r="BN65" i="1"/>
  <c r="BM65" i="1"/>
  <c r="BL65" i="1"/>
  <c r="BK65" i="1"/>
  <c r="BI65" i="1"/>
  <c r="BH65" i="1"/>
  <c r="BG65" i="1"/>
  <c r="BF65" i="1"/>
  <c r="BE65" i="1"/>
  <c r="BB65" i="1"/>
  <c r="BA65" i="1"/>
  <c r="AX65" i="1"/>
  <c r="AW65" i="1"/>
  <c r="AT65" i="1"/>
  <c r="AS65" i="1"/>
  <c r="AR65" i="1"/>
  <c r="AQ65" i="1"/>
  <c r="AP65" i="1"/>
  <c r="AO65" i="1"/>
  <c r="AN65" i="1"/>
  <c r="AM65" i="1"/>
  <c r="AL65" i="1"/>
  <c r="AK65" i="1"/>
  <c r="AI65" i="1"/>
  <c r="AH65" i="1"/>
  <c r="AG65" i="1"/>
  <c r="AF65" i="1"/>
  <c r="AE65" i="1"/>
  <c r="J65"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B64" i="1"/>
  <c r="CA64" i="1"/>
  <c r="BX64" i="1"/>
  <c r="BT64" i="1"/>
  <c r="BS64" i="1"/>
  <c r="BR64" i="1"/>
  <c r="BQ64" i="1"/>
  <c r="BP64" i="1"/>
  <c r="BO64" i="1"/>
  <c r="BN64" i="1"/>
  <c r="BL64" i="1"/>
  <c r="BK64" i="1"/>
  <c r="BJ64" i="1"/>
  <c r="BI64" i="1"/>
  <c r="BH64" i="1"/>
  <c r="BG64" i="1"/>
  <c r="BF64" i="1"/>
  <c r="BD64" i="1"/>
  <c r="BC64" i="1"/>
  <c r="AZ64" i="1"/>
  <c r="AY64" i="1"/>
  <c r="AV64" i="1"/>
  <c r="AU64" i="1"/>
  <c r="AR64" i="1"/>
  <c r="AQ64" i="1"/>
  <c r="AP64" i="1"/>
  <c r="AO64" i="1"/>
  <c r="AN64" i="1"/>
  <c r="AL64" i="1"/>
  <c r="AK64" i="1"/>
  <c r="AJ64" i="1"/>
  <c r="AI64" i="1"/>
  <c r="AH64" i="1"/>
  <c r="AG64" i="1"/>
  <c r="AF64" i="1"/>
  <c r="AE64" i="1"/>
  <c r="O65" i="1" s="1"/>
  <c r="P65" i="1" s="1"/>
  <c r="AJ65" i="1" s="1"/>
  <c r="AD64" i="1"/>
  <c r="R64" i="1"/>
  <c r="G64" i="1"/>
  <c r="F64" i="1" s="1"/>
  <c r="B64" i="1"/>
  <c r="BE66" i="1" s="1"/>
  <c r="DJ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BR63" i="1"/>
  <c r="BQ63" i="1"/>
  <c r="BP63" i="1"/>
  <c r="BO63" i="1"/>
  <c r="BN63" i="1"/>
  <c r="BM63" i="1"/>
  <c r="BL63" i="1"/>
  <c r="BK63" i="1"/>
  <c r="BJ63" i="1"/>
  <c r="BI63" i="1"/>
  <c r="BH63" i="1"/>
  <c r="BG63" i="1"/>
  <c r="BF63" i="1"/>
  <c r="BE63" i="1"/>
  <c r="BD63" i="1"/>
  <c r="BA63" i="1"/>
  <c r="AZ63" i="1"/>
  <c r="AW63" i="1"/>
  <c r="AV63" i="1"/>
  <c r="AS63" i="1"/>
  <c r="AR63" i="1"/>
  <c r="AQ63" i="1"/>
  <c r="AP63" i="1"/>
  <c r="AO63" i="1"/>
  <c r="AN63" i="1"/>
  <c r="AM63" i="1"/>
  <c r="AL63" i="1"/>
  <c r="AK63" i="1"/>
  <c r="AJ63" i="1"/>
  <c r="AI63" i="1"/>
  <c r="AH63" i="1"/>
  <c r="AG63" i="1"/>
  <c r="AF63" i="1"/>
  <c r="AE63" i="1"/>
  <c r="AD63" i="1"/>
  <c r="R63" i="1"/>
  <c r="Q63"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BR62" i="1"/>
  <c r="BQ62" i="1"/>
  <c r="BP62" i="1"/>
  <c r="BO62" i="1"/>
  <c r="BN62" i="1"/>
  <c r="BM62" i="1"/>
  <c r="BL62" i="1"/>
  <c r="BK62" i="1"/>
  <c r="BJ62" i="1"/>
  <c r="BI62" i="1"/>
  <c r="BH62" i="1"/>
  <c r="BG62" i="1"/>
  <c r="BE62" i="1"/>
  <c r="BD62" i="1"/>
  <c r="BA62" i="1"/>
  <c r="AZ62" i="1"/>
  <c r="AW62" i="1"/>
  <c r="AV62" i="1"/>
  <c r="AS62" i="1"/>
  <c r="AR62" i="1"/>
  <c r="AQ62" i="1"/>
  <c r="AP62" i="1"/>
  <c r="AO62" i="1"/>
  <c r="AN62" i="1"/>
  <c r="AM62" i="1"/>
  <c r="AL62" i="1"/>
  <c r="AK62" i="1"/>
  <c r="AJ62" i="1"/>
  <c r="AI62" i="1"/>
  <c r="AH62" i="1"/>
  <c r="AG62" i="1"/>
  <c r="AE62" i="1"/>
  <c r="AD62" i="1"/>
  <c r="J62" i="1"/>
  <c r="DK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B61" i="1"/>
  <c r="CA61" i="1"/>
  <c r="BX61" i="1"/>
  <c r="BT61" i="1"/>
  <c r="BS61" i="1"/>
  <c r="BR61" i="1"/>
  <c r="BQ61" i="1"/>
  <c r="BP61" i="1"/>
  <c r="BO61" i="1"/>
  <c r="BN61" i="1"/>
  <c r="BM61" i="1"/>
  <c r="BL61" i="1"/>
  <c r="BK61" i="1"/>
  <c r="BI61" i="1"/>
  <c r="BH61" i="1"/>
  <c r="BG61" i="1"/>
  <c r="BF61" i="1"/>
  <c r="BD61" i="1"/>
  <c r="BC61" i="1"/>
  <c r="AZ61" i="1"/>
  <c r="AY61" i="1"/>
  <c r="AV61" i="1"/>
  <c r="AU61" i="1"/>
  <c r="AR61" i="1"/>
  <c r="AQ61" i="1"/>
  <c r="AP61" i="1"/>
  <c r="AO61" i="1"/>
  <c r="AN61" i="1"/>
  <c r="AM61" i="1"/>
  <c r="AL61" i="1"/>
  <c r="AK61" i="1"/>
  <c r="AI61" i="1"/>
  <c r="AH61" i="1"/>
  <c r="AG61" i="1"/>
  <c r="AF61" i="1"/>
  <c r="AE61" i="1"/>
  <c r="AD61" i="1"/>
  <c r="O61" i="1"/>
  <c r="BJ61" i="1" s="1"/>
  <c r="G61" i="1"/>
  <c r="F61" i="1" s="1"/>
  <c r="D61" i="1"/>
  <c r="B61" i="1"/>
  <c r="BC63" i="1" s="1"/>
  <c r="DJ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BR60" i="1"/>
  <c r="BQ60" i="1"/>
  <c r="BP60" i="1"/>
  <c r="BO60" i="1"/>
  <c r="BN60" i="1"/>
  <c r="BM60" i="1"/>
  <c r="BL60" i="1"/>
  <c r="BK60" i="1"/>
  <c r="BJ60" i="1"/>
  <c r="BI60" i="1"/>
  <c r="BH60" i="1"/>
  <c r="BG60" i="1"/>
  <c r="BF60" i="1"/>
  <c r="BE60" i="1"/>
  <c r="BD60" i="1"/>
  <c r="BC60" i="1"/>
  <c r="BA60" i="1"/>
  <c r="AZ60" i="1"/>
  <c r="AY60" i="1"/>
  <c r="AW60" i="1"/>
  <c r="AV60" i="1"/>
  <c r="AU60" i="1"/>
  <c r="AS60" i="1"/>
  <c r="AR60" i="1"/>
  <c r="AQ60" i="1"/>
  <c r="AP60" i="1"/>
  <c r="AO60" i="1"/>
  <c r="AN60" i="1"/>
  <c r="AM60" i="1"/>
  <c r="AL60" i="1"/>
  <c r="AK60" i="1"/>
  <c r="AJ60" i="1"/>
  <c r="AI60" i="1"/>
  <c r="AH60" i="1"/>
  <c r="AG60" i="1"/>
  <c r="AF60" i="1"/>
  <c r="AE60" i="1"/>
  <c r="R60" i="1"/>
  <c r="Q60" i="1"/>
  <c r="DE59" i="1"/>
  <c r="DD59" i="1"/>
  <c r="DC59" i="1"/>
  <c r="DB59" i="1"/>
  <c r="DA59" i="1"/>
  <c r="CZ59" i="1"/>
  <c r="CY59" i="1"/>
  <c r="CX59" i="1"/>
  <c r="CW59" i="1"/>
  <c r="CV59" i="1"/>
  <c r="CU59" i="1"/>
  <c r="CT59" i="1"/>
  <c r="CS59" i="1"/>
  <c r="CR59" i="1"/>
  <c r="CQ59" i="1"/>
  <c r="CP59" i="1"/>
  <c r="CO59" i="1"/>
  <c r="CN59" i="1"/>
  <c r="CM59" i="1"/>
  <c r="CL59" i="1"/>
  <c r="CK59" i="1"/>
  <c r="CJ59" i="1"/>
  <c r="CI59" i="1"/>
  <c r="CH59" i="1"/>
  <c r="CG59" i="1"/>
  <c r="CF59" i="1"/>
  <c r="BR59" i="1"/>
  <c r="BQ59" i="1"/>
  <c r="BP59" i="1"/>
  <c r="BO59" i="1"/>
  <c r="BN59" i="1"/>
  <c r="BM59" i="1"/>
  <c r="BL59" i="1"/>
  <c r="BK59" i="1"/>
  <c r="BJ59" i="1"/>
  <c r="BI59" i="1"/>
  <c r="BH59" i="1"/>
  <c r="BG59" i="1"/>
  <c r="BD59" i="1"/>
  <c r="BC59" i="1"/>
  <c r="BB59" i="1"/>
  <c r="AZ59" i="1"/>
  <c r="AY59" i="1"/>
  <c r="AX59" i="1"/>
  <c r="AV59" i="1"/>
  <c r="AU59" i="1"/>
  <c r="AT59" i="1"/>
  <c r="AR59" i="1"/>
  <c r="AQ59" i="1"/>
  <c r="AP59" i="1"/>
  <c r="AO59" i="1"/>
  <c r="AN59" i="1"/>
  <c r="AM59" i="1"/>
  <c r="AL59" i="1"/>
  <c r="AK59" i="1"/>
  <c r="AJ59" i="1"/>
  <c r="AI59" i="1"/>
  <c r="AH59" i="1"/>
  <c r="AG59" i="1"/>
  <c r="AE59" i="1"/>
  <c r="J59" i="1"/>
  <c r="DJ58" i="1"/>
  <c r="DE58" i="1"/>
  <c r="DD58" i="1"/>
  <c r="DC58" i="1"/>
  <c r="DB58" i="1"/>
  <c r="DA58" i="1"/>
  <c r="CZ58" i="1"/>
  <c r="CY58" i="1"/>
  <c r="CX58" i="1"/>
  <c r="CW58" i="1"/>
  <c r="CV58" i="1"/>
  <c r="CU58" i="1"/>
  <c r="CT58" i="1"/>
  <c r="CS58" i="1"/>
  <c r="CR58" i="1"/>
  <c r="CQ58" i="1"/>
  <c r="CP58" i="1"/>
  <c r="CO58" i="1"/>
  <c r="CN58" i="1"/>
  <c r="CM58" i="1"/>
  <c r="CL58" i="1"/>
  <c r="CK58" i="1"/>
  <c r="CJ58" i="1"/>
  <c r="CI58" i="1"/>
  <c r="CH58" i="1"/>
  <c r="CG58" i="1"/>
  <c r="CF58" i="1"/>
  <c r="CD58" i="1"/>
  <c r="CC58" i="1"/>
  <c r="CB58" i="1"/>
  <c r="BZ58" i="1"/>
  <c r="BY58" i="1"/>
  <c r="BX58" i="1"/>
  <c r="BV58" i="1"/>
  <c r="BU58" i="1"/>
  <c r="BT58" i="1"/>
  <c r="BR58" i="1"/>
  <c r="BQ58" i="1"/>
  <c r="BP58" i="1"/>
  <c r="BO58" i="1"/>
  <c r="BN58" i="1"/>
  <c r="BM58" i="1"/>
  <c r="BL58" i="1"/>
  <c r="BK58" i="1"/>
  <c r="BI58" i="1"/>
  <c r="BH58" i="1"/>
  <c r="BG58" i="1"/>
  <c r="BF58" i="1"/>
  <c r="BE58" i="1"/>
  <c r="BD58" i="1"/>
  <c r="BB58" i="1"/>
  <c r="BA58" i="1"/>
  <c r="AZ58" i="1"/>
  <c r="AX58" i="1"/>
  <c r="AW58" i="1"/>
  <c r="AV58" i="1"/>
  <c r="AT58" i="1"/>
  <c r="AS58" i="1"/>
  <c r="AR58" i="1"/>
  <c r="AQ58" i="1"/>
  <c r="AP58" i="1"/>
  <c r="AO58" i="1"/>
  <c r="AN58" i="1"/>
  <c r="AM58" i="1"/>
  <c r="AL58" i="1"/>
  <c r="AK58" i="1"/>
  <c r="AI58" i="1"/>
  <c r="AH58" i="1"/>
  <c r="AG58" i="1"/>
  <c r="AF58" i="1"/>
  <c r="AE58" i="1"/>
  <c r="AD58" i="1"/>
  <c r="F58" i="1"/>
  <c r="D58" i="1"/>
  <c r="B58" i="1"/>
  <c r="BB60" i="1" s="1"/>
  <c r="DJ57" i="1"/>
  <c r="DE57" i="1"/>
  <c r="DD57" i="1"/>
  <c r="DC57" i="1"/>
  <c r="DB57" i="1"/>
  <c r="DA57" i="1"/>
  <c r="CZ57" i="1"/>
  <c r="CY57" i="1"/>
  <c r="CX57" i="1"/>
  <c r="CW57" i="1"/>
  <c r="CV57" i="1"/>
  <c r="CU57" i="1"/>
  <c r="CT57" i="1"/>
  <c r="CS57" i="1"/>
  <c r="CR57" i="1"/>
  <c r="CQ57" i="1"/>
  <c r="CP57" i="1"/>
  <c r="CO57" i="1"/>
  <c r="CN57" i="1"/>
  <c r="CM57" i="1"/>
  <c r="CL57" i="1"/>
  <c r="CK57" i="1"/>
  <c r="CJ57" i="1"/>
  <c r="CI57" i="1"/>
  <c r="CH57" i="1"/>
  <c r="CG57" i="1"/>
  <c r="CF57" i="1"/>
  <c r="BR57" i="1"/>
  <c r="BQ57" i="1"/>
  <c r="BP57" i="1"/>
  <c r="BO57" i="1"/>
  <c r="BN57" i="1"/>
  <c r="BM57" i="1"/>
  <c r="BL57" i="1"/>
  <c r="BK57" i="1"/>
  <c r="BJ57" i="1"/>
  <c r="BI57" i="1"/>
  <c r="BH57" i="1"/>
  <c r="BG57" i="1"/>
  <c r="BF57" i="1"/>
  <c r="AR57" i="1"/>
  <c r="AQ57" i="1"/>
  <c r="AP57" i="1"/>
  <c r="AO57" i="1"/>
  <c r="AN57" i="1"/>
  <c r="AM57" i="1"/>
  <c r="AL57" i="1"/>
  <c r="AK57" i="1"/>
  <c r="AJ57" i="1"/>
  <c r="AI57" i="1"/>
  <c r="AH57" i="1"/>
  <c r="AG57" i="1"/>
  <c r="AF57" i="1"/>
  <c r="AE57" i="1"/>
  <c r="AD57" i="1"/>
  <c r="R57" i="1"/>
  <c r="Q57" i="1"/>
  <c r="O57" i="1"/>
  <c r="P57" i="1" s="1"/>
  <c r="DJ56" i="1"/>
  <c r="DE56" i="1"/>
  <c r="DD56" i="1"/>
  <c r="DC56" i="1"/>
  <c r="DB56" i="1"/>
  <c r="DA56" i="1"/>
  <c r="CZ56" i="1"/>
  <c r="CY56" i="1"/>
  <c r="CX56" i="1"/>
  <c r="CW56" i="1"/>
  <c r="CV56" i="1"/>
  <c r="CU56" i="1"/>
  <c r="CT56" i="1"/>
  <c r="CS56" i="1"/>
  <c r="CR56" i="1"/>
  <c r="CQ56" i="1"/>
  <c r="CP56" i="1"/>
  <c r="CO56" i="1"/>
  <c r="CN56" i="1"/>
  <c r="CM56" i="1"/>
  <c r="CL56" i="1"/>
  <c r="CK56" i="1"/>
  <c r="CJ56" i="1"/>
  <c r="CI56" i="1"/>
  <c r="CH56" i="1"/>
  <c r="CG56" i="1"/>
  <c r="CF56" i="1"/>
  <c r="BR56" i="1"/>
  <c r="BQ56" i="1"/>
  <c r="BP56" i="1"/>
  <c r="BO56" i="1"/>
  <c r="BN56" i="1"/>
  <c r="BM56" i="1"/>
  <c r="BL56" i="1"/>
  <c r="BK56" i="1"/>
  <c r="BJ56" i="1"/>
  <c r="BI56" i="1"/>
  <c r="BH56" i="1"/>
  <c r="BG56" i="1"/>
  <c r="BF56" i="1"/>
  <c r="AR56" i="1"/>
  <c r="AP56" i="1"/>
  <c r="AO56" i="1"/>
  <c r="AN56" i="1"/>
  <c r="AM56" i="1"/>
  <c r="AL56" i="1"/>
  <c r="AK56" i="1"/>
  <c r="AJ56" i="1"/>
  <c r="AI56" i="1"/>
  <c r="AH56" i="1"/>
  <c r="AG56" i="1"/>
  <c r="AF56" i="1"/>
  <c r="AE56" i="1"/>
  <c r="AD56" i="1"/>
  <c r="O56" i="1"/>
  <c r="P56" i="1" s="1"/>
  <c r="AQ56" i="1" s="1"/>
  <c r="J56" i="1"/>
  <c r="DJ55" i="1"/>
  <c r="DE55" i="1"/>
  <c r="DD55" i="1"/>
  <c r="DC55" i="1"/>
  <c r="DB55" i="1"/>
  <c r="DA55" i="1"/>
  <c r="CZ55" i="1"/>
  <c r="CY55" i="1"/>
  <c r="CX55" i="1"/>
  <c r="CW55" i="1"/>
  <c r="CV55" i="1"/>
  <c r="CU55" i="1"/>
  <c r="CT55" i="1"/>
  <c r="CS55" i="1"/>
  <c r="CR55" i="1"/>
  <c r="CQ55" i="1"/>
  <c r="CP55" i="1"/>
  <c r="CO55" i="1"/>
  <c r="CN55" i="1"/>
  <c r="CM55" i="1"/>
  <c r="CL55" i="1"/>
  <c r="CK55" i="1"/>
  <c r="CJ55" i="1"/>
  <c r="CI55" i="1"/>
  <c r="CH55" i="1"/>
  <c r="CG55" i="1"/>
  <c r="CF55" i="1"/>
  <c r="BR55" i="1"/>
  <c r="BQ55" i="1"/>
  <c r="BP55" i="1"/>
  <c r="BO55" i="1"/>
  <c r="BN55" i="1"/>
  <c r="BM55" i="1"/>
  <c r="BL55" i="1"/>
  <c r="BK55" i="1"/>
  <c r="BI55" i="1"/>
  <c r="BH55" i="1"/>
  <c r="BG55" i="1"/>
  <c r="BF55" i="1"/>
  <c r="AR55" i="1"/>
  <c r="AQ55" i="1"/>
  <c r="AP55" i="1"/>
  <c r="AO55" i="1"/>
  <c r="AN55" i="1"/>
  <c r="AM55" i="1"/>
  <c r="AL55" i="1"/>
  <c r="AK55" i="1"/>
  <c r="AJ55" i="1"/>
  <c r="AI55" i="1"/>
  <c r="AH55" i="1"/>
  <c r="AG55" i="1"/>
  <c r="AF55" i="1"/>
  <c r="AE55" i="1"/>
  <c r="AD55" i="1"/>
  <c r="P55" i="1"/>
  <c r="O55" i="1"/>
  <c r="BJ55" i="1" s="1"/>
  <c r="F55" i="1"/>
  <c r="B55" i="1"/>
  <c r="BE57" i="1" s="1"/>
  <c r="DE54" i="1"/>
  <c r="DD54" i="1"/>
  <c r="DC54" i="1"/>
  <c r="DB54" i="1"/>
  <c r="DA54" i="1"/>
  <c r="CZ54" i="1"/>
  <c r="CY54" i="1"/>
  <c r="CX54" i="1"/>
  <c r="CW54" i="1"/>
  <c r="CV54" i="1"/>
  <c r="CU54" i="1"/>
  <c r="CT54" i="1"/>
  <c r="CS54" i="1"/>
  <c r="CR54" i="1"/>
  <c r="CQ54" i="1"/>
  <c r="CP54" i="1"/>
  <c r="CO54" i="1"/>
  <c r="CN54" i="1"/>
  <c r="CM54" i="1"/>
  <c r="CL54" i="1"/>
  <c r="CK54" i="1"/>
  <c r="CJ54" i="1"/>
  <c r="CI54" i="1"/>
  <c r="CH54" i="1"/>
  <c r="CG54" i="1"/>
  <c r="CF54" i="1"/>
  <c r="BR54" i="1"/>
  <c r="BQ54" i="1"/>
  <c r="BP54" i="1"/>
  <c r="BO54" i="1"/>
  <c r="BN54" i="1"/>
  <c r="BM54" i="1"/>
  <c r="BL54" i="1"/>
  <c r="BK54" i="1"/>
  <c r="BJ54" i="1"/>
  <c r="BI54" i="1"/>
  <c r="BH54" i="1"/>
  <c r="BG54" i="1"/>
  <c r="BF54" i="1"/>
  <c r="BD54" i="1"/>
  <c r="BC54" i="1"/>
  <c r="AZ54" i="1"/>
  <c r="AY54" i="1"/>
  <c r="AV54" i="1"/>
  <c r="AU54" i="1"/>
  <c r="AR54" i="1"/>
  <c r="AQ54" i="1"/>
  <c r="AP54" i="1"/>
  <c r="AO54" i="1"/>
  <c r="AN54" i="1"/>
  <c r="AM54" i="1"/>
  <c r="AL54" i="1"/>
  <c r="AK54" i="1"/>
  <c r="AJ54" i="1"/>
  <c r="AI54" i="1"/>
  <c r="AH54" i="1"/>
  <c r="AG54" i="1"/>
  <c r="AF54" i="1"/>
  <c r="AE54" i="1"/>
  <c r="R54" i="1"/>
  <c r="Q54" i="1"/>
  <c r="DE53" i="1"/>
  <c r="DD53" i="1"/>
  <c r="DC53" i="1"/>
  <c r="DB53" i="1"/>
  <c r="DA53" i="1"/>
  <c r="CZ53" i="1"/>
  <c r="CY53" i="1"/>
  <c r="CX53" i="1"/>
  <c r="CW53" i="1"/>
  <c r="CV53" i="1"/>
  <c r="CU53" i="1"/>
  <c r="CT53" i="1"/>
  <c r="CS53" i="1"/>
  <c r="CR53" i="1"/>
  <c r="CQ53" i="1"/>
  <c r="CP53" i="1"/>
  <c r="CO53" i="1"/>
  <c r="CN53" i="1"/>
  <c r="CM53" i="1"/>
  <c r="CL53" i="1"/>
  <c r="CK53" i="1"/>
  <c r="CJ53" i="1"/>
  <c r="CI53" i="1"/>
  <c r="CH53" i="1"/>
  <c r="CG53" i="1"/>
  <c r="CF53" i="1"/>
  <c r="BR53" i="1"/>
  <c r="BQ53" i="1"/>
  <c r="BP53" i="1"/>
  <c r="BO53" i="1"/>
  <c r="BN53" i="1"/>
  <c r="BM53" i="1"/>
  <c r="BL53" i="1"/>
  <c r="BK53" i="1"/>
  <c r="BI53" i="1"/>
  <c r="BH53" i="1"/>
  <c r="BG53" i="1"/>
  <c r="BF53" i="1"/>
  <c r="BC53" i="1"/>
  <c r="BB53" i="1"/>
  <c r="AY53" i="1"/>
  <c r="AX53" i="1"/>
  <c r="AU53" i="1"/>
  <c r="AT53" i="1"/>
  <c r="AR53" i="1"/>
  <c r="AQ53" i="1"/>
  <c r="AP53" i="1"/>
  <c r="AO53" i="1"/>
  <c r="AN53" i="1"/>
  <c r="AM53" i="1"/>
  <c r="AL53" i="1"/>
  <c r="AK53" i="1"/>
  <c r="AI53" i="1"/>
  <c r="AH53" i="1"/>
  <c r="AG53" i="1"/>
  <c r="AF53" i="1"/>
  <c r="AE53" i="1"/>
  <c r="O52" i="1" s="1"/>
  <c r="BG52" i="1" s="1"/>
  <c r="J53" i="1"/>
  <c r="DE52" i="1"/>
  <c r="DD52" i="1"/>
  <c r="DC52" i="1"/>
  <c r="DB52" i="1"/>
  <c r="DA52" i="1"/>
  <c r="CZ52" i="1"/>
  <c r="CY52" i="1"/>
  <c r="CX52" i="1"/>
  <c r="CW52" i="1"/>
  <c r="CV52" i="1"/>
  <c r="CU52" i="1"/>
  <c r="CT52" i="1"/>
  <c r="CS52" i="1"/>
  <c r="CR52" i="1"/>
  <c r="CQ52" i="1"/>
  <c r="CP52" i="1"/>
  <c r="CO52" i="1"/>
  <c r="CN52" i="1"/>
  <c r="CM52" i="1"/>
  <c r="CL52" i="1"/>
  <c r="CK52" i="1"/>
  <c r="CJ52" i="1"/>
  <c r="CI52" i="1"/>
  <c r="CH52" i="1"/>
  <c r="CG52" i="1"/>
  <c r="CF52" i="1"/>
  <c r="CC52" i="1"/>
  <c r="CB52" i="1"/>
  <c r="BY52" i="1"/>
  <c r="BX52" i="1"/>
  <c r="BU52" i="1"/>
  <c r="BT52" i="1"/>
  <c r="BR52" i="1"/>
  <c r="BQ52" i="1"/>
  <c r="BP52" i="1"/>
  <c r="BO52" i="1"/>
  <c r="BN52" i="1"/>
  <c r="BM52" i="1"/>
  <c r="BL52" i="1"/>
  <c r="BK52" i="1"/>
  <c r="BJ52" i="1"/>
  <c r="BI52" i="1"/>
  <c r="BH52" i="1"/>
  <c r="BF52" i="1"/>
  <c r="BE52" i="1"/>
  <c r="BD52" i="1"/>
  <c r="BA52" i="1"/>
  <c r="AZ52" i="1"/>
  <c r="AW52" i="1"/>
  <c r="AV52" i="1"/>
  <c r="AS52" i="1"/>
  <c r="AR52" i="1"/>
  <c r="AQ52" i="1"/>
  <c r="AP52" i="1"/>
  <c r="AO52" i="1"/>
  <c r="AN52" i="1"/>
  <c r="AM52" i="1"/>
  <c r="AL52" i="1"/>
  <c r="AK52" i="1"/>
  <c r="AJ52" i="1"/>
  <c r="AI52" i="1"/>
  <c r="AH52" i="1"/>
  <c r="AF52" i="1"/>
  <c r="AE52" i="1"/>
  <c r="AD52" i="1"/>
  <c r="P52" i="1"/>
  <c r="AG52" i="1" s="1"/>
  <c r="F52" i="1"/>
  <c r="B52" i="1"/>
  <c r="BB54" i="1" s="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BR51" i="1"/>
  <c r="BQ51" i="1"/>
  <c r="BP51" i="1"/>
  <c r="BO51" i="1"/>
  <c r="BN51" i="1"/>
  <c r="BM51" i="1"/>
  <c r="BL51" i="1"/>
  <c r="BK51" i="1"/>
  <c r="BJ51" i="1"/>
  <c r="BI51" i="1"/>
  <c r="BH51" i="1"/>
  <c r="BG51" i="1"/>
  <c r="BF51" i="1"/>
  <c r="AR51" i="1"/>
  <c r="AQ51" i="1"/>
  <c r="AP51" i="1"/>
  <c r="AO51" i="1"/>
  <c r="AN51" i="1"/>
  <c r="AM51" i="1"/>
  <c r="AL51" i="1"/>
  <c r="AK51" i="1"/>
  <c r="AJ51" i="1"/>
  <c r="AI51" i="1"/>
  <c r="AH51" i="1"/>
  <c r="AG51" i="1"/>
  <c r="AF51" i="1"/>
  <c r="AE51" i="1"/>
  <c r="AD51" i="1"/>
  <c r="R51" i="1"/>
  <c r="Q51"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BR50" i="1"/>
  <c r="BP50" i="1"/>
  <c r="BO50" i="1"/>
  <c r="BN50" i="1"/>
  <c r="BM50" i="1"/>
  <c r="BL50" i="1"/>
  <c r="BK50" i="1"/>
  <c r="BJ50" i="1"/>
  <c r="BI50" i="1"/>
  <c r="BH50" i="1"/>
  <c r="BG50" i="1"/>
  <c r="BF50" i="1"/>
  <c r="AR50" i="1"/>
  <c r="AP50" i="1"/>
  <c r="AO50" i="1"/>
  <c r="AN50" i="1"/>
  <c r="AM50" i="1"/>
  <c r="AL50" i="1"/>
  <c r="AK50" i="1"/>
  <c r="AJ50" i="1"/>
  <c r="AI50" i="1"/>
  <c r="AH50" i="1"/>
  <c r="AG50" i="1"/>
  <c r="AF50" i="1"/>
  <c r="AE50" i="1"/>
  <c r="AD50" i="1"/>
  <c r="J50"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BR49" i="1"/>
  <c r="BQ49" i="1"/>
  <c r="BP49" i="1"/>
  <c r="BO49" i="1"/>
  <c r="BN49" i="1"/>
  <c r="BM49" i="1"/>
  <c r="BL49" i="1"/>
  <c r="BK49" i="1"/>
  <c r="BI49" i="1"/>
  <c r="BH49" i="1"/>
  <c r="BG49" i="1"/>
  <c r="BF49" i="1"/>
  <c r="AR49" i="1"/>
  <c r="AQ49" i="1"/>
  <c r="AP49" i="1"/>
  <c r="AO49" i="1"/>
  <c r="AN49" i="1"/>
  <c r="AM49" i="1"/>
  <c r="AL49" i="1"/>
  <c r="AK49" i="1"/>
  <c r="AI49" i="1"/>
  <c r="AH49" i="1"/>
  <c r="AG49" i="1"/>
  <c r="AF49" i="1"/>
  <c r="AE49" i="1"/>
  <c r="O49" i="1" s="1"/>
  <c r="AD49" i="1"/>
  <c r="F49" i="1"/>
  <c r="B49" i="1"/>
  <c r="BA51" i="1" s="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BR48" i="1"/>
  <c r="BQ48" i="1"/>
  <c r="BP48" i="1"/>
  <c r="BO48" i="1"/>
  <c r="BN48" i="1"/>
  <c r="BM48" i="1"/>
  <c r="BL48" i="1"/>
  <c r="BK48" i="1"/>
  <c r="BJ48" i="1"/>
  <c r="BI48" i="1"/>
  <c r="BH48" i="1"/>
  <c r="BG48" i="1"/>
  <c r="BF48" i="1"/>
  <c r="BD48" i="1"/>
  <c r="BC48" i="1"/>
  <c r="BB48" i="1"/>
  <c r="AZ48" i="1"/>
  <c r="AY48" i="1"/>
  <c r="AX48" i="1"/>
  <c r="AV48" i="1"/>
  <c r="AU48" i="1"/>
  <c r="AT48" i="1"/>
  <c r="AR48" i="1"/>
  <c r="AQ48" i="1"/>
  <c r="AP48" i="1"/>
  <c r="AO48" i="1"/>
  <c r="AN48" i="1"/>
  <c r="AM48" i="1"/>
  <c r="AL48" i="1"/>
  <c r="AK48" i="1"/>
  <c r="AJ48" i="1"/>
  <c r="AI48" i="1"/>
  <c r="AH48" i="1"/>
  <c r="AG48" i="1"/>
  <c r="AF48" i="1"/>
  <c r="AE48" i="1"/>
  <c r="R48" i="1"/>
  <c r="Q48"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BR47" i="1"/>
  <c r="BP47" i="1"/>
  <c r="BO47" i="1"/>
  <c r="BN47" i="1"/>
  <c r="BM47" i="1"/>
  <c r="BL47" i="1"/>
  <c r="BK47" i="1"/>
  <c r="BJ47" i="1"/>
  <c r="BI47" i="1"/>
  <c r="BH47" i="1"/>
  <c r="BG47" i="1"/>
  <c r="BF47" i="1"/>
  <c r="BE47" i="1"/>
  <c r="BC47" i="1"/>
  <c r="BB47" i="1"/>
  <c r="BA47" i="1"/>
  <c r="AY47" i="1"/>
  <c r="AX47" i="1"/>
  <c r="AW47" i="1"/>
  <c r="AU47" i="1"/>
  <c r="AT47" i="1"/>
  <c r="AS47" i="1"/>
  <c r="AR47" i="1"/>
  <c r="AP47" i="1"/>
  <c r="AO47" i="1"/>
  <c r="AN47" i="1"/>
  <c r="AM47" i="1"/>
  <c r="AL47" i="1"/>
  <c r="AK47" i="1"/>
  <c r="AJ47" i="1"/>
  <c r="AI47" i="1"/>
  <c r="AH47" i="1"/>
  <c r="AG47" i="1"/>
  <c r="AF47" i="1"/>
  <c r="AE47" i="1"/>
  <c r="O46" i="1" s="1"/>
  <c r="J47"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C46" i="1"/>
  <c r="CB46" i="1"/>
  <c r="CA46" i="1"/>
  <c r="BY46" i="1"/>
  <c r="BX46" i="1"/>
  <c r="BW46" i="1"/>
  <c r="BU46" i="1"/>
  <c r="BT46" i="1"/>
  <c r="BS46" i="1"/>
  <c r="BR46" i="1"/>
  <c r="BQ46" i="1"/>
  <c r="BP46" i="1"/>
  <c r="BO46" i="1"/>
  <c r="BN46" i="1"/>
  <c r="BM46" i="1"/>
  <c r="BL46" i="1"/>
  <c r="BK46" i="1"/>
  <c r="BI46" i="1"/>
  <c r="BH46" i="1"/>
  <c r="BG46" i="1"/>
  <c r="BF46" i="1"/>
  <c r="BE46" i="1"/>
  <c r="BD46" i="1"/>
  <c r="BC46" i="1"/>
  <c r="BA46" i="1"/>
  <c r="AZ46" i="1"/>
  <c r="AY46" i="1"/>
  <c r="AW46" i="1"/>
  <c r="AV46" i="1"/>
  <c r="AU46" i="1"/>
  <c r="AS46" i="1"/>
  <c r="AR46" i="1"/>
  <c r="AQ46" i="1"/>
  <c r="AP46" i="1"/>
  <c r="AO46" i="1"/>
  <c r="AN46" i="1"/>
  <c r="AM46" i="1"/>
  <c r="AL46" i="1"/>
  <c r="AK46" i="1"/>
  <c r="AJ46" i="1"/>
  <c r="AI46" i="1"/>
  <c r="AH46" i="1"/>
  <c r="AG46" i="1"/>
  <c r="AF46" i="1"/>
  <c r="AE46" i="1"/>
  <c r="AD46" i="1"/>
  <c r="G46" i="1"/>
  <c r="F46" i="1"/>
  <c r="B46" i="1"/>
  <c r="BE48" i="1" s="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BR45" i="1"/>
  <c r="BQ45" i="1"/>
  <c r="BP45" i="1"/>
  <c r="BO45" i="1"/>
  <c r="BN45" i="1"/>
  <c r="BM45" i="1"/>
  <c r="BL45" i="1"/>
  <c r="BK45" i="1"/>
  <c r="BJ45" i="1"/>
  <c r="BI45" i="1"/>
  <c r="BH45" i="1"/>
  <c r="BG45" i="1"/>
  <c r="BF45" i="1"/>
  <c r="BE45" i="1"/>
  <c r="BB45" i="1"/>
  <c r="BA45" i="1"/>
  <c r="AX45" i="1"/>
  <c r="AW45" i="1"/>
  <c r="AT45" i="1"/>
  <c r="AS45" i="1"/>
  <c r="AR45" i="1"/>
  <c r="AQ45" i="1"/>
  <c r="AP45" i="1"/>
  <c r="AO45" i="1"/>
  <c r="AN45" i="1"/>
  <c r="AM45" i="1"/>
  <c r="AL45" i="1"/>
  <c r="AK45" i="1"/>
  <c r="AJ45" i="1"/>
  <c r="AI45" i="1"/>
  <c r="AH45" i="1"/>
  <c r="AG45" i="1"/>
  <c r="AF45" i="1"/>
  <c r="AE45" i="1"/>
  <c r="AD45" i="1"/>
  <c r="R45" i="1"/>
  <c r="Q45" i="1"/>
  <c r="O45" i="1"/>
  <c r="P45" i="1" s="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BR44" i="1"/>
  <c r="BQ44" i="1"/>
  <c r="BP44" i="1"/>
  <c r="BO44" i="1"/>
  <c r="BN44" i="1"/>
  <c r="BM44" i="1"/>
  <c r="BL44" i="1"/>
  <c r="BK44" i="1"/>
  <c r="BJ44" i="1"/>
  <c r="BI44" i="1"/>
  <c r="BH44" i="1"/>
  <c r="BG44" i="1"/>
  <c r="BF44" i="1"/>
  <c r="BE44" i="1"/>
  <c r="BB44" i="1"/>
  <c r="BA44" i="1"/>
  <c r="AX44" i="1"/>
  <c r="AW44" i="1"/>
  <c r="AT44" i="1"/>
  <c r="AS44" i="1"/>
  <c r="AR44" i="1"/>
  <c r="AP44" i="1"/>
  <c r="AO44" i="1"/>
  <c r="AN44" i="1"/>
  <c r="AM44" i="1"/>
  <c r="AL44" i="1"/>
  <c r="AK44" i="1"/>
  <c r="AJ44" i="1"/>
  <c r="AI44" i="1"/>
  <c r="AH44" i="1"/>
  <c r="AG44" i="1"/>
  <c r="AF44" i="1"/>
  <c r="AE44" i="1"/>
  <c r="AD44" i="1"/>
  <c r="O44" i="1"/>
  <c r="P44" i="1" s="1"/>
  <c r="AQ44" i="1" s="1"/>
  <c r="J44" i="1"/>
  <c r="DE43" i="1"/>
  <c r="DD43" i="1"/>
  <c r="DC43" i="1"/>
  <c r="DB43" i="1"/>
  <c r="DA43" i="1"/>
  <c r="CZ43" i="1"/>
  <c r="CY43" i="1"/>
  <c r="CX43" i="1"/>
  <c r="CW43" i="1"/>
  <c r="CV43" i="1"/>
  <c r="CU43" i="1"/>
  <c r="CT43" i="1"/>
  <c r="CS43" i="1"/>
  <c r="CR43" i="1"/>
  <c r="CQ43" i="1"/>
  <c r="CP43" i="1"/>
  <c r="CO43" i="1"/>
  <c r="CN43" i="1"/>
  <c r="CM43" i="1"/>
  <c r="CL43" i="1"/>
  <c r="CK43" i="1"/>
  <c r="CJ43" i="1"/>
  <c r="CI43" i="1"/>
  <c r="CH43" i="1"/>
  <c r="CG43" i="1"/>
  <c r="CF43" i="1"/>
  <c r="CC43" i="1"/>
  <c r="CB43" i="1"/>
  <c r="BY43" i="1"/>
  <c r="BX43" i="1"/>
  <c r="BU43" i="1"/>
  <c r="BT43" i="1"/>
  <c r="BR43" i="1"/>
  <c r="BQ43" i="1"/>
  <c r="BP43" i="1"/>
  <c r="BO43" i="1"/>
  <c r="BN43" i="1"/>
  <c r="BM43" i="1"/>
  <c r="BL43" i="1"/>
  <c r="BK43" i="1"/>
  <c r="BI43" i="1"/>
  <c r="BH43" i="1"/>
  <c r="BG43" i="1"/>
  <c r="BF43" i="1"/>
  <c r="BE43" i="1"/>
  <c r="BD43" i="1"/>
  <c r="BA43" i="1"/>
  <c r="AZ43" i="1"/>
  <c r="AW43" i="1"/>
  <c r="AV43" i="1"/>
  <c r="AS43" i="1"/>
  <c r="AR43" i="1"/>
  <c r="AQ43" i="1"/>
  <c r="AP43" i="1"/>
  <c r="AO43" i="1"/>
  <c r="AN43" i="1"/>
  <c r="AM43" i="1"/>
  <c r="AL43" i="1"/>
  <c r="AK43" i="1"/>
  <c r="AJ43" i="1"/>
  <c r="AI43" i="1"/>
  <c r="AH43" i="1"/>
  <c r="AG43" i="1"/>
  <c r="AF43" i="1"/>
  <c r="AE43" i="1"/>
  <c r="AD43" i="1"/>
  <c r="P43" i="1"/>
  <c r="O43" i="1"/>
  <c r="BJ43" i="1" s="1"/>
  <c r="F43" i="1"/>
  <c r="B43" i="1"/>
  <c r="BD45" i="1" s="1"/>
  <c r="DE42" i="1"/>
  <c r="DD42" i="1"/>
  <c r="DC42" i="1"/>
  <c r="DB42" i="1"/>
  <c r="DA42" i="1"/>
  <c r="CZ42" i="1"/>
  <c r="CY42" i="1"/>
  <c r="CX42" i="1"/>
  <c r="CW42" i="1"/>
  <c r="CV42" i="1"/>
  <c r="CU42" i="1"/>
  <c r="CT42" i="1"/>
  <c r="CS42" i="1"/>
  <c r="CR42" i="1"/>
  <c r="CQ42" i="1"/>
  <c r="CP42" i="1"/>
  <c r="CO42" i="1"/>
  <c r="CN42" i="1"/>
  <c r="CM42" i="1"/>
  <c r="CL42" i="1"/>
  <c r="CK42" i="1"/>
  <c r="CJ42" i="1"/>
  <c r="CI42" i="1"/>
  <c r="CH42" i="1"/>
  <c r="CG42" i="1"/>
  <c r="CF42" i="1"/>
  <c r="BR42" i="1"/>
  <c r="BQ42" i="1"/>
  <c r="BP42" i="1"/>
  <c r="BO42" i="1"/>
  <c r="BN42" i="1"/>
  <c r="BM42" i="1"/>
  <c r="BL42" i="1"/>
  <c r="BK42" i="1"/>
  <c r="BJ42" i="1"/>
  <c r="BI42" i="1"/>
  <c r="BH42" i="1"/>
  <c r="BF42" i="1"/>
  <c r="BE42" i="1"/>
  <c r="BD42" i="1"/>
  <c r="BC42" i="1"/>
  <c r="BA42" i="1"/>
  <c r="AZ42" i="1"/>
  <c r="AY42" i="1"/>
  <c r="AW42" i="1"/>
  <c r="AV42" i="1"/>
  <c r="AU42" i="1"/>
  <c r="AS42" i="1"/>
  <c r="AR42" i="1"/>
  <c r="AQ42" i="1"/>
  <c r="AP42" i="1"/>
  <c r="AO42" i="1"/>
  <c r="AN42" i="1"/>
  <c r="AM42" i="1"/>
  <c r="AL42" i="1"/>
  <c r="AK42" i="1"/>
  <c r="AJ42" i="1"/>
  <c r="AI42" i="1"/>
  <c r="AH42" i="1"/>
  <c r="AF42" i="1"/>
  <c r="AE42" i="1"/>
  <c r="DE41" i="1"/>
  <c r="DD41" i="1"/>
  <c r="DC41" i="1"/>
  <c r="DB41" i="1"/>
  <c r="DA41" i="1"/>
  <c r="CZ41" i="1"/>
  <c r="CY41" i="1"/>
  <c r="CX41" i="1"/>
  <c r="CW41" i="1"/>
  <c r="CV41" i="1"/>
  <c r="CU41" i="1"/>
  <c r="CT41" i="1"/>
  <c r="CS41" i="1"/>
  <c r="CR41" i="1"/>
  <c r="CQ41" i="1"/>
  <c r="CP41" i="1"/>
  <c r="CO41" i="1"/>
  <c r="CN41" i="1"/>
  <c r="CM41" i="1"/>
  <c r="CL41" i="1"/>
  <c r="CK41" i="1"/>
  <c r="CJ41" i="1"/>
  <c r="CI41" i="1"/>
  <c r="CH41" i="1"/>
  <c r="CG41" i="1"/>
  <c r="CF41" i="1"/>
  <c r="BR41" i="1"/>
  <c r="BQ41" i="1"/>
  <c r="BP41" i="1"/>
  <c r="BO41" i="1"/>
  <c r="BN41" i="1"/>
  <c r="BM41" i="1"/>
  <c r="BL41" i="1"/>
  <c r="BK41" i="1"/>
  <c r="BJ41" i="1"/>
  <c r="BI41" i="1"/>
  <c r="BH41" i="1"/>
  <c r="BG41" i="1"/>
  <c r="BF41" i="1"/>
  <c r="BD41" i="1"/>
  <c r="BC41" i="1"/>
  <c r="BB41" i="1"/>
  <c r="AZ41" i="1"/>
  <c r="AY41" i="1"/>
  <c r="AX41" i="1"/>
  <c r="AV41" i="1"/>
  <c r="AU41" i="1"/>
  <c r="AT41" i="1"/>
  <c r="AR41" i="1"/>
  <c r="AQ41" i="1"/>
  <c r="AP41" i="1"/>
  <c r="AO41" i="1"/>
  <c r="AN41" i="1"/>
  <c r="AM41" i="1"/>
  <c r="AL41" i="1"/>
  <c r="AK41" i="1"/>
  <c r="AJ41" i="1"/>
  <c r="AI41" i="1"/>
  <c r="AH41" i="1"/>
  <c r="AF41" i="1"/>
  <c r="AE41" i="1"/>
  <c r="P41" i="1"/>
  <c r="AG41" i="1" s="1"/>
  <c r="O41" i="1"/>
  <c r="J41" i="1"/>
  <c r="DE40" i="1"/>
  <c r="DD40" i="1"/>
  <c r="DC40" i="1"/>
  <c r="DB40" i="1"/>
  <c r="DA40" i="1"/>
  <c r="CZ40" i="1"/>
  <c r="CY40" i="1"/>
  <c r="CX40" i="1"/>
  <c r="CW40" i="1"/>
  <c r="CV40" i="1"/>
  <c r="CU40" i="1"/>
  <c r="CT40" i="1"/>
  <c r="CS40" i="1"/>
  <c r="CR40" i="1"/>
  <c r="CQ40" i="1"/>
  <c r="CP40" i="1"/>
  <c r="CO40" i="1"/>
  <c r="CN40" i="1"/>
  <c r="CM40" i="1"/>
  <c r="CL40" i="1"/>
  <c r="CK40" i="1"/>
  <c r="CJ40" i="1"/>
  <c r="CI40" i="1"/>
  <c r="CH40" i="1"/>
  <c r="CG40" i="1"/>
  <c r="CF40" i="1"/>
  <c r="CD40" i="1"/>
  <c r="CC40" i="1"/>
  <c r="CB40" i="1"/>
  <c r="BZ40" i="1"/>
  <c r="BY40" i="1"/>
  <c r="BX40" i="1"/>
  <c r="BV40" i="1"/>
  <c r="BU40" i="1"/>
  <c r="BR40" i="1"/>
  <c r="BQ40" i="1"/>
  <c r="BP40" i="1"/>
  <c r="BO40" i="1"/>
  <c r="BN40" i="1"/>
  <c r="BM40" i="1"/>
  <c r="BL40" i="1"/>
  <c r="BK40" i="1"/>
  <c r="BJ40" i="1"/>
  <c r="BI40" i="1"/>
  <c r="BH40" i="1"/>
  <c r="BG40" i="1"/>
  <c r="BE40" i="1"/>
  <c r="BD40" i="1"/>
  <c r="BB40" i="1"/>
  <c r="BA40" i="1"/>
  <c r="AZ40" i="1"/>
  <c r="AX40" i="1"/>
  <c r="AW40" i="1"/>
  <c r="AV40" i="1"/>
  <c r="AT40" i="1"/>
  <c r="AS40" i="1"/>
  <c r="AR40" i="1"/>
  <c r="AQ40" i="1"/>
  <c r="AP40" i="1"/>
  <c r="AO40" i="1"/>
  <c r="AN40" i="1"/>
  <c r="AM40" i="1"/>
  <c r="AL40" i="1"/>
  <c r="AK40" i="1"/>
  <c r="AJ40" i="1"/>
  <c r="AI40" i="1"/>
  <c r="AH40" i="1"/>
  <c r="AG40" i="1"/>
  <c r="AE40" i="1"/>
  <c r="AD40" i="1"/>
  <c r="F40" i="1"/>
  <c r="B40" i="1"/>
  <c r="BB42" i="1" s="1"/>
  <c r="DE39" i="1"/>
  <c r="DD39" i="1"/>
  <c r="DC39" i="1"/>
  <c r="DB39" i="1"/>
  <c r="DA39" i="1"/>
  <c r="CZ39" i="1"/>
  <c r="CY39" i="1"/>
  <c r="CX39" i="1"/>
  <c r="CW39" i="1"/>
  <c r="CV39" i="1"/>
  <c r="CU39" i="1"/>
  <c r="CT39" i="1"/>
  <c r="CS39" i="1"/>
  <c r="CR39" i="1"/>
  <c r="CQ39" i="1"/>
  <c r="CP39" i="1"/>
  <c r="CO39" i="1"/>
  <c r="CN39" i="1"/>
  <c r="CM39" i="1"/>
  <c r="CL39" i="1"/>
  <c r="CK39" i="1"/>
  <c r="CJ39" i="1"/>
  <c r="CI39" i="1"/>
  <c r="CH39" i="1"/>
  <c r="CG39" i="1"/>
  <c r="CF39" i="1"/>
  <c r="BR39" i="1"/>
  <c r="BQ39" i="1"/>
  <c r="BP39" i="1"/>
  <c r="BO39" i="1"/>
  <c r="BN39" i="1"/>
  <c r="BM39" i="1"/>
  <c r="BL39" i="1"/>
  <c r="BK39" i="1"/>
  <c r="BI39" i="1"/>
  <c r="BH39" i="1"/>
  <c r="BG39" i="1"/>
  <c r="BF39" i="1"/>
  <c r="BE39" i="1"/>
  <c r="BB39" i="1"/>
  <c r="BA39" i="1"/>
  <c r="AX39" i="1"/>
  <c r="AW39" i="1"/>
  <c r="AT39" i="1"/>
  <c r="AS39" i="1"/>
  <c r="AR39" i="1"/>
  <c r="AQ39" i="1"/>
  <c r="AP39" i="1"/>
  <c r="AO39" i="1"/>
  <c r="AN39" i="1"/>
  <c r="AM39" i="1"/>
  <c r="AL39" i="1"/>
  <c r="AK39" i="1"/>
  <c r="AI39" i="1"/>
  <c r="AH39" i="1"/>
  <c r="AG39" i="1"/>
  <c r="AF39" i="1"/>
  <c r="AE39" i="1"/>
  <c r="AD39" i="1"/>
  <c r="O39" i="1"/>
  <c r="P39" i="1" s="1"/>
  <c r="AJ39" i="1" s="1"/>
  <c r="DE38" i="1"/>
  <c r="DD38" i="1"/>
  <c r="DC38" i="1"/>
  <c r="DB38" i="1"/>
  <c r="DA38" i="1"/>
  <c r="CZ38" i="1"/>
  <c r="CY38" i="1"/>
  <c r="CX38" i="1"/>
  <c r="CW38" i="1"/>
  <c r="CV38" i="1"/>
  <c r="CU38" i="1"/>
  <c r="CT38" i="1"/>
  <c r="CS38" i="1"/>
  <c r="CR38" i="1"/>
  <c r="CQ38" i="1"/>
  <c r="CP38" i="1"/>
  <c r="CO38" i="1"/>
  <c r="CN38" i="1"/>
  <c r="CM38" i="1"/>
  <c r="CL38" i="1"/>
  <c r="CK38" i="1"/>
  <c r="CJ38" i="1"/>
  <c r="CI38" i="1"/>
  <c r="CH38" i="1"/>
  <c r="CG38" i="1"/>
  <c r="CF38" i="1"/>
  <c r="BR38" i="1"/>
  <c r="BQ38" i="1"/>
  <c r="BP38" i="1"/>
  <c r="BO38" i="1"/>
  <c r="BN38" i="1"/>
  <c r="BM38" i="1"/>
  <c r="BL38" i="1"/>
  <c r="BK38" i="1"/>
  <c r="BI38" i="1"/>
  <c r="BH38" i="1"/>
  <c r="BG38" i="1"/>
  <c r="BF38" i="1"/>
  <c r="BE38" i="1"/>
  <c r="BB38" i="1"/>
  <c r="BA38" i="1"/>
  <c r="AX38" i="1"/>
  <c r="AW38" i="1"/>
  <c r="AT38" i="1"/>
  <c r="AS38" i="1"/>
  <c r="AR38" i="1"/>
  <c r="AQ38" i="1"/>
  <c r="AP38" i="1"/>
  <c r="AO38" i="1"/>
  <c r="AN38" i="1"/>
  <c r="AM38" i="1"/>
  <c r="AL38" i="1"/>
  <c r="AK38" i="1"/>
  <c r="AI38" i="1"/>
  <c r="AH38" i="1"/>
  <c r="AG38" i="1"/>
  <c r="AF38" i="1"/>
  <c r="AE38" i="1"/>
  <c r="AD38" i="1"/>
  <c r="O38" i="1"/>
  <c r="P38" i="1" s="1"/>
  <c r="AJ38" i="1" s="1"/>
  <c r="J38" i="1"/>
  <c r="DE37" i="1"/>
  <c r="DD37" i="1"/>
  <c r="DC37" i="1"/>
  <c r="DB37" i="1"/>
  <c r="DA37" i="1"/>
  <c r="CZ37" i="1"/>
  <c r="CY37" i="1"/>
  <c r="CX37" i="1"/>
  <c r="CW37" i="1"/>
  <c r="CV37" i="1"/>
  <c r="CU37" i="1"/>
  <c r="CT37" i="1"/>
  <c r="CS37" i="1"/>
  <c r="CR37" i="1"/>
  <c r="CQ37" i="1"/>
  <c r="CP37" i="1"/>
  <c r="CO37" i="1"/>
  <c r="CN37" i="1"/>
  <c r="CM37" i="1"/>
  <c r="CL37" i="1"/>
  <c r="CK37" i="1"/>
  <c r="CJ37" i="1"/>
  <c r="CI37" i="1"/>
  <c r="CH37" i="1"/>
  <c r="CG37" i="1"/>
  <c r="CF37" i="1"/>
  <c r="CC37" i="1"/>
  <c r="CB37" i="1"/>
  <c r="BY37" i="1"/>
  <c r="BX37" i="1"/>
  <c r="BU37" i="1"/>
  <c r="BT37" i="1"/>
  <c r="BR37" i="1"/>
  <c r="BQ37" i="1"/>
  <c r="BP37" i="1"/>
  <c r="BO37" i="1"/>
  <c r="BN37" i="1"/>
  <c r="BM37" i="1"/>
  <c r="BL37" i="1"/>
  <c r="BK37" i="1"/>
  <c r="BJ37" i="1"/>
  <c r="BI37" i="1"/>
  <c r="BH37" i="1"/>
  <c r="BG37" i="1"/>
  <c r="BF37" i="1"/>
  <c r="BE37" i="1"/>
  <c r="BD37" i="1"/>
  <c r="BA37" i="1"/>
  <c r="AZ37" i="1"/>
  <c r="AW37" i="1"/>
  <c r="AV37" i="1"/>
  <c r="AS37" i="1"/>
  <c r="AR37" i="1"/>
  <c r="AP37" i="1"/>
  <c r="AO37" i="1"/>
  <c r="AN37" i="1"/>
  <c r="AM37" i="1"/>
  <c r="AL37" i="1"/>
  <c r="AK37" i="1"/>
  <c r="AJ37" i="1"/>
  <c r="AI37" i="1"/>
  <c r="AH37" i="1"/>
  <c r="AG37" i="1"/>
  <c r="AF37" i="1"/>
  <c r="AE37" i="1"/>
  <c r="AD37" i="1"/>
  <c r="P37" i="1"/>
  <c r="O37" i="1"/>
  <c r="AQ37" i="1" s="1"/>
  <c r="F37" i="1"/>
  <c r="B37" i="1"/>
  <c r="BD39" i="1" s="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BR36" i="1"/>
  <c r="BQ36" i="1"/>
  <c r="BP36" i="1"/>
  <c r="BO36" i="1"/>
  <c r="BN36" i="1"/>
  <c r="BM36" i="1"/>
  <c r="BL36" i="1"/>
  <c r="BK36" i="1"/>
  <c r="BI36" i="1"/>
  <c r="BH36" i="1"/>
  <c r="BG36" i="1"/>
  <c r="BF36" i="1"/>
  <c r="BE36" i="1"/>
  <c r="BD36" i="1"/>
  <c r="BA36" i="1"/>
  <c r="AZ36" i="1"/>
  <c r="AW36" i="1"/>
  <c r="AV36" i="1"/>
  <c r="AS36" i="1"/>
  <c r="AR36" i="1"/>
  <c r="AQ36" i="1"/>
  <c r="AP36" i="1"/>
  <c r="AO36" i="1"/>
  <c r="AN36" i="1"/>
  <c r="AM36" i="1"/>
  <c r="AL36" i="1"/>
  <c r="AK36" i="1"/>
  <c r="AI36" i="1"/>
  <c r="AH36" i="1"/>
  <c r="AG36" i="1"/>
  <c r="AF36" i="1"/>
  <c r="AE36"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BR35" i="1"/>
  <c r="BQ35" i="1"/>
  <c r="BP35" i="1"/>
  <c r="BO35" i="1"/>
  <c r="BN35" i="1"/>
  <c r="BM35" i="1"/>
  <c r="BL35" i="1"/>
  <c r="BK35" i="1"/>
  <c r="BI35" i="1"/>
  <c r="BH35" i="1"/>
  <c r="BG35" i="1"/>
  <c r="BF35" i="1"/>
  <c r="BD35" i="1"/>
  <c r="BC35" i="1"/>
  <c r="AZ35" i="1"/>
  <c r="AY35" i="1"/>
  <c r="AV35" i="1"/>
  <c r="AU35" i="1"/>
  <c r="AR35" i="1"/>
  <c r="AQ35" i="1"/>
  <c r="AP35" i="1"/>
  <c r="AO35" i="1"/>
  <c r="AN35" i="1"/>
  <c r="AM35" i="1"/>
  <c r="AL35" i="1"/>
  <c r="AK35" i="1"/>
  <c r="AI35" i="1"/>
  <c r="AH35" i="1"/>
  <c r="AG35" i="1"/>
  <c r="AF35" i="1"/>
  <c r="AE35" i="1"/>
  <c r="P35" i="1"/>
  <c r="AJ35" i="1" s="1"/>
  <c r="O35" i="1"/>
  <c r="BJ35" i="1" s="1"/>
  <c r="J35"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D34" i="1"/>
  <c r="CC34" i="1"/>
  <c r="BZ34" i="1"/>
  <c r="BY34" i="1"/>
  <c r="BV34" i="1"/>
  <c r="BU34" i="1"/>
  <c r="BR34" i="1"/>
  <c r="BP34" i="1"/>
  <c r="BO34" i="1"/>
  <c r="BN34" i="1"/>
  <c r="BM34" i="1"/>
  <c r="BL34" i="1"/>
  <c r="BK34" i="1"/>
  <c r="BJ34" i="1"/>
  <c r="BI34" i="1"/>
  <c r="BH34" i="1"/>
  <c r="BG34" i="1"/>
  <c r="BF34" i="1"/>
  <c r="BE34" i="1"/>
  <c r="BB34" i="1"/>
  <c r="BA34" i="1"/>
  <c r="AX34" i="1"/>
  <c r="AW34" i="1"/>
  <c r="AT34" i="1"/>
  <c r="AS34" i="1"/>
  <c r="AR34" i="1"/>
  <c r="AP34" i="1"/>
  <c r="AO34" i="1"/>
  <c r="AN34" i="1"/>
  <c r="AM34" i="1"/>
  <c r="AL34" i="1"/>
  <c r="AK34" i="1"/>
  <c r="AJ34" i="1"/>
  <c r="AI34" i="1"/>
  <c r="AH34" i="1"/>
  <c r="AG34" i="1"/>
  <c r="AF34" i="1"/>
  <c r="AE34" i="1"/>
  <c r="AD34" i="1"/>
  <c r="F34" i="1"/>
  <c r="B34" i="1"/>
  <c r="BC36" i="1" s="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BR33" i="1"/>
  <c r="BQ33" i="1"/>
  <c r="BP33" i="1"/>
  <c r="BO33" i="1"/>
  <c r="BN33" i="1"/>
  <c r="BM33" i="1"/>
  <c r="BL33" i="1"/>
  <c r="BK33" i="1"/>
  <c r="BJ33" i="1"/>
  <c r="BI33" i="1"/>
  <c r="BH33" i="1"/>
  <c r="BG33" i="1"/>
  <c r="BF33" i="1"/>
  <c r="BE33" i="1"/>
  <c r="BB33" i="1"/>
  <c r="BA33" i="1"/>
  <c r="AX33" i="1"/>
  <c r="AW33" i="1"/>
  <c r="AT33" i="1"/>
  <c r="AS33" i="1"/>
  <c r="AR33" i="1"/>
  <c r="AP33" i="1"/>
  <c r="AO33" i="1"/>
  <c r="AN33" i="1"/>
  <c r="AM33" i="1"/>
  <c r="AL33" i="1"/>
  <c r="AK33" i="1"/>
  <c r="AJ33" i="1"/>
  <c r="AI33" i="1"/>
  <c r="AH33" i="1"/>
  <c r="AG33" i="1"/>
  <c r="AF33" i="1"/>
  <c r="AE33" i="1"/>
  <c r="AD33" i="1"/>
  <c r="O33" i="1"/>
  <c r="P33" i="1" s="1"/>
  <c r="AQ33" i="1" s="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BR32" i="1"/>
  <c r="BQ32" i="1"/>
  <c r="BP32" i="1"/>
  <c r="BO32" i="1"/>
  <c r="BN32" i="1"/>
  <c r="BM32" i="1"/>
  <c r="BL32" i="1"/>
  <c r="BK32" i="1"/>
  <c r="BJ32" i="1"/>
  <c r="BI32" i="1"/>
  <c r="BH32" i="1"/>
  <c r="BF32" i="1"/>
  <c r="BE32" i="1"/>
  <c r="BB32" i="1"/>
  <c r="BA32" i="1"/>
  <c r="AX32" i="1"/>
  <c r="AW32" i="1"/>
  <c r="AT32" i="1"/>
  <c r="AS32" i="1"/>
  <c r="AR32" i="1"/>
  <c r="AQ32" i="1"/>
  <c r="AP32" i="1"/>
  <c r="AO32" i="1"/>
  <c r="AN32" i="1"/>
  <c r="AM32" i="1"/>
  <c r="AL32" i="1"/>
  <c r="AK32" i="1"/>
  <c r="AJ32" i="1"/>
  <c r="AI32" i="1"/>
  <c r="AH32" i="1"/>
  <c r="AF32" i="1"/>
  <c r="AE32" i="1"/>
  <c r="O31" i="1" s="1"/>
  <c r="BG31" i="1" s="1"/>
  <c r="AD32" i="1"/>
  <c r="O32" i="1"/>
  <c r="AG32" i="1" s="1"/>
  <c r="J32"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C31" i="1"/>
  <c r="CB31" i="1"/>
  <c r="BY31" i="1"/>
  <c r="BX31" i="1"/>
  <c r="BU31" i="1"/>
  <c r="BR31" i="1"/>
  <c r="BQ31" i="1"/>
  <c r="BP31" i="1"/>
  <c r="BO31" i="1"/>
  <c r="BN31" i="1"/>
  <c r="BM31" i="1"/>
  <c r="BL31" i="1"/>
  <c r="BK31" i="1"/>
  <c r="BJ31" i="1"/>
  <c r="BI31" i="1"/>
  <c r="BH31" i="1"/>
  <c r="BF31" i="1"/>
  <c r="BE31" i="1"/>
  <c r="BD31" i="1"/>
  <c r="BA31" i="1"/>
  <c r="AZ31" i="1"/>
  <c r="AW31" i="1"/>
  <c r="AV31" i="1"/>
  <c r="AS31" i="1"/>
  <c r="AR31" i="1"/>
  <c r="AQ31" i="1"/>
  <c r="AP31" i="1"/>
  <c r="AO31" i="1"/>
  <c r="AN31" i="1"/>
  <c r="AM31" i="1"/>
  <c r="AL31" i="1"/>
  <c r="AK31" i="1"/>
  <c r="AJ31" i="1"/>
  <c r="AI31" i="1"/>
  <c r="AH31" i="1"/>
  <c r="AF31" i="1"/>
  <c r="AE31" i="1"/>
  <c r="AD31" i="1"/>
  <c r="P31" i="1"/>
  <c r="G31" i="1"/>
  <c r="F31" i="1"/>
  <c r="B31" i="1"/>
  <c r="BD33" i="1" s="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BR30" i="1"/>
  <c r="BP30" i="1"/>
  <c r="BO30" i="1"/>
  <c r="BN30" i="1"/>
  <c r="BM30" i="1"/>
  <c r="BL30" i="1"/>
  <c r="BK30" i="1"/>
  <c r="BJ30" i="1"/>
  <c r="BI30" i="1"/>
  <c r="BH30" i="1"/>
  <c r="BG30" i="1"/>
  <c r="BF30" i="1"/>
  <c r="BE30" i="1"/>
  <c r="AX30" i="1"/>
  <c r="AW30" i="1"/>
  <c r="AR30" i="1"/>
  <c r="AP30" i="1"/>
  <c r="AO30" i="1"/>
  <c r="AN30" i="1"/>
  <c r="AM30" i="1"/>
  <c r="AL30" i="1"/>
  <c r="AK30" i="1"/>
  <c r="AJ30" i="1"/>
  <c r="AI30" i="1"/>
  <c r="AH30" i="1"/>
  <c r="AG30" i="1"/>
  <c r="AF30" i="1"/>
  <c r="AE30"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BR29" i="1"/>
  <c r="BQ29" i="1"/>
  <c r="BP29" i="1"/>
  <c r="BO29" i="1"/>
  <c r="BN29" i="1"/>
  <c r="BM29" i="1"/>
  <c r="BL29" i="1"/>
  <c r="BK29" i="1"/>
  <c r="BI29" i="1"/>
  <c r="BH29" i="1"/>
  <c r="BG29" i="1"/>
  <c r="BF29" i="1"/>
  <c r="BE29" i="1"/>
  <c r="BD29" i="1"/>
  <c r="AW29" i="1"/>
  <c r="AV29" i="1"/>
  <c r="AR29" i="1"/>
  <c r="AQ29" i="1"/>
  <c r="AP29" i="1"/>
  <c r="AO29" i="1"/>
  <c r="AN29" i="1"/>
  <c r="AM29" i="1"/>
  <c r="AL29" i="1"/>
  <c r="AK29" i="1"/>
  <c r="AI29" i="1"/>
  <c r="AH29" i="1"/>
  <c r="AG29" i="1"/>
  <c r="AF29" i="1"/>
  <c r="AE29" i="1"/>
  <c r="J29" i="1"/>
  <c r="DE28" i="1"/>
  <c r="DD28" i="1"/>
  <c r="DC28" i="1"/>
  <c r="DB28" i="1"/>
  <c r="DA28" i="1"/>
  <c r="CZ28" i="1"/>
  <c r="CY28" i="1"/>
  <c r="CX28" i="1"/>
  <c r="CW28" i="1"/>
  <c r="CV28" i="1"/>
  <c r="CU28" i="1"/>
  <c r="CT28" i="1"/>
  <c r="CS28" i="1"/>
  <c r="CR28" i="1"/>
  <c r="CQ28" i="1"/>
  <c r="CP28" i="1"/>
  <c r="CO28" i="1"/>
  <c r="CN28" i="1"/>
  <c r="CM28" i="1"/>
  <c r="CL28" i="1"/>
  <c r="CK28" i="1"/>
  <c r="CJ28" i="1"/>
  <c r="CI28" i="1"/>
  <c r="CH28" i="1"/>
  <c r="CG28" i="1"/>
  <c r="CF28" i="1"/>
  <c r="CA28" i="1"/>
  <c r="BZ28" i="1"/>
  <c r="BS28" i="1"/>
  <c r="BR28" i="1"/>
  <c r="BQ28" i="1"/>
  <c r="BP28" i="1"/>
  <c r="BO28" i="1"/>
  <c r="BN28" i="1"/>
  <c r="BM28" i="1"/>
  <c r="BL28" i="1"/>
  <c r="BK28" i="1"/>
  <c r="BI28" i="1"/>
  <c r="BH28" i="1"/>
  <c r="BG28" i="1"/>
  <c r="BF28" i="1"/>
  <c r="AY28" i="1"/>
  <c r="AX28" i="1"/>
  <c r="AR28" i="1"/>
  <c r="AQ28" i="1"/>
  <c r="AP28" i="1"/>
  <c r="AO28" i="1"/>
  <c r="AN28" i="1"/>
  <c r="AM28" i="1"/>
  <c r="AL28" i="1"/>
  <c r="AK28" i="1"/>
  <c r="AI28" i="1"/>
  <c r="AH28" i="1"/>
  <c r="AG28" i="1"/>
  <c r="AF28" i="1"/>
  <c r="AE28" i="1"/>
  <c r="O28" i="1" s="1"/>
  <c r="AD28" i="1"/>
  <c r="G28" i="1"/>
  <c r="B28" i="1"/>
  <c r="DE27" i="1"/>
  <c r="DD27" i="1"/>
  <c r="DC27" i="1"/>
  <c r="DB27" i="1"/>
  <c r="DA27" i="1"/>
  <c r="CZ27" i="1"/>
  <c r="CY27" i="1"/>
  <c r="CX27" i="1"/>
  <c r="CW27" i="1"/>
  <c r="CV27" i="1"/>
  <c r="CU27" i="1"/>
  <c r="CT27" i="1"/>
  <c r="CS27" i="1"/>
  <c r="CR27" i="1"/>
  <c r="CQ27" i="1"/>
  <c r="CP27" i="1"/>
  <c r="CO27" i="1"/>
  <c r="CN27" i="1"/>
  <c r="CM27" i="1"/>
  <c r="CL27" i="1"/>
  <c r="CK27" i="1"/>
  <c r="CJ27" i="1"/>
  <c r="CI27" i="1"/>
  <c r="CH27" i="1"/>
  <c r="CG27" i="1"/>
  <c r="CF27" i="1"/>
  <c r="BR27" i="1"/>
  <c r="BQ27" i="1"/>
  <c r="BP27" i="1"/>
  <c r="BO27" i="1"/>
  <c r="BN27" i="1"/>
  <c r="BM27" i="1"/>
  <c r="BL27" i="1"/>
  <c r="BK27" i="1"/>
  <c r="BJ27" i="1"/>
  <c r="BI27" i="1"/>
  <c r="BH27" i="1"/>
  <c r="BG27" i="1"/>
  <c r="BF27" i="1"/>
  <c r="BD27" i="1"/>
  <c r="AY27" i="1"/>
  <c r="AV27" i="1"/>
  <c r="AR27" i="1"/>
  <c r="AQ27" i="1"/>
  <c r="AP27" i="1"/>
  <c r="AO27" i="1"/>
  <c r="AN27" i="1"/>
  <c r="AM27" i="1"/>
  <c r="AL27" i="1"/>
  <c r="AK27" i="1"/>
  <c r="AJ27" i="1"/>
  <c r="AI27" i="1"/>
  <c r="AH27" i="1"/>
  <c r="AG27" i="1"/>
  <c r="AF27" i="1"/>
  <c r="AE27" i="1"/>
  <c r="AD27" i="1"/>
  <c r="R27" i="1"/>
  <c r="Q27" i="1"/>
  <c r="DE26" i="1"/>
  <c r="DD26" i="1"/>
  <c r="DC26" i="1"/>
  <c r="DB26" i="1"/>
  <c r="DA26" i="1"/>
  <c r="CZ26" i="1"/>
  <c r="CY26" i="1"/>
  <c r="CX26" i="1"/>
  <c r="CW26" i="1"/>
  <c r="CV26" i="1"/>
  <c r="CU26" i="1"/>
  <c r="CT26" i="1"/>
  <c r="CS26" i="1"/>
  <c r="CR26" i="1"/>
  <c r="CQ26" i="1"/>
  <c r="CP26" i="1"/>
  <c r="CO26" i="1"/>
  <c r="CN26" i="1"/>
  <c r="CM26" i="1"/>
  <c r="CL26" i="1"/>
  <c r="CK26" i="1"/>
  <c r="CJ26" i="1"/>
  <c r="CI26" i="1"/>
  <c r="CH26" i="1"/>
  <c r="CG26" i="1"/>
  <c r="CF26" i="1"/>
  <c r="BR26" i="1"/>
  <c r="BP26" i="1"/>
  <c r="BO26" i="1"/>
  <c r="BN26" i="1"/>
  <c r="BM26" i="1"/>
  <c r="BL26" i="1"/>
  <c r="BK26" i="1"/>
  <c r="BJ26" i="1"/>
  <c r="BI26" i="1"/>
  <c r="BH26" i="1"/>
  <c r="BG26" i="1"/>
  <c r="BF26" i="1"/>
  <c r="BD26" i="1"/>
  <c r="AY26" i="1"/>
  <c r="AV26" i="1"/>
  <c r="AR26" i="1"/>
  <c r="AP26" i="1"/>
  <c r="AO26" i="1"/>
  <c r="AN26" i="1"/>
  <c r="AM26" i="1"/>
  <c r="AL26" i="1"/>
  <c r="AK26" i="1"/>
  <c r="AJ26" i="1"/>
  <c r="AI26" i="1"/>
  <c r="AH26" i="1"/>
  <c r="AG26" i="1"/>
  <c r="AF26" i="1"/>
  <c r="AE26" i="1"/>
  <c r="O25" i="1" s="1"/>
  <c r="AD26" i="1"/>
  <c r="J26" i="1"/>
  <c r="DE25" i="1"/>
  <c r="DD25" i="1"/>
  <c r="DC25" i="1"/>
  <c r="DB25" i="1"/>
  <c r="DA25" i="1"/>
  <c r="CZ25" i="1"/>
  <c r="CY25" i="1"/>
  <c r="CX25" i="1"/>
  <c r="CW25" i="1"/>
  <c r="CV25" i="1"/>
  <c r="CU25" i="1"/>
  <c r="CT25" i="1"/>
  <c r="CS25" i="1"/>
  <c r="CR25" i="1"/>
  <c r="CQ25" i="1"/>
  <c r="CP25" i="1"/>
  <c r="CO25" i="1"/>
  <c r="CN25" i="1"/>
  <c r="CM25" i="1"/>
  <c r="CL25" i="1"/>
  <c r="CK25" i="1"/>
  <c r="CJ25" i="1"/>
  <c r="CI25" i="1"/>
  <c r="CH25" i="1"/>
  <c r="CG25" i="1"/>
  <c r="CF25" i="1"/>
  <c r="CA25" i="1"/>
  <c r="BV25" i="1"/>
  <c r="BS25" i="1"/>
  <c r="BR25" i="1"/>
  <c r="BQ25" i="1"/>
  <c r="BP25" i="1"/>
  <c r="BO25" i="1"/>
  <c r="BN25" i="1"/>
  <c r="BM25" i="1"/>
  <c r="BL25" i="1"/>
  <c r="BK25" i="1"/>
  <c r="BI25" i="1"/>
  <c r="BH25" i="1"/>
  <c r="BG25" i="1"/>
  <c r="BF25" i="1"/>
  <c r="BB25" i="1"/>
  <c r="AY25" i="1"/>
  <c r="AT25" i="1"/>
  <c r="AR25" i="1"/>
  <c r="AQ25" i="1"/>
  <c r="AP25" i="1"/>
  <c r="AO25" i="1"/>
  <c r="AN25" i="1"/>
  <c r="AM25" i="1"/>
  <c r="AL25" i="1"/>
  <c r="AK25" i="1"/>
  <c r="AI25" i="1"/>
  <c r="AH25" i="1"/>
  <c r="AG25" i="1"/>
  <c r="AF25" i="1"/>
  <c r="AE25" i="1"/>
  <c r="AD25" i="1"/>
  <c r="F25" i="1"/>
  <c r="B25" i="1"/>
  <c r="CE25" i="1" s="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BR24" i="1"/>
  <c r="BQ24" i="1"/>
  <c r="BP24" i="1"/>
  <c r="BO24" i="1"/>
  <c r="BN24" i="1"/>
  <c r="BM24" i="1"/>
  <c r="BL24" i="1"/>
  <c r="BK24" i="1"/>
  <c r="BJ24" i="1"/>
  <c r="BI24" i="1"/>
  <c r="BH24" i="1"/>
  <c r="BG24" i="1"/>
  <c r="BF24" i="1"/>
  <c r="AY24" i="1"/>
  <c r="AR24" i="1"/>
  <c r="AQ24" i="1"/>
  <c r="AP24" i="1"/>
  <c r="AO24" i="1"/>
  <c r="AN24" i="1"/>
  <c r="AM24" i="1"/>
  <c r="AL24" i="1"/>
  <c r="AK24" i="1"/>
  <c r="AJ24" i="1"/>
  <c r="AI24" i="1"/>
  <c r="AH24" i="1"/>
  <c r="AG24" i="1"/>
  <c r="AF24" i="1"/>
  <c r="AE24" i="1"/>
  <c r="R24" i="1"/>
  <c r="Q24" i="1"/>
  <c r="O24" i="1"/>
  <c r="P24" i="1" s="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BR23" i="1"/>
  <c r="BQ23" i="1"/>
  <c r="BP23" i="1"/>
  <c r="BO23" i="1"/>
  <c r="BN23" i="1"/>
  <c r="BM23" i="1"/>
  <c r="BL23" i="1"/>
  <c r="BK23" i="1"/>
  <c r="BI23" i="1"/>
  <c r="BH23" i="1"/>
  <c r="BG23" i="1"/>
  <c r="BF23" i="1"/>
  <c r="BB23" i="1"/>
  <c r="AT23" i="1"/>
  <c r="AR23" i="1"/>
  <c r="AQ23" i="1"/>
  <c r="AP23" i="1"/>
  <c r="AO23" i="1"/>
  <c r="AN23" i="1"/>
  <c r="AM23" i="1"/>
  <c r="AL23" i="1"/>
  <c r="AK23" i="1"/>
  <c r="AI23" i="1"/>
  <c r="AH23" i="1"/>
  <c r="AG23" i="1"/>
  <c r="AF23" i="1"/>
  <c r="AE23" i="1"/>
  <c r="J23"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B22" i="1"/>
  <c r="BT22" i="1"/>
  <c r="BR22" i="1"/>
  <c r="BP22" i="1"/>
  <c r="BO22" i="1"/>
  <c r="BN22" i="1"/>
  <c r="BM22" i="1"/>
  <c r="BL22" i="1"/>
  <c r="BK22" i="1"/>
  <c r="BJ22" i="1"/>
  <c r="BI22" i="1"/>
  <c r="BH22" i="1"/>
  <c r="BG22" i="1"/>
  <c r="BF22" i="1"/>
  <c r="AZ22" i="1"/>
  <c r="AR22" i="1"/>
  <c r="AP22" i="1"/>
  <c r="AO22" i="1"/>
  <c r="AN22" i="1"/>
  <c r="AM22" i="1"/>
  <c r="AL22" i="1"/>
  <c r="AK22" i="1"/>
  <c r="AJ22" i="1"/>
  <c r="AI22" i="1"/>
  <c r="AH22" i="1"/>
  <c r="AG22" i="1"/>
  <c r="AF22" i="1"/>
  <c r="AE22" i="1"/>
  <c r="O23" i="1" s="1"/>
  <c r="P23" i="1" s="1"/>
  <c r="AJ23" i="1" s="1"/>
  <c r="AD22" i="1"/>
  <c r="F22" i="1"/>
  <c r="B22"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BR21" i="1"/>
  <c r="BQ21" i="1"/>
  <c r="BP21" i="1"/>
  <c r="BO21" i="1"/>
  <c r="BN21" i="1"/>
  <c r="BM21" i="1"/>
  <c r="BL21" i="1"/>
  <c r="BK21" i="1"/>
  <c r="BJ21" i="1"/>
  <c r="BI21" i="1"/>
  <c r="BH21" i="1"/>
  <c r="BG21" i="1"/>
  <c r="BF21" i="1"/>
  <c r="BC21" i="1"/>
  <c r="AZ21" i="1"/>
  <c r="AU21" i="1"/>
  <c r="AR21" i="1"/>
  <c r="AQ21" i="1"/>
  <c r="AP21" i="1"/>
  <c r="AO21" i="1"/>
  <c r="AN21" i="1"/>
  <c r="AM21" i="1"/>
  <c r="AL21" i="1"/>
  <c r="AK21" i="1"/>
  <c r="AJ21" i="1"/>
  <c r="AI21" i="1"/>
  <c r="AH21" i="1"/>
  <c r="AG21" i="1"/>
  <c r="AF21" i="1"/>
  <c r="AE21" i="1"/>
  <c r="AD21" i="1"/>
  <c r="R21" i="1"/>
  <c r="Q21"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BR20" i="1"/>
  <c r="BP20" i="1"/>
  <c r="BO20" i="1"/>
  <c r="BN20" i="1"/>
  <c r="BM20" i="1"/>
  <c r="BL20" i="1"/>
  <c r="BK20" i="1"/>
  <c r="BJ20" i="1"/>
  <c r="BI20" i="1"/>
  <c r="BH20" i="1"/>
  <c r="BG20" i="1"/>
  <c r="BF20" i="1"/>
  <c r="BC20" i="1"/>
  <c r="AZ20" i="1"/>
  <c r="AU20" i="1"/>
  <c r="AR20" i="1"/>
  <c r="AP20" i="1"/>
  <c r="AO20" i="1"/>
  <c r="AN20" i="1"/>
  <c r="AM20" i="1"/>
  <c r="AL20" i="1"/>
  <c r="AK20" i="1"/>
  <c r="AJ20" i="1"/>
  <c r="AI20" i="1"/>
  <c r="AH20" i="1"/>
  <c r="AG20" i="1"/>
  <c r="AF20" i="1"/>
  <c r="AE20" i="1"/>
  <c r="AD20" i="1"/>
  <c r="R20" i="1"/>
  <c r="R22" i="1" s="1"/>
  <c r="R26" i="1" s="1"/>
  <c r="R30" i="1" s="1"/>
  <c r="R33" i="1" s="1"/>
  <c r="R34" i="1" s="1"/>
  <c r="R37" i="1" s="1"/>
  <c r="J20"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A19" i="1"/>
  <c r="BZ19" i="1"/>
  <c r="BS19" i="1"/>
  <c r="BR19" i="1"/>
  <c r="BQ19" i="1"/>
  <c r="BP19" i="1"/>
  <c r="BO19" i="1"/>
  <c r="BN19" i="1"/>
  <c r="BM19" i="1"/>
  <c r="BL19" i="1"/>
  <c r="BK19" i="1"/>
  <c r="BJ19" i="1"/>
  <c r="BI19" i="1"/>
  <c r="BH19" i="1"/>
  <c r="BF19" i="1"/>
  <c r="AY19" i="1"/>
  <c r="AX19" i="1"/>
  <c r="AR19" i="1"/>
  <c r="AQ19" i="1"/>
  <c r="AP19" i="1"/>
  <c r="AO19" i="1"/>
  <c r="AN19" i="1"/>
  <c r="AM19" i="1"/>
  <c r="AL19" i="1"/>
  <c r="AK19" i="1"/>
  <c r="AJ19" i="1"/>
  <c r="AI19" i="1"/>
  <c r="AH19" i="1"/>
  <c r="AF19" i="1"/>
  <c r="AE19" i="1"/>
  <c r="O19" i="1" s="1"/>
  <c r="AD19" i="1"/>
  <c r="R19" i="1"/>
  <c r="R31" i="1" s="1"/>
  <c r="R32" i="1" s="1"/>
  <c r="R41" i="1" s="1"/>
  <c r="R42" i="1" s="1"/>
  <c r="R52" i="1" s="1"/>
  <c r="G19" i="1"/>
  <c r="B19"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BR18" i="1"/>
  <c r="BQ18" i="1"/>
  <c r="BP18" i="1"/>
  <c r="BO18" i="1"/>
  <c r="BN18" i="1"/>
  <c r="BM18" i="1"/>
  <c r="BL18" i="1"/>
  <c r="BK18" i="1"/>
  <c r="BJ18" i="1"/>
  <c r="BI18" i="1"/>
  <c r="BH18" i="1"/>
  <c r="BF18" i="1"/>
  <c r="AR18" i="1"/>
  <c r="AQ18" i="1"/>
  <c r="AP18" i="1"/>
  <c r="AO18" i="1"/>
  <c r="AN18" i="1"/>
  <c r="AM18" i="1"/>
  <c r="AL18" i="1"/>
  <c r="AK18" i="1"/>
  <c r="AJ18" i="1"/>
  <c r="AI18" i="1"/>
  <c r="AH18" i="1"/>
  <c r="AF18" i="1"/>
  <c r="AE18"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BR17" i="1"/>
  <c r="BQ17" i="1"/>
  <c r="BP17" i="1"/>
  <c r="BO17" i="1"/>
  <c r="BN17" i="1"/>
  <c r="BM17" i="1"/>
  <c r="BL17" i="1"/>
  <c r="BK17" i="1"/>
  <c r="BJ17" i="1"/>
  <c r="BI17" i="1"/>
  <c r="BH17" i="1"/>
  <c r="BF17" i="1"/>
  <c r="AR17" i="1"/>
  <c r="AQ17" i="1"/>
  <c r="AP17" i="1"/>
  <c r="AO17" i="1"/>
  <c r="AN17" i="1"/>
  <c r="AM17" i="1"/>
  <c r="AL17" i="1"/>
  <c r="AK17" i="1"/>
  <c r="AJ17" i="1"/>
  <c r="AI17" i="1"/>
  <c r="AH17" i="1"/>
  <c r="AF17" i="1"/>
  <c r="AE17" i="1"/>
  <c r="R17" i="1"/>
  <c r="R18" i="1" s="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BR16" i="1"/>
  <c r="BQ16" i="1"/>
  <c r="BP16" i="1"/>
  <c r="BO16" i="1"/>
  <c r="BN16" i="1"/>
  <c r="BM16" i="1"/>
  <c r="BL16" i="1"/>
  <c r="BK16" i="1"/>
  <c r="BJ16" i="1"/>
  <c r="BI16" i="1"/>
  <c r="BH16" i="1"/>
  <c r="BG16" i="1"/>
  <c r="BF16" i="1"/>
  <c r="AR16" i="1"/>
  <c r="AQ16" i="1"/>
  <c r="AP16" i="1"/>
  <c r="AO16" i="1"/>
  <c r="AN16" i="1"/>
  <c r="AM16" i="1"/>
  <c r="AL16" i="1"/>
  <c r="AK16" i="1"/>
  <c r="AJ16" i="1"/>
  <c r="AI16" i="1"/>
  <c r="AH16" i="1"/>
  <c r="AG16" i="1"/>
  <c r="AF16" i="1"/>
  <c r="AE16" i="1"/>
  <c r="O16" i="1" s="1"/>
  <c r="P16" i="1" s="1"/>
  <c r="AD16" i="1"/>
  <c r="R16" i="1"/>
  <c r="F16" i="1"/>
  <c r="B16"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BR15" i="1"/>
  <c r="BQ15" i="1"/>
  <c r="BP15" i="1"/>
  <c r="BO15" i="1"/>
  <c r="BN15" i="1"/>
  <c r="BM15" i="1"/>
  <c r="BL15" i="1"/>
  <c r="BK15" i="1"/>
  <c r="BJ15" i="1"/>
  <c r="BI15" i="1"/>
  <c r="BH15" i="1"/>
  <c r="BG15" i="1"/>
  <c r="BF15" i="1"/>
  <c r="AR15" i="1"/>
  <c r="AQ15" i="1"/>
  <c r="AP15" i="1"/>
  <c r="AO15" i="1"/>
  <c r="AN15" i="1"/>
  <c r="AM15" i="1"/>
  <c r="AL15" i="1"/>
  <c r="AK15" i="1"/>
  <c r="AJ15" i="1"/>
  <c r="AI15" i="1"/>
  <c r="AH15" i="1"/>
  <c r="AG15" i="1"/>
  <c r="AF15" i="1"/>
  <c r="AE15" i="1"/>
  <c r="AD15" i="1"/>
  <c r="R15" i="1"/>
  <c r="Q15"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BR14" i="1"/>
  <c r="BQ14" i="1"/>
  <c r="BP14" i="1"/>
  <c r="BO14" i="1"/>
  <c r="BN14" i="1"/>
  <c r="BM14" i="1"/>
  <c r="BL14" i="1"/>
  <c r="BK14" i="1"/>
  <c r="BJ14" i="1"/>
  <c r="BI14" i="1"/>
  <c r="BH14" i="1"/>
  <c r="BG14" i="1"/>
  <c r="AR14" i="1"/>
  <c r="AQ14" i="1"/>
  <c r="AP14" i="1"/>
  <c r="AO14" i="1"/>
  <c r="AN14" i="1"/>
  <c r="AM14" i="1"/>
  <c r="AL14" i="1"/>
  <c r="AK14" i="1"/>
  <c r="AJ14" i="1"/>
  <c r="AI14" i="1"/>
  <c r="AH14" i="1"/>
  <c r="AG14" i="1"/>
  <c r="AE14" i="1"/>
  <c r="AD14" i="1"/>
  <c r="J14"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BR13" i="1"/>
  <c r="BQ13" i="1"/>
  <c r="BP13" i="1"/>
  <c r="BO13" i="1"/>
  <c r="BN13" i="1"/>
  <c r="BM13" i="1"/>
  <c r="BL13" i="1"/>
  <c r="BK13" i="1"/>
  <c r="BJ13" i="1"/>
  <c r="BI13" i="1"/>
  <c r="BH13" i="1"/>
  <c r="BG13" i="1"/>
  <c r="BF13" i="1"/>
  <c r="AR13" i="1"/>
  <c r="AQ13" i="1"/>
  <c r="AP13" i="1"/>
  <c r="AO13" i="1"/>
  <c r="AN13" i="1"/>
  <c r="AM13" i="1"/>
  <c r="AL13" i="1"/>
  <c r="AK13" i="1"/>
  <c r="AI13" i="1"/>
  <c r="AH13" i="1"/>
  <c r="AG13" i="1"/>
  <c r="AF13" i="1"/>
  <c r="AE13" i="1"/>
  <c r="AD13" i="1"/>
  <c r="O13" i="1"/>
  <c r="P13" i="1" s="1"/>
  <c r="AJ13" i="1" s="1"/>
  <c r="F13" i="1"/>
  <c r="B13" i="1"/>
  <c r="DE12" i="1"/>
  <c r="DD12" i="1"/>
  <c r="DC12" i="1"/>
  <c r="DB12" i="1"/>
  <c r="DA12" i="1"/>
  <c r="CZ12" i="1"/>
  <c r="CY12" i="1"/>
  <c r="CX12" i="1"/>
  <c r="CW12" i="1"/>
  <c r="CV12" i="1"/>
  <c r="CU12" i="1"/>
  <c r="CT12" i="1"/>
  <c r="CS12" i="1"/>
  <c r="CR12" i="1"/>
  <c r="CQ12" i="1"/>
  <c r="CP12" i="1"/>
  <c r="CO12" i="1"/>
  <c r="CN12" i="1"/>
  <c r="CM12" i="1"/>
  <c r="CL12" i="1"/>
  <c r="CK12" i="1"/>
  <c r="CJ12" i="1"/>
  <c r="CI12" i="1"/>
  <c r="CH12" i="1"/>
  <c r="CG12" i="1"/>
  <c r="CF12" i="1"/>
  <c r="BR12" i="1"/>
  <c r="BQ12" i="1"/>
  <c r="BP12" i="1"/>
  <c r="BO12" i="1"/>
  <c r="BN12" i="1"/>
  <c r="BM12" i="1"/>
  <c r="BL12" i="1"/>
  <c r="BK12" i="1"/>
  <c r="BJ12" i="1"/>
  <c r="BI12" i="1"/>
  <c r="BH12" i="1"/>
  <c r="BG12" i="1"/>
  <c r="BF12" i="1"/>
  <c r="BC12" i="1"/>
  <c r="BB12" i="1"/>
  <c r="AU12" i="1"/>
  <c r="AT12" i="1"/>
  <c r="AR12" i="1"/>
  <c r="AQ12" i="1"/>
  <c r="AP12" i="1"/>
  <c r="AO12" i="1"/>
  <c r="AN12" i="1"/>
  <c r="AM12" i="1"/>
  <c r="AL12" i="1"/>
  <c r="AK12" i="1"/>
  <c r="AJ12" i="1"/>
  <c r="AI12" i="1"/>
  <c r="AH12" i="1"/>
  <c r="AG12" i="1"/>
  <c r="AF12" i="1"/>
  <c r="AE12" i="1"/>
  <c r="R12" i="1"/>
  <c r="Q12" i="1"/>
  <c r="DJ11" i="1"/>
  <c r="Q11" i="1" s="1"/>
  <c r="DE11" i="1"/>
  <c r="DD11" i="1"/>
  <c r="DC11" i="1"/>
  <c r="DB11" i="1"/>
  <c r="DA11" i="1"/>
  <c r="CZ11" i="1"/>
  <c r="CY11" i="1"/>
  <c r="CX11" i="1"/>
  <c r="CW11" i="1"/>
  <c r="CV11" i="1"/>
  <c r="CU11" i="1"/>
  <c r="CT11" i="1"/>
  <c r="CS11" i="1"/>
  <c r="CR11" i="1"/>
  <c r="CQ11" i="1"/>
  <c r="CP11" i="1"/>
  <c r="CO11" i="1"/>
  <c r="CN11" i="1"/>
  <c r="CM11" i="1"/>
  <c r="CL11" i="1"/>
  <c r="CK11" i="1"/>
  <c r="CJ11" i="1"/>
  <c r="CI11" i="1"/>
  <c r="CH11" i="1"/>
  <c r="CG11" i="1"/>
  <c r="CF11" i="1"/>
  <c r="BR11" i="1"/>
  <c r="BQ11" i="1"/>
  <c r="BP11" i="1"/>
  <c r="BO11" i="1"/>
  <c r="BN11" i="1"/>
  <c r="BM11" i="1"/>
  <c r="BL11" i="1"/>
  <c r="BK11" i="1"/>
  <c r="BJ11" i="1"/>
  <c r="BI11" i="1"/>
  <c r="BH11" i="1"/>
  <c r="BG11" i="1"/>
  <c r="BF11" i="1"/>
  <c r="BE11" i="1"/>
  <c r="AX11" i="1"/>
  <c r="AW11" i="1"/>
  <c r="AR11" i="1"/>
  <c r="AQ11" i="1"/>
  <c r="AP11" i="1"/>
  <c r="AO11" i="1"/>
  <c r="AN11" i="1"/>
  <c r="AM11" i="1"/>
  <c r="AL11" i="1"/>
  <c r="AK11" i="1"/>
  <c r="AJ11" i="1"/>
  <c r="AI11" i="1"/>
  <c r="AH11" i="1"/>
  <c r="AG11" i="1"/>
  <c r="AE11" i="1"/>
  <c r="R11" i="1"/>
  <c r="R14" i="1" s="1"/>
  <c r="R40" i="1" s="1"/>
  <c r="J11" i="1"/>
  <c r="DK10" i="1"/>
  <c r="DE10" i="1"/>
  <c r="DD10" i="1"/>
  <c r="DC10" i="1"/>
  <c r="DB10" i="1"/>
  <c r="DA10" i="1"/>
  <c r="CZ10" i="1"/>
  <c r="CY10" i="1"/>
  <c r="CX10" i="1"/>
  <c r="CW10" i="1"/>
  <c r="CV10" i="1"/>
  <c r="CU10" i="1"/>
  <c r="CT10" i="1"/>
  <c r="CS10" i="1"/>
  <c r="CR10" i="1"/>
  <c r="CQ10" i="1"/>
  <c r="CP10" i="1"/>
  <c r="CO10" i="1"/>
  <c r="CN10" i="1"/>
  <c r="CM10" i="1"/>
  <c r="CL10" i="1"/>
  <c r="CK10" i="1"/>
  <c r="CJ10" i="1"/>
  <c r="CI10" i="1"/>
  <c r="CH10" i="1"/>
  <c r="CG10" i="1"/>
  <c r="CF10" i="1"/>
  <c r="CE10" i="1"/>
  <c r="BX10" i="1"/>
  <c r="BR10" i="1"/>
  <c r="BQ10" i="1"/>
  <c r="BP10" i="1"/>
  <c r="BO10" i="1"/>
  <c r="BN10" i="1"/>
  <c r="BM10" i="1"/>
  <c r="BL10" i="1"/>
  <c r="BK10" i="1"/>
  <c r="BI10" i="1"/>
  <c r="BH10" i="1"/>
  <c r="BG10" i="1"/>
  <c r="BF10" i="1"/>
  <c r="BD10" i="1"/>
  <c r="BC10" i="1"/>
  <c r="AV10" i="1"/>
  <c r="AU10" i="1"/>
  <c r="AR10" i="1"/>
  <c r="AQ10" i="1"/>
  <c r="AP10" i="1"/>
  <c r="AO10" i="1"/>
  <c r="AN10" i="1"/>
  <c r="AM10" i="1"/>
  <c r="AL10" i="1"/>
  <c r="AK10" i="1"/>
  <c r="AI10" i="1"/>
  <c r="AH10" i="1"/>
  <c r="AG10" i="1"/>
  <c r="AF10" i="1"/>
  <c r="AE10" i="1"/>
  <c r="O11" i="1" s="1"/>
  <c r="AD10" i="1"/>
  <c r="O10" i="1"/>
  <c r="BJ10" i="1" s="1"/>
  <c r="F10" i="1"/>
  <c r="D10" i="1"/>
  <c r="B10" i="1"/>
  <c r="AX12" i="1" s="1"/>
  <c r="DE9" i="1"/>
  <c r="DD9" i="1"/>
  <c r="DC9" i="1"/>
  <c r="DB9" i="1"/>
  <c r="DA9" i="1"/>
  <c r="CZ9" i="1"/>
  <c r="CY9" i="1"/>
  <c r="CX9" i="1"/>
  <c r="CW9" i="1"/>
  <c r="CV9" i="1"/>
  <c r="CU9" i="1"/>
  <c r="CT9" i="1"/>
  <c r="CS9" i="1"/>
  <c r="CR9" i="1"/>
  <c r="CQ9" i="1"/>
  <c r="CP9" i="1"/>
  <c r="CO9" i="1"/>
  <c r="CN9" i="1"/>
  <c r="CM9" i="1"/>
  <c r="CL9" i="1"/>
  <c r="CK9" i="1"/>
  <c r="CJ9" i="1"/>
  <c r="CI9" i="1"/>
  <c r="CH9" i="1"/>
  <c r="CG9" i="1"/>
  <c r="CF9" i="1"/>
  <c r="BR9" i="1"/>
  <c r="BQ9" i="1"/>
  <c r="BP9" i="1"/>
  <c r="BO9" i="1"/>
  <c r="BN9" i="1"/>
  <c r="BM9" i="1"/>
  <c r="BL9" i="1"/>
  <c r="BK9" i="1"/>
  <c r="BJ9" i="1"/>
  <c r="BI9" i="1"/>
  <c r="BH9" i="1"/>
  <c r="BG9" i="1"/>
  <c r="BF9" i="1"/>
  <c r="BD9" i="1"/>
  <c r="AZ9" i="1"/>
  <c r="AY9" i="1"/>
  <c r="AV9" i="1"/>
  <c r="AR9" i="1"/>
  <c r="AQ9" i="1"/>
  <c r="AP9" i="1"/>
  <c r="AO9" i="1"/>
  <c r="AN9" i="1"/>
  <c r="AM9" i="1"/>
  <c r="AL9" i="1"/>
  <c r="AK9" i="1"/>
  <c r="AJ9" i="1"/>
  <c r="AI9" i="1"/>
  <c r="AH9" i="1"/>
  <c r="AG9" i="1"/>
  <c r="AF9" i="1"/>
  <c r="AE9" i="1"/>
  <c r="AD9" i="1"/>
  <c r="R9" i="1"/>
  <c r="Q9" i="1"/>
  <c r="DE8" i="1"/>
  <c r="DD8" i="1"/>
  <c r="DC8" i="1"/>
  <c r="DB8" i="1"/>
  <c r="DA8" i="1"/>
  <c r="CZ8" i="1"/>
  <c r="CY8" i="1"/>
  <c r="CX8" i="1"/>
  <c r="CW8" i="1"/>
  <c r="CV8" i="1"/>
  <c r="CU8" i="1"/>
  <c r="CT8" i="1"/>
  <c r="CS8" i="1"/>
  <c r="CR8" i="1"/>
  <c r="CQ8" i="1"/>
  <c r="CP8" i="1"/>
  <c r="CO8" i="1"/>
  <c r="CN8" i="1"/>
  <c r="CM8" i="1"/>
  <c r="CL8" i="1"/>
  <c r="CK8" i="1"/>
  <c r="CJ8" i="1"/>
  <c r="CI8" i="1"/>
  <c r="CH8" i="1"/>
  <c r="CG8" i="1"/>
  <c r="CF8" i="1"/>
  <c r="BR8" i="1"/>
  <c r="BQ8" i="1"/>
  <c r="BP8" i="1"/>
  <c r="BO8" i="1"/>
  <c r="BN8" i="1"/>
  <c r="BM8" i="1"/>
  <c r="BL8" i="1"/>
  <c r="BK8" i="1"/>
  <c r="BJ8" i="1"/>
  <c r="BI8" i="1"/>
  <c r="BH8" i="1"/>
  <c r="BG8" i="1"/>
  <c r="BF8" i="1"/>
  <c r="BC8" i="1"/>
  <c r="AZ8" i="1"/>
  <c r="AY8" i="1"/>
  <c r="AU8" i="1"/>
  <c r="AR8" i="1"/>
  <c r="AQ8" i="1"/>
  <c r="AP8" i="1"/>
  <c r="AO8" i="1"/>
  <c r="AN8" i="1"/>
  <c r="AM8" i="1"/>
  <c r="AL8" i="1"/>
  <c r="AK8" i="1"/>
  <c r="AJ8" i="1"/>
  <c r="AI8" i="1"/>
  <c r="AH8" i="1"/>
  <c r="AG8" i="1"/>
  <c r="AF8" i="1"/>
  <c r="AE8" i="1"/>
  <c r="AD8" i="1"/>
  <c r="J8" i="1"/>
  <c r="DJ7" i="1"/>
  <c r="DF7" i="1"/>
  <c r="DF8" i="1" s="1"/>
  <c r="DE7" i="1"/>
  <c r="DD7" i="1"/>
  <c r="DC7" i="1"/>
  <c r="DB7" i="1"/>
  <c r="DA7" i="1"/>
  <c r="CZ7" i="1"/>
  <c r="CY7" i="1"/>
  <c r="CX7" i="1"/>
  <c r="CW7" i="1"/>
  <c r="CV7" i="1"/>
  <c r="CU7" i="1"/>
  <c r="CT7" i="1"/>
  <c r="CS7" i="1"/>
  <c r="CR7" i="1"/>
  <c r="CQ7" i="1"/>
  <c r="CP7" i="1"/>
  <c r="CO7" i="1"/>
  <c r="CN7" i="1"/>
  <c r="CM7" i="1"/>
  <c r="CL7" i="1"/>
  <c r="CK7" i="1"/>
  <c r="CJ7" i="1"/>
  <c r="CI7" i="1"/>
  <c r="CH7" i="1"/>
  <c r="CG7" i="1"/>
  <c r="CF7" i="1"/>
  <c r="CE7" i="1"/>
  <c r="CD7" i="1"/>
  <c r="BZ7" i="1"/>
  <c r="BW7" i="1"/>
  <c r="BV7" i="1"/>
  <c r="BR7" i="1"/>
  <c r="BQ7" i="1"/>
  <c r="BP7" i="1"/>
  <c r="BO7" i="1"/>
  <c r="BN7" i="1"/>
  <c r="BM7" i="1"/>
  <c r="BL7" i="1"/>
  <c r="BK7" i="1"/>
  <c r="BJ7" i="1"/>
  <c r="BI7" i="1"/>
  <c r="BH7" i="1"/>
  <c r="BG7" i="1"/>
  <c r="BF7" i="1"/>
  <c r="BC7" i="1"/>
  <c r="BB7" i="1"/>
  <c r="AX7" i="1"/>
  <c r="AU7" i="1"/>
  <c r="AT7" i="1"/>
  <c r="AR7" i="1"/>
  <c r="AQ7" i="1"/>
  <c r="AP7" i="1"/>
  <c r="AO7" i="1"/>
  <c r="AN7" i="1"/>
  <c r="AM7" i="1"/>
  <c r="AL7" i="1"/>
  <c r="AK7" i="1"/>
  <c r="AJ7" i="1"/>
  <c r="AI7" i="1"/>
  <c r="AH7" i="1"/>
  <c r="AG7" i="1"/>
  <c r="AF7" i="1"/>
  <c r="AE7" i="1"/>
  <c r="AD7" i="1"/>
  <c r="S7" i="1"/>
  <c r="T7" i="1" s="1"/>
  <c r="F7" i="1"/>
  <c r="D7" i="1"/>
  <c r="B7" i="1"/>
  <c r="A7" i="1"/>
  <c r="A10" i="1" s="1"/>
  <c r="A13" i="1" s="1"/>
  <c r="A16" i="1" s="1"/>
  <c r="A19" i="1" s="1"/>
  <c r="A22" i="1" s="1"/>
  <c r="A25" i="1" s="1"/>
  <c r="A28" i="1" s="1"/>
  <c r="A31" i="1" s="1"/>
  <c r="A34" i="1" s="1"/>
  <c r="A37" i="1" s="1"/>
  <c r="A40" i="1" s="1"/>
  <c r="A43" i="1" s="1"/>
  <c r="A46" i="1" s="1"/>
  <c r="A49" i="1" s="1"/>
  <c r="A52" i="1" s="1"/>
  <c r="A55" i="1" s="1"/>
  <c r="A58" i="1" s="1"/>
  <c r="A61" i="1" s="1"/>
  <c r="A64" i="1" s="1"/>
  <c r="A67" i="1" s="1"/>
  <c r="A70" i="1" s="1"/>
  <c r="A73" i="1" s="1"/>
  <c r="A76" i="1" s="1"/>
  <c r="A79" i="1" s="1"/>
  <c r="A82" i="1" s="1"/>
  <c r="A85" i="1" s="1"/>
  <c r="A88" i="1" s="1"/>
  <c r="A91" i="1" s="1"/>
  <c r="A94" i="1" s="1"/>
  <c r="A97" i="1" s="1"/>
  <c r="A100" i="1" s="1"/>
  <c r="A103" i="1" s="1"/>
  <c r="A106" i="1" s="1"/>
  <c r="A109" i="1" s="1"/>
  <c r="A112" i="1" s="1"/>
  <c r="A115" i="1" s="1"/>
  <c r="A118" i="1" s="1"/>
  <c r="A121" i="1" s="1"/>
  <c r="A124" i="1" s="1"/>
  <c r="A127" i="1" s="1"/>
  <c r="A130" i="1" s="1"/>
  <c r="A133" i="1" s="1"/>
  <c r="A136" i="1" s="1"/>
  <c r="A139" i="1" s="1"/>
  <c r="A142" i="1" s="1"/>
  <c r="A145" i="1" s="1"/>
  <c r="A148" i="1" s="1"/>
  <c r="A151" i="1" s="1"/>
  <c r="A154" i="1" s="1"/>
  <c r="A157" i="1" s="1"/>
  <c r="A160" i="1" s="1"/>
  <c r="A163" i="1" s="1"/>
  <c r="A166" i="1" s="1"/>
  <c r="A169" i="1" s="1"/>
  <c r="A172" i="1" s="1"/>
  <c r="A175" i="1" s="1"/>
  <c r="A178" i="1" s="1"/>
  <c r="A181" i="1" s="1"/>
  <c r="A184" i="1" s="1"/>
  <c r="A187" i="1" s="1"/>
  <c r="A190" i="1" s="1"/>
  <c r="A193" i="1" s="1"/>
  <c r="A196" i="1" s="1"/>
  <c r="A199" i="1" s="1"/>
  <c r="A202" i="1" s="1"/>
  <c r="A205" i="1" s="1"/>
  <c r="A208" i="1" s="1"/>
  <c r="A211" i="1" s="1"/>
  <c r="A214" i="1" s="1"/>
  <c r="A217" i="1" s="1"/>
  <c r="A220" i="1" s="1"/>
  <c r="A223" i="1" s="1"/>
  <c r="A226" i="1" s="1"/>
  <c r="A229" i="1" s="1"/>
  <c r="A232" i="1" s="1"/>
  <c r="A235" i="1" s="1"/>
  <c r="A238" i="1" s="1"/>
  <c r="A241" i="1" s="1"/>
  <c r="A244" i="1" s="1"/>
  <c r="A247" i="1" s="1"/>
  <c r="A250" i="1" s="1"/>
  <c r="A253" i="1" s="1"/>
  <c r="A256" i="1" s="1"/>
  <c r="A259" i="1" s="1"/>
  <c r="A262" i="1" s="1"/>
  <c r="A265" i="1" s="1"/>
  <c r="A268" i="1" s="1"/>
  <c r="A271" i="1" s="1"/>
  <c r="A274" i="1" s="1"/>
  <c r="A277" i="1" s="1"/>
  <c r="A280" i="1" s="1"/>
  <c r="A283" i="1" s="1"/>
  <c r="A286" i="1" s="1"/>
  <c r="A289" i="1" s="1"/>
  <c r="A292" i="1" s="1"/>
  <c r="A295" i="1" s="1"/>
  <c r="A298" i="1" s="1"/>
  <c r="A301" i="1" s="1"/>
  <c r="A304" i="1" s="1"/>
  <c r="A307" i="1" s="1"/>
  <c r="A310" i="1" s="1"/>
  <c r="A313" i="1" s="1"/>
  <c r="A316" i="1" s="1"/>
  <c r="A319" i="1" s="1"/>
  <c r="A322" i="1" s="1"/>
  <c r="A325" i="1" s="1"/>
  <c r="A328" i="1" s="1"/>
  <c r="A331" i="1" s="1"/>
  <c r="A334" i="1" s="1"/>
  <c r="A337" i="1" s="1"/>
  <c r="A340" i="1" s="1"/>
  <c r="A343" i="1" s="1"/>
  <c r="A346" i="1" s="1"/>
  <c r="A349" i="1" s="1"/>
  <c r="A352" i="1" s="1"/>
  <c r="A355" i="1" s="1"/>
  <c r="A358" i="1" s="1"/>
  <c r="A361" i="1" s="1"/>
  <c r="A364" i="1" s="1"/>
  <c r="A367" i="1" s="1"/>
  <c r="A370" i="1" s="1"/>
  <c r="A373" i="1" s="1"/>
  <c r="A376" i="1" s="1"/>
  <c r="A379" i="1" s="1"/>
  <c r="A382" i="1" s="1"/>
  <c r="A385" i="1" s="1"/>
  <c r="A388" i="1" s="1"/>
  <c r="A391" i="1" s="1"/>
  <c r="A394" i="1" s="1"/>
  <c r="A397" i="1" s="1"/>
  <c r="A400" i="1" s="1"/>
  <c r="A403" i="1" s="1"/>
  <c r="A406" i="1" s="1"/>
  <c r="A409" i="1" s="1"/>
  <c r="A412" i="1" s="1"/>
  <c r="A415" i="1" s="1"/>
  <c r="A418" i="1" s="1"/>
  <c r="A421" i="1" s="1"/>
  <c r="A424" i="1" s="1"/>
  <c r="A427" i="1" s="1"/>
  <c r="A430" i="1" s="1"/>
  <c r="A433" i="1" s="1"/>
  <c r="A436" i="1" s="1"/>
  <c r="A439" i="1" s="1"/>
  <c r="A442" i="1" s="1"/>
  <c r="A445" i="1" s="1"/>
  <c r="A448" i="1" s="1"/>
  <c r="A451" i="1" s="1"/>
  <c r="A454" i="1" s="1"/>
  <c r="A457" i="1" s="1"/>
  <c r="A460" i="1" s="1"/>
  <c r="A463" i="1" s="1"/>
  <c r="A466" i="1" s="1"/>
  <c r="A469" i="1" s="1"/>
  <c r="A472" i="1" s="1"/>
  <c r="A475" i="1" s="1"/>
  <c r="A478" i="1" s="1"/>
  <c r="A481" i="1" s="1"/>
  <c r="A484" i="1" s="1"/>
  <c r="A487" i="1" s="1"/>
  <c r="A490" i="1" s="1"/>
  <c r="A493" i="1" s="1"/>
  <c r="A496" i="1" s="1"/>
  <c r="A499" i="1" s="1"/>
  <c r="A502" i="1" s="1"/>
  <c r="A505" i="1" s="1"/>
  <c r="A508" i="1" s="1"/>
  <c r="A511" i="1" s="1"/>
  <c r="A514" i="1" s="1"/>
  <c r="A517" i="1" s="1"/>
  <c r="A520" i="1" s="1"/>
  <c r="A523" i="1" s="1"/>
  <c r="A526" i="1" s="1"/>
  <c r="A529" i="1" s="1"/>
  <c r="A532" i="1" s="1"/>
  <c r="A535" i="1" s="1"/>
  <c r="A538" i="1" s="1"/>
  <c r="A541" i="1" s="1"/>
  <c r="A544" i="1" s="1"/>
  <c r="A547" i="1" s="1"/>
  <c r="A550" i="1" s="1"/>
  <c r="A553" i="1" s="1"/>
  <c r="A556" i="1" s="1"/>
  <c r="A559" i="1" s="1"/>
  <c r="A562" i="1" s="1"/>
  <c r="A565" i="1" s="1"/>
  <c r="A568" i="1" s="1"/>
  <c r="A571" i="1" s="1"/>
  <c r="A574" i="1" s="1"/>
  <c r="A577" i="1" s="1"/>
  <c r="A580" i="1" s="1"/>
  <c r="A583" i="1" s="1"/>
  <c r="A586" i="1" s="1"/>
  <c r="A589" i="1" s="1"/>
  <c r="A592" i="1" s="1"/>
  <c r="A595" i="1" s="1"/>
  <c r="A598" i="1" s="1"/>
  <c r="A601" i="1" s="1"/>
  <c r="A604" i="1" s="1"/>
  <c r="A607" i="1" s="1"/>
  <c r="A610" i="1" s="1"/>
  <c r="A613" i="1" s="1"/>
  <c r="A616" i="1" s="1"/>
  <c r="A619" i="1" s="1"/>
  <c r="A622" i="1" s="1"/>
  <c r="A625" i="1" s="1"/>
  <c r="A628" i="1" s="1"/>
  <c r="A631" i="1" s="1"/>
  <c r="A634" i="1" s="1"/>
  <c r="A637" i="1" s="1"/>
  <c r="A640" i="1" s="1"/>
  <c r="A643" i="1" s="1"/>
  <c r="A646" i="1" s="1"/>
  <c r="A649" i="1" s="1"/>
  <c r="A652" i="1" s="1"/>
  <c r="A655" i="1" s="1"/>
  <c r="A658" i="1" s="1"/>
  <c r="A661" i="1" s="1"/>
  <c r="A664" i="1" s="1"/>
  <c r="A667" i="1" s="1"/>
  <c r="A670" i="1" s="1"/>
  <c r="A673" i="1" s="1"/>
  <c r="A676" i="1" s="1"/>
  <c r="A679" i="1" s="1"/>
  <c r="A682" i="1" s="1"/>
  <c r="A685" i="1" s="1"/>
  <c r="A688" i="1" s="1"/>
  <c r="A691" i="1" s="1"/>
  <c r="A694" i="1" s="1"/>
  <c r="A697" i="1" s="1"/>
  <c r="A700" i="1" s="1"/>
  <c r="A703" i="1" s="1"/>
  <c r="A706" i="1" s="1"/>
  <c r="A709" i="1" s="1"/>
  <c r="A712" i="1" s="1"/>
  <c r="A715" i="1" s="1"/>
  <c r="A718" i="1" s="1"/>
  <c r="A721" i="1" s="1"/>
  <c r="A724" i="1" s="1"/>
  <c r="A727" i="1" s="1"/>
  <c r="A730" i="1" s="1"/>
  <c r="A733" i="1" s="1"/>
  <c r="A736" i="1" s="1"/>
  <c r="A739" i="1" s="1"/>
  <c r="A742" i="1" s="1"/>
  <c r="A745" i="1" s="1"/>
  <c r="A748" i="1" s="1"/>
  <c r="A751" i="1" s="1"/>
  <c r="A754" i="1" s="1"/>
  <c r="A757" i="1" s="1"/>
  <c r="A760" i="1" s="1"/>
  <c r="A763" i="1" s="1"/>
  <c r="A766" i="1" s="1"/>
  <c r="A769" i="1" s="1"/>
  <c r="A772" i="1" s="1"/>
  <c r="A775" i="1" s="1"/>
  <c r="A778" i="1" s="1"/>
  <c r="A781" i="1" s="1"/>
  <c r="A784" i="1" s="1"/>
  <c r="A787" i="1" s="1"/>
  <c r="A790" i="1" s="1"/>
  <c r="A793" i="1" s="1"/>
  <c r="A796" i="1" s="1"/>
  <c r="A799" i="1" s="1"/>
  <c r="A802" i="1" s="1"/>
  <c r="A805" i="1" s="1"/>
  <c r="A808" i="1" s="1"/>
  <c r="A811" i="1" s="1"/>
  <c r="A814" i="1" s="1"/>
  <c r="A817" i="1" s="1"/>
  <c r="A820" i="1" s="1"/>
  <c r="A823" i="1" s="1"/>
  <c r="A826" i="1" s="1"/>
  <c r="A829" i="1" s="1"/>
  <c r="A832" i="1" s="1"/>
  <c r="A835" i="1" s="1"/>
  <c r="A838" i="1" s="1"/>
  <c r="A841" i="1" s="1"/>
  <c r="A844" i="1" s="1"/>
  <c r="A847" i="1" s="1"/>
  <c r="A850" i="1" s="1"/>
  <c r="A853" i="1" s="1"/>
  <c r="A856" i="1" s="1"/>
  <c r="A859" i="1" s="1"/>
  <c r="A862" i="1" s="1"/>
  <c r="A865" i="1" s="1"/>
  <c r="A868" i="1" s="1"/>
  <c r="A871" i="1" s="1"/>
  <c r="A874" i="1" s="1"/>
  <c r="A877" i="1" s="1"/>
  <c r="A880" i="1" s="1"/>
  <c r="A883" i="1" s="1"/>
  <c r="A886" i="1" s="1"/>
  <c r="A889" i="1" s="1"/>
  <c r="A892" i="1" s="1"/>
  <c r="A895" i="1" s="1"/>
  <c r="A898" i="1" s="1"/>
  <c r="A901" i="1" s="1"/>
  <c r="A904" i="1" s="1"/>
  <c r="A907" i="1" s="1"/>
  <c r="A910" i="1" s="1"/>
  <c r="A913" i="1" s="1"/>
  <c r="A916" i="1" s="1"/>
  <c r="A919" i="1" s="1"/>
  <c r="A922" i="1" s="1"/>
  <c r="A925" i="1" s="1"/>
  <c r="A928" i="1" s="1"/>
  <c r="A931" i="1" s="1"/>
  <c r="A934" i="1" s="1"/>
  <c r="A937" i="1" s="1"/>
  <c r="A940" i="1" s="1"/>
  <c r="A943" i="1" s="1"/>
  <c r="A946" i="1" s="1"/>
  <c r="A949" i="1" s="1"/>
  <c r="A952" i="1" s="1"/>
  <c r="DJ6" i="1"/>
  <c r="DE6" i="1"/>
  <c r="DD6" i="1"/>
  <c r="DC6" i="1"/>
  <c r="DB6" i="1"/>
  <c r="DA6" i="1"/>
  <c r="CZ6" i="1"/>
  <c r="CY6" i="1"/>
  <c r="CX6" i="1"/>
  <c r="CW6" i="1"/>
  <c r="CV6" i="1"/>
  <c r="CU6" i="1"/>
  <c r="CT6" i="1"/>
  <c r="CS6" i="1"/>
  <c r="CR6" i="1"/>
  <c r="CQ6" i="1"/>
  <c r="CP6" i="1"/>
  <c r="CO6" i="1"/>
  <c r="CN6" i="1"/>
  <c r="CM6" i="1"/>
  <c r="CL6" i="1"/>
  <c r="CK6" i="1"/>
  <c r="CJ6" i="1"/>
  <c r="CI6" i="1"/>
  <c r="CH6" i="1"/>
  <c r="CG6" i="1"/>
  <c r="CF6" i="1"/>
  <c r="BR6" i="1"/>
  <c r="BQ6" i="1"/>
  <c r="BP6" i="1"/>
  <c r="BO6" i="1"/>
  <c r="BN6" i="1"/>
  <c r="BM6" i="1"/>
  <c r="BL6" i="1"/>
  <c r="BK6" i="1"/>
  <c r="BJ6" i="1"/>
  <c r="BI6" i="1"/>
  <c r="BH6" i="1"/>
  <c r="BG6" i="1"/>
  <c r="BF6" i="1"/>
  <c r="BD6" i="1"/>
  <c r="BC6" i="1"/>
  <c r="BB6" i="1"/>
  <c r="AZ6" i="1"/>
  <c r="AY6" i="1"/>
  <c r="AX6" i="1"/>
  <c r="AV6" i="1"/>
  <c r="AU6" i="1"/>
  <c r="AT6" i="1"/>
  <c r="AR6" i="1"/>
  <c r="AQ6" i="1"/>
  <c r="AP6" i="1"/>
  <c r="AO6" i="1"/>
  <c r="AN6" i="1"/>
  <c r="AM6" i="1"/>
  <c r="AL6" i="1"/>
  <c r="AK6" i="1"/>
  <c r="AJ6" i="1"/>
  <c r="AI6" i="1"/>
  <c r="AH6" i="1"/>
  <c r="AG6" i="1"/>
  <c r="AF6" i="1"/>
  <c r="AE6" i="1"/>
  <c r="R6" i="1"/>
  <c r="Q6" i="1"/>
  <c r="O6" i="1"/>
  <c r="P6" i="1" s="1"/>
  <c r="DJ5" i="1"/>
  <c r="Q5" i="1" s="1"/>
  <c r="DG5" i="1"/>
  <c r="DF5" i="1"/>
  <c r="DF6" i="1" s="1"/>
  <c r="DG6" i="1" s="1"/>
  <c r="DE5" i="1"/>
  <c r="DD5" i="1"/>
  <c r="DC5" i="1"/>
  <c r="DB5" i="1"/>
  <c r="DA5" i="1"/>
  <c r="CZ5" i="1"/>
  <c r="CY5" i="1"/>
  <c r="CX5" i="1"/>
  <c r="CW5" i="1"/>
  <c r="CV5" i="1"/>
  <c r="CU5" i="1"/>
  <c r="CT5" i="1"/>
  <c r="CS5" i="1"/>
  <c r="CR5" i="1"/>
  <c r="CQ5" i="1"/>
  <c r="CP5" i="1"/>
  <c r="CO5" i="1"/>
  <c r="CN5" i="1"/>
  <c r="CM5" i="1"/>
  <c r="CL5" i="1"/>
  <c r="CK5" i="1"/>
  <c r="CJ5" i="1"/>
  <c r="CI5" i="1"/>
  <c r="CH5" i="1"/>
  <c r="CG5" i="1"/>
  <c r="CF5" i="1"/>
  <c r="BR5" i="1"/>
  <c r="BQ5" i="1"/>
  <c r="BP5" i="1"/>
  <c r="BO5" i="1"/>
  <c r="BN5" i="1"/>
  <c r="BM5" i="1"/>
  <c r="BL5" i="1"/>
  <c r="BK5" i="1"/>
  <c r="BJ5" i="1"/>
  <c r="BI5" i="1"/>
  <c r="BH5" i="1"/>
  <c r="BG5" i="1"/>
  <c r="BF5" i="1"/>
  <c r="BE5" i="1"/>
  <c r="BC5" i="1"/>
  <c r="BB5" i="1"/>
  <c r="BA5" i="1"/>
  <c r="AY5" i="1"/>
  <c r="AX5" i="1"/>
  <c r="AW5" i="1"/>
  <c r="AU5" i="1"/>
  <c r="AT5" i="1"/>
  <c r="AS5" i="1"/>
  <c r="AR5" i="1"/>
  <c r="AQ5" i="1"/>
  <c r="AP5" i="1"/>
  <c r="AO5" i="1"/>
  <c r="AN5" i="1"/>
  <c r="AM5" i="1"/>
  <c r="AL5" i="1"/>
  <c r="AK5" i="1"/>
  <c r="AJ5" i="1"/>
  <c r="AI5" i="1"/>
  <c r="AH5" i="1"/>
  <c r="AG5" i="1"/>
  <c r="AF5" i="1"/>
  <c r="AE5" i="1"/>
  <c r="R5" i="1"/>
  <c r="R10" i="1" s="1"/>
  <c r="R13" i="1" s="1"/>
  <c r="R23" i="1" s="1"/>
  <c r="R25" i="1" s="1"/>
  <c r="R28" i="1" s="1"/>
  <c r="R29" i="1" s="1"/>
  <c r="R35" i="1" s="1"/>
  <c r="R36" i="1" s="1"/>
  <c r="R38" i="1" s="1"/>
  <c r="J5" i="1"/>
  <c r="DK4" i="1"/>
  <c r="DJ4" i="1"/>
  <c r="DG4" i="1"/>
  <c r="DF4" i="1"/>
  <c r="DE4" i="1"/>
  <c r="DD4" i="1"/>
  <c r="DC4" i="1"/>
  <c r="DB4" i="1"/>
  <c r="DA4" i="1"/>
  <c r="CZ4" i="1"/>
  <c r="CY4" i="1"/>
  <c r="CX4" i="1"/>
  <c r="CW4" i="1"/>
  <c r="CV4" i="1"/>
  <c r="CU4" i="1"/>
  <c r="CT4" i="1"/>
  <c r="CS4" i="1"/>
  <c r="CR4" i="1"/>
  <c r="CQ4" i="1"/>
  <c r="CP4" i="1"/>
  <c r="CO4" i="1"/>
  <c r="CN4" i="1"/>
  <c r="CM4" i="1"/>
  <c r="CL4" i="1"/>
  <c r="CK4" i="1"/>
  <c r="CJ4" i="1"/>
  <c r="CI4" i="1"/>
  <c r="CH4" i="1"/>
  <c r="CG4" i="1"/>
  <c r="CF4" i="1"/>
  <c r="CE4" i="1"/>
  <c r="CC4" i="1"/>
  <c r="CB4" i="1"/>
  <c r="CA4" i="1"/>
  <c r="BY4" i="1"/>
  <c r="BX4" i="1"/>
  <c r="BW4" i="1"/>
  <c r="BU4" i="1"/>
  <c r="BT4" i="1"/>
  <c r="BS4" i="1"/>
  <c r="BR4" i="1"/>
  <c r="BQ4" i="1"/>
  <c r="BP4" i="1"/>
  <c r="P13" i="2" s="1"/>
  <c r="BO4" i="1"/>
  <c r="P12" i="2" s="1"/>
  <c r="BN4" i="1"/>
  <c r="BM4" i="1"/>
  <c r="BL4" i="1"/>
  <c r="P9" i="2" s="1"/>
  <c r="BK4" i="1"/>
  <c r="P8" i="2" s="1"/>
  <c r="BJ4" i="1"/>
  <c r="BI4" i="1"/>
  <c r="BH4" i="1"/>
  <c r="BG4" i="1"/>
  <c r="BF4" i="1"/>
  <c r="BE4" i="1"/>
  <c r="BD4" i="1"/>
  <c r="BC4" i="1"/>
  <c r="BA4" i="1"/>
  <c r="AZ4" i="1"/>
  <c r="AY4" i="1"/>
  <c r="AW4" i="1"/>
  <c r="AV4" i="1"/>
  <c r="AU4" i="1"/>
  <c r="AS4" i="1"/>
  <c r="AR4" i="1"/>
  <c r="E15" i="2" s="1"/>
  <c r="AQ4" i="1"/>
  <c r="AP4" i="1"/>
  <c r="AO4" i="1"/>
  <c r="AN4" i="1"/>
  <c r="E11" i="2" s="1"/>
  <c r="AM4" i="1"/>
  <c r="AL4" i="1"/>
  <c r="AK4" i="1"/>
  <c r="AJ4" i="1"/>
  <c r="AI4" i="1"/>
  <c r="AH4" i="1"/>
  <c r="AG4" i="1"/>
  <c r="AF4" i="1"/>
  <c r="AE4" i="1"/>
  <c r="Z4" i="1"/>
  <c r="W4" i="1"/>
  <c r="S4" i="1"/>
  <c r="R4" i="1"/>
  <c r="R7" i="1" s="1"/>
  <c r="R8" i="1" s="1"/>
  <c r="F4" i="1"/>
  <c r="E4" i="1"/>
  <c r="B4" i="1"/>
  <c r="DH3" i="1"/>
  <c r="AG19" i="1" l="1"/>
  <c r="P19" i="1"/>
  <c r="BG19" i="1"/>
  <c r="BJ49" i="1"/>
  <c r="P49" i="1"/>
  <c r="AJ49" i="1" s="1"/>
  <c r="BF169" i="1"/>
  <c r="P169" i="1"/>
  <c r="R44" i="1"/>
  <c r="R50" i="1" s="1"/>
  <c r="R56" i="1" s="1"/>
  <c r="R66" i="1" s="1"/>
  <c r="R74" i="1" s="1"/>
  <c r="R47" i="1"/>
  <c r="R134" i="1"/>
  <c r="R137" i="1"/>
  <c r="BI191" i="1"/>
  <c r="P191" i="1"/>
  <c r="AI191" i="1" s="1"/>
  <c r="BM220" i="1"/>
  <c r="P220" i="1"/>
  <c r="R46" i="1"/>
  <c r="R43" i="1"/>
  <c r="R39" i="1"/>
  <c r="R82" i="1"/>
  <c r="R80" i="1"/>
  <c r="AJ25" i="1"/>
  <c r="P25" i="1"/>
  <c r="BJ25" i="1"/>
  <c r="AH79" i="1"/>
  <c r="S79" i="1"/>
  <c r="AJ139" i="1"/>
  <c r="P139" i="1"/>
  <c r="BJ139" i="1"/>
  <c r="BF163" i="1"/>
  <c r="P163" i="1"/>
  <c r="AF163" i="1" s="1"/>
  <c r="BF209" i="1"/>
  <c r="P209" i="1"/>
  <c r="AF209" i="1" s="1"/>
  <c r="P215" i="1"/>
  <c r="AG215" i="1" s="1"/>
  <c r="BG215" i="1"/>
  <c r="P223" i="1"/>
  <c r="BG223" i="1"/>
  <c r="BF227" i="1"/>
  <c r="P227" i="1"/>
  <c r="AF227" i="1"/>
  <c r="AJ28" i="1"/>
  <c r="P28" i="1"/>
  <c r="BJ28" i="1"/>
  <c r="R59" i="1"/>
  <c r="R62" i="1"/>
  <c r="R67" i="1" s="1"/>
  <c r="R70" i="1" s="1"/>
  <c r="BQ103" i="1"/>
  <c r="P103" i="1"/>
  <c r="AQ103" i="1" s="1"/>
  <c r="AM154" i="1"/>
  <c r="BJ157" i="1"/>
  <c r="AJ157" i="1"/>
  <c r="P157" i="1"/>
  <c r="BM179" i="1"/>
  <c r="P179" i="1"/>
  <c r="AM179" i="1"/>
  <c r="BJ229" i="1"/>
  <c r="P229" i="1"/>
  <c r="DG8" i="1"/>
  <c r="DF9" i="1"/>
  <c r="BB15" i="1"/>
  <c r="AX15" i="1"/>
  <c r="AT15" i="1"/>
  <c r="BB14" i="1"/>
  <c r="AX14" i="1"/>
  <c r="AT14" i="1"/>
  <c r="CC13" i="1"/>
  <c r="BY13" i="1"/>
  <c r="BU13" i="1"/>
  <c r="BE13" i="1"/>
  <c r="BA13" i="1"/>
  <c r="AW13" i="1"/>
  <c r="AS13" i="1"/>
  <c r="BE15" i="1"/>
  <c r="AW15" i="1"/>
  <c r="CB13" i="1"/>
  <c r="BT13" i="1"/>
  <c r="BD13" i="1"/>
  <c r="AV13" i="1"/>
  <c r="BA15" i="1"/>
  <c r="AS15" i="1"/>
  <c r="BE14" i="1"/>
  <c r="BA14" i="1"/>
  <c r="AW14" i="1"/>
  <c r="AS14" i="1"/>
  <c r="BX13" i="1"/>
  <c r="AZ13" i="1"/>
  <c r="AU13" i="1"/>
  <c r="BC13" i="1"/>
  <c r="CE13" i="1"/>
  <c r="M15" i="2" s="1"/>
  <c r="AZ14" i="1"/>
  <c r="AZ15" i="1"/>
  <c r="BB18" i="1"/>
  <c r="AX18" i="1"/>
  <c r="AT18" i="1"/>
  <c r="BE17" i="1"/>
  <c r="BA17" i="1"/>
  <c r="AW17" i="1"/>
  <c r="AS17" i="1"/>
  <c r="CD16" i="1"/>
  <c r="BZ16" i="1"/>
  <c r="BV16" i="1"/>
  <c r="BB16" i="1"/>
  <c r="AX16" i="1"/>
  <c r="AT16" i="1"/>
  <c r="BA18" i="1"/>
  <c r="AV17" i="1"/>
  <c r="CC16" i="1"/>
  <c r="BU16" i="1"/>
  <c r="BE16" i="1"/>
  <c r="BA16" i="1"/>
  <c r="AS16" i="1"/>
  <c r="BE18" i="1"/>
  <c r="AW18" i="1"/>
  <c r="AS18" i="1"/>
  <c r="BD17" i="1"/>
  <c r="AZ17" i="1"/>
  <c r="BY16" i="1"/>
  <c r="AW16" i="1"/>
  <c r="AV16" i="1"/>
  <c r="BD16" i="1"/>
  <c r="BW16" i="1"/>
  <c r="CE16" i="1"/>
  <c r="AY17" i="1"/>
  <c r="O18" i="1"/>
  <c r="AV18" i="1"/>
  <c r="BD18" i="1"/>
  <c r="F19" i="1"/>
  <c r="BE24" i="1"/>
  <c r="BA24" i="1"/>
  <c r="AW24" i="1"/>
  <c r="AS24" i="1"/>
  <c r="BD23" i="1"/>
  <c r="AZ23" i="1"/>
  <c r="AV23" i="1"/>
  <c r="CD22" i="1"/>
  <c r="BZ22" i="1"/>
  <c r="BV22" i="1"/>
  <c r="BB22" i="1"/>
  <c r="AX22" i="1"/>
  <c r="AT22" i="1"/>
  <c r="BD24" i="1"/>
  <c r="AZ24" i="1"/>
  <c r="AV24" i="1"/>
  <c r="BC23" i="1"/>
  <c r="AY23" i="1"/>
  <c r="AU23" i="1"/>
  <c r="CC22" i="1"/>
  <c r="BY22" i="1"/>
  <c r="BU22" i="1"/>
  <c r="BE22" i="1"/>
  <c r="BA22" i="1"/>
  <c r="AW22" i="1"/>
  <c r="AS22" i="1"/>
  <c r="AY22" i="1"/>
  <c r="BS22" i="1"/>
  <c r="CA22" i="1"/>
  <c r="AS23" i="1"/>
  <c r="BA23" i="1"/>
  <c r="AX24" i="1"/>
  <c r="O27" i="1"/>
  <c r="P27" i="1" s="1"/>
  <c r="O26" i="1"/>
  <c r="F28" i="1"/>
  <c r="BJ39" i="1"/>
  <c r="AV49" i="1"/>
  <c r="BD49" i="1"/>
  <c r="BX49" i="1"/>
  <c r="AW50" i="1"/>
  <c r="BE50" i="1"/>
  <c r="AS51" i="1"/>
  <c r="O54" i="1"/>
  <c r="P54" i="1" s="1"/>
  <c r="AS55" i="1"/>
  <c r="BA55" i="1"/>
  <c r="BU55" i="1"/>
  <c r="CC55" i="1"/>
  <c r="AT56" i="1"/>
  <c r="BB56" i="1"/>
  <c r="AW57" i="1"/>
  <c r="BC69" i="1"/>
  <c r="AY69" i="1"/>
  <c r="AU69" i="1"/>
  <c r="BC68" i="1"/>
  <c r="AY68" i="1"/>
  <c r="AU68" i="1"/>
  <c r="CC67" i="1"/>
  <c r="BY67" i="1"/>
  <c r="BU67" i="1"/>
  <c r="BE67" i="1"/>
  <c r="BA67" i="1"/>
  <c r="AW67" i="1"/>
  <c r="AS67" i="1"/>
  <c r="BB69" i="1"/>
  <c r="AX69" i="1"/>
  <c r="AT69" i="1"/>
  <c r="BB68" i="1"/>
  <c r="AX68" i="1"/>
  <c r="AT68" i="1"/>
  <c r="CB67" i="1"/>
  <c r="BX67" i="1"/>
  <c r="BT67" i="1"/>
  <c r="BD67" i="1"/>
  <c r="AZ67" i="1"/>
  <c r="AV67" i="1"/>
  <c r="AU67" i="1"/>
  <c r="BC67" i="1"/>
  <c r="BW67" i="1"/>
  <c r="CE67" i="1"/>
  <c r="AS68" i="1"/>
  <c r="BA68" i="1"/>
  <c r="AZ69" i="1"/>
  <c r="O72" i="1"/>
  <c r="P72" i="1" s="1"/>
  <c r="AU73" i="1"/>
  <c r="BC73" i="1"/>
  <c r="BW73" i="1"/>
  <c r="CE73" i="1"/>
  <c r="AV74" i="1"/>
  <c r="BD74" i="1"/>
  <c r="BH79" i="1"/>
  <c r="BQ83" i="1"/>
  <c r="P83" i="1"/>
  <c r="AQ83" i="1" s="1"/>
  <c r="BD90" i="1"/>
  <c r="AZ90" i="1"/>
  <c r="AV90" i="1"/>
  <c r="BC89" i="1"/>
  <c r="AY89" i="1"/>
  <c r="AU89" i="1"/>
  <c r="CC88" i="1"/>
  <c r="BY88" i="1"/>
  <c r="BU88" i="1"/>
  <c r="BE88" i="1"/>
  <c r="BA88" i="1"/>
  <c r="AW88" i="1"/>
  <c r="AS88" i="1"/>
  <c r="BC90" i="1"/>
  <c r="AY90" i="1"/>
  <c r="AU90" i="1"/>
  <c r="BB89" i="1"/>
  <c r="AX89" i="1"/>
  <c r="AT89" i="1"/>
  <c r="CB88" i="1"/>
  <c r="BX88" i="1"/>
  <c r="BT88" i="1"/>
  <c r="BD88" i="1"/>
  <c r="AZ88" i="1"/>
  <c r="AV88" i="1"/>
  <c r="AT88" i="1"/>
  <c r="BB88" i="1"/>
  <c r="BV88" i="1"/>
  <c r="AS89" i="1"/>
  <c r="BA89" i="1"/>
  <c r="AX90" i="1"/>
  <c r="BE102" i="1"/>
  <c r="BA102" i="1"/>
  <c r="AW102" i="1"/>
  <c r="AS102" i="1"/>
  <c r="BD101" i="1"/>
  <c r="AZ101" i="1"/>
  <c r="AV101" i="1"/>
  <c r="CC100" i="1"/>
  <c r="BY100" i="1"/>
  <c r="BU100" i="1"/>
  <c r="BE100" i="1"/>
  <c r="BA100" i="1"/>
  <c r="AW100" i="1"/>
  <c r="AS100" i="1"/>
  <c r="BD102" i="1"/>
  <c r="AZ102" i="1"/>
  <c r="AV102" i="1"/>
  <c r="BC101" i="1"/>
  <c r="AY101" i="1"/>
  <c r="AU101" i="1"/>
  <c r="CB100" i="1"/>
  <c r="BX100" i="1"/>
  <c r="BT100" i="1"/>
  <c r="BD100" i="1"/>
  <c r="AZ100" i="1"/>
  <c r="AV100" i="1"/>
  <c r="AT100" i="1"/>
  <c r="BB100" i="1"/>
  <c r="BW100" i="1"/>
  <c r="CE100" i="1"/>
  <c r="AW101" i="1"/>
  <c r="BE101" i="1"/>
  <c r="AX102" i="1"/>
  <c r="O105" i="1"/>
  <c r="P105" i="1" s="1"/>
  <c r="O104" i="1"/>
  <c r="R502" i="1"/>
  <c r="R496" i="1"/>
  <c r="BB111" i="1"/>
  <c r="AX111" i="1"/>
  <c r="AT111" i="1"/>
  <c r="BB110" i="1"/>
  <c r="AX110" i="1"/>
  <c r="AT110" i="1"/>
  <c r="CC109" i="1"/>
  <c r="BY109" i="1"/>
  <c r="BU109" i="1"/>
  <c r="BE109" i="1"/>
  <c r="BA109" i="1"/>
  <c r="AW109" i="1"/>
  <c r="AS109" i="1"/>
  <c r="BE111" i="1"/>
  <c r="BA111" i="1"/>
  <c r="AW111" i="1"/>
  <c r="AS111" i="1"/>
  <c r="BE110" i="1"/>
  <c r="BA110" i="1"/>
  <c r="AW110" i="1"/>
  <c r="AS110" i="1"/>
  <c r="CB109" i="1"/>
  <c r="BX109" i="1"/>
  <c r="BT109" i="1"/>
  <c r="BD109" i="1"/>
  <c r="AZ109" i="1"/>
  <c r="AV109" i="1"/>
  <c r="AU109" i="1"/>
  <c r="BC109" i="1"/>
  <c r="BW109" i="1"/>
  <c r="CE109" i="1"/>
  <c r="AZ110" i="1"/>
  <c r="AZ111" i="1"/>
  <c r="BE114" i="1"/>
  <c r="BA114" i="1"/>
  <c r="AW114" i="1"/>
  <c r="AS114" i="1"/>
  <c r="BD113" i="1"/>
  <c r="AZ113" i="1"/>
  <c r="AV113" i="1"/>
  <c r="CD112" i="1"/>
  <c r="BZ112" i="1"/>
  <c r="BV112" i="1"/>
  <c r="BB112" i="1"/>
  <c r="AX112" i="1"/>
  <c r="AT112" i="1"/>
  <c r="BD114" i="1"/>
  <c r="AZ114" i="1"/>
  <c r="AV114" i="1"/>
  <c r="BC113" i="1"/>
  <c r="AY113" i="1"/>
  <c r="AU113" i="1"/>
  <c r="CC112" i="1"/>
  <c r="BY112" i="1"/>
  <c r="BU112" i="1"/>
  <c r="BE112" i="1"/>
  <c r="BA112" i="1"/>
  <c r="AW112" i="1"/>
  <c r="AS112" i="1"/>
  <c r="AF113" i="1"/>
  <c r="P113" i="1"/>
  <c r="AY112" i="1"/>
  <c r="BS112" i="1"/>
  <c r="CA112" i="1"/>
  <c r="AS113" i="1"/>
  <c r="BA113" i="1"/>
  <c r="AX114" i="1"/>
  <c r="BD120" i="1"/>
  <c r="AZ120" i="1"/>
  <c r="AV120" i="1"/>
  <c r="BC119" i="1"/>
  <c r="AY119" i="1"/>
  <c r="AU119" i="1"/>
  <c r="CC118" i="1"/>
  <c r="BY118" i="1"/>
  <c r="BU118" i="1"/>
  <c r="BE118" i="1"/>
  <c r="BA118" i="1"/>
  <c r="AW118" i="1"/>
  <c r="AS118" i="1"/>
  <c r="BC120" i="1"/>
  <c r="AY120" i="1"/>
  <c r="AU120" i="1"/>
  <c r="BB119" i="1"/>
  <c r="AX119" i="1"/>
  <c r="AT119" i="1"/>
  <c r="CB118" i="1"/>
  <c r="BX118" i="1"/>
  <c r="BT118" i="1"/>
  <c r="BD118" i="1"/>
  <c r="AZ118" i="1"/>
  <c r="AV118" i="1"/>
  <c r="S118" i="1"/>
  <c r="AT118" i="1"/>
  <c r="BB118" i="1"/>
  <c r="BW118" i="1"/>
  <c r="CE118" i="1"/>
  <c r="AS119" i="1"/>
  <c r="BA119" i="1"/>
  <c r="AS120" i="1"/>
  <c r="BA120" i="1"/>
  <c r="AJ124" i="1"/>
  <c r="P124" i="1"/>
  <c r="O125" i="1"/>
  <c r="O126" i="1"/>
  <c r="P126" i="1" s="1"/>
  <c r="CA124" i="1"/>
  <c r="AW125" i="1"/>
  <c r="BE125" i="1"/>
  <c r="AW126" i="1"/>
  <c r="BD132" i="1"/>
  <c r="AZ132" i="1"/>
  <c r="AV132" i="1"/>
  <c r="BC131" i="1"/>
  <c r="AY131" i="1"/>
  <c r="AU131" i="1"/>
  <c r="CC130" i="1"/>
  <c r="BY130" i="1"/>
  <c r="BU130" i="1"/>
  <c r="BE130" i="1"/>
  <c r="BA130" i="1"/>
  <c r="AW130" i="1"/>
  <c r="AS130" i="1"/>
  <c r="BC132" i="1"/>
  <c r="AY132" i="1"/>
  <c r="AU132" i="1"/>
  <c r="BB131" i="1"/>
  <c r="AX131" i="1"/>
  <c r="AT131" i="1"/>
  <c r="CB130" i="1"/>
  <c r="BX130" i="1"/>
  <c r="BT130" i="1"/>
  <c r="BD130" i="1"/>
  <c r="AZ130" i="1"/>
  <c r="AV130" i="1"/>
  <c r="AT130" i="1"/>
  <c r="BB130" i="1"/>
  <c r="CE130" i="1"/>
  <c r="AS131" i="1"/>
  <c r="BA131" i="1"/>
  <c r="AT132" i="1"/>
  <c r="BB132" i="1"/>
  <c r="BE138" i="1"/>
  <c r="BA138" i="1"/>
  <c r="AW138" i="1"/>
  <c r="AS138" i="1"/>
  <c r="BD137" i="1"/>
  <c r="AZ137" i="1"/>
  <c r="AV137" i="1"/>
  <c r="CD136" i="1"/>
  <c r="BV136" i="1"/>
  <c r="BB136" i="1"/>
  <c r="AX136" i="1"/>
  <c r="AT136" i="1"/>
  <c r="BD138" i="1"/>
  <c r="AZ138" i="1"/>
  <c r="AV138" i="1"/>
  <c r="BC137" i="1"/>
  <c r="AY137" i="1"/>
  <c r="AU137" i="1"/>
  <c r="CC136" i="1"/>
  <c r="BY136" i="1"/>
  <c r="BU136" i="1"/>
  <c r="BE136" i="1"/>
  <c r="BA136" i="1"/>
  <c r="AW136" i="1"/>
  <c r="AS136" i="1"/>
  <c r="AY136" i="1"/>
  <c r="BS136" i="1"/>
  <c r="CA136" i="1"/>
  <c r="AS137" i="1"/>
  <c r="BA137" i="1"/>
  <c r="AX138" i="1"/>
  <c r="O141" i="1"/>
  <c r="P141" i="1" s="1"/>
  <c r="O140" i="1"/>
  <c r="BE147" i="1"/>
  <c r="BA147" i="1"/>
  <c r="AW147" i="1"/>
  <c r="AS147" i="1"/>
  <c r="BE146" i="1"/>
  <c r="BA146" i="1"/>
  <c r="AW146" i="1"/>
  <c r="AS146" i="1"/>
  <c r="CB145" i="1"/>
  <c r="BX145" i="1"/>
  <c r="BT145" i="1"/>
  <c r="BD145" i="1"/>
  <c r="AZ145" i="1"/>
  <c r="AV145" i="1"/>
  <c r="BD147" i="1"/>
  <c r="AZ147" i="1"/>
  <c r="AV147" i="1"/>
  <c r="BD146" i="1"/>
  <c r="AZ146" i="1"/>
  <c r="AV146" i="1"/>
  <c r="CE145" i="1"/>
  <c r="CA145" i="1"/>
  <c r="BW145" i="1"/>
  <c r="BS145" i="1"/>
  <c r="BC145" i="1"/>
  <c r="AY145" i="1"/>
  <c r="AU145" i="1"/>
  <c r="S145" i="1"/>
  <c r="AX145" i="1"/>
  <c r="BU145" i="1"/>
  <c r="CC145" i="1"/>
  <c r="AY146" i="1"/>
  <c r="AX147" i="1"/>
  <c r="O150" i="1"/>
  <c r="O148" i="1"/>
  <c r="AY149" i="1"/>
  <c r="AV150" i="1"/>
  <c r="AV157" i="1"/>
  <c r="BD157" i="1"/>
  <c r="BX157" i="1"/>
  <c r="AV158" i="1"/>
  <c r="BD158" i="1"/>
  <c r="AS159" i="1"/>
  <c r="AZ163" i="1"/>
  <c r="BT163" i="1"/>
  <c r="CB163" i="1"/>
  <c r="AZ164" i="1"/>
  <c r="AW165" i="1"/>
  <c r="BE165" i="1"/>
  <c r="O167" i="1"/>
  <c r="BC169" i="1"/>
  <c r="CE169" i="1"/>
  <c r="AV175" i="1"/>
  <c r="BE176" i="1"/>
  <c r="AW177" i="1"/>
  <c r="AY187" i="1"/>
  <c r="CA187" i="1"/>
  <c r="BA188" i="1"/>
  <c r="BA189" i="1"/>
  <c r="O198" i="1"/>
  <c r="P198" i="1" s="1"/>
  <c r="O196" i="1"/>
  <c r="DJ230" i="1"/>
  <c r="AX238" i="1"/>
  <c r="CE238" i="1"/>
  <c r="BB239" i="1"/>
  <c r="AT240" i="1"/>
  <c r="AS244" i="1"/>
  <c r="BZ244" i="1"/>
  <c r="BA245" i="1"/>
  <c r="AF275" i="1"/>
  <c r="S274" i="1"/>
  <c r="L10" i="2"/>
  <c r="AX13" i="1"/>
  <c r="BZ13" i="1"/>
  <c r="AU14" i="1"/>
  <c r="BX16" i="1"/>
  <c r="AT17" i="1"/>
  <c r="AY18" i="1"/>
  <c r="BJ46" i="1"/>
  <c r="O48" i="1"/>
  <c r="P48" i="1" s="1"/>
  <c r="BC51" i="1"/>
  <c r="AY51" i="1"/>
  <c r="AU51" i="1"/>
  <c r="BC50" i="1"/>
  <c r="AY50" i="1"/>
  <c r="AU50" i="1"/>
  <c r="CD49" i="1"/>
  <c r="BZ49" i="1"/>
  <c r="BV49" i="1"/>
  <c r="BB49" i="1"/>
  <c r="AX49" i="1"/>
  <c r="AT49" i="1"/>
  <c r="BB51" i="1"/>
  <c r="AX51" i="1"/>
  <c r="AT51" i="1"/>
  <c r="BB50" i="1"/>
  <c r="AX50" i="1"/>
  <c r="AT50" i="1"/>
  <c r="CC49" i="1"/>
  <c r="BY49" i="1"/>
  <c r="BU49" i="1"/>
  <c r="BE49" i="1"/>
  <c r="BA49" i="1"/>
  <c r="AW49" i="1"/>
  <c r="AS49" i="1"/>
  <c r="O51" i="1"/>
  <c r="P51" i="1" s="1"/>
  <c r="O50" i="1"/>
  <c r="AY49" i="1"/>
  <c r="BS49" i="1"/>
  <c r="CA49" i="1"/>
  <c r="AZ50" i="1"/>
  <c r="AV51" i="1"/>
  <c r="BD51" i="1"/>
  <c r="BD57" i="1"/>
  <c r="AZ57" i="1"/>
  <c r="AV57" i="1"/>
  <c r="BD56" i="1"/>
  <c r="AZ56" i="1"/>
  <c r="AV56" i="1"/>
  <c r="DK55" i="1"/>
  <c r="CE55" i="1"/>
  <c r="CA55" i="1"/>
  <c r="BW55" i="1"/>
  <c r="BS55" i="1"/>
  <c r="BC55" i="1"/>
  <c r="AY55" i="1"/>
  <c r="AU55" i="1"/>
  <c r="S55" i="1"/>
  <c r="T55" i="1" s="1"/>
  <c r="BC57" i="1"/>
  <c r="AY57" i="1"/>
  <c r="AU57" i="1"/>
  <c r="BC56" i="1"/>
  <c r="AY56" i="1"/>
  <c r="AU56" i="1"/>
  <c r="CD55" i="1"/>
  <c r="BZ55" i="1"/>
  <c r="BV55" i="1"/>
  <c r="BB55" i="1"/>
  <c r="AX55" i="1"/>
  <c r="AT55" i="1"/>
  <c r="AV55" i="1"/>
  <c r="BD55" i="1"/>
  <c r="BX55" i="1"/>
  <c r="AW56" i="1"/>
  <c r="BE56" i="1"/>
  <c r="AX57" i="1"/>
  <c r="O60" i="1"/>
  <c r="P60" i="1" s="1"/>
  <c r="O58" i="1"/>
  <c r="BQ66" i="1"/>
  <c r="P66" i="1"/>
  <c r="AQ66" i="1" s="1"/>
  <c r="BC75" i="1"/>
  <c r="AY75" i="1"/>
  <c r="AU75" i="1"/>
  <c r="BC74" i="1"/>
  <c r="AY74" i="1"/>
  <c r="AU74" i="1"/>
  <c r="CD73" i="1"/>
  <c r="BZ73" i="1"/>
  <c r="BB73" i="1"/>
  <c r="AX73" i="1"/>
  <c r="AT73" i="1"/>
  <c r="BB75" i="1"/>
  <c r="AX75" i="1"/>
  <c r="AT75" i="1"/>
  <c r="BB74" i="1"/>
  <c r="AX74" i="1"/>
  <c r="AT74" i="1"/>
  <c r="CC73" i="1"/>
  <c r="BY73" i="1"/>
  <c r="BU73" i="1"/>
  <c r="BE73" i="1"/>
  <c r="BA73" i="1"/>
  <c r="AW73" i="1"/>
  <c r="AS73" i="1"/>
  <c r="AV73" i="1"/>
  <c r="BD73" i="1"/>
  <c r="BX73" i="1"/>
  <c r="AW74" i="1"/>
  <c r="BE74" i="1"/>
  <c r="AS75" i="1"/>
  <c r="BA75" i="1"/>
  <c r="O78" i="1"/>
  <c r="P78" i="1" s="1"/>
  <c r="F85" i="1"/>
  <c r="P97" i="1"/>
  <c r="AM97" i="1"/>
  <c r="O99" i="1"/>
  <c r="P99" i="1" s="1"/>
  <c r="AJ115" i="1"/>
  <c r="P115" i="1"/>
  <c r="O117" i="1"/>
  <c r="P117" i="1" s="1"/>
  <c r="O129" i="1"/>
  <c r="P129" i="1" s="1"/>
  <c r="DJ138" i="1"/>
  <c r="DJ136" i="1"/>
  <c r="D139" i="1"/>
  <c r="O156" i="1"/>
  <c r="P156" i="1" s="1"/>
  <c r="BC159" i="1"/>
  <c r="AY159" i="1"/>
  <c r="AU159" i="1"/>
  <c r="BC158" i="1"/>
  <c r="AY158" i="1"/>
  <c r="AU158" i="1"/>
  <c r="CD157" i="1"/>
  <c r="BZ157" i="1"/>
  <c r="BV157" i="1"/>
  <c r="BB157" i="1"/>
  <c r="AX157" i="1"/>
  <c r="AT157" i="1"/>
  <c r="BB159" i="1"/>
  <c r="AX159" i="1"/>
  <c r="AT159" i="1"/>
  <c r="BB158" i="1"/>
  <c r="AX158" i="1"/>
  <c r="AT158" i="1"/>
  <c r="CC157" i="1"/>
  <c r="BY157" i="1"/>
  <c r="BU157" i="1"/>
  <c r="BE157" i="1"/>
  <c r="BA157" i="1"/>
  <c r="AW157" i="1"/>
  <c r="AS157" i="1"/>
  <c r="O159" i="1"/>
  <c r="P159" i="1" s="1"/>
  <c r="O158" i="1"/>
  <c r="AY157" i="1"/>
  <c r="CA157" i="1"/>
  <c r="AW158" i="1"/>
  <c r="BE158" i="1"/>
  <c r="AV159" i="1"/>
  <c r="BD159" i="1"/>
  <c r="AU163" i="1"/>
  <c r="BC163" i="1"/>
  <c r="BW163" i="1"/>
  <c r="CE163" i="1"/>
  <c r="AS164" i="1"/>
  <c r="BA164" i="1"/>
  <c r="AZ165" i="1"/>
  <c r="O171" i="1"/>
  <c r="P171" i="1" s="1"/>
  <c r="O170" i="1"/>
  <c r="AZ175" i="1"/>
  <c r="BX175" i="1"/>
  <c r="AS176" i="1"/>
  <c r="BA177" i="1"/>
  <c r="BJ186" i="1"/>
  <c r="P186" i="1"/>
  <c r="AJ186" i="1"/>
  <c r="BF187" i="1"/>
  <c r="P187" i="1"/>
  <c r="AF187" i="1" s="1"/>
  <c r="BC187" i="1"/>
  <c r="CE187" i="1"/>
  <c r="BE188" i="1"/>
  <c r="BE189" i="1"/>
  <c r="R253" i="1"/>
  <c r="R279" i="1" s="1"/>
  <c r="R296" i="1" s="1"/>
  <c r="R250" i="1"/>
  <c r="BG203" i="1"/>
  <c r="O216" i="1"/>
  <c r="P216" i="1" s="1"/>
  <c r="O214" i="1"/>
  <c r="BQ217" i="1"/>
  <c r="P217" i="1"/>
  <c r="O228" i="1"/>
  <c r="P228" i="1" s="1"/>
  <c r="O226" i="1"/>
  <c r="O230" i="1"/>
  <c r="O231" i="1"/>
  <c r="P231" i="1" s="1"/>
  <c r="BG242" i="1"/>
  <c r="P242" i="1"/>
  <c r="AG242" i="1"/>
  <c r="BC246" i="1"/>
  <c r="AY246" i="1"/>
  <c r="AU246" i="1"/>
  <c r="BB245" i="1"/>
  <c r="AX245" i="1"/>
  <c r="AT245" i="1"/>
  <c r="CB244" i="1"/>
  <c r="BX244" i="1"/>
  <c r="BD244" i="1"/>
  <c r="AZ244" i="1"/>
  <c r="AV244" i="1"/>
  <c r="BB246" i="1"/>
  <c r="AW246" i="1"/>
  <c r="BE245" i="1"/>
  <c r="AZ245" i="1"/>
  <c r="AU245" i="1"/>
  <c r="CD244" i="1"/>
  <c r="BY244" i="1"/>
  <c r="BB244" i="1"/>
  <c r="AW244" i="1"/>
  <c r="BE246" i="1"/>
  <c r="AZ246" i="1"/>
  <c r="AT246" i="1"/>
  <c r="BC245" i="1"/>
  <c r="AW245" i="1"/>
  <c r="CA244" i="1"/>
  <c r="BV244" i="1"/>
  <c r="BE244" i="1"/>
  <c r="AY244" i="1"/>
  <c r="AT244" i="1"/>
  <c r="BA246" i="1"/>
  <c r="AV246" i="1"/>
  <c r="BD245" i="1"/>
  <c r="AY245" i="1"/>
  <c r="AS245" i="1"/>
  <c r="CC244" i="1"/>
  <c r="BW244" i="1"/>
  <c r="BA244" i="1"/>
  <c r="AU244" i="1"/>
  <c r="AX244" i="1"/>
  <c r="CE244" i="1"/>
  <c r="AX246" i="1"/>
  <c r="BF266" i="1"/>
  <c r="AF266" i="1"/>
  <c r="P266" i="1"/>
  <c r="P437" i="1"/>
  <c r="AQ437" i="1" s="1"/>
  <c r="BQ437" i="1"/>
  <c r="L4" i="2"/>
  <c r="L8" i="2"/>
  <c r="L14" i="2"/>
  <c r="DG7" i="1"/>
  <c r="AY16" i="1"/>
  <c r="BB17" i="1"/>
  <c r="AB4" i="1"/>
  <c r="T4" i="1"/>
  <c r="K3" i="2"/>
  <c r="K7" i="2"/>
  <c r="K13" i="2"/>
  <c r="O9" i="1"/>
  <c r="P9" i="1" s="1"/>
  <c r="O8" i="1"/>
  <c r="P8" i="1" s="1"/>
  <c r="AF11" i="1"/>
  <c r="P11" i="1"/>
  <c r="AY10" i="1"/>
  <c r="BS10" i="1"/>
  <c r="CA10" i="1"/>
  <c r="AS11" i="1"/>
  <c r="BA11" i="1"/>
  <c r="O15" i="1"/>
  <c r="P15" i="1" s="1"/>
  <c r="O14" i="1"/>
  <c r="S13" i="1" s="1"/>
  <c r="AY13" i="1"/>
  <c r="BS13" i="1"/>
  <c r="CA13" i="1"/>
  <c r="AV14" i="1"/>
  <c r="BD14" i="1"/>
  <c r="AV15" i="1"/>
  <c r="BD15" i="1"/>
  <c r="AZ16" i="1"/>
  <c r="BS16" i="1"/>
  <c r="CA16" i="1"/>
  <c r="O17" i="1"/>
  <c r="AU17" i="1"/>
  <c r="BC17" i="1"/>
  <c r="AZ18" i="1"/>
  <c r="BB21" i="1"/>
  <c r="AX21" i="1"/>
  <c r="AT21" i="1"/>
  <c r="BB20" i="1"/>
  <c r="AX20" i="1"/>
  <c r="AT20" i="1"/>
  <c r="CC19" i="1"/>
  <c r="BY19" i="1"/>
  <c r="BU19" i="1"/>
  <c r="BE19" i="1"/>
  <c r="BA19" i="1"/>
  <c r="AW19" i="1"/>
  <c r="AS19" i="1"/>
  <c r="BE21" i="1"/>
  <c r="BA21" i="1"/>
  <c r="AW21" i="1"/>
  <c r="AS21" i="1"/>
  <c r="BE20" i="1"/>
  <c r="BA20" i="1"/>
  <c r="AW20" i="1"/>
  <c r="AS20" i="1"/>
  <c r="CB19" i="1"/>
  <c r="BX19" i="1"/>
  <c r="BT19" i="1"/>
  <c r="BD19" i="1"/>
  <c r="AZ19" i="1"/>
  <c r="AV19" i="1"/>
  <c r="AT19" i="1"/>
  <c r="BB19" i="1"/>
  <c r="BV19" i="1"/>
  <c r="BD20" i="1"/>
  <c r="AV21" i="1"/>
  <c r="BC22" i="1"/>
  <c r="BE23" i="1"/>
  <c r="AT24" i="1"/>
  <c r="BB24" i="1"/>
  <c r="AU25" i="1"/>
  <c r="BD30" i="1"/>
  <c r="AZ30" i="1"/>
  <c r="AV30" i="1"/>
  <c r="BC29" i="1"/>
  <c r="AY29" i="1"/>
  <c r="AU29" i="1"/>
  <c r="CC28" i="1"/>
  <c r="BY28" i="1"/>
  <c r="BU28" i="1"/>
  <c r="BE28" i="1"/>
  <c r="BA28" i="1"/>
  <c r="AW28" i="1"/>
  <c r="AS28" i="1"/>
  <c r="BC30" i="1"/>
  <c r="AY30" i="1"/>
  <c r="AU30" i="1"/>
  <c r="BB29" i="1"/>
  <c r="AX29" i="1"/>
  <c r="AT29" i="1"/>
  <c r="CB28" i="1"/>
  <c r="BX28" i="1"/>
  <c r="BT28" i="1"/>
  <c r="BD28" i="1"/>
  <c r="AZ28" i="1"/>
  <c r="AV28" i="1"/>
  <c r="BV28" i="1"/>
  <c r="O36" i="1"/>
  <c r="O34" i="1"/>
  <c r="O42" i="1"/>
  <c r="O40" i="1"/>
  <c r="S49" i="1"/>
  <c r="AZ49" i="1"/>
  <c r="BT49" i="1"/>
  <c r="CB49" i="1"/>
  <c r="AS50" i="1"/>
  <c r="BA50" i="1"/>
  <c r="AW51" i="1"/>
  <c r="BE51" i="1"/>
  <c r="O53" i="1"/>
  <c r="AW55" i="1"/>
  <c r="BE55" i="1"/>
  <c r="BY55" i="1"/>
  <c r="AX56" i="1"/>
  <c r="AS57" i="1"/>
  <c r="BA57" i="1"/>
  <c r="DJ61" i="1"/>
  <c r="P61" i="1"/>
  <c r="O63" i="1"/>
  <c r="P63" i="1" s="1"/>
  <c r="O62" i="1"/>
  <c r="O64" i="1"/>
  <c r="O69" i="1"/>
  <c r="O68" i="1"/>
  <c r="AY67" i="1"/>
  <c r="CA67" i="1"/>
  <c r="AW68" i="1"/>
  <c r="BE68" i="1"/>
  <c r="AV69" i="1"/>
  <c r="BD69" i="1"/>
  <c r="O71" i="1"/>
  <c r="O75" i="1"/>
  <c r="P75" i="1" s="1"/>
  <c r="O74" i="1"/>
  <c r="AY73" i="1"/>
  <c r="BS73" i="1"/>
  <c r="CA73" i="1"/>
  <c r="AZ74" i="1"/>
  <c r="AV75" i="1"/>
  <c r="BD75" i="1"/>
  <c r="P76" i="1"/>
  <c r="AQ76" i="1" s="1"/>
  <c r="BC81" i="1"/>
  <c r="AY81" i="1"/>
  <c r="AU81" i="1"/>
  <c r="BC80" i="1"/>
  <c r="AY80" i="1"/>
  <c r="AU80" i="1"/>
  <c r="CD79" i="1"/>
  <c r="BZ79" i="1"/>
  <c r="BV79" i="1"/>
  <c r="BB79" i="1"/>
  <c r="AX79" i="1"/>
  <c r="AT79" i="1"/>
  <c r="BB81" i="1"/>
  <c r="AX81" i="1"/>
  <c r="AT81" i="1"/>
  <c r="BB80" i="1"/>
  <c r="AX80" i="1"/>
  <c r="AT80" i="1"/>
  <c r="CC79" i="1"/>
  <c r="BY79" i="1"/>
  <c r="BU79" i="1"/>
  <c r="BE79" i="1"/>
  <c r="BA79" i="1"/>
  <c r="AW79" i="1"/>
  <c r="AS79" i="1"/>
  <c r="AY79" i="1"/>
  <c r="BX79" i="1"/>
  <c r="AV80" i="1"/>
  <c r="BD80" i="1"/>
  <c r="AS81" i="1"/>
  <c r="BA81" i="1"/>
  <c r="O84" i="1"/>
  <c r="P84" i="1" s="1"/>
  <c r="AG85" i="1"/>
  <c r="P85" i="1"/>
  <c r="O87" i="1"/>
  <c r="P87" i="1" s="1"/>
  <c r="O86" i="1"/>
  <c r="BG85" i="1"/>
  <c r="F88" i="1"/>
  <c r="AX88" i="1"/>
  <c r="BZ88" i="1"/>
  <c r="AW89" i="1"/>
  <c r="BE89" i="1"/>
  <c r="AT90" i="1"/>
  <c r="BB90" i="1"/>
  <c r="O98" i="1"/>
  <c r="BM100" i="1"/>
  <c r="P100" i="1"/>
  <c r="AM100" i="1"/>
  <c r="AX100" i="1"/>
  <c r="CA100" i="1"/>
  <c r="AS101" i="1"/>
  <c r="BA101" i="1"/>
  <c r="AT102" i="1"/>
  <c r="BB102" i="1"/>
  <c r="BB105" i="1"/>
  <c r="AX105" i="1"/>
  <c r="AT105" i="1"/>
  <c r="BB104" i="1"/>
  <c r="AX104" i="1"/>
  <c r="AT104" i="1"/>
  <c r="CC103" i="1"/>
  <c r="BY103" i="1"/>
  <c r="BU103" i="1"/>
  <c r="BE103" i="1"/>
  <c r="BA103" i="1"/>
  <c r="AW103" i="1"/>
  <c r="AS103" i="1"/>
  <c r="BE105" i="1"/>
  <c r="BA105" i="1"/>
  <c r="AW105" i="1"/>
  <c r="AS105" i="1"/>
  <c r="BE104" i="1"/>
  <c r="BA104" i="1"/>
  <c r="AW104" i="1"/>
  <c r="AS104" i="1"/>
  <c r="CB103" i="1"/>
  <c r="BX103" i="1"/>
  <c r="BT103" i="1"/>
  <c r="BD103" i="1"/>
  <c r="AZ103" i="1"/>
  <c r="AV103" i="1"/>
  <c r="S103" i="1"/>
  <c r="AT103" i="1"/>
  <c r="BB103" i="1"/>
  <c r="BW103" i="1"/>
  <c r="CE103" i="1"/>
  <c r="AZ104" i="1"/>
  <c r="AZ105" i="1"/>
  <c r="BE108" i="1"/>
  <c r="BA108" i="1"/>
  <c r="AW108" i="1"/>
  <c r="AS108" i="1"/>
  <c r="BD107" i="1"/>
  <c r="AZ107" i="1"/>
  <c r="AV107" i="1"/>
  <c r="CD106" i="1"/>
  <c r="BZ106" i="1"/>
  <c r="BV106" i="1"/>
  <c r="BB106" i="1"/>
  <c r="AX106" i="1"/>
  <c r="AT106" i="1"/>
  <c r="BD108" i="1"/>
  <c r="AZ108" i="1"/>
  <c r="AV108" i="1"/>
  <c r="BC107" i="1"/>
  <c r="AY107" i="1"/>
  <c r="AU107" i="1"/>
  <c r="CC106" i="1"/>
  <c r="BY106" i="1"/>
  <c r="BE106" i="1"/>
  <c r="BA106" i="1"/>
  <c r="AW106" i="1"/>
  <c r="AS106" i="1"/>
  <c r="P106" i="1"/>
  <c r="AG106" i="1" s="1"/>
  <c r="BH107" i="1"/>
  <c r="P107" i="1"/>
  <c r="P108" i="1"/>
  <c r="AZ106" i="1"/>
  <c r="BS106" i="1"/>
  <c r="CA106" i="1"/>
  <c r="AX107" i="1"/>
  <c r="AX108" i="1"/>
  <c r="O111" i="1"/>
  <c r="P111" i="1" s="1"/>
  <c r="O110" i="1"/>
  <c r="S109" i="1" s="1"/>
  <c r="T109" i="1" s="1"/>
  <c r="AY109" i="1"/>
  <c r="BG109" i="1"/>
  <c r="BS109" i="1"/>
  <c r="CA109" i="1"/>
  <c r="AV110" i="1"/>
  <c r="BD110" i="1"/>
  <c r="AV111" i="1"/>
  <c r="BD111" i="1"/>
  <c r="AU112" i="1"/>
  <c r="BC112" i="1"/>
  <c r="CE112" i="1"/>
  <c r="AW113" i="1"/>
  <c r="BE113" i="1"/>
  <c r="AT114" i="1"/>
  <c r="BB114" i="1"/>
  <c r="BE117" i="1"/>
  <c r="BA117" i="1"/>
  <c r="AW117" i="1"/>
  <c r="AS117" i="1"/>
  <c r="BE116" i="1"/>
  <c r="BA116" i="1"/>
  <c r="AW116" i="1"/>
  <c r="AS116" i="1"/>
  <c r="CB115" i="1"/>
  <c r="BX115" i="1"/>
  <c r="BT115" i="1"/>
  <c r="BD115" i="1"/>
  <c r="AZ115" i="1"/>
  <c r="AV115" i="1"/>
  <c r="BD117" i="1"/>
  <c r="AZ117" i="1"/>
  <c r="AV117" i="1"/>
  <c r="BD116" i="1"/>
  <c r="AZ116" i="1"/>
  <c r="AV116" i="1"/>
  <c r="CE115" i="1"/>
  <c r="CA115" i="1"/>
  <c r="BW115" i="1"/>
  <c r="BC115" i="1"/>
  <c r="AY115" i="1"/>
  <c r="AU115" i="1"/>
  <c r="AS115" i="1"/>
  <c r="BA115" i="1"/>
  <c r="BU115" i="1"/>
  <c r="CC115" i="1"/>
  <c r="O116" i="1"/>
  <c r="AT116" i="1"/>
  <c r="BB116" i="1"/>
  <c r="AX117" i="1"/>
  <c r="BQ118" i="1"/>
  <c r="P118" i="1"/>
  <c r="AQ118" i="1" s="1"/>
  <c r="O119" i="1"/>
  <c r="O120" i="1"/>
  <c r="P120" i="1" s="1"/>
  <c r="AX118" i="1"/>
  <c r="BS118" i="1"/>
  <c r="CA118" i="1"/>
  <c r="AW119" i="1"/>
  <c r="BE119" i="1"/>
  <c r="AW120" i="1"/>
  <c r="BE120" i="1"/>
  <c r="BD126" i="1"/>
  <c r="AZ126" i="1"/>
  <c r="AV126" i="1"/>
  <c r="BC125" i="1"/>
  <c r="AY125" i="1"/>
  <c r="AU125" i="1"/>
  <c r="CC124" i="1"/>
  <c r="BY124" i="1"/>
  <c r="BU124" i="1"/>
  <c r="BE124" i="1"/>
  <c r="BA124" i="1"/>
  <c r="AW124" i="1"/>
  <c r="AS124" i="1"/>
  <c r="BC126" i="1"/>
  <c r="AY126" i="1"/>
  <c r="AU126" i="1"/>
  <c r="BB125" i="1"/>
  <c r="AX125" i="1"/>
  <c r="AT125" i="1"/>
  <c r="CB124" i="1"/>
  <c r="BX124" i="1"/>
  <c r="BT124" i="1"/>
  <c r="BD124" i="1"/>
  <c r="AZ124" i="1"/>
  <c r="AV124" i="1"/>
  <c r="AU124" i="1"/>
  <c r="BC124" i="1"/>
  <c r="BW124" i="1"/>
  <c r="CE124" i="1"/>
  <c r="AS125" i="1"/>
  <c r="BA125" i="1"/>
  <c r="AS126" i="1"/>
  <c r="BA126" i="1"/>
  <c r="BF127" i="1"/>
  <c r="O128" i="1"/>
  <c r="BQ130" i="1"/>
  <c r="P130" i="1"/>
  <c r="O131" i="1"/>
  <c r="O132" i="1"/>
  <c r="AQ130" i="1"/>
  <c r="AX130" i="1"/>
  <c r="BS130" i="1"/>
  <c r="CA130" i="1"/>
  <c r="AW131" i="1"/>
  <c r="BE131" i="1"/>
  <c r="AX132" i="1"/>
  <c r="AU136" i="1"/>
  <c r="BC136" i="1"/>
  <c r="BW136" i="1"/>
  <c r="CE136" i="1"/>
  <c r="AW137" i="1"/>
  <c r="BE137" i="1"/>
  <c r="BM137" i="1"/>
  <c r="AT138" i="1"/>
  <c r="BB138" i="1"/>
  <c r="BB141" i="1"/>
  <c r="AX141" i="1"/>
  <c r="AT141" i="1"/>
  <c r="BB140" i="1"/>
  <c r="AX140" i="1"/>
  <c r="AT140" i="1"/>
  <c r="CC139" i="1"/>
  <c r="BY139" i="1"/>
  <c r="BU139" i="1"/>
  <c r="BE139" i="1"/>
  <c r="BA139" i="1"/>
  <c r="AW139" i="1"/>
  <c r="AS139" i="1"/>
  <c r="BE141" i="1"/>
  <c r="BA141" i="1"/>
  <c r="AW141" i="1"/>
  <c r="AS141" i="1"/>
  <c r="BE140" i="1"/>
  <c r="BA140" i="1"/>
  <c r="AW140" i="1"/>
  <c r="AS140" i="1"/>
  <c r="CB139" i="1"/>
  <c r="BX139" i="1"/>
  <c r="BT139" i="1"/>
  <c r="BD139" i="1"/>
  <c r="AZ139" i="1"/>
  <c r="AV139" i="1"/>
  <c r="AU139" i="1"/>
  <c r="BC139" i="1"/>
  <c r="BW139" i="1"/>
  <c r="CE139" i="1"/>
  <c r="AZ140" i="1"/>
  <c r="AZ141" i="1"/>
  <c r="BE144" i="1"/>
  <c r="BA144" i="1"/>
  <c r="AW144" i="1"/>
  <c r="AS144" i="1"/>
  <c r="BD143" i="1"/>
  <c r="AZ143" i="1"/>
  <c r="AV143" i="1"/>
  <c r="BZ142" i="1"/>
  <c r="BV142" i="1"/>
  <c r="BB142" i="1"/>
  <c r="AX142" i="1"/>
  <c r="AT142" i="1"/>
  <c r="BD144" i="1"/>
  <c r="AZ144" i="1"/>
  <c r="AV144" i="1"/>
  <c r="BC143" i="1"/>
  <c r="AY143" i="1"/>
  <c r="AU143" i="1"/>
  <c r="CC142" i="1"/>
  <c r="BY142" i="1"/>
  <c r="BU142" i="1"/>
  <c r="BE142" i="1"/>
  <c r="BA142" i="1"/>
  <c r="AW142" i="1"/>
  <c r="AS142" i="1"/>
  <c r="P142" i="1"/>
  <c r="AZ142" i="1"/>
  <c r="BG142" i="1"/>
  <c r="BS142" i="1"/>
  <c r="CA142" i="1"/>
  <c r="AS143" i="1"/>
  <c r="BA143" i="1"/>
  <c r="AX144" i="1"/>
  <c r="AT145" i="1"/>
  <c r="BB145" i="1"/>
  <c r="BY145" i="1"/>
  <c r="AU146" i="1"/>
  <c r="BC146" i="1"/>
  <c r="AT147" i="1"/>
  <c r="BB147" i="1"/>
  <c r="BC150" i="1"/>
  <c r="AY150" i="1"/>
  <c r="AU150" i="1"/>
  <c r="BB149" i="1"/>
  <c r="AX149" i="1"/>
  <c r="AT149" i="1"/>
  <c r="CB148" i="1"/>
  <c r="BX148" i="1"/>
  <c r="BT148" i="1"/>
  <c r="BD148" i="1"/>
  <c r="AZ148" i="1"/>
  <c r="AV148" i="1"/>
  <c r="BB150" i="1"/>
  <c r="AX150" i="1"/>
  <c r="AT150" i="1"/>
  <c r="BE149" i="1"/>
  <c r="BA149" i="1"/>
  <c r="AW149" i="1"/>
  <c r="AS149" i="1"/>
  <c r="CE148" i="1"/>
  <c r="CA148" i="1"/>
  <c r="BW148" i="1"/>
  <c r="BS148" i="1"/>
  <c r="BC148" i="1"/>
  <c r="AY148" i="1"/>
  <c r="AU148" i="1"/>
  <c r="AX148" i="1"/>
  <c r="BU148" i="1"/>
  <c r="CC148" i="1"/>
  <c r="O149" i="1"/>
  <c r="AU149" i="1"/>
  <c r="BC149" i="1"/>
  <c r="AZ150" i="1"/>
  <c r="BG152" i="1"/>
  <c r="P152" i="1"/>
  <c r="AG152" i="1" s="1"/>
  <c r="BM154" i="1"/>
  <c r="AZ157" i="1"/>
  <c r="BT157" i="1"/>
  <c r="CB157" i="1"/>
  <c r="AZ158" i="1"/>
  <c r="AW159" i="1"/>
  <c r="BE159" i="1"/>
  <c r="O162" i="1"/>
  <c r="P162" i="1" s="1"/>
  <c r="AV163" i="1"/>
  <c r="BD163" i="1"/>
  <c r="BX163" i="1"/>
  <c r="AV164" i="1"/>
  <c r="BD164" i="1"/>
  <c r="AS165" i="1"/>
  <c r="O168" i="1"/>
  <c r="P168" i="1" s="1"/>
  <c r="BC171" i="1"/>
  <c r="AY171" i="1"/>
  <c r="AU171" i="1"/>
  <c r="BC170" i="1"/>
  <c r="AY170" i="1"/>
  <c r="AU170" i="1"/>
  <c r="CD169" i="1"/>
  <c r="BZ169" i="1"/>
  <c r="BV169" i="1"/>
  <c r="BB169" i="1"/>
  <c r="AX169" i="1"/>
  <c r="AT169" i="1"/>
  <c r="AW170" i="1"/>
  <c r="AZ169" i="1"/>
  <c r="BB171" i="1"/>
  <c r="AX171" i="1"/>
  <c r="AT171" i="1"/>
  <c r="BB170" i="1"/>
  <c r="AX170" i="1"/>
  <c r="AT170" i="1"/>
  <c r="CC169" i="1"/>
  <c r="BY169" i="1"/>
  <c r="BU169" i="1"/>
  <c r="BE169" i="1"/>
  <c r="BA169" i="1"/>
  <c r="AW169" i="1"/>
  <c r="AS169" i="1"/>
  <c r="BE171" i="1"/>
  <c r="AW171" i="1"/>
  <c r="BE170" i="1"/>
  <c r="BA170" i="1"/>
  <c r="AS170" i="1"/>
  <c r="CB169" i="1"/>
  <c r="BX169" i="1"/>
  <c r="BD169" i="1"/>
  <c r="AV169" i="1"/>
  <c r="BA171" i="1"/>
  <c r="AS171" i="1"/>
  <c r="AU169" i="1"/>
  <c r="BW169" i="1"/>
  <c r="AZ170" i="1"/>
  <c r="BD171" i="1"/>
  <c r="AQ172" i="1"/>
  <c r="BQ172" i="1"/>
  <c r="BD175" i="1"/>
  <c r="CB175" i="1"/>
  <c r="AW176" i="1"/>
  <c r="D184" i="1"/>
  <c r="DJ181" i="1"/>
  <c r="DJ183" i="1"/>
  <c r="O189" i="1"/>
  <c r="O188" i="1"/>
  <c r="AS188" i="1"/>
  <c r="O204" i="1"/>
  <c r="P204" i="1" s="1"/>
  <c r="O202" i="1"/>
  <c r="O219" i="1"/>
  <c r="P219" i="1" s="1"/>
  <c r="O218" i="1"/>
  <c r="AQ217" i="1"/>
  <c r="D232" i="1"/>
  <c r="DJ229" i="1"/>
  <c r="DK229" i="1"/>
  <c r="O236" i="1"/>
  <c r="O237" i="1"/>
  <c r="P237" i="1" s="1"/>
  <c r="O235" i="1"/>
  <c r="BT238" i="1"/>
  <c r="P241" i="1"/>
  <c r="AQ241" i="1" s="1"/>
  <c r="BQ241" i="1"/>
  <c r="BC244" i="1"/>
  <c r="O244" i="1"/>
  <c r="O245" i="1"/>
  <c r="BD246" i="1"/>
  <c r="P250" i="1"/>
  <c r="AI250" i="1" s="1"/>
  <c r="BI250" i="1"/>
  <c r="O252" i="1"/>
  <c r="P252" i="1" s="1"/>
  <c r="O251" i="1"/>
  <c r="AG283" i="1"/>
  <c r="BG283" i="1"/>
  <c r="P283" i="1"/>
  <c r="P289" i="1"/>
  <c r="AQ289" i="1"/>
  <c r="BQ289" i="1"/>
  <c r="S289" i="1"/>
  <c r="T289" i="1" s="1"/>
  <c r="BM343" i="1"/>
  <c r="P343" i="1"/>
  <c r="AM343" i="1" s="1"/>
  <c r="DH5" i="1"/>
  <c r="L6" i="2"/>
  <c r="L12" i="2"/>
  <c r="V7" i="1"/>
  <c r="BC14" i="1"/>
  <c r="AU15" i="1"/>
  <c r="BC15" i="1"/>
  <c r="O21" i="1"/>
  <c r="P21" i="1" s="1"/>
  <c r="O20" i="1"/>
  <c r="O29" i="1"/>
  <c r="O30" i="1"/>
  <c r="BG32" i="1"/>
  <c r="P32" i="1"/>
  <c r="K5" i="2"/>
  <c r="K9" i="2"/>
  <c r="K11" i="2"/>
  <c r="K15" i="2"/>
  <c r="DH4" i="1"/>
  <c r="DI4" i="1" s="1"/>
  <c r="O7" i="1"/>
  <c r="P7" i="1" s="1"/>
  <c r="W7" i="1"/>
  <c r="BE12" i="1"/>
  <c r="BA12" i="1"/>
  <c r="AW12" i="1"/>
  <c r="AS12" i="1"/>
  <c r="BD11" i="1"/>
  <c r="AZ11" i="1"/>
  <c r="AV11" i="1"/>
  <c r="CD10" i="1"/>
  <c r="BZ10" i="1"/>
  <c r="BV10" i="1"/>
  <c r="BB10" i="1"/>
  <c r="AX10" i="1"/>
  <c r="AT10" i="1"/>
  <c r="AZ12" i="1"/>
  <c r="BC11" i="1"/>
  <c r="F13" i="2" s="1"/>
  <c r="AY11" i="1"/>
  <c r="AU11" i="1"/>
  <c r="CC10" i="1"/>
  <c r="M13" i="2" s="1"/>
  <c r="BY10" i="1"/>
  <c r="M9" i="2" s="1"/>
  <c r="BA10" i="1"/>
  <c r="AS10" i="1"/>
  <c r="BD12" i="1"/>
  <c r="AV12" i="1"/>
  <c r="BU10" i="1"/>
  <c r="BE10" i="1"/>
  <c r="AW10" i="1"/>
  <c r="P10" i="1"/>
  <c r="AJ10" i="1" s="1"/>
  <c r="AV20" i="1"/>
  <c r="BD21" i="1"/>
  <c r="AU22" i="1"/>
  <c r="CE22" i="1"/>
  <c r="AW23" i="1"/>
  <c r="BB27" i="1"/>
  <c r="AX27" i="1"/>
  <c r="AT27" i="1"/>
  <c r="BB26" i="1"/>
  <c r="AX26" i="1"/>
  <c r="AT26" i="1"/>
  <c r="CC25" i="1"/>
  <c r="BY25" i="1"/>
  <c r="BU25" i="1"/>
  <c r="BE25" i="1"/>
  <c r="BA25" i="1"/>
  <c r="AW25" i="1"/>
  <c r="AS25" i="1"/>
  <c r="BE27" i="1"/>
  <c r="BA27" i="1"/>
  <c r="AW27" i="1"/>
  <c r="AS27" i="1"/>
  <c r="BE26" i="1"/>
  <c r="BA26" i="1"/>
  <c r="AW26" i="1"/>
  <c r="AS26" i="1"/>
  <c r="CB25" i="1"/>
  <c r="BX25" i="1"/>
  <c r="BT25" i="1"/>
  <c r="BD25" i="1"/>
  <c r="AZ25" i="1"/>
  <c r="AV25" i="1"/>
  <c r="BC25" i="1"/>
  <c r="BW25" i="1"/>
  <c r="AZ26" i="1"/>
  <c r="AZ27" i="1"/>
  <c r="AT28" i="1"/>
  <c r="BB28" i="1"/>
  <c r="AZ29" i="1"/>
  <c r="AS30" i="1"/>
  <c r="BA30" i="1"/>
  <c r="V4" i="1"/>
  <c r="X4" i="1" s="1"/>
  <c r="O4" i="1"/>
  <c r="O5" i="1"/>
  <c r="P5" i="1" s="1"/>
  <c r="Q7" i="1"/>
  <c r="BB9" i="1"/>
  <c r="AX9" i="1"/>
  <c r="AT9" i="1"/>
  <c r="BB8" i="1"/>
  <c r="AX8" i="1"/>
  <c r="AT8" i="1"/>
  <c r="CC7" i="1"/>
  <c r="BY7" i="1"/>
  <c r="BU7" i="1"/>
  <c r="BE7" i="1"/>
  <c r="BA7" i="1"/>
  <c r="AW7" i="1"/>
  <c r="AS7" i="1"/>
  <c r="BA9" i="1"/>
  <c r="AS9" i="1"/>
  <c r="BA8" i="1"/>
  <c r="AS8" i="1"/>
  <c r="CB7" i="1"/>
  <c r="M12" i="2" s="1"/>
  <c r="BX7" i="1"/>
  <c r="M8" i="2" s="1"/>
  <c r="AV7" i="1"/>
  <c r="BE9" i="1"/>
  <c r="AW9" i="1"/>
  <c r="BE8" i="1"/>
  <c r="AW8" i="1"/>
  <c r="BT7" i="1"/>
  <c r="BD7" i="1"/>
  <c r="AZ7" i="1"/>
  <c r="Z7" i="1"/>
  <c r="Z10" i="1" s="1"/>
  <c r="Z13" i="1" s="1"/>
  <c r="Z16" i="1" s="1"/>
  <c r="Z19" i="1" s="1"/>
  <c r="Z22" i="1" s="1"/>
  <c r="Z25" i="1" s="1"/>
  <c r="Z28" i="1" s="1"/>
  <c r="Z31" i="1" s="1"/>
  <c r="Z34" i="1" s="1"/>
  <c r="Z37" i="1" s="1"/>
  <c r="Z40" i="1" s="1"/>
  <c r="Z43" i="1" s="1"/>
  <c r="Z46" i="1" s="1"/>
  <c r="Z49" i="1" s="1"/>
  <c r="Z52" i="1" s="1"/>
  <c r="Z55" i="1" s="1"/>
  <c r="Z58" i="1" s="1"/>
  <c r="Z61" i="1" s="1"/>
  <c r="Z64" i="1" s="1"/>
  <c r="Z67" i="1" s="1"/>
  <c r="Z70" i="1" s="1"/>
  <c r="Z73" i="1" s="1"/>
  <c r="Z76" i="1" s="1"/>
  <c r="Z79" i="1" s="1"/>
  <c r="Z82" i="1" s="1"/>
  <c r="Z85" i="1" s="1"/>
  <c r="Z88" i="1" s="1"/>
  <c r="Z91" i="1" s="1"/>
  <c r="Z94" i="1" s="1"/>
  <c r="Z97" i="1" s="1"/>
  <c r="Z100" i="1" s="1"/>
  <c r="Z103" i="1" s="1"/>
  <c r="Z106" i="1" s="1"/>
  <c r="Z109" i="1" s="1"/>
  <c r="Z112" i="1" s="1"/>
  <c r="Z115" i="1" s="1"/>
  <c r="Z118" i="1" s="1"/>
  <c r="Z121" i="1" s="1"/>
  <c r="Z124" i="1" s="1"/>
  <c r="Z127" i="1" s="1"/>
  <c r="Z130" i="1" s="1"/>
  <c r="Z133" i="1" s="1"/>
  <c r="Z136" i="1" s="1"/>
  <c r="Z139" i="1" s="1"/>
  <c r="Z142" i="1" s="1"/>
  <c r="Z145" i="1" s="1"/>
  <c r="Z148" i="1" s="1"/>
  <c r="Z151" i="1" s="1"/>
  <c r="Z154" i="1" s="1"/>
  <c r="Z157" i="1" s="1"/>
  <c r="Z160" i="1" s="1"/>
  <c r="Z163" i="1" s="1"/>
  <c r="Z166" i="1" s="1"/>
  <c r="Z169" i="1" s="1"/>
  <c r="Z172" i="1" s="1"/>
  <c r="Z175" i="1" s="1"/>
  <c r="Z178" i="1" s="1"/>
  <c r="Z181" i="1" s="1"/>
  <c r="Z184" i="1" s="1"/>
  <c r="Z187" i="1" s="1"/>
  <c r="Z190" i="1" s="1"/>
  <c r="Z193" i="1" s="1"/>
  <c r="Z196" i="1" s="1"/>
  <c r="Z199" i="1" s="1"/>
  <c r="Z202" i="1" s="1"/>
  <c r="Z205" i="1" s="1"/>
  <c r="Z208" i="1" s="1"/>
  <c r="Z211" i="1" s="1"/>
  <c r="Z214" i="1" s="1"/>
  <c r="Z217" i="1" s="1"/>
  <c r="Z220" i="1" s="1"/>
  <c r="Z223" i="1" s="1"/>
  <c r="Z226" i="1" s="1"/>
  <c r="Z229" i="1" s="1"/>
  <c r="Z232" i="1" s="1"/>
  <c r="Z235" i="1" s="1"/>
  <c r="Z238" i="1" s="1"/>
  <c r="Z241" i="1" s="1"/>
  <c r="Z244" i="1" s="1"/>
  <c r="Z247" i="1" s="1"/>
  <c r="Z250" i="1" s="1"/>
  <c r="Z253" i="1" s="1"/>
  <c r="Z256" i="1" s="1"/>
  <c r="Z259" i="1" s="1"/>
  <c r="Z262" i="1" s="1"/>
  <c r="Z265" i="1" s="1"/>
  <c r="Z268" i="1" s="1"/>
  <c r="Z271" i="1" s="1"/>
  <c r="Z274" i="1" s="1"/>
  <c r="Z277" i="1" s="1"/>
  <c r="Z280" i="1" s="1"/>
  <c r="Z283" i="1" s="1"/>
  <c r="Z286" i="1" s="1"/>
  <c r="Z289" i="1" s="1"/>
  <c r="Z292" i="1" s="1"/>
  <c r="Z295" i="1" s="1"/>
  <c r="Z298" i="1" s="1"/>
  <c r="Z301" i="1" s="1"/>
  <c r="Z304" i="1" s="1"/>
  <c r="Z307" i="1" s="1"/>
  <c r="Z310" i="1" s="1"/>
  <c r="Z313" i="1" s="1"/>
  <c r="Z316" i="1" s="1"/>
  <c r="Z319" i="1" s="1"/>
  <c r="Z322" i="1" s="1"/>
  <c r="Z325" i="1" s="1"/>
  <c r="Z328" i="1" s="1"/>
  <c r="Z331" i="1" s="1"/>
  <c r="Z334" i="1" s="1"/>
  <c r="Z337" i="1" s="1"/>
  <c r="Z340" i="1" s="1"/>
  <c r="Z343" i="1" s="1"/>
  <c r="Z346" i="1" s="1"/>
  <c r="Z349" i="1" s="1"/>
  <c r="Z352" i="1" s="1"/>
  <c r="Z355" i="1" s="1"/>
  <c r="Z358" i="1" s="1"/>
  <c r="Z361" i="1" s="1"/>
  <c r="Z364" i="1" s="1"/>
  <c r="Z367" i="1" s="1"/>
  <c r="Z370" i="1" s="1"/>
  <c r="Z373" i="1" s="1"/>
  <c r="Z376" i="1" s="1"/>
  <c r="Z379" i="1" s="1"/>
  <c r="Z382" i="1" s="1"/>
  <c r="Z385" i="1" s="1"/>
  <c r="Z388" i="1" s="1"/>
  <c r="Z391" i="1" s="1"/>
  <c r="Z394" i="1" s="1"/>
  <c r="Z397" i="1" s="1"/>
  <c r="Z400" i="1" s="1"/>
  <c r="Z403" i="1" s="1"/>
  <c r="Z406" i="1" s="1"/>
  <c r="Z409" i="1" s="1"/>
  <c r="Z412" i="1" s="1"/>
  <c r="Z415" i="1" s="1"/>
  <c r="Z418" i="1" s="1"/>
  <c r="Z421" i="1" s="1"/>
  <c r="Z424" i="1" s="1"/>
  <c r="Z427" i="1" s="1"/>
  <c r="Z430" i="1" s="1"/>
  <c r="Z433" i="1" s="1"/>
  <c r="Z436" i="1" s="1"/>
  <c r="Z439" i="1" s="1"/>
  <c r="Z442" i="1" s="1"/>
  <c r="Z445" i="1" s="1"/>
  <c r="Z448" i="1" s="1"/>
  <c r="Z451" i="1" s="1"/>
  <c r="Z454" i="1" s="1"/>
  <c r="Z457" i="1" s="1"/>
  <c r="Z460" i="1" s="1"/>
  <c r="Z463" i="1" s="1"/>
  <c r="Z466" i="1" s="1"/>
  <c r="Z469" i="1" s="1"/>
  <c r="Z472" i="1" s="1"/>
  <c r="Z475" i="1" s="1"/>
  <c r="Z478" i="1" s="1"/>
  <c r="Z481" i="1" s="1"/>
  <c r="Z484" i="1" s="1"/>
  <c r="Z487" i="1" s="1"/>
  <c r="Z490" i="1" s="1"/>
  <c r="Z493" i="1" s="1"/>
  <c r="Z496" i="1" s="1"/>
  <c r="Z499" i="1" s="1"/>
  <c r="Z502" i="1" s="1"/>
  <c r="Z505" i="1" s="1"/>
  <c r="Z508" i="1" s="1"/>
  <c r="Z511" i="1" s="1"/>
  <c r="Z514" i="1" s="1"/>
  <c r="Z517" i="1" s="1"/>
  <c r="Z520" i="1" s="1"/>
  <c r="Z523" i="1" s="1"/>
  <c r="Z526" i="1" s="1"/>
  <c r="Z529" i="1" s="1"/>
  <c r="Z532" i="1" s="1"/>
  <c r="Z535" i="1" s="1"/>
  <c r="Z538" i="1" s="1"/>
  <c r="Z541" i="1" s="1"/>
  <c r="Z544" i="1" s="1"/>
  <c r="Z547" i="1" s="1"/>
  <c r="Z550" i="1" s="1"/>
  <c r="Z553" i="1" s="1"/>
  <c r="Z556" i="1" s="1"/>
  <c r="Z559" i="1" s="1"/>
  <c r="Z562" i="1" s="1"/>
  <c r="Z565" i="1" s="1"/>
  <c r="Z568" i="1" s="1"/>
  <c r="Z571" i="1" s="1"/>
  <c r="Z574" i="1" s="1"/>
  <c r="Z577" i="1" s="1"/>
  <c r="Z580" i="1" s="1"/>
  <c r="Z583" i="1" s="1"/>
  <c r="Z586" i="1" s="1"/>
  <c r="Z589" i="1" s="1"/>
  <c r="Z592" i="1" s="1"/>
  <c r="Z595" i="1" s="1"/>
  <c r="Z598" i="1" s="1"/>
  <c r="Z601" i="1" s="1"/>
  <c r="Z604" i="1" s="1"/>
  <c r="Z607" i="1" s="1"/>
  <c r="Z610" i="1" s="1"/>
  <c r="Z613" i="1" s="1"/>
  <c r="Z616" i="1" s="1"/>
  <c r="Z619" i="1" s="1"/>
  <c r="Z622" i="1" s="1"/>
  <c r="Z625" i="1" s="1"/>
  <c r="Z628" i="1" s="1"/>
  <c r="Z631" i="1" s="1"/>
  <c r="Z634" i="1" s="1"/>
  <c r="Z637" i="1" s="1"/>
  <c r="Z640" i="1" s="1"/>
  <c r="Z643" i="1" s="1"/>
  <c r="Z646" i="1" s="1"/>
  <c r="Z649" i="1" s="1"/>
  <c r="Z652" i="1" s="1"/>
  <c r="Z655" i="1" s="1"/>
  <c r="Z658" i="1" s="1"/>
  <c r="Z661" i="1" s="1"/>
  <c r="Z664" i="1" s="1"/>
  <c r="Z667" i="1" s="1"/>
  <c r="Z670" i="1" s="1"/>
  <c r="Z673" i="1" s="1"/>
  <c r="Z676" i="1" s="1"/>
  <c r="Z679" i="1" s="1"/>
  <c r="Z682" i="1" s="1"/>
  <c r="Z685" i="1" s="1"/>
  <c r="Z688" i="1" s="1"/>
  <c r="Z691" i="1" s="1"/>
  <c r="Z694" i="1" s="1"/>
  <c r="Z697" i="1" s="1"/>
  <c r="Z700" i="1" s="1"/>
  <c r="Z703" i="1" s="1"/>
  <c r="Z706" i="1" s="1"/>
  <c r="Z709" i="1" s="1"/>
  <c r="Z712" i="1" s="1"/>
  <c r="Z715" i="1" s="1"/>
  <c r="Z718" i="1" s="1"/>
  <c r="Z721" i="1" s="1"/>
  <c r="Z724" i="1" s="1"/>
  <c r="Z727" i="1" s="1"/>
  <c r="Z730" i="1" s="1"/>
  <c r="Z733" i="1" s="1"/>
  <c r="Z736" i="1" s="1"/>
  <c r="Z739" i="1" s="1"/>
  <c r="Z742" i="1" s="1"/>
  <c r="Z745" i="1" s="1"/>
  <c r="Z748" i="1" s="1"/>
  <c r="Z751" i="1" s="1"/>
  <c r="Z754" i="1" s="1"/>
  <c r="Z757" i="1" s="1"/>
  <c r="Z760" i="1" s="1"/>
  <c r="Z763" i="1" s="1"/>
  <c r="Z766" i="1" s="1"/>
  <c r="Z769" i="1" s="1"/>
  <c r="Z772" i="1" s="1"/>
  <c r="Z775" i="1" s="1"/>
  <c r="Z778" i="1" s="1"/>
  <c r="Z781" i="1" s="1"/>
  <c r="Z784" i="1" s="1"/>
  <c r="Z787" i="1" s="1"/>
  <c r="Z790" i="1" s="1"/>
  <c r="Z793" i="1" s="1"/>
  <c r="Z796" i="1" s="1"/>
  <c r="Z799" i="1" s="1"/>
  <c r="Z802" i="1" s="1"/>
  <c r="Z805" i="1" s="1"/>
  <c r="Z808" i="1" s="1"/>
  <c r="Z811" i="1" s="1"/>
  <c r="Z814" i="1" s="1"/>
  <c r="Z817" i="1" s="1"/>
  <c r="Z820" i="1" s="1"/>
  <c r="Z823" i="1" s="1"/>
  <c r="Z826" i="1" s="1"/>
  <c r="Z829" i="1" s="1"/>
  <c r="Z832" i="1" s="1"/>
  <c r="Z835" i="1" s="1"/>
  <c r="Z838" i="1" s="1"/>
  <c r="Z841" i="1" s="1"/>
  <c r="Z844" i="1" s="1"/>
  <c r="Z847" i="1" s="1"/>
  <c r="Z850" i="1" s="1"/>
  <c r="Z853" i="1" s="1"/>
  <c r="Z856" i="1" s="1"/>
  <c r="Z859" i="1" s="1"/>
  <c r="Z862" i="1" s="1"/>
  <c r="Z865" i="1" s="1"/>
  <c r="Z868" i="1" s="1"/>
  <c r="Z871" i="1" s="1"/>
  <c r="Z874" i="1" s="1"/>
  <c r="Z877" i="1" s="1"/>
  <c r="Z880" i="1" s="1"/>
  <c r="Z883" i="1" s="1"/>
  <c r="Z886" i="1" s="1"/>
  <c r="Z889" i="1" s="1"/>
  <c r="Z892" i="1" s="1"/>
  <c r="Z895" i="1" s="1"/>
  <c r="Z898" i="1" s="1"/>
  <c r="Z901" i="1" s="1"/>
  <c r="Z904" i="1" s="1"/>
  <c r="Z907" i="1" s="1"/>
  <c r="Z910" i="1" s="1"/>
  <c r="Z913" i="1" s="1"/>
  <c r="Z916" i="1" s="1"/>
  <c r="Z919" i="1" s="1"/>
  <c r="Z922" i="1" s="1"/>
  <c r="Z925" i="1" s="1"/>
  <c r="Z928" i="1" s="1"/>
  <c r="Z931" i="1" s="1"/>
  <c r="Z934" i="1" s="1"/>
  <c r="Z937" i="1" s="1"/>
  <c r="Z940" i="1" s="1"/>
  <c r="Z943" i="1" s="1"/>
  <c r="Z946" i="1" s="1"/>
  <c r="Z949" i="1" s="1"/>
  <c r="Z952" i="1" s="1"/>
  <c r="AY7" i="1"/>
  <c r="BS7" i="1"/>
  <c r="CA7" i="1"/>
  <c r="M11" i="2" s="1"/>
  <c r="DK7" i="1"/>
  <c r="AV8" i="1"/>
  <c r="BD8" i="1"/>
  <c r="AU9" i="1"/>
  <c r="F5" i="2" s="1"/>
  <c r="BC9" i="1"/>
  <c r="DJ12" i="1"/>
  <c r="DJ10" i="1"/>
  <c r="D13" i="1"/>
  <c r="E10" i="1"/>
  <c r="AZ10" i="1"/>
  <c r="BT10" i="1"/>
  <c r="CB10" i="1"/>
  <c r="AT11" i="1"/>
  <c r="BB11" i="1"/>
  <c r="O12" i="1"/>
  <c r="P12" i="1" s="1"/>
  <c r="AY12" i="1"/>
  <c r="AT13" i="1"/>
  <c r="BB13" i="1"/>
  <c r="BV13" i="1"/>
  <c r="CD13" i="1"/>
  <c r="AY14" i="1"/>
  <c r="AY15" i="1"/>
  <c r="AU16" i="1"/>
  <c r="BC16" i="1"/>
  <c r="CB16" i="1"/>
  <c r="AX17" i="1"/>
  <c r="AU18" i="1"/>
  <c r="BC18" i="1"/>
  <c r="AU19" i="1"/>
  <c r="BC19" i="1"/>
  <c r="BW19" i="1"/>
  <c r="CE19" i="1"/>
  <c r="AY20" i="1"/>
  <c r="AY21" i="1"/>
  <c r="O22" i="1"/>
  <c r="AV22" i="1"/>
  <c r="BD22" i="1"/>
  <c r="BX22" i="1"/>
  <c r="AX23" i="1"/>
  <c r="BJ23" i="1"/>
  <c r="AU24" i="1"/>
  <c r="BC24" i="1"/>
  <c r="AX25" i="1"/>
  <c r="BZ25" i="1"/>
  <c r="AU26" i="1"/>
  <c r="BC26" i="1"/>
  <c r="AU27" i="1"/>
  <c r="BC27" i="1"/>
  <c r="AU28" i="1"/>
  <c r="BC28" i="1"/>
  <c r="BW28" i="1"/>
  <c r="CE28" i="1"/>
  <c r="AS29" i="1"/>
  <c r="BA29" i="1"/>
  <c r="AT30" i="1"/>
  <c r="BB30" i="1"/>
  <c r="AG31" i="1"/>
  <c r="BJ38" i="1"/>
  <c r="P46" i="1"/>
  <c r="O47" i="1"/>
  <c r="AU49" i="1"/>
  <c r="BC49" i="1"/>
  <c r="CE49" i="1"/>
  <c r="AV50" i="1"/>
  <c r="BD50" i="1"/>
  <c r="AZ51" i="1"/>
  <c r="AZ55" i="1"/>
  <c r="BT55" i="1"/>
  <c r="CB55" i="1"/>
  <c r="AS56" i="1"/>
  <c r="BA56" i="1"/>
  <c r="AT57" i="1"/>
  <c r="BB57" i="1"/>
  <c r="O59" i="1"/>
  <c r="DJ62" i="1"/>
  <c r="D64" i="1"/>
  <c r="BJ65" i="1"/>
  <c r="AT67" i="1"/>
  <c r="BB67" i="1"/>
  <c r="BV67" i="1"/>
  <c r="CD67" i="1"/>
  <c r="AZ68" i="1"/>
  <c r="AW69" i="1"/>
  <c r="BE69" i="1"/>
  <c r="AF70" i="1"/>
  <c r="S73" i="1"/>
  <c r="T73" i="1" s="1"/>
  <c r="AZ73" i="1"/>
  <c r="BT73" i="1"/>
  <c r="CB73" i="1"/>
  <c r="AS74" i="1"/>
  <c r="BA74" i="1"/>
  <c r="AW75" i="1"/>
  <c r="BE75" i="1"/>
  <c r="O77" i="1"/>
  <c r="O81" i="1"/>
  <c r="P81" i="1" s="1"/>
  <c r="O80" i="1"/>
  <c r="AZ79" i="1"/>
  <c r="BS79" i="1"/>
  <c r="CA79" i="1"/>
  <c r="AW80" i="1"/>
  <c r="BE80" i="1"/>
  <c r="AV81" i="1"/>
  <c r="BD81" i="1"/>
  <c r="P82" i="1"/>
  <c r="BB87" i="1"/>
  <c r="AX87" i="1"/>
  <c r="AT87" i="1"/>
  <c r="BB86" i="1"/>
  <c r="AX86" i="1"/>
  <c r="AT86" i="1"/>
  <c r="CC85" i="1"/>
  <c r="BY85" i="1"/>
  <c r="BU85" i="1"/>
  <c r="BE85" i="1"/>
  <c r="BA85" i="1"/>
  <c r="AW85" i="1"/>
  <c r="AS85" i="1"/>
  <c r="BE87" i="1"/>
  <c r="BA87" i="1"/>
  <c r="AW87" i="1"/>
  <c r="AS87" i="1"/>
  <c r="BE86" i="1"/>
  <c r="BA86" i="1"/>
  <c r="AW86" i="1"/>
  <c r="AS86" i="1"/>
  <c r="CB85" i="1"/>
  <c r="BX85" i="1"/>
  <c r="BT85" i="1"/>
  <c r="BD85" i="1"/>
  <c r="AZ85" i="1"/>
  <c r="AV85" i="1"/>
  <c r="AT85" i="1"/>
  <c r="BB85" i="1"/>
  <c r="BV85" i="1"/>
  <c r="AY86" i="1"/>
  <c r="AY87" i="1"/>
  <c r="AG88" i="1"/>
  <c r="P88" i="1"/>
  <c r="O89" i="1"/>
  <c r="O90" i="1"/>
  <c r="P90" i="1" s="1"/>
  <c r="AY88" i="1"/>
  <c r="BG88" i="1"/>
  <c r="BS88" i="1"/>
  <c r="CA88" i="1"/>
  <c r="AZ89" i="1"/>
  <c r="AW90" i="1"/>
  <c r="BE90" i="1"/>
  <c r="AY100" i="1"/>
  <c r="BV100" i="1"/>
  <c r="CD100" i="1"/>
  <c r="AT101" i="1"/>
  <c r="BB101" i="1"/>
  <c r="O102" i="1"/>
  <c r="AU102" i="1"/>
  <c r="BC102" i="1"/>
  <c r="AU103" i="1"/>
  <c r="BC103" i="1"/>
  <c r="BZ103" i="1"/>
  <c r="AU104" i="1"/>
  <c r="BC104" i="1"/>
  <c r="AU105" i="1"/>
  <c r="BC105" i="1"/>
  <c r="S106" i="1"/>
  <c r="AU106" i="1"/>
  <c r="BC106" i="1"/>
  <c r="BT106" i="1"/>
  <c r="CB106" i="1"/>
  <c r="AS107" i="1"/>
  <c r="BA107" i="1"/>
  <c r="O108" i="1"/>
  <c r="AY108" i="1"/>
  <c r="AT109" i="1"/>
  <c r="BB109" i="1"/>
  <c r="BV109" i="1"/>
  <c r="CD109" i="1"/>
  <c r="AY110" i="1"/>
  <c r="AY111" i="1"/>
  <c r="O112" i="1"/>
  <c r="AV112" i="1"/>
  <c r="BD112" i="1"/>
  <c r="BX112" i="1"/>
  <c r="AX113" i="1"/>
  <c r="BF113" i="1"/>
  <c r="AU114" i="1"/>
  <c r="BC114" i="1"/>
  <c r="F115" i="1"/>
  <c r="AT115" i="1"/>
  <c r="BB115" i="1"/>
  <c r="BV115" i="1"/>
  <c r="CD115" i="1"/>
  <c r="AU116" i="1"/>
  <c r="BC116" i="1"/>
  <c r="AY117" i="1"/>
  <c r="AY118" i="1"/>
  <c r="BV118" i="1"/>
  <c r="CD118" i="1"/>
  <c r="AZ119" i="1"/>
  <c r="AX120" i="1"/>
  <c r="AQ122" i="1"/>
  <c r="O123" i="1"/>
  <c r="P123" i="1" s="1"/>
  <c r="AX124" i="1"/>
  <c r="BJ124" i="1"/>
  <c r="BZ124" i="1"/>
  <c r="AV125" i="1"/>
  <c r="BD125" i="1"/>
  <c r="AT126" i="1"/>
  <c r="BB126" i="1"/>
  <c r="AY130" i="1"/>
  <c r="BV130" i="1"/>
  <c r="CD130" i="1"/>
  <c r="AZ131" i="1"/>
  <c r="AS132" i="1"/>
  <c r="BA132" i="1"/>
  <c r="AJ133" i="1"/>
  <c r="P133" i="1"/>
  <c r="O135" i="1"/>
  <c r="P135" i="1" s="1"/>
  <c r="O134" i="1"/>
  <c r="O136" i="1"/>
  <c r="AV136" i="1"/>
  <c r="BD136" i="1"/>
  <c r="BX136" i="1"/>
  <c r="DK136" i="1"/>
  <c r="AX137" i="1"/>
  <c r="AU138" i="1"/>
  <c r="BC138" i="1"/>
  <c r="AX139" i="1"/>
  <c r="BZ139" i="1"/>
  <c r="AU140" i="1"/>
  <c r="BC140" i="1"/>
  <c r="AU141" i="1"/>
  <c r="BC141" i="1"/>
  <c r="S142" i="1"/>
  <c r="AU142" i="1"/>
  <c r="BC142" i="1"/>
  <c r="BT142" i="1"/>
  <c r="CB142" i="1"/>
  <c r="AT143" i="1"/>
  <c r="BB143" i="1"/>
  <c r="O144" i="1"/>
  <c r="P144" i="1" s="1"/>
  <c r="AY144" i="1"/>
  <c r="AW145" i="1"/>
  <c r="BE145" i="1"/>
  <c r="BZ145" i="1"/>
  <c r="P145" i="1"/>
  <c r="BG145" i="1"/>
  <c r="AX146" i="1"/>
  <c r="O147" i="1"/>
  <c r="P147" i="1" s="1"/>
  <c r="AU147" i="1"/>
  <c r="BC147" i="1"/>
  <c r="F148" i="1"/>
  <c r="AS148" i="1"/>
  <c r="BA148" i="1"/>
  <c r="BV148" i="1"/>
  <c r="AV149" i="1"/>
  <c r="BD149" i="1"/>
  <c r="AS150" i="1"/>
  <c r="BA150" i="1"/>
  <c r="O155" i="1"/>
  <c r="AU157" i="1"/>
  <c r="BC157" i="1"/>
  <c r="BW157" i="1"/>
  <c r="CE157" i="1"/>
  <c r="AS158" i="1"/>
  <c r="BA158" i="1"/>
  <c r="AZ159" i="1"/>
  <c r="BC165" i="1"/>
  <c r="AY165" i="1"/>
  <c r="AU165" i="1"/>
  <c r="BC164" i="1"/>
  <c r="AY164" i="1"/>
  <c r="AU164" i="1"/>
  <c r="CD163" i="1"/>
  <c r="BZ163" i="1"/>
  <c r="BV163" i="1"/>
  <c r="BB163" i="1"/>
  <c r="AX163" i="1"/>
  <c r="AT163" i="1"/>
  <c r="BB165" i="1"/>
  <c r="AX165" i="1"/>
  <c r="AT165" i="1"/>
  <c r="BB164" i="1"/>
  <c r="AX164" i="1"/>
  <c r="AT164" i="1"/>
  <c r="CC163" i="1"/>
  <c r="BY163" i="1"/>
  <c r="BU163" i="1"/>
  <c r="BE163" i="1"/>
  <c r="BA163" i="1"/>
  <c r="AW163" i="1"/>
  <c r="AS163" i="1"/>
  <c r="O165" i="1"/>
  <c r="P165" i="1" s="1"/>
  <c r="O164" i="1"/>
  <c r="AY163" i="1"/>
  <c r="CA163" i="1"/>
  <c r="AW164" i="1"/>
  <c r="BE164" i="1"/>
  <c r="AV165" i="1"/>
  <c r="BD165" i="1"/>
  <c r="BD177" i="1"/>
  <c r="AZ177" i="1"/>
  <c r="AV177" i="1"/>
  <c r="BD176" i="1"/>
  <c r="AZ176" i="1"/>
  <c r="AV176" i="1"/>
  <c r="DK175" i="1"/>
  <c r="CE175" i="1"/>
  <c r="CA175" i="1"/>
  <c r="BW175" i="1"/>
  <c r="BS175" i="1"/>
  <c r="BC175" i="1"/>
  <c r="AY175" i="1"/>
  <c r="AU175" i="1"/>
  <c r="BC177" i="1"/>
  <c r="AY177" i="1"/>
  <c r="AU177" i="1"/>
  <c r="BC176" i="1"/>
  <c r="AY176" i="1"/>
  <c r="AU176" i="1"/>
  <c r="CD175" i="1"/>
  <c r="BZ175" i="1"/>
  <c r="BV175" i="1"/>
  <c r="BB175" i="1"/>
  <c r="AX175" i="1"/>
  <c r="AT175" i="1"/>
  <c r="AX177" i="1"/>
  <c r="BB176" i="1"/>
  <c r="AX176" i="1"/>
  <c r="AT176" i="1"/>
  <c r="CC175" i="1"/>
  <c r="BU175" i="1"/>
  <c r="AW175" i="1"/>
  <c r="BB177" i="1"/>
  <c r="AT177" i="1"/>
  <c r="BY175" i="1"/>
  <c r="BE175" i="1"/>
  <c r="BA175" i="1"/>
  <c r="AS175" i="1"/>
  <c r="BA176" i="1"/>
  <c r="AS177" i="1"/>
  <c r="O180" i="1"/>
  <c r="P180" i="1" s="1"/>
  <c r="O178" i="1"/>
  <c r="AM184" i="1"/>
  <c r="S184" i="1"/>
  <c r="T184" i="1" s="1"/>
  <c r="BD189" i="1"/>
  <c r="AZ189" i="1"/>
  <c r="AV189" i="1"/>
  <c r="BD188" i="1"/>
  <c r="AZ188" i="1"/>
  <c r="AV188" i="1"/>
  <c r="CD187" i="1"/>
  <c r="BZ187" i="1"/>
  <c r="BV187" i="1"/>
  <c r="BB187" i="1"/>
  <c r="AX187" i="1"/>
  <c r="AT187" i="1"/>
  <c r="BC189" i="1"/>
  <c r="AY189" i="1"/>
  <c r="AU189" i="1"/>
  <c r="BC188" i="1"/>
  <c r="AY188" i="1"/>
  <c r="AU188" i="1"/>
  <c r="CC187" i="1"/>
  <c r="BY187" i="1"/>
  <c r="BU187" i="1"/>
  <c r="BE187" i="1"/>
  <c r="BA187" i="1"/>
  <c r="AW187" i="1"/>
  <c r="AS187" i="1"/>
  <c r="BB189" i="1"/>
  <c r="AX189" i="1"/>
  <c r="AT189" i="1"/>
  <c r="BB188" i="1"/>
  <c r="AX188" i="1"/>
  <c r="AT188" i="1"/>
  <c r="BD187" i="1"/>
  <c r="AV187" i="1"/>
  <c r="CB187" i="1"/>
  <c r="BX187" i="1"/>
  <c r="AZ187" i="1"/>
  <c r="AU187" i="1"/>
  <c r="BW187" i="1"/>
  <c r="AW188" i="1"/>
  <c r="AW189" i="1"/>
  <c r="O192" i="1"/>
  <c r="P192" i="1" s="1"/>
  <c r="O190" i="1"/>
  <c r="BJ197" i="1"/>
  <c r="P197" i="1"/>
  <c r="AJ197" i="1" s="1"/>
  <c r="O210" i="1"/>
  <c r="P210" i="1" s="1"/>
  <c r="O208" i="1"/>
  <c r="O222" i="1"/>
  <c r="O221" i="1"/>
  <c r="O225" i="1"/>
  <c r="P225" i="1" s="1"/>
  <c r="O224" i="1"/>
  <c r="P232" i="1"/>
  <c r="AJ232" i="1" s="1"/>
  <c r="BJ232" i="1"/>
  <c r="BD240" i="1"/>
  <c r="AZ240" i="1"/>
  <c r="AV240" i="1"/>
  <c r="BC239" i="1"/>
  <c r="AY239" i="1"/>
  <c r="AU239" i="1"/>
  <c r="CC238" i="1"/>
  <c r="BY238" i="1"/>
  <c r="BU238" i="1"/>
  <c r="BE238" i="1"/>
  <c r="BA238" i="1"/>
  <c r="AW238" i="1"/>
  <c r="AS238" i="1"/>
  <c r="BC240" i="1"/>
  <c r="AX240" i="1"/>
  <c r="AS240" i="1"/>
  <c r="BA239" i="1"/>
  <c r="AV239" i="1"/>
  <c r="CD238" i="1"/>
  <c r="BX238" i="1"/>
  <c r="BS238" i="1"/>
  <c r="BB238" i="1"/>
  <c r="AV238" i="1"/>
  <c r="BA240" i="1"/>
  <c r="AU240" i="1"/>
  <c r="BD239" i="1"/>
  <c r="AX239" i="1"/>
  <c r="AS239" i="1"/>
  <c r="CA238" i="1"/>
  <c r="BV238" i="1"/>
  <c r="BD238" i="1"/>
  <c r="AY238" i="1"/>
  <c r="AT238" i="1"/>
  <c r="BB240" i="1"/>
  <c r="AW240" i="1"/>
  <c r="BE239" i="1"/>
  <c r="AZ239" i="1"/>
  <c r="AT239" i="1"/>
  <c r="CB238" i="1"/>
  <c r="BW238" i="1"/>
  <c r="AZ238" i="1"/>
  <c r="AU238" i="1"/>
  <c r="S238" i="1"/>
  <c r="BZ238" i="1"/>
  <c r="AW239" i="1"/>
  <c r="BU244" i="1"/>
  <c r="AV245" i="1"/>
  <c r="S253" i="1"/>
  <c r="AI253" i="1"/>
  <c r="P254" i="1"/>
  <c r="BF254" i="1"/>
  <c r="DJ387" i="1"/>
  <c r="DJ386" i="1"/>
  <c r="DJ385" i="1"/>
  <c r="D388" i="1"/>
  <c r="BD264" i="1"/>
  <c r="AZ264" i="1"/>
  <c r="AV264" i="1"/>
  <c r="BC263" i="1"/>
  <c r="AY263" i="1"/>
  <c r="AU263" i="1"/>
  <c r="CC262" i="1"/>
  <c r="BY262" i="1"/>
  <c r="BU262" i="1"/>
  <c r="BE262" i="1"/>
  <c r="BA262" i="1"/>
  <c r="AW262" i="1"/>
  <c r="AS262" i="1"/>
  <c r="AX262" i="1"/>
  <c r="BC262" i="1"/>
  <c r="BT262" i="1"/>
  <c r="BZ262" i="1"/>
  <c r="CE262" i="1"/>
  <c r="AW263" i="1"/>
  <c r="BB263" i="1"/>
  <c r="AT264" i="1"/>
  <c r="AY264" i="1"/>
  <c r="BE264" i="1"/>
  <c r="O267" i="1"/>
  <c r="P267" i="1" s="1"/>
  <c r="BH270" i="1"/>
  <c r="P270" i="1"/>
  <c r="AQ292" i="1"/>
  <c r="BJ293" i="1"/>
  <c r="BD306" i="1"/>
  <c r="AZ306" i="1"/>
  <c r="AV306" i="1"/>
  <c r="BC305" i="1"/>
  <c r="AY305" i="1"/>
  <c r="AU305" i="1"/>
  <c r="CC304" i="1"/>
  <c r="BY304" i="1"/>
  <c r="BU304" i="1"/>
  <c r="BE304" i="1"/>
  <c r="BA304" i="1"/>
  <c r="AW304" i="1"/>
  <c r="AS304" i="1"/>
  <c r="BC306" i="1"/>
  <c r="AY306" i="1"/>
  <c r="AU306" i="1"/>
  <c r="BB305" i="1"/>
  <c r="AX305" i="1"/>
  <c r="AT305" i="1"/>
  <c r="CB304" i="1"/>
  <c r="BX304" i="1"/>
  <c r="BT304" i="1"/>
  <c r="BD304" i="1"/>
  <c r="AZ304" i="1"/>
  <c r="AV304" i="1"/>
  <c r="AU304" i="1"/>
  <c r="BC304" i="1"/>
  <c r="CE304" i="1"/>
  <c r="AV305" i="1"/>
  <c r="BD305" i="1"/>
  <c r="AT306" i="1"/>
  <c r="BB306" i="1"/>
  <c r="P317" i="1"/>
  <c r="AG317" i="1" s="1"/>
  <c r="BE324" i="1"/>
  <c r="BA324" i="1"/>
  <c r="AW324" i="1"/>
  <c r="AS324" i="1"/>
  <c r="BD323" i="1"/>
  <c r="AZ323" i="1"/>
  <c r="AV323" i="1"/>
  <c r="BZ322" i="1"/>
  <c r="BV322" i="1"/>
  <c r="BB322" i="1"/>
  <c r="AX322" i="1"/>
  <c r="AT322" i="1"/>
  <c r="BD324" i="1"/>
  <c r="AZ324" i="1"/>
  <c r="AV324" i="1"/>
  <c r="BC323" i="1"/>
  <c r="AY323" i="1"/>
  <c r="AU323" i="1"/>
  <c r="CC322" i="1"/>
  <c r="BY322" i="1"/>
  <c r="BU322" i="1"/>
  <c r="BE322" i="1"/>
  <c r="BA322" i="1"/>
  <c r="AW322" i="1"/>
  <c r="AS322" i="1"/>
  <c r="AY322" i="1"/>
  <c r="BS322" i="1"/>
  <c r="CA322" i="1"/>
  <c r="AS323" i="1"/>
  <c r="BA323" i="1"/>
  <c r="AX324" i="1"/>
  <c r="AJ337" i="1"/>
  <c r="P337" i="1"/>
  <c r="O339" i="1"/>
  <c r="P339" i="1" s="1"/>
  <c r="O338" i="1"/>
  <c r="BC345" i="1"/>
  <c r="AY345" i="1"/>
  <c r="AU345" i="1"/>
  <c r="BC344" i="1"/>
  <c r="AY344" i="1"/>
  <c r="AU344" i="1"/>
  <c r="CD343" i="1"/>
  <c r="BV343" i="1"/>
  <c r="BB343" i="1"/>
  <c r="AX343" i="1"/>
  <c r="AT343" i="1"/>
  <c r="BB345" i="1"/>
  <c r="AX345" i="1"/>
  <c r="AT345" i="1"/>
  <c r="BB344" i="1"/>
  <c r="AX344" i="1"/>
  <c r="AT344" i="1"/>
  <c r="CC343" i="1"/>
  <c r="BY343" i="1"/>
  <c r="BU343" i="1"/>
  <c r="BE343" i="1"/>
  <c r="BA343" i="1"/>
  <c r="AW343" i="1"/>
  <c r="AS343" i="1"/>
  <c r="AZ343" i="1"/>
  <c r="CB343" i="1"/>
  <c r="AW344" i="1"/>
  <c r="BE344" i="1"/>
  <c r="AV345" i="1"/>
  <c r="BD345" i="1"/>
  <c r="DJ347" i="1"/>
  <c r="DJ348" i="1"/>
  <c r="DJ346" i="1"/>
  <c r="BH353" i="1"/>
  <c r="P353" i="1"/>
  <c r="AH353" i="1" s="1"/>
  <c r="BM359" i="1"/>
  <c r="P359" i="1"/>
  <c r="BZ358" i="1"/>
  <c r="F361" i="1"/>
  <c r="BH365" i="1"/>
  <c r="P365" i="1"/>
  <c r="F367" i="1"/>
  <c r="BM376" i="1"/>
  <c r="AF379" i="1"/>
  <c r="P379" i="1"/>
  <c r="BE384" i="1"/>
  <c r="BA384" i="1"/>
  <c r="AW384" i="1"/>
  <c r="AS384" i="1"/>
  <c r="BD383" i="1"/>
  <c r="AZ383" i="1"/>
  <c r="AV383" i="1"/>
  <c r="CD382" i="1"/>
  <c r="BZ382" i="1"/>
  <c r="BV382" i="1"/>
  <c r="BB382" i="1"/>
  <c r="AX382" i="1"/>
  <c r="AT382" i="1"/>
  <c r="BD384" i="1"/>
  <c r="AY384" i="1"/>
  <c r="AT384" i="1"/>
  <c r="BB383" i="1"/>
  <c r="AW383" i="1"/>
  <c r="CE382" i="1"/>
  <c r="BY382" i="1"/>
  <c r="BD382" i="1"/>
  <c r="AY382" i="1"/>
  <c r="AS382" i="1"/>
  <c r="S382" i="1"/>
  <c r="T382" i="1" s="1"/>
  <c r="BC384" i="1"/>
  <c r="AX384" i="1"/>
  <c r="BA383" i="1"/>
  <c r="AU383" i="1"/>
  <c r="CC382" i="1"/>
  <c r="BX382" i="1"/>
  <c r="BS382" i="1"/>
  <c r="BC382" i="1"/>
  <c r="AW382" i="1"/>
  <c r="AU382" i="1"/>
  <c r="BE382" i="1"/>
  <c r="CA382" i="1"/>
  <c r="AT383" i="1"/>
  <c r="BE383" i="1"/>
  <c r="DJ383" i="1"/>
  <c r="AZ384" i="1"/>
  <c r="BB414" i="1"/>
  <c r="AX414" i="1"/>
  <c r="AT414" i="1"/>
  <c r="BE413" i="1"/>
  <c r="BA413" i="1"/>
  <c r="AW413" i="1"/>
  <c r="AS413" i="1"/>
  <c r="CE412" i="1"/>
  <c r="CA412" i="1"/>
  <c r="BW412" i="1"/>
  <c r="BS412" i="1"/>
  <c r="BC412" i="1"/>
  <c r="AY412" i="1"/>
  <c r="AU412" i="1"/>
  <c r="BE414" i="1"/>
  <c r="AZ414" i="1"/>
  <c r="AU414" i="1"/>
  <c r="BB413" i="1"/>
  <c r="AV413" i="1"/>
  <c r="CB412" i="1"/>
  <c r="BV412" i="1"/>
  <c r="BE412" i="1"/>
  <c r="AZ412" i="1"/>
  <c r="AT412" i="1"/>
  <c r="BD414" i="1"/>
  <c r="AY414" i="1"/>
  <c r="AS414" i="1"/>
  <c r="AZ413" i="1"/>
  <c r="AU413" i="1"/>
  <c r="BU412" i="1"/>
  <c r="BD412" i="1"/>
  <c r="AX412" i="1"/>
  <c r="AS412" i="1"/>
  <c r="BB412" i="1"/>
  <c r="CC412" i="1"/>
  <c r="BC413" i="1"/>
  <c r="AW414" i="1"/>
  <c r="D421" i="1"/>
  <c r="DJ419" i="1"/>
  <c r="DK418" i="1"/>
  <c r="BE432" i="1"/>
  <c r="BA432" i="1"/>
  <c r="AW432" i="1"/>
  <c r="AS432" i="1"/>
  <c r="BD431" i="1"/>
  <c r="AZ431" i="1"/>
  <c r="AV431" i="1"/>
  <c r="BZ430" i="1"/>
  <c r="BV430" i="1"/>
  <c r="BB430" i="1"/>
  <c r="AX430" i="1"/>
  <c r="AT430" i="1"/>
  <c r="BD432" i="1"/>
  <c r="AY432" i="1"/>
  <c r="AT432" i="1"/>
  <c r="BB431" i="1"/>
  <c r="AW431" i="1"/>
  <c r="CE430" i="1"/>
  <c r="BY430" i="1"/>
  <c r="BT430" i="1"/>
  <c r="BD430" i="1"/>
  <c r="AY430" i="1"/>
  <c r="AS430" i="1"/>
  <c r="BC432" i="1"/>
  <c r="AX432" i="1"/>
  <c r="BA431" i="1"/>
  <c r="AU431" i="1"/>
  <c r="DK430" i="1"/>
  <c r="CC430" i="1"/>
  <c r="BX430" i="1"/>
  <c r="BS430" i="1"/>
  <c r="BC430" i="1"/>
  <c r="AW430" i="1"/>
  <c r="AV430" i="1"/>
  <c r="CB430" i="1"/>
  <c r="AY431" i="1"/>
  <c r="AU432" i="1"/>
  <c r="S442" i="1"/>
  <c r="T442" i="1" s="1"/>
  <c r="AU442" i="1"/>
  <c r="BE442" i="1"/>
  <c r="BY442" i="1"/>
  <c r="P443" i="1"/>
  <c r="AM443" i="1"/>
  <c r="BM443" i="1"/>
  <c r="AW443" i="1"/>
  <c r="AT444" i="1"/>
  <c r="P451" i="1"/>
  <c r="AJ451" i="1" s="1"/>
  <c r="BJ451" i="1"/>
  <c r="AS451" i="1"/>
  <c r="BC451" i="1"/>
  <c r="BZ451" i="1"/>
  <c r="AT452" i="1"/>
  <c r="BD452" i="1"/>
  <c r="BE456" i="1"/>
  <c r="BA456" i="1"/>
  <c r="AW456" i="1"/>
  <c r="AS456" i="1"/>
  <c r="BD455" i="1"/>
  <c r="AZ455" i="1"/>
  <c r="AV455" i="1"/>
  <c r="CC454" i="1"/>
  <c r="BY454" i="1"/>
  <c r="BU454" i="1"/>
  <c r="BE454" i="1"/>
  <c r="BA454" i="1"/>
  <c r="AW454" i="1"/>
  <c r="AS454" i="1"/>
  <c r="BD456" i="1"/>
  <c r="AY456" i="1"/>
  <c r="AT456" i="1"/>
  <c r="BA455" i="1"/>
  <c r="AU455" i="1"/>
  <c r="BX454" i="1"/>
  <c r="BS454" i="1"/>
  <c r="AZ454" i="1"/>
  <c r="AU454" i="1"/>
  <c r="BC456" i="1"/>
  <c r="AX456" i="1"/>
  <c r="BE455" i="1"/>
  <c r="AY455" i="1"/>
  <c r="AT455" i="1"/>
  <c r="CB454" i="1"/>
  <c r="BW454" i="1"/>
  <c r="BD454" i="1"/>
  <c r="AY454" i="1"/>
  <c r="AT454" i="1"/>
  <c r="AX454" i="1"/>
  <c r="BV454" i="1"/>
  <c r="O455" i="1"/>
  <c r="AW455" i="1"/>
  <c r="AV456" i="1"/>
  <c r="BQ460" i="1"/>
  <c r="P460" i="1"/>
  <c r="AQ469" i="1"/>
  <c r="P469" i="1"/>
  <c r="O472" i="1"/>
  <c r="O473" i="1"/>
  <c r="BM475" i="1"/>
  <c r="P475" i="1"/>
  <c r="AM481" i="1"/>
  <c r="P481" i="1"/>
  <c r="BM481" i="1"/>
  <c r="BG488" i="1"/>
  <c r="P488" i="1"/>
  <c r="AG488" i="1" s="1"/>
  <c r="P503" i="1"/>
  <c r="AG503" i="1" s="1"/>
  <c r="BG503" i="1"/>
  <c r="O528" i="1"/>
  <c r="P528" i="1" s="1"/>
  <c r="O526" i="1"/>
  <c r="O527" i="1"/>
  <c r="BF194" i="1"/>
  <c r="D265" i="1"/>
  <c r="AY262" i="1"/>
  <c r="BV262" i="1"/>
  <c r="DJ263" i="1"/>
  <c r="BA264" i="1"/>
  <c r="BY265" i="1"/>
  <c r="CD265" i="1"/>
  <c r="AY266" i="1"/>
  <c r="BB267" i="1"/>
  <c r="AJ271" i="1"/>
  <c r="P271" i="1"/>
  <c r="BF275" i="1"/>
  <c r="BB282" i="1"/>
  <c r="AX282" i="1"/>
  <c r="AT282" i="1"/>
  <c r="BE281" i="1"/>
  <c r="BA281" i="1"/>
  <c r="AW281" i="1"/>
  <c r="AS281" i="1"/>
  <c r="DK280" i="1"/>
  <c r="CE280" i="1"/>
  <c r="CA280" i="1"/>
  <c r="BW280" i="1"/>
  <c r="BS280" i="1"/>
  <c r="BC280" i="1"/>
  <c r="AY280" i="1"/>
  <c r="AU280" i="1"/>
  <c r="AW280" i="1"/>
  <c r="BB280" i="1"/>
  <c r="BU280" i="1"/>
  <c r="BZ280" i="1"/>
  <c r="P281" i="1"/>
  <c r="AQ281" i="1" s="1"/>
  <c r="AT281" i="1"/>
  <c r="AY281" i="1"/>
  <c r="BD281" i="1"/>
  <c r="AW282" i="1"/>
  <c r="BC282" i="1"/>
  <c r="DJ283" i="1"/>
  <c r="DJ285" i="1"/>
  <c r="CD286" i="1"/>
  <c r="BD294" i="1"/>
  <c r="AZ294" i="1"/>
  <c r="AV294" i="1"/>
  <c r="BC293" i="1"/>
  <c r="AY293" i="1"/>
  <c r="AU293" i="1"/>
  <c r="CC292" i="1"/>
  <c r="BY292" i="1"/>
  <c r="BU292" i="1"/>
  <c r="BE292" i="1"/>
  <c r="BA292" i="1"/>
  <c r="AW292" i="1"/>
  <c r="AS292" i="1"/>
  <c r="BC294" i="1"/>
  <c r="AY294" i="1"/>
  <c r="AU294" i="1"/>
  <c r="P292" i="1"/>
  <c r="AX292" i="1"/>
  <c r="BC292" i="1"/>
  <c r="BV292" i="1"/>
  <c r="CA292" i="1"/>
  <c r="AW293" i="1"/>
  <c r="BB293" i="1"/>
  <c r="AW294" i="1"/>
  <c r="BE294" i="1"/>
  <c r="P301" i="1"/>
  <c r="AQ301" i="1"/>
  <c r="O303" i="1"/>
  <c r="P303" i="1" s="1"/>
  <c r="AX304" i="1"/>
  <c r="BZ304" i="1"/>
  <c r="AW305" i="1"/>
  <c r="BE305" i="1"/>
  <c r="AW306" i="1"/>
  <c r="BE306" i="1"/>
  <c r="AJ314" i="1"/>
  <c r="P314" i="1"/>
  <c r="S322" i="1"/>
  <c r="T322" i="1" s="1"/>
  <c r="AZ322" i="1"/>
  <c r="BT322" i="1"/>
  <c r="CB322" i="1"/>
  <c r="AT323" i="1"/>
  <c r="BB323" i="1"/>
  <c r="O324" i="1"/>
  <c r="P324" i="1" s="1"/>
  <c r="AY324" i="1"/>
  <c r="P325" i="1"/>
  <c r="AM325" i="1"/>
  <c r="O327" i="1"/>
  <c r="BE330" i="1"/>
  <c r="BA330" i="1"/>
  <c r="AW330" i="1"/>
  <c r="AS330" i="1"/>
  <c r="BD329" i="1"/>
  <c r="AZ329" i="1"/>
  <c r="AV329" i="1"/>
  <c r="CC328" i="1"/>
  <c r="BY328" i="1"/>
  <c r="BU328" i="1"/>
  <c r="BE328" i="1"/>
  <c r="BA328" i="1"/>
  <c r="AW328" i="1"/>
  <c r="AS328" i="1"/>
  <c r="BD330" i="1"/>
  <c r="AZ330" i="1"/>
  <c r="AV330" i="1"/>
  <c r="BC329" i="1"/>
  <c r="AY329" i="1"/>
  <c r="AU329" i="1"/>
  <c r="CB328" i="1"/>
  <c r="BX328" i="1"/>
  <c r="BT328" i="1"/>
  <c r="BD328" i="1"/>
  <c r="AZ328" i="1"/>
  <c r="AV328" i="1"/>
  <c r="S328" i="1"/>
  <c r="AT328" i="1"/>
  <c r="BB328" i="1"/>
  <c r="BW328" i="1"/>
  <c r="CE328" i="1"/>
  <c r="AW329" i="1"/>
  <c r="BE329" i="1"/>
  <c r="AT330" i="1"/>
  <c r="BB330" i="1"/>
  <c r="BB333" i="1"/>
  <c r="AX333" i="1"/>
  <c r="AT333" i="1"/>
  <c r="BB332" i="1"/>
  <c r="AX332" i="1"/>
  <c r="AT332" i="1"/>
  <c r="CC331" i="1"/>
  <c r="BY331" i="1"/>
  <c r="BU331" i="1"/>
  <c r="BE331" i="1"/>
  <c r="BA331" i="1"/>
  <c r="AW331" i="1"/>
  <c r="AS331" i="1"/>
  <c r="BE333" i="1"/>
  <c r="BA333" i="1"/>
  <c r="AW333" i="1"/>
  <c r="AS333" i="1"/>
  <c r="BE332" i="1"/>
  <c r="BA332" i="1"/>
  <c r="AW332" i="1"/>
  <c r="AS332" i="1"/>
  <c r="CB331" i="1"/>
  <c r="BX331" i="1"/>
  <c r="BT331" i="1"/>
  <c r="BD331" i="1"/>
  <c r="AZ331" i="1"/>
  <c r="AV331" i="1"/>
  <c r="S331" i="1"/>
  <c r="T331" i="1" s="1"/>
  <c r="AT331" i="1"/>
  <c r="BB331" i="1"/>
  <c r="BV331" i="1"/>
  <c r="CD331" i="1"/>
  <c r="AY332" i="1"/>
  <c r="AV333" i="1"/>
  <c r="BD333" i="1"/>
  <c r="F334" i="1"/>
  <c r="AU343" i="1"/>
  <c r="BC343" i="1"/>
  <c r="BW343" i="1"/>
  <c r="CE343" i="1"/>
  <c r="AZ344" i="1"/>
  <c r="AW345" i="1"/>
  <c r="BE345" i="1"/>
  <c r="BC351" i="1"/>
  <c r="AY351" i="1"/>
  <c r="AU351" i="1"/>
  <c r="BC350" i="1"/>
  <c r="AY350" i="1"/>
  <c r="AU350" i="1"/>
  <c r="BZ349" i="1"/>
  <c r="BV349" i="1"/>
  <c r="BB349" i="1"/>
  <c r="AX349" i="1"/>
  <c r="AT349" i="1"/>
  <c r="BB351" i="1"/>
  <c r="AX351" i="1"/>
  <c r="AT351" i="1"/>
  <c r="BB350" i="1"/>
  <c r="AX350" i="1"/>
  <c r="AT350" i="1"/>
  <c r="CC349" i="1"/>
  <c r="BY349" i="1"/>
  <c r="BU349" i="1"/>
  <c r="BE349" i="1"/>
  <c r="BA349" i="1"/>
  <c r="AW349" i="1"/>
  <c r="AS349" i="1"/>
  <c r="P349" i="1"/>
  <c r="AQ349" i="1" s="1"/>
  <c r="O351" i="1"/>
  <c r="P351" i="1" s="1"/>
  <c r="O350" i="1"/>
  <c r="AY349" i="1"/>
  <c r="BS349" i="1"/>
  <c r="CA349" i="1"/>
  <c r="AW350" i="1"/>
  <c r="BE350" i="1"/>
  <c r="AV351" i="1"/>
  <c r="BD351" i="1"/>
  <c r="AG361" i="1"/>
  <c r="P361" i="1"/>
  <c r="O363" i="1"/>
  <c r="P363" i="1" s="1"/>
  <c r="O362" i="1"/>
  <c r="BG361" i="1"/>
  <c r="AH365" i="1"/>
  <c r="BQ367" i="1"/>
  <c r="P367" i="1"/>
  <c r="O369" i="1"/>
  <c r="P369" i="1" s="1"/>
  <c r="O368" i="1"/>
  <c r="AQ367" i="1"/>
  <c r="DJ384" i="1"/>
  <c r="DJ382" i="1"/>
  <c r="DK382" i="1"/>
  <c r="AF385" i="1"/>
  <c r="P385" i="1"/>
  <c r="BF385" i="1"/>
  <c r="O387" i="1"/>
  <c r="P387" i="1" s="1"/>
  <c r="P391" i="1"/>
  <c r="AM391" i="1" s="1"/>
  <c r="BM391" i="1"/>
  <c r="O394" i="1"/>
  <c r="O395" i="1"/>
  <c r="AJ400" i="1"/>
  <c r="P400" i="1"/>
  <c r="O403" i="1"/>
  <c r="P403" i="1" s="1"/>
  <c r="O405" i="1"/>
  <c r="P405" i="1" s="1"/>
  <c r="F412" i="1"/>
  <c r="O415" i="1"/>
  <c r="O417" i="1"/>
  <c r="P417" i="1" s="1"/>
  <c r="BW424" i="1"/>
  <c r="BH428" i="1"/>
  <c r="P428" i="1"/>
  <c r="AH428" i="1" s="1"/>
  <c r="BQ439" i="1"/>
  <c r="P439" i="1"/>
  <c r="AQ439" i="1"/>
  <c r="BE444" i="1"/>
  <c r="BA444" i="1"/>
  <c r="AW444" i="1"/>
  <c r="AS444" i="1"/>
  <c r="BD443" i="1"/>
  <c r="AZ443" i="1"/>
  <c r="AV443" i="1"/>
  <c r="BZ442" i="1"/>
  <c r="BV442" i="1"/>
  <c r="BB442" i="1"/>
  <c r="AX442" i="1"/>
  <c r="AT442" i="1"/>
  <c r="BC444" i="1"/>
  <c r="AX444" i="1"/>
  <c r="BA443" i="1"/>
  <c r="AU443" i="1"/>
  <c r="CC442" i="1"/>
  <c r="BX442" i="1"/>
  <c r="BS442" i="1"/>
  <c r="BC442" i="1"/>
  <c r="AW442" i="1"/>
  <c r="BB444" i="1"/>
  <c r="AV444" i="1"/>
  <c r="BE443" i="1"/>
  <c r="AY443" i="1"/>
  <c r="AT443" i="1"/>
  <c r="CB442" i="1"/>
  <c r="BW442" i="1"/>
  <c r="BA442" i="1"/>
  <c r="AV442" i="1"/>
  <c r="AY442" i="1"/>
  <c r="CA442" i="1"/>
  <c r="AX443" i="1"/>
  <c r="AU444" i="1"/>
  <c r="BE453" i="1"/>
  <c r="BA453" i="1"/>
  <c r="AW453" i="1"/>
  <c r="AS453" i="1"/>
  <c r="BE452" i="1"/>
  <c r="BA452" i="1"/>
  <c r="AW452" i="1"/>
  <c r="AS452" i="1"/>
  <c r="CB451" i="1"/>
  <c r="BX451" i="1"/>
  <c r="BT451" i="1"/>
  <c r="BD451" i="1"/>
  <c r="AZ451" i="1"/>
  <c r="AV451" i="1"/>
  <c r="BB453" i="1"/>
  <c r="AV453" i="1"/>
  <c r="BC452" i="1"/>
  <c r="AX452" i="1"/>
  <c r="CC451" i="1"/>
  <c r="BW451" i="1"/>
  <c r="BA451" i="1"/>
  <c r="AU451" i="1"/>
  <c r="S451" i="1"/>
  <c r="AZ453" i="1"/>
  <c r="AU453" i="1"/>
  <c r="BB452" i="1"/>
  <c r="AV452" i="1"/>
  <c r="CA451" i="1"/>
  <c r="BV451" i="1"/>
  <c r="BE451" i="1"/>
  <c r="AY451" i="1"/>
  <c r="AT451" i="1"/>
  <c r="AW451" i="1"/>
  <c r="BS451" i="1"/>
  <c r="CD451" i="1"/>
  <c r="AU452" i="1"/>
  <c r="BC453" i="1"/>
  <c r="BB454" i="1"/>
  <c r="BZ454" i="1"/>
  <c r="AX455" i="1"/>
  <c r="AZ456" i="1"/>
  <c r="BG466" i="1"/>
  <c r="BQ469" i="1"/>
  <c r="BI485" i="1"/>
  <c r="AI485" i="1"/>
  <c r="P485" i="1"/>
  <c r="BJ533" i="1"/>
  <c r="P533" i="1"/>
  <c r="AJ533" i="1" s="1"/>
  <c r="O173" i="1"/>
  <c r="O185" i="1"/>
  <c r="BJ200" i="1"/>
  <c r="BC252" i="1"/>
  <c r="AY252" i="1"/>
  <c r="AU252" i="1"/>
  <c r="BB251" i="1"/>
  <c r="AX251" i="1"/>
  <c r="AT251" i="1"/>
  <c r="CB250" i="1"/>
  <c r="BX250" i="1"/>
  <c r="BT250" i="1"/>
  <c r="BD250" i="1"/>
  <c r="AZ250" i="1"/>
  <c r="AV250" i="1"/>
  <c r="BB250" i="1"/>
  <c r="BS250" i="1"/>
  <c r="CD250" i="1"/>
  <c r="AU251" i="1"/>
  <c r="BE251" i="1"/>
  <c r="AX252" i="1"/>
  <c r="BJ259" i="1"/>
  <c r="E12" i="2"/>
  <c r="L3" i="2"/>
  <c r="L7" i="2"/>
  <c r="L11" i="2"/>
  <c r="L15" i="2"/>
  <c r="AB7" i="1"/>
  <c r="DJ8" i="1"/>
  <c r="DJ9" i="1"/>
  <c r="AT31" i="1"/>
  <c r="AX31" i="1"/>
  <c r="BB31" i="1"/>
  <c r="BV31" i="1"/>
  <c r="BZ31" i="1"/>
  <c r="AU32" i="1"/>
  <c r="AY32" i="1"/>
  <c r="BC32" i="1"/>
  <c r="AU33" i="1"/>
  <c r="AY33" i="1"/>
  <c r="BC33" i="1"/>
  <c r="AU34" i="1"/>
  <c r="AY34" i="1"/>
  <c r="BC34" i="1"/>
  <c r="BS34" i="1"/>
  <c r="CA34" i="1"/>
  <c r="CE34" i="1"/>
  <c r="AS35" i="1"/>
  <c r="AW35" i="1"/>
  <c r="BA35" i="1"/>
  <c r="BE35" i="1"/>
  <c r="AT36" i="1"/>
  <c r="AX36" i="1"/>
  <c r="BB36" i="1"/>
  <c r="AT37" i="1"/>
  <c r="AX37" i="1"/>
  <c r="BB37" i="1"/>
  <c r="BV37" i="1"/>
  <c r="BZ37" i="1"/>
  <c r="CD37" i="1"/>
  <c r="AU38" i="1"/>
  <c r="AY38" i="1"/>
  <c r="BC38" i="1"/>
  <c r="AU39" i="1"/>
  <c r="AY39" i="1"/>
  <c r="BC39" i="1"/>
  <c r="AU40" i="1"/>
  <c r="AY40" i="1"/>
  <c r="BC40" i="1"/>
  <c r="BS40" i="1"/>
  <c r="BW40" i="1"/>
  <c r="CA40" i="1"/>
  <c r="CE40" i="1"/>
  <c r="AS41" i="1"/>
  <c r="AW41" i="1"/>
  <c r="BA41" i="1"/>
  <c r="BE41" i="1"/>
  <c r="AT42" i="1"/>
  <c r="AX42" i="1"/>
  <c r="AT43" i="1"/>
  <c r="AX43" i="1"/>
  <c r="BB43" i="1"/>
  <c r="BV43" i="1"/>
  <c r="BZ43" i="1"/>
  <c r="CD43" i="1"/>
  <c r="AU44" i="1"/>
  <c r="AY44" i="1"/>
  <c r="BC44" i="1"/>
  <c r="AU45" i="1"/>
  <c r="AY45" i="1"/>
  <c r="BC45" i="1"/>
  <c r="AT46" i="1"/>
  <c r="AX46" i="1"/>
  <c r="BB46" i="1"/>
  <c r="BV46" i="1"/>
  <c r="BZ46" i="1"/>
  <c r="AV47" i="1"/>
  <c r="AZ47" i="1"/>
  <c r="BD47" i="1"/>
  <c r="AS48" i="1"/>
  <c r="AW48" i="1"/>
  <c r="BA48" i="1"/>
  <c r="AT52" i="1"/>
  <c r="AX52" i="1"/>
  <c r="BB52" i="1"/>
  <c r="BV52" i="1"/>
  <c r="BZ52" i="1"/>
  <c r="CD52" i="1"/>
  <c r="AV53" i="1"/>
  <c r="AZ53" i="1"/>
  <c r="BD53" i="1"/>
  <c r="AS54" i="1"/>
  <c r="AW54" i="1"/>
  <c r="BA54" i="1"/>
  <c r="BE54" i="1"/>
  <c r="AU58" i="1"/>
  <c r="AY58" i="1"/>
  <c r="BC58" i="1"/>
  <c r="BS58" i="1"/>
  <c r="CA58" i="1"/>
  <c r="CE58" i="1"/>
  <c r="DK58" i="1"/>
  <c r="AS59" i="1"/>
  <c r="AW59" i="1"/>
  <c r="BA59" i="1"/>
  <c r="BE59" i="1"/>
  <c r="F15" i="2" s="1"/>
  <c r="G15" i="2" s="1"/>
  <c r="DJ59" i="1"/>
  <c r="AT60" i="1"/>
  <c r="AX60" i="1"/>
  <c r="AS61" i="1"/>
  <c r="AW61" i="1"/>
  <c r="BA61" i="1"/>
  <c r="BE61" i="1"/>
  <c r="BU61" i="1"/>
  <c r="BY61" i="1"/>
  <c r="CC61" i="1"/>
  <c r="AT62" i="1"/>
  <c r="AX62" i="1"/>
  <c r="BB62" i="1"/>
  <c r="AT63" i="1"/>
  <c r="AX63" i="1"/>
  <c r="BB63" i="1"/>
  <c r="AS64" i="1"/>
  <c r="AW64" i="1"/>
  <c r="BA64" i="1"/>
  <c r="BE64" i="1"/>
  <c r="BU64" i="1"/>
  <c r="BY64" i="1"/>
  <c r="CC64" i="1"/>
  <c r="AU65" i="1"/>
  <c r="AY65" i="1"/>
  <c r="BC65" i="1"/>
  <c r="AV66" i="1"/>
  <c r="AZ66" i="1"/>
  <c r="BD66" i="1"/>
  <c r="AT70" i="1"/>
  <c r="AX70" i="1"/>
  <c r="BB70" i="1"/>
  <c r="BV70" i="1"/>
  <c r="CD70" i="1"/>
  <c r="AV71" i="1"/>
  <c r="AZ71" i="1"/>
  <c r="BD71" i="1"/>
  <c r="AS72" i="1"/>
  <c r="AW72" i="1"/>
  <c r="BA72" i="1"/>
  <c r="BE72" i="1"/>
  <c r="AT76" i="1"/>
  <c r="AX76" i="1"/>
  <c r="BB76" i="1"/>
  <c r="BV76" i="1"/>
  <c r="BZ76" i="1"/>
  <c r="AV77" i="1"/>
  <c r="AZ77" i="1"/>
  <c r="BD77" i="1"/>
  <c r="AS78" i="1"/>
  <c r="AW78" i="1"/>
  <c r="BA78" i="1"/>
  <c r="BE78" i="1"/>
  <c r="AT82" i="1"/>
  <c r="AX82" i="1"/>
  <c r="BB82" i="1"/>
  <c r="BV82" i="1"/>
  <c r="BZ82" i="1"/>
  <c r="CD82" i="1"/>
  <c r="AV83" i="1"/>
  <c r="AZ83" i="1"/>
  <c r="BD83" i="1"/>
  <c r="AS84" i="1"/>
  <c r="AW84" i="1"/>
  <c r="BA84" i="1"/>
  <c r="BE84" i="1"/>
  <c r="AT91" i="1"/>
  <c r="AX91" i="1"/>
  <c r="BB91" i="1"/>
  <c r="BV91" i="1"/>
  <c r="BZ91" i="1"/>
  <c r="AU92" i="1"/>
  <c r="AY92" i="1"/>
  <c r="BC92" i="1"/>
  <c r="AU93" i="1"/>
  <c r="AY93" i="1"/>
  <c r="S94" i="1"/>
  <c r="AU94" i="1"/>
  <c r="AY94" i="1"/>
  <c r="BC94" i="1"/>
  <c r="BS94" i="1"/>
  <c r="CA94" i="1"/>
  <c r="CE94" i="1"/>
  <c r="AT95" i="1"/>
  <c r="AX95" i="1"/>
  <c r="BB95" i="1"/>
  <c r="AU96" i="1"/>
  <c r="AY96" i="1"/>
  <c r="AU97" i="1"/>
  <c r="AY97" i="1"/>
  <c r="BC97" i="1"/>
  <c r="BS97" i="1"/>
  <c r="CA97" i="1"/>
  <c r="CE97" i="1"/>
  <c r="AV98" i="1"/>
  <c r="AZ98" i="1"/>
  <c r="BD98" i="1"/>
  <c r="AV99" i="1"/>
  <c r="AZ99" i="1"/>
  <c r="S121" i="1"/>
  <c r="AU121" i="1"/>
  <c r="AY121" i="1"/>
  <c r="BC121" i="1"/>
  <c r="BS121" i="1"/>
  <c r="BW121" i="1"/>
  <c r="CA121" i="1"/>
  <c r="CE121" i="1"/>
  <c r="AV122" i="1"/>
  <c r="AZ122" i="1"/>
  <c r="BD122" i="1"/>
  <c r="AV123" i="1"/>
  <c r="AZ123" i="1"/>
  <c r="S127" i="1"/>
  <c r="T127" i="1" s="1"/>
  <c r="AU127" i="1"/>
  <c r="AY127" i="1"/>
  <c r="BC127" i="1"/>
  <c r="BS127" i="1"/>
  <c r="BW127" i="1"/>
  <c r="CA127" i="1"/>
  <c r="CE127" i="1"/>
  <c r="AV128" i="1"/>
  <c r="AZ128" i="1"/>
  <c r="BD128" i="1"/>
  <c r="AV129" i="1"/>
  <c r="AZ129" i="1"/>
  <c r="AV133" i="1"/>
  <c r="AZ133" i="1"/>
  <c r="BD133" i="1"/>
  <c r="BT133" i="1"/>
  <c r="BX133" i="1"/>
  <c r="CB133" i="1"/>
  <c r="AS134" i="1"/>
  <c r="AW134" i="1"/>
  <c r="BA134" i="1"/>
  <c r="BE134" i="1"/>
  <c r="AS135" i="1"/>
  <c r="AW135" i="1"/>
  <c r="BA135" i="1"/>
  <c r="AT151" i="1"/>
  <c r="AX151" i="1"/>
  <c r="BB151" i="1"/>
  <c r="BV151" i="1"/>
  <c r="BZ151" i="1"/>
  <c r="CD151" i="1"/>
  <c r="AU152" i="1"/>
  <c r="AY152" i="1"/>
  <c r="BC152" i="1"/>
  <c r="AU153" i="1"/>
  <c r="AY153" i="1"/>
  <c r="BC153" i="1"/>
  <c r="AT154" i="1"/>
  <c r="AX154" i="1"/>
  <c r="BB154" i="1"/>
  <c r="BV154" i="1"/>
  <c r="CD154" i="1"/>
  <c r="AV155" i="1"/>
  <c r="AZ155" i="1"/>
  <c r="BD155" i="1"/>
  <c r="AS156" i="1"/>
  <c r="AW156" i="1"/>
  <c r="BA156" i="1"/>
  <c r="AT160" i="1"/>
  <c r="AX160" i="1"/>
  <c r="BB160" i="1"/>
  <c r="BV160" i="1"/>
  <c r="BZ160" i="1"/>
  <c r="CD160" i="1"/>
  <c r="AV161" i="1"/>
  <c r="AZ161" i="1"/>
  <c r="BD161" i="1"/>
  <c r="AS162" i="1"/>
  <c r="AW162" i="1"/>
  <c r="BA162" i="1"/>
  <c r="BE162" i="1"/>
  <c r="AT166" i="1"/>
  <c r="AX166" i="1"/>
  <c r="BB166" i="1"/>
  <c r="BV166" i="1"/>
  <c r="BZ166" i="1"/>
  <c r="CD166" i="1"/>
  <c r="AV167" i="1"/>
  <c r="AZ167" i="1"/>
  <c r="BD167" i="1"/>
  <c r="AS168" i="1"/>
  <c r="AW168" i="1"/>
  <c r="BA168" i="1"/>
  <c r="BE168" i="1"/>
  <c r="AT172" i="1"/>
  <c r="AX172" i="1"/>
  <c r="BB172" i="1"/>
  <c r="BV172" i="1"/>
  <c r="BZ172" i="1"/>
  <c r="CD172" i="1"/>
  <c r="AV173" i="1"/>
  <c r="AZ173" i="1"/>
  <c r="BD173" i="1"/>
  <c r="AS174" i="1"/>
  <c r="AW174" i="1"/>
  <c r="BA174" i="1"/>
  <c r="BE174" i="1"/>
  <c r="P176" i="1"/>
  <c r="AG176" i="1" s="1"/>
  <c r="AU178" i="1"/>
  <c r="AY178" i="1"/>
  <c r="BC178" i="1"/>
  <c r="BS178" i="1"/>
  <c r="CA178" i="1"/>
  <c r="CE178" i="1"/>
  <c r="DK178" i="1"/>
  <c r="AS179" i="1"/>
  <c r="AW179" i="1"/>
  <c r="BA179" i="1"/>
  <c r="BE179" i="1"/>
  <c r="DJ179" i="1"/>
  <c r="AT180" i="1"/>
  <c r="AX180" i="1"/>
  <c r="AT181" i="1"/>
  <c r="AX181" i="1"/>
  <c r="BB181" i="1"/>
  <c r="BV181" i="1"/>
  <c r="BZ181" i="1"/>
  <c r="P182" i="1"/>
  <c r="AU182" i="1"/>
  <c r="AY182" i="1"/>
  <c r="BC182" i="1"/>
  <c r="P183" i="1"/>
  <c r="AU183" i="1"/>
  <c r="AY183" i="1"/>
  <c r="BC183" i="1"/>
  <c r="AT184" i="1"/>
  <c r="AX184" i="1"/>
  <c r="BB184" i="1"/>
  <c r="BV184" i="1"/>
  <c r="BZ184" i="1"/>
  <c r="CD184" i="1"/>
  <c r="AV185" i="1"/>
  <c r="AZ185" i="1"/>
  <c r="BD185" i="1"/>
  <c r="AS186" i="1"/>
  <c r="AW186" i="1"/>
  <c r="BA186" i="1"/>
  <c r="S190" i="1"/>
  <c r="AU190" i="1"/>
  <c r="AY190" i="1"/>
  <c r="BC190" i="1"/>
  <c r="BS190" i="1"/>
  <c r="BW190" i="1"/>
  <c r="CA190" i="1"/>
  <c r="CE190" i="1"/>
  <c r="AS191" i="1"/>
  <c r="AW191" i="1"/>
  <c r="BA191" i="1"/>
  <c r="BE191" i="1"/>
  <c r="AT192" i="1"/>
  <c r="AX192" i="1"/>
  <c r="AT193" i="1"/>
  <c r="AX193" i="1"/>
  <c r="BB193" i="1"/>
  <c r="BV193" i="1"/>
  <c r="BZ193" i="1"/>
  <c r="CD193" i="1"/>
  <c r="AU194" i="1"/>
  <c r="AY194" i="1"/>
  <c r="BC194" i="1"/>
  <c r="AU195" i="1"/>
  <c r="AY195" i="1"/>
  <c r="BC195" i="1"/>
  <c r="AU196" i="1"/>
  <c r="AY196" i="1"/>
  <c r="BC196" i="1"/>
  <c r="BS196" i="1"/>
  <c r="CA196" i="1"/>
  <c r="CE196" i="1"/>
  <c r="AS197" i="1"/>
  <c r="AW197" i="1"/>
  <c r="BA197" i="1"/>
  <c r="BE197" i="1"/>
  <c r="AT198" i="1"/>
  <c r="AX198" i="1"/>
  <c r="AT199" i="1"/>
  <c r="AX199" i="1"/>
  <c r="BB199" i="1"/>
  <c r="BV199" i="1"/>
  <c r="CD199" i="1"/>
  <c r="P200" i="1"/>
  <c r="AU200" i="1"/>
  <c r="AY200" i="1"/>
  <c r="BC200" i="1"/>
  <c r="AU201" i="1"/>
  <c r="AY201" i="1"/>
  <c r="BC201" i="1"/>
  <c r="S202" i="1"/>
  <c r="AU202" i="1"/>
  <c r="AY202" i="1"/>
  <c r="BC202" i="1"/>
  <c r="BS202" i="1"/>
  <c r="BW202" i="1"/>
  <c r="CA202" i="1"/>
  <c r="CE202" i="1"/>
  <c r="AS203" i="1"/>
  <c r="AW203" i="1"/>
  <c r="BA203" i="1"/>
  <c r="BE203" i="1"/>
  <c r="AT204" i="1"/>
  <c r="AX204" i="1"/>
  <c r="AT205" i="1"/>
  <c r="AX205" i="1"/>
  <c r="BB205" i="1"/>
  <c r="BV205" i="1"/>
  <c r="BZ205" i="1"/>
  <c r="CD205" i="1"/>
  <c r="P206" i="1"/>
  <c r="AU206" i="1"/>
  <c r="AY206" i="1"/>
  <c r="BC206" i="1"/>
  <c r="AU207" i="1"/>
  <c r="AY207" i="1"/>
  <c r="BC207" i="1"/>
  <c r="AU208" i="1"/>
  <c r="AY208" i="1"/>
  <c r="BC208" i="1"/>
  <c r="BW208" i="1"/>
  <c r="CA208" i="1"/>
  <c r="CE208" i="1"/>
  <c r="AS209" i="1"/>
  <c r="AW209" i="1"/>
  <c r="BA209" i="1"/>
  <c r="BE209" i="1"/>
  <c r="AT210" i="1"/>
  <c r="AX210" i="1"/>
  <c r="AT211" i="1"/>
  <c r="AX211" i="1"/>
  <c r="BB211" i="1"/>
  <c r="BV211" i="1"/>
  <c r="BZ211" i="1"/>
  <c r="CD211" i="1"/>
  <c r="P212" i="1"/>
  <c r="AU212" i="1"/>
  <c r="AY212" i="1"/>
  <c r="BC212" i="1"/>
  <c r="AU213" i="1"/>
  <c r="AY213" i="1"/>
  <c r="BC213" i="1"/>
  <c r="S214" i="1"/>
  <c r="AU214" i="1"/>
  <c r="AY214" i="1"/>
  <c r="BC214" i="1"/>
  <c r="BS214" i="1"/>
  <c r="BW214" i="1"/>
  <c r="CA214" i="1"/>
  <c r="CE214" i="1"/>
  <c r="AS215" i="1"/>
  <c r="AW215" i="1"/>
  <c r="BA215" i="1"/>
  <c r="BE215" i="1"/>
  <c r="AT216" i="1"/>
  <c r="AX216" i="1"/>
  <c r="AS217" i="1"/>
  <c r="AW217" i="1"/>
  <c r="BA217" i="1"/>
  <c r="BE217" i="1"/>
  <c r="BU217" i="1"/>
  <c r="BY217" i="1"/>
  <c r="CC217" i="1"/>
  <c r="AT218" i="1"/>
  <c r="AX218" i="1"/>
  <c r="BB218" i="1"/>
  <c r="AT219" i="1"/>
  <c r="AX219" i="1"/>
  <c r="BB219" i="1"/>
  <c r="AS220" i="1"/>
  <c r="AW220" i="1"/>
  <c r="BA220" i="1"/>
  <c r="BE220" i="1"/>
  <c r="BU220" i="1"/>
  <c r="BY220" i="1"/>
  <c r="CC220" i="1"/>
  <c r="AT221" i="1"/>
  <c r="AX221" i="1"/>
  <c r="BB221" i="1"/>
  <c r="AT222" i="1"/>
  <c r="AX222" i="1"/>
  <c r="BB222" i="1"/>
  <c r="AS223" i="1"/>
  <c r="AW223" i="1"/>
  <c r="BA223" i="1"/>
  <c r="BE223" i="1"/>
  <c r="BY223" i="1"/>
  <c r="CC223" i="1"/>
  <c r="AT224" i="1"/>
  <c r="AX224" i="1"/>
  <c r="BB224" i="1"/>
  <c r="AT225" i="1"/>
  <c r="AX225" i="1"/>
  <c r="BB225" i="1"/>
  <c r="AU226" i="1"/>
  <c r="AY226" i="1"/>
  <c r="BC226" i="1"/>
  <c r="BS226" i="1"/>
  <c r="CA226" i="1"/>
  <c r="CE226" i="1"/>
  <c r="DK226" i="1"/>
  <c r="AS227" i="1"/>
  <c r="AW227" i="1"/>
  <c r="BA227" i="1"/>
  <c r="BE227" i="1"/>
  <c r="AT228" i="1"/>
  <c r="AX228" i="1"/>
  <c r="BB228" i="1"/>
  <c r="AS229" i="1"/>
  <c r="AW229" i="1"/>
  <c r="BA229" i="1"/>
  <c r="BE229" i="1"/>
  <c r="BU229" i="1"/>
  <c r="BY229" i="1"/>
  <c r="CC229" i="1"/>
  <c r="AU230" i="1"/>
  <c r="AY230" i="1"/>
  <c r="BC230" i="1"/>
  <c r="AU231" i="1"/>
  <c r="AY231" i="1"/>
  <c r="BC231" i="1"/>
  <c r="S232" i="1"/>
  <c r="T232" i="1" s="1"/>
  <c r="AU232" i="1"/>
  <c r="AY232" i="1"/>
  <c r="BC232" i="1"/>
  <c r="BS232" i="1"/>
  <c r="CA232" i="1"/>
  <c r="CE232" i="1"/>
  <c r="DK232" i="1"/>
  <c r="AT233" i="1"/>
  <c r="AX233" i="1"/>
  <c r="BB233" i="1"/>
  <c r="AU234" i="1"/>
  <c r="AY234" i="1"/>
  <c r="BE237" i="1"/>
  <c r="BA237" i="1"/>
  <c r="AW237" i="1"/>
  <c r="AS237" i="1"/>
  <c r="AU235" i="1"/>
  <c r="AY235" i="1"/>
  <c r="BC235" i="1"/>
  <c r="BS235" i="1"/>
  <c r="BW235" i="1"/>
  <c r="CA235" i="1"/>
  <c r="CE235" i="1"/>
  <c r="AS236" i="1"/>
  <c r="AW236" i="1"/>
  <c r="BA236" i="1"/>
  <c r="BE236" i="1"/>
  <c r="AV237" i="1"/>
  <c r="BB237" i="1"/>
  <c r="BM239" i="1"/>
  <c r="O240" i="1"/>
  <c r="P240" i="1" s="1"/>
  <c r="AS241" i="1"/>
  <c r="AX241" i="1"/>
  <c r="BC241" i="1"/>
  <c r="BU241" i="1"/>
  <c r="BZ241" i="1"/>
  <c r="CE241" i="1"/>
  <c r="AS242" i="1"/>
  <c r="AX242" i="1"/>
  <c r="BC242" i="1"/>
  <c r="AS243" i="1"/>
  <c r="AX243" i="1"/>
  <c r="P249" i="1"/>
  <c r="AG249" i="1" s="1"/>
  <c r="AS250" i="1"/>
  <c r="AX250" i="1"/>
  <c r="BC250" i="1"/>
  <c r="BU250" i="1"/>
  <c r="BZ250" i="1"/>
  <c r="CE250" i="1"/>
  <c r="AV251" i="1"/>
  <c r="BA251" i="1"/>
  <c r="AT252" i="1"/>
  <c r="AZ252" i="1"/>
  <c r="BE252" i="1"/>
  <c r="O255" i="1"/>
  <c r="P255" i="1" s="1"/>
  <c r="BE261" i="1"/>
  <c r="BA261" i="1"/>
  <c r="AW261" i="1"/>
  <c r="AS261" i="1"/>
  <c r="BE260" i="1"/>
  <c r="BA260" i="1"/>
  <c r="AW260" i="1"/>
  <c r="AS260" i="1"/>
  <c r="DK259" i="1"/>
  <c r="CE259" i="1"/>
  <c r="CA259" i="1"/>
  <c r="BS259" i="1"/>
  <c r="BC259" i="1"/>
  <c r="AY259" i="1"/>
  <c r="AU259" i="1"/>
  <c r="AW259" i="1"/>
  <c r="BB259" i="1"/>
  <c r="BY259" i="1"/>
  <c r="CD259" i="1"/>
  <c r="AT260" i="1"/>
  <c r="AY260" i="1"/>
  <c r="BD260" i="1"/>
  <c r="O261" i="1"/>
  <c r="AV261" i="1"/>
  <c r="BB261" i="1"/>
  <c r="S262" i="1"/>
  <c r="AU262" i="1"/>
  <c r="AZ262" i="1"/>
  <c r="CB262" i="1"/>
  <c r="DJ262" i="1"/>
  <c r="AT263" i="1"/>
  <c r="AZ263" i="1"/>
  <c r="BE263" i="1"/>
  <c r="BM263" i="1"/>
  <c r="O264" i="1"/>
  <c r="P264" i="1" s="1"/>
  <c r="AW264" i="1"/>
  <c r="BB264" i="1"/>
  <c r="AS265" i="1"/>
  <c r="AX265" i="1"/>
  <c r="BC265" i="1"/>
  <c r="BU265" i="1"/>
  <c r="CE265" i="1"/>
  <c r="AU266" i="1"/>
  <c r="AZ266" i="1"/>
  <c r="AX267" i="1"/>
  <c r="AX268" i="1"/>
  <c r="BC268" i="1"/>
  <c r="BZ268" i="1"/>
  <c r="CE268" i="1"/>
  <c r="AV269" i="1"/>
  <c r="BA269" i="1"/>
  <c r="AT270" i="1"/>
  <c r="AY270" i="1"/>
  <c r="BE273" i="1"/>
  <c r="BA273" i="1"/>
  <c r="AW273" i="1"/>
  <c r="AS273" i="1"/>
  <c r="BE272" i="1"/>
  <c r="BA272" i="1"/>
  <c r="AW272" i="1"/>
  <c r="AS272" i="1"/>
  <c r="CB271" i="1"/>
  <c r="BX271" i="1"/>
  <c r="BT271" i="1"/>
  <c r="BD271" i="1"/>
  <c r="AZ271" i="1"/>
  <c r="AV271" i="1"/>
  <c r="AS271" i="1"/>
  <c r="AX271" i="1"/>
  <c r="BC271" i="1"/>
  <c r="BU271" i="1"/>
  <c r="CE271" i="1"/>
  <c r="AU272" i="1"/>
  <c r="AZ272" i="1"/>
  <c r="AT273" i="1"/>
  <c r="AY273" i="1"/>
  <c r="BD273" i="1"/>
  <c r="BD276" i="1"/>
  <c r="AZ276" i="1"/>
  <c r="AV276" i="1"/>
  <c r="BC275" i="1"/>
  <c r="AY275" i="1"/>
  <c r="AU275" i="1"/>
  <c r="CC274" i="1"/>
  <c r="BY274" i="1"/>
  <c r="BU274" i="1"/>
  <c r="BE274" i="1"/>
  <c r="BA274" i="1"/>
  <c r="AW274" i="1"/>
  <c r="AS274" i="1"/>
  <c r="P274" i="1"/>
  <c r="AT274" i="1"/>
  <c r="AY274" i="1"/>
  <c r="BD274" i="1"/>
  <c r="BV274" i="1"/>
  <c r="CA274" i="1"/>
  <c r="AW275" i="1"/>
  <c r="BB275" i="1"/>
  <c r="AT276" i="1"/>
  <c r="AY276" i="1"/>
  <c r="BE276" i="1"/>
  <c r="O279" i="1"/>
  <c r="O278" i="1"/>
  <c r="AU277" i="1"/>
  <c r="BA277" i="1"/>
  <c r="BW277" i="1"/>
  <c r="CC277" i="1"/>
  <c r="AS278" i="1"/>
  <c r="AY278" i="1"/>
  <c r="BD278" i="1"/>
  <c r="AV279" i="1"/>
  <c r="AG280" i="1"/>
  <c r="AS280" i="1"/>
  <c r="AX280" i="1"/>
  <c r="BD280" i="1"/>
  <c r="BV280" i="1"/>
  <c r="CB280" i="1"/>
  <c r="AU281" i="1"/>
  <c r="AZ281" i="1"/>
  <c r="AS282" i="1"/>
  <c r="AY282" i="1"/>
  <c r="BD282" i="1"/>
  <c r="AV283" i="1"/>
  <c r="BB283" i="1"/>
  <c r="BS283" i="1"/>
  <c r="BX283" i="1"/>
  <c r="DK283" i="1"/>
  <c r="AS284" i="1"/>
  <c r="AY284" i="1"/>
  <c r="BD284" i="1"/>
  <c r="DJ284" i="1"/>
  <c r="AU285" i="1"/>
  <c r="AZ285" i="1"/>
  <c r="BD288" i="1"/>
  <c r="AZ288" i="1"/>
  <c r="AV288" i="1"/>
  <c r="BC287" i="1"/>
  <c r="AY287" i="1"/>
  <c r="AU287" i="1"/>
  <c r="CC286" i="1"/>
  <c r="BY286" i="1"/>
  <c r="BU286" i="1"/>
  <c r="BE286" i="1"/>
  <c r="BA286" i="1"/>
  <c r="AW286" i="1"/>
  <c r="AS286" i="1"/>
  <c r="AX286" i="1"/>
  <c r="BC286" i="1"/>
  <c r="BT286" i="1"/>
  <c r="BZ286" i="1"/>
  <c r="CE286" i="1"/>
  <c r="AW287" i="1"/>
  <c r="BB287" i="1"/>
  <c r="AT288" i="1"/>
  <c r="AY288" i="1"/>
  <c r="BE288" i="1"/>
  <c r="AU289" i="1"/>
  <c r="BA289" i="1"/>
  <c r="CC289" i="1"/>
  <c r="AX290" i="1"/>
  <c r="BC290" i="1"/>
  <c r="AU291" i="1"/>
  <c r="AT292" i="1"/>
  <c r="AY292" i="1"/>
  <c r="BD292" i="1"/>
  <c r="CB292" i="1"/>
  <c r="AS293" i="1"/>
  <c r="AX293" i="1"/>
  <c r="BD293" i="1"/>
  <c r="AX294" i="1"/>
  <c r="AI297" i="1"/>
  <c r="BE300" i="1"/>
  <c r="BA300" i="1"/>
  <c r="AW300" i="1"/>
  <c r="AS300" i="1"/>
  <c r="BD299" i="1"/>
  <c r="AZ299" i="1"/>
  <c r="AV299" i="1"/>
  <c r="CD298" i="1"/>
  <c r="BZ298" i="1"/>
  <c r="BV298" i="1"/>
  <c r="BB298" i="1"/>
  <c r="AX298" i="1"/>
  <c r="AT298" i="1"/>
  <c r="BD300" i="1"/>
  <c r="AZ300" i="1"/>
  <c r="AV300" i="1"/>
  <c r="BC299" i="1"/>
  <c r="AY299" i="1"/>
  <c r="AU299" i="1"/>
  <c r="CC298" i="1"/>
  <c r="BY298" i="1"/>
  <c r="BU298" i="1"/>
  <c r="BE298" i="1"/>
  <c r="BA298" i="1"/>
  <c r="AW298" i="1"/>
  <c r="AS298" i="1"/>
  <c r="P298" i="1"/>
  <c r="AQ298" i="1"/>
  <c r="AY298" i="1"/>
  <c r="BS298" i="1"/>
  <c r="CA298" i="1"/>
  <c r="AS299" i="1"/>
  <c r="BA299" i="1"/>
  <c r="AT300" i="1"/>
  <c r="BB300" i="1"/>
  <c r="BE303" i="1"/>
  <c r="BA303" i="1"/>
  <c r="AW303" i="1"/>
  <c r="AS303" i="1"/>
  <c r="BE302" i="1"/>
  <c r="BA302" i="1"/>
  <c r="AW302" i="1"/>
  <c r="AS302" i="1"/>
  <c r="CB301" i="1"/>
  <c r="BX301" i="1"/>
  <c r="BT301" i="1"/>
  <c r="BD301" i="1"/>
  <c r="AZ301" i="1"/>
  <c r="AV301" i="1"/>
  <c r="BD303" i="1"/>
  <c r="AZ303" i="1"/>
  <c r="AV303" i="1"/>
  <c r="BD302" i="1"/>
  <c r="AZ302" i="1"/>
  <c r="AV302" i="1"/>
  <c r="CE301" i="1"/>
  <c r="CA301" i="1"/>
  <c r="BS301" i="1"/>
  <c r="BC301" i="1"/>
  <c r="AY301" i="1"/>
  <c r="AU301" i="1"/>
  <c r="AS301" i="1"/>
  <c r="BA301" i="1"/>
  <c r="BU301" i="1"/>
  <c r="CC301" i="1"/>
  <c r="O302" i="1"/>
  <c r="AT302" i="1"/>
  <c r="BB302" i="1"/>
  <c r="AX303" i="1"/>
  <c r="O305" i="1"/>
  <c r="O306" i="1"/>
  <c r="AY304" i="1"/>
  <c r="BS304" i="1"/>
  <c r="CA304" i="1"/>
  <c r="AZ305" i="1"/>
  <c r="AX306" i="1"/>
  <c r="BJ309" i="1"/>
  <c r="O311" i="1"/>
  <c r="P311" i="1" s="1"/>
  <c r="BM313" i="1"/>
  <c r="AU322" i="1"/>
  <c r="BC322" i="1"/>
  <c r="BW322" i="1"/>
  <c r="CE322" i="1"/>
  <c r="AW323" i="1"/>
  <c r="BE323" i="1"/>
  <c r="BQ323" i="1"/>
  <c r="AT324" i="1"/>
  <c r="BB324" i="1"/>
  <c r="BE327" i="1"/>
  <c r="BA327" i="1"/>
  <c r="AW327" i="1"/>
  <c r="AS327" i="1"/>
  <c r="BE326" i="1"/>
  <c r="BA326" i="1"/>
  <c r="AW326" i="1"/>
  <c r="AS326" i="1"/>
  <c r="CB325" i="1"/>
  <c r="BX325" i="1"/>
  <c r="BT325" i="1"/>
  <c r="BD325" i="1"/>
  <c r="AZ325" i="1"/>
  <c r="AV325" i="1"/>
  <c r="BD327" i="1"/>
  <c r="AZ327" i="1"/>
  <c r="AV327" i="1"/>
  <c r="BD326" i="1"/>
  <c r="AZ326" i="1"/>
  <c r="AV326" i="1"/>
  <c r="CE325" i="1"/>
  <c r="CA325" i="1"/>
  <c r="BW325" i="1"/>
  <c r="BS325" i="1"/>
  <c r="BC325" i="1"/>
  <c r="AY325" i="1"/>
  <c r="AU325" i="1"/>
  <c r="AS325" i="1"/>
  <c r="BA325" i="1"/>
  <c r="BU325" i="1"/>
  <c r="CC325" i="1"/>
  <c r="O326" i="1"/>
  <c r="AY326" i="1"/>
  <c r="AT327" i="1"/>
  <c r="BB327" i="1"/>
  <c r="AU328" i="1"/>
  <c r="BC328" i="1"/>
  <c r="BZ328" i="1"/>
  <c r="AX329" i="1"/>
  <c r="AU330" i="1"/>
  <c r="BC330" i="1"/>
  <c r="AU331" i="1"/>
  <c r="BC331" i="1"/>
  <c r="BW331" i="1"/>
  <c r="CE331" i="1"/>
  <c r="AZ332" i="1"/>
  <c r="AY333" i="1"/>
  <c r="AX334" i="1"/>
  <c r="BZ334" i="1"/>
  <c r="AW335" i="1"/>
  <c r="BE335" i="1"/>
  <c r="AT336" i="1"/>
  <c r="BB339" i="1"/>
  <c r="AX339" i="1"/>
  <c r="AT339" i="1"/>
  <c r="BB338" i="1"/>
  <c r="AX338" i="1"/>
  <c r="AT338" i="1"/>
  <c r="CC337" i="1"/>
  <c r="BY337" i="1"/>
  <c r="BU337" i="1"/>
  <c r="BE337" i="1"/>
  <c r="BA337" i="1"/>
  <c r="AW337" i="1"/>
  <c r="AS337" i="1"/>
  <c r="BE339" i="1"/>
  <c r="BA339" i="1"/>
  <c r="AW339" i="1"/>
  <c r="AS339" i="1"/>
  <c r="BE338" i="1"/>
  <c r="BA338" i="1"/>
  <c r="AW338" i="1"/>
  <c r="AS338" i="1"/>
  <c r="CB337" i="1"/>
  <c r="BX337" i="1"/>
  <c r="BT337" i="1"/>
  <c r="BD337" i="1"/>
  <c r="AZ337" i="1"/>
  <c r="AV337" i="1"/>
  <c r="AU337" i="1"/>
  <c r="BC337" i="1"/>
  <c r="BW337" i="1"/>
  <c r="CE337" i="1"/>
  <c r="AZ338" i="1"/>
  <c r="AZ339" i="1"/>
  <c r="BE342" i="1"/>
  <c r="BA342" i="1"/>
  <c r="AW342" i="1"/>
  <c r="AS342" i="1"/>
  <c r="BD341" i="1"/>
  <c r="AZ341" i="1"/>
  <c r="AV341" i="1"/>
  <c r="CD340" i="1"/>
  <c r="BV340" i="1"/>
  <c r="BB340" i="1"/>
  <c r="AX340" i="1"/>
  <c r="AT340" i="1"/>
  <c r="BD342" i="1"/>
  <c r="AZ342" i="1"/>
  <c r="AV342" i="1"/>
  <c r="BC341" i="1"/>
  <c r="AY341" i="1"/>
  <c r="AU341" i="1"/>
  <c r="CC340" i="1"/>
  <c r="BY340" i="1"/>
  <c r="BU340" i="1"/>
  <c r="BE340" i="1"/>
  <c r="BA340" i="1"/>
  <c r="AW340" i="1"/>
  <c r="AS340" i="1"/>
  <c r="P340" i="1"/>
  <c r="AJ341" i="1"/>
  <c r="P341" i="1"/>
  <c r="AY340" i="1"/>
  <c r="BS340" i="1"/>
  <c r="CA340" i="1"/>
  <c r="AS341" i="1"/>
  <c r="BA341" i="1"/>
  <c r="AX342" i="1"/>
  <c r="AV343" i="1"/>
  <c r="BD343" i="1"/>
  <c r="BX343" i="1"/>
  <c r="AS344" i="1"/>
  <c r="BA344" i="1"/>
  <c r="AZ345" i="1"/>
  <c r="BM346" i="1"/>
  <c r="O347" i="1"/>
  <c r="D349" i="1"/>
  <c r="S349" i="1"/>
  <c r="T349" i="1" s="1"/>
  <c r="AZ349" i="1"/>
  <c r="CB349" i="1"/>
  <c r="AZ350" i="1"/>
  <c r="AW351" i="1"/>
  <c r="BE351" i="1"/>
  <c r="BC357" i="1"/>
  <c r="AY357" i="1"/>
  <c r="AU357" i="1"/>
  <c r="BC356" i="1"/>
  <c r="AY356" i="1"/>
  <c r="AU356" i="1"/>
  <c r="CD355" i="1"/>
  <c r="BZ355" i="1"/>
  <c r="BV355" i="1"/>
  <c r="BB355" i="1"/>
  <c r="AX355" i="1"/>
  <c r="AT355" i="1"/>
  <c r="BB357" i="1"/>
  <c r="AX357" i="1"/>
  <c r="AT357" i="1"/>
  <c r="BB356" i="1"/>
  <c r="AX356" i="1"/>
  <c r="AT356" i="1"/>
  <c r="CC355" i="1"/>
  <c r="BY355" i="1"/>
  <c r="BE355" i="1"/>
  <c r="BA355" i="1"/>
  <c r="AW355" i="1"/>
  <c r="AS355" i="1"/>
  <c r="P355" i="1"/>
  <c r="O357" i="1"/>
  <c r="O356" i="1"/>
  <c r="AY355" i="1"/>
  <c r="BS355" i="1"/>
  <c r="CA355" i="1"/>
  <c r="AZ356" i="1"/>
  <c r="AV357" i="1"/>
  <c r="BD357" i="1"/>
  <c r="AM359" i="1"/>
  <c r="BC363" i="1"/>
  <c r="AY363" i="1"/>
  <c r="AU363" i="1"/>
  <c r="BC362" i="1"/>
  <c r="AY362" i="1"/>
  <c r="AU362" i="1"/>
  <c r="CC361" i="1"/>
  <c r="BY361" i="1"/>
  <c r="BU361" i="1"/>
  <c r="BE361" i="1"/>
  <c r="BA361" i="1"/>
  <c r="AW361" i="1"/>
  <c r="AS361" i="1"/>
  <c r="BB363" i="1"/>
  <c r="AX363" i="1"/>
  <c r="AT363" i="1"/>
  <c r="BB362" i="1"/>
  <c r="AX362" i="1"/>
  <c r="AT362" i="1"/>
  <c r="CB361" i="1"/>
  <c r="BX361" i="1"/>
  <c r="BT361" i="1"/>
  <c r="BD361" i="1"/>
  <c r="AZ361" i="1"/>
  <c r="AV361" i="1"/>
  <c r="AT361" i="1"/>
  <c r="BB361" i="1"/>
  <c r="BV361" i="1"/>
  <c r="CD361" i="1"/>
  <c r="AS362" i="1"/>
  <c r="BA362" i="1"/>
  <c r="AW363" i="1"/>
  <c r="BE363" i="1"/>
  <c r="P366" i="1"/>
  <c r="BB369" i="1"/>
  <c r="AX369" i="1"/>
  <c r="AT369" i="1"/>
  <c r="BB368" i="1"/>
  <c r="AX368" i="1"/>
  <c r="AT368" i="1"/>
  <c r="CC367" i="1"/>
  <c r="BY367" i="1"/>
  <c r="BE367" i="1"/>
  <c r="BA367" i="1"/>
  <c r="AW367" i="1"/>
  <c r="AS367" i="1"/>
  <c r="BE369" i="1"/>
  <c r="BA369" i="1"/>
  <c r="AW369" i="1"/>
  <c r="AS369" i="1"/>
  <c r="BE368" i="1"/>
  <c r="BA368" i="1"/>
  <c r="AW368" i="1"/>
  <c r="AS368" i="1"/>
  <c r="CB367" i="1"/>
  <c r="BX367" i="1"/>
  <c r="BT367" i="1"/>
  <c r="BD367" i="1"/>
  <c r="AZ367" i="1"/>
  <c r="AV367" i="1"/>
  <c r="AY367" i="1"/>
  <c r="BV367" i="1"/>
  <c r="CD367" i="1"/>
  <c r="AZ368" i="1"/>
  <c r="AY369" i="1"/>
  <c r="O370" i="1"/>
  <c r="P370" i="1" s="1"/>
  <c r="AV370" i="1"/>
  <c r="BD370" i="1"/>
  <c r="BW370" i="1"/>
  <c r="CE370" i="1"/>
  <c r="AT371" i="1"/>
  <c r="BB371" i="1"/>
  <c r="O372" i="1"/>
  <c r="P372" i="1" s="1"/>
  <c r="AX373" i="1"/>
  <c r="BU373" i="1"/>
  <c r="AX374" i="1"/>
  <c r="AS375" i="1"/>
  <c r="AJ377" i="1"/>
  <c r="P377" i="1"/>
  <c r="BJ377" i="1"/>
  <c r="O381" i="1"/>
  <c r="P381" i="1" s="1"/>
  <c r="O380" i="1"/>
  <c r="P383" i="1"/>
  <c r="AG383" i="1" s="1"/>
  <c r="BG383" i="1"/>
  <c r="AZ382" i="1"/>
  <c r="BU382" i="1"/>
  <c r="AY383" i="1"/>
  <c r="AU384" i="1"/>
  <c r="AY388" i="1"/>
  <c r="BT388" i="1"/>
  <c r="CE388" i="1"/>
  <c r="BB389" i="1"/>
  <c r="AU391" i="1"/>
  <c r="BS391" i="1"/>
  <c r="CD391" i="1"/>
  <c r="AT392" i="1"/>
  <c r="BD392" i="1"/>
  <c r="O393" i="1"/>
  <c r="P393" i="1" s="1"/>
  <c r="O404" i="1"/>
  <c r="P404" i="1" s="1"/>
  <c r="AS406" i="1"/>
  <c r="BC406" i="1"/>
  <c r="BZ406" i="1"/>
  <c r="O407" i="1"/>
  <c r="AW407" i="1"/>
  <c r="AT408" i="1"/>
  <c r="AG411" i="1"/>
  <c r="BG411" i="1"/>
  <c r="P411" i="1"/>
  <c r="P412" i="1"/>
  <c r="AM412" i="1" s="1"/>
  <c r="AW412" i="1"/>
  <c r="BX412" i="1"/>
  <c r="AX413" i="1"/>
  <c r="BC414" i="1"/>
  <c r="S421" i="1"/>
  <c r="AQ422" i="1"/>
  <c r="BE429" i="1"/>
  <c r="BA429" i="1"/>
  <c r="AW429" i="1"/>
  <c r="AS429" i="1"/>
  <c r="BE428" i="1"/>
  <c r="BA428" i="1"/>
  <c r="AW428" i="1"/>
  <c r="AS428" i="1"/>
  <c r="CB427" i="1"/>
  <c r="BX427" i="1"/>
  <c r="BT427" i="1"/>
  <c r="BD427" i="1"/>
  <c r="AZ427" i="1"/>
  <c r="AV427" i="1"/>
  <c r="BB429" i="1"/>
  <c r="AV429" i="1"/>
  <c r="BD428" i="1"/>
  <c r="AY428" i="1"/>
  <c r="AT428" i="1"/>
  <c r="CD427" i="1"/>
  <c r="BY427" i="1"/>
  <c r="BS427" i="1"/>
  <c r="BB427" i="1"/>
  <c r="AW427" i="1"/>
  <c r="AZ429" i="1"/>
  <c r="AU429" i="1"/>
  <c r="BC428" i="1"/>
  <c r="AX428" i="1"/>
  <c r="CC427" i="1"/>
  <c r="BW427" i="1"/>
  <c r="BA427" i="1"/>
  <c r="AU427" i="1"/>
  <c r="AT427" i="1"/>
  <c r="BE427" i="1"/>
  <c r="CA427" i="1"/>
  <c r="AV428" i="1"/>
  <c r="AT429" i="1"/>
  <c r="BD429" i="1"/>
  <c r="O430" i="1"/>
  <c r="BA430" i="1"/>
  <c r="BW430" i="1"/>
  <c r="O431" i="1"/>
  <c r="AT431" i="1"/>
  <c r="BE431" i="1"/>
  <c r="AZ432" i="1"/>
  <c r="BB435" i="1"/>
  <c r="AX435" i="1"/>
  <c r="AT435" i="1"/>
  <c r="BB434" i="1"/>
  <c r="AX434" i="1"/>
  <c r="AT434" i="1"/>
  <c r="CC433" i="1"/>
  <c r="BY433" i="1"/>
  <c r="BU433" i="1"/>
  <c r="BE433" i="1"/>
  <c r="BA433" i="1"/>
  <c r="AW433" i="1"/>
  <c r="AS433" i="1"/>
  <c r="BA435" i="1"/>
  <c r="AV435" i="1"/>
  <c r="BE434" i="1"/>
  <c r="AZ434" i="1"/>
  <c r="AU434" i="1"/>
  <c r="CE433" i="1"/>
  <c r="BZ433" i="1"/>
  <c r="BT433" i="1"/>
  <c r="BB433" i="1"/>
  <c r="AV433" i="1"/>
  <c r="BE435" i="1"/>
  <c r="AZ435" i="1"/>
  <c r="AU435" i="1"/>
  <c r="BD434" i="1"/>
  <c r="AY434" i="1"/>
  <c r="AS434" i="1"/>
  <c r="DK433" i="1"/>
  <c r="BX433" i="1"/>
  <c r="BS433" i="1"/>
  <c r="AZ433" i="1"/>
  <c r="AU433" i="1"/>
  <c r="AX433" i="1"/>
  <c r="BV433" i="1"/>
  <c r="BM433" i="1"/>
  <c r="AM433" i="1"/>
  <c r="BA434" i="1"/>
  <c r="AW435" i="1"/>
  <c r="P438" i="1"/>
  <c r="AQ438" i="1" s="1"/>
  <c r="AZ442" i="1"/>
  <c r="BT442" i="1"/>
  <c r="CE442" i="1"/>
  <c r="BB443" i="1"/>
  <c r="AY444" i="1"/>
  <c r="BB447" i="1"/>
  <c r="AX447" i="1"/>
  <c r="AT447" i="1"/>
  <c r="BB446" i="1"/>
  <c r="AX446" i="1"/>
  <c r="AT446" i="1"/>
  <c r="CC445" i="1"/>
  <c r="BY445" i="1"/>
  <c r="BU445" i="1"/>
  <c r="BE445" i="1"/>
  <c r="BA445" i="1"/>
  <c r="AW445" i="1"/>
  <c r="AS445" i="1"/>
  <c r="BA447" i="1"/>
  <c r="AV447" i="1"/>
  <c r="BE446" i="1"/>
  <c r="AZ446" i="1"/>
  <c r="AU446" i="1"/>
  <c r="CE445" i="1"/>
  <c r="BZ445" i="1"/>
  <c r="BB445" i="1"/>
  <c r="AV445" i="1"/>
  <c r="BE447" i="1"/>
  <c r="AZ447" i="1"/>
  <c r="AU447" i="1"/>
  <c r="BD446" i="1"/>
  <c r="AY446" i="1"/>
  <c r="AS446" i="1"/>
  <c r="CD445" i="1"/>
  <c r="BX445" i="1"/>
  <c r="BS445" i="1"/>
  <c r="AZ445" i="1"/>
  <c r="AU445" i="1"/>
  <c r="AX445" i="1"/>
  <c r="BV445" i="1"/>
  <c r="BM445" i="1"/>
  <c r="AM445" i="1"/>
  <c r="BC446" i="1"/>
  <c r="AW447" i="1"/>
  <c r="AX451" i="1"/>
  <c r="BU451" i="1"/>
  <c r="CE451" i="1"/>
  <c r="AY452" i="1"/>
  <c r="AT453" i="1"/>
  <c r="BD453" i="1"/>
  <c r="O454" i="1"/>
  <c r="BC454" i="1"/>
  <c r="CA454" i="1"/>
  <c r="BB455" i="1"/>
  <c r="BB456" i="1"/>
  <c r="O461" i="1"/>
  <c r="O462" i="1"/>
  <c r="P462" i="1" s="1"/>
  <c r="AQ460" i="1"/>
  <c r="BC468" i="1"/>
  <c r="AY468" i="1"/>
  <c r="AU468" i="1"/>
  <c r="BB467" i="1"/>
  <c r="AX467" i="1"/>
  <c r="AT467" i="1"/>
  <c r="CB466" i="1"/>
  <c r="BX466" i="1"/>
  <c r="BT466" i="1"/>
  <c r="BD466" i="1"/>
  <c r="AZ466" i="1"/>
  <c r="AV466" i="1"/>
  <c r="BE468" i="1"/>
  <c r="AZ468" i="1"/>
  <c r="AT468" i="1"/>
  <c r="BC467" i="1"/>
  <c r="AW467" i="1"/>
  <c r="CA466" i="1"/>
  <c r="BV466" i="1"/>
  <c r="BE466" i="1"/>
  <c r="AY466" i="1"/>
  <c r="AT466" i="1"/>
  <c r="S466" i="1"/>
  <c r="BD468" i="1"/>
  <c r="AX468" i="1"/>
  <c r="AS468" i="1"/>
  <c r="BA467" i="1"/>
  <c r="AV467" i="1"/>
  <c r="CE466" i="1"/>
  <c r="BZ466" i="1"/>
  <c r="BU466" i="1"/>
  <c r="BC466" i="1"/>
  <c r="AX466" i="1"/>
  <c r="AS466" i="1"/>
  <c r="BA466" i="1"/>
  <c r="BW466" i="1"/>
  <c r="AZ467" i="1"/>
  <c r="BB468" i="1"/>
  <c r="BG470" i="1"/>
  <c r="P470" i="1"/>
  <c r="AG470" i="1" s="1"/>
  <c r="O474" i="1"/>
  <c r="P474" i="1" s="1"/>
  <c r="BG477" i="1"/>
  <c r="P477" i="1"/>
  <c r="O508" i="1"/>
  <c r="O509" i="1"/>
  <c r="AJ524" i="1"/>
  <c r="P524" i="1"/>
  <c r="BJ524" i="1"/>
  <c r="BG531" i="1"/>
  <c r="P531" i="1"/>
  <c r="AG531" i="1"/>
  <c r="O541" i="1"/>
  <c r="O543" i="1"/>
  <c r="P543" i="1" s="1"/>
  <c r="O542" i="1"/>
  <c r="BJ182" i="1"/>
  <c r="BJ183" i="1"/>
  <c r="BF212" i="1"/>
  <c r="BD243" i="1"/>
  <c r="AZ243" i="1"/>
  <c r="AV243" i="1"/>
  <c r="BD242" i="1"/>
  <c r="AZ242" i="1"/>
  <c r="AV242" i="1"/>
  <c r="CB241" i="1"/>
  <c r="BX241" i="1"/>
  <c r="BT241" i="1"/>
  <c r="BD241" i="1"/>
  <c r="AZ241" i="1"/>
  <c r="AV241" i="1"/>
  <c r="AW241" i="1"/>
  <c r="BB241" i="1"/>
  <c r="BS241" i="1"/>
  <c r="BY241" i="1"/>
  <c r="AW242" i="1"/>
  <c r="BB242" i="1"/>
  <c r="AW243" i="1"/>
  <c r="BB243" i="1"/>
  <c r="AW250" i="1"/>
  <c r="BY250" i="1"/>
  <c r="AZ251" i="1"/>
  <c r="AS252" i="1"/>
  <c r="BD252" i="1"/>
  <c r="O260" i="1"/>
  <c r="AT262" i="1"/>
  <c r="BD262" i="1"/>
  <c r="CA262" i="1"/>
  <c r="AS263" i="1"/>
  <c r="AX263" i="1"/>
  <c r="BD263" i="1"/>
  <c r="AU264" i="1"/>
  <c r="BE267" i="1"/>
  <c r="BA267" i="1"/>
  <c r="AW267" i="1"/>
  <c r="AS267" i="1"/>
  <c r="BE266" i="1"/>
  <c r="BA266" i="1"/>
  <c r="AW266" i="1"/>
  <c r="AS266" i="1"/>
  <c r="CB265" i="1"/>
  <c r="BX265" i="1"/>
  <c r="BT265" i="1"/>
  <c r="BD265" i="1"/>
  <c r="AZ265" i="1"/>
  <c r="AV265" i="1"/>
  <c r="AW265" i="1"/>
  <c r="BB265" i="1"/>
  <c r="BS265" i="1"/>
  <c r="DK265" i="1"/>
  <c r="AT266" i="1"/>
  <c r="BD266" i="1"/>
  <c r="AV267" i="1"/>
  <c r="E8" i="2"/>
  <c r="L5" i="2"/>
  <c r="L9" i="2"/>
  <c r="L13" i="2"/>
  <c r="U4" i="1"/>
  <c r="AC4" i="1"/>
  <c r="AC7" i="1" s="1"/>
  <c r="AC10" i="1" s="1"/>
  <c r="E9" i="2"/>
  <c r="E13" i="2"/>
  <c r="AT4" i="1"/>
  <c r="AX4" i="1"/>
  <c r="BB4" i="1"/>
  <c r="P11" i="2"/>
  <c r="P15" i="2"/>
  <c r="Q15" i="2" s="1"/>
  <c r="BV4" i="1"/>
  <c r="BZ4" i="1"/>
  <c r="CD4" i="1"/>
  <c r="K4" i="2"/>
  <c r="K6" i="2"/>
  <c r="K8" i="2"/>
  <c r="K10" i="2"/>
  <c r="K12" i="2"/>
  <c r="K14" i="2"/>
  <c r="AV5" i="1"/>
  <c r="F6" i="2" s="1"/>
  <c r="AZ5" i="1"/>
  <c r="F10" i="2" s="1"/>
  <c r="BD5" i="1"/>
  <c r="F14" i="2" s="1"/>
  <c r="AS6" i="1"/>
  <c r="AW6" i="1"/>
  <c r="F7" i="2" s="1"/>
  <c r="BA6" i="1"/>
  <c r="F11" i="2" s="1"/>
  <c r="G11" i="2" s="1"/>
  <c r="BE6" i="1"/>
  <c r="E7" i="1"/>
  <c r="U7" i="1"/>
  <c r="S31" i="1"/>
  <c r="AU31" i="1"/>
  <c r="AY31" i="1"/>
  <c r="BC31" i="1"/>
  <c r="BS31" i="1"/>
  <c r="BW31" i="1"/>
  <c r="CA31" i="1"/>
  <c r="CE31" i="1"/>
  <c r="AV32" i="1"/>
  <c r="AZ32" i="1"/>
  <c r="BD32" i="1"/>
  <c r="AV33" i="1"/>
  <c r="AZ33" i="1"/>
  <c r="AV34" i="1"/>
  <c r="AZ34" i="1"/>
  <c r="BD34" i="1"/>
  <c r="BT34" i="1"/>
  <c r="BX34" i="1"/>
  <c r="CB34" i="1"/>
  <c r="AT35" i="1"/>
  <c r="AX35" i="1"/>
  <c r="BB35" i="1"/>
  <c r="AU36" i="1"/>
  <c r="AY36" i="1"/>
  <c r="F9" i="2" s="1"/>
  <c r="S37" i="1"/>
  <c r="T37" i="1" s="1"/>
  <c r="AU37" i="1"/>
  <c r="AY37" i="1"/>
  <c r="BC37" i="1"/>
  <c r="BS37" i="1"/>
  <c r="CA37" i="1"/>
  <c r="CE37" i="1"/>
  <c r="AV38" i="1"/>
  <c r="AZ38" i="1"/>
  <c r="BD38" i="1"/>
  <c r="AV39" i="1"/>
  <c r="AZ39" i="1"/>
  <c r="S43" i="1"/>
  <c r="T43" i="1" s="1"/>
  <c r="AU43" i="1"/>
  <c r="AY43" i="1"/>
  <c r="BC43" i="1"/>
  <c r="BS43" i="1"/>
  <c r="BW43" i="1"/>
  <c r="CA43" i="1"/>
  <c r="CE43" i="1"/>
  <c r="AV44" i="1"/>
  <c r="AZ44" i="1"/>
  <c r="BD44" i="1"/>
  <c r="AV45" i="1"/>
  <c r="AZ45" i="1"/>
  <c r="S52" i="1"/>
  <c r="T52" i="1" s="1"/>
  <c r="AU52" i="1"/>
  <c r="AY52" i="1"/>
  <c r="BC52" i="1"/>
  <c r="BS52" i="1"/>
  <c r="BW52" i="1"/>
  <c r="CA52" i="1"/>
  <c r="CE52" i="1"/>
  <c r="AS53" i="1"/>
  <c r="F3" i="2" s="1"/>
  <c r="AW53" i="1"/>
  <c r="BA53" i="1"/>
  <c r="BE53" i="1"/>
  <c r="AT54" i="1"/>
  <c r="AX54" i="1"/>
  <c r="AT61" i="1"/>
  <c r="AX61" i="1"/>
  <c r="BB61" i="1"/>
  <c r="BV61" i="1"/>
  <c r="BZ61" i="1"/>
  <c r="CD61" i="1"/>
  <c r="AU62" i="1"/>
  <c r="AY62" i="1"/>
  <c r="BC62" i="1"/>
  <c r="AU63" i="1"/>
  <c r="AY63" i="1"/>
  <c r="AT64" i="1"/>
  <c r="AX64" i="1"/>
  <c r="BB64" i="1"/>
  <c r="BV64" i="1"/>
  <c r="BZ64" i="1"/>
  <c r="AV65" i="1"/>
  <c r="AZ65" i="1"/>
  <c r="BD65" i="1"/>
  <c r="AS66" i="1"/>
  <c r="AW66" i="1"/>
  <c r="BA66" i="1"/>
  <c r="AU70" i="1"/>
  <c r="AY70" i="1"/>
  <c r="BC70" i="1"/>
  <c r="BS70" i="1"/>
  <c r="BW70" i="1"/>
  <c r="CA70" i="1"/>
  <c r="CE70" i="1"/>
  <c r="AS71" i="1"/>
  <c r="AW71" i="1"/>
  <c r="BA71" i="1"/>
  <c r="BE71" i="1"/>
  <c r="AT72" i="1"/>
  <c r="AX72" i="1"/>
  <c r="S76" i="1"/>
  <c r="T76" i="1" s="1"/>
  <c r="AU76" i="1"/>
  <c r="AY76" i="1"/>
  <c r="BC76" i="1"/>
  <c r="BS76" i="1"/>
  <c r="BW76" i="1"/>
  <c r="CA76" i="1"/>
  <c r="CE76" i="1"/>
  <c r="AS77" i="1"/>
  <c r="AW77" i="1"/>
  <c r="BA77" i="1"/>
  <c r="BE77" i="1"/>
  <c r="AT78" i="1"/>
  <c r="AX78" i="1"/>
  <c r="S82" i="1"/>
  <c r="T82" i="1" s="1"/>
  <c r="AU82" i="1"/>
  <c r="AY82" i="1"/>
  <c r="BC82" i="1"/>
  <c r="BS82" i="1"/>
  <c r="BW82" i="1"/>
  <c r="CA82" i="1"/>
  <c r="CE82" i="1"/>
  <c r="AS83" i="1"/>
  <c r="AW83" i="1"/>
  <c r="BA83" i="1"/>
  <c r="BE83" i="1"/>
  <c r="AT84" i="1"/>
  <c r="AX84" i="1"/>
  <c r="S91" i="1"/>
  <c r="T91" i="1" s="1"/>
  <c r="S151" i="1"/>
  <c r="AU151" i="1"/>
  <c r="AY151" i="1"/>
  <c r="BC151" i="1"/>
  <c r="BS151" i="1"/>
  <c r="BW151" i="1"/>
  <c r="CA151" i="1"/>
  <c r="CE151" i="1"/>
  <c r="AV152" i="1"/>
  <c r="AZ152" i="1"/>
  <c r="BD152" i="1"/>
  <c r="AV153" i="1"/>
  <c r="AZ153" i="1"/>
  <c r="S160" i="1"/>
  <c r="T160" i="1" s="1"/>
  <c r="AU160" i="1"/>
  <c r="AY160" i="1"/>
  <c r="BC160" i="1"/>
  <c r="BS160" i="1"/>
  <c r="BW160" i="1"/>
  <c r="CA160" i="1"/>
  <c r="CE160" i="1"/>
  <c r="AS161" i="1"/>
  <c r="AW161" i="1"/>
  <c r="BA161" i="1"/>
  <c r="BE161" i="1"/>
  <c r="AT162" i="1"/>
  <c r="AX162" i="1"/>
  <c r="S166" i="1"/>
  <c r="T166" i="1" s="1"/>
  <c r="AU166" i="1"/>
  <c r="AY166" i="1"/>
  <c r="BC166" i="1"/>
  <c r="BS166" i="1"/>
  <c r="BW166" i="1"/>
  <c r="CA166" i="1"/>
  <c r="CE166" i="1"/>
  <c r="AS167" i="1"/>
  <c r="AW167" i="1"/>
  <c r="BA167" i="1"/>
  <c r="BE167" i="1"/>
  <c r="AT168" i="1"/>
  <c r="AX168" i="1"/>
  <c r="AU172" i="1"/>
  <c r="AY172" i="1"/>
  <c r="BC172" i="1"/>
  <c r="BS172" i="1"/>
  <c r="BW172" i="1"/>
  <c r="CA172" i="1"/>
  <c r="CE172" i="1"/>
  <c r="AS173" i="1"/>
  <c r="AW173" i="1"/>
  <c r="BA173" i="1"/>
  <c r="BE173" i="1"/>
  <c r="AT174" i="1"/>
  <c r="AX174" i="1"/>
  <c r="S181" i="1"/>
  <c r="T181" i="1" s="1"/>
  <c r="AU181" i="1"/>
  <c r="AY181" i="1"/>
  <c r="BC181" i="1"/>
  <c r="BS181" i="1"/>
  <c r="BW181" i="1"/>
  <c r="CA181" i="1"/>
  <c r="CE181" i="1"/>
  <c r="DK181" i="1"/>
  <c r="AV182" i="1"/>
  <c r="AZ182" i="1"/>
  <c r="BD182" i="1"/>
  <c r="AV183" i="1"/>
  <c r="AZ183" i="1"/>
  <c r="S193" i="1"/>
  <c r="T193" i="1" s="1"/>
  <c r="AU193" i="1"/>
  <c r="AY193" i="1"/>
  <c r="BC193" i="1"/>
  <c r="BS193" i="1"/>
  <c r="BW193" i="1"/>
  <c r="CA193" i="1"/>
  <c r="CE193" i="1"/>
  <c r="AV194" i="1"/>
  <c r="AZ194" i="1"/>
  <c r="BD194" i="1"/>
  <c r="AV195" i="1"/>
  <c r="AZ195" i="1"/>
  <c r="S199" i="1"/>
  <c r="T199" i="1" s="1"/>
  <c r="AU199" i="1"/>
  <c r="AY199" i="1"/>
  <c r="BC199" i="1"/>
  <c r="BS199" i="1"/>
  <c r="BW199" i="1"/>
  <c r="CA199" i="1"/>
  <c r="CE199" i="1"/>
  <c r="AV200" i="1"/>
  <c r="AZ200" i="1"/>
  <c r="BD200" i="1"/>
  <c r="AV201" i="1"/>
  <c r="AZ201" i="1"/>
  <c r="S205" i="1"/>
  <c r="T205" i="1" s="1"/>
  <c r="AU205" i="1"/>
  <c r="AY205" i="1"/>
  <c r="BC205" i="1"/>
  <c r="BS205" i="1"/>
  <c r="BW205" i="1"/>
  <c r="CA205" i="1"/>
  <c r="CE205" i="1"/>
  <c r="AV206" i="1"/>
  <c r="AZ206" i="1"/>
  <c r="BD206" i="1"/>
  <c r="AV207" i="1"/>
  <c r="AZ207" i="1"/>
  <c r="S211" i="1"/>
  <c r="T211" i="1" s="1"/>
  <c r="AU211" i="1"/>
  <c r="AY211" i="1"/>
  <c r="BC211" i="1"/>
  <c r="BS211" i="1"/>
  <c r="CA211" i="1"/>
  <c r="CE211" i="1"/>
  <c r="AV212" i="1"/>
  <c r="AZ212" i="1"/>
  <c r="BD212" i="1"/>
  <c r="AV213" i="1"/>
  <c r="AZ213" i="1"/>
  <c r="AT217" i="1"/>
  <c r="AX217" i="1"/>
  <c r="BB217" i="1"/>
  <c r="BV217" i="1"/>
  <c r="BZ217" i="1"/>
  <c r="CD217" i="1"/>
  <c r="AU218" i="1"/>
  <c r="AY218" i="1"/>
  <c r="BC218" i="1"/>
  <c r="AU219" i="1"/>
  <c r="AY219" i="1"/>
  <c r="AT220" i="1"/>
  <c r="AX220" i="1"/>
  <c r="BB220" i="1"/>
  <c r="BV220" i="1"/>
  <c r="CD220" i="1"/>
  <c r="AU221" i="1"/>
  <c r="AY221" i="1"/>
  <c r="BC221" i="1"/>
  <c r="AU222" i="1"/>
  <c r="AY222" i="1"/>
  <c r="AT223" i="1"/>
  <c r="AX223" i="1"/>
  <c r="BB223" i="1"/>
  <c r="BV223" i="1"/>
  <c r="BZ223" i="1"/>
  <c r="CD223" i="1"/>
  <c r="AU224" i="1"/>
  <c r="AY224" i="1"/>
  <c r="BC224" i="1"/>
  <c r="AU225" i="1"/>
  <c r="AY225" i="1"/>
  <c r="AV226" i="1"/>
  <c r="AZ226" i="1"/>
  <c r="BD226" i="1"/>
  <c r="BT226" i="1"/>
  <c r="BX226" i="1"/>
  <c r="CB226" i="1"/>
  <c r="AT227" i="1"/>
  <c r="AX227" i="1"/>
  <c r="BB227" i="1"/>
  <c r="AU228" i="1"/>
  <c r="AY228" i="1"/>
  <c r="AT229" i="1"/>
  <c r="AX229" i="1"/>
  <c r="BB229" i="1"/>
  <c r="BV229" i="1"/>
  <c r="BZ229" i="1"/>
  <c r="CD229" i="1"/>
  <c r="AV230" i="1"/>
  <c r="AZ230" i="1"/>
  <c r="BD230" i="1"/>
  <c r="AV231" i="1"/>
  <c r="AZ231" i="1"/>
  <c r="S241" i="1"/>
  <c r="T241" i="1" s="1"/>
  <c r="AT241" i="1"/>
  <c r="AY241" i="1"/>
  <c r="BE241" i="1"/>
  <c r="BV241" i="1"/>
  <c r="CA241" i="1"/>
  <c r="AT242" i="1"/>
  <c r="AY242" i="1"/>
  <c r="BE242" i="1"/>
  <c r="AT243" i="1"/>
  <c r="AY243" i="1"/>
  <c r="BE243" i="1"/>
  <c r="O246" i="1"/>
  <c r="P246" i="1" s="1"/>
  <c r="S250" i="1"/>
  <c r="T250" i="1" s="1"/>
  <c r="AT250" i="1"/>
  <c r="AY250" i="1"/>
  <c r="BE250" i="1"/>
  <c r="CA250" i="1"/>
  <c r="AW251" i="1"/>
  <c r="BC251" i="1"/>
  <c r="AV252" i="1"/>
  <c r="BA252" i="1"/>
  <c r="AV262" i="1"/>
  <c r="BB262" i="1"/>
  <c r="BS262" i="1"/>
  <c r="BX262" i="1"/>
  <c r="CD262" i="1"/>
  <c r="DK262" i="1"/>
  <c r="AV263" i="1"/>
  <c r="BA263" i="1"/>
  <c r="AS264" i="1"/>
  <c r="AX264" i="1"/>
  <c r="BC264" i="1"/>
  <c r="DJ264" i="1"/>
  <c r="S265" i="1"/>
  <c r="T265" i="1" s="1"/>
  <c r="AT265" i="1"/>
  <c r="AY265" i="1"/>
  <c r="BE265" i="1"/>
  <c r="BM265" i="1"/>
  <c r="BV265" i="1"/>
  <c r="CA265" i="1"/>
  <c r="AV266" i="1"/>
  <c r="BB266" i="1"/>
  <c r="AT267" i="1"/>
  <c r="AY267" i="1"/>
  <c r="BD267" i="1"/>
  <c r="BD270" i="1"/>
  <c r="AZ270" i="1"/>
  <c r="AV270" i="1"/>
  <c r="BC269" i="1"/>
  <c r="AY269" i="1"/>
  <c r="AU269" i="1"/>
  <c r="CC268" i="1"/>
  <c r="BY268" i="1"/>
  <c r="BU268" i="1"/>
  <c r="BE268" i="1"/>
  <c r="BA268" i="1"/>
  <c r="AW268" i="1"/>
  <c r="AS268" i="1"/>
  <c r="AT268" i="1"/>
  <c r="AY268" i="1"/>
  <c r="BD268" i="1"/>
  <c r="BV268" i="1"/>
  <c r="CA268" i="1"/>
  <c r="AW269" i="1"/>
  <c r="BB269" i="1"/>
  <c r="AU270" i="1"/>
  <c r="BA270" i="1"/>
  <c r="O272" i="1"/>
  <c r="BB279" i="1"/>
  <c r="AX279" i="1"/>
  <c r="AT279" i="1"/>
  <c r="BB278" i="1"/>
  <c r="AX278" i="1"/>
  <c r="AT278" i="1"/>
  <c r="CB277" i="1"/>
  <c r="BX277" i="1"/>
  <c r="BT277" i="1"/>
  <c r="BD277" i="1"/>
  <c r="AZ277" i="1"/>
  <c r="AV277" i="1"/>
  <c r="AW277" i="1"/>
  <c r="BB277" i="1"/>
  <c r="BY277" i="1"/>
  <c r="CD277" i="1"/>
  <c r="AU278" i="1"/>
  <c r="AZ278" i="1"/>
  <c r="BE278" i="1"/>
  <c r="AW279" i="1"/>
  <c r="BC279" i="1"/>
  <c r="AT280" i="1"/>
  <c r="AZ280" i="1"/>
  <c r="BE280" i="1"/>
  <c r="BX280" i="1"/>
  <c r="CC280" i="1"/>
  <c r="AV281" i="1"/>
  <c r="BB281" i="1"/>
  <c r="AU282" i="1"/>
  <c r="AZ282" i="1"/>
  <c r="BE282" i="1"/>
  <c r="BB285" i="1"/>
  <c r="AX285" i="1"/>
  <c r="AT285" i="1"/>
  <c r="BB284" i="1"/>
  <c r="AX284" i="1"/>
  <c r="AT284" i="1"/>
  <c r="CC283" i="1"/>
  <c r="BY283" i="1"/>
  <c r="BU283" i="1"/>
  <c r="BE283" i="1"/>
  <c r="BA283" i="1"/>
  <c r="AW283" i="1"/>
  <c r="AS283" i="1"/>
  <c r="O285" i="1"/>
  <c r="P285" i="1" s="1"/>
  <c r="O284" i="1"/>
  <c r="AX283" i="1"/>
  <c r="BC283" i="1"/>
  <c r="BT283" i="1"/>
  <c r="BZ283" i="1"/>
  <c r="CE283" i="1"/>
  <c r="AU284" i="1"/>
  <c r="AZ284" i="1"/>
  <c r="BE284" i="1"/>
  <c r="AV285" i="1"/>
  <c r="BA285" i="1"/>
  <c r="D286" i="1"/>
  <c r="BE291" i="1"/>
  <c r="BA291" i="1"/>
  <c r="AW291" i="1"/>
  <c r="AS291" i="1"/>
  <c r="BE290" i="1"/>
  <c r="BA290" i="1"/>
  <c r="AW290" i="1"/>
  <c r="AS290" i="1"/>
  <c r="CB289" i="1"/>
  <c r="BX289" i="1"/>
  <c r="BT289" i="1"/>
  <c r="BD289" i="1"/>
  <c r="AZ289" i="1"/>
  <c r="AV289" i="1"/>
  <c r="AW289" i="1"/>
  <c r="BB289" i="1"/>
  <c r="BS289" i="1"/>
  <c r="BY289" i="1"/>
  <c r="CD289" i="1"/>
  <c r="AT290" i="1"/>
  <c r="AY290" i="1"/>
  <c r="BD290" i="1"/>
  <c r="AV291" i="1"/>
  <c r="BB291" i="1"/>
  <c r="AU292" i="1"/>
  <c r="AZ292" i="1"/>
  <c r="BS292" i="1"/>
  <c r="BX292" i="1"/>
  <c r="CD292" i="1"/>
  <c r="AT293" i="1"/>
  <c r="AZ293" i="1"/>
  <c r="BE293" i="1"/>
  <c r="O294" i="1"/>
  <c r="AS294" i="1"/>
  <c r="BA294" i="1"/>
  <c r="P297" i="1"/>
  <c r="S298" i="1"/>
  <c r="F301" i="1"/>
  <c r="AT304" i="1"/>
  <c r="BB304" i="1"/>
  <c r="BV304" i="1"/>
  <c r="CD304" i="1"/>
  <c r="AS305" i="1"/>
  <c r="BA305" i="1"/>
  <c r="AS306" i="1"/>
  <c r="BA306" i="1"/>
  <c r="BJ314" i="1"/>
  <c r="P319" i="1"/>
  <c r="AM319" i="1"/>
  <c r="O322" i="1"/>
  <c r="AV322" i="1"/>
  <c r="BD322" i="1"/>
  <c r="BX322" i="1"/>
  <c r="AX323" i="1"/>
  <c r="AU324" i="1"/>
  <c r="BC324" i="1"/>
  <c r="F325" i="1"/>
  <c r="BM328" i="1"/>
  <c r="P328" i="1"/>
  <c r="AM328" i="1"/>
  <c r="AX328" i="1"/>
  <c r="BS328" i="1"/>
  <c r="CA328" i="1"/>
  <c r="AS329" i="1"/>
  <c r="BA329" i="1"/>
  <c r="AX330" i="1"/>
  <c r="O333" i="1"/>
  <c r="P333" i="1" s="1"/>
  <c r="O332" i="1"/>
  <c r="P332" i="1" s="1"/>
  <c r="AX331" i="1"/>
  <c r="BZ331" i="1"/>
  <c r="AU332" i="1"/>
  <c r="BC332" i="1"/>
  <c r="AZ333" i="1"/>
  <c r="BE336" i="1"/>
  <c r="BA336" i="1"/>
  <c r="AW336" i="1"/>
  <c r="AS336" i="1"/>
  <c r="BD335" i="1"/>
  <c r="AZ335" i="1"/>
  <c r="AV335" i="1"/>
  <c r="CC334" i="1"/>
  <c r="BY334" i="1"/>
  <c r="BU334" i="1"/>
  <c r="BE334" i="1"/>
  <c r="BA334" i="1"/>
  <c r="AW334" i="1"/>
  <c r="AS334" i="1"/>
  <c r="BD336" i="1"/>
  <c r="AZ336" i="1"/>
  <c r="AV336" i="1"/>
  <c r="BC335" i="1"/>
  <c r="AY335" i="1"/>
  <c r="AU335" i="1"/>
  <c r="CB334" i="1"/>
  <c r="BX334" i="1"/>
  <c r="BT334" i="1"/>
  <c r="BD334" i="1"/>
  <c r="AZ334" i="1"/>
  <c r="AV334" i="1"/>
  <c r="AY334" i="1"/>
  <c r="BS334" i="1"/>
  <c r="CA334" i="1"/>
  <c r="AX335" i="1"/>
  <c r="AU336" i="1"/>
  <c r="BC336" i="1"/>
  <c r="BJ337" i="1"/>
  <c r="O345" i="1"/>
  <c r="O344" i="1"/>
  <c r="AY343" i="1"/>
  <c r="BS343" i="1"/>
  <c r="CA343" i="1"/>
  <c r="DK343" i="1"/>
  <c r="AV344" i="1"/>
  <c r="BD344" i="1"/>
  <c r="AS345" i="1"/>
  <c r="BA345" i="1"/>
  <c r="P346" i="1"/>
  <c r="O348" i="1"/>
  <c r="AU349" i="1"/>
  <c r="BC349" i="1"/>
  <c r="BW349" i="1"/>
  <c r="CE349" i="1"/>
  <c r="AS350" i="1"/>
  <c r="BA350" i="1"/>
  <c r="AZ351" i="1"/>
  <c r="AJ355" i="1"/>
  <c r="S361" i="1"/>
  <c r="T361" i="1" s="1"/>
  <c r="BE372" i="1"/>
  <c r="BA372" i="1"/>
  <c r="AW372" i="1"/>
  <c r="AS372" i="1"/>
  <c r="BD371" i="1"/>
  <c r="AZ371" i="1"/>
  <c r="AV371" i="1"/>
  <c r="CD370" i="1"/>
  <c r="BZ370" i="1"/>
  <c r="BV370" i="1"/>
  <c r="BB370" i="1"/>
  <c r="AX370" i="1"/>
  <c r="AT370" i="1"/>
  <c r="BD372" i="1"/>
  <c r="AZ372" i="1"/>
  <c r="AV372" i="1"/>
  <c r="BC371" i="1"/>
  <c r="AY371" i="1"/>
  <c r="AU371" i="1"/>
  <c r="CC370" i="1"/>
  <c r="BY370" i="1"/>
  <c r="BU370" i="1"/>
  <c r="BE370" i="1"/>
  <c r="BA370" i="1"/>
  <c r="AW370" i="1"/>
  <c r="AS370" i="1"/>
  <c r="AY370" i="1"/>
  <c r="BX370" i="1"/>
  <c r="AW371" i="1"/>
  <c r="BE371" i="1"/>
  <c r="AT372" i="1"/>
  <c r="BB372" i="1"/>
  <c r="BD375" i="1"/>
  <c r="AZ375" i="1"/>
  <c r="AV375" i="1"/>
  <c r="BD374" i="1"/>
  <c r="AZ374" i="1"/>
  <c r="AV374" i="1"/>
  <c r="CE373" i="1"/>
  <c r="CA373" i="1"/>
  <c r="BW373" i="1"/>
  <c r="BS373" i="1"/>
  <c r="BC373" i="1"/>
  <c r="AY373" i="1"/>
  <c r="AU373" i="1"/>
  <c r="BB375" i="1"/>
  <c r="AW375" i="1"/>
  <c r="BA374" i="1"/>
  <c r="AU374" i="1"/>
  <c r="CD373" i="1"/>
  <c r="BY373" i="1"/>
  <c r="BT373" i="1"/>
  <c r="BB373" i="1"/>
  <c r="AW373" i="1"/>
  <c r="BA375" i="1"/>
  <c r="AU375" i="1"/>
  <c r="BE374" i="1"/>
  <c r="AY374" i="1"/>
  <c r="AT374" i="1"/>
  <c r="CC373" i="1"/>
  <c r="BX373" i="1"/>
  <c r="BA373" i="1"/>
  <c r="AV373" i="1"/>
  <c r="S373" i="1"/>
  <c r="T373" i="1" s="1"/>
  <c r="AZ373" i="1"/>
  <c r="BV373" i="1"/>
  <c r="BB374" i="1"/>
  <c r="AT375" i="1"/>
  <c r="BE375" i="1"/>
  <c r="AF378" i="1"/>
  <c r="P378" i="1"/>
  <c r="BF378" i="1"/>
  <c r="BA382" i="1"/>
  <c r="BW382" i="1"/>
  <c r="AS383" i="1"/>
  <c r="BC383" i="1"/>
  <c r="AV384" i="1"/>
  <c r="O386" i="1"/>
  <c r="BD390" i="1"/>
  <c r="AZ390" i="1"/>
  <c r="AV390" i="1"/>
  <c r="BC389" i="1"/>
  <c r="AY389" i="1"/>
  <c r="AU389" i="1"/>
  <c r="CC388" i="1"/>
  <c r="BY388" i="1"/>
  <c r="BU388" i="1"/>
  <c r="BE388" i="1"/>
  <c r="BA388" i="1"/>
  <c r="AW388" i="1"/>
  <c r="AS388" i="1"/>
  <c r="BC390" i="1"/>
  <c r="AX390" i="1"/>
  <c r="AS390" i="1"/>
  <c r="BE389" i="1"/>
  <c r="AZ389" i="1"/>
  <c r="AT389" i="1"/>
  <c r="DK388" i="1"/>
  <c r="CD388" i="1"/>
  <c r="BX388" i="1"/>
  <c r="BS388" i="1"/>
  <c r="BB388" i="1"/>
  <c r="AV388" i="1"/>
  <c r="BB390" i="1"/>
  <c r="AW390" i="1"/>
  <c r="BD389" i="1"/>
  <c r="AX389" i="1"/>
  <c r="AS389" i="1"/>
  <c r="CB388" i="1"/>
  <c r="BW388" i="1"/>
  <c r="AZ388" i="1"/>
  <c r="AU388" i="1"/>
  <c r="S388" i="1"/>
  <c r="T388" i="1" s="1"/>
  <c r="BC388" i="1"/>
  <c r="BV388" i="1"/>
  <c r="AV389" i="1"/>
  <c r="BA390" i="1"/>
  <c r="BE393" i="1"/>
  <c r="BA393" i="1"/>
  <c r="AW393" i="1"/>
  <c r="AS393" i="1"/>
  <c r="BE392" i="1"/>
  <c r="BA392" i="1"/>
  <c r="AW392" i="1"/>
  <c r="AS392" i="1"/>
  <c r="CB391" i="1"/>
  <c r="BX391" i="1"/>
  <c r="BT391" i="1"/>
  <c r="BD391" i="1"/>
  <c r="AZ391" i="1"/>
  <c r="AV391" i="1"/>
  <c r="BD393" i="1"/>
  <c r="AY393" i="1"/>
  <c r="AT393" i="1"/>
  <c r="BB392" i="1"/>
  <c r="AV392" i="1"/>
  <c r="CA391" i="1"/>
  <c r="BV391" i="1"/>
  <c r="BE391" i="1"/>
  <c r="AY391" i="1"/>
  <c r="AT391" i="1"/>
  <c r="S391" i="1"/>
  <c r="T391" i="1" s="1"/>
  <c r="BC393" i="1"/>
  <c r="AX393" i="1"/>
  <c r="AZ392" i="1"/>
  <c r="AU392" i="1"/>
  <c r="CE391" i="1"/>
  <c r="BU391" i="1"/>
  <c r="BC391" i="1"/>
  <c r="AX391" i="1"/>
  <c r="AS391" i="1"/>
  <c r="AW391" i="1"/>
  <c r="BW391" i="1"/>
  <c r="AX392" i="1"/>
  <c r="AZ393" i="1"/>
  <c r="O402" i="1"/>
  <c r="P402" i="1" s="1"/>
  <c r="O401" i="1"/>
  <c r="BC408" i="1"/>
  <c r="AY408" i="1"/>
  <c r="AU408" i="1"/>
  <c r="BB407" i="1"/>
  <c r="AX407" i="1"/>
  <c r="AT407" i="1"/>
  <c r="CB406" i="1"/>
  <c r="BX406" i="1"/>
  <c r="BT406" i="1"/>
  <c r="BD406" i="1"/>
  <c r="AZ406" i="1"/>
  <c r="AV406" i="1"/>
  <c r="BB408" i="1"/>
  <c r="AW408" i="1"/>
  <c r="BE407" i="1"/>
  <c r="AZ407" i="1"/>
  <c r="AU407" i="1"/>
  <c r="BY406" i="1"/>
  <c r="BS406" i="1"/>
  <c r="BB406" i="1"/>
  <c r="AW406" i="1"/>
  <c r="BA408" i="1"/>
  <c r="AV408" i="1"/>
  <c r="BD407" i="1"/>
  <c r="AY407" i="1"/>
  <c r="AS407" i="1"/>
  <c r="CC406" i="1"/>
  <c r="BW406" i="1"/>
  <c r="BA406" i="1"/>
  <c r="AU406" i="1"/>
  <c r="AT406" i="1"/>
  <c r="BE406" i="1"/>
  <c r="CA406" i="1"/>
  <c r="AJ406" i="1"/>
  <c r="P406" i="1"/>
  <c r="BJ406" i="1"/>
  <c r="BA407" i="1"/>
  <c r="AX408" i="1"/>
  <c r="BA412" i="1"/>
  <c r="BY412" i="1"/>
  <c r="O413" i="1"/>
  <c r="AY413" i="1"/>
  <c r="AV414" i="1"/>
  <c r="O416" i="1"/>
  <c r="DJ418" i="1"/>
  <c r="AJ427" i="1"/>
  <c r="P427" i="1"/>
  <c r="BJ427" i="1"/>
  <c r="AU430" i="1"/>
  <c r="BE430" i="1"/>
  <c r="CA430" i="1"/>
  <c r="AX431" i="1"/>
  <c r="BB432" i="1"/>
  <c r="D436" i="1"/>
  <c r="DJ434" i="1"/>
  <c r="AS442" i="1"/>
  <c r="BD442" i="1"/>
  <c r="BU442" i="1"/>
  <c r="AS443" i="1"/>
  <c r="BC443" i="1"/>
  <c r="AZ444" i="1"/>
  <c r="P449" i="1"/>
  <c r="AM449" i="1"/>
  <c r="BM449" i="1"/>
  <c r="O453" i="1"/>
  <c r="P453" i="1" s="1"/>
  <c r="O452" i="1"/>
  <c r="BB451" i="1"/>
  <c r="BY451" i="1"/>
  <c r="AZ452" i="1"/>
  <c r="AX453" i="1"/>
  <c r="AV454" i="1"/>
  <c r="BT454" i="1"/>
  <c r="CE454" i="1"/>
  <c r="AS455" i="1"/>
  <c r="BC455" i="1"/>
  <c r="AU456" i="1"/>
  <c r="F463" i="1"/>
  <c r="BM465" i="1"/>
  <c r="O468" i="1"/>
  <c r="P468" i="1" s="1"/>
  <c r="O467" i="1"/>
  <c r="BG476" i="1"/>
  <c r="P476" i="1"/>
  <c r="AG476" i="1"/>
  <c r="BG499" i="1"/>
  <c r="P499" i="1"/>
  <c r="AG499" i="1" s="1"/>
  <c r="P512" i="1"/>
  <c r="AQ512" i="1" s="1"/>
  <c r="BQ512" i="1"/>
  <c r="BJ529" i="1"/>
  <c r="P529" i="1"/>
  <c r="P550" i="1"/>
  <c r="AQ550" i="1"/>
  <c r="BB567" i="1"/>
  <c r="AX567" i="1"/>
  <c r="AT567" i="1"/>
  <c r="BB566" i="1"/>
  <c r="BD567" i="1"/>
  <c r="AY567" i="1"/>
  <c r="AS567" i="1"/>
  <c r="BC566" i="1"/>
  <c r="AX566" i="1"/>
  <c r="AT566" i="1"/>
  <c r="CB565" i="1"/>
  <c r="BX565" i="1"/>
  <c r="BD565" i="1"/>
  <c r="AZ565" i="1"/>
  <c r="AV565" i="1"/>
  <c r="BC567" i="1"/>
  <c r="AW567" i="1"/>
  <c r="BA566" i="1"/>
  <c r="AW566" i="1"/>
  <c r="AS566" i="1"/>
  <c r="CE565" i="1"/>
  <c r="CA565" i="1"/>
  <c r="BW565" i="1"/>
  <c r="BS565" i="1"/>
  <c r="BC565" i="1"/>
  <c r="AY565" i="1"/>
  <c r="AU565" i="1"/>
  <c r="AX565" i="1"/>
  <c r="BU565" i="1"/>
  <c r="CC565" i="1"/>
  <c r="AV566" i="1"/>
  <c r="BE566" i="1"/>
  <c r="AU567" i="1"/>
  <c r="BE567" i="1"/>
  <c r="O573" i="1"/>
  <c r="P573" i="1" s="1"/>
  <c r="O572" i="1"/>
  <c r="BG574" i="1"/>
  <c r="P574" i="1"/>
  <c r="BJ604" i="1"/>
  <c r="AJ604" i="1"/>
  <c r="P604" i="1"/>
  <c r="P637" i="1"/>
  <c r="AQ637" i="1"/>
  <c r="BQ637" i="1"/>
  <c r="S637" i="1"/>
  <c r="AJ652" i="1"/>
  <c r="P652" i="1"/>
  <c r="BJ652" i="1"/>
  <c r="BC492" i="1"/>
  <c r="AY492" i="1"/>
  <c r="AU492" i="1"/>
  <c r="BB491" i="1"/>
  <c r="AX491" i="1"/>
  <c r="AT491" i="1"/>
  <c r="CB490" i="1"/>
  <c r="BX490" i="1"/>
  <c r="BT490" i="1"/>
  <c r="BD490" i="1"/>
  <c r="AZ490" i="1"/>
  <c r="AV490" i="1"/>
  <c r="BB492" i="1"/>
  <c r="AX492" i="1"/>
  <c r="AT492" i="1"/>
  <c r="BE491" i="1"/>
  <c r="BA491" i="1"/>
  <c r="AW491" i="1"/>
  <c r="AS491" i="1"/>
  <c r="CE490" i="1"/>
  <c r="CA490" i="1"/>
  <c r="BS490" i="1"/>
  <c r="BC490" i="1"/>
  <c r="AY490" i="1"/>
  <c r="AU490" i="1"/>
  <c r="AX490" i="1"/>
  <c r="BU490" i="1"/>
  <c r="CC490" i="1"/>
  <c r="AU491" i="1"/>
  <c r="BC491" i="1"/>
  <c r="AV492" i="1"/>
  <c r="BD492" i="1"/>
  <c r="BC501" i="1"/>
  <c r="AY501" i="1"/>
  <c r="AU501" i="1"/>
  <c r="BC500" i="1"/>
  <c r="AY500" i="1"/>
  <c r="AU500" i="1"/>
  <c r="CD499" i="1"/>
  <c r="BZ499" i="1"/>
  <c r="BV499" i="1"/>
  <c r="BB499" i="1"/>
  <c r="AX499" i="1"/>
  <c r="AT499" i="1"/>
  <c r="BB501" i="1"/>
  <c r="AX501" i="1"/>
  <c r="AT501" i="1"/>
  <c r="BB500" i="1"/>
  <c r="AX500" i="1"/>
  <c r="AT500" i="1"/>
  <c r="CC499" i="1"/>
  <c r="BY499" i="1"/>
  <c r="BU499" i="1"/>
  <c r="BE499" i="1"/>
  <c r="BA499" i="1"/>
  <c r="AW499" i="1"/>
  <c r="AS499" i="1"/>
  <c r="O501" i="1"/>
  <c r="P501" i="1" s="1"/>
  <c r="O500" i="1"/>
  <c r="AZ499" i="1"/>
  <c r="BS499" i="1"/>
  <c r="CA499" i="1"/>
  <c r="AZ500" i="1"/>
  <c r="AV501" i="1"/>
  <c r="BD501" i="1"/>
  <c r="O510" i="1"/>
  <c r="P510" i="1" s="1"/>
  <c r="P521" i="1"/>
  <c r="AM521" i="1" s="1"/>
  <c r="O530" i="1"/>
  <c r="P538" i="1"/>
  <c r="BG538" i="1"/>
  <c r="BC546" i="1"/>
  <c r="AY546" i="1"/>
  <c r="AU546" i="1"/>
  <c r="BB545" i="1"/>
  <c r="AX545" i="1"/>
  <c r="AT545" i="1"/>
  <c r="CB544" i="1"/>
  <c r="BX544" i="1"/>
  <c r="BT544" i="1"/>
  <c r="BD544" i="1"/>
  <c r="AZ544" i="1"/>
  <c r="AV544" i="1"/>
  <c r="BB546" i="1"/>
  <c r="AX546" i="1"/>
  <c r="AT546" i="1"/>
  <c r="BE545" i="1"/>
  <c r="BA545" i="1"/>
  <c r="AW545" i="1"/>
  <c r="AS545" i="1"/>
  <c r="CE544" i="1"/>
  <c r="CA544" i="1"/>
  <c r="BW544" i="1"/>
  <c r="BS544" i="1"/>
  <c r="BC544" i="1"/>
  <c r="AY544" i="1"/>
  <c r="AU544" i="1"/>
  <c r="S544" i="1"/>
  <c r="T544" i="1" s="1"/>
  <c r="AS544" i="1"/>
  <c r="BA544" i="1"/>
  <c r="BU544" i="1"/>
  <c r="CC544" i="1"/>
  <c r="AU545" i="1"/>
  <c r="BC545" i="1"/>
  <c r="AV546" i="1"/>
  <c r="BD546" i="1"/>
  <c r="O552" i="1"/>
  <c r="P552" i="1" s="1"/>
  <c r="P554" i="1"/>
  <c r="BF554" i="1"/>
  <c r="BC558" i="1"/>
  <c r="AY558" i="1"/>
  <c r="AU558" i="1"/>
  <c r="BB557" i="1"/>
  <c r="AX557" i="1"/>
  <c r="AT557" i="1"/>
  <c r="CB556" i="1"/>
  <c r="BX556" i="1"/>
  <c r="BT556" i="1"/>
  <c r="BD556" i="1"/>
  <c r="AZ556" i="1"/>
  <c r="AV556" i="1"/>
  <c r="BB558" i="1"/>
  <c r="AX558" i="1"/>
  <c r="AT558" i="1"/>
  <c r="BE557" i="1"/>
  <c r="BA557" i="1"/>
  <c r="AW557" i="1"/>
  <c r="AS557" i="1"/>
  <c r="CE556" i="1"/>
  <c r="CA556" i="1"/>
  <c r="BW556" i="1"/>
  <c r="BS556" i="1"/>
  <c r="BC556" i="1"/>
  <c r="AY556" i="1"/>
  <c r="AU556" i="1"/>
  <c r="S556" i="1"/>
  <c r="T556" i="1" s="1"/>
  <c r="AS556" i="1"/>
  <c r="BA556" i="1"/>
  <c r="BU556" i="1"/>
  <c r="CC556" i="1"/>
  <c r="AV557" i="1"/>
  <c r="BD557" i="1"/>
  <c r="AV558" i="1"/>
  <c r="BD558" i="1"/>
  <c r="AS565" i="1"/>
  <c r="BA565" i="1"/>
  <c r="BV565" i="1"/>
  <c r="CD565" i="1"/>
  <c r="AY566" i="1"/>
  <c r="AV567" i="1"/>
  <c r="BE570" i="1"/>
  <c r="BA570" i="1"/>
  <c r="AW570" i="1"/>
  <c r="AS570" i="1"/>
  <c r="BD569" i="1"/>
  <c r="AZ569" i="1"/>
  <c r="AV569" i="1"/>
  <c r="CD568" i="1"/>
  <c r="BZ568" i="1"/>
  <c r="BV568" i="1"/>
  <c r="BB568" i="1"/>
  <c r="AX568" i="1"/>
  <c r="AT568" i="1"/>
  <c r="AZ570" i="1"/>
  <c r="AU570" i="1"/>
  <c r="BC569" i="1"/>
  <c r="AX569" i="1"/>
  <c r="AS569" i="1"/>
  <c r="CE568" i="1"/>
  <c r="BY568" i="1"/>
  <c r="BT568" i="1"/>
  <c r="BD568" i="1"/>
  <c r="AY568" i="1"/>
  <c r="AS568" i="1"/>
  <c r="S568" i="1"/>
  <c r="BD570" i="1"/>
  <c r="AY570" i="1"/>
  <c r="AT570" i="1"/>
  <c r="BB569" i="1"/>
  <c r="AW569" i="1"/>
  <c r="CC568" i="1"/>
  <c r="BX568" i="1"/>
  <c r="BS568" i="1"/>
  <c r="BC568" i="1"/>
  <c r="AW568" i="1"/>
  <c r="P568" i="1"/>
  <c r="AU568" i="1"/>
  <c r="BE568" i="1"/>
  <c r="BM568" i="1"/>
  <c r="CA568" i="1"/>
  <c r="AY569" i="1"/>
  <c r="BB570" i="1"/>
  <c r="P575" i="1"/>
  <c r="AM575" i="1"/>
  <c r="BM575" i="1"/>
  <c r="T580" i="1"/>
  <c r="AF599" i="1"/>
  <c r="P599" i="1"/>
  <c r="BF599" i="1"/>
  <c r="AU295" i="1"/>
  <c r="AY295" i="1"/>
  <c r="BC295" i="1"/>
  <c r="BS295" i="1"/>
  <c r="CA295" i="1"/>
  <c r="CE295" i="1"/>
  <c r="AS296" i="1"/>
  <c r="AW296" i="1"/>
  <c r="BA296" i="1"/>
  <c r="BE296" i="1"/>
  <c r="AS297" i="1"/>
  <c r="AW297" i="1"/>
  <c r="BA297" i="1"/>
  <c r="BE297" i="1"/>
  <c r="AT307" i="1"/>
  <c r="AX307" i="1"/>
  <c r="BB307" i="1"/>
  <c r="BV307" i="1"/>
  <c r="BZ307" i="1"/>
  <c r="CD307" i="1"/>
  <c r="AU308" i="1"/>
  <c r="AY308" i="1"/>
  <c r="BC308" i="1"/>
  <c r="AU309" i="1"/>
  <c r="AY309" i="1"/>
  <c r="BC309" i="1"/>
  <c r="S310" i="1"/>
  <c r="T310" i="1" s="1"/>
  <c r="AU310" i="1"/>
  <c r="AY310" i="1"/>
  <c r="BC310" i="1"/>
  <c r="BS310" i="1"/>
  <c r="BW310" i="1"/>
  <c r="CA310" i="1"/>
  <c r="CE310" i="1"/>
  <c r="AS311" i="1"/>
  <c r="AW311" i="1"/>
  <c r="BA311" i="1"/>
  <c r="BE311" i="1"/>
  <c r="AT312" i="1"/>
  <c r="AX312" i="1"/>
  <c r="BB312" i="1"/>
  <c r="AM316" i="1"/>
  <c r="AU316" i="1"/>
  <c r="AY316" i="1"/>
  <c r="BC316" i="1"/>
  <c r="BS316" i="1"/>
  <c r="BW316" i="1"/>
  <c r="CA316" i="1"/>
  <c r="CE316" i="1"/>
  <c r="AT317" i="1"/>
  <c r="AX317" i="1"/>
  <c r="BB317" i="1"/>
  <c r="O318" i="1"/>
  <c r="AU318" i="1"/>
  <c r="AY318" i="1"/>
  <c r="BC318" i="1"/>
  <c r="AU319" i="1"/>
  <c r="AY319" i="1"/>
  <c r="BC319" i="1"/>
  <c r="BS319" i="1"/>
  <c r="BW319" i="1"/>
  <c r="CA319" i="1"/>
  <c r="CE319" i="1"/>
  <c r="AS320" i="1"/>
  <c r="AW320" i="1"/>
  <c r="BA320" i="1"/>
  <c r="BE320" i="1"/>
  <c r="AS321" i="1"/>
  <c r="AW321" i="1"/>
  <c r="BA321" i="1"/>
  <c r="BE321" i="1"/>
  <c r="BF373" i="1"/>
  <c r="AM375" i="1"/>
  <c r="BD378" i="1"/>
  <c r="AZ378" i="1"/>
  <c r="AV378" i="1"/>
  <c r="BC377" i="1"/>
  <c r="AY377" i="1"/>
  <c r="AU377" i="1"/>
  <c r="CB376" i="1"/>
  <c r="BX376" i="1"/>
  <c r="BT376" i="1"/>
  <c r="BD376" i="1"/>
  <c r="AZ376" i="1"/>
  <c r="AV376" i="1"/>
  <c r="AW376" i="1"/>
  <c r="BB376" i="1"/>
  <c r="BS376" i="1"/>
  <c r="BY376" i="1"/>
  <c r="CD376" i="1"/>
  <c r="AV377" i="1"/>
  <c r="BA377" i="1"/>
  <c r="AT378" i="1"/>
  <c r="AY378" i="1"/>
  <c r="BE378" i="1"/>
  <c r="BC402" i="1"/>
  <c r="AY402" i="1"/>
  <c r="AU402" i="1"/>
  <c r="BB401" i="1"/>
  <c r="AX401" i="1"/>
  <c r="AT401" i="1"/>
  <c r="CB400" i="1"/>
  <c r="BX400" i="1"/>
  <c r="BT400" i="1"/>
  <c r="BD400" i="1"/>
  <c r="AZ400" i="1"/>
  <c r="AV400" i="1"/>
  <c r="AS400" i="1"/>
  <c r="AX400" i="1"/>
  <c r="BC400" i="1"/>
  <c r="BU400" i="1"/>
  <c r="BZ400" i="1"/>
  <c r="CE400" i="1"/>
  <c r="AV401" i="1"/>
  <c r="BA401" i="1"/>
  <c r="AT402" i="1"/>
  <c r="AZ402" i="1"/>
  <c r="BE402" i="1"/>
  <c r="BY415" i="1"/>
  <c r="CD415" i="1"/>
  <c r="AX416" i="1"/>
  <c r="BC416" i="1"/>
  <c r="AT417" i="1"/>
  <c r="AY417" i="1"/>
  <c r="AV418" i="1"/>
  <c r="BB418" i="1"/>
  <c r="BT418" i="1"/>
  <c r="BZ418" i="1"/>
  <c r="CE418" i="1"/>
  <c r="AW419" i="1"/>
  <c r="BB419" i="1"/>
  <c r="AT420" i="1"/>
  <c r="AY420" i="1"/>
  <c r="AW421" i="1"/>
  <c r="BB421" i="1"/>
  <c r="BS421" i="1"/>
  <c r="BY421" i="1"/>
  <c r="CD421" i="1"/>
  <c r="DK421" i="1"/>
  <c r="AT422" i="1"/>
  <c r="AY422" i="1"/>
  <c r="BD422" i="1"/>
  <c r="AX423" i="1"/>
  <c r="AM424" i="1"/>
  <c r="AV424" i="1"/>
  <c r="BB424" i="1"/>
  <c r="BT424" i="1"/>
  <c r="BZ424" i="1"/>
  <c r="CE424" i="1"/>
  <c r="AV425" i="1"/>
  <c r="BA425" i="1"/>
  <c r="BJ425" i="1"/>
  <c r="AS426" i="1"/>
  <c r="AX426" i="1"/>
  <c r="BE438" i="1"/>
  <c r="BA438" i="1"/>
  <c r="AW438" i="1"/>
  <c r="AS438" i="1"/>
  <c r="BD437" i="1"/>
  <c r="AZ437" i="1"/>
  <c r="AV437" i="1"/>
  <c r="BZ436" i="1"/>
  <c r="BV436" i="1"/>
  <c r="BB436" i="1"/>
  <c r="AX436" i="1"/>
  <c r="AT436" i="1"/>
  <c r="O436" i="1"/>
  <c r="AU436" i="1"/>
  <c r="AZ436" i="1"/>
  <c r="BE436" i="1"/>
  <c r="BU436" i="1"/>
  <c r="CA436" i="1"/>
  <c r="AS437" i="1"/>
  <c r="AX437" i="1"/>
  <c r="BC437" i="1"/>
  <c r="AV438" i="1"/>
  <c r="BB438" i="1"/>
  <c r="O441" i="1"/>
  <c r="P441" i="1" s="1"/>
  <c r="O440" i="1"/>
  <c r="AV439" i="1"/>
  <c r="BB439" i="1"/>
  <c r="BZ439" i="1"/>
  <c r="CE439" i="1"/>
  <c r="AU440" i="1"/>
  <c r="AZ440" i="1"/>
  <c r="BE440" i="1"/>
  <c r="AV441" i="1"/>
  <c r="BE450" i="1"/>
  <c r="BA450" i="1"/>
  <c r="AW450" i="1"/>
  <c r="AS450" i="1"/>
  <c r="BD449" i="1"/>
  <c r="AZ449" i="1"/>
  <c r="AV449" i="1"/>
  <c r="CD448" i="1"/>
  <c r="BZ448" i="1"/>
  <c r="BV448" i="1"/>
  <c r="BB448" i="1"/>
  <c r="AX448" i="1"/>
  <c r="AT448" i="1"/>
  <c r="O448" i="1"/>
  <c r="AU448" i="1"/>
  <c r="AZ448" i="1"/>
  <c r="BE448" i="1"/>
  <c r="CB448" i="1"/>
  <c r="AT449" i="1"/>
  <c r="AY449" i="1"/>
  <c r="BE449" i="1"/>
  <c r="AV450" i="1"/>
  <c r="BB450" i="1"/>
  <c r="S457" i="1"/>
  <c r="AT457" i="1"/>
  <c r="AY457" i="1"/>
  <c r="BE457" i="1"/>
  <c r="BQ457" i="1"/>
  <c r="BV457" i="1"/>
  <c r="CA457" i="1"/>
  <c r="O458" i="1"/>
  <c r="AV458" i="1"/>
  <c r="BB458" i="1"/>
  <c r="AT459" i="1"/>
  <c r="AY459" i="1"/>
  <c r="BD462" i="1"/>
  <c r="AZ462" i="1"/>
  <c r="AV462" i="1"/>
  <c r="BC461" i="1"/>
  <c r="AY461" i="1"/>
  <c r="AU461" i="1"/>
  <c r="CC460" i="1"/>
  <c r="BY460" i="1"/>
  <c r="BU460" i="1"/>
  <c r="BE460" i="1"/>
  <c r="BA460" i="1"/>
  <c r="AW460" i="1"/>
  <c r="AS460" i="1"/>
  <c r="AX460" i="1"/>
  <c r="BC460" i="1"/>
  <c r="BV460" i="1"/>
  <c r="CA460" i="1"/>
  <c r="AS461" i="1"/>
  <c r="AX461" i="1"/>
  <c r="BD461" i="1"/>
  <c r="AU462" i="1"/>
  <c r="BA462" i="1"/>
  <c r="BD465" i="1"/>
  <c r="AZ465" i="1"/>
  <c r="AV465" i="1"/>
  <c r="BD464" i="1"/>
  <c r="AZ464" i="1"/>
  <c r="AV464" i="1"/>
  <c r="CE463" i="1"/>
  <c r="CA463" i="1"/>
  <c r="BW463" i="1"/>
  <c r="BS463" i="1"/>
  <c r="BC463" i="1"/>
  <c r="AY463" i="1"/>
  <c r="AU463" i="1"/>
  <c r="S463" i="1"/>
  <c r="T463" i="1" s="1"/>
  <c r="AW463" i="1"/>
  <c r="BB463" i="1"/>
  <c r="BT463" i="1"/>
  <c r="BY463" i="1"/>
  <c r="CD463" i="1"/>
  <c r="AQ464" i="1"/>
  <c r="AU464" i="1"/>
  <c r="BA464" i="1"/>
  <c r="AW465" i="1"/>
  <c r="BB465" i="1"/>
  <c r="BC477" i="1"/>
  <c r="AY477" i="1"/>
  <c r="AU477" i="1"/>
  <c r="BC476" i="1"/>
  <c r="AY476" i="1"/>
  <c r="AU476" i="1"/>
  <c r="CC475" i="1"/>
  <c r="BY475" i="1"/>
  <c r="BU475" i="1"/>
  <c r="BE475" i="1"/>
  <c r="BA475" i="1"/>
  <c r="AW475" i="1"/>
  <c r="AS475" i="1"/>
  <c r="AX475" i="1"/>
  <c r="BC475" i="1"/>
  <c r="BV475" i="1"/>
  <c r="CA475" i="1"/>
  <c r="AW476" i="1"/>
  <c r="BB476" i="1"/>
  <c r="AT477" i="1"/>
  <c r="AZ477" i="1"/>
  <c r="BE477" i="1"/>
  <c r="P479" i="1"/>
  <c r="AG479" i="1" s="1"/>
  <c r="AS490" i="1"/>
  <c r="BA490" i="1"/>
  <c r="BV490" i="1"/>
  <c r="CD490" i="1"/>
  <c r="P491" i="1"/>
  <c r="AJ491" i="1" s="1"/>
  <c r="AV491" i="1"/>
  <c r="BD491" i="1"/>
  <c r="AW492" i="1"/>
  <c r="BE492" i="1"/>
  <c r="BH496" i="1"/>
  <c r="S499" i="1"/>
  <c r="T499" i="1" s="1"/>
  <c r="AU499" i="1"/>
  <c r="BC499" i="1"/>
  <c r="BT499" i="1"/>
  <c r="CB499" i="1"/>
  <c r="AS500" i="1"/>
  <c r="BA500" i="1"/>
  <c r="AW501" i="1"/>
  <c r="BE501" i="1"/>
  <c r="BC507" i="1"/>
  <c r="AY507" i="1"/>
  <c r="AU507" i="1"/>
  <c r="BC506" i="1"/>
  <c r="AY506" i="1"/>
  <c r="AU506" i="1"/>
  <c r="CD505" i="1"/>
  <c r="BZ505" i="1"/>
  <c r="BV505" i="1"/>
  <c r="BB505" i="1"/>
  <c r="AX505" i="1"/>
  <c r="AT505" i="1"/>
  <c r="BB507" i="1"/>
  <c r="AX507" i="1"/>
  <c r="AT507" i="1"/>
  <c r="BB506" i="1"/>
  <c r="AX506" i="1"/>
  <c r="AT506" i="1"/>
  <c r="CC505" i="1"/>
  <c r="BY505" i="1"/>
  <c r="BU505" i="1"/>
  <c r="BE505" i="1"/>
  <c r="BA505" i="1"/>
  <c r="AW505" i="1"/>
  <c r="AS505" i="1"/>
  <c r="P505" i="1"/>
  <c r="AJ505" i="1" s="1"/>
  <c r="O507" i="1"/>
  <c r="P507" i="1" s="1"/>
  <c r="O506" i="1"/>
  <c r="S505" i="1" s="1"/>
  <c r="AY505" i="1"/>
  <c r="BS505" i="1"/>
  <c r="CA505" i="1"/>
  <c r="AZ506" i="1"/>
  <c r="AV507" i="1"/>
  <c r="BD507" i="1"/>
  <c r="O516" i="1"/>
  <c r="P516" i="1" s="1"/>
  <c r="BJ514" i="1"/>
  <c r="BG518" i="1"/>
  <c r="P518" i="1"/>
  <c r="AG518" i="1" s="1"/>
  <c r="P532" i="1"/>
  <c r="AM532" i="1"/>
  <c r="BG536" i="1"/>
  <c r="P536" i="1"/>
  <c r="O540" i="1"/>
  <c r="P540" i="1" s="1"/>
  <c r="AT544" i="1"/>
  <c r="BB544" i="1"/>
  <c r="BV544" i="1"/>
  <c r="CD544" i="1"/>
  <c r="P545" i="1"/>
  <c r="AV545" i="1"/>
  <c r="BD545" i="1"/>
  <c r="AW546" i="1"/>
  <c r="BE546" i="1"/>
  <c r="O551" i="1"/>
  <c r="AT556" i="1"/>
  <c r="BB556" i="1"/>
  <c r="BV556" i="1"/>
  <c r="CD556" i="1"/>
  <c r="P557" i="1"/>
  <c r="AY557" i="1"/>
  <c r="AW558" i="1"/>
  <c r="BE558" i="1"/>
  <c r="P562" i="1"/>
  <c r="BH563" i="1"/>
  <c r="P563" i="1"/>
  <c r="P564" i="1"/>
  <c r="AH563" i="1"/>
  <c r="AT565" i="1"/>
  <c r="BB565" i="1"/>
  <c r="BY565" i="1"/>
  <c r="BH565" i="1"/>
  <c r="P565" i="1"/>
  <c r="AZ566" i="1"/>
  <c r="AZ567" i="1"/>
  <c r="AV568" i="1"/>
  <c r="CB568" i="1"/>
  <c r="BA569" i="1"/>
  <c r="BC570" i="1"/>
  <c r="O571" i="1"/>
  <c r="BE576" i="1"/>
  <c r="BA576" i="1"/>
  <c r="AW576" i="1"/>
  <c r="AS576" i="1"/>
  <c r="BD575" i="1"/>
  <c r="AZ575" i="1"/>
  <c r="AV575" i="1"/>
  <c r="CD574" i="1"/>
  <c r="BZ574" i="1"/>
  <c r="BV574" i="1"/>
  <c r="BB574" i="1"/>
  <c r="AX574" i="1"/>
  <c r="AT574" i="1"/>
  <c r="BC576" i="1"/>
  <c r="AX576" i="1"/>
  <c r="BA575" i="1"/>
  <c r="AU575" i="1"/>
  <c r="CC574" i="1"/>
  <c r="BX574" i="1"/>
  <c r="BS574" i="1"/>
  <c r="BC574" i="1"/>
  <c r="AW574" i="1"/>
  <c r="BB576" i="1"/>
  <c r="AV576" i="1"/>
  <c r="BE575" i="1"/>
  <c r="AY575" i="1"/>
  <c r="AT575" i="1"/>
  <c r="CB574" i="1"/>
  <c r="BW574" i="1"/>
  <c r="BA574" i="1"/>
  <c r="AV574" i="1"/>
  <c r="AU574" i="1"/>
  <c r="BE574" i="1"/>
  <c r="CA574" i="1"/>
  <c r="AX575" i="1"/>
  <c r="AU576" i="1"/>
  <c r="F580" i="1"/>
  <c r="O588" i="1"/>
  <c r="P594" i="1"/>
  <c r="AG594" i="1" s="1"/>
  <c r="BG594" i="1"/>
  <c r="AU247" i="1"/>
  <c r="AY247" i="1"/>
  <c r="BC247" i="1"/>
  <c r="BS247" i="1"/>
  <c r="BW247" i="1"/>
  <c r="CA247" i="1"/>
  <c r="CE247" i="1"/>
  <c r="AV248" i="1"/>
  <c r="AZ248" i="1"/>
  <c r="BD248" i="1"/>
  <c r="AV249" i="1"/>
  <c r="AZ249" i="1"/>
  <c r="AT253" i="1"/>
  <c r="AX253" i="1"/>
  <c r="BB253" i="1"/>
  <c r="BV253" i="1"/>
  <c r="BZ253" i="1"/>
  <c r="CD253" i="1"/>
  <c r="AU254" i="1"/>
  <c r="AY254" i="1"/>
  <c r="BC254" i="1"/>
  <c r="AU255" i="1"/>
  <c r="AY255" i="1"/>
  <c r="S256" i="1"/>
  <c r="T256" i="1" s="1"/>
  <c r="AU256" i="1"/>
  <c r="AY256" i="1"/>
  <c r="BC256" i="1"/>
  <c r="BW256" i="1"/>
  <c r="CA256" i="1"/>
  <c r="CE256" i="1"/>
  <c r="AS257" i="1"/>
  <c r="AW257" i="1"/>
  <c r="BA257" i="1"/>
  <c r="BE257" i="1"/>
  <c r="AT258" i="1"/>
  <c r="AX258" i="1"/>
  <c r="AV295" i="1"/>
  <c r="AZ295" i="1"/>
  <c r="BD295" i="1"/>
  <c r="BT295" i="1"/>
  <c r="BX295" i="1"/>
  <c r="CB295" i="1"/>
  <c r="O296" i="1"/>
  <c r="AT296" i="1"/>
  <c r="AX296" i="1"/>
  <c r="BB296" i="1"/>
  <c r="AT297" i="1"/>
  <c r="AX297" i="1"/>
  <c r="S307" i="1"/>
  <c r="T307" i="1" s="1"/>
  <c r="AU307" i="1"/>
  <c r="AY307" i="1"/>
  <c r="BC307" i="1"/>
  <c r="BS307" i="1"/>
  <c r="BW307" i="1"/>
  <c r="CA307" i="1"/>
  <c r="CE307" i="1"/>
  <c r="AV308" i="1"/>
  <c r="AZ308" i="1"/>
  <c r="BD308" i="1"/>
  <c r="AV309" i="1"/>
  <c r="AZ309" i="1"/>
  <c r="AV310" i="1"/>
  <c r="AZ310" i="1"/>
  <c r="BD310" i="1"/>
  <c r="BT310" i="1"/>
  <c r="BX310" i="1"/>
  <c r="CB310" i="1"/>
  <c r="AT311" i="1"/>
  <c r="AX311" i="1"/>
  <c r="BB311" i="1"/>
  <c r="AU312" i="1"/>
  <c r="AY312" i="1"/>
  <c r="S313" i="1"/>
  <c r="AU313" i="1"/>
  <c r="AY313" i="1"/>
  <c r="BC313" i="1"/>
  <c r="BS313" i="1"/>
  <c r="BW313" i="1"/>
  <c r="CA313" i="1"/>
  <c r="CE313" i="1"/>
  <c r="AV314" i="1"/>
  <c r="AZ314" i="1"/>
  <c r="BD314" i="1"/>
  <c r="AV315" i="1"/>
  <c r="AZ315" i="1"/>
  <c r="AV316" i="1"/>
  <c r="AZ316" i="1"/>
  <c r="BD316" i="1"/>
  <c r="BX316" i="1"/>
  <c r="CB316" i="1"/>
  <c r="AU317" i="1"/>
  <c r="AY317" i="1"/>
  <c r="BC317" i="1"/>
  <c r="AV318" i="1"/>
  <c r="AZ318" i="1"/>
  <c r="AV319" i="1"/>
  <c r="AZ319" i="1"/>
  <c r="BD319" i="1"/>
  <c r="BT319" i="1"/>
  <c r="BX319" i="1"/>
  <c r="CB319" i="1"/>
  <c r="O320" i="1"/>
  <c r="AT320" i="1"/>
  <c r="AX320" i="1"/>
  <c r="BB320" i="1"/>
  <c r="AT321" i="1"/>
  <c r="AX321" i="1"/>
  <c r="AU346" i="1"/>
  <c r="AY346" i="1"/>
  <c r="BC346" i="1"/>
  <c r="BS346" i="1"/>
  <c r="BW346" i="1"/>
  <c r="CA346" i="1"/>
  <c r="CE346" i="1"/>
  <c r="DK346" i="1"/>
  <c r="AS347" i="1"/>
  <c r="AW347" i="1"/>
  <c r="BA347" i="1"/>
  <c r="BE347" i="1"/>
  <c r="AT348" i="1"/>
  <c r="AX348" i="1"/>
  <c r="S352" i="1"/>
  <c r="AU352" i="1"/>
  <c r="AY352" i="1"/>
  <c r="BC352" i="1"/>
  <c r="BS352" i="1"/>
  <c r="BW352" i="1"/>
  <c r="CA352" i="1"/>
  <c r="CE352" i="1"/>
  <c r="AS353" i="1"/>
  <c r="AW353" i="1"/>
  <c r="BA353" i="1"/>
  <c r="BE353" i="1"/>
  <c r="AT354" i="1"/>
  <c r="AX354" i="1"/>
  <c r="S358" i="1"/>
  <c r="T358" i="1" s="1"/>
  <c r="AU358" i="1"/>
  <c r="AY358" i="1"/>
  <c r="BC358" i="1"/>
  <c r="BS358" i="1"/>
  <c r="BW358" i="1"/>
  <c r="CA358" i="1"/>
  <c r="CE358" i="1"/>
  <c r="AS359" i="1"/>
  <c r="AW359" i="1"/>
  <c r="BA359" i="1"/>
  <c r="BE359" i="1"/>
  <c r="AT360" i="1"/>
  <c r="AX360" i="1"/>
  <c r="S364" i="1"/>
  <c r="AU364" i="1"/>
  <c r="AY364" i="1"/>
  <c r="BC364" i="1"/>
  <c r="BS364" i="1"/>
  <c r="BW364" i="1"/>
  <c r="CA364" i="1"/>
  <c r="CE364" i="1"/>
  <c r="AS365" i="1"/>
  <c r="AW365" i="1"/>
  <c r="BA365" i="1"/>
  <c r="BE365" i="1"/>
  <c r="AT366" i="1"/>
  <c r="AX366" i="1"/>
  <c r="AS376" i="1"/>
  <c r="AX376" i="1"/>
  <c r="BC376" i="1"/>
  <c r="BU376" i="1"/>
  <c r="BZ376" i="1"/>
  <c r="CE376" i="1"/>
  <c r="AW377" i="1"/>
  <c r="BB377" i="1"/>
  <c r="AU378" i="1"/>
  <c r="BA378" i="1"/>
  <c r="BB381" i="1"/>
  <c r="AX381" i="1"/>
  <c r="AT381" i="1"/>
  <c r="BB380" i="1"/>
  <c r="AX380" i="1"/>
  <c r="AT380" i="1"/>
  <c r="CC379" i="1"/>
  <c r="BY379" i="1"/>
  <c r="BU379" i="1"/>
  <c r="BE379" i="1"/>
  <c r="BA379" i="1"/>
  <c r="AW379" i="1"/>
  <c r="AS379" i="1"/>
  <c r="AT379" i="1"/>
  <c r="AY379" i="1"/>
  <c r="BD379" i="1"/>
  <c r="BV379" i="1"/>
  <c r="CA379" i="1"/>
  <c r="AV380" i="1"/>
  <c r="BA380" i="1"/>
  <c r="AS381" i="1"/>
  <c r="AY381" i="1"/>
  <c r="BD381" i="1"/>
  <c r="BE387" i="1"/>
  <c r="BA387" i="1"/>
  <c r="AW387" i="1"/>
  <c r="AS387" i="1"/>
  <c r="BE386" i="1"/>
  <c r="BA386" i="1"/>
  <c r="AW386" i="1"/>
  <c r="AS386" i="1"/>
  <c r="CB385" i="1"/>
  <c r="BX385" i="1"/>
  <c r="BD385" i="1"/>
  <c r="AZ385" i="1"/>
  <c r="AV385" i="1"/>
  <c r="AW385" i="1"/>
  <c r="BB385" i="1"/>
  <c r="BS385" i="1"/>
  <c r="BY385" i="1"/>
  <c r="CD385" i="1"/>
  <c r="DK385" i="1"/>
  <c r="AU386" i="1"/>
  <c r="AZ386" i="1"/>
  <c r="AX387" i="1"/>
  <c r="BC387" i="1"/>
  <c r="BC396" i="1"/>
  <c r="AY396" i="1"/>
  <c r="AU396" i="1"/>
  <c r="BB395" i="1"/>
  <c r="AX395" i="1"/>
  <c r="AT395" i="1"/>
  <c r="CB394" i="1"/>
  <c r="BX394" i="1"/>
  <c r="BT394" i="1"/>
  <c r="BD394" i="1"/>
  <c r="AZ394" i="1"/>
  <c r="AV394" i="1"/>
  <c r="O396" i="1"/>
  <c r="P396" i="1" s="1"/>
  <c r="AU394" i="1"/>
  <c r="BA394" i="1"/>
  <c r="BW394" i="1"/>
  <c r="CC394" i="1"/>
  <c r="AS395" i="1"/>
  <c r="AY395" i="1"/>
  <c r="BD395" i="1"/>
  <c r="AW396" i="1"/>
  <c r="BB396" i="1"/>
  <c r="P398" i="1"/>
  <c r="AG398" i="1" s="1"/>
  <c r="AT400" i="1"/>
  <c r="AY400" i="1"/>
  <c r="BE400" i="1"/>
  <c r="BV400" i="1"/>
  <c r="CA400" i="1"/>
  <c r="AW401" i="1"/>
  <c r="BC401" i="1"/>
  <c r="AV402" i="1"/>
  <c r="BA402" i="1"/>
  <c r="O408" i="1"/>
  <c r="P408" i="1" s="1"/>
  <c r="P410" i="1"/>
  <c r="BE417" i="1"/>
  <c r="BA417" i="1"/>
  <c r="AW417" i="1"/>
  <c r="AS417" i="1"/>
  <c r="BE416" i="1"/>
  <c r="BA416" i="1"/>
  <c r="AW416" i="1"/>
  <c r="AS416" i="1"/>
  <c r="DK415" i="1"/>
  <c r="CE415" i="1"/>
  <c r="CA415" i="1"/>
  <c r="BW415" i="1"/>
  <c r="BS415" i="1"/>
  <c r="BC415" i="1"/>
  <c r="AY415" i="1"/>
  <c r="AU415" i="1"/>
  <c r="AS415" i="1"/>
  <c r="AX415" i="1"/>
  <c r="BD415" i="1"/>
  <c r="BU415" i="1"/>
  <c r="AT416" i="1"/>
  <c r="AY416" i="1"/>
  <c r="BD416" i="1"/>
  <c r="AU417" i="1"/>
  <c r="AZ417" i="1"/>
  <c r="BD420" i="1"/>
  <c r="AZ420" i="1"/>
  <c r="AV420" i="1"/>
  <c r="BC419" i="1"/>
  <c r="AY419" i="1"/>
  <c r="AU419" i="1"/>
  <c r="CC418" i="1"/>
  <c r="BY418" i="1"/>
  <c r="BU418" i="1"/>
  <c r="BE418" i="1"/>
  <c r="BA418" i="1"/>
  <c r="AW418" i="1"/>
  <c r="AS418" i="1"/>
  <c r="P418" i="1"/>
  <c r="AX418" i="1"/>
  <c r="BC418" i="1"/>
  <c r="BV418" i="1"/>
  <c r="CA418" i="1"/>
  <c r="P419" i="1"/>
  <c r="AS419" i="1"/>
  <c r="AX419" i="1"/>
  <c r="BD419" i="1"/>
  <c r="AU420" i="1"/>
  <c r="BA420" i="1"/>
  <c r="BE423" i="1"/>
  <c r="BA423" i="1"/>
  <c r="AW423" i="1"/>
  <c r="AS423" i="1"/>
  <c r="BE422" i="1"/>
  <c r="BA422" i="1"/>
  <c r="AW422" i="1"/>
  <c r="AS422" i="1"/>
  <c r="CB421" i="1"/>
  <c r="BX421" i="1"/>
  <c r="BT421" i="1"/>
  <c r="BD421" i="1"/>
  <c r="AZ421" i="1"/>
  <c r="AV421" i="1"/>
  <c r="AS421" i="1"/>
  <c r="AX421" i="1"/>
  <c r="BC421" i="1"/>
  <c r="BU421" i="1"/>
  <c r="BZ421" i="1"/>
  <c r="CE421" i="1"/>
  <c r="AU422" i="1"/>
  <c r="AZ422" i="1"/>
  <c r="AT423" i="1"/>
  <c r="AY423" i="1"/>
  <c r="BD423" i="1"/>
  <c r="BD426" i="1"/>
  <c r="AZ426" i="1"/>
  <c r="AV426" i="1"/>
  <c r="BC425" i="1"/>
  <c r="AY425" i="1"/>
  <c r="AU425" i="1"/>
  <c r="CC424" i="1"/>
  <c r="BY424" i="1"/>
  <c r="BU424" i="1"/>
  <c r="BE424" i="1"/>
  <c r="BA424" i="1"/>
  <c r="AW424" i="1"/>
  <c r="AS424" i="1"/>
  <c r="AX424" i="1"/>
  <c r="BC424" i="1"/>
  <c r="BV424" i="1"/>
  <c r="CA424" i="1"/>
  <c r="AW425" i="1"/>
  <c r="BB425" i="1"/>
  <c r="AT426" i="1"/>
  <c r="AY426" i="1"/>
  <c r="BE426" i="1"/>
  <c r="O435" i="1"/>
  <c r="P435" i="1" s="1"/>
  <c r="O434" i="1"/>
  <c r="BB441" i="1"/>
  <c r="AX441" i="1"/>
  <c r="AT441" i="1"/>
  <c r="BB440" i="1"/>
  <c r="AX440" i="1"/>
  <c r="AT440" i="1"/>
  <c r="CC439" i="1"/>
  <c r="BY439" i="1"/>
  <c r="BU439" i="1"/>
  <c r="BE439" i="1"/>
  <c r="BA439" i="1"/>
  <c r="AW439" i="1"/>
  <c r="AS439" i="1"/>
  <c r="AX439" i="1"/>
  <c r="BC439" i="1"/>
  <c r="BV439" i="1"/>
  <c r="CA439" i="1"/>
  <c r="AV440" i="1"/>
  <c r="BA440" i="1"/>
  <c r="AW441" i="1"/>
  <c r="BC441" i="1"/>
  <c r="O447" i="1"/>
  <c r="P447" i="1" s="1"/>
  <c r="O446" i="1"/>
  <c r="BE459" i="1"/>
  <c r="BA459" i="1"/>
  <c r="AW459" i="1"/>
  <c r="AS459" i="1"/>
  <c r="BE458" i="1"/>
  <c r="BA458" i="1"/>
  <c r="AW458" i="1"/>
  <c r="AS458" i="1"/>
  <c r="CB457" i="1"/>
  <c r="BX457" i="1"/>
  <c r="BT457" i="1"/>
  <c r="BD457" i="1"/>
  <c r="AZ457" i="1"/>
  <c r="AV457" i="1"/>
  <c r="AU457" i="1"/>
  <c r="BA457" i="1"/>
  <c r="BW457" i="1"/>
  <c r="CC457" i="1"/>
  <c r="AX458" i="1"/>
  <c r="BC458" i="1"/>
  <c r="AU459" i="1"/>
  <c r="AZ459" i="1"/>
  <c r="AT460" i="1"/>
  <c r="AY460" i="1"/>
  <c r="BD460" i="1"/>
  <c r="BW460" i="1"/>
  <c r="CB460" i="1"/>
  <c r="AT461" i="1"/>
  <c r="AZ461" i="1"/>
  <c r="BE461" i="1"/>
  <c r="AW462" i="1"/>
  <c r="BB462" i="1"/>
  <c r="AS463" i="1"/>
  <c r="AX463" i="1"/>
  <c r="BD463" i="1"/>
  <c r="BU463" i="1"/>
  <c r="AW464" i="1"/>
  <c r="BB464" i="1"/>
  <c r="AS465" i="1"/>
  <c r="AX465" i="1"/>
  <c r="BC465" i="1"/>
  <c r="AT475" i="1"/>
  <c r="AY475" i="1"/>
  <c r="BD475" i="1"/>
  <c r="BW475" i="1"/>
  <c r="CB475" i="1"/>
  <c r="AS476" i="1"/>
  <c r="AX476" i="1"/>
  <c r="BD476" i="1"/>
  <c r="AV477" i="1"/>
  <c r="BA477" i="1"/>
  <c r="P480" i="1"/>
  <c r="AG480" i="1" s="1"/>
  <c r="BJ482" i="1"/>
  <c r="O486" i="1"/>
  <c r="BJ484" i="1"/>
  <c r="AT490" i="1"/>
  <c r="BB490" i="1"/>
  <c r="BY490" i="1"/>
  <c r="P490" i="1"/>
  <c r="BG490" i="1"/>
  <c r="AY491" i="1"/>
  <c r="AZ492" i="1"/>
  <c r="P493" i="1"/>
  <c r="O495" i="1"/>
  <c r="P495" i="1" s="1"/>
  <c r="O494" i="1"/>
  <c r="O497" i="1"/>
  <c r="AV499" i="1"/>
  <c r="BD499" i="1"/>
  <c r="BW499" i="1"/>
  <c r="CE499" i="1"/>
  <c r="AV500" i="1"/>
  <c r="BD500" i="1"/>
  <c r="AZ501" i="1"/>
  <c r="BH502" i="1"/>
  <c r="AZ505" i="1"/>
  <c r="BT505" i="1"/>
  <c r="CB505" i="1"/>
  <c r="AS506" i="1"/>
  <c r="BA506" i="1"/>
  <c r="AW507" i="1"/>
  <c r="BE507" i="1"/>
  <c r="D514" i="1"/>
  <c r="DK514" i="1" s="1"/>
  <c r="DJ511" i="1"/>
  <c r="DJ512" i="1"/>
  <c r="O515" i="1"/>
  <c r="P517" i="1"/>
  <c r="O534" i="1"/>
  <c r="P534" i="1" s="1"/>
  <c r="AG535" i="1"/>
  <c r="AG536" i="1"/>
  <c r="BQ537" i="1"/>
  <c r="O539" i="1"/>
  <c r="AW544" i="1"/>
  <c r="BE544" i="1"/>
  <c r="BY544" i="1"/>
  <c r="AM545" i="1"/>
  <c r="AY545" i="1"/>
  <c r="AZ546" i="1"/>
  <c r="AJ548" i="1"/>
  <c r="P548" i="1"/>
  <c r="P555" i="1"/>
  <c r="AJ555" i="1" s="1"/>
  <c r="AW556" i="1"/>
  <c r="BE556" i="1"/>
  <c r="BY556" i="1"/>
  <c r="AZ557" i="1"/>
  <c r="P558" i="1"/>
  <c r="AZ558" i="1"/>
  <c r="P559" i="1"/>
  <c r="O561" i="1"/>
  <c r="P561" i="1" s="1"/>
  <c r="O560" i="1"/>
  <c r="BG559" i="1"/>
  <c r="AW565" i="1"/>
  <c r="BE565" i="1"/>
  <c r="BZ565" i="1"/>
  <c r="AU566" i="1"/>
  <c r="BD566" i="1"/>
  <c r="BA567" i="1"/>
  <c r="AZ568" i="1"/>
  <c r="BU568" i="1"/>
  <c r="AT569" i="1"/>
  <c r="BE569" i="1"/>
  <c r="AV570" i="1"/>
  <c r="AY574" i="1"/>
  <c r="BT574" i="1"/>
  <c r="CE574" i="1"/>
  <c r="BB575" i="1"/>
  <c r="AY576" i="1"/>
  <c r="BB579" i="1"/>
  <c r="AX579" i="1"/>
  <c r="AT579" i="1"/>
  <c r="BB578" i="1"/>
  <c r="AX578" i="1"/>
  <c r="AT578" i="1"/>
  <c r="CC577" i="1"/>
  <c r="BY577" i="1"/>
  <c r="BU577" i="1"/>
  <c r="BE577" i="1"/>
  <c r="BA577" i="1"/>
  <c r="AW577" i="1"/>
  <c r="AS577" i="1"/>
  <c r="BA579" i="1"/>
  <c r="AV579" i="1"/>
  <c r="BE578" i="1"/>
  <c r="AZ578" i="1"/>
  <c r="AU578" i="1"/>
  <c r="CE577" i="1"/>
  <c r="BZ577" i="1"/>
  <c r="BT577" i="1"/>
  <c r="BB577" i="1"/>
  <c r="AV577" i="1"/>
  <c r="BE579" i="1"/>
  <c r="AZ579" i="1"/>
  <c r="AU579" i="1"/>
  <c r="BD578" i="1"/>
  <c r="AY578" i="1"/>
  <c r="AS578" i="1"/>
  <c r="BX577" i="1"/>
  <c r="BS577" i="1"/>
  <c r="AZ577" i="1"/>
  <c r="AU577" i="1"/>
  <c r="AX577" i="1"/>
  <c r="BV577" i="1"/>
  <c r="BA578" i="1"/>
  <c r="AW579" i="1"/>
  <c r="O586" i="1"/>
  <c r="P587" i="1"/>
  <c r="AJ587" i="1" s="1"/>
  <c r="O589" i="1"/>
  <c r="O591" i="1"/>
  <c r="O590" i="1"/>
  <c r="AU484" i="1"/>
  <c r="AY484" i="1"/>
  <c r="BC484" i="1"/>
  <c r="BS484" i="1"/>
  <c r="CA484" i="1"/>
  <c r="CE484" i="1"/>
  <c r="AS485" i="1"/>
  <c r="AW485" i="1"/>
  <c r="BA485" i="1"/>
  <c r="BE485" i="1"/>
  <c r="AT486" i="1"/>
  <c r="AX486" i="1"/>
  <c r="BB486" i="1"/>
  <c r="S514" i="1"/>
  <c r="AU514" i="1"/>
  <c r="AY514" i="1"/>
  <c r="BC514" i="1"/>
  <c r="BS514" i="1"/>
  <c r="BW514" i="1"/>
  <c r="CA514" i="1"/>
  <c r="CE514" i="1"/>
  <c r="AS515" i="1"/>
  <c r="AW515" i="1"/>
  <c r="BA515" i="1"/>
  <c r="BE515" i="1"/>
  <c r="AT516" i="1"/>
  <c r="AX516" i="1"/>
  <c r="BB516" i="1"/>
  <c r="S520" i="1"/>
  <c r="AU520" i="1"/>
  <c r="AY520" i="1"/>
  <c r="BC520" i="1"/>
  <c r="BS520" i="1"/>
  <c r="BW520" i="1"/>
  <c r="CA520" i="1"/>
  <c r="CE520" i="1"/>
  <c r="AT521" i="1"/>
  <c r="AX521" i="1"/>
  <c r="BB521" i="1"/>
  <c r="O522" i="1"/>
  <c r="P522" i="1" s="1"/>
  <c r="AU522" i="1"/>
  <c r="AY522" i="1"/>
  <c r="BC522" i="1"/>
  <c r="AT523" i="1"/>
  <c r="AX523" i="1"/>
  <c r="BB523" i="1"/>
  <c r="BV523" i="1"/>
  <c r="CD523" i="1"/>
  <c r="AU524" i="1"/>
  <c r="AY524" i="1"/>
  <c r="BC524" i="1"/>
  <c r="AU525" i="1"/>
  <c r="AY525" i="1"/>
  <c r="BC525" i="1"/>
  <c r="AU526" i="1"/>
  <c r="AY526" i="1"/>
  <c r="BC526" i="1"/>
  <c r="BS526" i="1"/>
  <c r="BW526" i="1"/>
  <c r="CA526" i="1"/>
  <c r="CE526" i="1"/>
  <c r="AS527" i="1"/>
  <c r="AW527" i="1"/>
  <c r="BA527" i="1"/>
  <c r="BE527" i="1"/>
  <c r="AT528" i="1"/>
  <c r="AX528" i="1"/>
  <c r="AS529" i="1"/>
  <c r="AW529" i="1"/>
  <c r="BA529" i="1"/>
  <c r="BE529" i="1"/>
  <c r="BU529" i="1"/>
  <c r="BY529" i="1"/>
  <c r="CC529" i="1"/>
  <c r="AU530" i="1"/>
  <c r="AY530" i="1"/>
  <c r="BC530" i="1"/>
  <c r="AU531" i="1"/>
  <c r="AY531" i="1"/>
  <c r="BC531" i="1"/>
  <c r="AU532" i="1"/>
  <c r="AY532" i="1"/>
  <c r="BC532" i="1"/>
  <c r="BS532" i="1"/>
  <c r="CA532" i="1"/>
  <c r="CE532" i="1"/>
  <c r="AS533" i="1"/>
  <c r="AW533" i="1"/>
  <c r="BA533" i="1"/>
  <c r="BE533" i="1"/>
  <c r="AT534" i="1"/>
  <c r="AX534" i="1"/>
  <c r="BB534" i="1"/>
  <c r="AU538" i="1"/>
  <c r="AY538" i="1"/>
  <c r="BC538" i="1"/>
  <c r="BS538" i="1"/>
  <c r="CA538" i="1"/>
  <c r="CE538" i="1"/>
  <c r="AS539" i="1"/>
  <c r="AW539" i="1"/>
  <c r="BA539" i="1"/>
  <c r="BE539" i="1"/>
  <c r="AT540" i="1"/>
  <c r="AX540" i="1"/>
  <c r="BB540" i="1"/>
  <c r="AU550" i="1"/>
  <c r="AY550" i="1"/>
  <c r="BC550" i="1"/>
  <c r="BS550" i="1"/>
  <c r="BW550" i="1"/>
  <c r="CA550" i="1"/>
  <c r="CE550" i="1"/>
  <c r="AS551" i="1"/>
  <c r="AW551" i="1"/>
  <c r="BA551" i="1"/>
  <c r="BE551" i="1"/>
  <c r="AT552" i="1"/>
  <c r="AX552" i="1"/>
  <c r="BB552" i="1"/>
  <c r="O567" i="1"/>
  <c r="BB573" i="1"/>
  <c r="AX573" i="1"/>
  <c r="AT573" i="1"/>
  <c r="BB572" i="1"/>
  <c r="AX572" i="1"/>
  <c r="AT572" i="1"/>
  <c r="CC571" i="1"/>
  <c r="BY571" i="1"/>
  <c r="BU571" i="1"/>
  <c r="BE571" i="1"/>
  <c r="BA571" i="1"/>
  <c r="AW571" i="1"/>
  <c r="AS571" i="1"/>
  <c r="AX571" i="1"/>
  <c r="BC571" i="1"/>
  <c r="BT571" i="1"/>
  <c r="CE571" i="1"/>
  <c r="AU572" i="1"/>
  <c r="AZ572" i="1"/>
  <c r="BE572" i="1"/>
  <c r="AV573" i="1"/>
  <c r="BA573" i="1"/>
  <c r="BD582" i="1"/>
  <c r="AZ582" i="1"/>
  <c r="AV582" i="1"/>
  <c r="BC581" i="1"/>
  <c r="AY581" i="1"/>
  <c r="AU581" i="1"/>
  <c r="CC580" i="1"/>
  <c r="BY580" i="1"/>
  <c r="BU580" i="1"/>
  <c r="BE580" i="1"/>
  <c r="BA580" i="1"/>
  <c r="AW580" i="1"/>
  <c r="AS580" i="1"/>
  <c r="AM580" i="1"/>
  <c r="AV580" i="1"/>
  <c r="BB580" i="1"/>
  <c r="BT580" i="1"/>
  <c r="BZ580" i="1"/>
  <c r="CE580" i="1"/>
  <c r="AW581" i="1"/>
  <c r="BB581" i="1"/>
  <c r="AT582" i="1"/>
  <c r="AY582" i="1"/>
  <c r="BE582" i="1"/>
  <c r="AV583" i="1"/>
  <c r="BA583" i="1"/>
  <c r="BX583" i="1"/>
  <c r="CC583" i="1"/>
  <c r="AU584" i="1"/>
  <c r="BA584" i="1"/>
  <c r="BJ584" i="1"/>
  <c r="AU585" i="1"/>
  <c r="BD588" i="1"/>
  <c r="AZ588" i="1"/>
  <c r="AV588" i="1"/>
  <c r="BC587" i="1"/>
  <c r="AY587" i="1"/>
  <c r="AU587" i="1"/>
  <c r="CC586" i="1"/>
  <c r="BY586" i="1"/>
  <c r="BU586" i="1"/>
  <c r="BE586" i="1"/>
  <c r="BA586" i="1"/>
  <c r="AW586" i="1"/>
  <c r="AS586" i="1"/>
  <c r="BB588" i="1"/>
  <c r="AX588" i="1"/>
  <c r="AT588" i="1"/>
  <c r="BE587" i="1"/>
  <c r="BA587" i="1"/>
  <c r="AW587" i="1"/>
  <c r="AS587" i="1"/>
  <c r="DK586" i="1"/>
  <c r="AT586" i="1"/>
  <c r="AY586" i="1"/>
  <c r="BD586" i="1"/>
  <c r="CB586" i="1"/>
  <c r="AX587" i="1"/>
  <c r="AY588" i="1"/>
  <c r="AS589" i="1"/>
  <c r="BA589" i="1"/>
  <c r="BS589" i="1"/>
  <c r="CA589" i="1"/>
  <c r="DK589" i="1"/>
  <c r="AX590" i="1"/>
  <c r="AT591" i="1"/>
  <c r="DJ594" i="1"/>
  <c r="D595" i="1"/>
  <c r="DJ592" i="1"/>
  <c r="BG610" i="1"/>
  <c r="P610" i="1"/>
  <c r="AG610" i="1" s="1"/>
  <c r="BQ617" i="1"/>
  <c r="P617" i="1"/>
  <c r="AQ617" i="1" s="1"/>
  <c r="S397" i="1"/>
  <c r="AU397" i="1"/>
  <c r="AY397" i="1"/>
  <c r="BC397" i="1"/>
  <c r="BS397" i="1"/>
  <c r="BW397" i="1"/>
  <c r="CA397" i="1"/>
  <c r="CE397" i="1"/>
  <c r="AV398" i="1"/>
  <c r="AZ398" i="1"/>
  <c r="BD398" i="1"/>
  <c r="AV399" i="1"/>
  <c r="AZ399" i="1"/>
  <c r="S403" i="1"/>
  <c r="T403" i="1" s="1"/>
  <c r="AU403" i="1"/>
  <c r="AY403" i="1"/>
  <c r="BC403" i="1"/>
  <c r="BS403" i="1"/>
  <c r="BW403" i="1"/>
  <c r="CA403" i="1"/>
  <c r="CE403" i="1"/>
  <c r="AV404" i="1"/>
  <c r="AZ404" i="1"/>
  <c r="BD404" i="1"/>
  <c r="AV405" i="1"/>
  <c r="AZ405" i="1"/>
  <c r="S409" i="1"/>
  <c r="AU409" i="1"/>
  <c r="AY409" i="1"/>
  <c r="BC409" i="1"/>
  <c r="BS409" i="1"/>
  <c r="BW409" i="1"/>
  <c r="CA409" i="1"/>
  <c r="CE409" i="1"/>
  <c r="AV410" i="1"/>
  <c r="AZ410" i="1"/>
  <c r="BD410" i="1"/>
  <c r="AV411" i="1"/>
  <c r="AZ411" i="1"/>
  <c r="AT469" i="1"/>
  <c r="AX469" i="1"/>
  <c r="BB469" i="1"/>
  <c r="BV469" i="1"/>
  <c r="BZ469" i="1"/>
  <c r="CD469" i="1"/>
  <c r="AU470" i="1"/>
  <c r="AY470" i="1"/>
  <c r="BC470" i="1"/>
  <c r="AU471" i="1"/>
  <c r="AY471" i="1"/>
  <c r="AT472" i="1"/>
  <c r="AX472" i="1"/>
  <c r="BB472" i="1"/>
  <c r="BV472" i="1"/>
  <c r="BZ472" i="1"/>
  <c r="CD472" i="1"/>
  <c r="AV473" i="1"/>
  <c r="AZ473" i="1"/>
  <c r="BD473" i="1"/>
  <c r="AS474" i="1"/>
  <c r="AW474" i="1"/>
  <c r="BA474" i="1"/>
  <c r="AU478" i="1"/>
  <c r="AY478" i="1"/>
  <c r="BC478" i="1"/>
  <c r="BS478" i="1"/>
  <c r="BW478" i="1"/>
  <c r="CA478" i="1"/>
  <c r="CE478" i="1"/>
  <c r="AT479" i="1"/>
  <c r="AX479" i="1"/>
  <c r="BB479" i="1"/>
  <c r="AU480" i="1"/>
  <c r="AY480" i="1"/>
  <c r="S481" i="1"/>
  <c r="T481" i="1" s="1"/>
  <c r="AU481" i="1"/>
  <c r="AY481" i="1"/>
  <c r="BC481" i="1"/>
  <c r="BS481" i="1"/>
  <c r="BW481" i="1"/>
  <c r="CA481" i="1"/>
  <c r="CE481" i="1"/>
  <c r="AV482" i="1"/>
  <c r="AZ482" i="1"/>
  <c r="BD482" i="1"/>
  <c r="AV483" i="1"/>
  <c r="AZ483" i="1"/>
  <c r="AV484" i="1"/>
  <c r="AZ484" i="1"/>
  <c r="BD484" i="1"/>
  <c r="BT484" i="1"/>
  <c r="BX484" i="1"/>
  <c r="CB484" i="1"/>
  <c r="AT485" i="1"/>
  <c r="AX485" i="1"/>
  <c r="BB485" i="1"/>
  <c r="AU486" i="1"/>
  <c r="AY486" i="1"/>
  <c r="S487" i="1"/>
  <c r="AU487" i="1"/>
  <c r="AY487" i="1"/>
  <c r="BC487" i="1"/>
  <c r="BS487" i="1"/>
  <c r="BW487" i="1"/>
  <c r="CA487" i="1"/>
  <c r="CE487" i="1"/>
  <c r="AS488" i="1"/>
  <c r="AW488" i="1"/>
  <c r="BA488" i="1"/>
  <c r="BE488" i="1"/>
  <c r="AS489" i="1"/>
  <c r="AW489" i="1"/>
  <c r="BA489" i="1"/>
  <c r="AT493" i="1"/>
  <c r="AX493" i="1"/>
  <c r="BB493" i="1"/>
  <c r="BV493" i="1"/>
  <c r="BZ493" i="1"/>
  <c r="CD493" i="1"/>
  <c r="AU494" i="1"/>
  <c r="AY494" i="1"/>
  <c r="BC494" i="1"/>
  <c r="AU495" i="1"/>
  <c r="AY495" i="1"/>
  <c r="AU496" i="1"/>
  <c r="AY496" i="1"/>
  <c r="BC496" i="1"/>
  <c r="BS496" i="1"/>
  <c r="CA496" i="1"/>
  <c r="CE496" i="1"/>
  <c r="AS497" i="1"/>
  <c r="AW497" i="1"/>
  <c r="BA497" i="1"/>
  <c r="BE497" i="1"/>
  <c r="AT498" i="1"/>
  <c r="AX498" i="1"/>
  <c r="S502" i="1"/>
  <c r="AU502" i="1"/>
  <c r="AY502" i="1"/>
  <c r="BC502" i="1"/>
  <c r="BS502" i="1"/>
  <c r="BW502" i="1"/>
  <c r="CA502" i="1"/>
  <c r="CE502" i="1"/>
  <c r="AS503" i="1"/>
  <c r="AW503" i="1"/>
  <c r="BA503" i="1"/>
  <c r="BE503" i="1"/>
  <c r="AT504" i="1"/>
  <c r="AX504" i="1"/>
  <c r="AV508" i="1"/>
  <c r="AZ508" i="1"/>
  <c r="BD508" i="1"/>
  <c r="BT508" i="1"/>
  <c r="BX508" i="1"/>
  <c r="CB508" i="1"/>
  <c r="AT509" i="1"/>
  <c r="AX509" i="1"/>
  <c r="BB509" i="1"/>
  <c r="AU510" i="1"/>
  <c r="AY510" i="1"/>
  <c r="AU511" i="1"/>
  <c r="AY511" i="1"/>
  <c r="BC511" i="1"/>
  <c r="BS511" i="1"/>
  <c r="BW511" i="1"/>
  <c r="CA511" i="1"/>
  <c r="CE511" i="1"/>
  <c r="DK511" i="1"/>
  <c r="AV512" i="1"/>
  <c r="AZ512" i="1"/>
  <c r="BD512" i="1"/>
  <c r="AV513" i="1"/>
  <c r="AZ513" i="1"/>
  <c r="AV514" i="1"/>
  <c r="AZ514" i="1"/>
  <c r="BD514" i="1"/>
  <c r="BT514" i="1"/>
  <c r="BX514" i="1"/>
  <c r="CB514" i="1"/>
  <c r="AT515" i="1"/>
  <c r="AX515" i="1"/>
  <c r="BB515" i="1"/>
  <c r="AU516" i="1"/>
  <c r="AY516" i="1"/>
  <c r="AU517" i="1"/>
  <c r="AY517" i="1"/>
  <c r="BC517" i="1"/>
  <c r="BS517" i="1"/>
  <c r="BW517" i="1"/>
  <c r="CA517" i="1"/>
  <c r="CE517" i="1"/>
  <c r="AV518" i="1"/>
  <c r="AZ518" i="1"/>
  <c r="BD518" i="1"/>
  <c r="AV519" i="1"/>
  <c r="AZ519" i="1"/>
  <c r="P520" i="1"/>
  <c r="AV520" i="1"/>
  <c r="AZ520" i="1"/>
  <c r="BD520" i="1"/>
  <c r="BT520" i="1"/>
  <c r="BX520" i="1"/>
  <c r="CB520" i="1"/>
  <c r="AU521" i="1"/>
  <c r="AY521" i="1"/>
  <c r="BC521" i="1"/>
  <c r="AV522" i="1"/>
  <c r="AZ522" i="1"/>
  <c r="S523" i="1"/>
  <c r="T523" i="1" s="1"/>
  <c r="AU523" i="1"/>
  <c r="AY523" i="1"/>
  <c r="BC523" i="1"/>
  <c r="BS523" i="1"/>
  <c r="BW523" i="1"/>
  <c r="CA523" i="1"/>
  <c r="CE523" i="1"/>
  <c r="AV524" i="1"/>
  <c r="AZ524" i="1"/>
  <c r="BD524" i="1"/>
  <c r="AV525" i="1"/>
  <c r="AZ525" i="1"/>
  <c r="AT529" i="1"/>
  <c r="AX529" i="1"/>
  <c r="BB529" i="1"/>
  <c r="BV529" i="1"/>
  <c r="BZ529" i="1"/>
  <c r="CD529" i="1"/>
  <c r="AV530" i="1"/>
  <c r="AZ530" i="1"/>
  <c r="BD530" i="1"/>
  <c r="AV531" i="1"/>
  <c r="AZ531" i="1"/>
  <c r="AV532" i="1"/>
  <c r="AZ532" i="1"/>
  <c r="BD532" i="1"/>
  <c r="BT532" i="1"/>
  <c r="BX532" i="1"/>
  <c r="CB532" i="1"/>
  <c r="AT533" i="1"/>
  <c r="AX533" i="1"/>
  <c r="BB533" i="1"/>
  <c r="AU534" i="1"/>
  <c r="AY534" i="1"/>
  <c r="S535" i="1"/>
  <c r="AU535" i="1"/>
  <c r="AY535" i="1"/>
  <c r="BC535" i="1"/>
  <c r="BS535" i="1"/>
  <c r="BW535" i="1"/>
  <c r="CA535" i="1"/>
  <c r="CE535" i="1"/>
  <c r="AV536" i="1"/>
  <c r="AZ536" i="1"/>
  <c r="BD536" i="1"/>
  <c r="AV537" i="1"/>
  <c r="AZ537" i="1"/>
  <c r="AV538" i="1"/>
  <c r="AZ538" i="1"/>
  <c r="BD538" i="1"/>
  <c r="BT538" i="1"/>
  <c r="BX538" i="1"/>
  <c r="CB538" i="1"/>
  <c r="AT539" i="1"/>
  <c r="AX539" i="1"/>
  <c r="BB539" i="1"/>
  <c r="AU540" i="1"/>
  <c r="AY540" i="1"/>
  <c r="AU541" i="1"/>
  <c r="AY541" i="1"/>
  <c r="BC541" i="1"/>
  <c r="BS541" i="1"/>
  <c r="CA541" i="1"/>
  <c r="CE541" i="1"/>
  <c r="AS542" i="1"/>
  <c r="AW542" i="1"/>
  <c r="BA542" i="1"/>
  <c r="BE542" i="1"/>
  <c r="AS543" i="1"/>
  <c r="AW543" i="1"/>
  <c r="BA543" i="1"/>
  <c r="S547" i="1"/>
  <c r="AU547" i="1"/>
  <c r="AY547" i="1"/>
  <c r="BC547" i="1"/>
  <c r="BS547" i="1"/>
  <c r="BW547" i="1"/>
  <c r="CA547" i="1"/>
  <c r="CE547" i="1"/>
  <c r="AV548" i="1"/>
  <c r="AZ548" i="1"/>
  <c r="BD548" i="1"/>
  <c r="AV549" i="1"/>
  <c r="AZ549" i="1"/>
  <c r="AV550" i="1"/>
  <c r="AZ550" i="1"/>
  <c r="BD550" i="1"/>
  <c r="BX550" i="1"/>
  <c r="CB550" i="1"/>
  <c r="AT551" i="1"/>
  <c r="AX551" i="1"/>
  <c r="BB551" i="1"/>
  <c r="AU552" i="1"/>
  <c r="AY552" i="1"/>
  <c r="AU553" i="1"/>
  <c r="AY553" i="1"/>
  <c r="BC553" i="1"/>
  <c r="BS553" i="1"/>
  <c r="CA553" i="1"/>
  <c r="CE553" i="1"/>
  <c r="AS554" i="1"/>
  <c r="AW554" i="1"/>
  <c r="BA554" i="1"/>
  <c r="BE554" i="1"/>
  <c r="AS555" i="1"/>
  <c r="AW555" i="1"/>
  <c r="BA555" i="1"/>
  <c r="AT559" i="1"/>
  <c r="AX559" i="1"/>
  <c r="BB559" i="1"/>
  <c r="BV559" i="1"/>
  <c r="BZ559" i="1"/>
  <c r="AU560" i="1"/>
  <c r="AY560" i="1"/>
  <c r="BC560" i="1"/>
  <c r="AU561" i="1"/>
  <c r="AY561" i="1"/>
  <c r="AT562" i="1"/>
  <c r="AX562" i="1"/>
  <c r="BB562" i="1"/>
  <c r="BV562" i="1"/>
  <c r="BZ562" i="1"/>
  <c r="CD562" i="1"/>
  <c r="AV563" i="1"/>
  <c r="AZ563" i="1"/>
  <c r="BD563" i="1"/>
  <c r="AS564" i="1"/>
  <c r="AW564" i="1"/>
  <c r="BA564" i="1"/>
  <c r="O566" i="1"/>
  <c r="AT571" i="1"/>
  <c r="AY571" i="1"/>
  <c r="BD571" i="1"/>
  <c r="BV571" i="1"/>
  <c r="CA571" i="1"/>
  <c r="AV572" i="1"/>
  <c r="BA572" i="1"/>
  <c r="AW573" i="1"/>
  <c r="BC573" i="1"/>
  <c r="O579" i="1"/>
  <c r="P579" i="1" s="1"/>
  <c r="O578" i="1"/>
  <c r="S577" i="1" s="1"/>
  <c r="P580" i="1"/>
  <c r="AX580" i="1"/>
  <c r="BC580" i="1"/>
  <c r="BV580" i="1"/>
  <c r="CA580" i="1"/>
  <c r="AS581" i="1"/>
  <c r="AX581" i="1"/>
  <c r="BD581" i="1"/>
  <c r="AU582" i="1"/>
  <c r="BA582" i="1"/>
  <c r="BD585" i="1"/>
  <c r="AZ585" i="1"/>
  <c r="AV585" i="1"/>
  <c r="BD584" i="1"/>
  <c r="AZ584" i="1"/>
  <c r="AV584" i="1"/>
  <c r="CE583" i="1"/>
  <c r="CA583" i="1"/>
  <c r="BW583" i="1"/>
  <c r="BS583" i="1"/>
  <c r="BC583" i="1"/>
  <c r="AY583" i="1"/>
  <c r="AU583" i="1"/>
  <c r="S583" i="1"/>
  <c r="AW583" i="1"/>
  <c r="BB583" i="1"/>
  <c r="BT583" i="1"/>
  <c r="BY583" i="1"/>
  <c r="CD583" i="1"/>
  <c r="AW584" i="1"/>
  <c r="BB584" i="1"/>
  <c r="AW585" i="1"/>
  <c r="BB585" i="1"/>
  <c r="AU586" i="1"/>
  <c r="AZ586" i="1"/>
  <c r="BS586" i="1"/>
  <c r="BX586" i="1"/>
  <c r="CD586" i="1"/>
  <c r="AZ587" i="1"/>
  <c r="AS588" i="1"/>
  <c r="BA588" i="1"/>
  <c r="BE591" i="1"/>
  <c r="BA591" i="1"/>
  <c r="AW591" i="1"/>
  <c r="AS591" i="1"/>
  <c r="BE590" i="1"/>
  <c r="BA590" i="1"/>
  <c r="AW590" i="1"/>
  <c r="AS590" i="1"/>
  <c r="CB589" i="1"/>
  <c r="BX589" i="1"/>
  <c r="BT589" i="1"/>
  <c r="BD589" i="1"/>
  <c r="AZ589" i="1"/>
  <c r="AV589" i="1"/>
  <c r="BC591" i="1"/>
  <c r="AY591" i="1"/>
  <c r="AU591" i="1"/>
  <c r="BC590" i="1"/>
  <c r="AY590" i="1"/>
  <c r="AU590" i="1"/>
  <c r="BZ589" i="1"/>
  <c r="BV589" i="1"/>
  <c r="BB589" i="1"/>
  <c r="AX589" i="1"/>
  <c r="AT589" i="1"/>
  <c r="AU589" i="1"/>
  <c r="BC589" i="1"/>
  <c r="BU589" i="1"/>
  <c r="CC589" i="1"/>
  <c r="AZ590" i="1"/>
  <c r="AV591" i="1"/>
  <c r="BD591" i="1"/>
  <c r="AG598" i="1"/>
  <c r="Q619" i="1"/>
  <c r="BM621" i="1"/>
  <c r="P621" i="1"/>
  <c r="AM621" i="1" s="1"/>
  <c r="BG598" i="1"/>
  <c r="O600" i="1"/>
  <c r="AV601" i="1"/>
  <c r="AZ601" i="1"/>
  <c r="BD601" i="1"/>
  <c r="BT601" i="1"/>
  <c r="BX601" i="1"/>
  <c r="CB601" i="1"/>
  <c r="AS602" i="1"/>
  <c r="AW602" i="1"/>
  <c r="BA602" i="1"/>
  <c r="BE602" i="1"/>
  <c r="AS603" i="1"/>
  <c r="AW603" i="1"/>
  <c r="BA603" i="1"/>
  <c r="BE603" i="1"/>
  <c r="AU607" i="1"/>
  <c r="AY607" i="1"/>
  <c r="BC607" i="1"/>
  <c r="BG607" i="1"/>
  <c r="BS607" i="1"/>
  <c r="BW607" i="1"/>
  <c r="CA607" i="1"/>
  <c r="CE607" i="1"/>
  <c r="AV608" i="1"/>
  <c r="AZ608" i="1"/>
  <c r="BD608" i="1"/>
  <c r="AV609" i="1"/>
  <c r="AZ609" i="1"/>
  <c r="BD609" i="1"/>
  <c r="AU613" i="1"/>
  <c r="AY613" i="1"/>
  <c r="BC613" i="1"/>
  <c r="BS613" i="1"/>
  <c r="BW613" i="1"/>
  <c r="CA613" i="1"/>
  <c r="CE613" i="1"/>
  <c r="AV614" i="1"/>
  <c r="AZ614" i="1"/>
  <c r="BD614" i="1"/>
  <c r="AV615" i="1"/>
  <c r="AZ615" i="1"/>
  <c r="BD615" i="1"/>
  <c r="AS619" i="1"/>
  <c r="AW619" i="1"/>
  <c r="BA619" i="1"/>
  <c r="BE619" i="1"/>
  <c r="BQ619" i="1"/>
  <c r="BU619" i="1"/>
  <c r="BY619" i="1"/>
  <c r="CC619" i="1"/>
  <c r="AU620" i="1"/>
  <c r="AY620" i="1"/>
  <c r="BC620" i="1"/>
  <c r="AU621" i="1"/>
  <c r="AY621" i="1"/>
  <c r="BC621" i="1"/>
  <c r="O622" i="1"/>
  <c r="S622" i="1"/>
  <c r="AU622" i="1"/>
  <c r="AY622" i="1"/>
  <c r="BC622" i="1"/>
  <c r="BS622" i="1"/>
  <c r="BW622" i="1"/>
  <c r="CA622" i="1"/>
  <c r="CE622" i="1"/>
  <c r="DK622" i="1"/>
  <c r="AS623" i="1"/>
  <c r="AW623" i="1"/>
  <c r="BA623" i="1"/>
  <c r="BE623" i="1"/>
  <c r="BI623" i="1"/>
  <c r="DJ623" i="1"/>
  <c r="AT624" i="1"/>
  <c r="AX624" i="1"/>
  <c r="BB624" i="1"/>
  <c r="AT625" i="1"/>
  <c r="AX625" i="1"/>
  <c r="BB625" i="1"/>
  <c r="BV625" i="1"/>
  <c r="BZ625" i="1"/>
  <c r="CD625" i="1"/>
  <c r="DJ625" i="1"/>
  <c r="AU626" i="1"/>
  <c r="AY626" i="1"/>
  <c r="BC626" i="1"/>
  <c r="AU627" i="1"/>
  <c r="AY627" i="1"/>
  <c r="BC627" i="1"/>
  <c r="O628" i="1"/>
  <c r="S628" i="1"/>
  <c r="AU628" i="1"/>
  <c r="AY628" i="1"/>
  <c r="BC628" i="1"/>
  <c r="BS628" i="1"/>
  <c r="BW628" i="1"/>
  <c r="CA628" i="1"/>
  <c r="CE628" i="1"/>
  <c r="AS629" i="1"/>
  <c r="AW629" i="1"/>
  <c r="BA629" i="1"/>
  <c r="BE629" i="1"/>
  <c r="AT630" i="1"/>
  <c r="AX630" i="1"/>
  <c r="BB630" i="1"/>
  <c r="AT631" i="1"/>
  <c r="AZ631" i="1"/>
  <c r="BE631" i="1"/>
  <c r="BV631" i="1"/>
  <c r="CB631" i="1"/>
  <c r="AU632" i="1"/>
  <c r="AZ632" i="1"/>
  <c r="AT633" i="1"/>
  <c r="AY633" i="1"/>
  <c r="AT634" i="1"/>
  <c r="AY634" i="1"/>
  <c r="BD634" i="1"/>
  <c r="BW634" i="1"/>
  <c r="CB634" i="1"/>
  <c r="AS635" i="1"/>
  <c r="AX635" i="1"/>
  <c r="BD635" i="1"/>
  <c r="AU636" i="1"/>
  <c r="BE639" i="1"/>
  <c r="BA639" i="1"/>
  <c r="AW639" i="1"/>
  <c r="AS639" i="1"/>
  <c r="BE638" i="1"/>
  <c r="BA638" i="1"/>
  <c r="AW638" i="1"/>
  <c r="AS638" i="1"/>
  <c r="CB637" i="1"/>
  <c r="BX637" i="1"/>
  <c r="BT637" i="1"/>
  <c r="BD637" i="1"/>
  <c r="AZ637" i="1"/>
  <c r="AV637" i="1"/>
  <c r="AW637" i="1"/>
  <c r="BB637" i="1"/>
  <c r="BS637" i="1"/>
  <c r="BY637" i="1"/>
  <c r="CD637" i="1"/>
  <c r="AT638" i="1"/>
  <c r="AY638" i="1"/>
  <c r="BD638" i="1"/>
  <c r="AV639" i="1"/>
  <c r="BB639" i="1"/>
  <c r="AU640" i="1"/>
  <c r="BC640" i="1"/>
  <c r="BW640" i="1"/>
  <c r="CE640" i="1"/>
  <c r="AT641" i="1"/>
  <c r="BB641" i="1"/>
  <c r="AT642" i="1"/>
  <c r="BB642" i="1"/>
  <c r="BB645" i="1"/>
  <c r="AX645" i="1"/>
  <c r="AT645" i="1"/>
  <c r="BB644" i="1"/>
  <c r="AX644" i="1"/>
  <c r="AT644" i="1"/>
  <c r="CC643" i="1"/>
  <c r="BY643" i="1"/>
  <c r="BU643" i="1"/>
  <c r="BE643" i="1"/>
  <c r="BA643" i="1"/>
  <c r="AW643" i="1"/>
  <c r="AS643" i="1"/>
  <c r="BE645" i="1"/>
  <c r="BA645" i="1"/>
  <c r="AW645" i="1"/>
  <c r="AS645" i="1"/>
  <c r="BE644" i="1"/>
  <c r="BA644" i="1"/>
  <c r="AW644" i="1"/>
  <c r="AS644" i="1"/>
  <c r="CB643" i="1"/>
  <c r="BX643" i="1"/>
  <c r="BT643" i="1"/>
  <c r="BD643" i="1"/>
  <c r="AZ643" i="1"/>
  <c r="AV643" i="1"/>
  <c r="AU643" i="1"/>
  <c r="BC643" i="1"/>
  <c r="BW643" i="1"/>
  <c r="CE643" i="1"/>
  <c r="AZ644" i="1"/>
  <c r="AZ645" i="1"/>
  <c r="BE648" i="1"/>
  <c r="BA648" i="1"/>
  <c r="AW648" i="1"/>
  <c r="AS648" i="1"/>
  <c r="BD647" i="1"/>
  <c r="AZ647" i="1"/>
  <c r="AV647" i="1"/>
  <c r="CC646" i="1"/>
  <c r="BY646" i="1"/>
  <c r="BU646" i="1"/>
  <c r="BE646" i="1"/>
  <c r="BA646" i="1"/>
  <c r="AW646" i="1"/>
  <c r="AS646" i="1"/>
  <c r="BD648" i="1"/>
  <c r="AZ648" i="1"/>
  <c r="AV648" i="1"/>
  <c r="BC647" i="1"/>
  <c r="AY647" i="1"/>
  <c r="AU647" i="1"/>
  <c r="CB646" i="1"/>
  <c r="BX646" i="1"/>
  <c r="BD646" i="1"/>
  <c r="AZ646" i="1"/>
  <c r="AV646" i="1"/>
  <c r="AT646" i="1"/>
  <c r="BB646" i="1"/>
  <c r="BV646" i="1"/>
  <c r="CD646" i="1"/>
  <c r="AS647" i="1"/>
  <c r="BA647" i="1"/>
  <c r="O648" i="1"/>
  <c r="P648" i="1" s="1"/>
  <c r="AT648" i="1"/>
  <c r="BB648" i="1"/>
  <c r="BB651" i="1"/>
  <c r="AX651" i="1"/>
  <c r="AT651" i="1"/>
  <c r="BB650" i="1"/>
  <c r="AX650" i="1"/>
  <c r="AT650" i="1"/>
  <c r="CC649" i="1"/>
  <c r="BY649" i="1"/>
  <c r="BE649" i="1"/>
  <c r="BA649" i="1"/>
  <c r="AW649" i="1"/>
  <c r="AS649" i="1"/>
  <c r="BE651" i="1"/>
  <c r="BA651" i="1"/>
  <c r="AW651" i="1"/>
  <c r="AS651" i="1"/>
  <c r="BE650" i="1"/>
  <c r="BA650" i="1"/>
  <c r="AW650" i="1"/>
  <c r="AS650" i="1"/>
  <c r="CB649" i="1"/>
  <c r="BX649" i="1"/>
  <c r="BT649" i="1"/>
  <c r="BD649" i="1"/>
  <c r="AZ649" i="1"/>
  <c r="AV649" i="1"/>
  <c r="BC651" i="1"/>
  <c r="AY651" i="1"/>
  <c r="AU651" i="1"/>
  <c r="BC650" i="1"/>
  <c r="AY650" i="1"/>
  <c r="AU650" i="1"/>
  <c r="CD649" i="1"/>
  <c r="BZ649" i="1"/>
  <c r="BV649" i="1"/>
  <c r="BB649" i="1"/>
  <c r="AX649" i="1"/>
  <c r="AT649" i="1"/>
  <c r="AY649" i="1"/>
  <c r="CA649" i="1"/>
  <c r="BD650" i="1"/>
  <c r="BD651" i="1"/>
  <c r="BJ658" i="1"/>
  <c r="AJ658" i="1"/>
  <c r="P658" i="1"/>
  <c r="AU592" i="1"/>
  <c r="AY592" i="1"/>
  <c r="BC592" i="1"/>
  <c r="BS592" i="1"/>
  <c r="BW592" i="1"/>
  <c r="CA592" i="1"/>
  <c r="CE592" i="1"/>
  <c r="DK592" i="1"/>
  <c r="AT593" i="1"/>
  <c r="AX593" i="1"/>
  <c r="BB593" i="1"/>
  <c r="AU594" i="1"/>
  <c r="AY594" i="1"/>
  <c r="BC594" i="1"/>
  <c r="S595" i="1"/>
  <c r="T595" i="1" s="1"/>
  <c r="AU595" i="1"/>
  <c r="AY595" i="1"/>
  <c r="BC595" i="1"/>
  <c r="BS595" i="1"/>
  <c r="BW595" i="1"/>
  <c r="CA595" i="1"/>
  <c r="CE595" i="1"/>
  <c r="DK595" i="1"/>
  <c r="AS596" i="1"/>
  <c r="AW596" i="1"/>
  <c r="BA596" i="1"/>
  <c r="BE596" i="1"/>
  <c r="AS597" i="1"/>
  <c r="AW597" i="1"/>
  <c r="BA597" i="1"/>
  <c r="BE597" i="1"/>
  <c r="AS601" i="1"/>
  <c r="AW601" i="1"/>
  <c r="BA601" i="1"/>
  <c r="BE601" i="1"/>
  <c r="BU601" i="1"/>
  <c r="BY601" i="1"/>
  <c r="CC601" i="1"/>
  <c r="O602" i="1"/>
  <c r="AT602" i="1"/>
  <c r="AX602" i="1"/>
  <c r="BB602" i="1"/>
  <c r="O603" i="1"/>
  <c r="P603" i="1" s="1"/>
  <c r="AT603" i="1"/>
  <c r="AX603" i="1"/>
  <c r="BB603" i="1"/>
  <c r="F604" i="1"/>
  <c r="AS604" i="1"/>
  <c r="AW604" i="1"/>
  <c r="BA604" i="1"/>
  <c r="BE604" i="1"/>
  <c r="BU604" i="1"/>
  <c r="BY604" i="1"/>
  <c r="CC604" i="1"/>
  <c r="AU605" i="1"/>
  <c r="AY605" i="1"/>
  <c r="BC605" i="1"/>
  <c r="AV606" i="1"/>
  <c r="AZ606" i="1"/>
  <c r="BD606" i="1"/>
  <c r="AV607" i="1"/>
  <c r="AZ607" i="1"/>
  <c r="BD607" i="1"/>
  <c r="BT607" i="1"/>
  <c r="BX607" i="1"/>
  <c r="CB607" i="1"/>
  <c r="AS608" i="1"/>
  <c r="AW608" i="1"/>
  <c r="BA608" i="1"/>
  <c r="BE608" i="1"/>
  <c r="AS609" i="1"/>
  <c r="AW609" i="1"/>
  <c r="BA609" i="1"/>
  <c r="BE609" i="1"/>
  <c r="P613" i="1"/>
  <c r="AM613" i="1" s="1"/>
  <c r="AV613" i="1"/>
  <c r="AZ613" i="1"/>
  <c r="BD613" i="1"/>
  <c r="BT613" i="1"/>
  <c r="BX613" i="1"/>
  <c r="CB613" i="1"/>
  <c r="AS614" i="1"/>
  <c r="AW614" i="1"/>
  <c r="BA614" i="1"/>
  <c r="BE614" i="1"/>
  <c r="AS615" i="1"/>
  <c r="AW615" i="1"/>
  <c r="BA615" i="1"/>
  <c r="BE615" i="1"/>
  <c r="BJ616" i="1"/>
  <c r="AT619" i="1"/>
  <c r="AX619" i="1"/>
  <c r="BB619" i="1"/>
  <c r="BV619" i="1"/>
  <c r="CD619" i="1"/>
  <c r="AV620" i="1"/>
  <c r="AZ620" i="1"/>
  <c r="BD620" i="1"/>
  <c r="AV621" i="1"/>
  <c r="AZ621" i="1"/>
  <c r="BD621" i="1"/>
  <c r="S625" i="1"/>
  <c r="T625" i="1" s="1"/>
  <c r="AU625" i="1"/>
  <c r="AY625" i="1"/>
  <c r="BC625" i="1"/>
  <c r="BS625" i="1"/>
  <c r="BW625" i="1"/>
  <c r="CA625" i="1"/>
  <c r="CE625" i="1"/>
  <c r="DK625" i="1"/>
  <c r="AV626" i="1"/>
  <c r="AZ626" i="1"/>
  <c r="BD626" i="1"/>
  <c r="AV627" i="1"/>
  <c r="AZ627" i="1"/>
  <c r="BD627" i="1"/>
  <c r="D628" i="1"/>
  <c r="BE633" i="1"/>
  <c r="BA633" i="1"/>
  <c r="AW633" i="1"/>
  <c r="AS633" i="1"/>
  <c r="BE632" i="1"/>
  <c r="BA632" i="1"/>
  <c r="AW632" i="1"/>
  <c r="AS632" i="1"/>
  <c r="CE631" i="1"/>
  <c r="CA631" i="1"/>
  <c r="BW631" i="1"/>
  <c r="BS631" i="1"/>
  <c r="BC631" i="1"/>
  <c r="AY631" i="1"/>
  <c r="AU631" i="1"/>
  <c r="AV631" i="1"/>
  <c r="BA631" i="1"/>
  <c r="BX631" i="1"/>
  <c r="CC631" i="1"/>
  <c r="AV632" i="1"/>
  <c r="BB632" i="1"/>
  <c r="AU633" i="1"/>
  <c r="AZ633" i="1"/>
  <c r="O636" i="1"/>
  <c r="P636" i="1" s="1"/>
  <c r="BJ638" i="1"/>
  <c r="O640" i="1"/>
  <c r="AV640" i="1"/>
  <c r="BD640" i="1"/>
  <c r="BX640" i="1"/>
  <c r="AW641" i="1"/>
  <c r="BE641" i="1"/>
  <c r="AU642" i="1"/>
  <c r="O653" i="1"/>
  <c r="O654" i="1"/>
  <c r="BG593" i="1"/>
  <c r="BF596" i="1"/>
  <c r="BJ597" i="1"/>
  <c r="AT601" i="1"/>
  <c r="AX601" i="1"/>
  <c r="BB601" i="1"/>
  <c r="BV601" i="1"/>
  <c r="BZ601" i="1"/>
  <c r="CD601" i="1"/>
  <c r="AU602" i="1"/>
  <c r="AY602" i="1"/>
  <c r="BC602" i="1"/>
  <c r="AU603" i="1"/>
  <c r="AY603" i="1"/>
  <c r="BC603" i="1"/>
  <c r="AT604" i="1"/>
  <c r="AX604" i="1"/>
  <c r="BB604" i="1"/>
  <c r="BV604" i="1"/>
  <c r="BZ604" i="1"/>
  <c r="CD604" i="1"/>
  <c r="AV605" i="1"/>
  <c r="AZ605" i="1"/>
  <c r="BD605" i="1"/>
  <c r="AS606" i="1"/>
  <c r="AW606" i="1"/>
  <c r="BA606" i="1"/>
  <c r="BE606" i="1"/>
  <c r="AS607" i="1"/>
  <c r="AW607" i="1"/>
  <c r="BA607" i="1"/>
  <c r="BE607" i="1"/>
  <c r="BU607" i="1"/>
  <c r="BY607" i="1"/>
  <c r="CC607" i="1"/>
  <c r="O608" i="1"/>
  <c r="AT608" i="1"/>
  <c r="AX608" i="1"/>
  <c r="BB608" i="1"/>
  <c r="AT609" i="1"/>
  <c r="AX609" i="1"/>
  <c r="BB609" i="1"/>
  <c r="AS613" i="1"/>
  <c r="AW613" i="1"/>
  <c r="BA613" i="1"/>
  <c r="BE613" i="1"/>
  <c r="BU613" i="1"/>
  <c r="BY613" i="1"/>
  <c r="CC613" i="1"/>
  <c r="O614" i="1"/>
  <c r="AT614" i="1"/>
  <c r="AX614" i="1"/>
  <c r="BB614" i="1"/>
  <c r="AT615" i="1"/>
  <c r="AX615" i="1"/>
  <c r="BB615" i="1"/>
  <c r="S616" i="1"/>
  <c r="O618" i="1"/>
  <c r="P618" i="1" s="1"/>
  <c r="AQ619" i="1"/>
  <c r="AU619" i="1"/>
  <c r="AY619" i="1"/>
  <c r="BC619" i="1"/>
  <c r="BS619" i="1"/>
  <c r="BW619" i="1"/>
  <c r="CA619" i="1"/>
  <c r="CE619" i="1"/>
  <c r="DK619" i="1"/>
  <c r="AS620" i="1"/>
  <c r="AW620" i="1"/>
  <c r="BA620" i="1"/>
  <c r="BE620" i="1"/>
  <c r="AS621" i="1"/>
  <c r="AW621" i="1"/>
  <c r="BA621" i="1"/>
  <c r="BE621" i="1"/>
  <c r="DJ626" i="1"/>
  <c r="Q709" i="1" s="1"/>
  <c r="DJ627" i="1"/>
  <c r="BG629" i="1"/>
  <c r="BJ635" i="1"/>
  <c r="BE642" i="1"/>
  <c r="BA642" i="1"/>
  <c r="AW642" i="1"/>
  <c r="AS642" i="1"/>
  <c r="BD641" i="1"/>
  <c r="AZ641" i="1"/>
  <c r="AV641" i="1"/>
  <c r="CD640" i="1"/>
  <c r="BZ640" i="1"/>
  <c r="BV640" i="1"/>
  <c r="BB640" i="1"/>
  <c r="AX640" i="1"/>
  <c r="AT640" i="1"/>
  <c r="BD642" i="1"/>
  <c r="AZ642" i="1"/>
  <c r="AV642" i="1"/>
  <c r="BC641" i="1"/>
  <c r="AY641" i="1"/>
  <c r="AU641" i="1"/>
  <c r="CC640" i="1"/>
  <c r="BY640" i="1"/>
  <c r="BU640" i="1"/>
  <c r="BE640" i="1"/>
  <c r="BA640" i="1"/>
  <c r="AW640" i="1"/>
  <c r="AS640" i="1"/>
  <c r="P641" i="1"/>
  <c r="AG641" i="1" s="1"/>
  <c r="BG641" i="1"/>
  <c r="AY640" i="1"/>
  <c r="BS640" i="1"/>
  <c r="CA640" i="1"/>
  <c r="AX641" i="1"/>
  <c r="AX642" i="1"/>
  <c r="AG643" i="1"/>
  <c r="P643" i="1"/>
  <c r="O645" i="1"/>
  <c r="P645" i="1" s="1"/>
  <c r="O644" i="1"/>
  <c r="BG643" i="1"/>
  <c r="F646" i="1"/>
  <c r="AX648" i="1"/>
  <c r="AJ649" i="1"/>
  <c r="P649" i="1"/>
  <c r="BJ649" i="1"/>
  <c r="O651" i="1"/>
  <c r="O650" i="1"/>
  <c r="BS649" i="1"/>
  <c r="AV650" i="1"/>
  <c r="AV651" i="1"/>
  <c r="AQ664" i="1"/>
  <c r="BQ664" i="1"/>
  <c r="P664" i="1"/>
  <c r="AH672" i="1"/>
  <c r="BH672" i="1"/>
  <c r="P672" i="1"/>
  <c r="DJ590" i="1"/>
  <c r="AS592" i="1"/>
  <c r="AW592" i="1"/>
  <c r="BA592" i="1"/>
  <c r="BE592" i="1"/>
  <c r="BU592" i="1"/>
  <c r="BY592" i="1"/>
  <c r="CC592" i="1"/>
  <c r="AV593" i="1"/>
  <c r="AZ593" i="1"/>
  <c r="BD593" i="1"/>
  <c r="AS594" i="1"/>
  <c r="AW594" i="1"/>
  <c r="BA594" i="1"/>
  <c r="AS595" i="1"/>
  <c r="AW595" i="1"/>
  <c r="BA595" i="1"/>
  <c r="BE595" i="1"/>
  <c r="BU595" i="1"/>
  <c r="BY595" i="1"/>
  <c r="CC595" i="1"/>
  <c r="AU596" i="1"/>
  <c r="AY596" i="1"/>
  <c r="BC596" i="1"/>
  <c r="AU597" i="1"/>
  <c r="AY597" i="1"/>
  <c r="AT598" i="1"/>
  <c r="AX598" i="1"/>
  <c r="BB598" i="1"/>
  <c r="BV598" i="1"/>
  <c r="BZ598" i="1"/>
  <c r="CD598" i="1"/>
  <c r="AS599" i="1"/>
  <c r="AW599" i="1"/>
  <c r="BA599" i="1"/>
  <c r="BE599" i="1"/>
  <c r="AT600" i="1"/>
  <c r="AX600" i="1"/>
  <c r="S601" i="1"/>
  <c r="T601" i="1" s="1"/>
  <c r="AU601" i="1"/>
  <c r="AY601" i="1"/>
  <c r="BC601" i="1"/>
  <c r="BS601" i="1"/>
  <c r="CA601" i="1"/>
  <c r="CE601" i="1"/>
  <c r="DK601" i="1"/>
  <c r="AV602" i="1"/>
  <c r="AZ602" i="1"/>
  <c r="BD602" i="1"/>
  <c r="AV603" i="1"/>
  <c r="AZ603" i="1"/>
  <c r="D604" i="1"/>
  <c r="S604" i="1"/>
  <c r="T604" i="1" s="1"/>
  <c r="AU604" i="1"/>
  <c r="AY604" i="1"/>
  <c r="BC604" i="1"/>
  <c r="BS604" i="1"/>
  <c r="CA604" i="1"/>
  <c r="CE604" i="1"/>
  <c r="DK604" i="1"/>
  <c r="AS605" i="1"/>
  <c r="AW605" i="1"/>
  <c r="BA605" i="1"/>
  <c r="BE605" i="1"/>
  <c r="AT606" i="1"/>
  <c r="AX606" i="1"/>
  <c r="AT607" i="1"/>
  <c r="AX607" i="1"/>
  <c r="BB607" i="1"/>
  <c r="BV607" i="1"/>
  <c r="BZ607" i="1"/>
  <c r="CD607" i="1"/>
  <c r="AU608" i="1"/>
  <c r="AY608" i="1"/>
  <c r="BC608" i="1"/>
  <c r="AU609" i="1"/>
  <c r="AY609" i="1"/>
  <c r="S610" i="1"/>
  <c r="T610" i="1" s="1"/>
  <c r="AU610" i="1"/>
  <c r="AY610" i="1"/>
  <c r="BC610" i="1"/>
  <c r="BS610" i="1"/>
  <c r="BW610" i="1"/>
  <c r="CA610" i="1"/>
  <c r="CE610" i="1"/>
  <c r="AS611" i="1"/>
  <c r="AW611" i="1"/>
  <c r="BA611" i="1"/>
  <c r="BE611" i="1"/>
  <c r="AT612" i="1"/>
  <c r="AX612" i="1"/>
  <c r="AT613" i="1"/>
  <c r="AX613" i="1"/>
  <c r="BB613" i="1"/>
  <c r="BV613" i="1"/>
  <c r="CD613" i="1"/>
  <c r="AU614" i="1"/>
  <c r="AY614" i="1"/>
  <c r="BC614" i="1"/>
  <c r="AU615" i="1"/>
  <c r="AY615" i="1"/>
  <c r="P616" i="1"/>
  <c r="AV616" i="1"/>
  <c r="AZ616" i="1"/>
  <c r="BD616" i="1"/>
  <c r="BT616" i="1"/>
  <c r="BX616" i="1"/>
  <c r="CB616" i="1"/>
  <c r="AU617" i="1"/>
  <c r="AY617" i="1"/>
  <c r="BC617" i="1"/>
  <c r="AV618" i="1"/>
  <c r="AZ618" i="1"/>
  <c r="AV619" i="1"/>
  <c r="AZ619" i="1"/>
  <c r="BD619" i="1"/>
  <c r="BT619" i="1"/>
  <c r="BX619" i="1"/>
  <c r="CB619" i="1"/>
  <c r="O620" i="1"/>
  <c r="AT620" i="1"/>
  <c r="AX620" i="1"/>
  <c r="BB620" i="1"/>
  <c r="AT621" i="1"/>
  <c r="AX621" i="1"/>
  <c r="AT622" i="1"/>
  <c r="AX622" i="1"/>
  <c r="BB622" i="1"/>
  <c r="BV622" i="1"/>
  <c r="BZ622" i="1"/>
  <c r="CD622" i="1"/>
  <c r="DJ622" i="1"/>
  <c r="AV623" i="1"/>
  <c r="AZ623" i="1"/>
  <c r="BD623" i="1"/>
  <c r="AS624" i="1"/>
  <c r="AW624" i="1"/>
  <c r="BA624" i="1"/>
  <c r="AS625" i="1"/>
  <c r="AW625" i="1"/>
  <c r="BA625" i="1"/>
  <c r="BE625" i="1"/>
  <c r="BU625" i="1"/>
  <c r="BY625" i="1"/>
  <c r="CC625" i="1"/>
  <c r="O626" i="1"/>
  <c r="P626" i="1" s="1"/>
  <c r="AT626" i="1"/>
  <c r="AX626" i="1"/>
  <c r="BB626" i="1"/>
  <c r="AT627" i="1"/>
  <c r="AX627" i="1"/>
  <c r="AT628" i="1"/>
  <c r="AX628" i="1"/>
  <c r="BB628" i="1"/>
  <c r="BV628" i="1"/>
  <c r="BZ628" i="1"/>
  <c r="CD628" i="1"/>
  <c r="AV629" i="1"/>
  <c r="AZ629" i="1"/>
  <c r="BD629" i="1"/>
  <c r="AS630" i="1"/>
  <c r="AW630" i="1"/>
  <c r="BA630" i="1"/>
  <c r="AS631" i="1"/>
  <c r="AX631" i="1"/>
  <c r="BD631" i="1"/>
  <c r="BZ631" i="1"/>
  <c r="AT632" i="1"/>
  <c r="AY632" i="1"/>
  <c r="BD632" i="1"/>
  <c r="P633" i="1"/>
  <c r="AQ633" i="1" s="1"/>
  <c r="AX633" i="1"/>
  <c r="BC633" i="1"/>
  <c r="BD636" i="1"/>
  <c r="AZ636" i="1"/>
  <c r="AV636" i="1"/>
  <c r="BC635" i="1"/>
  <c r="AY635" i="1"/>
  <c r="AU635" i="1"/>
  <c r="CC634" i="1"/>
  <c r="BY634" i="1"/>
  <c r="BU634" i="1"/>
  <c r="BE634" i="1"/>
  <c r="BA634" i="1"/>
  <c r="AW634" i="1"/>
  <c r="AS634" i="1"/>
  <c r="P634" i="1"/>
  <c r="AX634" i="1"/>
  <c r="BC634" i="1"/>
  <c r="BV634" i="1"/>
  <c r="CA634" i="1"/>
  <c r="P635" i="1"/>
  <c r="AW635" i="1"/>
  <c r="BB635" i="1"/>
  <c r="AT636" i="1"/>
  <c r="AY636" i="1"/>
  <c r="BE636" i="1"/>
  <c r="AX638" i="1"/>
  <c r="BC638" i="1"/>
  <c r="AU639" i="1"/>
  <c r="AZ639" i="1"/>
  <c r="S640" i="1"/>
  <c r="T640" i="1" s="1"/>
  <c r="AZ640" i="1"/>
  <c r="CB640" i="1"/>
  <c r="AS641" i="1"/>
  <c r="BA641" i="1"/>
  <c r="O642" i="1"/>
  <c r="P642" i="1" s="1"/>
  <c r="AY642" i="1"/>
  <c r="AY645" i="1"/>
  <c r="AG646" i="1"/>
  <c r="P646" i="1"/>
  <c r="P647" i="1"/>
  <c r="BG647" i="1"/>
  <c r="AY646" i="1"/>
  <c r="BG646" i="1"/>
  <c r="BS646" i="1"/>
  <c r="CA646" i="1"/>
  <c r="AX647" i="1"/>
  <c r="AY648" i="1"/>
  <c r="AZ650" i="1"/>
  <c r="AZ651" i="1"/>
  <c r="S655" i="1"/>
  <c r="BG670" i="1"/>
  <c r="AG670" i="1"/>
  <c r="P670" i="1"/>
  <c r="AJ688" i="1"/>
  <c r="P688" i="1"/>
  <c r="BJ688" i="1"/>
  <c r="P698" i="1"/>
  <c r="AM698" i="1" s="1"/>
  <c r="BM698" i="1"/>
  <c r="BQ703" i="1"/>
  <c r="AQ703" i="1"/>
  <c r="P703" i="1"/>
  <c r="AT652" i="1"/>
  <c r="AX652" i="1"/>
  <c r="BB652" i="1"/>
  <c r="BV652" i="1"/>
  <c r="BZ652" i="1"/>
  <c r="CD652" i="1"/>
  <c r="AV653" i="1"/>
  <c r="AZ653" i="1"/>
  <c r="BD653" i="1"/>
  <c r="AS654" i="1"/>
  <c r="AW654" i="1"/>
  <c r="BA654" i="1"/>
  <c r="BE654" i="1"/>
  <c r="AU661" i="1"/>
  <c r="AY661" i="1"/>
  <c r="BC661" i="1"/>
  <c r="BS661" i="1"/>
  <c r="BW661" i="1"/>
  <c r="CA661" i="1"/>
  <c r="CE661" i="1"/>
  <c r="AV662" i="1"/>
  <c r="AZ662" i="1"/>
  <c r="BD662" i="1"/>
  <c r="AV663" i="1"/>
  <c r="AZ663" i="1"/>
  <c r="BD663" i="1"/>
  <c r="BJ665" i="1"/>
  <c r="O666" i="1"/>
  <c r="P666" i="1" s="1"/>
  <c r="AQ667" i="1"/>
  <c r="AU667" i="1"/>
  <c r="AY667" i="1"/>
  <c r="BC667" i="1"/>
  <c r="BS667" i="1"/>
  <c r="BW667" i="1"/>
  <c r="CA667" i="1"/>
  <c r="CE667" i="1"/>
  <c r="AV668" i="1"/>
  <c r="AZ668" i="1"/>
  <c r="BD668" i="1"/>
  <c r="AV669" i="1"/>
  <c r="AZ669" i="1"/>
  <c r="BD669" i="1"/>
  <c r="AU671" i="1"/>
  <c r="AY671" i="1"/>
  <c r="BC671" i="1"/>
  <c r="AV672" i="1"/>
  <c r="AZ672" i="1"/>
  <c r="BD672" i="1"/>
  <c r="P681" i="1"/>
  <c r="AU681" i="1"/>
  <c r="BA681" i="1"/>
  <c r="BD684" i="1"/>
  <c r="AZ684" i="1"/>
  <c r="AV684" i="1"/>
  <c r="BC683" i="1"/>
  <c r="AY683" i="1"/>
  <c r="AU683" i="1"/>
  <c r="CC682" i="1"/>
  <c r="BY682" i="1"/>
  <c r="BU682" i="1"/>
  <c r="BE682" i="1"/>
  <c r="BA682" i="1"/>
  <c r="AW682" i="1"/>
  <c r="AS682" i="1"/>
  <c r="AT682" i="1"/>
  <c r="AY682" i="1"/>
  <c r="BD682" i="1"/>
  <c r="BW682" i="1"/>
  <c r="CB682" i="1"/>
  <c r="AS683" i="1"/>
  <c r="AX683" i="1"/>
  <c r="BD683" i="1"/>
  <c r="AU684" i="1"/>
  <c r="BA684" i="1"/>
  <c r="BD687" i="1"/>
  <c r="AZ687" i="1"/>
  <c r="AV687" i="1"/>
  <c r="BD686" i="1"/>
  <c r="AZ686" i="1"/>
  <c r="AV686" i="1"/>
  <c r="DK685" i="1"/>
  <c r="CE685" i="1"/>
  <c r="CA685" i="1"/>
  <c r="BW685" i="1"/>
  <c r="BS685" i="1"/>
  <c r="BC685" i="1"/>
  <c r="AY685" i="1"/>
  <c r="AU685" i="1"/>
  <c r="S685" i="1"/>
  <c r="AV685" i="1"/>
  <c r="BA685" i="1"/>
  <c r="BT685" i="1"/>
  <c r="BY685" i="1"/>
  <c r="CD685" i="1"/>
  <c r="AU686" i="1"/>
  <c r="BA686" i="1"/>
  <c r="AU687" i="1"/>
  <c r="BA687" i="1"/>
  <c r="BC690" i="1"/>
  <c r="AY690" i="1"/>
  <c r="AU690" i="1"/>
  <c r="BB689" i="1"/>
  <c r="AX689" i="1"/>
  <c r="AT689" i="1"/>
  <c r="CB688" i="1"/>
  <c r="BX688" i="1"/>
  <c r="BT688" i="1"/>
  <c r="BD688" i="1"/>
  <c r="AZ688" i="1"/>
  <c r="AV688" i="1"/>
  <c r="AS688" i="1"/>
  <c r="AX688" i="1"/>
  <c r="BC688" i="1"/>
  <c r="BU688" i="1"/>
  <c r="BZ688" i="1"/>
  <c r="CE688" i="1"/>
  <c r="AV689" i="1"/>
  <c r="BA689" i="1"/>
  <c r="AS690" i="1"/>
  <c r="AX690" i="1"/>
  <c r="BD690" i="1"/>
  <c r="S697" i="1"/>
  <c r="T697" i="1" s="1"/>
  <c r="O702" i="1"/>
  <c r="P702" i="1" s="1"/>
  <c r="BG707" i="1"/>
  <c r="O712" i="1"/>
  <c r="AW712" i="1"/>
  <c r="BE712" i="1"/>
  <c r="BW712" i="1"/>
  <c r="O713" i="1"/>
  <c r="AS713" i="1"/>
  <c r="AZ713" i="1"/>
  <c r="AV714" i="1"/>
  <c r="BB714" i="1"/>
  <c r="O717" i="1"/>
  <c r="P717" i="1" s="1"/>
  <c r="BC720" i="1"/>
  <c r="AY720" i="1"/>
  <c r="AU720" i="1"/>
  <c r="BB719" i="1"/>
  <c r="AX719" i="1"/>
  <c r="AT719" i="1"/>
  <c r="CB718" i="1"/>
  <c r="BX718" i="1"/>
  <c r="BT718" i="1"/>
  <c r="BD718" i="1"/>
  <c r="AZ718" i="1"/>
  <c r="AV718" i="1"/>
  <c r="BA720" i="1"/>
  <c r="AV720" i="1"/>
  <c r="BC719" i="1"/>
  <c r="AW719" i="1"/>
  <c r="CA718" i="1"/>
  <c r="BV718" i="1"/>
  <c r="BE718" i="1"/>
  <c r="AY718" i="1"/>
  <c r="AT718" i="1"/>
  <c r="AU718" i="1"/>
  <c r="BB718" i="1"/>
  <c r="CD718" i="1"/>
  <c r="AS719" i="1"/>
  <c r="AZ719" i="1"/>
  <c r="AW720" i="1"/>
  <c r="BD720" i="1"/>
  <c r="AG722" i="1"/>
  <c r="AM724" i="1"/>
  <c r="P725" i="1"/>
  <c r="AJ725" i="1" s="1"/>
  <c r="BB741" i="1"/>
  <c r="AX741" i="1"/>
  <c r="AT741" i="1"/>
  <c r="BB740" i="1"/>
  <c r="AX740" i="1"/>
  <c r="AT740" i="1"/>
  <c r="CC739" i="1"/>
  <c r="BY739" i="1"/>
  <c r="BU739" i="1"/>
  <c r="BE739" i="1"/>
  <c r="BA739" i="1"/>
  <c r="AW739" i="1"/>
  <c r="AS739" i="1"/>
  <c r="BE741" i="1"/>
  <c r="AZ741" i="1"/>
  <c r="AU741" i="1"/>
  <c r="BD740" i="1"/>
  <c r="AY740" i="1"/>
  <c r="AS740" i="1"/>
  <c r="BX739" i="1"/>
  <c r="BS739" i="1"/>
  <c r="AZ739" i="1"/>
  <c r="AU739" i="1"/>
  <c r="BD741" i="1"/>
  <c r="AY741" i="1"/>
  <c r="AS741" i="1"/>
  <c r="BC740" i="1"/>
  <c r="AW740" i="1"/>
  <c r="CB739" i="1"/>
  <c r="BW739" i="1"/>
  <c r="BD739" i="1"/>
  <c r="AY739" i="1"/>
  <c r="AT739" i="1"/>
  <c r="BC741" i="1"/>
  <c r="AW741" i="1"/>
  <c r="BA740" i="1"/>
  <c r="AV740" i="1"/>
  <c r="CA739" i="1"/>
  <c r="BV739" i="1"/>
  <c r="BC739" i="1"/>
  <c r="AX739" i="1"/>
  <c r="AV739" i="1"/>
  <c r="CE739" i="1"/>
  <c r="AZ740" i="1"/>
  <c r="BB754" i="1"/>
  <c r="BE755" i="1"/>
  <c r="P660" i="1"/>
  <c r="BJ674" i="1"/>
  <c r="BB686" i="1"/>
  <c r="AW687" i="1"/>
  <c r="BB687" i="1"/>
  <c r="AT690" i="1"/>
  <c r="AZ690" i="1"/>
  <c r="BE690" i="1"/>
  <c r="AJ694" i="1"/>
  <c r="P694" i="1"/>
  <c r="AG707" i="1"/>
  <c r="AY712" i="1"/>
  <c r="BY712" i="1"/>
  <c r="AU713" i="1"/>
  <c r="BC713" i="1"/>
  <c r="AW714" i="1"/>
  <c r="O720" i="1"/>
  <c r="P720" i="1" s="1"/>
  <c r="O719" i="1"/>
  <c r="AW718" i="1"/>
  <c r="BC718" i="1"/>
  <c r="BY718" i="1"/>
  <c r="CE718" i="1"/>
  <c r="AU719" i="1"/>
  <c r="BA719" i="1"/>
  <c r="AX720" i="1"/>
  <c r="BE720" i="1"/>
  <c r="BM724" i="1"/>
  <c r="O727" i="1"/>
  <c r="O729" i="1"/>
  <c r="P729" i="1" s="1"/>
  <c r="BB739" i="1"/>
  <c r="BE740" i="1"/>
  <c r="AV741" i="1"/>
  <c r="BH749" i="1"/>
  <c r="P749" i="1"/>
  <c r="P750" i="1"/>
  <c r="BQ754" i="1"/>
  <c r="P754" i="1"/>
  <c r="O756" i="1"/>
  <c r="P756" i="1" s="1"/>
  <c r="O755" i="1"/>
  <c r="AQ754" i="1"/>
  <c r="BT754" i="1"/>
  <c r="AW756" i="1"/>
  <c r="BJ782" i="1"/>
  <c r="P782" i="1"/>
  <c r="AV652" i="1"/>
  <c r="AZ652" i="1"/>
  <c r="BD652" i="1"/>
  <c r="BT652" i="1"/>
  <c r="BX652" i="1"/>
  <c r="CB652" i="1"/>
  <c r="AT653" i="1"/>
  <c r="AX653" i="1"/>
  <c r="BB653" i="1"/>
  <c r="AU654" i="1"/>
  <c r="AY654" i="1"/>
  <c r="BC654" i="1"/>
  <c r="AT655" i="1"/>
  <c r="AX655" i="1"/>
  <c r="BB655" i="1"/>
  <c r="BJ655" i="1"/>
  <c r="BV655" i="1"/>
  <c r="BZ655" i="1"/>
  <c r="CD655" i="1"/>
  <c r="P656" i="1"/>
  <c r="AH656" i="1" s="1"/>
  <c r="AU656" i="1"/>
  <c r="AY656" i="1"/>
  <c r="BC656" i="1"/>
  <c r="P657" i="1"/>
  <c r="AU657" i="1"/>
  <c r="AY657" i="1"/>
  <c r="AT658" i="1"/>
  <c r="AX658" i="1"/>
  <c r="BB658" i="1"/>
  <c r="BV658" i="1"/>
  <c r="BZ658" i="1"/>
  <c r="CD658" i="1"/>
  <c r="P659" i="1"/>
  <c r="AH659" i="1" s="1"/>
  <c r="AV659" i="1"/>
  <c r="AZ659" i="1"/>
  <c r="BD659" i="1"/>
  <c r="AS660" i="1"/>
  <c r="AW660" i="1"/>
  <c r="BA660" i="1"/>
  <c r="AS661" i="1"/>
  <c r="AW661" i="1"/>
  <c r="BA661" i="1"/>
  <c r="BE661" i="1"/>
  <c r="BU661" i="1"/>
  <c r="BY661" i="1"/>
  <c r="CC661" i="1"/>
  <c r="O662" i="1"/>
  <c r="AT662" i="1"/>
  <c r="AX662" i="1"/>
  <c r="BB662" i="1"/>
  <c r="AT663" i="1"/>
  <c r="AX663" i="1"/>
  <c r="BB663" i="1"/>
  <c r="AT664" i="1"/>
  <c r="AX664" i="1"/>
  <c r="BB664" i="1"/>
  <c r="BV664" i="1"/>
  <c r="BZ664" i="1"/>
  <c r="CD664" i="1"/>
  <c r="AV665" i="1"/>
  <c r="AZ665" i="1"/>
  <c r="BD665" i="1"/>
  <c r="AS666" i="1"/>
  <c r="AW666" i="1"/>
  <c r="BA666" i="1"/>
  <c r="BE666" i="1"/>
  <c r="AS667" i="1"/>
  <c r="AW667" i="1"/>
  <c r="BA667" i="1"/>
  <c r="BE667" i="1"/>
  <c r="BY667" i="1"/>
  <c r="CC667" i="1"/>
  <c r="O668" i="1"/>
  <c r="AT668" i="1"/>
  <c r="AX668" i="1"/>
  <c r="BB668" i="1"/>
  <c r="AT669" i="1"/>
  <c r="AX669" i="1"/>
  <c r="BB669" i="1"/>
  <c r="AT670" i="1"/>
  <c r="AX670" i="1"/>
  <c r="BB670" i="1"/>
  <c r="BV670" i="1"/>
  <c r="BZ670" i="1"/>
  <c r="CD670" i="1"/>
  <c r="AS671" i="1"/>
  <c r="AW671" i="1"/>
  <c r="BA671" i="1"/>
  <c r="BE671" i="1"/>
  <c r="AT672" i="1"/>
  <c r="AX672" i="1"/>
  <c r="BB672" i="1"/>
  <c r="AT673" i="1"/>
  <c r="AX673" i="1"/>
  <c r="BB673" i="1"/>
  <c r="BV673" i="1"/>
  <c r="BZ673" i="1"/>
  <c r="CD673" i="1"/>
  <c r="AU674" i="1"/>
  <c r="AY674" i="1"/>
  <c r="BC674" i="1"/>
  <c r="AU675" i="1"/>
  <c r="AY675" i="1"/>
  <c r="BC675" i="1"/>
  <c r="O676" i="1"/>
  <c r="S676" i="1"/>
  <c r="AU676" i="1"/>
  <c r="AY676" i="1"/>
  <c r="BC676" i="1"/>
  <c r="BS676" i="1"/>
  <c r="BW676" i="1"/>
  <c r="CA676" i="1"/>
  <c r="CE676" i="1"/>
  <c r="AS677" i="1"/>
  <c r="AW677" i="1"/>
  <c r="BA677" i="1"/>
  <c r="BE677" i="1"/>
  <c r="AT678" i="1"/>
  <c r="AX678" i="1"/>
  <c r="AS679" i="1"/>
  <c r="AW679" i="1"/>
  <c r="BA679" i="1"/>
  <c r="BE679" i="1"/>
  <c r="BZ679" i="1"/>
  <c r="P680" i="1"/>
  <c r="AW680" i="1"/>
  <c r="BB680" i="1"/>
  <c r="AS681" i="1"/>
  <c r="AX681" i="1"/>
  <c r="AQ682" i="1"/>
  <c r="AV682" i="1"/>
  <c r="BB682" i="1"/>
  <c r="BT682" i="1"/>
  <c r="BZ682" i="1"/>
  <c r="CE682" i="1"/>
  <c r="AV683" i="1"/>
  <c r="BA683" i="1"/>
  <c r="AS684" i="1"/>
  <c r="AX684" i="1"/>
  <c r="BC684" i="1"/>
  <c r="AG685" i="1"/>
  <c r="AS685" i="1"/>
  <c r="AX685" i="1"/>
  <c r="BD685" i="1"/>
  <c r="BV685" i="1"/>
  <c r="CB685" i="1"/>
  <c r="AS686" i="1"/>
  <c r="AX686" i="1"/>
  <c r="BC686" i="1"/>
  <c r="AS687" i="1"/>
  <c r="AX687" i="1"/>
  <c r="BC687" i="1"/>
  <c r="AU688" i="1"/>
  <c r="BA688" i="1"/>
  <c r="BW688" i="1"/>
  <c r="CC688" i="1"/>
  <c r="P689" i="1"/>
  <c r="AQ689" i="1" s="1"/>
  <c r="AS689" i="1"/>
  <c r="AY689" i="1"/>
  <c r="BD689" i="1"/>
  <c r="AV690" i="1"/>
  <c r="BA690" i="1"/>
  <c r="BC696" i="1"/>
  <c r="AY696" i="1"/>
  <c r="AU696" i="1"/>
  <c r="BB695" i="1"/>
  <c r="AX695" i="1"/>
  <c r="AT695" i="1"/>
  <c r="CB694" i="1"/>
  <c r="BX694" i="1"/>
  <c r="BT694" i="1"/>
  <c r="BD694" i="1"/>
  <c r="AZ694" i="1"/>
  <c r="AV694" i="1"/>
  <c r="AS694" i="1"/>
  <c r="AX694" i="1"/>
  <c r="BC694" i="1"/>
  <c r="BU694" i="1"/>
  <c r="CE694" i="1"/>
  <c r="AV695" i="1"/>
  <c r="BA695" i="1"/>
  <c r="AS696" i="1"/>
  <c r="AX696" i="1"/>
  <c r="BD696" i="1"/>
  <c r="P697" i="1"/>
  <c r="P701" i="1"/>
  <c r="AG701" i="1" s="1"/>
  <c r="O704" i="1"/>
  <c r="AW705" i="1"/>
  <c r="BG710" i="1"/>
  <c r="P710" i="1"/>
  <c r="AG710" i="1" s="1"/>
  <c r="BC714" i="1"/>
  <c r="AY714" i="1"/>
  <c r="AU714" i="1"/>
  <c r="BB713" i="1"/>
  <c r="AX713" i="1"/>
  <c r="AT713" i="1"/>
  <c r="CB712" i="1"/>
  <c r="BX712" i="1"/>
  <c r="BT712" i="1"/>
  <c r="BD712" i="1"/>
  <c r="AZ712" i="1"/>
  <c r="AV712" i="1"/>
  <c r="BD714" i="1"/>
  <c r="AX714" i="1"/>
  <c r="AS714" i="1"/>
  <c r="BA713" i="1"/>
  <c r="AV713" i="1"/>
  <c r="CE712" i="1"/>
  <c r="BZ712" i="1"/>
  <c r="BU712" i="1"/>
  <c r="BC712" i="1"/>
  <c r="AX712" i="1"/>
  <c r="AS712" i="1"/>
  <c r="AT712" i="1"/>
  <c r="BA712" i="1"/>
  <c r="BS712" i="1"/>
  <c r="CA712" i="1"/>
  <c r="AW713" i="1"/>
  <c r="BD713" i="1"/>
  <c r="AZ714" i="1"/>
  <c r="BG715" i="1"/>
  <c r="AG715" i="1"/>
  <c r="O721" i="1"/>
  <c r="O723" i="1"/>
  <c r="BI739" i="1"/>
  <c r="P739" i="1"/>
  <c r="O741" i="1"/>
  <c r="O740" i="1"/>
  <c r="AI739" i="1"/>
  <c r="BA741" i="1"/>
  <c r="P743" i="1"/>
  <c r="AQ743" i="1" s="1"/>
  <c r="BQ743" i="1"/>
  <c r="BM745" i="1"/>
  <c r="P745" i="1"/>
  <c r="AM745" i="1"/>
  <c r="BZ754" i="1"/>
  <c r="AU755" i="1"/>
  <c r="BQ757" i="1"/>
  <c r="P757" i="1"/>
  <c r="AQ757" i="1"/>
  <c r="AF784" i="1"/>
  <c r="P784" i="1"/>
  <c r="BF784" i="1"/>
  <c r="BM787" i="1"/>
  <c r="AM787" i="1"/>
  <c r="P787" i="1"/>
  <c r="BI808" i="1"/>
  <c r="P808" i="1"/>
  <c r="AI808" i="1"/>
  <c r="AJ817" i="1"/>
  <c r="P817" i="1"/>
  <c r="BJ817" i="1"/>
  <c r="AS652" i="1"/>
  <c r="AW652" i="1"/>
  <c r="BA652" i="1"/>
  <c r="BE652" i="1"/>
  <c r="BY652" i="1"/>
  <c r="CC652" i="1"/>
  <c r="AU653" i="1"/>
  <c r="AY653" i="1"/>
  <c r="BC653" i="1"/>
  <c r="AV654" i="1"/>
  <c r="AZ654" i="1"/>
  <c r="AT661" i="1"/>
  <c r="AX661" i="1"/>
  <c r="BB661" i="1"/>
  <c r="BV661" i="1"/>
  <c r="CD661" i="1"/>
  <c r="AU662" i="1"/>
  <c r="AY662" i="1"/>
  <c r="BC662" i="1"/>
  <c r="AU663" i="1"/>
  <c r="AY663" i="1"/>
  <c r="S664" i="1"/>
  <c r="T664" i="1" s="1"/>
  <c r="AU664" i="1"/>
  <c r="AY664" i="1"/>
  <c r="BC664" i="1"/>
  <c r="BS664" i="1"/>
  <c r="CA664" i="1"/>
  <c r="CE664" i="1"/>
  <c r="AS665" i="1"/>
  <c r="AW665" i="1"/>
  <c r="BA665" i="1"/>
  <c r="BE665" i="1"/>
  <c r="AT666" i="1"/>
  <c r="AX666" i="1"/>
  <c r="AT667" i="1"/>
  <c r="AX667" i="1"/>
  <c r="BB667" i="1"/>
  <c r="BV667" i="1"/>
  <c r="BZ667" i="1"/>
  <c r="CD667" i="1"/>
  <c r="AU668" i="1"/>
  <c r="AY668" i="1"/>
  <c r="BC668" i="1"/>
  <c r="AU669" i="1"/>
  <c r="AY669" i="1"/>
  <c r="S670" i="1"/>
  <c r="AU670" i="1"/>
  <c r="AY670" i="1"/>
  <c r="BC670" i="1"/>
  <c r="BS670" i="1"/>
  <c r="BW670" i="1"/>
  <c r="CA670" i="1"/>
  <c r="CE670" i="1"/>
  <c r="AT671" i="1"/>
  <c r="AX671" i="1"/>
  <c r="BB671" i="1"/>
  <c r="AU672" i="1"/>
  <c r="AY672" i="1"/>
  <c r="S673" i="1"/>
  <c r="T673" i="1" s="1"/>
  <c r="AU673" i="1"/>
  <c r="AY673" i="1"/>
  <c r="BC673" i="1"/>
  <c r="BS673" i="1"/>
  <c r="BW673" i="1"/>
  <c r="CA673" i="1"/>
  <c r="CE673" i="1"/>
  <c r="AV674" i="1"/>
  <c r="AZ674" i="1"/>
  <c r="BD674" i="1"/>
  <c r="AV675" i="1"/>
  <c r="AZ675" i="1"/>
  <c r="BD681" i="1"/>
  <c r="AZ681" i="1"/>
  <c r="AV681" i="1"/>
  <c r="BD680" i="1"/>
  <c r="AZ680" i="1"/>
  <c r="AV680" i="1"/>
  <c r="CE679" i="1"/>
  <c r="CA679" i="1"/>
  <c r="BW679" i="1"/>
  <c r="AT679" i="1"/>
  <c r="AX679" i="1"/>
  <c r="BB679" i="1"/>
  <c r="BV679" i="1"/>
  <c r="CB679" i="1"/>
  <c r="AS680" i="1"/>
  <c r="AX680" i="1"/>
  <c r="BC680" i="1"/>
  <c r="AT681" i="1"/>
  <c r="AY681" i="1"/>
  <c r="BE681" i="1"/>
  <c r="AX682" i="1"/>
  <c r="BC682" i="1"/>
  <c r="BV682" i="1"/>
  <c r="CA682" i="1"/>
  <c r="AW683" i="1"/>
  <c r="BB683" i="1"/>
  <c r="AT684" i="1"/>
  <c r="AY684" i="1"/>
  <c r="BE684" i="1"/>
  <c r="D685" i="1"/>
  <c r="AT685" i="1"/>
  <c r="AZ685" i="1"/>
  <c r="BE685" i="1"/>
  <c r="BX685" i="1"/>
  <c r="CC685" i="1"/>
  <c r="AT686" i="1"/>
  <c r="AY686" i="1"/>
  <c r="BE686" i="1"/>
  <c r="O687" i="1"/>
  <c r="P687" i="1" s="1"/>
  <c r="AT687" i="1"/>
  <c r="AY687" i="1"/>
  <c r="BE687" i="1"/>
  <c r="O690" i="1"/>
  <c r="P690" i="1" s="1"/>
  <c r="AW688" i="1"/>
  <c r="BB688" i="1"/>
  <c r="BS688" i="1"/>
  <c r="BY688" i="1"/>
  <c r="AU689" i="1"/>
  <c r="AZ689" i="1"/>
  <c r="BE689" i="1"/>
  <c r="AW690" i="1"/>
  <c r="BB690" i="1"/>
  <c r="AT694" i="1"/>
  <c r="AY694" i="1"/>
  <c r="BE694" i="1"/>
  <c r="BV694" i="1"/>
  <c r="CA694" i="1"/>
  <c r="O695" i="1"/>
  <c r="AW695" i="1"/>
  <c r="BC695" i="1"/>
  <c r="AT696" i="1"/>
  <c r="AZ696" i="1"/>
  <c r="BE696" i="1"/>
  <c r="AJ697" i="1"/>
  <c r="BQ700" i="1"/>
  <c r="BC705" i="1"/>
  <c r="AY705" i="1"/>
  <c r="AU705" i="1"/>
  <c r="BC704" i="1"/>
  <c r="AY704" i="1"/>
  <c r="AU704" i="1"/>
  <c r="CD703" i="1"/>
  <c r="BZ703" i="1"/>
  <c r="BV703" i="1"/>
  <c r="BB703" i="1"/>
  <c r="AX703" i="1"/>
  <c r="AT703" i="1"/>
  <c r="AU703" i="1"/>
  <c r="AZ703" i="1"/>
  <c r="BE703" i="1"/>
  <c r="BU703" i="1"/>
  <c r="CA703" i="1"/>
  <c r="AW704" i="1"/>
  <c r="BB704" i="1"/>
  <c r="AS705" i="1"/>
  <c r="AX705" i="1"/>
  <c r="BD705" i="1"/>
  <c r="O706" i="1"/>
  <c r="AU712" i="1"/>
  <c r="BB712" i="1"/>
  <c r="BV712" i="1"/>
  <c r="CC712" i="1"/>
  <c r="AY713" i="1"/>
  <c r="BE713" i="1"/>
  <c r="AT714" i="1"/>
  <c r="BA714" i="1"/>
  <c r="O716" i="1"/>
  <c r="O718" i="1"/>
  <c r="AS718" i="1"/>
  <c r="BA718" i="1"/>
  <c r="BU718" i="1"/>
  <c r="CC718" i="1"/>
  <c r="AY719" i="1"/>
  <c r="BE719" i="1"/>
  <c r="AT720" i="1"/>
  <c r="BB720" i="1"/>
  <c r="P722" i="1"/>
  <c r="S724" i="1"/>
  <c r="P728" i="1"/>
  <c r="AJ728" i="1" s="1"/>
  <c r="P734" i="1"/>
  <c r="AQ734" i="1" s="1"/>
  <c r="BQ734" i="1"/>
  <c r="BQ751" i="1"/>
  <c r="P751" i="1"/>
  <c r="AQ751" i="1"/>
  <c r="BB756" i="1"/>
  <c r="AX756" i="1"/>
  <c r="AT756" i="1"/>
  <c r="BB755" i="1"/>
  <c r="AX755" i="1"/>
  <c r="AT755" i="1"/>
  <c r="CC754" i="1"/>
  <c r="BY754" i="1"/>
  <c r="BU754" i="1"/>
  <c r="BE754" i="1"/>
  <c r="BA754" i="1"/>
  <c r="AW754" i="1"/>
  <c r="AS754" i="1"/>
  <c r="BA756" i="1"/>
  <c r="AV756" i="1"/>
  <c r="BD755" i="1"/>
  <c r="AY755" i="1"/>
  <c r="AS755" i="1"/>
  <c r="CD754" i="1"/>
  <c r="BX754" i="1"/>
  <c r="BS754" i="1"/>
  <c r="AZ754" i="1"/>
  <c r="AU754" i="1"/>
  <c r="BE756" i="1"/>
  <c r="AZ756" i="1"/>
  <c r="AU756" i="1"/>
  <c r="BC755" i="1"/>
  <c r="AW755" i="1"/>
  <c r="CB754" i="1"/>
  <c r="BD754" i="1"/>
  <c r="AY754" i="1"/>
  <c r="AT754" i="1"/>
  <c r="BD756" i="1"/>
  <c r="AY756" i="1"/>
  <c r="AS756" i="1"/>
  <c r="BA755" i="1"/>
  <c r="AV755" i="1"/>
  <c r="CA754" i="1"/>
  <c r="BV754" i="1"/>
  <c r="BC754" i="1"/>
  <c r="AX754" i="1"/>
  <c r="AV754" i="1"/>
  <c r="CE754" i="1"/>
  <c r="AZ755" i="1"/>
  <c r="BB762" i="1"/>
  <c r="AX762" i="1"/>
  <c r="AT762" i="1"/>
  <c r="BB761" i="1"/>
  <c r="AX761" i="1"/>
  <c r="AT761" i="1"/>
  <c r="CC760" i="1"/>
  <c r="BY760" i="1"/>
  <c r="BU760" i="1"/>
  <c r="BE760" i="1"/>
  <c r="BA760" i="1"/>
  <c r="AW760" i="1"/>
  <c r="AS760" i="1"/>
  <c r="O762" i="1"/>
  <c r="P762" i="1" s="1"/>
  <c r="O761" i="1"/>
  <c r="AQ760" i="1"/>
  <c r="AV760" i="1"/>
  <c r="BB760" i="1"/>
  <c r="BT760" i="1"/>
  <c r="BZ760" i="1"/>
  <c r="CE760" i="1"/>
  <c r="AU761" i="1"/>
  <c r="AZ761" i="1"/>
  <c r="BE761" i="1"/>
  <c r="AW762" i="1"/>
  <c r="BC762" i="1"/>
  <c r="D766" i="1"/>
  <c r="AF778" i="1"/>
  <c r="P778" i="1"/>
  <c r="BJ793" i="1"/>
  <c r="O795" i="1"/>
  <c r="P795" i="1" s="1"/>
  <c r="BB810" i="1"/>
  <c r="AX810" i="1"/>
  <c r="AT810" i="1"/>
  <c r="BB809" i="1"/>
  <c r="AX809" i="1"/>
  <c r="AT809" i="1"/>
  <c r="CC808" i="1"/>
  <c r="BY808" i="1"/>
  <c r="BU808" i="1"/>
  <c r="BE808" i="1"/>
  <c r="BA808" i="1"/>
  <c r="AW808" i="1"/>
  <c r="AS808" i="1"/>
  <c r="BE810" i="1"/>
  <c r="BA810" i="1"/>
  <c r="AW810" i="1"/>
  <c r="AS810" i="1"/>
  <c r="BE809" i="1"/>
  <c r="BA809" i="1"/>
  <c r="AW809" i="1"/>
  <c r="AS809" i="1"/>
  <c r="CB808" i="1"/>
  <c r="BX808" i="1"/>
  <c r="BT808" i="1"/>
  <c r="BD808" i="1"/>
  <c r="AZ808" i="1"/>
  <c r="AV808" i="1"/>
  <c r="AT808" i="1"/>
  <c r="BB808" i="1"/>
  <c r="BW808" i="1"/>
  <c r="CE808" i="1"/>
  <c r="AZ809" i="1"/>
  <c r="AZ810" i="1"/>
  <c r="BD813" i="1"/>
  <c r="AZ813" i="1"/>
  <c r="AV813" i="1"/>
  <c r="BD812" i="1"/>
  <c r="AZ812" i="1"/>
  <c r="AV812" i="1"/>
  <c r="DK811" i="1"/>
  <c r="CE811" i="1"/>
  <c r="CA811" i="1"/>
  <c r="BW811" i="1"/>
  <c r="BS811" i="1"/>
  <c r="BC811" i="1"/>
  <c r="AY811" i="1"/>
  <c r="AU811" i="1"/>
  <c r="S811" i="1"/>
  <c r="T811" i="1" s="1"/>
  <c r="BC813" i="1"/>
  <c r="AY813" i="1"/>
  <c r="AU813" i="1"/>
  <c r="BC812" i="1"/>
  <c r="AY812" i="1"/>
  <c r="AU812" i="1"/>
  <c r="CD811" i="1"/>
  <c r="BZ811" i="1"/>
  <c r="BV811" i="1"/>
  <c r="BB811" i="1"/>
  <c r="AX811" i="1"/>
  <c r="AT811" i="1"/>
  <c r="AW811" i="1"/>
  <c r="BE811" i="1"/>
  <c r="BX811" i="1"/>
  <c r="AW812" i="1"/>
  <c r="BE812" i="1"/>
  <c r="AX813" i="1"/>
  <c r="BB819" i="1"/>
  <c r="AX819" i="1"/>
  <c r="AT819" i="1"/>
  <c r="BB818" i="1"/>
  <c r="AX818" i="1"/>
  <c r="AT818" i="1"/>
  <c r="CC817" i="1"/>
  <c r="BY817" i="1"/>
  <c r="BU817" i="1"/>
  <c r="BE817" i="1"/>
  <c r="BA817" i="1"/>
  <c r="AW817" i="1"/>
  <c r="AS817" i="1"/>
  <c r="BE819" i="1"/>
  <c r="BA819" i="1"/>
  <c r="AW819" i="1"/>
  <c r="AS819" i="1"/>
  <c r="BE818" i="1"/>
  <c r="BA818" i="1"/>
  <c r="AW818" i="1"/>
  <c r="AS818" i="1"/>
  <c r="CB817" i="1"/>
  <c r="BX817" i="1"/>
  <c r="BT817" i="1"/>
  <c r="BD817" i="1"/>
  <c r="AZ817" i="1"/>
  <c r="AV817" i="1"/>
  <c r="AU817" i="1"/>
  <c r="BC817" i="1"/>
  <c r="BW817" i="1"/>
  <c r="CE817" i="1"/>
  <c r="AZ818" i="1"/>
  <c r="AZ819" i="1"/>
  <c r="BC822" i="1"/>
  <c r="AY822" i="1"/>
  <c r="AU822" i="1"/>
  <c r="BC821" i="1"/>
  <c r="AY821" i="1"/>
  <c r="AU821" i="1"/>
  <c r="CD820" i="1"/>
  <c r="BZ820" i="1"/>
  <c r="BV820" i="1"/>
  <c r="BB820" i="1"/>
  <c r="AX820" i="1"/>
  <c r="AT820" i="1"/>
  <c r="BB822" i="1"/>
  <c r="AX822" i="1"/>
  <c r="AT822" i="1"/>
  <c r="BB821" i="1"/>
  <c r="AX821" i="1"/>
  <c r="AT821" i="1"/>
  <c r="CC820" i="1"/>
  <c r="BY820" i="1"/>
  <c r="BU820" i="1"/>
  <c r="BE820" i="1"/>
  <c r="BA820" i="1"/>
  <c r="AW820" i="1"/>
  <c r="AS820" i="1"/>
  <c r="BE822" i="1"/>
  <c r="BA822" i="1"/>
  <c r="AW822" i="1"/>
  <c r="AS822" i="1"/>
  <c r="BE821" i="1"/>
  <c r="BA821" i="1"/>
  <c r="AW821" i="1"/>
  <c r="AS821" i="1"/>
  <c r="CB820" i="1"/>
  <c r="O822" i="1"/>
  <c r="P822" i="1" s="1"/>
  <c r="O821" i="1"/>
  <c r="AZ820" i="1"/>
  <c r="BS820" i="1"/>
  <c r="CA820" i="1"/>
  <c r="AZ821" i="1"/>
  <c r="BD822" i="1"/>
  <c r="AJ826" i="1"/>
  <c r="P826" i="1"/>
  <c r="BJ826" i="1"/>
  <c r="F832" i="1"/>
  <c r="AJ832" i="1"/>
  <c r="P832" i="1"/>
  <c r="BC834" i="1"/>
  <c r="O738" i="1"/>
  <c r="P738" i="1" s="1"/>
  <c r="BE750" i="1"/>
  <c r="BA750" i="1"/>
  <c r="AW750" i="1"/>
  <c r="AS750" i="1"/>
  <c r="BD749" i="1"/>
  <c r="AZ749" i="1"/>
  <c r="AV749" i="1"/>
  <c r="CD748" i="1"/>
  <c r="BZ748" i="1"/>
  <c r="BV748" i="1"/>
  <c r="BB748" i="1"/>
  <c r="AX748" i="1"/>
  <c r="AT748" i="1"/>
  <c r="AU748" i="1"/>
  <c r="AZ748" i="1"/>
  <c r="BE748" i="1"/>
  <c r="CA748" i="1"/>
  <c r="AS749" i="1"/>
  <c r="AX749" i="1"/>
  <c r="BC749" i="1"/>
  <c r="AV750" i="1"/>
  <c r="BB750" i="1"/>
  <c r="P760" i="1"/>
  <c r="AX760" i="1"/>
  <c r="BC760" i="1"/>
  <c r="BV760" i="1"/>
  <c r="CA760" i="1"/>
  <c r="AV761" i="1"/>
  <c r="BA761" i="1"/>
  <c r="AS762" i="1"/>
  <c r="AY762" i="1"/>
  <c r="BD762" i="1"/>
  <c r="BD768" i="1"/>
  <c r="AZ768" i="1"/>
  <c r="AV768" i="1"/>
  <c r="BD767" i="1"/>
  <c r="AZ767" i="1"/>
  <c r="AV767" i="1"/>
  <c r="DK766" i="1"/>
  <c r="CE766" i="1"/>
  <c r="CA766" i="1"/>
  <c r="BS766" i="1"/>
  <c r="BC766" i="1"/>
  <c r="AY766" i="1"/>
  <c r="AU766" i="1"/>
  <c r="S766" i="1"/>
  <c r="T766" i="1" s="1"/>
  <c r="AV766" i="1"/>
  <c r="BA766" i="1"/>
  <c r="BX766" i="1"/>
  <c r="CC766" i="1"/>
  <c r="AU767" i="1"/>
  <c r="BA767" i="1"/>
  <c r="AU768" i="1"/>
  <c r="BA768" i="1"/>
  <c r="BD771" i="1"/>
  <c r="AZ771" i="1"/>
  <c r="AV771" i="1"/>
  <c r="BD770" i="1"/>
  <c r="AZ770" i="1"/>
  <c r="AV770" i="1"/>
  <c r="CE769" i="1"/>
  <c r="CA769" i="1"/>
  <c r="BS769" i="1"/>
  <c r="BC769" i="1"/>
  <c r="AY769" i="1"/>
  <c r="AU769" i="1"/>
  <c r="S769" i="1"/>
  <c r="T769" i="1" s="1"/>
  <c r="AV769" i="1"/>
  <c r="BA769" i="1"/>
  <c r="BX769" i="1"/>
  <c r="CC769" i="1"/>
  <c r="AU770" i="1"/>
  <c r="BA770" i="1"/>
  <c r="AU771" i="1"/>
  <c r="BA771" i="1"/>
  <c r="BD774" i="1"/>
  <c r="AZ774" i="1"/>
  <c r="AV774" i="1"/>
  <c r="BD773" i="1"/>
  <c r="AZ773" i="1"/>
  <c r="AV773" i="1"/>
  <c r="CE772" i="1"/>
  <c r="CA772" i="1"/>
  <c r="BW772" i="1"/>
  <c r="BC772" i="1"/>
  <c r="AY772" i="1"/>
  <c r="AU772" i="1"/>
  <c r="S772" i="1"/>
  <c r="T772" i="1" s="1"/>
  <c r="AV772" i="1"/>
  <c r="BA772" i="1"/>
  <c r="BX772" i="1"/>
  <c r="CC772" i="1"/>
  <c r="AU773" i="1"/>
  <c r="BA773" i="1"/>
  <c r="AU774" i="1"/>
  <c r="BA774" i="1"/>
  <c r="BD777" i="1"/>
  <c r="AZ777" i="1"/>
  <c r="AV777" i="1"/>
  <c r="BD776" i="1"/>
  <c r="AZ776" i="1"/>
  <c r="AV776" i="1"/>
  <c r="CE775" i="1"/>
  <c r="CA775" i="1"/>
  <c r="BW775" i="1"/>
  <c r="BC775" i="1"/>
  <c r="AY775" i="1"/>
  <c r="AU775" i="1"/>
  <c r="S775" i="1"/>
  <c r="T775" i="1" s="1"/>
  <c r="AV775" i="1"/>
  <c r="BA775" i="1"/>
  <c r="BX775" i="1"/>
  <c r="CC775" i="1"/>
  <c r="AU776" i="1"/>
  <c r="BA776" i="1"/>
  <c r="AU777" i="1"/>
  <c r="BA777" i="1"/>
  <c r="BE780" i="1"/>
  <c r="BA780" i="1"/>
  <c r="AW780" i="1"/>
  <c r="AS780" i="1"/>
  <c r="BE779" i="1"/>
  <c r="BA779" i="1"/>
  <c r="AW779" i="1"/>
  <c r="AS779" i="1"/>
  <c r="CB778" i="1"/>
  <c r="BX778" i="1"/>
  <c r="BD778" i="1"/>
  <c r="AZ778" i="1"/>
  <c r="AV778" i="1"/>
  <c r="AS778" i="1"/>
  <c r="AX778" i="1"/>
  <c r="BC778" i="1"/>
  <c r="BU778" i="1"/>
  <c r="BZ778" i="1"/>
  <c r="CE778" i="1"/>
  <c r="AV779" i="1"/>
  <c r="BB779" i="1"/>
  <c r="AT780" i="1"/>
  <c r="AY780" i="1"/>
  <c r="BD780" i="1"/>
  <c r="BE783" i="1"/>
  <c r="BA783" i="1"/>
  <c r="AW783" i="1"/>
  <c r="AS783" i="1"/>
  <c r="BE782" i="1"/>
  <c r="BA782" i="1"/>
  <c r="AW782" i="1"/>
  <c r="AS782" i="1"/>
  <c r="CB781" i="1"/>
  <c r="BX781" i="1"/>
  <c r="BT781" i="1"/>
  <c r="BD781" i="1"/>
  <c r="AZ781" i="1"/>
  <c r="AV781" i="1"/>
  <c r="AF781" i="1"/>
  <c r="P781" i="1"/>
  <c r="AW781" i="1"/>
  <c r="BB781" i="1"/>
  <c r="BS781" i="1"/>
  <c r="BY781" i="1"/>
  <c r="CD781" i="1"/>
  <c r="AT782" i="1"/>
  <c r="AY782" i="1"/>
  <c r="BD782" i="1"/>
  <c r="AV783" i="1"/>
  <c r="BB783" i="1"/>
  <c r="O794" i="1"/>
  <c r="AJ796" i="1"/>
  <c r="P796" i="1"/>
  <c r="O798" i="1"/>
  <c r="O797" i="1"/>
  <c r="P799" i="1"/>
  <c r="O801" i="1"/>
  <c r="P801" i="1" s="1"/>
  <c r="O800" i="1"/>
  <c r="AQ799" i="1"/>
  <c r="P805" i="1"/>
  <c r="AQ805" i="1"/>
  <c r="O807" i="1"/>
  <c r="P807" i="1" s="1"/>
  <c r="AU808" i="1"/>
  <c r="BC808" i="1"/>
  <c r="BZ808" i="1"/>
  <c r="AU809" i="1"/>
  <c r="BC809" i="1"/>
  <c r="AU810" i="1"/>
  <c r="BC810" i="1"/>
  <c r="AZ811" i="1"/>
  <c r="BY811" i="1"/>
  <c r="AX812" i="1"/>
  <c r="AS813" i="1"/>
  <c r="BA813" i="1"/>
  <c r="P814" i="1"/>
  <c r="AM814" i="1"/>
  <c r="O816" i="1"/>
  <c r="P816" i="1" s="1"/>
  <c r="AX817" i="1"/>
  <c r="AU818" i="1"/>
  <c r="BC818" i="1"/>
  <c r="AU819" i="1"/>
  <c r="BC819" i="1"/>
  <c r="AU820" i="1"/>
  <c r="BC820" i="1"/>
  <c r="BT820" i="1"/>
  <c r="CE820" i="1"/>
  <c r="BD821" i="1"/>
  <c r="O831" i="1"/>
  <c r="P831" i="1" s="1"/>
  <c r="O834" i="1"/>
  <c r="BJ832" i="1"/>
  <c r="AU833" i="1"/>
  <c r="P841" i="1"/>
  <c r="AF841" i="1" s="1"/>
  <c r="BF841" i="1"/>
  <c r="AF847" i="1"/>
  <c r="P847" i="1"/>
  <c r="BF847" i="1"/>
  <c r="D712" i="1"/>
  <c r="BC726" i="1"/>
  <c r="AY726" i="1"/>
  <c r="AU726" i="1"/>
  <c r="BB725" i="1"/>
  <c r="AX725" i="1"/>
  <c r="AT725" i="1"/>
  <c r="CB724" i="1"/>
  <c r="BX724" i="1"/>
  <c r="BT724" i="1"/>
  <c r="BD724" i="1"/>
  <c r="AZ724" i="1"/>
  <c r="AV724" i="1"/>
  <c r="AW724" i="1"/>
  <c r="BB724" i="1"/>
  <c r="BS724" i="1"/>
  <c r="BY724" i="1"/>
  <c r="CD724" i="1"/>
  <c r="AU725" i="1"/>
  <c r="AZ725" i="1"/>
  <c r="BE725" i="1"/>
  <c r="AS726" i="1"/>
  <c r="AX726" i="1"/>
  <c r="BD726" i="1"/>
  <c r="AV730" i="1"/>
  <c r="BA730" i="1"/>
  <c r="BX730" i="1"/>
  <c r="CC730" i="1"/>
  <c r="AV731" i="1"/>
  <c r="BB731" i="1"/>
  <c r="AU732" i="1"/>
  <c r="AZ732" i="1"/>
  <c r="BC735" i="1"/>
  <c r="AY735" i="1"/>
  <c r="AU735" i="1"/>
  <c r="BC734" i="1"/>
  <c r="AY734" i="1"/>
  <c r="AU734" i="1"/>
  <c r="BZ733" i="1"/>
  <c r="BV733" i="1"/>
  <c r="BB733" i="1"/>
  <c r="AX733" i="1"/>
  <c r="AT733" i="1"/>
  <c r="O733" i="1"/>
  <c r="AU733" i="1"/>
  <c r="AZ733" i="1"/>
  <c r="BE733" i="1"/>
  <c r="BW733" i="1"/>
  <c r="CB733" i="1"/>
  <c r="AT734" i="1"/>
  <c r="AZ734" i="1"/>
  <c r="BE734" i="1"/>
  <c r="AV735" i="1"/>
  <c r="BA735" i="1"/>
  <c r="P736" i="1"/>
  <c r="O737" i="1"/>
  <c r="AV742" i="1"/>
  <c r="BB742" i="1"/>
  <c r="BG742" i="1"/>
  <c r="BS742" i="1"/>
  <c r="BX742" i="1"/>
  <c r="AU743" i="1"/>
  <c r="BA743" i="1"/>
  <c r="AX744" i="1"/>
  <c r="O747" i="1"/>
  <c r="P747" i="1" s="1"/>
  <c r="O746" i="1"/>
  <c r="AV745" i="1"/>
  <c r="BB745" i="1"/>
  <c r="BT745" i="1"/>
  <c r="BZ745" i="1"/>
  <c r="CE745" i="1"/>
  <c r="AU746" i="1"/>
  <c r="AZ746" i="1"/>
  <c r="BE746" i="1"/>
  <c r="AV747" i="1"/>
  <c r="P748" i="1"/>
  <c r="AV748" i="1"/>
  <c r="BA748" i="1"/>
  <c r="BW748" i="1"/>
  <c r="CB748" i="1"/>
  <c r="AT749" i="1"/>
  <c r="AY749" i="1"/>
  <c r="BE749" i="1"/>
  <c r="AX750" i="1"/>
  <c r="BC750" i="1"/>
  <c r="O753" i="1"/>
  <c r="P753" i="1" s="1"/>
  <c r="O752" i="1"/>
  <c r="AV751" i="1"/>
  <c r="BB751" i="1"/>
  <c r="BT751" i="1"/>
  <c r="BZ751" i="1"/>
  <c r="CE751" i="1"/>
  <c r="AU752" i="1"/>
  <c r="AZ752" i="1"/>
  <c r="BE752" i="1"/>
  <c r="AW753" i="1"/>
  <c r="BB759" i="1"/>
  <c r="AX759" i="1"/>
  <c r="AT759" i="1"/>
  <c r="BB758" i="1"/>
  <c r="AX758" i="1"/>
  <c r="AT758" i="1"/>
  <c r="CC757" i="1"/>
  <c r="BY757" i="1"/>
  <c r="BU757" i="1"/>
  <c r="BE757" i="1"/>
  <c r="BA757" i="1"/>
  <c r="AW757" i="1"/>
  <c r="AS757" i="1"/>
  <c r="O759" i="1"/>
  <c r="P759" i="1" s="1"/>
  <c r="O758" i="1"/>
  <c r="AV757" i="1"/>
  <c r="BB757" i="1"/>
  <c r="BT757" i="1"/>
  <c r="BZ757" i="1"/>
  <c r="CE757" i="1"/>
  <c r="AU758" i="1"/>
  <c r="AZ758" i="1"/>
  <c r="BE758" i="1"/>
  <c r="AW759" i="1"/>
  <c r="BC759" i="1"/>
  <c r="AT760" i="1"/>
  <c r="AY760" i="1"/>
  <c r="BD760" i="1"/>
  <c r="CB760" i="1"/>
  <c r="AW761" i="1"/>
  <c r="BC761" i="1"/>
  <c r="AU762" i="1"/>
  <c r="AZ762" i="1"/>
  <c r="BE762" i="1"/>
  <c r="BD765" i="1"/>
  <c r="AZ765" i="1"/>
  <c r="AV765" i="1"/>
  <c r="BD764" i="1"/>
  <c r="AZ764" i="1"/>
  <c r="AV764" i="1"/>
  <c r="DK763" i="1"/>
  <c r="CE763" i="1"/>
  <c r="CA763" i="1"/>
  <c r="BW763" i="1"/>
  <c r="BS763" i="1"/>
  <c r="BC763" i="1"/>
  <c r="AY763" i="1"/>
  <c r="AU763" i="1"/>
  <c r="S763" i="1"/>
  <c r="T763" i="1" s="1"/>
  <c r="AW763" i="1"/>
  <c r="BB763" i="1"/>
  <c r="BT763" i="1"/>
  <c r="BY763" i="1"/>
  <c r="CD763" i="1"/>
  <c r="AW764" i="1"/>
  <c r="BB764" i="1"/>
  <c r="AW765" i="1"/>
  <c r="BB765" i="1"/>
  <c r="AW766" i="1"/>
  <c r="BB766" i="1"/>
  <c r="BT766" i="1"/>
  <c r="BY766" i="1"/>
  <c r="CD766" i="1"/>
  <c r="AW767" i="1"/>
  <c r="BB767" i="1"/>
  <c r="AW768" i="1"/>
  <c r="BB768" i="1"/>
  <c r="AW769" i="1"/>
  <c r="BB769" i="1"/>
  <c r="BT769" i="1"/>
  <c r="BY769" i="1"/>
  <c r="CD769" i="1"/>
  <c r="AW770" i="1"/>
  <c r="BB770" i="1"/>
  <c r="AW771" i="1"/>
  <c r="BB771" i="1"/>
  <c r="AW772" i="1"/>
  <c r="BB772" i="1"/>
  <c r="BT772" i="1"/>
  <c r="BY772" i="1"/>
  <c r="CD772" i="1"/>
  <c r="AW773" i="1"/>
  <c r="BB773" i="1"/>
  <c r="AW774" i="1"/>
  <c r="BB774" i="1"/>
  <c r="AW775" i="1"/>
  <c r="BB775" i="1"/>
  <c r="BT775" i="1"/>
  <c r="BY775" i="1"/>
  <c r="CD775" i="1"/>
  <c r="AW776" i="1"/>
  <c r="BB776" i="1"/>
  <c r="AW777" i="1"/>
  <c r="BB777" i="1"/>
  <c r="AT778" i="1"/>
  <c r="AY778" i="1"/>
  <c r="BE778" i="1"/>
  <c r="BV778" i="1"/>
  <c r="CA778" i="1"/>
  <c r="O779" i="1"/>
  <c r="AX779" i="1"/>
  <c r="BC779" i="1"/>
  <c r="AU780" i="1"/>
  <c r="AZ780" i="1"/>
  <c r="AS781" i="1"/>
  <c r="AX781" i="1"/>
  <c r="BC781" i="1"/>
  <c r="BU781" i="1"/>
  <c r="BZ781" i="1"/>
  <c r="CE781" i="1"/>
  <c r="AU782" i="1"/>
  <c r="AZ782" i="1"/>
  <c r="AX783" i="1"/>
  <c r="BC783" i="1"/>
  <c r="O786" i="1"/>
  <c r="P786" i="1" s="1"/>
  <c r="O785" i="1"/>
  <c r="AV784" i="1"/>
  <c r="BB784" i="1"/>
  <c r="BS784" i="1"/>
  <c r="BX784" i="1"/>
  <c r="CD784" i="1"/>
  <c r="AS785" i="1"/>
  <c r="AY785" i="1"/>
  <c r="BD785" i="1"/>
  <c r="AV786" i="1"/>
  <c r="AV787" i="1"/>
  <c r="BD787" i="1"/>
  <c r="BX787" i="1"/>
  <c r="AV788" i="1"/>
  <c r="BD788" i="1"/>
  <c r="AS789" i="1"/>
  <c r="P793" i="1"/>
  <c r="AT796" i="1"/>
  <c r="BB796" i="1"/>
  <c r="BV796" i="1"/>
  <c r="CD796" i="1"/>
  <c r="AZ797" i="1"/>
  <c r="AW798" i="1"/>
  <c r="BJ803" i="1"/>
  <c r="O806" i="1"/>
  <c r="O810" i="1"/>
  <c r="P810" i="1" s="1"/>
  <c r="O809" i="1"/>
  <c r="AX808" i="1"/>
  <c r="BS808" i="1"/>
  <c r="CA808" i="1"/>
  <c r="AV809" i="1"/>
  <c r="BD809" i="1"/>
  <c r="AV810" i="1"/>
  <c r="BD810" i="1"/>
  <c r="AS811" i="1"/>
  <c r="BA811" i="1"/>
  <c r="BT811" i="1"/>
  <c r="CB811" i="1"/>
  <c r="AS812" i="1"/>
  <c r="BA812" i="1"/>
  <c r="AT813" i="1"/>
  <c r="BB813" i="1"/>
  <c r="O815" i="1"/>
  <c r="O819" i="1"/>
  <c r="P819" i="1" s="1"/>
  <c r="O818" i="1"/>
  <c r="AY817" i="1"/>
  <c r="BS817" i="1"/>
  <c r="CA817" i="1"/>
  <c r="AV818" i="1"/>
  <c r="BD818" i="1"/>
  <c r="AV819" i="1"/>
  <c r="BD819" i="1"/>
  <c r="AV820" i="1"/>
  <c r="BD820" i="1"/>
  <c r="AV822" i="1"/>
  <c r="BG827" i="1"/>
  <c r="P827" i="1"/>
  <c r="AG827" i="1" s="1"/>
  <c r="AT832" i="1"/>
  <c r="BV832" i="1"/>
  <c r="AY833" i="1"/>
  <c r="AF838" i="1"/>
  <c r="P838" i="1"/>
  <c r="BF838" i="1"/>
  <c r="AJ850" i="1"/>
  <c r="S850" i="1"/>
  <c r="T850" i="1" s="1"/>
  <c r="BB732" i="1"/>
  <c r="AX732" i="1"/>
  <c r="AT732" i="1"/>
  <c r="BE731" i="1"/>
  <c r="BA731" i="1"/>
  <c r="AW731" i="1"/>
  <c r="AS731" i="1"/>
  <c r="CE730" i="1"/>
  <c r="CA730" i="1"/>
  <c r="BS730" i="1"/>
  <c r="BC730" i="1"/>
  <c r="AY730" i="1"/>
  <c r="AU730" i="1"/>
  <c r="S730" i="1"/>
  <c r="T730" i="1" s="1"/>
  <c r="AW730" i="1"/>
  <c r="BB730" i="1"/>
  <c r="BT730" i="1"/>
  <c r="BY730" i="1"/>
  <c r="CD730" i="1"/>
  <c r="AX731" i="1"/>
  <c r="BC731" i="1"/>
  <c r="AV732" i="1"/>
  <c r="BA732" i="1"/>
  <c r="BE744" i="1"/>
  <c r="BA744" i="1"/>
  <c r="AW744" i="1"/>
  <c r="AS744" i="1"/>
  <c r="BD743" i="1"/>
  <c r="AZ743" i="1"/>
  <c r="AV743" i="1"/>
  <c r="CC742" i="1"/>
  <c r="BY742" i="1"/>
  <c r="BU742" i="1"/>
  <c r="BE742" i="1"/>
  <c r="BA742" i="1"/>
  <c r="AW742" i="1"/>
  <c r="AS742" i="1"/>
  <c r="AX742" i="1"/>
  <c r="BC742" i="1"/>
  <c r="BT742" i="1"/>
  <c r="BZ742" i="1"/>
  <c r="CE742" i="1"/>
  <c r="AW743" i="1"/>
  <c r="BB743" i="1"/>
  <c r="AT744" i="1"/>
  <c r="AY744" i="1"/>
  <c r="BD744" i="1"/>
  <c r="BB747" i="1"/>
  <c r="AX747" i="1"/>
  <c r="AT747" i="1"/>
  <c r="BB746" i="1"/>
  <c r="AX746" i="1"/>
  <c r="AT746" i="1"/>
  <c r="CC745" i="1"/>
  <c r="BY745" i="1"/>
  <c r="BU745" i="1"/>
  <c r="BE745" i="1"/>
  <c r="BA745" i="1"/>
  <c r="AW745" i="1"/>
  <c r="AS745" i="1"/>
  <c r="AX745" i="1"/>
  <c r="BC745" i="1"/>
  <c r="BV745" i="1"/>
  <c r="CA745" i="1"/>
  <c r="AV746" i="1"/>
  <c r="BA746" i="1"/>
  <c r="AW747" i="1"/>
  <c r="BC747" i="1"/>
  <c r="AW748" i="1"/>
  <c r="BC748" i="1"/>
  <c r="BS748" i="1"/>
  <c r="BX748" i="1"/>
  <c r="CC748" i="1"/>
  <c r="AU749" i="1"/>
  <c r="BA749" i="1"/>
  <c r="AT750" i="1"/>
  <c r="AY750" i="1"/>
  <c r="BD750" i="1"/>
  <c r="BB753" i="1"/>
  <c r="AX753" i="1"/>
  <c r="AT753" i="1"/>
  <c r="BB752" i="1"/>
  <c r="AX752" i="1"/>
  <c r="AT752" i="1"/>
  <c r="CC751" i="1"/>
  <c r="BY751" i="1"/>
  <c r="BU751" i="1"/>
  <c r="BE751" i="1"/>
  <c r="BA751" i="1"/>
  <c r="AW751" i="1"/>
  <c r="AS751" i="1"/>
  <c r="AX751" i="1"/>
  <c r="BC751" i="1"/>
  <c r="BV751" i="1"/>
  <c r="CA751" i="1"/>
  <c r="AV752" i="1"/>
  <c r="BA752" i="1"/>
  <c r="AS753" i="1"/>
  <c r="AY753" i="1"/>
  <c r="BD753" i="1"/>
  <c r="AU760" i="1"/>
  <c r="AZ760" i="1"/>
  <c r="BS760" i="1"/>
  <c r="BX760" i="1"/>
  <c r="CD760" i="1"/>
  <c r="AS761" i="1"/>
  <c r="AY761" i="1"/>
  <c r="BD761" i="1"/>
  <c r="AV762" i="1"/>
  <c r="BA762" i="1"/>
  <c r="AS763" i="1"/>
  <c r="AX763" i="1"/>
  <c r="BD763" i="1"/>
  <c r="BU763" i="1"/>
  <c r="BZ763" i="1"/>
  <c r="AS764" i="1"/>
  <c r="AX764" i="1"/>
  <c r="BC764" i="1"/>
  <c r="AS765" i="1"/>
  <c r="AX765" i="1"/>
  <c r="BC765" i="1"/>
  <c r="F766" i="1"/>
  <c r="AS766" i="1"/>
  <c r="AX766" i="1"/>
  <c r="BD766" i="1"/>
  <c r="BU766" i="1"/>
  <c r="BZ766" i="1"/>
  <c r="AS767" i="1"/>
  <c r="AX767" i="1"/>
  <c r="BC767" i="1"/>
  <c r="AS768" i="1"/>
  <c r="AX768" i="1"/>
  <c r="BC768" i="1"/>
  <c r="F769" i="1"/>
  <c r="AS769" i="1"/>
  <c r="AX769" i="1"/>
  <c r="BD769" i="1"/>
  <c r="BU769" i="1"/>
  <c r="BZ769" i="1"/>
  <c r="AS770" i="1"/>
  <c r="AX770" i="1"/>
  <c r="BC770" i="1"/>
  <c r="AS771" i="1"/>
  <c r="AX771" i="1"/>
  <c r="BC771" i="1"/>
  <c r="F772" i="1"/>
  <c r="AS772" i="1"/>
  <c r="AX772" i="1"/>
  <c r="BD772" i="1"/>
  <c r="BU772" i="1"/>
  <c r="BZ772" i="1"/>
  <c r="AS773" i="1"/>
  <c r="AX773" i="1"/>
  <c r="BC773" i="1"/>
  <c r="AS774" i="1"/>
  <c r="AX774" i="1"/>
  <c r="BC774" i="1"/>
  <c r="F775" i="1"/>
  <c r="AS775" i="1"/>
  <c r="AX775" i="1"/>
  <c r="BD775" i="1"/>
  <c r="BU775" i="1"/>
  <c r="BZ775" i="1"/>
  <c r="AS776" i="1"/>
  <c r="AX776" i="1"/>
  <c r="BC776" i="1"/>
  <c r="AS777" i="1"/>
  <c r="AX777" i="1"/>
  <c r="BC777" i="1"/>
  <c r="AU778" i="1"/>
  <c r="BA778" i="1"/>
  <c r="BF778" i="1"/>
  <c r="BW778" i="1"/>
  <c r="CC778" i="1"/>
  <c r="AT779" i="1"/>
  <c r="AY779" i="1"/>
  <c r="BD779" i="1"/>
  <c r="AV780" i="1"/>
  <c r="BB780" i="1"/>
  <c r="F781" i="1"/>
  <c r="AT781" i="1"/>
  <c r="AY781" i="1"/>
  <c r="BE781" i="1"/>
  <c r="BV781" i="1"/>
  <c r="CA781" i="1"/>
  <c r="AV782" i="1"/>
  <c r="BB782" i="1"/>
  <c r="AT783" i="1"/>
  <c r="AY783" i="1"/>
  <c r="BD783" i="1"/>
  <c r="BB786" i="1"/>
  <c r="AX786" i="1"/>
  <c r="AT786" i="1"/>
  <c r="BB785" i="1"/>
  <c r="AX785" i="1"/>
  <c r="AT785" i="1"/>
  <c r="CC784" i="1"/>
  <c r="BY784" i="1"/>
  <c r="BU784" i="1"/>
  <c r="BE784" i="1"/>
  <c r="BA784" i="1"/>
  <c r="AW784" i="1"/>
  <c r="AS784" i="1"/>
  <c r="AX784" i="1"/>
  <c r="BC784" i="1"/>
  <c r="BT784" i="1"/>
  <c r="BZ784" i="1"/>
  <c r="CE784" i="1"/>
  <c r="AU785" i="1"/>
  <c r="AZ785" i="1"/>
  <c r="BE785" i="1"/>
  <c r="AW786" i="1"/>
  <c r="BC786" i="1"/>
  <c r="BC789" i="1"/>
  <c r="AY789" i="1"/>
  <c r="AU789" i="1"/>
  <c r="BC788" i="1"/>
  <c r="AY788" i="1"/>
  <c r="AU788" i="1"/>
  <c r="CD787" i="1"/>
  <c r="BZ787" i="1"/>
  <c r="BV787" i="1"/>
  <c r="BB787" i="1"/>
  <c r="AX787" i="1"/>
  <c r="AT787" i="1"/>
  <c r="BB789" i="1"/>
  <c r="AX789" i="1"/>
  <c r="AT789" i="1"/>
  <c r="BB788" i="1"/>
  <c r="AX788" i="1"/>
  <c r="AT788" i="1"/>
  <c r="CC787" i="1"/>
  <c r="BY787" i="1"/>
  <c r="BU787" i="1"/>
  <c r="BE787" i="1"/>
  <c r="BA787" i="1"/>
  <c r="AW787" i="1"/>
  <c r="AS787" i="1"/>
  <c r="O789" i="1"/>
  <c r="P789" i="1" s="1"/>
  <c r="O788" i="1"/>
  <c r="AY787" i="1"/>
  <c r="BS787" i="1"/>
  <c r="CA787" i="1"/>
  <c r="AW788" i="1"/>
  <c r="BE788" i="1"/>
  <c r="AV789" i="1"/>
  <c r="BD789" i="1"/>
  <c r="BQ791" i="1"/>
  <c r="BC798" i="1"/>
  <c r="AY798" i="1"/>
  <c r="AU798" i="1"/>
  <c r="BC797" i="1"/>
  <c r="AY797" i="1"/>
  <c r="AU797" i="1"/>
  <c r="CC796" i="1"/>
  <c r="BY796" i="1"/>
  <c r="BU796" i="1"/>
  <c r="BE796" i="1"/>
  <c r="BA796" i="1"/>
  <c r="AW796" i="1"/>
  <c r="AS796" i="1"/>
  <c r="BB798" i="1"/>
  <c r="AX798" i="1"/>
  <c r="AT798" i="1"/>
  <c r="BB797" i="1"/>
  <c r="AX797" i="1"/>
  <c r="AT797" i="1"/>
  <c r="CB796" i="1"/>
  <c r="BX796" i="1"/>
  <c r="BD796" i="1"/>
  <c r="AZ796" i="1"/>
  <c r="AV796" i="1"/>
  <c r="AU796" i="1"/>
  <c r="BC796" i="1"/>
  <c r="BW796" i="1"/>
  <c r="CE796" i="1"/>
  <c r="AS797" i="1"/>
  <c r="BA797" i="1"/>
  <c r="AZ798" i="1"/>
  <c r="AY808" i="1"/>
  <c r="BV808" i="1"/>
  <c r="AY809" i="1"/>
  <c r="AY810" i="1"/>
  <c r="AV811" i="1"/>
  <c r="BD811" i="1"/>
  <c r="BU811" i="1"/>
  <c r="CC811" i="1"/>
  <c r="AT812" i="1"/>
  <c r="BB812" i="1"/>
  <c r="AW813" i="1"/>
  <c r="BE813" i="1"/>
  <c r="AT817" i="1"/>
  <c r="BB817" i="1"/>
  <c r="BV817" i="1"/>
  <c r="CD817" i="1"/>
  <c r="AY818" i="1"/>
  <c r="AY819" i="1"/>
  <c r="O820" i="1"/>
  <c r="AY820" i="1"/>
  <c r="BX820" i="1"/>
  <c r="AV821" i="1"/>
  <c r="AZ822" i="1"/>
  <c r="BM829" i="1"/>
  <c r="P829" i="1"/>
  <c r="AM829" i="1"/>
  <c r="BB834" i="1"/>
  <c r="AX834" i="1"/>
  <c r="AT834" i="1"/>
  <c r="BB833" i="1"/>
  <c r="AX833" i="1"/>
  <c r="AT833" i="1"/>
  <c r="CC832" i="1"/>
  <c r="BY832" i="1"/>
  <c r="BU832" i="1"/>
  <c r="BE832" i="1"/>
  <c r="BA832" i="1"/>
  <c r="AW832" i="1"/>
  <c r="AS832" i="1"/>
  <c r="BE834" i="1"/>
  <c r="BA834" i="1"/>
  <c r="AW834" i="1"/>
  <c r="AS834" i="1"/>
  <c r="BE833" i="1"/>
  <c r="BA833" i="1"/>
  <c r="AW833" i="1"/>
  <c r="AS833" i="1"/>
  <c r="CB832" i="1"/>
  <c r="BX832" i="1"/>
  <c r="BT832" i="1"/>
  <c r="BD832" i="1"/>
  <c r="AZ832" i="1"/>
  <c r="AV832" i="1"/>
  <c r="BD834" i="1"/>
  <c r="AZ834" i="1"/>
  <c r="AV834" i="1"/>
  <c r="BD833" i="1"/>
  <c r="AZ833" i="1"/>
  <c r="AV833" i="1"/>
  <c r="CE832" i="1"/>
  <c r="CA832" i="1"/>
  <c r="BS832" i="1"/>
  <c r="BC832" i="1"/>
  <c r="AY832" i="1"/>
  <c r="AU832" i="1"/>
  <c r="AX832" i="1"/>
  <c r="BZ832" i="1"/>
  <c r="BC833" i="1"/>
  <c r="AY834" i="1"/>
  <c r="AJ835" i="1"/>
  <c r="P835" i="1"/>
  <c r="BJ835" i="1"/>
  <c r="P858" i="1"/>
  <c r="AJ858" i="1" s="1"/>
  <c r="BJ858" i="1"/>
  <c r="AT835" i="1"/>
  <c r="AX835" i="1"/>
  <c r="BB835" i="1"/>
  <c r="BV835" i="1"/>
  <c r="BZ835" i="1"/>
  <c r="CD835" i="1"/>
  <c r="AU836" i="1"/>
  <c r="AY836" i="1"/>
  <c r="BC836" i="1"/>
  <c r="AU837" i="1"/>
  <c r="AY837" i="1"/>
  <c r="BC837" i="1"/>
  <c r="AT838" i="1"/>
  <c r="AX838" i="1"/>
  <c r="BB838" i="1"/>
  <c r="BV838" i="1"/>
  <c r="BZ838" i="1"/>
  <c r="CD838" i="1"/>
  <c r="AU839" i="1"/>
  <c r="AY839" i="1"/>
  <c r="BC839" i="1"/>
  <c r="AU840" i="1"/>
  <c r="AY840" i="1"/>
  <c r="BC840" i="1"/>
  <c r="AT841" i="1"/>
  <c r="AX841" i="1"/>
  <c r="BB841" i="1"/>
  <c r="BV841" i="1"/>
  <c r="BZ841" i="1"/>
  <c r="CD841" i="1"/>
  <c r="AU842" i="1"/>
  <c r="AY842" i="1"/>
  <c r="BC842" i="1"/>
  <c r="AU843" i="1"/>
  <c r="AY843" i="1"/>
  <c r="BC843" i="1"/>
  <c r="AQ844" i="1"/>
  <c r="AU844" i="1"/>
  <c r="AY844" i="1"/>
  <c r="BC844" i="1"/>
  <c r="BS844" i="1"/>
  <c r="BW844" i="1"/>
  <c r="CA844" i="1"/>
  <c r="CE844" i="1"/>
  <c r="AS845" i="1"/>
  <c r="AW845" i="1"/>
  <c r="BA845" i="1"/>
  <c r="BE845" i="1"/>
  <c r="AS846" i="1"/>
  <c r="AW846" i="1"/>
  <c r="BA846" i="1"/>
  <c r="BE846" i="1"/>
  <c r="BQ854" i="1"/>
  <c r="D862" i="1"/>
  <c r="BC876" i="1"/>
  <c r="AY876" i="1"/>
  <c r="AU876" i="1"/>
  <c r="BC875" i="1"/>
  <c r="AY875" i="1"/>
  <c r="AU875" i="1"/>
  <c r="CD874" i="1"/>
  <c r="BZ874" i="1"/>
  <c r="BV874" i="1"/>
  <c r="BB874" i="1"/>
  <c r="AX874" i="1"/>
  <c r="AT874" i="1"/>
  <c r="BB876" i="1"/>
  <c r="AX876" i="1"/>
  <c r="AT876" i="1"/>
  <c r="BB875" i="1"/>
  <c r="AX875" i="1"/>
  <c r="AT875" i="1"/>
  <c r="BA876" i="1"/>
  <c r="AS876" i="1"/>
  <c r="BD875" i="1"/>
  <c r="AV875" i="1"/>
  <c r="CA874" i="1"/>
  <c r="BU874" i="1"/>
  <c r="BD874" i="1"/>
  <c r="AY874" i="1"/>
  <c r="AS874" i="1"/>
  <c r="AZ876" i="1"/>
  <c r="BA875" i="1"/>
  <c r="AS875" i="1"/>
  <c r="CE874" i="1"/>
  <c r="BY874" i="1"/>
  <c r="BT874" i="1"/>
  <c r="BC874" i="1"/>
  <c r="AW874" i="1"/>
  <c r="BE876" i="1"/>
  <c r="AW876" i="1"/>
  <c r="AZ875" i="1"/>
  <c r="CC874" i="1"/>
  <c r="BX874" i="1"/>
  <c r="BS874" i="1"/>
  <c r="BA874" i="1"/>
  <c r="AV874" i="1"/>
  <c r="AZ874" i="1"/>
  <c r="BD876" i="1"/>
  <c r="BQ898" i="1"/>
  <c r="P898" i="1"/>
  <c r="AQ898" i="1" s="1"/>
  <c r="AU829" i="1"/>
  <c r="AY829" i="1"/>
  <c r="BC829" i="1"/>
  <c r="BS829" i="1"/>
  <c r="CA829" i="1"/>
  <c r="CE829" i="1"/>
  <c r="AV830" i="1"/>
  <c r="AZ830" i="1"/>
  <c r="BD830" i="1"/>
  <c r="AV831" i="1"/>
  <c r="AZ831" i="1"/>
  <c r="BD831" i="1"/>
  <c r="AU835" i="1"/>
  <c r="AY835" i="1"/>
  <c r="BC835" i="1"/>
  <c r="BW835" i="1"/>
  <c r="CA835" i="1"/>
  <c r="CE835" i="1"/>
  <c r="AV836" i="1"/>
  <c r="AZ836" i="1"/>
  <c r="BD836" i="1"/>
  <c r="AV837" i="1"/>
  <c r="AZ837" i="1"/>
  <c r="BD837" i="1"/>
  <c r="AU838" i="1"/>
  <c r="AY838" i="1"/>
  <c r="BC838" i="1"/>
  <c r="BS838" i="1"/>
  <c r="CA838" i="1"/>
  <c r="CE838" i="1"/>
  <c r="AV839" i="1"/>
  <c r="AZ839" i="1"/>
  <c r="BD839" i="1"/>
  <c r="AV840" i="1"/>
  <c r="AZ840" i="1"/>
  <c r="BD840" i="1"/>
  <c r="S841" i="1"/>
  <c r="AU841" i="1"/>
  <c r="AY841" i="1"/>
  <c r="BC841" i="1"/>
  <c r="BS841" i="1"/>
  <c r="BW841" i="1"/>
  <c r="CA841" i="1"/>
  <c r="CE841" i="1"/>
  <c r="AV842" i="1"/>
  <c r="AZ842" i="1"/>
  <c r="BD842" i="1"/>
  <c r="AV843" i="1"/>
  <c r="AZ843" i="1"/>
  <c r="BD843" i="1"/>
  <c r="P844" i="1"/>
  <c r="AV844" i="1"/>
  <c r="AZ844" i="1"/>
  <c r="BD844" i="1"/>
  <c r="BT844" i="1"/>
  <c r="BX844" i="1"/>
  <c r="CB844" i="1"/>
  <c r="O845" i="1"/>
  <c r="AT845" i="1"/>
  <c r="AX845" i="1"/>
  <c r="BB845" i="1"/>
  <c r="AT846" i="1"/>
  <c r="AX846" i="1"/>
  <c r="BB846" i="1"/>
  <c r="P848" i="1"/>
  <c r="AJ848" i="1" s="1"/>
  <c r="O849" i="1"/>
  <c r="P849" i="1" s="1"/>
  <c r="BE858" i="1"/>
  <c r="BA858" i="1"/>
  <c r="AW858" i="1"/>
  <c r="AS858" i="1"/>
  <c r="BE857" i="1"/>
  <c r="BA857" i="1"/>
  <c r="AW857" i="1"/>
  <c r="AS857" i="1"/>
  <c r="CB856" i="1"/>
  <c r="BX856" i="1"/>
  <c r="BT856" i="1"/>
  <c r="BD856" i="1"/>
  <c r="AZ856" i="1"/>
  <c r="AV856" i="1"/>
  <c r="BC858" i="1"/>
  <c r="AX858" i="1"/>
  <c r="BD857" i="1"/>
  <c r="AY857" i="1"/>
  <c r="AT857" i="1"/>
  <c r="DK856" i="1"/>
  <c r="CD856" i="1"/>
  <c r="BY856" i="1"/>
  <c r="BS856" i="1"/>
  <c r="BB856" i="1"/>
  <c r="AW856" i="1"/>
  <c r="AT856" i="1"/>
  <c r="BA856" i="1"/>
  <c r="BU856" i="1"/>
  <c r="CA856" i="1"/>
  <c r="AX857" i="1"/>
  <c r="AY858" i="1"/>
  <c r="BM859" i="1"/>
  <c r="AM859" i="1"/>
  <c r="BJ863" i="1"/>
  <c r="BE874" i="1"/>
  <c r="AW875" i="1"/>
  <c r="AT790" i="1"/>
  <c r="AX790" i="1"/>
  <c r="BB790" i="1"/>
  <c r="BV790" i="1"/>
  <c r="BZ790" i="1"/>
  <c r="CD790" i="1"/>
  <c r="AU791" i="1"/>
  <c r="AY791" i="1"/>
  <c r="BC791" i="1"/>
  <c r="AU792" i="1"/>
  <c r="AY792" i="1"/>
  <c r="BC792" i="1"/>
  <c r="AT793" i="1"/>
  <c r="AX793" i="1"/>
  <c r="BB793" i="1"/>
  <c r="BV793" i="1"/>
  <c r="BZ793" i="1"/>
  <c r="AV794" i="1"/>
  <c r="AZ794" i="1"/>
  <c r="BD794" i="1"/>
  <c r="AV795" i="1"/>
  <c r="AZ795" i="1"/>
  <c r="AS799" i="1"/>
  <c r="AW799" i="1"/>
  <c r="BA799" i="1"/>
  <c r="BE799" i="1"/>
  <c r="BU799" i="1"/>
  <c r="BY799" i="1"/>
  <c r="CC799" i="1"/>
  <c r="AT800" i="1"/>
  <c r="AX800" i="1"/>
  <c r="BB800" i="1"/>
  <c r="AT801" i="1"/>
  <c r="AX801" i="1"/>
  <c r="BB801" i="1"/>
  <c r="AT802" i="1"/>
  <c r="AX802" i="1"/>
  <c r="BB802" i="1"/>
  <c r="BV802" i="1"/>
  <c r="BZ802" i="1"/>
  <c r="CD802" i="1"/>
  <c r="AU803" i="1"/>
  <c r="AY803" i="1"/>
  <c r="BC803" i="1"/>
  <c r="AU804" i="1"/>
  <c r="AY804" i="1"/>
  <c r="BC804" i="1"/>
  <c r="AU805" i="1"/>
  <c r="AY805" i="1"/>
  <c r="BC805" i="1"/>
  <c r="BS805" i="1"/>
  <c r="CA805" i="1"/>
  <c r="CE805" i="1"/>
  <c r="AV806" i="1"/>
  <c r="AZ806" i="1"/>
  <c r="BD806" i="1"/>
  <c r="AV807" i="1"/>
  <c r="AZ807" i="1"/>
  <c r="AU814" i="1"/>
  <c r="AY814" i="1"/>
  <c r="BC814" i="1"/>
  <c r="BS814" i="1"/>
  <c r="CA814" i="1"/>
  <c r="CE814" i="1"/>
  <c r="DK814" i="1"/>
  <c r="AV815" i="1"/>
  <c r="AZ815" i="1"/>
  <c r="BD815" i="1"/>
  <c r="AV816" i="1"/>
  <c r="AZ816" i="1"/>
  <c r="D817" i="1"/>
  <c r="AT823" i="1"/>
  <c r="AX823" i="1"/>
  <c r="BB823" i="1"/>
  <c r="BV823" i="1"/>
  <c r="BZ823" i="1"/>
  <c r="CD823" i="1"/>
  <c r="AU824" i="1"/>
  <c r="AY824" i="1"/>
  <c r="BC824" i="1"/>
  <c r="AU825" i="1"/>
  <c r="AY825" i="1"/>
  <c r="BC825" i="1"/>
  <c r="AU826" i="1"/>
  <c r="AY826" i="1"/>
  <c r="BC826" i="1"/>
  <c r="BS826" i="1"/>
  <c r="BW826" i="1"/>
  <c r="CA826" i="1"/>
  <c r="CE826" i="1"/>
  <c r="AV827" i="1"/>
  <c r="AZ827" i="1"/>
  <c r="BD827" i="1"/>
  <c r="AV828" i="1"/>
  <c r="AZ828" i="1"/>
  <c r="BD828" i="1"/>
  <c r="AV829" i="1"/>
  <c r="AZ829" i="1"/>
  <c r="BD829" i="1"/>
  <c r="BT829" i="1"/>
  <c r="BX829" i="1"/>
  <c r="CB829" i="1"/>
  <c r="AS830" i="1"/>
  <c r="AW830" i="1"/>
  <c r="BA830" i="1"/>
  <c r="BE830" i="1"/>
  <c r="AS831" i="1"/>
  <c r="AW831" i="1"/>
  <c r="BA831" i="1"/>
  <c r="BE831" i="1"/>
  <c r="AV835" i="1"/>
  <c r="AZ835" i="1"/>
  <c r="BD835" i="1"/>
  <c r="BT835" i="1"/>
  <c r="BX835" i="1"/>
  <c r="CB835" i="1"/>
  <c r="AS836" i="1"/>
  <c r="AW836" i="1"/>
  <c r="BA836" i="1"/>
  <c r="BE836" i="1"/>
  <c r="AS837" i="1"/>
  <c r="AW837" i="1"/>
  <c r="BA837" i="1"/>
  <c r="BE837" i="1"/>
  <c r="AV838" i="1"/>
  <c r="AZ838" i="1"/>
  <c r="BD838" i="1"/>
  <c r="BT838" i="1"/>
  <c r="BX838" i="1"/>
  <c r="CB838" i="1"/>
  <c r="AS839" i="1"/>
  <c r="AW839" i="1"/>
  <c r="BA839" i="1"/>
  <c r="BE839" i="1"/>
  <c r="AS840" i="1"/>
  <c r="AW840" i="1"/>
  <c r="BA840" i="1"/>
  <c r="BE840" i="1"/>
  <c r="AV841" i="1"/>
  <c r="AZ841" i="1"/>
  <c r="BD841" i="1"/>
  <c r="BT841" i="1"/>
  <c r="BX841" i="1"/>
  <c r="CB841" i="1"/>
  <c r="AS842" i="1"/>
  <c r="AW842" i="1"/>
  <c r="BA842" i="1"/>
  <c r="BE842" i="1"/>
  <c r="AS843" i="1"/>
  <c r="AW843" i="1"/>
  <c r="BA843" i="1"/>
  <c r="BE843" i="1"/>
  <c r="AS844" i="1"/>
  <c r="AW844" i="1"/>
  <c r="BA844" i="1"/>
  <c r="BE844" i="1"/>
  <c r="BU844" i="1"/>
  <c r="BY844" i="1"/>
  <c r="CC844" i="1"/>
  <c r="AU845" i="1"/>
  <c r="AY845" i="1"/>
  <c r="BC845" i="1"/>
  <c r="AU846" i="1"/>
  <c r="AY846" i="1"/>
  <c r="BC846" i="1"/>
  <c r="BE849" i="1"/>
  <c r="BA849" i="1"/>
  <c r="AW849" i="1"/>
  <c r="AS849" i="1"/>
  <c r="BE848" i="1"/>
  <c r="BA848" i="1"/>
  <c r="AW848" i="1"/>
  <c r="AS848" i="1"/>
  <c r="AU847" i="1"/>
  <c r="AY847" i="1"/>
  <c r="BC847" i="1"/>
  <c r="BS847" i="1"/>
  <c r="CA847" i="1"/>
  <c r="CE847" i="1"/>
  <c r="AT848" i="1"/>
  <c r="AY848" i="1"/>
  <c r="BD848" i="1"/>
  <c r="AV849" i="1"/>
  <c r="BB849" i="1"/>
  <c r="AU850" i="1"/>
  <c r="BC850" i="1"/>
  <c r="BV850" i="1"/>
  <c r="CB850" i="1"/>
  <c r="AZ851" i="1"/>
  <c r="AS852" i="1"/>
  <c r="AQ856" i="1"/>
  <c r="AU856" i="1"/>
  <c r="BC856" i="1"/>
  <c r="BV856" i="1"/>
  <c r="CC856" i="1"/>
  <c r="O857" i="1"/>
  <c r="AZ857" i="1"/>
  <c r="AT858" i="1"/>
  <c r="AZ858" i="1"/>
  <c r="P859" i="1"/>
  <c r="DJ859" i="1"/>
  <c r="DJ860" i="1"/>
  <c r="DJ861" i="1"/>
  <c r="AG862" i="1"/>
  <c r="BG862" i="1"/>
  <c r="AJ868" i="1"/>
  <c r="P868" i="1"/>
  <c r="BJ868" i="1"/>
  <c r="O870" i="1"/>
  <c r="P870" i="1" s="1"/>
  <c r="O869" i="1"/>
  <c r="BF874" i="1"/>
  <c r="AF874" i="1"/>
  <c r="P874" i="1"/>
  <c r="BE875" i="1"/>
  <c r="S691" i="1"/>
  <c r="AU691" i="1"/>
  <c r="AY691" i="1"/>
  <c r="BC691" i="1"/>
  <c r="BS691" i="1"/>
  <c r="BW691" i="1"/>
  <c r="CA691" i="1"/>
  <c r="CE691" i="1"/>
  <c r="AV692" i="1"/>
  <c r="AZ692" i="1"/>
  <c r="BD692" i="1"/>
  <c r="AV693" i="1"/>
  <c r="AZ693" i="1"/>
  <c r="AT697" i="1"/>
  <c r="AX697" i="1"/>
  <c r="BB697" i="1"/>
  <c r="BV697" i="1"/>
  <c r="BZ697" i="1"/>
  <c r="CD697" i="1"/>
  <c r="AU698" i="1"/>
  <c r="AY698" i="1"/>
  <c r="BC698" i="1"/>
  <c r="AU699" i="1"/>
  <c r="AY699" i="1"/>
  <c r="AU700" i="1"/>
  <c r="AY700" i="1"/>
  <c r="BC700" i="1"/>
  <c r="BS700" i="1"/>
  <c r="BW700" i="1"/>
  <c r="CA700" i="1"/>
  <c r="CE700" i="1"/>
  <c r="AS701" i="1"/>
  <c r="AW701" i="1"/>
  <c r="BA701" i="1"/>
  <c r="BE701" i="1"/>
  <c r="AT702" i="1"/>
  <c r="AX702" i="1"/>
  <c r="AV706" i="1"/>
  <c r="AZ706" i="1"/>
  <c r="BD706" i="1"/>
  <c r="BX706" i="1"/>
  <c r="CB706" i="1"/>
  <c r="AT707" i="1"/>
  <c r="AX707" i="1"/>
  <c r="BB707" i="1"/>
  <c r="AU708" i="1"/>
  <c r="AY708" i="1"/>
  <c r="AU709" i="1"/>
  <c r="AY709" i="1"/>
  <c r="BC709" i="1"/>
  <c r="BS709" i="1"/>
  <c r="BW709" i="1"/>
  <c r="CA709" i="1"/>
  <c r="CE709" i="1"/>
  <c r="DK709" i="1"/>
  <c r="AV710" i="1"/>
  <c r="AZ710" i="1"/>
  <c r="BD710" i="1"/>
  <c r="AV711" i="1"/>
  <c r="AZ711" i="1"/>
  <c r="AU715" i="1"/>
  <c r="AY715" i="1"/>
  <c r="BC715" i="1"/>
  <c r="BS715" i="1"/>
  <c r="BW715" i="1"/>
  <c r="CA715" i="1"/>
  <c r="CE715" i="1"/>
  <c r="AV716" i="1"/>
  <c r="AZ716" i="1"/>
  <c r="BD716" i="1"/>
  <c r="AV717" i="1"/>
  <c r="AZ717" i="1"/>
  <c r="AU721" i="1"/>
  <c r="AY721" i="1"/>
  <c r="BC721" i="1"/>
  <c r="BS721" i="1"/>
  <c r="BW721" i="1"/>
  <c r="CA721" i="1"/>
  <c r="CE721" i="1"/>
  <c r="AV722" i="1"/>
  <c r="AZ722" i="1"/>
  <c r="BD722" i="1"/>
  <c r="AV723" i="1"/>
  <c r="AZ723" i="1"/>
  <c r="AU727" i="1"/>
  <c r="AY727" i="1"/>
  <c r="BC727" i="1"/>
  <c r="BS727" i="1"/>
  <c r="CA727" i="1"/>
  <c r="CE727" i="1"/>
  <c r="AV728" i="1"/>
  <c r="AZ728" i="1"/>
  <c r="BD728" i="1"/>
  <c r="AV729" i="1"/>
  <c r="AZ729" i="1"/>
  <c r="AU736" i="1"/>
  <c r="AY736" i="1"/>
  <c r="BC736" i="1"/>
  <c r="BS736" i="1"/>
  <c r="BW736" i="1"/>
  <c r="CA736" i="1"/>
  <c r="CE736" i="1"/>
  <c r="AS737" i="1"/>
  <c r="AW737" i="1"/>
  <c r="BA737" i="1"/>
  <c r="BE737" i="1"/>
  <c r="AT738" i="1"/>
  <c r="AX738" i="1"/>
  <c r="S790" i="1"/>
  <c r="T790" i="1" s="1"/>
  <c r="AU790" i="1"/>
  <c r="AY790" i="1"/>
  <c r="BC790" i="1"/>
  <c r="BS790" i="1"/>
  <c r="BW790" i="1"/>
  <c r="CA790" i="1"/>
  <c r="CE790" i="1"/>
  <c r="AV791" i="1"/>
  <c r="AZ791" i="1"/>
  <c r="BD791" i="1"/>
  <c r="AV792" i="1"/>
  <c r="AZ792" i="1"/>
  <c r="AT799" i="1"/>
  <c r="AX799" i="1"/>
  <c r="BB799" i="1"/>
  <c r="BV799" i="1"/>
  <c r="BZ799" i="1"/>
  <c r="CD799" i="1"/>
  <c r="AU800" i="1"/>
  <c r="AY800" i="1"/>
  <c r="BC800" i="1"/>
  <c r="AU801" i="1"/>
  <c r="AY801" i="1"/>
  <c r="S802" i="1"/>
  <c r="T802" i="1" s="1"/>
  <c r="AU802" i="1"/>
  <c r="AY802" i="1"/>
  <c r="BC802" i="1"/>
  <c r="BS802" i="1"/>
  <c r="CA802" i="1"/>
  <c r="CE802" i="1"/>
  <c r="AV803" i="1"/>
  <c r="AZ803" i="1"/>
  <c r="BD803" i="1"/>
  <c r="AV804" i="1"/>
  <c r="AZ804" i="1"/>
  <c r="DJ815" i="1"/>
  <c r="S823" i="1"/>
  <c r="T823" i="1" s="1"/>
  <c r="AU823" i="1"/>
  <c r="AY823" i="1"/>
  <c r="BC823" i="1"/>
  <c r="BS823" i="1"/>
  <c r="BW823" i="1"/>
  <c r="CA823" i="1"/>
  <c r="CE823" i="1"/>
  <c r="AV824" i="1"/>
  <c r="AZ824" i="1"/>
  <c r="BD824" i="1"/>
  <c r="AV825" i="1"/>
  <c r="AZ825" i="1"/>
  <c r="AS828" i="1"/>
  <c r="AW828" i="1"/>
  <c r="BA828" i="1"/>
  <c r="AS829" i="1"/>
  <c r="AW829" i="1"/>
  <c r="BA829" i="1"/>
  <c r="BE829" i="1"/>
  <c r="BU829" i="1"/>
  <c r="BY829" i="1"/>
  <c r="CC829" i="1"/>
  <c r="O830" i="1"/>
  <c r="AT830" i="1"/>
  <c r="AX830" i="1"/>
  <c r="BB830" i="1"/>
  <c r="AT831" i="1"/>
  <c r="AX831" i="1"/>
  <c r="O833" i="1"/>
  <c r="AS835" i="1"/>
  <c r="AW835" i="1"/>
  <c r="BA835" i="1"/>
  <c r="BE835" i="1"/>
  <c r="BU835" i="1"/>
  <c r="BY835" i="1"/>
  <c r="CC835" i="1"/>
  <c r="O836" i="1"/>
  <c r="AT836" i="1"/>
  <c r="AX836" i="1"/>
  <c r="BB836" i="1"/>
  <c r="AT837" i="1"/>
  <c r="AX837" i="1"/>
  <c r="AS838" i="1"/>
  <c r="AW838" i="1"/>
  <c r="BA838" i="1"/>
  <c r="BE838" i="1"/>
  <c r="BU838" i="1"/>
  <c r="BY838" i="1"/>
  <c r="CC838" i="1"/>
  <c r="O839" i="1"/>
  <c r="AT839" i="1"/>
  <c r="AX839" i="1"/>
  <c r="BB839" i="1"/>
  <c r="AT840" i="1"/>
  <c r="AX840" i="1"/>
  <c r="AS841" i="1"/>
  <c r="AW841" i="1"/>
  <c r="BA841" i="1"/>
  <c r="BE841" i="1"/>
  <c r="BU841" i="1"/>
  <c r="BY841" i="1"/>
  <c r="CC841" i="1"/>
  <c r="O842" i="1"/>
  <c r="P842" i="1" s="1"/>
  <c r="AT842" i="1"/>
  <c r="AX842" i="1"/>
  <c r="BB842" i="1"/>
  <c r="AT843" i="1"/>
  <c r="AX843" i="1"/>
  <c r="AT844" i="1"/>
  <c r="AX844" i="1"/>
  <c r="BB844" i="1"/>
  <c r="BV844" i="1"/>
  <c r="CD844" i="1"/>
  <c r="AV845" i="1"/>
  <c r="AZ845" i="1"/>
  <c r="BD845" i="1"/>
  <c r="AV846" i="1"/>
  <c r="AZ846" i="1"/>
  <c r="AX849" i="1"/>
  <c r="BC849" i="1"/>
  <c r="BB852" i="1"/>
  <c r="AX852" i="1"/>
  <c r="AT852" i="1"/>
  <c r="BB851" i="1"/>
  <c r="AX851" i="1"/>
  <c r="AT851" i="1"/>
  <c r="CC850" i="1"/>
  <c r="BY850" i="1"/>
  <c r="BU850" i="1"/>
  <c r="BE850" i="1"/>
  <c r="BA850" i="1"/>
  <c r="AW850" i="1"/>
  <c r="AS850" i="1"/>
  <c r="BE852" i="1"/>
  <c r="AZ852" i="1"/>
  <c r="AU852" i="1"/>
  <c r="BD851" i="1"/>
  <c r="AY851" i="1"/>
  <c r="AS851" i="1"/>
  <c r="CD850" i="1"/>
  <c r="BX850" i="1"/>
  <c r="BS850" i="1"/>
  <c r="BB850" i="1"/>
  <c r="AV850" i="1"/>
  <c r="AX850" i="1"/>
  <c r="BD850" i="1"/>
  <c r="CE850" i="1"/>
  <c r="AU851" i="1"/>
  <c r="BA851" i="1"/>
  <c r="AV852" i="1"/>
  <c r="BC852" i="1"/>
  <c r="O855" i="1"/>
  <c r="P855" i="1" s="1"/>
  <c r="AX856" i="1"/>
  <c r="BE856" i="1"/>
  <c r="BQ856" i="1"/>
  <c r="CE856" i="1"/>
  <c r="AU857" i="1"/>
  <c r="BB857" i="1"/>
  <c r="AU858" i="1"/>
  <c r="BB858" i="1"/>
  <c r="BB861" i="1"/>
  <c r="AX861" i="1"/>
  <c r="AT861" i="1"/>
  <c r="BB860" i="1"/>
  <c r="AX860" i="1"/>
  <c r="AT860" i="1"/>
  <c r="CC859" i="1"/>
  <c r="BY859" i="1"/>
  <c r="BU859" i="1"/>
  <c r="BE859" i="1"/>
  <c r="BA859" i="1"/>
  <c r="AW859" i="1"/>
  <c r="AS859" i="1"/>
  <c r="BC861" i="1"/>
  <c r="AW861" i="1"/>
  <c r="BE860" i="1"/>
  <c r="AZ860" i="1"/>
  <c r="AU860" i="1"/>
  <c r="CE859" i="1"/>
  <c r="BZ859" i="1"/>
  <c r="BT859" i="1"/>
  <c r="BB859" i="1"/>
  <c r="AV859" i="1"/>
  <c r="AY859" i="1"/>
  <c r="BS859" i="1"/>
  <c r="CA859" i="1"/>
  <c r="DK859" i="1"/>
  <c r="AS860" i="1"/>
  <c r="BA860" i="1"/>
  <c r="AV861" i="1"/>
  <c r="BD861" i="1"/>
  <c r="BC864" i="1"/>
  <c r="AY864" i="1"/>
  <c r="AU864" i="1"/>
  <c r="BC863" i="1"/>
  <c r="AY863" i="1"/>
  <c r="AU863" i="1"/>
  <c r="CC862" i="1"/>
  <c r="BY862" i="1"/>
  <c r="BU862" i="1"/>
  <c r="BE862" i="1"/>
  <c r="BA862" i="1"/>
  <c r="AW862" i="1"/>
  <c r="AS862" i="1"/>
  <c r="BA864" i="1"/>
  <c r="AV864" i="1"/>
  <c r="BE863" i="1"/>
  <c r="AZ863" i="1"/>
  <c r="AT863" i="1"/>
  <c r="CD862" i="1"/>
  <c r="BX862" i="1"/>
  <c r="BS862" i="1"/>
  <c r="BB862" i="1"/>
  <c r="AV862" i="1"/>
  <c r="S862" i="1"/>
  <c r="T862" i="1" s="1"/>
  <c r="BE864" i="1"/>
  <c r="AZ864" i="1"/>
  <c r="AT864" i="1"/>
  <c r="BD863" i="1"/>
  <c r="AX863" i="1"/>
  <c r="AS863" i="1"/>
  <c r="CB862" i="1"/>
  <c r="BW862" i="1"/>
  <c r="AZ862" i="1"/>
  <c r="AU862" i="1"/>
  <c r="BD864" i="1"/>
  <c r="AX864" i="1"/>
  <c r="AS864" i="1"/>
  <c r="BB863" i="1"/>
  <c r="AW863" i="1"/>
  <c r="CA862" i="1"/>
  <c r="BV862" i="1"/>
  <c r="BD862" i="1"/>
  <c r="AY862" i="1"/>
  <c r="AT862" i="1"/>
  <c r="P862" i="1"/>
  <c r="BZ862" i="1"/>
  <c r="AV863" i="1"/>
  <c r="BB864" i="1"/>
  <c r="BF871" i="1"/>
  <c r="AF871" i="1"/>
  <c r="P871" i="1"/>
  <c r="O873" i="1"/>
  <c r="P873" i="1" s="1"/>
  <c r="O872" i="1"/>
  <c r="AU874" i="1"/>
  <c r="CB874" i="1"/>
  <c r="AV876" i="1"/>
  <c r="O888" i="1"/>
  <c r="O887" i="1"/>
  <c r="BQ910" i="1"/>
  <c r="P910" i="1"/>
  <c r="O912" i="1"/>
  <c r="P912" i="1" s="1"/>
  <c r="O911" i="1"/>
  <c r="AQ910" i="1"/>
  <c r="O918" i="1"/>
  <c r="P918" i="1" s="1"/>
  <c r="O917" i="1"/>
  <c r="AM937" i="1"/>
  <c r="S937" i="1"/>
  <c r="T937" i="1" s="1"/>
  <c r="BE870" i="1"/>
  <c r="BA870" i="1"/>
  <c r="AW870" i="1"/>
  <c r="AS870" i="1"/>
  <c r="BE869" i="1"/>
  <c r="BA869" i="1"/>
  <c r="AW869" i="1"/>
  <c r="AS869" i="1"/>
  <c r="CB868" i="1"/>
  <c r="BX868" i="1"/>
  <c r="BT868" i="1"/>
  <c r="BD868" i="1"/>
  <c r="AZ868" i="1"/>
  <c r="AV868" i="1"/>
  <c r="AS868" i="1"/>
  <c r="AX868" i="1"/>
  <c r="BC868" i="1"/>
  <c r="BU868" i="1"/>
  <c r="BZ868" i="1"/>
  <c r="CE868" i="1"/>
  <c r="AU869" i="1"/>
  <c r="AZ869" i="1"/>
  <c r="AT870" i="1"/>
  <c r="AY870" i="1"/>
  <c r="BD870" i="1"/>
  <c r="BB873" i="1"/>
  <c r="AX873" i="1"/>
  <c r="AT873" i="1"/>
  <c r="BB872" i="1"/>
  <c r="AX872" i="1"/>
  <c r="AT872" i="1"/>
  <c r="CC871" i="1"/>
  <c r="BY871" i="1"/>
  <c r="BU871" i="1"/>
  <c r="BE871" i="1"/>
  <c r="BA871" i="1"/>
  <c r="AW871" i="1"/>
  <c r="AS871" i="1"/>
  <c r="AX871" i="1"/>
  <c r="BC871" i="1"/>
  <c r="BZ871" i="1"/>
  <c r="CE871" i="1"/>
  <c r="AU872" i="1"/>
  <c r="AZ872" i="1"/>
  <c r="BE872" i="1"/>
  <c r="AV873" i="1"/>
  <c r="BA873" i="1"/>
  <c r="O876" i="1"/>
  <c r="P876" i="1" s="1"/>
  <c r="O875" i="1"/>
  <c r="BC888" i="1"/>
  <c r="AY888" i="1"/>
  <c r="AU888" i="1"/>
  <c r="BC887" i="1"/>
  <c r="AY887" i="1"/>
  <c r="AU887" i="1"/>
  <c r="CD886" i="1"/>
  <c r="BZ886" i="1"/>
  <c r="BV886" i="1"/>
  <c r="BB886" i="1"/>
  <c r="AX886" i="1"/>
  <c r="AT886" i="1"/>
  <c r="BB888" i="1"/>
  <c r="AX888" i="1"/>
  <c r="AT888" i="1"/>
  <c r="BB887" i="1"/>
  <c r="AX887" i="1"/>
  <c r="AT887" i="1"/>
  <c r="CC886" i="1"/>
  <c r="BY886" i="1"/>
  <c r="BU886" i="1"/>
  <c r="BE886" i="1"/>
  <c r="BA886" i="1"/>
  <c r="AW886" i="1"/>
  <c r="AS886" i="1"/>
  <c r="AZ886" i="1"/>
  <c r="BT886" i="1"/>
  <c r="CB886" i="1"/>
  <c r="AZ887" i="1"/>
  <c r="AV888" i="1"/>
  <c r="BD888" i="1"/>
  <c r="DJ889" i="1"/>
  <c r="DJ890" i="1"/>
  <c r="Q916" i="1" s="1"/>
  <c r="DJ891" i="1"/>
  <c r="BM893" i="1"/>
  <c r="BB900" i="1"/>
  <c r="AX900" i="1"/>
  <c r="AT900" i="1"/>
  <c r="BB899" i="1"/>
  <c r="AX899" i="1"/>
  <c r="AT899" i="1"/>
  <c r="CC898" i="1"/>
  <c r="BY898" i="1"/>
  <c r="BU898" i="1"/>
  <c r="BE898" i="1"/>
  <c r="BA898" i="1"/>
  <c r="AW898" i="1"/>
  <c r="AS898" i="1"/>
  <c r="BE900" i="1"/>
  <c r="BA900" i="1"/>
  <c r="AW900" i="1"/>
  <c r="AS900" i="1"/>
  <c r="BE899" i="1"/>
  <c r="BA899" i="1"/>
  <c r="AW899" i="1"/>
  <c r="AS899" i="1"/>
  <c r="CB898" i="1"/>
  <c r="BX898" i="1"/>
  <c r="BT898" i="1"/>
  <c r="BD898" i="1"/>
  <c r="AZ898" i="1"/>
  <c r="AV898" i="1"/>
  <c r="AT898" i="1"/>
  <c r="BB898" i="1"/>
  <c r="BW898" i="1"/>
  <c r="CE898" i="1"/>
  <c r="AZ899" i="1"/>
  <c r="AZ900" i="1"/>
  <c r="BC903" i="1"/>
  <c r="AY903" i="1"/>
  <c r="AU903" i="1"/>
  <c r="BC902" i="1"/>
  <c r="AY902" i="1"/>
  <c r="AU902" i="1"/>
  <c r="CD901" i="1"/>
  <c r="BV901" i="1"/>
  <c r="BB901" i="1"/>
  <c r="AX901" i="1"/>
  <c r="AT901" i="1"/>
  <c r="BB903" i="1"/>
  <c r="AX903" i="1"/>
  <c r="AT903" i="1"/>
  <c r="BB902" i="1"/>
  <c r="AX902" i="1"/>
  <c r="AT902" i="1"/>
  <c r="CC901" i="1"/>
  <c r="BY901" i="1"/>
  <c r="BU901" i="1"/>
  <c r="BE901" i="1"/>
  <c r="BA901" i="1"/>
  <c r="AW901" i="1"/>
  <c r="AS901" i="1"/>
  <c r="P901" i="1"/>
  <c r="AM901" i="1" s="1"/>
  <c r="O903" i="1"/>
  <c r="P903" i="1" s="1"/>
  <c r="O902" i="1"/>
  <c r="AY901" i="1"/>
  <c r="BS901" i="1"/>
  <c r="CA901" i="1"/>
  <c r="AZ902" i="1"/>
  <c r="AV903" i="1"/>
  <c r="BD903" i="1"/>
  <c r="P908" i="1"/>
  <c r="AJ908" i="1" s="1"/>
  <c r="O916" i="1"/>
  <c r="BJ920" i="1"/>
  <c r="DJ922" i="1"/>
  <c r="P931" i="1"/>
  <c r="AM931" i="1" s="1"/>
  <c r="BM931" i="1"/>
  <c r="O852" i="1"/>
  <c r="O851" i="1"/>
  <c r="BD855" i="1"/>
  <c r="AZ855" i="1"/>
  <c r="AV855" i="1"/>
  <c r="BD854" i="1"/>
  <c r="AZ854" i="1"/>
  <c r="AV854" i="1"/>
  <c r="DK853" i="1"/>
  <c r="CE853" i="1"/>
  <c r="CA853" i="1"/>
  <c r="BW853" i="1"/>
  <c r="BS853" i="1"/>
  <c r="BC853" i="1"/>
  <c r="AY853" i="1"/>
  <c r="AU853" i="1"/>
  <c r="S853" i="1"/>
  <c r="AS853" i="1"/>
  <c r="AX853" i="1"/>
  <c r="BD853" i="1"/>
  <c r="BU853" i="1"/>
  <c r="BZ853" i="1"/>
  <c r="AW854" i="1"/>
  <c r="BB854" i="1"/>
  <c r="AW855" i="1"/>
  <c r="BB855" i="1"/>
  <c r="O861" i="1"/>
  <c r="P861" i="1" s="1"/>
  <c r="O860" i="1"/>
  <c r="O867" i="1"/>
  <c r="AT868" i="1"/>
  <c r="AY868" i="1"/>
  <c r="BE868" i="1"/>
  <c r="BV868" i="1"/>
  <c r="CA868" i="1"/>
  <c r="AV869" i="1"/>
  <c r="BB869" i="1"/>
  <c r="AU870" i="1"/>
  <c r="AZ870" i="1"/>
  <c r="AT871" i="1"/>
  <c r="AY871" i="1"/>
  <c r="BD871" i="1"/>
  <c r="BV871" i="1"/>
  <c r="CA871" i="1"/>
  <c r="AV872" i="1"/>
  <c r="BA872" i="1"/>
  <c r="AW873" i="1"/>
  <c r="BC873" i="1"/>
  <c r="P877" i="1"/>
  <c r="O879" i="1"/>
  <c r="P879" i="1" s="1"/>
  <c r="O878" i="1"/>
  <c r="AF881" i="1"/>
  <c r="P881" i="1"/>
  <c r="O884" i="1"/>
  <c r="P884" i="1" s="1"/>
  <c r="O885" i="1"/>
  <c r="P885" i="1" s="1"/>
  <c r="AU886" i="1"/>
  <c r="BC886" i="1"/>
  <c r="CE886" i="1"/>
  <c r="AS887" i="1"/>
  <c r="BA887" i="1"/>
  <c r="AW888" i="1"/>
  <c r="BE888" i="1"/>
  <c r="P889" i="1"/>
  <c r="O891" i="1"/>
  <c r="O890" i="1"/>
  <c r="AQ889" i="1"/>
  <c r="P895" i="1"/>
  <c r="AQ895" i="1"/>
  <c r="O897" i="1"/>
  <c r="P897" i="1" s="1"/>
  <c r="AU898" i="1"/>
  <c r="BC898" i="1"/>
  <c r="BZ898" i="1"/>
  <c r="AU899" i="1"/>
  <c r="BC899" i="1"/>
  <c r="AU900" i="1"/>
  <c r="BC900" i="1"/>
  <c r="AZ901" i="1"/>
  <c r="BT901" i="1"/>
  <c r="CB901" i="1"/>
  <c r="AS902" i="1"/>
  <c r="BA902" i="1"/>
  <c r="AW903" i="1"/>
  <c r="BE903" i="1"/>
  <c r="BB912" i="1"/>
  <c r="AX912" i="1"/>
  <c r="AT912" i="1"/>
  <c r="BB911" i="1"/>
  <c r="AX911" i="1"/>
  <c r="AT911" i="1"/>
  <c r="CC910" i="1"/>
  <c r="BY910" i="1"/>
  <c r="BU910" i="1"/>
  <c r="BE910" i="1"/>
  <c r="BA910" i="1"/>
  <c r="AW910" i="1"/>
  <c r="AS910" i="1"/>
  <c r="BE912" i="1"/>
  <c r="BA912" i="1"/>
  <c r="AW912" i="1"/>
  <c r="AS912" i="1"/>
  <c r="BE911" i="1"/>
  <c r="BA911" i="1"/>
  <c r="AW911" i="1"/>
  <c r="AS911" i="1"/>
  <c r="CB910" i="1"/>
  <c r="BX910" i="1"/>
  <c r="BT910" i="1"/>
  <c r="BD910" i="1"/>
  <c r="AZ910" i="1"/>
  <c r="AV910" i="1"/>
  <c r="AT910" i="1"/>
  <c r="BB910" i="1"/>
  <c r="CE910" i="1"/>
  <c r="AZ911" i="1"/>
  <c r="AZ912" i="1"/>
  <c r="BD915" i="1"/>
  <c r="AZ915" i="1"/>
  <c r="AV915" i="1"/>
  <c r="BB915" i="1"/>
  <c r="AW915" i="1"/>
  <c r="BC914" i="1"/>
  <c r="AY914" i="1"/>
  <c r="AU914" i="1"/>
  <c r="BZ913" i="1"/>
  <c r="BV913" i="1"/>
  <c r="BB913" i="1"/>
  <c r="AX913" i="1"/>
  <c r="AT913" i="1"/>
  <c r="BA915" i="1"/>
  <c r="AU915" i="1"/>
  <c r="BB914" i="1"/>
  <c r="AX914" i="1"/>
  <c r="AT914" i="1"/>
  <c r="CC913" i="1"/>
  <c r="BY913" i="1"/>
  <c r="BU913" i="1"/>
  <c r="BE913" i="1"/>
  <c r="BA913" i="1"/>
  <c r="AW913" i="1"/>
  <c r="AS913" i="1"/>
  <c r="P913" i="1"/>
  <c r="AQ913" i="1" s="1"/>
  <c r="O915" i="1"/>
  <c r="O914" i="1"/>
  <c r="AY913" i="1"/>
  <c r="BS913" i="1"/>
  <c r="CA913" i="1"/>
  <c r="AZ914" i="1"/>
  <c r="AY915" i="1"/>
  <c r="AJ934" i="1"/>
  <c r="P934" i="1"/>
  <c r="BJ934" i="1"/>
  <c r="AU868" i="1"/>
  <c r="BA868" i="1"/>
  <c r="BW868" i="1"/>
  <c r="CC868" i="1"/>
  <c r="AX869" i="1"/>
  <c r="BC869" i="1"/>
  <c r="AV870" i="1"/>
  <c r="BB870" i="1"/>
  <c r="AU871" i="1"/>
  <c r="AZ871" i="1"/>
  <c r="BW871" i="1"/>
  <c r="CB871" i="1"/>
  <c r="AW872" i="1"/>
  <c r="BC872" i="1"/>
  <c r="AS873" i="1"/>
  <c r="AY873" i="1"/>
  <c r="BD873" i="1"/>
  <c r="AF877" i="1"/>
  <c r="P880" i="1"/>
  <c r="AG880" i="1" s="1"/>
  <c r="O886" i="1"/>
  <c r="AV886" i="1"/>
  <c r="BD886" i="1"/>
  <c r="BX886" i="1"/>
  <c r="AV887" i="1"/>
  <c r="BD887" i="1"/>
  <c r="AZ888" i="1"/>
  <c r="D892" i="1"/>
  <c r="O896" i="1"/>
  <c r="O900" i="1"/>
  <c r="P900" i="1" s="1"/>
  <c r="O899" i="1"/>
  <c r="AX898" i="1"/>
  <c r="BS898" i="1"/>
  <c r="CA898" i="1"/>
  <c r="AV899" i="1"/>
  <c r="BD899" i="1"/>
  <c r="AV900" i="1"/>
  <c r="BD900" i="1"/>
  <c r="AU901" i="1"/>
  <c r="BC901" i="1"/>
  <c r="BW901" i="1"/>
  <c r="CE901" i="1"/>
  <c r="AV902" i="1"/>
  <c r="BD902" i="1"/>
  <c r="AZ903" i="1"/>
  <c r="AI905" i="1"/>
  <c r="P905" i="1"/>
  <c r="AQ906" i="1"/>
  <c r="P906" i="1"/>
  <c r="P907" i="1"/>
  <c r="AM907" i="1"/>
  <c r="O909" i="1"/>
  <c r="P909" i="1" s="1"/>
  <c r="AU910" i="1"/>
  <c r="BC910" i="1"/>
  <c r="BZ910" i="1"/>
  <c r="AU911" i="1"/>
  <c r="BC911" i="1"/>
  <c r="AU912" i="1"/>
  <c r="BC912" i="1"/>
  <c r="AZ913" i="1"/>
  <c r="BT913" i="1"/>
  <c r="CB913" i="1"/>
  <c r="AS914" i="1"/>
  <c r="BA914" i="1"/>
  <c r="AS915" i="1"/>
  <c r="BC915" i="1"/>
  <c r="S919" i="1"/>
  <c r="DJ924" i="1"/>
  <c r="BD930" i="1"/>
  <c r="AZ930" i="1"/>
  <c r="AV930" i="1"/>
  <c r="BD929" i="1"/>
  <c r="AZ929" i="1"/>
  <c r="AV929" i="1"/>
  <c r="CE928" i="1"/>
  <c r="CA928" i="1"/>
  <c r="BW928" i="1"/>
  <c r="BS928" i="1"/>
  <c r="BC928" i="1"/>
  <c r="AY928" i="1"/>
  <c r="AU928" i="1"/>
  <c r="P928" i="1"/>
  <c r="AV928" i="1"/>
  <c r="BA928" i="1"/>
  <c r="BX928" i="1"/>
  <c r="CC928" i="1"/>
  <c r="AT929" i="1"/>
  <c r="AY929" i="1"/>
  <c r="BE929" i="1"/>
  <c r="P930" i="1"/>
  <c r="AU930" i="1"/>
  <c r="BA930" i="1"/>
  <c r="BB933" i="1"/>
  <c r="AX933" i="1"/>
  <c r="AT933" i="1"/>
  <c r="BB932" i="1"/>
  <c r="AX932" i="1"/>
  <c r="AT932" i="1"/>
  <c r="CB931" i="1"/>
  <c r="BX931" i="1"/>
  <c r="BT931" i="1"/>
  <c r="BD931" i="1"/>
  <c r="AZ931" i="1"/>
  <c r="AV931" i="1"/>
  <c r="AW931" i="1"/>
  <c r="BB931" i="1"/>
  <c r="BS931" i="1"/>
  <c r="BY931" i="1"/>
  <c r="CD931" i="1"/>
  <c r="AU932" i="1"/>
  <c r="AZ932" i="1"/>
  <c r="BE932" i="1"/>
  <c r="AW933" i="1"/>
  <c r="BC933" i="1"/>
  <c r="BM946" i="1"/>
  <c r="P946" i="1"/>
  <c r="AM946" i="1"/>
  <c r="AQ942" i="1"/>
  <c r="P942" i="1"/>
  <c r="S883" i="1"/>
  <c r="T883" i="1" s="1"/>
  <c r="AU883" i="1"/>
  <c r="AY883" i="1"/>
  <c r="BC883" i="1"/>
  <c r="BS883" i="1"/>
  <c r="BW883" i="1"/>
  <c r="CA883" i="1"/>
  <c r="CE883" i="1"/>
  <c r="AV884" i="1"/>
  <c r="AZ884" i="1"/>
  <c r="BD884" i="1"/>
  <c r="AV885" i="1"/>
  <c r="AZ885" i="1"/>
  <c r="BD885" i="1"/>
  <c r="AU895" i="1"/>
  <c r="AY895" i="1"/>
  <c r="BC895" i="1"/>
  <c r="BS895" i="1"/>
  <c r="BW895" i="1"/>
  <c r="CA895" i="1"/>
  <c r="CE895" i="1"/>
  <c r="AV896" i="1"/>
  <c r="AZ896" i="1"/>
  <c r="BD896" i="1"/>
  <c r="AV897" i="1"/>
  <c r="AZ897" i="1"/>
  <c r="BD897" i="1"/>
  <c r="S907" i="1"/>
  <c r="T907" i="1" s="1"/>
  <c r="AU907" i="1"/>
  <c r="AY907" i="1"/>
  <c r="BC907" i="1"/>
  <c r="BS907" i="1"/>
  <c r="BW907" i="1"/>
  <c r="CA907" i="1"/>
  <c r="CE907" i="1"/>
  <c r="AV908" i="1"/>
  <c r="AZ908" i="1"/>
  <c r="BD908" i="1"/>
  <c r="AV909" i="1"/>
  <c r="AZ909" i="1"/>
  <c r="BD909" i="1"/>
  <c r="BB918" i="1"/>
  <c r="AX918" i="1"/>
  <c r="AT918" i="1"/>
  <c r="BB917" i="1"/>
  <c r="AX917" i="1"/>
  <c r="AT917" i="1"/>
  <c r="CC916" i="1"/>
  <c r="BY916" i="1"/>
  <c r="BU916" i="1"/>
  <c r="BE916" i="1"/>
  <c r="BA916" i="1"/>
  <c r="AW916" i="1"/>
  <c r="AS916" i="1"/>
  <c r="AU916" i="1"/>
  <c r="AZ916" i="1"/>
  <c r="BW916" i="1"/>
  <c r="CB916" i="1"/>
  <c r="AW917" i="1"/>
  <c r="BC917" i="1"/>
  <c r="AU918" i="1"/>
  <c r="AZ918" i="1"/>
  <c r="BE918" i="1"/>
  <c r="BC921" i="1"/>
  <c r="AY921" i="1"/>
  <c r="AU921" i="1"/>
  <c r="BC920" i="1"/>
  <c r="AY920" i="1"/>
  <c r="AU920" i="1"/>
  <c r="CD919" i="1"/>
  <c r="BZ919" i="1"/>
  <c r="BV919" i="1"/>
  <c r="BB919" i="1"/>
  <c r="AX919" i="1"/>
  <c r="AT919" i="1"/>
  <c r="AU919" i="1"/>
  <c r="AZ919" i="1"/>
  <c r="BE919" i="1"/>
  <c r="BQ919" i="1"/>
  <c r="BU919" i="1"/>
  <c r="CA919" i="1"/>
  <c r="AW920" i="1"/>
  <c r="BB920" i="1"/>
  <c r="AS921" i="1"/>
  <c r="AX921" i="1"/>
  <c r="BD921" i="1"/>
  <c r="BM922" i="1"/>
  <c r="O924" i="1"/>
  <c r="P924" i="1" s="1"/>
  <c r="D925" i="1"/>
  <c r="D928" i="1" s="1"/>
  <c r="AT925" i="1"/>
  <c r="AZ925" i="1"/>
  <c r="BE925" i="1"/>
  <c r="BV925" i="1"/>
  <c r="CB925" i="1"/>
  <c r="AS926" i="1"/>
  <c r="AX926" i="1"/>
  <c r="BC926" i="1"/>
  <c r="AS927" i="1"/>
  <c r="AX927" i="1"/>
  <c r="AS928" i="1"/>
  <c r="AX928" i="1"/>
  <c r="BD928" i="1"/>
  <c r="BZ928" i="1"/>
  <c r="P929" i="1"/>
  <c r="AH929" i="1" s="1"/>
  <c r="AW929" i="1"/>
  <c r="BB929" i="1"/>
  <c r="AS930" i="1"/>
  <c r="AX930" i="1"/>
  <c r="BC930" i="1"/>
  <c r="AT931" i="1"/>
  <c r="AY931" i="1"/>
  <c r="BE931" i="1"/>
  <c r="BV931" i="1"/>
  <c r="CA931" i="1"/>
  <c r="AW932" i="1"/>
  <c r="BC932" i="1"/>
  <c r="AU933" i="1"/>
  <c r="AZ933" i="1"/>
  <c r="BE933" i="1"/>
  <c r="BB936" i="1"/>
  <c r="AX936" i="1"/>
  <c r="AT936" i="1"/>
  <c r="BB935" i="1"/>
  <c r="AX935" i="1"/>
  <c r="AT935" i="1"/>
  <c r="CC934" i="1"/>
  <c r="BY934" i="1"/>
  <c r="BU934" i="1"/>
  <c r="BE934" i="1"/>
  <c r="BA934" i="1"/>
  <c r="AW934" i="1"/>
  <c r="AS934" i="1"/>
  <c r="O936" i="1"/>
  <c r="P936" i="1" s="1"/>
  <c r="O935" i="1"/>
  <c r="AV934" i="1"/>
  <c r="BB934" i="1"/>
  <c r="BS934" i="1"/>
  <c r="BX934" i="1"/>
  <c r="AS935" i="1"/>
  <c r="AY935" i="1"/>
  <c r="BD935" i="1"/>
  <c r="AU936" i="1"/>
  <c r="AZ936" i="1"/>
  <c r="BE936" i="1"/>
  <c r="BC939" i="1"/>
  <c r="AY939" i="1"/>
  <c r="AU939" i="1"/>
  <c r="BC938" i="1"/>
  <c r="AY938" i="1"/>
  <c r="AU938" i="1"/>
  <c r="CD937" i="1"/>
  <c r="BZ937" i="1"/>
  <c r="BV937" i="1"/>
  <c r="BB937" i="1"/>
  <c r="AX937" i="1"/>
  <c r="AT937" i="1"/>
  <c r="BB939" i="1"/>
  <c r="AX939" i="1"/>
  <c r="AT939" i="1"/>
  <c r="AU937" i="1"/>
  <c r="AZ937" i="1"/>
  <c r="BE937" i="1"/>
  <c r="BM937" i="1"/>
  <c r="BU937" i="1"/>
  <c r="CA937" i="1"/>
  <c r="AS938" i="1"/>
  <c r="AX938" i="1"/>
  <c r="BD938" i="1"/>
  <c r="AZ939" i="1"/>
  <c r="P940" i="1"/>
  <c r="BQ941" i="1"/>
  <c r="BQ942" i="1"/>
  <c r="P944" i="1"/>
  <c r="AM944" i="1" s="1"/>
  <c r="DJ857" i="1"/>
  <c r="AU865" i="1"/>
  <c r="AY865" i="1"/>
  <c r="BC865" i="1"/>
  <c r="BW865" i="1"/>
  <c r="CA865" i="1"/>
  <c r="CE865" i="1"/>
  <c r="AV866" i="1"/>
  <c r="AZ866" i="1"/>
  <c r="BD866" i="1"/>
  <c r="AV867" i="1"/>
  <c r="AZ867" i="1"/>
  <c r="AT877" i="1"/>
  <c r="AX877" i="1"/>
  <c r="BB877" i="1"/>
  <c r="BV877" i="1"/>
  <c r="BZ877" i="1"/>
  <c r="CD877" i="1"/>
  <c r="AU878" i="1"/>
  <c r="AY878" i="1"/>
  <c r="BC878" i="1"/>
  <c r="AU879" i="1"/>
  <c r="AY879" i="1"/>
  <c r="S880" i="1"/>
  <c r="T880" i="1" s="1"/>
  <c r="AU880" i="1"/>
  <c r="AY880" i="1"/>
  <c r="BC880" i="1"/>
  <c r="BS880" i="1"/>
  <c r="BW880" i="1"/>
  <c r="CA880" i="1"/>
  <c r="CE880" i="1"/>
  <c r="AV881" i="1"/>
  <c r="AZ881" i="1"/>
  <c r="BD881" i="1"/>
  <c r="AV882" i="1"/>
  <c r="AZ882" i="1"/>
  <c r="AV883" i="1"/>
  <c r="AZ883" i="1"/>
  <c r="BD883" i="1"/>
  <c r="BT883" i="1"/>
  <c r="BX883" i="1"/>
  <c r="CB883" i="1"/>
  <c r="AS884" i="1"/>
  <c r="AW884" i="1"/>
  <c r="BA884" i="1"/>
  <c r="BE884" i="1"/>
  <c r="AS885" i="1"/>
  <c r="AW885" i="1"/>
  <c r="BA885" i="1"/>
  <c r="AT889" i="1"/>
  <c r="AX889" i="1"/>
  <c r="BB889" i="1"/>
  <c r="BV889" i="1"/>
  <c r="BZ889" i="1"/>
  <c r="CD889" i="1"/>
  <c r="AU890" i="1"/>
  <c r="AY890" i="1"/>
  <c r="BC890" i="1"/>
  <c r="AU891" i="1"/>
  <c r="AY891" i="1"/>
  <c r="S892" i="1"/>
  <c r="AU892" i="1"/>
  <c r="AY892" i="1"/>
  <c r="BC892" i="1"/>
  <c r="BS892" i="1"/>
  <c r="BW892" i="1"/>
  <c r="CA892" i="1"/>
  <c r="CE892" i="1"/>
  <c r="AV893" i="1"/>
  <c r="AZ893" i="1"/>
  <c r="BD893" i="1"/>
  <c r="AV894" i="1"/>
  <c r="AZ894" i="1"/>
  <c r="AV895" i="1"/>
  <c r="AZ895" i="1"/>
  <c r="BD895" i="1"/>
  <c r="BT895" i="1"/>
  <c r="BX895" i="1"/>
  <c r="CB895" i="1"/>
  <c r="AS896" i="1"/>
  <c r="AW896" i="1"/>
  <c r="BA896" i="1"/>
  <c r="BE896" i="1"/>
  <c r="AS897" i="1"/>
  <c r="AW897" i="1"/>
  <c r="BA897" i="1"/>
  <c r="S904" i="1"/>
  <c r="AU904" i="1"/>
  <c r="AY904" i="1"/>
  <c r="BC904" i="1"/>
  <c r="BS904" i="1"/>
  <c r="BW904" i="1"/>
  <c r="CA904" i="1"/>
  <c r="CE904" i="1"/>
  <c r="AV905" i="1"/>
  <c r="AZ905" i="1"/>
  <c r="BD905" i="1"/>
  <c r="AV906" i="1"/>
  <c r="AZ906" i="1"/>
  <c r="AV907" i="1"/>
  <c r="AZ907" i="1"/>
  <c r="BD907" i="1"/>
  <c r="BT907" i="1"/>
  <c r="BX907" i="1"/>
  <c r="CB907" i="1"/>
  <c r="AS908" i="1"/>
  <c r="AW908" i="1"/>
  <c r="BA908" i="1"/>
  <c r="BE908" i="1"/>
  <c r="AS909" i="1"/>
  <c r="AW909" i="1"/>
  <c r="BA909" i="1"/>
  <c r="AV916" i="1"/>
  <c r="BB916" i="1"/>
  <c r="BS916" i="1"/>
  <c r="BX916" i="1"/>
  <c r="CD916" i="1"/>
  <c r="DK916" i="1"/>
  <c r="AS917" i="1"/>
  <c r="AY917" i="1"/>
  <c r="BD917" i="1"/>
  <c r="AV918" i="1"/>
  <c r="BA918" i="1"/>
  <c r="DJ919" i="1"/>
  <c r="P919" i="1"/>
  <c r="AV919" i="1"/>
  <c r="BA919" i="1"/>
  <c r="BW919" i="1"/>
  <c r="CB919" i="1"/>
  <c r="DK919" i="1"/>
  <c r="AS920" i="1"/>
  <c r="AX920" i="1"/>
  <c r="BD920" i="1"/>
  <c r="DJ920" i="1"/>
  <c r="AT921" i="1"/>
  <c r="AZ921" i="1"/>
  <c r="BE921" i="1"/>
  <c r="BD927" i="1"/>
  <c r="AZ927" i="1"/>
  <c r="AV927" i="1"/>
  <c r="BD926" i="1"/>
  <c r="AZ926" i="1"/>
  <c r="AV926" i="1"/>
  <c r="CE925" i="1"/>
  <c r="CA925" i="1"/>
  <c r="BW925" i="1"/>
  <c r="BS925" i="1"/>
  <c r="BC925" i="1"/>
  <c r="AY925" i="1"/>
  <c r="AU925" i="1"/>
  <c r="S925" i="1"/>
  <c r="P925" i="1"/>
  <c r="AV925" i="1"/>
  <c r="BA925" i="1"/>
  <c r="BX925" i="1"/>
  <c r="CC925" i="1"/>
  <c r="AT926" i="1"/>
  <c r="AY926" i="1"/>
  <c r="BE926" i="1"/>
  <c r="O927" i="1"/>
  <c r="P927" i="1" s="1"/>
  <c r="AT927" i="1"/>
  <c r="AY927" i="1"/>
  <c r="BE927" i="1"/>
  <c r="AT928" i="1"/>
  <c r="AZ928" i="1"/>
  <c r="BE928" i="1"/>
  <c r="BV928" i="1"/>
  <c r="CB928" i="1"/>
  <c r="AS929" i="1"/>
  <c r="AX929" i="1"/>
  <c r="BC929" i="1"/>
  <c r="O930" i="1"/>
  <c r="AT930" i="1"/>
  <c r="AY930" i="1"/>
  <c r="BE930" i="1"/>
  <c r="O933" i="1"/>
  <c r="P933" i="1" s="1"/>
  <c r="O932" i="1"/>
  <c r="AU931" i="1"/>
  <c r="BA931" i="1"/>
  <c r="BW931" i="1"/>
  <c r="CC931" i="1"/>
  <c r="AS932" i="1"/>
  <c r="AY932" i="1"/>
  <c r="BD932" i="1"/>
  <c r="AV933" i="1"/>
  <c r="BA933" i="1"/>
  <c r="AX934" i="1"/>
  <c r="BC934" i="1"/>
  <c r="BT934" i="1"/>
  <c r="BZ934" i="1"/>
  <c r="CE934" i="1"/>
  <c r="AU935" i="1"/>
  <c r="AZ935" i="1"/>
  <c r="BE935" i="1"/>
  <c r="AV936" i="1"/>
  <c r="BA936" i="1"/>
  <c r="AV937" i="1"/>
  <c r="BA937" i="1"/>
  <c r="BW937" i="1"/>
  <c r="CB937" i="1"/>
  <c r="AT938" i="1"/>
  <c r="AZ938" i="1"/>
  <c r="BE938" i="1"/>
  <c r="BQ938" i="1"/>
  <c r="AS939" i="1"/>
  <c r="BA939" i="1"/>
  <c r="D48" i="7"/>
  <c r="E48" i="7"/>
  <c r="E84" i="7"/>
  <c r="D84" i="7"/>
  <c r="E91" i="7"/>
  <c r="D91" i="7"/>
  <c r="F301" i="7"/>
  <c r="C301" i="7"/>
  <c r="O948" i="1"/>
  <c r="P948" i="1" s="1"/>
  <c r="O947" i="1"/>
  <c r="T949" i="1"/>
  <c r="AJ951" i="1"/>
  <c r="P951" i="1"/>
  <c r="D16" i="7"/>
  <c r="E16" i="7" s="1"/>
  <c r="E18" i="7"/>
  <c r="D18" i="7"/>
  <c r="F23" i="7"/>
  <c r="E23" i="7"/>
  <c r="F25" i="7"/>
  <c r="F36" i="7"/>
  <c r="D36" i="7"/>
  <c r="E36" i="7" s="1"/>
  <c r="E41" i="7"/>
  <c r="D41" i="7"/>
  <c r="C49" i="7"/>
  <c r="F49" i="7"/>
  <c r="D62" i="7"/>
  <c r="E62" i="7"/>
  <c r="F125" i="7"/>
  <c r="C125" i="7"/>
  <c r="F132" i="7"/>
  <c r="C132" i="7"/>
  <c r="E140" i="7"/>
  <c r="D140" i="7"/>
  <c r="C152" i="7"/>
  <c r="E168" i="7"/>
  <c r="D168" i="7"/>
  <c r="D174" i="7"/>
  <c r="E174" i="7"/>
  <c r="D16" i="2"/>
  <c r="F15" i="7"/>
  <c r="F18" i="7"/>
  <c r="E20" i="7"/>
  <c r="D23" i="7"/>
  <c r="D25" i="7"/>
  <c r="E25" i="7" s="1"/>
  <c r="D27" i="7"/>
  <c r="D33" i="7"/>
  <c r="F33" i="7"/>
  <c r="E33" i="7"/>
  <c r="E37" i="7"/>
  <c r="B38" i="7"/>
  <c r="F37" i="7"/>
  <c r="F41" i="7"/>
  <c r="B43" i="7"/>
  <c r="C45" i="7"/>
  <c r="D56" i="7"/>
  <c r="C63" i="7"/>
  <c r="F63" i="7"/>
  <c r="C69" i="7"/>
  <c r="F69" i="7"/>
  <c r="F98" i="7"/>
  <c r="C111" i="7"/>
  <c r="F111" i="7"/>
  <c r="C133" i="7"/>
  <c r="F133" i="7"/>
  <c r="C188" i="7"/>
  <c r="F188" i="7"/>
  <c r="C223" i="7"/>
  <c r="F223" i="7"/>
  <c r="D230" i="7"/>
  <c r="E230" i="7"/>
  <c r="F307" i="7"/>
  <c r="C307" i="7"/>
  <c r="E322" i="7"/>
  <c r="D322" i="7"/>
  <c r="O945" i="1"/>
  <c r="BB948" i="1"/>
  <c r="AX948" i="1"/>
  <c r="AT948" i="1"/>
  <c r="BB947" i="1"/>
  <c r="AX947" i="1"/>
  <c r="AT947" i="1"/>
  <c r="CC946" i="1"/>
  <c r="BY946" i="1"/>
  <c r="BU946" i="1"/>
  <c r="BE946" i="1"/>
  <c r="BA946" i="1"/>
  <c r="AW946" i="1"/>
  <c r="AS946" i="1"/>
  <c r="BE948" i="1"/>
  <c r="BA948" i="1"/>
  <c r="AW948" i="1"/>
  <c r="AS948" i="1"/>
  <c r="BE947" i="1"/>
  <c r="BA947" i="1"/>
  <c r="AW947" i="1"/>
  <c r="AS947" i="1"/>
  <c r="CB946" i="1"/>
  <c r="BX946" i="1"/>
  <c r="BT946" i="1"/>
  <c r="BD946" i="1"/>
  <c r="AZ946" i="1"/>
  <c r="AV946" i="1"/>
  <c r="AT946" i="1"/>
  <c r="BB946" i="1"/>
  <c r="CE946" i="1"/>
  <c r="AZ947" i="1"/>
  <c r="AZ948" i="1"/>
  <c r="BD951" i="1"/>
  <c r="AZ951" i="1"/>
  <c r="AV951" i="1"/>
  <c r="BD950" i="1"/>
  <c r="AZ950" i="1"/>
  <c r="AV950" i="1"/>
  <c r="CD949" i="1"/>
  <c r="BZ949" i="1"/>
  <c r="BV949" i="1"/>
  <c r="BB949" i="1"/>
  <c r="AX949" i="1"/>
  <c r="AT949" i="1"/>
  <c r="BC951" i="1"/>
  <c r="AY951" i="1"/>
  <c r="AU951" i="1"/>
  <c r="BC950" i="1"/>
  <c r="AY950" i="1"/>
  <c r="AU950" i="1"/>
  <c r="CC949" i="1"/>
  <c r="BY949" i="1"/>
  <c r="BU949" i="1"/>
  <c r="BE949" i="1"/>
  <c r="BA949" i="1"/>
  <c r="AW949" i="1"/>
  <c r="AS949" i="1"/>
  <c r="AY949" i="1"/>
  <c r="BX949" i="1"/>
  <c r="AX950" i="1"/>
  <c r="BJ950" i="1"/>
  <c r="AW951" i="1"/>
  <c r="BE951" i="1"/>
  <c r="O954" i="1"/>
  <c r="D15" i="7"/>
  <c r="E15" i="7" s="1"/>
  <c r="D17" i="7"/>
  <c r="E17" i="7" s="1"/>
  <c r="D19" i="7"/>
  <c r="E19" i="7" s="1"/>
  <c r="F20" i="7"/>
  <c r="B24" i="7"/>
  <c r="E35" i="7"/>
  <c r="D35" i="7"/>
  <c r="D37" i="7"/>
  <c r="F45" i="7"/>
  <c r="E76" i="7"/>
  <c r="D76" i="7"/>
  <c r="F84" i="7"/>
  <c r="C98" i="7"/>
  <c r="E105" i="7"/>
  <c r="D105" i="7"/>
  <c r="E118" i="7"/>
  <c r="D118" i="7"/>
  <c r="C182" i="7"/>
  <c r="F182" i="7"/>
  <c r="F357" i="7"/>
  <c r="E406" i="7"/>
  <c r="D406" i="7"/>
  <c r="C420" i="7"/>
  <c r="F420" i="7"/>
  <c r="F11" i="8"/>
  <c r="F12" i="8" s="1"/>
  <c r="F13" i="8" s="1"/>
  <c r="F14" i="8" s="1"/>
  <c r="F15" i="8" s="1"/>
  <c r="C167" i="7"/>
  <c r="F167" i="7"/>
  <c r="C231" i="7"/>
  <c r="F231" i="7"/>
  <c r="C252" i="7"/>
  <c r="F252" i="7"/>
  <c r="E258" i="7"/>
  <c r="D258" i="7"/>
  <c r="C286" i="7"/>
  <c r="F286" i="7"/>
  <c r="C336" i="7"/>
  <c r="F336" i="7"/>
  <c r="C342" i="7"/>
  <c r="F342" i="7"/>
  <c r="C357" i="7"/>
  <c r="C384" i="7"/>
  <c r="F384" i="7"/>
  <c r="E426" i="7"/>
  <c r="D426" i="7"/>
  <c r="E517" i="7"/>
  <c r="D517" i="7"/>
  <c r="AT943" i="1"/>
  <c r="AX943" i="1"/>
  <c r="BB943" i="1"/>
  <c r="BV943" i="1"/>
  <c r="AV944" i="1"/>
  <c r="AZ944" i="1"/>
  <c r="BD944" i="1"/>
  <c r="AV945" i="1"/>
  <c r="AZ945" i="1"/>
  <c r="BD945" i="1"/>
  <c r="S952" i="1"/>
  <c r="T952" i="1" s="1"/>
  <c r="AU952" i="1"/>
  <c r="AY952" i="1"/>
  <c r="BC952" i="1"/>
  <c r="BS952" i="1"/>
  <c r="CA952" i="1"/>
  <c r="CE952" i="1"/>
  <c r="AV953" i="1"/>
  <c r="AZ953" i="1"/>
  <c r="BD953" i="1"/>
  <c r="AV954" i="1"/>
  <c r="AZ954" i="1"/>
  <c r="BD954" i="1"/>
  <c r="C477" i="7"/>
  <c r="C59" i="7"/>
  <c r="C50" i="7"/>
  <c r="C11" i="7"/>
  <c r="F21" i="7"/>
  <c r="C29" i="7"/>
  <c r="C40" i="7"/>
  <c r="C77" i="7"/>
  <c r="C119" i="7"/>
  <c r="E154" i="7"/>
  <c r="D154" i="7"/>
  <c r="E161" i="7"/>
  <c r="D161" i="7"/>
  <c r="E181" i="7"/>
  <c r="D181" i="7"/>
  <c r="C189" i="7"/>
  <c r="E196" i="7"/>
  <c r="E209" i="7"/>
  <c r="D209" i="7"/>
  <c r="F315" i="7"/>
  <c r="C315" i="7"/>
  <c r="E321" i="7"/>
  <c r="D321" i="7"/>
  <c r="G337" i="7"/>
  <c r="G336" i="7" s="1"/>
  <c r="C363" i="7"/>
  <c r="F363" i="7"/>
  <c r="E497" i="7"/>
  <c r="D497" i="7"/>
  <c r="S922" i="1"/>
  <c r="AU922" i="1"/>
  <c r="AY922" i="1"/>
  <c r="BC922" i="1"/>
  <c r="BS922" i="1"/>
  <c r="BW922" i="1"/>
  <c r="CA922" i="1"/>
  <c r="CE922" i="1"/>
  <c r="DK922" i="1"/>
  <c r="AV923" i="1"/>
  <c r="AZ923" i="1"/>
  <c r="BD923" i="1"/>
  <c r="AV924" i="1"/>
  <c r="AZ924" i="1"/>
  <c r="AT940" i="1"/>
  <c r="AX940" i="1"/>
  <c r="BB940" i="1"/>
  <c r="BV940" i="1"/>
  <c r="BZ940" i="1"/>
  <c r="AV941" i="1"/>
  <c r="AZ941" i="1"/>
  <c r="BD941" i="1"/>
  <c r="AV942" i="1"/>
  <c r="AZ942" i="1"/>
  <c r="AU943" i="1"/>
  <c r="AY943" i="1"/>
  <c r="BC943" i="1"/>
  <c r="BS943" i="1"/>
  <c r="BW943" i="1"/>
  <c r="CA943" i="1"/>
  <c r="CE943" i="1"/>
  <c r="AS944" i="1"/>
  <c r="AW944" i="1"/>
  <c r="BA944" i="1"/>
  <c r="BE944" i="1"/>
  <c r="AS945" i="1"/>
  <c r="AW945" i="1"/>
  <c r="BA945" i="1"/>
  <c r="AV952" i="1"/>
  <c r="AZ952" i="1"/>
  <c r="BD952" i="1"/>
  <c r="BT952" i="1"/>
  <c r="BX952" i="1"/>
  <c r="CB952" i="1"/>
  <c r="AS953" i="1"/>
  <c r="AW953" i="1"/>
  <c r="BA953" i="1"/>
  <c r="BE953" i="1"/>
  <c r="AS954" i="1"/>
  <c r="AW954" i="1"/>
  <c r="BA954" i="1"/>
  <c r="C9" i="7"/>
  <c r="C13" i="7"/>
  <c r="C21" i="7"/>
  <c r="C26" i="7"/>
  <c r="C39" i="7"/>
  <c r="D83" i="7"/>
  <c r="D97" i="7"/>
  <c r="C153" i="7"/>
  <c r="F153" i="7"/>
  <c r="B155" i="7"/>
  <c r="F161" i="7"/>
  <c r="F181" i="7"/>
  <c r="F189" i="7"/>
  <c r="D195" i="7"/>
  <c r="F209" i="7"/>
  <c r="E259" i="7"/>
  <c r="D259" i="7"/>
  <c r="E293" i="7"/>
  <c r="D293" i="7"/>
  <c r="C328" i="7"/>
  <c r="F328" i="7"/>
  <c r="E349" i="7"/>
  <c r="D349" i="7"/>
  <c r="E385" i="7"/>
  <c r="D385" i="7"/>
  <c r="E399" i="7"/>
  <c r="D399" i="7"/>
  <c r="C441" i="7"/>
  <c r="F196" i="7"/>
  <c r="C245" i="7"/>
  <c r="C294" i="7"/>
  <c r="C350" i="7"/>
  <c r="E378" i="7"/>
  <c r="D378" i="7"/>
  <c r="E398" i="7"/>
  <c r="D398" i="7"/>
  <c r="E419" i="7"/>
  <c r="D419" i="7"/>
  <c r="C175" i="7"/>
  <c r="E251" i="7"/>
  <c r="D251" i="7"/>
  <c r="C308" i="7"/>
  <c r="E335" i="7"/>
  <c r="D335" i="7"/>
  <c r="E364" i="7"/>
  <c r="D364" i="7"/>
  <c r="E461" i="7"/>
  <c r="D461" i="7"/>
  <c r="E476" i="7"/>
  <c r="D476" i="7"/>
  <c r="C482" i="7"/>
  <c r="F482" i="7"/>
  <c r="F525" i="7"/>
  <c r="C525" i="7"/>
  <c r="E531" i="7"/>
  <c r="D531" i="7"/>
  <c r="C594" i="7"/>
  <c r="F594" i="7"/>
  <c r="F265" i="7"/>
  <c r="F273" i="7"/>
  <c r="F279" i="7"/>
  <c r="F287" i="7"/>
  <c r="F321" i="7"/>
  <c r="F329" i="7"/>
  <c r="F343" i="7"/>
  <c r="F469" i="7"/>
  <c r="C469" i="7"/>
  <c r="E475" i="7"/>
  <c r="D475" i="7"/>
  <c r="C490" i="7"/>
  <c r="F490" i="7"/>
  <c r="E496" i="7"/>
  <c r="D496" i="7"/>
  <c r="C538" i="7"/>
  <c r="F538" i="7"/>
  <c r="C608" i="7"/>
  <c r="F608" i="7"/>
  <c r="D48" i="8"/>
  <c r="E16" i="8"/>
  <c r="E48" i="8" s="1"/>
  <c r="C273" i="7"/>
  <c r="C287" i="7"/>
  <c r="C329" i="7"/>
  <c r="C343" i="7"/>
  <c r="C392" i="7"/>
  <c r="C412" i="7"/>
  <c r="C427" i="7"/>
  <c r="F427" i="7"/>
  <c r="C446" i="7"/>
  <c r="E532" i="7"/>
  <c r="D532" i="7"/>
  <c r="C559" i="7"/>
  <c r="E574" i="7"/>
  <c r="D574" i="7"/>
  <c r="F567" i="7"/>
  <c r="C567" i="7"/>
  <c r="E573" i="7"/>
  <c r="D573" i="7"/>
  <c r="F22" i="8"/>
  <c r="F23" i="8" s="1"/>
  <c r="F24" i="8" s="1"/>
  <c r="F25" i="8" s="1"/>
  <c r="F26" i="8" s="1"/>
  <c r="F27" i="8" s="1"/>
  <c r="F28" i="8" s="1"/>
  <c r="F29" i="8" s="1"/>
  <c r="F30" i="8" s="1"/>
  <c r="F31" i="8" s="1"/>
  <c r="F32" i="8" s="1"/>
  <c r="F33" i="8" s="1"/>
  <c r="F34" i="8" s="1"/>
  <c r="F35" i="8" s="1"/>
  <c r="F36" i="8" s="1"/>
  <c r="F37" i="8" s="1"/>
  <c r="F38" i="8" s="1"/>
  <c r="F39" i="8" s="1"/>
  <c r="C462" i="7"/>
  <c r="E489" i="7"/>
  <c r="D489" i="7"/>
  <c r="C518" i="7"/>
  <c r="C580" i="7"/>
  <c r="F580" i="7"/>
  <c r="E595" i="7"/>
  <c r="D595" i="7"/>
  <c r="E601" i="7"/>
  <c r="F447" i="7"/>
  <c r="F455" i="7"/>
  <c r="F475" i="7"/>
  <c r="F483" i="7"/>
  <c r="F503" i="7"/>
  <c r="F511" i="7"/>
  <c r="F531" i="7"/>
  <c r="F539" i="7"/>
  <c r="E588" i="7"/>
  <c r="D588" i="7"/>
  <c r="D609" i="7"/>
  <c r="E609" i="7"/>
  <c r="C455" i="7"/>
  <c r="C483" i="7"/>
  <c r="C511" i="7"/>
  <c r="C539" i="7"/>
  <c r="E552" i="7"/>
  <c r="C560" i="7"/>
  <c r="F588" i="7"/>
  <c r="F609" i="7"/>
  <c r="F545" i="7"/>
  <c r="F553" i="7"/>
  <c r="F573" i="7"/>
  <c r="C553" i="7"/>
  <c r="C602" i="7"/>
  <c r="F42" i="8"/>
  <c r="F43" i="8" s="1"/>
  <c r="F44" i="8" s="1"/>
  <c r="F45" i="8" s="1"/>
  <c r="F46" i="8" s="1"/>
  <c r="F47" i="8" s="1"/>
  <c r="H33" i="8"/>
  <c r="B3" i="11"/>
  <c r="B7" i="11"/>
  <c r="B11" i="11"/>
  <c r="B15" i="11"/>
  <c r="B19" i="11"/>
  <c r="B23" i="11"/>
  <c r="B27" i="11"/>
  <c r="B31" i="11"/>
  <c r="B35" i="11"/>
  <c r="B39" i="11"/>
  <c r="B43" i="11"/>
  <c r="B47" i="11"/>
  <c r="B51" i="11"/>
  <c r="B55" i="11"/>
  <c r="B59" i="11"/>
  <c r="B63" i="11"/>
  <c r="B67" i="11"/>
  <c r="B71" i="11"/>
  <c r="B75" i="11"/>
  <c r="B79" i="11"/>
  <c r="B83" i="11"/>
  <c r="B4" i="11"/>
  <c r="B8" i="11"/>
  <c r="B12" i="11"/>
  <c r="B16" i="11"/>
  <c r="B20" i="11"/>
  <c r="B24" i="11"/>
  <c r="B28" i="11"/>
  <c r="B32" i="11"/>
  <c r="B36" i="11"/>
  <c r="B40" i="11"/>
  <c r="B44" i="11"/>
  <c r="B48" i="11"/>
  <c r="B52" i="11"/>
  <c r="B56" i="11"/>
  <c r="B60" i="11"/>
  <c r="B64" i="11"/>
  <c r="B68" i="11"/>
  <c r="B72" i="11"/>
  <c r="B76" i="11"/>
  <c r="B80" i="11"/>
  <c r="B84" i="11"/>
  <c r="B5" i="11"/>
  <c r="B9" i="11"/>
  <c r="B13" i="11"/>
  <c r="B17" i="11"/>
  <c r="B21" i="11"/>
  <c r="B25" i="11"/>
  <c r="B29" i="11"/>
  <c r="B33" i="11"/>
  <c r="B37" i="11"/>
  <c r="B41" i="11"/>
  <c r="B45" i="11"/>
  <c r="B49" i="11"/>
  <c r="B53" i="11"/>
  <c r="B57" i="11"/>
  <c r="B61" i="11"/>
  <c r="B65" i="11"/>
  <c r="B69" i="11"/>
  <c r="B73" i="11"/>
  <c r="B77" i="11"/>
  <c r="B81" i="11"/>
  <c r="B85" i="11"/>
  <c r="B6" i="11"/>
  <c r="B10" i="11"/>
  <c r="B14" i="11"/>
  <c r="B18" i="11"/>
  <c r="B22" i="11"/>
  <c r="B26" i="11"/>
  <c r="B30" i="11"/>
  <c r="B34" i="11"/>
  <c r="B38" i="11"/>
  <c r="B42" i="11"/>
  <c r="B46" i="11"/>
  <c r="B50" i="11"/>
  <c r="B54" i="11"/>
  <c r="B58" i="11"/>
  <c r="B62" i="11"/>
  <c r="B66" i="11"/>
  <c r="B70" i="11"/>
  <c r="B74" i="11"/>
  <c r="B78" i="11"/>
  <c r="B82" i="11"/>
  <c r="D931" i="1" l="1"/>
  <c r="DJ928" i="1"/>
  <c r="DJ930" i="1"/>
  <c r="DJ929" i="1"/>
  <c r="DK928" i="1"/>
  <c r="T577" i="1"/>
  <c r="CD577" i="1"/>
  <c r="BW505" i="1"/>
  <c r="T505" i="1"/>
  <c r="J11" i="2"/>
  <c r="I11" i="2"/>
  <c r="T13" i="1"/>
  <c r="BW13" i="1"/>
  <c r="J15" i="2"/>
  <c r="I15" i="2"/>
  <c r="F16" i="2"/>
  <c r="E539" i="7"/>
  <c r="D539" i="7"/>
  <c r="E559" i="7"/>
  <c r="D559" i="7"/>
  <c r="D446" i="7"/>
  <c r="E446" i="7"/>
  <c r="E608" i="7"/>
  <c r="D608" i="7"/>
  <c r="D482" i="7"/>
  <c r="E482" i="7"/>
  <c r="E21" i="7"/>
  <c r="D21" i="7"/>
  <c r="DJ438" i="1"/>
  <c r="DJ436" i="1"/>
  <c r="DK436" i="1"/>
  <c r="DJ437" i="1"/>
  <c r="D439" i="1"/>
  <c r="BG345" i="1"/>
  <c r="P345" i="1"/>
  <c r="AG345" i="1"/>
  <c r="F8" i="2"/>
  <c r="AG260" i="1"/>
  <c r="P260" i="1"/>
  <c r="BG260" i="1"/>
  <c r="BM542" i="1"/>
  <c r="P542" i="1"/>
  <c r="AM542" i="1"/>
  <c r="T190" i="1"/>
  <c r="BV190" i="1"/>
  <c r="BT94" i="1"/>
  <c r="T94" i="1"/>
  <c r="P173" i="1"/>
  <c r="BG173" i="1"/>
  <c r="BH368" i="1"/>
  <c r="P5" i="2" s="1"/>
  <c r="P368" i="1"/>
  <c r="AM475" i="1"/>
  <c r="S475" i="1"/>
  <c r="T253" i="1"/>
  <c r="BF222" i="1"/>
  <c r="P222" i="1"/>
  <c r="AF222" i="1"/>
  <c r="P178" i="1"/>
  <c r="BJ178" i="1"/>
  <c r="AG155" i="1"/>
  <c r="P155" i="1"/>
  <c r="BG155" i="1"/>
  <c r="BJ112" i="1"/>
  <c r="P112" i="1"/>
  <c r="P102" i="1"/>
  <c r="BF102" i="1"/>
  <c r="BQ89" i="1"/>
  <c r="P89" i="1"/>
  <c r="BQ22" i="1"/>
  <c r="S22" i="1"/>
  <c r="AQ22" i="1"/>
  <c r="P22" i="1"/>
  <c r="BQ20" i="1"/>
  <c r="P20" i="1"/>
  <c r="DI5" i="1"/>
  <c r="DH6" i="1"/>
  <c r="BF251" i="1"/>
  <c r="AF251" i="1"/>
  <c r="P251" i="1"/>
  <c r="BG189" i="1"/>
  <c r="P189" i="1"/>
  <c r="AG189" i="1"/>
  <c r="P116" i="1"/>
  <c r="BF116" i="1"/>
  <c r="T103" i="1"/>
  <c r="CD103" i="1"/>
  <c r="P98" i="1"/>
  <c r="BJ98" i="1"/>
  <c r="AQ74" i="1"/>
  <c r="P74" i="1"/>
  <c r="BQ74" i="1"/>
  <c r="P69" i="1"/>
  <c r="BJ69" i="1"/>
  <c r="AJ69" i="1"/>
  <c r="P62" i="1"/>
  <c r="BF62" i="1"/>
  <c r="AF62" i="1"/>
  <c r="BG42" i="1"/>
  <c r="P42" i="1"/>
  <c r="K16" i="2"/>
  <c r="P226" i="1"/>
  <c r="BJ226" i="1"/>
  <c r="P214" i="1"/>
  <c r="AI214" i="1"/>
  <c r="BI214" i="1"/>
  <c r="BG170" i="1"/>
  <c r="P170" i="1"/>
  <c r="AG170" i="1"/>
  <c r="T274" i="1"/>
  <c r="BS274" i="1"/>
  <c r="P196" i="1"/>
  <c r="AI196" i="1"/>
  <c r="BI196" i="1"/>
  <c r="P148" i="1"/>
  <c r="BG148" i="1"/>
  <c r="AG148" i="1"/>
  <c r="T145" i="1"/>
  <c r="CD145" i="1"/>
  <c r="T118" i="1"/>
  <c r="S67" i="1"/>
  <c r="T79" i="1"/>
  <c r="BT79" i="1"/>
  <c r="R49" i="1"/>
  <c r="R53" i="1"/>
  <c r="E357" i="7"/>
  <c r="D357" i="7"/>
  <c r="C43" i="7"/>
  <c r="F43" i="7"/>
  <c r="B44" i="7"/>
  <c r="P815" i="1"/>
  <c r="BJ815" i="1"/>
  <c r="BQ737" i="1"/>
  <c r="P737" i="1"/>
  <c r="BG797" i="1"/>
  <c r="P797" i="1"/>
  <c r="BQ794" i="1"/>
  <c r="P794" i="1"/>
  <c r="BS775" i="1"/>
  <c r="BS772" i="1"/>
  <c r="P706" i="1"/>
  <c r="BG706" i="1"/>
  <c r="AG706" i="1"/>
  <c r="S706" i="1"/>
  <c r="T853" i="1"/>
  <c r="CD853" i="1"/>
  <c r="P788" i="1"/>
  <c r="BJ788" i="1"/>
  <c r="P746" i="1"/>
  <c r="BQ746" i="1"/>
  <c r="BJ733" i="1"/>
  <c r="P733" i="1"/>
  <c r="S733" i="1"/>
  <c r="AJ733" i="1"/>
  <c r="P800" i="1"/>
  <c r="BJ800" i="1"/>
  <c r="BW769" i="1"/>
  <c r="BW766" i="1"/>
  <c r="DJ768" i="1"/>
  <c r="DJ767" i="1"/>
  <c r="DJ766" i="1"/>
  <c r="P718" i="1"/>
  <c r="BI718" i="1"/>
  <c r="AI718" i="1"/>
  <c r="S688" i="1"/>
  <c r="AJ676" i="1"/>
  <c r="P676" i="1"/>
  <c r="BJ676" i="1"/>
  <c r="P712" i="1"/>
  <c r="AG712" i="1"/>
  <c r="BG712" i="1"/>
  <c r="DJ605" i="1"/>
  <c r="Q616" i="1" s="1"/>
  <c r="DJ606" i="1"/>
  <c r="DJ604" i="1"/>
  <c r="Q604" i="1" s="1"/>
  <c r="D607" i="1"/>
  <c r="T622" i="1"/>
  <c r="AJ493" i="1"/>
  <c r="S493" i="1"/>
  <c r="AQ486" i="1"/>
  <c r="BQ486" i="1"/>
  <c r="P486" i="1"/>
  <c r="BZ313" i="1"/>
  <c r="T313" i="1"/>
  <c r="P318" i="1"/>
  <c r="BG318" i="1"/>
  <c r="AG574" i="1"/>
  <c r="S574" i="1"/>
  <c r="T574" i="1" s="1"/>
  <c r="BG348" i="1"/>
  <c r="P348" i="1"/>
  <c r="BM322" i="1"/>
  <c r="AM322" i="1"/>
  <c r="P322" i="1"/>
  <c r="D289" i="1"/>
  <c r="DJ287" i="1"/>
  <c r="Q287" i="1" s="1"/>
  <c r="DJ288" i="1"/>
  <c r="DK286" i="1"/>
  <c r="DJ286" i="1"/>
  <c r="G8" i="2"/>
  <c r="BJ380" i="1"/>
  <c r="P380" i="1"/>
  <c r="S340" i="1"/>
  <c r="AM340" i="1"/>
  <c r="BZ265" i="1"/>
  <c r="BQ261" i="1"/>
  <c r="P261" i="1"/>
  <c r="AQ261" i="1"/>
  <c r="BT214" i="1"/>
  <c r="T214" i="1"/>
  <c r="BT202" i="1"/>
  <c r="T202" i="1"/>
  <c r="L16" i="2"/>
  <c r="T451" i="1"/>
  <c r="P415" i="1"/>
  <c r="BM415" i="1"/>
  <c r="BG350" i="1"/>
  <c r="P350" i="1"/>
  <c r="AG350" i="1"/>
  <c r="BQ327" i="1"/>
  <c r="P327" i="1"/>
  <c r="AQ327" i="1" s="1"/>
  <c r="AG527" i="1"/>
  <c r="BG527" i="1"/>
  <c r="P527" i="1"/>
  <c r="P455" i="1"/>
  <c r="AQ455" i="1" s="1"/>
  <c r="BQ455" i="1"/>
  <c r="BT382" i="1"/>
  <c r="AH270" i="1"/>
  <c r="S268" i="1"/>
  <c r="P224" i="1"/>
  <c r="AH224" i="1"/>
  <c r="BH224" i="1"/>
  <c r="T142" i="1"/>
  <c r="BF136" i="1"/>
  <c r="AF136" i="1"/>
  <c r="S136" i="1"/>
  <c r="P136" i="1"/>
  <c r="T106" i="1"/>
  <c r="BG80" i="1"/>
  <c r="P80" i="1"/>
  <c r="AG80" i="1"/>
  <c r="BF59" i="1"/>
  <c r="AF59" i="1"/>
  <c r="P59" i="1"/>
  <c r="S10" i="1"/>
  <c r="AC13" i="1"/>
  <c r="E13" i="1"/>
  <c r="DJ15" i="1"/>
  <c r="DJ14" i="1"/>
  <c r="D16" i="1"/>
  <c r="DJ13" i="1"/>
  <c r="Q13" i="1"/>
  <c r="Y4" i="1"/>
  <c r="Y7" i="1" s="1"/>
  <c r="Y10" i="1" s="1"/>
  <c r="Y13" i="1" s="1"/>
  <c r="P4" i="1"/>
  <c r="AA4" i="1" s="1"/>
  <c r="AA7" i="1" s="1"/>
  <c r="AA10" i="1" s="1"/>
  <c r="AA13" i="1" s="1"/>
  <c r="AA16" i="1" s="1"/>
  <c r="AA19" i="1" s="1"/>
  <c r="AA22" i="1" s="1"/>
  <c r="AA25" i="1" s="1"/>
  <c r="AA28" i="1" s="1"/>
  <c r="AA31" i="1" s="1"/>
  <c r="AA34" i="1" s="1"/>
  <c r="AA37" i="1" s="1"/>
  <c r="AA40" i="1" s="1"/>
  <c r="AA43" i="1" s="1"/>
  <c r="AA46" i="1" s="1"/>
  <c r="AA49" i="1" s="1"/>
  <c r="AA52" i="1" s="1"/>
  <c r="AA55" i="1" s="1"/>
  <c r="AA58" i="1" s="1"/>
  <c r="AA61" i="1" s="1"/>
  <c r="AA64" i="1" s="1"/>
  <c r="AA67" i="1" s="1"/>
  <c r="AA70" i="1" s="1"/>
  <c r="AA73" i="1" s="1"/>
  <c r="AA76" i="1" s="1"/>
  <c r="AA79" i="1" s="1"/>
  <c r="AA82" i="1" s="1"/>
  <c r="AA85" i="1" s="1"/>
  <c r="AA88" i="1" s="1"/>
  <c r="AA91" i="1" s="1"/>
  <c r="AA94" i="1" s="1"/>
  <c r="AA97" i="1" s="1"/>
  <c r="AA100" i="1" s="1"/>
  <c r="AA103" i="1" s="1"/>
  <c r="AA106" i="1" s="1"/>
  <c r="AA109" i="1" s="1"/>
  <c r="AA112" i="1" s="1"/>
  <c r="AA115" i="1" s="1"/>
  <c r="AA118" i="1" s="1"/>
  <c r="AA121" i="1" s="1"/>
  <c r="AA124" i="1" s="1"/>
  <c r="AA127" i="1" s="1"/>
  <c r="AA130" i="1" s="1"/>
  <c r="AA133" i="1" s="1"/>
  <c r="AA136" i="1" s="1"/>
  <c r="AA139" i="1" s="1"/>
  <c r="AA142" i="1" s="1"/>
  <c r="AA145" i="1" s="1"/>
  <c r="AA148" i="1" s="1"/>
  <c r="AA151" i="1" s="1"/>
  <c r="AA154" i="1" s="1"/>
  <c r="AA157" i="1" s="1"/>
  <c r="AA160" i="1" s="1"/>
  <c r="AA163" i="1" s="1"/>
  <c r="AA166" i="1" s="1"/>
  <c r="AA169" i="1" s="1"/>
  <c r="AA172" i="1" s="1"/>
  <c r="AA175" i="1" s="1"/>
  <c r="AA178" i="1" s="1"/>
  <c r="AA181" i="1" s="1"/>
  <c r="AA184" i="1" s="1"/>
  <c r="AA187" i="1" s="1"/>
  <c r="AA190" i="1" s="1"/>
  <c r="AA193" i="1" s="1"/>
  <c r="AA196" i="1" s="1"/>
  <c r="AA199" i="1" s="1"/>
  <c r="AA202" i="1" s="1"/>
  <c r="AA205" i="1" s="1"/>
  <c r="AA208" i="1" s="1"/>
  <c r="AA211" i="1" s="1"/>
  <c r="AA214" i="1" s="1"/>
  <c r="AA217" i="1" s="1"/>
  <c r="AA220" i="1" s="1"/>
  <c r="AA223" i="1" s="1"/>
  <c r="AA226" i="1" s="1"/>
  <c r="AA229" i="1" s="1"/>
  <c r="AA232" i="1" s="1"/>
  <c r="AA235" i="1" s="1"/>
  <c r="AA238" i="1" s="1"/>
  <c r="AA241" i="1" s="1"/>
  <c r="AA244" i="1" s="1"/>
  <c r="AA247" i="1" s="1"/>
  <c r="AA250" i="1" s="1"/>
  <c r="AA253" i="1" s="1"/>
  <c r="AA256" i="1" s="1"/>
  <c r="AA259" i="1" s="1"/>
  <c r="AA262" i="1" s="1"/>
  <c r="AA265" i="1" s="1"/>
  <c r="AA268" i="1" s="1"/>
  <c r="AA271" i="1" s="1"/>
  <c r="AA274" i="1" s="1"/>
  <c r="AA277" i="1" s="1"/>
  <c r="AA280" i="1" s="1"/>
  <c r="AA283" i="1" s="1"/>
  <c r="AA286" i="1" s="1"/>
  <c r="AA289" i="1" s="1"/>
  <c r="AA292" i="1" s="1"/>
  <c r="AA295" i="1" s="1"/>
  <c r="AA298" i="1" s="1"/>
  <c r="AA301" i="1" s="1"/>
  <c r="AA304" i="1" s="1"/>
  <c r="AA307" i="1" s="1"/>
  <c r="AA310" i="1" s="1"/>
  <c r="AA313" i="1" s="1"/>
  <c r="AA316" i="1" s="1"/>
  <c r="AA319" i="1" s="1"/>
  <c r="AA322" i="1" s="1"/>
  <c r="AA325" i="1" s="1"/>
  <c r="AA328" i="1" s="1"/>
  <c r="AA331" i="1" s="1"/>
  <c r="AA334" i="1" s="1"/>
  <c r="AA337" i="1" s="1"/>
  <c r="AA340" i="1" s="1"/>
  <c r="AA343" i="1" s="1"/>
  <c r="AA346" i="1" s="1"/>
  <c r="AA349" i="1" s="1"/>
  <c r="AA352" i="1" s="1"/>
  <c r="AA355" i="1" s="1"/>
  <c r="AA358" i="1" s="1"/>
  <c r="AA361" i="1" s="1"/>
  <c r="AA364" i="1" s="1"/>
  <c r="AA367" i="1" s="1"/>
  <c r="AA370" i="1" s="1"/>
  <c r="AA373" i="1" s="1"/>
  <c r="AA376" i="1" s="1"/>
  <c r="AA379" i="1" s="1"/>
  <c r="AA382" i="1" s="1"/>
  <c r="AA385" i="1" s="1"/>
  <c r="AA388" i="1" s="1"/>
  <c r="AA391" i="1" s="1"/>
  <c r="AA394" i="1" s="1"/>
  <c r="AA397" i="1" s="1"/>
  <c r="AA400" i="1" s="1"/>
  <c r="AA403" i="1" s="1"/>
  <c r="AA406" i="1" s="1"/>
  <c r="AA409" i="1" s="1"/>
  <c r="AA412" i="1" s="1"/>
  <c r="AA415" i="1" s="1"/>
  <c r="AA418" i="1" s="1"/>
  <c r="AA421" i="1" s="1"/>
  <c r="AA424" i="1" s="1"/>
  <c r="AA427" i="1" s="1"/>
  <c r="AA430" i="1" s="1"/>
  <c r="AA433" i="1" s="1"/>
  <c r="AA436" i="1" s="1"/>
  <c r="AA439" i="1" s="1"/>
  <c r="AA442" i="1" s="1"/>
  <c r="AA445" i="1" s="1"/>
  <c r="AA448" i="1" s="1"/>
  <c r="AA451" i="1" s="1"/>
  <c r="AA454" i="1" s="1"/>
  <c r="AA457" i="1" s="1"/>
  <c r="AA460" i="1" s="1"/>
  <c r="AA463" i="1" s="1"/>
  <c r="AA466" i="1" s="1"/>
  <c r="AA469" i="1" s="1"/>
  <c r="AA472" i="1" s="1"/>
  <c r="AA475" i="1" s="1"/>
  <c r="AA478" i="1" s="1"/>
  <c r="AA481" i="1" s="1"/>
  <c r="AA484" i="1" s="1"/>
  <c r="AA487" i="1" s="1"/>
  <c r="AA490" i="1" s="1"/>
  <c r="AA493" i="1" s="1"/>
  <c r="AA496" i="1" s="1"/>
  <c r="AA499" i="1" s="1"/>
  <c r="AA502" i="1" s="1"/>
  <c r="AA505" i="1" s="1"/>
  <c r="AA508" i="1" s="1"/>
  <c r="AA511" i="1" s="1"/>
  <c r="AA514" i="1" s="1"/>
  <c r="AA517" i="1" s="1"/>
  <c r="AA520" i="1" s="1"/>
  <c r="AA523" i="1" s="1"/>
  <c r="AA526" i="1" s="1"/>
  <c r="AA529" i="1" s="1"/>
  <c r="AA532" i="1" s="1"/>
  <c r="AA535" i="1" s="1"/>
  <c r="AA538" i="1" s="1"/>
  <c r="AA541" i="1" s="1"/>
  <c r="AA544" i="1" s="1"/>
  <c r="AA547" i="1" s="1"/>
  <c r="AA550" i="1" s="1"/>
  <c r="AA553" i="1" s="1"/>
  <c r="AA556" i="1" s="1"/>
  <c r="AA559" i="1" s="1"/>
  <c r="AA562" i="1" s="1"/>
  <c r="AA565" i="1" s="1"/>
  <c r="AA568" i="1" s="1"/>
  <c r="AA571" i="1" s="1"/>
  <c r="AA574" i="1" s="1"/>
  <c r="AA577" i="1" s="1"/>
  <c r="AA580" i="1" s="1"/>
  <c r="AA583" i="1" s="1"/>
  <c r="AA586" i="1" s="1"/>
  <c r="AA589" i="1" s="1"/>
  <c r="AA592" i="1" s="1"/>
  <c r="AA595" i="1" s="1"/>
  <c r="AA598" i="1" s="1"/>
  <c r="AA601" i="1" s="1"/>
  <c r="AA604" i="1" s="1"/>
  <c r="AA607" i="1" s="1"/>
  <c r="AA610" i="1" s="1"/>
  <c r="AA613" i="1" s="1"/>
  <c r="AA616" i="1" s="1"/>
  <c r="AA619" i="1" s="1"/>
  <c r="AA622" i="1" s="1"/>
  <c r="AA625" i="1" s="1"/>
  <c r="AA628" i="1" s="1"/>
  <c r="AA631" i="1" s="1"/>
  <c r="AA634" i="1" s="1"/>
  <c r="AA637" i="1" s="1"/>
  <c r="AA640" i="1" s="1"/>
  <c r="AA643" i="1" s="1"/>
  <c r="AA646" i="1" s="1"/>
  <c r="AA649" i="1" s="1"/>
  <c r="AA652" i="1" s="1"/>
  <c r="AA655" i="1" s="1"/>
  <c r="AA658" i="1" s="1"/>
  <c r="AA661" i="1" s="1"/>
  <c r="AA664" i="1" s="1"/>
  <c r="AA667" i="1" s="1"/>
  <c r="AA670" i="1" s="1"/>
  <c r="AA673" i="1" s="1"/>
  <c r="AA676" i="1" s="1"/>
  <c r="AA679" i="1" s="1"/>
  <c r="AA682" i="1" s="1"/>
  <c r="AA685" i="1" s="1"/>
  <c r="AA688" i="1" s="1"/>
  <c r="AA691" i="1" s="1"/>
  <c r="AA694" i="1" s="1"/>
  <c r="AA697" i="1" s="1"/>
  <c r="AA700" i="1" s="1"/>
  <c r="AA703" i="1" s="1"/>
  <c r="AA706" i="1" s="1"/>
  <c r="AA709" i="1" s="1"/>
  <c r="AA712" i="1" s="1"/>
  <c r="AA715" i="1" s="1"/>
  <c r="AA718" i="1" s="1"/>
  <c r="AA721" i="1" s="1"/>
  <c r="AA724" i="1" s="1"/>
  <c r="AA727" i="1" s="1"/>
  <c r="AA730" i="1" s="1"/>
  <c r="AA733" i="1" s="1"/>
  <c r="AA736" i="1" s="1"/>
  <c r="AA739" i="1" s="1"/>
  <c r="AA742" i="1" s="1"/>
  <c r="AA745" i="1" s="1"/>
  <c r="AA748" i="1" s="1"/>
  <c r="AA751" i="1" s="1"/>
  <c r="AA754" i="1" s="1"/>
  <c r="AA757" i="1" s="1"/>
  <c r="AA760" i="1" s="1"/>
  <c r="AA763" i="1" s="1"/>
  <c r="AA766" i="1" s="1"/>
  <c r="AA769" i="1" s="1"/>
  <c r="AA772" i="1" s="1"/>
  <c r="AA775" i="1" s="1"/>
  <c r="AA778" i="1" s="1"/>
  <c r="AA781" i="1" s="1"/>
  <c r="AA784" i="1" s="1"/>
  <c r="AA787" i="1" s="1"/>
  <c r="AA790" i="1" s="1"/>
  <c r="AA793" i="1" s="1"/>
  <c r="AA796" i="1" s="1"/>
  <c r="AA799" i="1" s="1"/>
  <c r="AA802" i="1" s="1"/>
  <c r="AA805" i="1" s="1"/>
  <c r="AA808" i="1" s="1"/>
  <c r="AA811" i="1" s="1"/>
  <c r="AA814" i="1" s="1"/>
  <c r="AA817" i="1" s="1"/>
  <c r="AA820" i="1" s="1"/>
  <c r="AA823" i="1" s="1"/>
  <c r="AA826" i="1" s="1"/>
  <c r="AA829" i="1" s="1"/>
  <c r="AA832" i="1" s="1"/>
  <c r="AA835" i="1" s="1"/>
  <c r="AA838" i="1" s="1"/>
  <c r="AA841" i="1" s="1"/>
  <c r="AA844" i="1" s="1"/>
  <c r="AA847" i="1" s="1"/>
  <c r="AA850" i="1" s="1"/>
  <c r="AA853" i="1" s="1"/>
  <c r="AA856" i="1" s="1"/>
  <c r="AA859" i="1" s="1"/>
  <c r="AA862" i="1" s="1"/>
  <c r="AA865" i="1" s="1"/>
  <c r="AA868" i="1" s="1"/>
  <c r="AA871" i="1" s="1"/>
  <c r="AA874" i="1" s="1"/>
  <c r="AA877" i="1" s="1"/>
  <c r="AA880" i="1" s="1"/>
  <c r="AA883" i="1" s="1"/>
  <c r="AA886" i="1" s="1"/>
  <c r="AA889" i="1" s="1"/>
  <c r="AA892" i="1" s="1"/>
  <c r="AA895" i="1" s="1"/>
  <c r="AA898" i="1" s="1"/>
  <c r="AA901" i="1" s="1"/>
  <c r="AA904" i="1" s="1"/>
  <c r="AA907" i="1" s="1"/>
  <c r="AA910" i="1" s="1"/>
  <c r="AA913" i="1" s="1"/>
  <c r="AA916" i="1" s="1"/>
  <c r="AA919" i="1" s="1"/>
  <c r="AA922" i="1" s="1"/>
  <c r="AA925" i="1" s="1"/>
  <c r="AA928" i="1" s="1"/>
  <c r="AA931" i="1" s="1"/>
  <c r="AA934" i="1" s="1"/>
  <c r="AA937" i="1" s="1"/>
  <c r="AA940" i="1" s="1"/>
  <c r="AA943" i="1" s="1"/>
  <c r="AA946" i="1" s="1"/>
  <c r="AA949" i="1" s="1"/>
  <c r="AA952" i="1" s="1"/>
  <c r="X7" i="1"/>
  <c r="BG245" i="1"/>
  <c r="AG245" i="1"/>
  <c r="P245" i="1"/>
  <c r="BJ236" i="1"/>
  <c r="AJ236" i="1"/>
  <c r="P236" i="1"/>
  <c r="BG218" i="1"/>
  <c r="P218" i="1"/>
  <c r="P202" i="1"/>
  <c r="AQ202" i="1"/>
  <c r="BQ202" i="1"/>
  <c r="S187" i="1"/>
  <c r="P132" i="1"/>
  <c r="AJ132" i="1" s="1"/>
  <c r="BJ132" i="1"/>
  <c r="BJ119" i="1"/>
  <c r="AJ119" i="1"/>
  <c r="P119" i="1"/>
  <c r="AJ53" i="1"/>
  <c r="P53" i="1"/>
  <c r="BJ53" i="1"/>
  <c r="P34" i="1"/>
  <c r="AQ34" i="1"/>
  <c r="BQ34" i="1"/>
  <c r="BQ150" i="1"/>
  <c r="P150" i="1"/>
  <c r="BJ104" i="1"/>
  <c r="AJ104" i="1"/>
  <c r="P104" i="1"/>
  <c r="AG223" i="1"/>
  <c r="S223" i="1"/>
  <c r="R85" i="1"/>
  <c r="R88" i="1"/>
  <c r="R76" i="1"/>
  <c r="R83" i="1"/>
  <c r="E602" i="7"/>
  <c r="D602" i="7"/>
  <c r="D580" i="7"/>
  <c r="E580" i="7"/>
  <c r="E567" i="7"/>
  <c r="D567" i="7"/>
  <c r="E273" i="7"/>
  <c r="D273" i="7"/>
  <c r="D477" i="7"/>
  <c r="E477" i="7" s="1"/>
  <c r="F477" i="7"/>
  <c r="D336" i="7"/>
  <c r="E336" i="7"/>
  <c r="E167" i="7"/>
  <c r="D167" i="7"/>
  <c r="D420" i="7"/>
  <c r="E420" i="7"/>
  <c r="D182" i="7"/>
  <c r="E182" i="7"/>
  <c r="D69" i="7"/>
  <c r="E69" i="7"/>
  <c r="E301" i="7"/>
  <c r="D301" i="7"/>
  <c r="BZ892" i="1"/>
  <c r="T892" i="1"/>
  <c r="BQ935" i="1"/>
  <c r="P935" i="1"/>
  <c r="D895" i="1"/>
  <c r="DJ892" i="1"/>
  <c r="DJ893" i="1"/>
  <c r="DJ894" i="1"/>
  <c r="BQ886" i="1"/>
  <c r="AQ886" i="1"/>
  <c r="P886" i="1"/>
  <c r="BJ911" i="1"/>
  <c r="P911" i="1"/>
  <c r="AI887" i="1"/>
  <c r="P887" i="1"/>
  <c r="BI887" i="1"/>
  <c r="BF836" i="1"/>
  <c r="P836" i="1"/>
  <c r="BJ833" i="1"/>
  <c r="P833" i="1"/>
  <c r="Q893" i="1"/>
  <c r="DJ819" i="1"/>
  <c r="DJ818" i="1"/>
  <c r="D820" i="1"/>
  <c r="DJ817" i="1"/>
  <c r="BQ713" i="1"/>
  <c r="P713" i="1"/>
  <c r="T616" i="1"/>
  <c r="CD616" i="1"/>
  <c r="DJ630" i="1"/>
  <c r="DJ628" i="1"/>
  <c r="D631" i="1"/>
  <c r="DJ629" i="1"/>
  <c r="AJ602" i="1"/>
  <c r="P602" i="1"/>
  <c r="BJ602" i="1"/>
  <c r="DK628" i="1"/>
  <c r="BT397" i="1"/>
  <c r="T397" i="1"/>
  <c r="Q605" i="1"/>
  <c r="BJ539" i="1"/>
  <c r="P539" i="1"/>
  <c r="AM506" i="1"/>
  <c r="P506" i="1"/>
  <c r="BM506" i="1"/>
  <c r="AJ416" i="1"/>
  <c r="P416" i="1"/>
  <c r="BJ416" i="1"/>
  <c r="BF401" i="1"/>
  <c r="P401" i="1"/>
  <c r="BQ454" i="1"/>
  <c r="P454" i="1"/>
  <c r="AQ454" i="1"/>
  <c r="BQ326" i="1"/>
  <c r="P326" i="1"/>
  <c r="D412" i="7"/>
  <c r="E412" i="7"/>
  <c r="E343" i="7"/>
  <c r="D343" i="7"/>
  <c r="E594" i="7"/>
  <c r="D594" i="7"/>
  <c r="E525" i="7"/>
  <c r="D525" i="7"/>
  <c r="D294" i="7"/>
  <c r="E294" i="7"/>
  <c r="E441" i="7"/>
  <c r="D441" i="7"/>
  <c r="D328" i="7"/>
  <c r="E328" i="7"/>
  <c r="C155" i="7"/>
  <c r="F155" i="7" s="1"/>
  <c r="F13" i="7"/>
  <c r="D13" i="7"/>
  <c r="E13" i="7" s="1"/>
  <c r="E363" i="7"/>
  <c r="D363" i="7"/>
  <c r="E189" i="7"/>
  <c r="D189" i="7"/>
  <c r="D119" i="7"/>
  <c r="E119" i="7"/>
  <c r="D11" i="7"/>
  <c r="B12" i="7"/>
  <c r="F11" i="7"/>
  <c r="E11" i="7"/>
  <c r="F16" i="8"/>
  <c r="F17" i="8" s="1"/>
  <c r="F18" i="8" s="1"/>
  <c r="F19" i="8" s="1"/>
  <c r="E98" i="7"/>
  <c r="D98" i="7"/>
  <c r="D152" i="7"/>
  <c r="E152" i="7" s="1"/>
  <c r="E132" i="7"/>
  <c r="D132" i="7"/>
  <c r="E49" i="7"/>
  <c r="D49" i="7"/>
  <c r="B22" i="7"/>
  <c r="DK925" i="1"/>
  <c r="BJ899" i="1"/>
  <c r="AJ899" i="1"/>
  <c r="P899" i="1"/>
  <c r="AI914" i="1"/>
  <c r="P914" i="1"/>
  <c r="BI914" i="1"/>
  <c r="P851" i="1"/>
  <c r="BI851" i="1"/>
  <c r="AI851" i="1"/>
  <c r="P888" i="1"/>
  <c r="AJ888" i="1" s="1"/>
  <c r="BJ888" i="1"/>
  <c r="DJ863" i="1"/>
  <c r="DJ862" i="1"/>
  <c r="DJ864" i="1"/>
  <c r="D865" i="1"/>
  <c r="BW730" i="1"/>
  <c r="BG798" i="1"/>
  <c r="P798" i="1"/>
  <c r="AG798" i="1" s="1"/>
  <c r="BT670" i="1"/>
  <c r="T670" i="1"/>
  <c r="BQ741" i="1"/>
  <c r="P741" i="1"/>
  <c r="AQ741" i="1" s="1"/>
  <c r="T685" i="1"/>
  <c r="BZ685" i="1"/>
  <c r="S646" i="1"/>
  <c r="AG647" i="1"/>
  <c r="AM608" i="1"/>
  <c r="P608" i="1"/>
  <c r="BM608" i="1"/>
  <c r="T520" i="1"/>
  <c r="BZ520" i="1"/>
  <c r="BQ586" i="1"/>
  <c r="AQ586" i="1"/>
  <c r="P586" i="1"/>
  <c r="BV250" i="1"/>
  <c r="BT31" i="1"/>
  <c r="T31" i="1"/>
  <c r="F4" i="2"/>
  <c r="T466" i="1"/>
  <c r="AJ431" i="1"/>
  <c r="P431" i="1"/>
  <c r="BJ431" i="1"/>
  <c r="P357" i="1"/>
  <c r="P356" i="1"/>
  <c r="BH356" i="1"/>
  <c r="P306" i="1"/>
  <c r="AM306" i="1"/>
  <c r="BM306" i="1"/>
  <c r="Q284" i="1"/>
  <c r="BF278" i="1"/>
  <c r="P278" i="1"/>
  <c r="E329" i="7"/>
  <c r="D329" i="7"/>
  <c r="D538" i="7"/>
  <c r="E538" i="7"/>
  <c r="E469" i="7"/>
  <c r="D469" i="7"/>
  <c r="D39" i="7"/>
  <c r="E39" i="7" s="1"/>
  <c r="F39" i="7"/>
  <c r="E315" i="7"/>
  <c r="D315" i="7"/>
  <c r="D40" i="7"/>
  <c r="E40" i="7" s="1"/>
  <c r="F40" i="7"/>
  <c r="BW952" i="1"/>
  <c r="D342" i="7"/>
  <c r="E342" i="7"/>
  <c r="BQ945" i="1"/>
  <c r="P945" i="1"/>
  <c r="AQ945" i="1" s="1"/>
  <c r="F152" i="7"/>
  <c r="BJ947" i="1"/>
  <c r="P947" i="1"/>
  <c r="DK817" i="1"/>
  <c r="S742" i="1"/>
  <c r="P821" i="1"/>
  <c r="AJ821" i="1" s="1"/>
  <c r="BJ821" i="1"/>
  <c r="BJ761" i="1"/>
  <c r="P761" i="1"/>
  <c r="T724" i="1"/>
  <c r="BW724" i="1"/>
  <c r="BM716" i="1"/>
  <c r="P716" i="1"/>
  <c r="D688" i="1"/>
  <c r="DJ687" i="1"/>
  <c r="DJ686" i="1"/>
  <c r="DJ685" i="1"/>
  <c r="AH680" i="1"/>
  <c r="S679" i="1"/>
  <c r="BJ755" i="1"/>
  <c r="P755" i="1"/>
  <c r="BU655" i="1"/>
  <c r="T655" i="1"/>
  <c r="BT640" i="1"/>
  <c r="BW601" i="1"/>
  <c r="P651" i="1"/>
  <c r="P650" i="1"/>
  <c r="BH650" i="1"/>
  <c r="P654" i="1"/>
  <c r="BH653" i="1"/>
  <c r="P653" i="1"/>
  <c r="S592" i="1"/>
  <c r="BQ628" i="1"/>
  <c r="P628" i="1"/>
  <c r="AQ628" i="1"/>
  <c r="BJ622" i="1"/>
  <c r="AJ622" i="1"/>
  <c r="P622" i="1"/>
  <c r="S613" i="1"/>
  <c r="BJ600" i="1"/>
  <c r="AJ600" i="1"/>
  <c r="P600" i="1"/>
  <c r="CD535" i="1"/>
  <c r="T535" i="1"/>
  <c r="BT535" i="1"/>
  <c r="S478" i="1"/>
  <c r="BZ409" i="1"/>
  <c r="BT409" i="1"/>
  <c r="T409" i="1"/>
  <c r="S532" i="1"/>
  <c r="T514" i="1"/>
  <c r="BQ591" i="1"/>
  <c r="P591" i="1"/>
  <c r="AQ591" i="1" s="1"/>
  <c r="BM515" i="1"/>
  <c r="AM515" i="1"/>
  <c r="P515" i="1"/>
  <c r="P497" i="1"/>
  <c r="BJ497" i="1"/>
  <c r="P446" i="1"/>
  <c r="BG446" i="1"/>
  <c r="BQ434" i="1"/>
  <c r="P434" i="1"/>
  <c r="P588" i="1"/>
  <c r="BJ588" i="1"/>
  <c r="P551" i="1"/>
  <c r="BG551" i="1"/>
  <c r="AJ458" i="1"/>
  <c r="P458" i="1"/>
  <c r="BJ458" i="1"/>
  <c r="BJ448" i="1"/>
  <c r="P448" i="1"/>
  <c r="P440" i="1"/>
  <c r="BG440" i="1"/>
  <c r="T568" i="1"/>
  <c r="BW568" i="1"/>
  <c r="AM500" i="1"/>
  <c r="P500" i="1"/>
  <c r="BM500" i="1"/>
  <c r="S490" i="1"/>
  <c r="T637" i="1"/>
  <c r="BW637" i="1"/>
  <c r="BM272" i="1"/>
  <c r="P272" i="1"/>
  <c r="BW211" i="1"/>
  <c r="BW37" i="1"/>
  <c r="G13" i="2"/>
  <c r="BJ541" i="1"/>
  <c r="P541" i="1"/>
  <c r="BQ509" i="1"/>
  <c r="P509" i="1"/>
  <c r="AQ509" i="1" s="1"/>
  <c r="BM461" i="1"/>
  <c r="P461" i="1"/>
  <c r="BT349" i="1"/>
  <c r="DJ349" i="1"/>
  <c r="D352" i="1"/>
  <c r="DJ350" i="1"/>
  <c r="DJ351" i="1"/>
  <c r="DK349" i="1"/>
  <c r="AI305" i="1"/>
  <c r="BI305" i="1"/>
  <c r="P305" i="1"/>
  <c r="P302" i="1"/>
  <c r="BJ302" i="1"/>
  <c r="AI279" i="1"/>
  <c r="P279" i="1"/>
  <c r="BI279" i="1"/>
  <c r="T262" i="1"/>
  <c r="S259" i="1"/>
  <c r="BW232" i="1"/>
  <c r="BZ199" i="1"/>
  <c r="CD181" i="1"/>
  <c r="T121" i="1"/>
  <c r="BW94" i="1"/>
  <c r="CD91" i="1"/>
  <c r="CD76" i="1"/>
  <c r="CD442" i="1"/>
  <c r="BJ395" i="1"/>
  <c r="P395" i="1"/>
  <c r="AJ395" i="1"/>
  <c r="AM362" i="1"/>
  <c r="P362" i="1"/>
  <c r="BM362" i="1"/>
  <c r="BZ361" i="1"/>
  <c r="T328" i="1"/>
  <c r="CD328" i="1"/>
  <c r="S280" i="1"/>
  <c r="P526" i="1"/>
  <c r="BM526" i="1"/>
  <c r="P473" i="1"/>
  <c r="AG473" i="1" s="1"/>
  <c r="BG473" i="1"/>
  <c r="S454" i="1"/>
  <c r="DJ423" i="1"/>
  <c r="DJ422" i="1"/>
  <c r="DJ421" i="1"/>
  <c r="D424" i="1"/>
  <c r="S304" i="1"/>
  <c r="T238" i="1"/>
  <c r="P208" i="1"/>
  <c r="BG208" i="1"/>
  <c r="AG208" i="1"/>
  <c r="BM134" i="1"/>
  <c r="P134" i="1"/>
  <c r="DJ66" i="1"/>
  <c r="DJ64" i="1"/>
  <c r="D67" i="1"/>
  <c r="DK64" i="1"/>
  <c r="DJ65" i="1"/>
  <c r="P30" i="1"/>
  <c r="BQ30" i="1"/>
  <c r="Q10" i="1"/>
  <c r="P244" i="1"/>
  <c r="BF244" i="1"/>
  <c r="BJ131" i="1"/>
  <c r="P131" i="1"/>
  <c r="BM128" i="1"/>
  <c r="P128" i="1"/>
  <c r="AM128" i="1"/>
  <c r="BM110" i="1"/>
  <c r="AM110" i="1"/>
  <c r="P110" i="1"/>
  <c r="BU106" i="1"/>
  <c r="BM71" i="1"/>
  <c r="P71" i="1"/>
  <c r="AJ61" i="1"/>
  <c r="S61" i="1"/>
  <c r="T49" i="1"/>
  <c r="BJ36" i="1"/>
  <c r="P36" i="1"/>
  <c r="DK13" i="1"/>
  <c r="BF14" i="1"/>
  <c r="AF14" i="1"/>
  <c r="P14" i="1"/>
  <c r="R305" i="1"/>
  <c r="R382" i="1" s="1"/>
  <c r="R485" i="1" s="1"/>
  <c r="R583" i="1" s="1"/>
  <c r="R623" i="1" s="1"/>
  <c r="R626" i="1" s="1"/>
  <c r="R709" i="1" s="1"/>
  <c r="R718" i="1" s="1"/>
  <c r="R297" i="1"/>
  <c r="P158" i="1"/>
  <c r="BF158" i="1"/>
  <c r="P58" i="1"/>
  <c r="BJ58" i="1"/>
  <c r="R557" i="1"/>
  <c r="R563" i="1"/>
  <c r="R565" i="1" s="1"/>
  <c r="R632" i="1" s="1"/>
  <c r="BQ26" i="1"/>
  <c r="P26" i="1"/>
  <c r="AJ229" i="1"/>
  <c r="S229" i="1"/>
  <c r="S154" i="1"/>
  <c r="AM220" i="1"/>
  <c r="R154" i="1"/>
  <c r="R167" i="1" s="1"/>
  <c r="R179" i="1" s="1"/>
  <c r="R184" i="1" s="1"/>
  <c r="R199" i="1" s="1"/>
  <c r="R205" i="1" s="1"/>
  <c r="R220" i="1" s="1"/>
  <c r="R151" i="1"/>
  <c r="AF169" i="1"/>
  <c r="S169" i="1"/>
  <c r="CD904" i="1"/>
  <c r="T904" i="1"/>
  <c r="DJ927" i="1"/>
  <c r="DJ926" i="1"/>
  <c r="DJ925" i="1"/>
  <c r="P867" i="1"/>
  <c r="BF867" i="1"/>
  <c r="AG820" i="1"/>
  <c r="BG820" i="1"/>
  <c r="P820" i="1"/>
  <c r="P806" i="1"/>
  <c r="BJ806" i="1"/>
  <c r="BJ785" i="1"/>
  <c r="P785" i="1"/>
  <c r="AG740" i="1"/>
  <c r="BG740" i="1"/>
  <c r="P740" i="1"/>
  <c r="BG723" i="1"/>
  <c r="AG723" i="1"/>
  <c r="P723" i="1"/>
  <c r="P704" i="1"/>
  <c r="BJ704" i="1"/>
  <c r="T676" i="1"/>
  <c r="CD676" i="1"/>
  <c r="BM578" i="1"/>
  <c r="AM578" i="1"/>
  <c r="P578" i="1"/>
  <c r="T502" i="1"/>
  <c r="BT502" i="1"/>
  <c r="P560" i="1"/>
  <c r="BQ560" i="1"/>
  <c r="DJ515" i="1"/>
  <c r="DJ516" i="1"/>
  <c r="DJ514" i="1"/>
  <c r="D517" i="1"/>
  <c r="AQ418" i="1"/>
  <c r="S418" i="1"/>
  <c r="BQ284" i="1"/>
  <c r="P284" i="1"/>
  <c r="BQ430" i="1"/>
  <c r="P430" i="1"/>
  <c r="BQ407" i="1"/>
  <c r="P407" i="1"/>
  <c r="D560" i="7"/>
  <c r="E560" i="7"/>
  <c r="E511" i="7"/>
  <c r="D511" i="7"/>
  <c r="AJ954" i="1"/>
  <c r="BJ954" i="1"/>
  <c r="P954" i="1"/>
  <c r="E307" i="7"/>
  <c r="D307" i="7"/>
  <c r="D188" i="7"/>
  <c r="E188" i="7"/>
  <c r="T925" i="1"/>
  <c r="CD925" i="1"/>
  <c r="S940" i="1"/>
  <c r="AM940" i="1"/>
  <c r="BJ917" i="1"/>
  <c r="AJ917" i="1"/>
  <c r="P917" i="1"/>
  <c r="CD691" i="1"/>
  <c r="T691" i="1"/>
  <c r="BJ752" i="1"/>
  <c r="P752" i="1"/>
  <c r="DJ714" i="1"/>
  <c r="D715" i="1"/>
  <c r="DJ713" i="1"/>
  <c r="DJ712" i="1"/>
  <c r="P721" i="1"/>
  <c r="BH721" i="1"/>
  <c r="AJ782" i="1"/>
  <c r="S781" i="1"/>
  <c r="AI727" i="1"/>
  <c r="BI727" i="1"/>
  <c r="P727" i="1"/>
  <c r="AM634" i="1"/>
  <c r="S634" i="1"/>
  <c r="BT628" i="1"/>
  <c r="T628" i="1"/>
  <c r="S553" i="1"/>
  <c r="S511" i="1"/>
  <c r="BT487" i="1"/>
  <c r="T487" i="1"/>
  <c r="BQ590" i="1"/>
  <c r="AQ590" i="1"/>
  <c r="P590" i="1"/>
  <c r="BQ320" i="1"/>
  <c r="P320" i="1"/>
  <c r="BI296" i="1"/>
  <c r="AI296" i="1"/>
  <c r="P296" i="1"/>
  <c r="AJ571" i="1"/>
  <c r="P571" i="1"/>
  <c r="S571" i="1"/>
  <c r="BJ571" i="1"/>
  <c r="AG562" i="1"/>
  <c r="S562" i="1"/>
  <c r="T457" i="1"/>
  <c r="CD457" i="1"/>
  <c r="BG530" i="1"/>
  <c r="P530" i="1"/>
  <c r="AG530" i="1"/>
  <c r="AJ529" i="1"/>
  <c r="S529" i="1"/>
  <c r="E553" i="7"/>
  <c r="D553" i="7"/>
  <c r="D483" i="7"/>
  <c r="E483" i="7"/>
  <c r="D518" i="7"/>
  <c r="E518" i="7"/>
  <c r="B449" i="7"/>
  <c r="D490" i="7"/>
  <c r="E490" i="7"/>
  <c r="F9" i="7"/>
  <c r="E9" i="7"/>
  <c r="D9" i="7"/>
  <c r="B51" i="7"/>
  <c r="F50" i="7"/>
  <c r="D50" i="7"/>
  <c r="E50" i="7" s="1"/>
  <c r="C24" i="7"/>
  <c r="F24" i="7" s="1"/>
  <c r="E45" i="7"/>
  <c r="D45" i="7"/>
  <c r="S931" i="1"/>
  <c r="S928" i="1"/>
  <c r="T919" i="1"/>
  <c r="P915" i="1"/>
  <c r="AQ915" i="1"/>
  <c r="BQ915" i="1"/>
  <c r="S901" i="1"/>
  <c r="BG890" i="1"/>
  <c r="P890" i="1"/>
  <c r="AG890" i="1"/>
  <c r="BJ860" i="1"/>
  <c r="P860" i="1"/>
  <c r="BQ852" i="1"/>
  <c r="AQ852" i="1"/>
  <c r="P852" i="1"/>
  <c r="BG916" i="1"/>
  <c r="P916" i="1"/>
  <c r="AQ902" i="1"/>
  <c r="P902" i="1"/>
  <c r="BQ902" i="1"/>
  <c r="S898" i="1"/>
  <c r="S886" i="1"/>
  <c r="P875" i="1"/>
  <c r="BJ875" i="1"/>
  <c r="BG872" i="1"/>
  <c r="P872" i="1"/>
  <c r="DK862" i="1"/>
  <c r="BW850" i="1"/>
  <c r="BJ830" i="1"/>
  <c r="P830" i="1"/>
  <c r="BW802" i="1"/>
  <c r="S727" i="1"/>
  <c r="S700" i="1"/>
  <c r="P857" i="1"/>
  <c r="BJ857" i="1"/>
  <c r="S847" i="1"/>
  <c r="S826" i="1"/>
  <c r="T841" i="1"/>
  <c r="BM818" i="1"/>
  <c r="P818" i="1"/>
  <c r="BQ809" i="1"/>
  <c r="P809" i="1"/>
  <c r="BF834" i="1"/>
  <c r="AF834" i="1"/>
  <c r="P834" i="1"/>
  <c r="E455" i="7"/>
  <c r="D455" i="7"/>
  <c r="D462" i="7"/>
  <c r="E462" i="7"/>
  <c r="F446" i="7"/>
  <c r="E427" i="7"/>
  <c r="D427" i="7"/>
  <c r="E392" i="7"/>
  <c r="D392" i="7"/>
  <c r="E287" i="7"/>
  <c r="D287" i="7"/>
  <c r="D308" i="7"/>
  <c r="E308" i="7"/>
  <c r="D175" i="7"/>
  <c r="E175" i="7"/>
  <c r="D350" i="7"/>
  <c r="E350" i="7"/>
  <c r="D245" i="7"/>
  <c r="E245" i="7"/>
  <c r="B478" i="7"/>
  <c r="E153" i="7"/>
  <c r="D153" i="7"/>
  <c r="F26" i="7"/>
  <c r="D26" i="7"/>
  <c r="E26" i="7" s="1"/>
  <c r="T922" i="1"/>
  <c r="D77" i="7"/>
  <c r="E77" i="7"/>
  <c r="D29" i="7"/>
  <c r="E29" i="7"/>
  <c r="F29" i="7"/>
  <c r="B30" i="7"/>
  <c r="B60" i="7"/>
  <c r="E59" i="7"/>
  <c r="D59" i="7"/>
  <c r="F59" i="7"/>
  <c r="E384" i="7"/>
  <c r="D384" i="7"/>
  <c r="D286" i="7"/>
  <c r="E286" i="7"/>
  <c r="D252" i="7"/>
  <c r="E252" i="7"/>
  <c r="E231" i="7"/>
  <c r="D231" i="7"/>
  <c r="E223" i="7"/>
  <c r="D223" i="7"/>
  <c r="D133" i="7"/>
  <c r="E133" i="7"/>
  <c r="D111" i="7"/>
  <c r="E111" i="7"/>
  <c r="D63" i="7"/>
  <c r="E63" i="7"/>
  <c r="B46" i="7"/>
  <c r="F38" i="7"/>
  <c r="C38" i="7"/>
  <c r="E125" i="7"/>
  <c r="D125" i="7"/>
  <c r="BJ932" i="1"/>
  <c r="AJ932" i="1"/>
  <c r="P932" i="1"/>
  <c r="DK892" i="1"/>
  <c r="S913" i="1"/>
  <c r="BM896" i="1"/>
  <c r="P896" i="1"/>
  <c r="P891" i="1"/>
  <c r="BJ891" i="1"/>
  <c r="P878" i="1"/>
  <c r="BJ878" i="1"/>
  <c r="BJ839" i="1"/>
  <c r="P839" i="1"/>
  <c r="S709" i="1"/>
  <c r="BQ869" i="1"/>
  <c r="P869" i="1"/>
  <c r="P845" i="1"/>
  <c r="BM845" i="1"/>
  <c r="P779" i="1"/>
  <c r="BG779" i="1"/>
  <c r="BJ758" i="1"/>
  <c r="P758" i="1"/>
  <c r="S820" i="1"/>
  <c r="D769" i="1"/>
  <c r="BM695" i="1"/>
  <c r="P695" i="1"/>
  <c r="BW664" i="1"/>
  <c r="DK712" i="1"/>
  <c r="P669" i="1"/>
  <c r="P668" i="1"/>
  <c r="BH668" i="1"/>
  <c r="P662" i="1"/>
  <c r="BM662" i="1"/>
  <c r="AH749" i="1"/>
  <c r="S748" i="1"/>
  <c r="BJ719" i="1"/>
  <c r="P719" i="1"/>
  <c r="AJ719" i="1" s="1"/>
  <c r="BM620" i="1"/>
  <c r="P620" i="1"/>
  <c r="BW604" i="1"/>
  <c r="BM644" i="1"/>
  <c r="P644" i="1"/>
  <c r="P614" i="1"/>
  <c r="BJ614" i="1"/>
  <c r="AJ614" i="1"/>
  <c r="BM640" i="1"/>
  <c r="AM640" i="1"/>
  <c r="P640" i="1"/>
  <c r="S631" i="1"/>
  <c r="S658" i="1"/>
  <c r="S607" i="1"/>
  <c r="T607" i="1" s="1"/>
  <c r="S598" i="1"/>
  <c r="T598" i="1" s="1"/>
  <c r="T583" i="1"/>
  <c r="BV583" i="1"/>
  <c r="BG566" i="1"/>
  <c r="P566" i="1"/>
  <c r="CD547" i="1"/>
  <c r="T547" i="1"/>
  <c r="S517" i="1"/>
  <c r="DJ597" i="1"/>
  <c r="DJ596" i="1"/>
  <c r="D598" i="1"/>
  <c r="DJ595" i="1"/>
  <c r="AG567" i="1"/>
  <c r="BG567" i="1"/>
  <c r="P567" i="1"/>
  <c r="BZ523" i="1"/>
  <c r="S484" i="1"/>
  <c r="P589" i="1"/>
  <c r="BG589" i="1"/>
  <c r="AG589" i="1"/>
  <c r="S589" i="1"/>
  <c r="AM494" i="1"/>
  <c r="P494" i="1"/>
  <c r="BM494" i="1"/>
  <c r="BZ463" i="1"/>
  <c r="BU364" i="1"/>
  <c r="T364" i="1"/>
  <c r="BU352" i="1"/>
  <c r="T352" i="1"/>
  <c r="BS256" i="1"/>
  <c r="S247" i="1"/>
  <c r="T247" i="1" s="1"/>
  <c r="P436" i="1"/>
  <c r="BG436" i="1"/>
  <c r="AG436" i="1"/>
  <c r="S436" i="1"/>
  <c r="S295" i="1"/>
  <c r="P572" i="1"/>
  <c r="AM572" i="1" s="1"/>
  <c r="BM572" i="1"/>
  <c r="AQ467" i="1"/>
  <c r="BQ467" i="1"/>
  <c r="P467" i="1"/>
  <c r="BM452" i="1"/>
  <c r="P452" i="1"/>
  <c r="AM452" i="1"/>
  <c r="AG413" i="1"/>
  <c r="BG413" i="1"/>
  <c r="P413" i="1"/>
  <c r="BZ391" i="1"/>
  <c r="P386" i="1"/>
  <c r="BG386" i="1"/>
  <c r="BG344" i="1"/>
  <c r="P344" i="1"/>
  <c r="AG344" i="1"/>
  <c r="BW298" i="1"/>
  <c r="T298" i="1"/>
  <c r="P294" i="1"/>
  <c r="BJ294" i="1"/>
  <c r="BT151" i="1"/>
  <c r="T151" i="1"/>
  <c r="F12" i="2"/>
  <c r="G12" i="2" s="1"/>
  <c r="G9" i="2"/>
  <c r="CD241" i="1"/>
  <c r="AJ508" i="1"/>
  <c r="P508" i="1"/>
  <c r="S508" i="1"/>
  <c r="BJ508" i="1"/>
  <c r="S427" i="1"/>
  <c r="T421" i="1"/>
  <c r="BW421" i="1"/>
  <c r="AG347" i="1"/>
  <c r="P347" i="1"/>
  <c r="BG347" i="1"/>
  <c r="BW289" i="1"/>
  <c r="BW262" i="1"/>
  <c r="S208" i="1"/>
  <c r="S196" i="1"/>
  <c r="CD31" i="1"/>
  <c r="Q8" i="1"/>
  <c r="AJ185" i="1"/>
  <c r="P185" i="1"/>
  <c r="BJ185" i="1"/>
  <c r="S469" i="1"/>
  <c r="P394" i="1"/>
  <c r="BM394" i="1"/>
  <c r="CD349" i="1"/>
  <c r="DJ267" i="1"/>
  <c r="DJ266" i="1"/>
  <c r="D268" i="1"/>
  <c r="DJ265" i="1"/>
  <c r="BM472" i="1"/>
  <c r="P472" i="1"/>
  <c r="AM472" i="1"/>
  <c r="S412" i="1"/>
  <c r="S343" i="1"/>
  <c r="BQ338" i="1"/>
  <c r="P338" i="1"/>
  <c r="CD322" i="1"/>
  <c r="D391" i="1"/>
  <c r="DJ390" i="1"/>
  <c r="DJ388" i="1"/>
  <c r="DJ389" i="1"/>
  <c r="BJ221" i="1"/>
  <c r="P221" i="1"/>
  <c r="AJ221" i="1" s="1"/>
  <c r="P190" i="1"/>
  <c r="BG190" i="1"/>
  <c r="AG190" i="1"/>
  <c r="S175" i="1"/>
  <c r="P164" i="1"/>
  <c r="BJ164" i="1"/>
  <c r="AJ164" i="1"/>
  <c r="AJ77" i="1"/>
  <c r="P77" i="1"/>
  <c r="BJ77" i="1"/>
  <c r="BW49" i="1"/>
  <c r="BQ47" i="1"/>
  <c r="P47" i="1"/>
  <c r="BJ29" i="1"/>
  <c r="P29" i="1"/>
  <c r="AJ29" i="1"/>
  <c r="P235" i="1"/>
  <c r="BI235" i="1"/>
  <c r="D235" i="1"/>
  <c r="DJ233" i="1"/>
  <c r="DJ232" i="1"/>
  <c r="DJ234" i="1"/>
  <c r="BG188" i="1"/>
  <c r="P188" i="1"/>
  <c r="AG188" i="1"/>
  <c r="DJ185" i="1"/>
  <c r="DK184" i="1"/>
  <c r="D187" i="1"/>
  <c r="DJ186" i="1"/>
  <c r="DJ184" i="1"/>
  <c r="BQ149" i="1"/>
  <c r="P149" i="1"/>
  <c r="AQ149" i="1"/>
  <c r="CD142" i="1"/>
  <c r="BQ86" i="1"/>
  <c r="P86" i="1"/>
  <c r="P68" i="1"/>
  <c r="BJ68" i="1"/>
  <c r="AJ68" i="1"/>
  <c r="BM64" i="1"/>
  <c r="P64" i="1"/>
  <c r="S64" i="1"/>
  <c r="AM64" i="1"/>
  <c r="AF40" i="1"/>
  <c r="P40" i="1"/>
  <c r="BF40" i="1"/>
  <c r="P17" i="1"/>
  <c r="BG17" i="1"/>
  <c r="AF230" i="1"/>
  <c r="P230" i="1"/>
  <c r="BF230" i="1"/>
  <c r="DJ141" i="1"/>
  <c r="DJ140" i="1"/>
  <c r="D142" i="1"/>
  <c r="DJ139" i="1"/>
  <c r="DK139" i="1"/>
  <c r="BV73" i="1"/>
  <c r="AQ50" i="1"/>
  <c r="P50" i="1"/>
  <c r="BQ50" i="1"/>
  <c r="BM167" i="1"/>
  <c r="P167" i="1"/>
  <c r="AM167" i="1"/>
  <c r="S163" i="1"/>
  <c r="BQ140" i="1"/>
  <c r="P140" i="1"/>
  <c r="BF125" i="1"/>
  <c r="P125" i="1"/>
  <c r="AG18" i="1"/>
  <c r="BG18" i="1"/>
  <c r="P18" i="1"/>
  <c r="DF10" i="1"/>
  <c r="DG9" i="1"/>
  <c r="R102" i="1"/>
  <c r="R101" i="1"/>
  <c r="J12" i="2" l="1"/>
  <c r="I12" i="2"/>
  <c r="T727" i="1"/>
  <c r="BW727" i="1"/>
  <c r="C449" i="7"/>
  <c r="T781" i="1"/>
  <c r="BW781" i="1"/>
  <c r="D718" i="1"/>
  <c r="DJ717" i="1"/>
  <c r="DJ716" i="1"/>
  <c r="DJ715" i="1"/>
  <c r="DK715" i="1"/>
  <c r="T940" i="1"/>
  <c r="CD940" i="1"/>
  <c r="R727" i="1"/>
  <c r="R730" i="1"/>
  <c r="R739" i="1" s="1"/>
  <c r="R808" i="1" s="1"/>
  <c r="R811" i="1" s="1"/>
  <c r="R851" i="1" s="1"/>
  <c r="R887" i="1" s="1"/>
  <c r="R905" i="1" s="1"/>
  <c r="R914" i="1" s="1"/>
  <c r="B6" i="2" s="1"/>
  <c r="T280" i="1"/>
  <c r="CD280" i="1"/>
  <c r="AM272" i="1"/>
  <c r="S271" i="1"/>
  <c r="AG440" i="1"/>
  <c r="S439" i="1"/>
  <c r="AJ755" i="1"/>
  <c r="S754" i="1"/>
  <c r="AF836" i="1"/>
  <c r="S835" i="1"/>
  <c r="S379" i="1"/>
  <c r="AJ380" i="1"/>
  <c r="T733" i="1"/>
  <c r="CD733" i="1"/>
  <c r="AQ746" i="1"/>
  <c r="S745" i="1"/>
  <c r="AQ794" i="1"/>
  <c r="S793" i="1"/>
  <c r="AQ737" i="1"/>
  <c r="S736" i="1"/>
  <c r="C44" i="7"/>
  <c r="F44" i="7"/>
  <c r="AJ226" i="1"/>
  <c r="S226" i="1"/>
  <c r="P14" i="2"/>
  <c r="T469" i="1"/>
  <c r="BT469" i="1"/>
  <c r="T436" i="1"/>
  <c r="CD436" i="1"/>
  <c r="DJ237" i="1"/>
  <c r="DJ236" i="1"/>
  <c r="D238" i="1"/>
  <c r="DJ235" i="1"/>
  <c r="DK235" i="1"/>
  <c r="DJ393" i="1"/>
  <c r="DJ392" i="1"/>
  <c r="D394" i="1"/>
  <c r="DJ391" i="1"/>
  <c r="DK391" i="1"/>
  <c r="AM394" i="1"/>
  <c r="S394" i="1"/>
  <c r="T295" i="1"/>
  <c r="BW295" i="1"/>
  <c r="T484" i="1"/>
  <c r="BW484" i="1"/>
  <c r="T517" i="1"/>
  <c r="BT517" i="1"/>
  <c r="AJ878" i="1"/>
  <c r="S877" i="1"/>
  <c r="AM818" i="1"/>
  <c r="S817" i="1"/>
  <c r="AM644" i="1"/>
  <c r="S643" i="1"/>
  <c r="AM662" i="1"/>
  <c r="S661" i="1"/>
  <c r="DJ771" i="1"/>
  <c r="DJ770" i="1"/>
  <c r="DJ769" i="1"/>
  <c r="DK769" i="1"/>
  <c r="D772" i="1"/>
  <c r="C60" i="7"/>
  <c r="AJ875" i="1"/>
  <c r="S874" i="1"/>
  <c r="AG916" i="1"/>
  <c r="S916" i="1"/>
  <c r="T916" i="1" s="1"/>
  <c r="T571" i="1"/>
  <c r="BZ571" i="1"/>
  <c r="T418" i="1"/>
  <c r="CD418" i="1"/>
  <c r="D520" i="1"/>
  <c r="DJ517" i="1"/>
  <c r="DJ519" i="1"/>
  <c r="DJ518" i="1"/>
  <c r="DK517" i="1"/>
  <c r="Q64" i="1"/>
  <c r="Q431" i="1"/>
  <c r="AG446" i="1"/>
  <c r="S445" i="1"/>
  <c r="T592" i="1"/>
  <c r="BT592" i="1"/>
  <c r="C22" i="7"/>
  <c r="B156" i="7"/>
  <c r="DJ633" i="1"/>
  <c r="DJ632" i="1"/>
  <c r="D634" i="1"/>
  <c r="DJ631" i="1"/>
  <c r="DK631" i="1"/>
  <c r="AQ935" i="1"/>
  <c r="S934" i="1"/>
  <c r="T187" i="1"/>
  <c r="BS187" i="1"/>
  <c r="BT187" i="1"/>
  <c r="W10" i="1"/>
  <c r="W13" i="1" s="1"/>
  <c r="BW10" i="1"/>
  <c r="T10" i="1"/>
  <c r="V10" i="1"/>
  <c r="U10" i="1"/>
  <c r="U13" i="1" s="1"/>
  <c r="T268" i="1"/>
  <c r="BT268" i="1"/>
  <c r="AM415" i="1"/>
  <c r="S415" i="1"/>
  <c r="BW493" i="1"/>
  <c r="T493" i="1"/>
  <c r="T67" i="1"/>
  <c r="BS67" i="1"/>
  <c r="AJ112" i="1"/>
  <c r="S112" i="1"/>
  <c r="BZ475" i="1"/>
  <c r="T475" i="1"/>
  <c r="BT475" i="1"/>
  <c r="AI235" i="1"/>
  <c r="E6" i="2" s="1"/>
  <c r="G6" i="2" s="1"/>
  <c r="S235" i="1"/>
  <c r="AQ47" i="1"/>
  <c r="S46" i="1"/>
  <c r="S472" i="1"/>
  <c r="D271" i="1"/>
  <c r="DJ269" i="1"/>
  <c r="DK268" i="1"/>
  <c r="DJ270" i="1"/>
  <c r="DJ268" i="1"/>
  <c r="T208" i="1"/>
  <c r="BS208" i="1"/>
  <c r="T427" i="1"/>
  <c r="BU427" i="1"/>
  <c r="AJ294" i="1"/>
  <c r="S292" i="1"/>
  <c r="CD631" i="1"/>
  <c r="T631" i="1"/>
  <c r="BU631" i="1"/>
  <c r="AM620" i="1"/>
  <c r="S619" i="1"/>
  <c r="T748" i="1"/>
  <c r="BU748" i="1"/>
  <c r="T820" i="1"/>
  <c r="BW820" i="1"/>
  <c r="AG779" i="1"/>
  <c r="S778" i="1"/>
  <c r="BT709" i="1"/>
  <c r="T709" i="1"/>
  <c r="AJ891" i="1"/>
  <c r="S889" i="1"/>
  <c r="C30" i="7"/>
  <c r="AQ809" i="1"/>
  <c r="S808" i="1"/>
  <c r="AJ857" i="1"/>
  <c r="S856" i="1"/>
  <c r="AJ830" i="1"/>
  <c r="S829" i="1"/>
  <c r="AG872" i="1"/>
  <c r="S871" i="1"/>
  <c r="T886" i="1"/>
  <c r="BW886" i="1"/>
  <c r="AJ860" i="1"/>
  <c r="S859" i="1"/>
  <c r="T931" i="1"/>
  <c r="BZ931" i="1"/>
  <c r="F51" i="7"/>
  <c r="C51" i="7"/>
  <c r="B52" i="7" s="1"/>
  <c r="BU562" i="1"/>
  <c r="T562" i="1"/>
  <c r="CD511" i="1"/>
  <c r="T511" i="1"/>
  <c r="AQ407" i="1"/>
  <c r="S406" i="1"/>
  <c r="AJ806" i="1"/>
  <c r="S805" i="1"/>
  <c r="BT154" i="1"/>
  <c r="T154" i="1"/>
  <c r="BZ154" i="1"/>
  <c r="AF158" i="1"/>
  <c r="S157" i="1"/>
  <c r="AM71" i="1"/>
  <c r="S70" i="1"/>
  <c r="T454" i="1"/>
  <c r="CD454" i="1"/>
  <c r="AM526" i="1"/>
  <c r="S526" i="1"/>
  <c r="AM461" i="1"/>
  <c r="S460" i="1"/>
  <c r="AJ541" i="1"/>
  <c r="S541" i="1"/>
  <c r="AQ434" i="1"/>
  <c r="S433" i="1"/>
  <c r="T613" i="1"/>
  <c r="BZ613" i="1"/>
  <c r="AH653" i="1"/>
  <c r="S652" i="1"/>
  <c r="AH650" i="1"/>
  <c r="S649" i="1"/>
  <c r="T679" i="1"/>
  <c r="BU679" i="1"/>
  <c r="D691" i="1"/>
  <c r="DJ689" i="1"/>
  <c r="DJ688" i="1"/>
  <c r="DJ690" i="1"/>
  <c r="DK688" i="1"/>
  <c r="AF401" i="1"/>
  <c r="S400" i="1"/>
  <c r="AJ539" i="1"/>
  <c r="S538" i="1"/>
  <c r="AJ833" i="1"/>
  <c r="S832" i="1"/>
  <c r="T223" i="1"/>
  <c r="BU223" i="1"/>
  <c r="T136" i="1"/>
  <c r="BZ136" i="1"/>
  <c r="T340" i="1"/>
  <c r="BZ340" i="1"/>
  <c r="J8" i="2"/>
  <c r="I8" i="2"/>
  <c r="DJ291" i="1"/>
  <c r="DJ290" i="1"/>
  <c r="D292" i="1"/>
  <c r="DJ289" i="1"/>
  <c r="DK289" i="1"/>
  <c r="AG348" i="1"/>
  <c r="S346" i="1"/>
  <c r="DJ607" i="1"/>
  <c r="Y607" i="1"/>
  <c r="DJ609" i="1"/>
  <c r="DJ608" i="1"/>
  <c r="D610" i="1"/>
  <c r="DK607" i="1"/>
  <c r="T688" i="1"/>
  <c r="CD688" i="1"/>
  <c r="AJ800" i="1"/>
  <c r="S799" i="1"/>
  <c r="AJ788" i="1"/>
  <c r="S787" i="1"/>
  <c r="T706" i="1"/>
  <c r="BT706" i="1"/>
  <c r="AG797" i="1"/>
  <c r="S796" i="1"/>
  <c r="D43" i="7"/>
  <c r="E43" i="7" s="1"/>
  <c r="R55" i="1"/>
  <c r="R58" i="1"/>
  <c r="AG42" i="1"/>
  <c r="S40" i="1"/>
  <c r="AJ98" i="1"/>
  <c r="S97" i="1"/>
  <c r="AF116" i="1"/>
  <c r="S115" i="1"/>
  <c r="AG173" i="1"/>
  <c r="S172" i="1"/>
  <c r="R116" i="1"/>
  <c r="R113" i="1"/>
  <c r="AG17" i="1"/>
  <c r="S16" i="1"/>
  <c r="T175" i="1"/>
  <c r="BT175" i="1"/>
  <c r="T508" i="1"/>
  <c r="CD508" i="1"/>
  <c r="T589" i="1"/>
  <c r="CD589" i="1"/>
  <c r="AQ869" i="1"/>
  <c r="S868" i="1"/>
  <c r="T847" i="1"/>
  <c r="BW847" i="1"/>
  <c r="AQ430" i="1"/>
  <c r="S430" i="1"/>
  <c r="AJ704" i="1"/>
  <c r="S703" i="1"/>
  <c r="T169" i="1"/>
  <c r="BS169" i="1"/>
  <c r="BT169" i="1"/>
  <c r="S220" i="1"/>
  <c r="AJ58" i="1"/>
  <c r="S58" i="1"/>
  <c r="BW61" i="1"/>
  <c r="T61" i="1"/>
  <c r="AQ30" i="1"/>
  <c r="S28" i="1"/>
  <c r="J13" i="2"/>
  <c r="I13" i="2"/>
  <c r="AH356" i="1"/>
  <c r="E5" i="2" s="1"/>
  <c r="S355" i="1"/>
  <c r="T646" i="1"/>
  <c r="BT646" i="1"/>
  <c r="D155" i="7"/>
  <c r="E155" i="7" s="1"/>
  <c r="DJ897" i="1"/>
  <c r="DJ896" i="1"/>
  <c r="D898" i="1"/>
  <c r="DJ895" i="1"/>
  <c r="DK895" i="1"/>
  <c r="AQ150" i="1"/>
  <c r="S148" i="1"/>
  <c r="P6" i="2"/>
  <c r="AF102" i="1"/>
  <c r="E3" i="2" s="1"/>
  <c r="S100" i="1"/>
  <c r="D442" i="1"/>
  <c r="DJ439" i="1"/>
  <c r="DJ441" i="1"/>
  <c r="DJ440" i="1"/>
  <c r="DK439" i="1"/>
  <c r="S739" i="1"/>
  <c r="AQ140" i="1"/>
  <c r="S139" i="1"/>
  <c r="BW64" i="1"/>
  <c r="T64" i="1"/>
  <c r="CD64" i="1"/>
  <c r="D190" i="1"/>
  <c r="DJ187" i="1"/>
  <c r="DJ189" i="1"/>
  <c r="DJ188" i="1"/>
  <c r="DK187" i="1"/>
  <c r="P7" i="2"/>
  <c r="T343" i="1"/>
  <c r="BZ343" i="1"/>
  <c r="BT343" i="1"/>
  <c r="T196" i="1"/>
  <c r="BW196" i="1"/>
  <c r="J9" i="2"/>
  <c r="I9" i="2"/>
  <c r="AG386" i="1"/>
  <c r="S385" i="1"/>
  <c r="BU658" i="1"/>
  <c r="T658" i="1"/>
  <c r="AM845" i="1"/>
  <c r="S844" i="1"/>
  <c r="T913" i="1"/>
  <c r="CD913" i="1"/>
  <c r="F46" i="7"/>
  <c r="B47" i="7"/>
  <c r="C46" i="7"/>
  <c r="S943" i="1"/>
  <c r="T898" i="1"/>
  <c r="CD898" i="1"/>
  <c r="T928" i="1"/>
  <c r="BU928" i="1"/>
  <c r="E24" i="7"/>
  <c r="D24" i="7"/>
  <c r="AQ26" i="1"/>
  <c r="S25" i="1"/>
  <c r="AJ36" i="1"/>
  <c r="S34" i="1"/>
  <c r="AF244" i="1"/>
  <c r="S244" i="1"/>
  <c r="T304" i="1"/>
  <c r="BW304" i="1"/>
  <c r="AJ302" i="1"/>
  <c r="S301" i="1"/>
  <c r="DJ353" i="1"/>
  <c r="DJ354" i="1"/>
  <c r="DJ352" i="1"/>
  <c r="D355" i="1"/>
  <c r="DK352" i="1"/>
  <c r="T490" i="1"/>
  <c r="BW490" i="1"/>
  <c r="S448" i="1"/>
  <c r="AJ448" i="1"/>
  <c r="AJ588" i="1"/>
  <c r="S586" i="1"/>
  <c r="AJ947" i="1"/>
  <c r="E7" i="2" s="1"/>
  <c r="G7" i="2" s="1"/>
  <c r="S946" i="1"/>
  <c r="C12" i="7"/>
  <c r="F12" i="7" s="1"/>
  <c r="AQ326" i="1"/>
  <c r="S325" i="1"/>
  <c r="AJ911" i="1"/>
  <c r="S910" i="1"/>
  <c r="R95" i="1"/>
  <c r="R106" i="1" s="1"/>
  <c r="R109" i="1" s="1"/>
  <c r="R142" i="1" s="1"/>
  <c r="R145" i="1" s="1"/>
  <c r="R91" i="1"/>
  <c r="AG218" i="1"/>
  <c r="S217" i="1"/>
  <c r="DJ17" i="1"/>
  <c r="DJ16" i="1"/>
  <c r="AC16" i="1"/>
  <c r="U16" i="1"/>
  <c r="E16" i="1"/>
  <c r="DJ18" i="1"/>
  <c r="Y16" i="1"/>
  <c r="AB16" i="1"/>
  <c r="W16" i="1"/>
  <c r="DK16" i="1"/>
  <c r="D19" i="1"/>
  <c r="DI6" i="1"/>
  <c r="DH7" i="1"/>
  <c r="AQ89" i="1"/>
  <c r="S88" i="1"/>
  <c r="Q439" i="1"/>
  <c r="DG10" i="1"/>
  <c r="DF11" i="1"/>
  <c r="AF125" i="1"/>
  <c r="S124" i="1"/>
  <c r="T163" i="1"/>
  <c r="BS163" i="1"/>
  <c r="DJ144" i="1"/>
  <c r="DJ142" i="1"/>
  <c r="DJ143" i="1"/>
  <c r="DK142" i="1"/>
  <c r="D145" i="1"/>
  <c r="P4" i="2"/>
  <c r="P10" i="2"/>
  <c r="AQ86" i="1"/>
  <c r="S85" i="1"/>
  <c r="AQ338" i="1"/>
  <c r="S337" i="1"/>
  <c r="T412" i="1"/>
  <c r="BT412" i="1"/>
  <c r="BZ412" i="1"/>
  <c r="W601" i="1"/>
  <c r="W604" i="1" s="1"/>
  <c r="W607" i="1" s="1"/>
  <c r="DJ599" i="1"/>
  <c r="Q763" i="1" s="1"/>
  <c r="DJ598" i="1"/>
  <c r="V601" i="1"/>
  <c r="DJ600" i="1"/>
  <c r="Y601" i="1"/>
  <c r="Y604" i="1" s="1"/>
  <c r="U601" i="1"/>
  <c r="U604" i="1" s="1"/>
  <c r="U607" i="1" s="1"/>
  <c r="DK598" i="1"/>
  <c r="AG566" i="1"/>
  <c r="S565" i="1"/>
  <c r="AH668" i="1"/>
  <c r="S667" i="1"/>
  <c r="AM695" i="1"/>
  <c r="S694" i="1"/>
  <c r="AJ758" i="1"/>
  <c r="S757" i="1"/>
  <c r="AJ839" i="1"/>
  <c r="S838" i="1"/>
  <c r="AM896" i="1"/>
  <c r="S895" i="1"/>
  <c r="D38" i="7"/>
  <c r="E38" i="7" s="1"/>
  <c r="C478" i="7"/>
  <c r="F478" i="7"/>
  <c r="BT826" i="1"/>
  <c r="T826" i="1"/>
  <c r="BT700" i="1"/>
  <c r="T700" i="1"/>
  <c r="T901" i="1"/>
  <c r="BZ901" i="1"/>
  <c r="BW529" i="1"/>
  <c r="T529" i="1"/>
  <c r="BT529" i="1"/>
  <c r="AQ320" i="1"/>
  <c r="S319" i="1"/>
  <c r="T553" i="1"/>
  <c r="BW553" i="1"/>
  <c r="BZ634" i="1"/>
  <c r="T634" i="1"/>
  <c r="AH721" i="1"/>
  <c r="S721" i="1"/>
  <c r="AJ752" i="1"/>
  <c r="S751" i="1"/>
  <c r="AQ284" i="1"/>
  <c r="S283" i="1"/>
  <c r="AQ560" i="1"/>
  <c r="S559" i="1"/>
  <c r="AJ785" i="1"/>
  <c r="S784" i="1"/>
  <c r="AF867" i="1"/>
  <c r="S865" i="1"/>
  <c r="R239" i="1"/>
  <c r="R233" i="1"/>
  <c r="T229" i="1"/>
  <c r="BW229" i="1"/>
  <c r="R653" i="1"/>
  <c r="R656" i="1" s="1"/>
  <c r="R650" i="1"/>
  <c r="R659" i="1" s="1"/>
  <c r="P3" i="2"/>
  <c r="P16" i="2" s="1"/>
  <c r="AJ131" i="1"/>
  <c r="S130" i="1"/>
  <c r="DJ68" i="1"/>
  <c r="D70" i="1"/>
  <c r="DJ67" i="1"/>
  <c r="DJ69" i="1"/>
  <c r="DK67" i="1"/>
  <c r="AM134" i="1"/>
  <c r="E10" i="2" s="1"/>
  <c r="G10" i="2" s="1"/>
  <c r="S133" i="1"/>
  <c r="D427" i="1"/>
  <c r="DJ426" i="1"/>
  <c r="DJ425" i="1"/>
  <c r="DK424" i="1"/>
  <c r="DJ424" i="1"/>
  <c r="Q438" i="1"/>
  <c r="Q437" i="1"/>
  <c r="Q430" i="1"/>
  <c r="Q434" i="1" s="1"/>
  <c r="T259" i="1"/>
  <c r="BT259" i="1"/>
  <c r="BW259" i="1"/>
  <c r="AG551" i="1"/>
  <c r="S550" i="1"/>
  <c r="AJ497" i="1"/>
  <c r="S496" i="1"/>
  <c r="T532" i="1"/>
  <c r="BW532" i="1"/>
  <c r="BT478" i="1"/>
  <c r="T478" i="1"/>
  <c r="AM716" i="1"/>
  <c r="S715" i="1"/>
  <c r="AJ761" i="1"/>
  <c r="S760" i="1"/>
  <c r="T742" i="1"/>
  <c r="CD742" i="1"/>
  <c r="AF278" i="1"/>
  <c r="S277" i="1"/>
  <c r="S718" i="1"/>
  <c r="D868" i="1"/>
  <c r="DJ867" i="1"/>
  <c r="DJ866" i="1"/>
  <c r="DJ865" i="1"/>
  <c r="DK865" i="1"/>
  <c r="Q628" i="1"/>
  <c r="AQ713" i="1"/>
  <c r="S712" i="1"/>
  <c r="DJ820" i="1"/>
  <c r="DJ822" i="1"/>
  <c r="DJ821" i="1"/>
  <c r="D823" i="1"/>
  <c r="DK820" i="1"/>
  <c r="R89" i="1"/>
  <c r="R86" i="1"/>
  <c r="R92" i="1" s="1"/>
  <c r="R103" i="1" s="1"/>
  <c r="Q14" i="1"/>
  <c r="AG318" i="1"/>
  <c r="S316" i="1"/>
  <c r="Q766" i="1"/>
  <c r="AJ815" i="1"/>
  <c r="S814" i="1"/>
  <c r="AQ20" i="1"/>
  <c r="S19" i="1"/>
  <c r="T22" i="1"/>
  <c r="BW22" i="1"/>
  <c r="AJ178" i="1"/>
  <c r="S178" i="1"/>
  <c r="AH368" i="1"/>
  <c r="S367" i="1"/>
  <c r="AB10" i="1"/>
  <c r="AB13" i="1" s="1"/>
  <c r="DJ931" i="1"/>
  <c r="DJ932" i="1"/>
  <c r="DJ933" i="1"/>
  <c r="DK931" i="1"/>
  <c r="D934" i="1"/>
  <c r="G3" i="2" l="1"/>
  <c r="J6" i="2"/>
  <c r="I6" i="2"/>
  <c r="C52" i="7"/>
  <c r="B53" i="7"/>
  <c r="F52" i="7"/>
  <c r="I10" i="2"/>
  <c r="J10" i="2"/>
  <c r="J7" i="2"/>
  <c r="I7" i="2"/>
  <c r="Q16" i="1"/>
  <c r="T325" i="1"/>
  <c r="CD325" i="1"/>
  <c r="DJ444" i="1"/>
  <c r="DJ442" i="1"/>
  <c r="U442" i="1"/>
  <c r="D445" i="1"/>
  <c r="DJ443" i="1"/>
  <c r="DK442" i="1"/>
  <c r="T355" i="1"/>
  <c r="BU355" i="1"/>
  <c r="M5" i="2" s="1"/>
  <c r="T115" i="1"/>
  <c r="BS115" i="1"/>
  <c r="T346" i="1"/>
  <c r="BT346" i="1"/>
  <c r="BT526" i="1"/>
  <c r="T526" i="1"/>
  <c r="BZ526" i="1"/>
  <c r="E30" i="7"/>
  <c r="D30" i="7"/>
  <c r="X10" i="1"/>
  <c r="V13" i="1"/>
  <c r="X13" i="1" s="1"/>
  <c r="T661" i="1"/>
  <c r="BZ661" i="1"/>
  <c r="T793" i="1"/>
  <c r="CD793" i="1"/>
  <c r="E449" i="7"/>
  <c r="D449" i="7"/>
  <c r="T283" i="1"/>
  <c r="CD283" i="1"/>
  <c r="T319" i="1"/>
  <c r="CD319" i="1"/>
  <c r="D478" i="7"/>
  <c r="E478" i="7" s="1"/>
  <c r="Q17" i="1"/>
  <c r="Q18" i="1"/>
  <c r="Q19" i="1" s="1"/>
  <c r="T244" i="1"/>
  <c r="BT244" i="1"/>
  <c r="BS244" i="1"/>
  <c r="T739" i="1"/>
  <c r="BT739" i="1"/>
  <c r="CD739" i="1"/>
  <c r="T220" i="1"/>
  <c r="BW220" i="1"/>
  <c r="BZ220" i="1"/>
  <c r="T868" i="1"/>
  <c r="CD868" i="1"/>
  <c r="B31" i="7"/>
  <c r="D60" i="7"/>
  <c r="E60" i="7" s="1"/>
  <c r="D937" i="1"/>
  <c r="DJ935" i="1"/>
  <c r="DJ936" i="1"/>
  <c r="DJ934" i="1"/>
  <c r="DK934" i="1"/>
  <c r="T367" i="1"/>
  <c r="BU367" i="1"/>
  <c r="T814" i="1"/>
  <c r="BW814" i="1"/>
  <c r="T316" i="1"/>
  <c r="BT316" i="1"/>
  <c r="T712" i="1"/>
  <c r="CD712" i="1"/>
  <c r="T784" i="1"/>
  <c r="BW784" i="1"/>
  <c r="DJ147" i="1"/>
  <c r="DJ146" i="1"/>
  <c r="DJ145" i="1"/>
  <c r="D148" i="1"/>
  <c r="DK145" i="1"/>
  <c r="T28" i="1"/>
  <c r="CD28" i="1"/>
  <c r="R125" i="1"/>
  <c r="R127" i="1"/>
  <c r="R136" i="1" s="1"/>
  <c r="BT40" i="1"/>
  <c r="T40" i="1"/>
  <c r="BW799" i="1"/>
  <c r="T799" i="1"/>
  <c r="Q289" i="1"/>
  <c r="T832" i="1"/>
  <c r="BW832" i="1"/>
  <c r="T649" i="1"/>
  <c r="BU649" i="1"/>
  <c r="T541" i="1"/>
  <c r="BW541" i="1"/>
  <c r="T70" i="1"/>
  <c r="BZ70" i="1"/>
  <c r="T292" i="1"/>
  <c r="BW292" i="1"/>
  <c r="T235" i="1"/>
  <c r="BV235" i="1"/>
  <c r="M6" i="2" s="1"/>
  <c r="D637" i="1"/>
  <c r="DJ636" i="1"/>
  <c r="DK634" i="1"/>
  <c r="DJ635" i="1"/>
  <c r="DJ634" i="1"/>
  <c r="DJ774" i="1"/>
  <c r="DJ773" i="1"/>
  <c r="DJ772" i="1"/>
  <c r="D775" i="1"/>
  <c r="DK772" i="1"/>
  <c r="T817" i="1"/>
  <c r="BZ817" i="1"/>
  <c r="D397" i="1"/>
  <c r="DJ394" i="1"/>
  <c r="DJ395" i="1"/>
  <c r="DK394" i="1"/>
  <c r="DJ396" i="1"/>
  <c r="D241" i="1"/>
  <c r="DJ240" i="1"/>
  <c r="DJ239" i="1"/>
  <c r="DJ238" i="1"/>
  <c r="DK238" i="1"/>
  <c r="DJ719" i="1"/>
  <c r="DJ720" i="1"/>
  <c r="D721" i="1"/>
  <c r="DJ718" i="1"/>
  <c r="DK718" i="1"/>
  <c r="R152" i="1"/>
  <c r="R148" i="1"/>
  <c r="R155" i="1"/>
  <c r="T25" i="1"/>
  <c r="CD25" i="1"/>
  <c r="T430" i="1"/>
  <c r="CD430" i="1"/>
  <c r="T16" i="1"/>
  <c r="BT16" i="1"/>
  <c r="T805" i="1"/>
  <c r="BW805" i="1"/>
  <c r="T808" i="1"/>
  <c r="CD808" i="1"/>
  <c r="T112" i="1"/>
  <c r="BW112" i="1"/>
  <c r="C156" i="7"/>
  <c r="F156" i="7"/>
  <c r="B157" i="7"/>
  <c r="DJ522" i="1"/>
  <c r="DJ520" i="1"/>
  <c r="DJ521" i="1"/>
  <c r="DK520" i="1"/>
  <c r="D523" i="1"/>
  <c r="D44" i="7"/>
  <c r="E44" i="7" s="1"/>
  <c r="F449" i="7"/>
  <c r="T178" i="1"/>
  <c r="BW178" i="1"/>
  <c r="T19" i="1"/>
  <c r="CD19" i="1"/>
  <c r="R122" i="1"/>
  <c r="R130" i="1" s="1"/>
  <c r="R140" i="1" s="1"/>
  <c r="R143" i="1" s="1"/>
  <c r="R146" i="1" s="1"/>
  <c r="R149" i="1" s="1"/>
  <c r="R150" i="1" s="1"/>
  <c r="R172" i="1" s="1"/>
  <c r="R175" i="1" s="1"/>
  <c r="R181" i="1" s="1"/>
  <c r="R118" i="1"/>
  <c r="D826" i="1"/>
  <c r="DJ823" i="1"/>
  <c r="DJ825" i="1"/>
  <c r="DJ824" i="1"/>
  <c r="DK823" i="1"/>
  <c r="DJ870" i="1"/>
  <c r="DJ869" i="1"/>
  <c r="DJ868" i="1"/>
  <c r="D871" i="1"/>
  <c r="DK868" i="1"/>
  <c r="T715" i="1"/>
  <c r="BZ715" i="1"/>
  <c r="T550" i="1"/>
  <c r="BT550" i="1"/>
  <c r="V430" i="1"/>
  <c r="DJ429" i="1"/>
  <c r="DJ428" i="1"/>
  <c r="W430" i="1"/>
  <c r="W433" i="1" s="1"/>
  <c r="W436" i="1" s="1"/>
  <c r="W439" i="1" s="1"/>
  <c r="W442" i="1" s="1"/>
  <c r="DJ427" i="1"/>
  <c r="Y430" i="1"/>
  <c r="Y433" i="1" s="1"/>
  <c r="Y436" i="1" s="1"/>
  <c r="Y439" i="1" s="1"/>
  <c r="Y442" i="1" s="1"/>
  <c r="U430" i="1"/>
  <c r="DK427" i="1"/>
  <c r="DJ71" i="1"/>
  <c r="DJ72" i="1"/>
  <c r="DJ70" i="1"/>
  <c r="D73" i="1"/>
  <c r="DK70" i="1"/>
  <c r="T130" i="1"/>
  <c r="BW130" i="1"/>
  <c r="BT865" i="1"/>
  <c r="T865" i="1"/>
  <c r="BS865" i="1"/>
  <c r="T559" i="1"/>
  <c r="CD559" i="1"/>
  <c r="B479" i="7"/>
  <c r="T757" i="1"/>
  <c r="BW757" i="1"/>
  <c r="T667" i="1"/>
  <c r="BU667" i="1"/>
  <c r="Q607" i="1"/>
  <c r="Q610" i="1"/>
  <c r="T337" i="1"/>
  <c r="CD337" i="1"/>
  <c r="T85" i="1"/>
  <c r="CD85" i="1"/>
  <c r="T124" i="1"/>
  <c r="BS124" i="1"/>
  <c r="AC19" i="1"/>
  <c r="Y19" i="1"/>
  <c r="U19" i="1"/>
  <c r="DJ21" i="1"/>
  <c r="DJ20" i="1"/>
  <c r="AB19" i="1"/>
  <c r="D22" i="1"/>
  <c r="DK19" i="1"/>
  <c r="W19" i="1"/>
  <c r="DJ19" i="1"/>
  <c r="V19" i="1"/>
  <c r="X19" i="1" s="1"/>
  <c r="E19" i="1"/>
  <c r="BT217" i="1"/>
  <c r="T217" i="1"/>
  <c r="T910" i="1"/>
  <c r="BW910" i="1"/>
  <c r="T448" i="1"/>
  <c r="BW448" i="1"/>
  <c r="E46" i="7"/>
  <c r="D46" i="7"/>
  <c r="T100" i="1"/>
  <c r="BS100" i="1"/>
  <c r="E4" i="2"/>
  <c r="G5" i="2" s="1"/>
  <c r="BT172" i="1"/>
  <c r="T172" i="1"/>
  <c r="T97" i="1"/>
  <c r="BW97" i="1"/>
  <c r="T796" i="1"/>
  <c r="BT796" i="1"/>
  <c r="BW787" i="1"/>
  <c r="T787" i="1"/>
  <c r="DJ611" i="1"/>
  <c r="W610" i="1"/>
  <c r="DJ612" i="1"/>
  <c r="DJ610" i="1"/>
  <c r="Q629" i="1" s="1"/>
  <c r="D613" i="1"/>
  <c r="Y610" i="1"/>
  <c r="U610" i="1"/>
  <c r="DK610" i="1"/>
  <c r="T652" i="1"/>
  <c r="BU652" i="1"/>
  <c r="T433" i="1"/>
  <c r="U433" i="1"/>
  <c r="U436" i="1" s="1"/>
  <c r="U439" i="1" s="1"/>
  <c r="V433" i="1"/>
  <c r="CD433" i="1"/>
  <c r="BZ460" i="1"/>
  <c r="T460" i="1"/>
  <c r="BT889" i="1"/>
  <c r="BW889" i="1"/>
  <c r="T889" i="1"/>
  <c r="Q353" i="1"/>
  <c r="DJ273" i="1"/>
  <c r="DJ272" i="1"/>
  <c r="D274" i="1"/>
  <c r="DK271" i="1"/>
  <c r="DJ271" i="1"/>
  <c r="T46" i="1"/>
  <c r="CD46" i="1"/>
  <c r="E22" i="7"/>
  <c r="D22" i="7"/>
  <c r="T445" i="1"/>
  <c r="BT445" i="1"/>
  <c r="B61" i="7"/>
  <c r="T643" i="1"/>
  <c r="BZ643" i="1"/>
  <c r="BW877" i="1"/>
  <c r="T877" i="1"/>
  <c r="T394" i="1"/>
  <c r="BZ394" i="1"/>
  <c r="T226" i="1"/>
  <c r="BW226" i="1"/>
  <c r="CD736" i="1"/>
  <c r="T736" i="1"/>
  <c r="T745" i="1"/>
  <c r="CD745" i="1"/>
  <c r="T835" i="1"/>
  <c r="BS835" i="1"/>
  <c r="T277" i="1"/>
  <c r="BS277" i="1"/>
  <c r="T760" i="1"/>
  <c r="BW760" i="1"/>
  <c r="T496" i="1"/>
  <c r="BW496" i="1"/>
  <c r="Q433" i="1"/>
  <c r="T694" i="1"/>
  <c r="BZ694" i="1"/>
  <c r="T565" i="1"/>
  <c r="BT565" i="1"/>
  <c r="V604" i="1"/>
  <c r="DF12" i="1"/>
  <c r="DG11" i="1"/>
  <c r="R672" i="1"/>
  <c r="R680" i="1" s="1"/>
  <c r="R708" i="1" s="1"/>
  <c r="R721" i="1" s="1"/>
  <c r="R749" i="1" s="1"/>
  <c r="R929" i="1" s="1"/>
  <c r="B5" i="2" s="1"/>
  <c r="R668" i="1"/>
  <c r="R263" i="1"/>
  <c r="R265" i="1"/>
  <c r="R272" i="1" s="1"/>
  <c r="T895" i="1"/>
  <c r="BZ895" i="1"/>
  <c r="DI7" i="1"/>
  <c r="DH8" i="1"/>
  <c r="T946" i="1"/>
  <c r="BW946" i="1"/>
  <c r="T301" i="1"/>
  <c r="BW301" i="1"/>
  <c r="M7" i="2" s="1"/>
  <c r="T943" i="1"/>
  <c r="CD943" i="1"/>
  <c r="BZ943" i="1"/>
  <c r="T148" i="1"/>
  <c r="CD148" i="1"/>
  <c r="T703" i="1"/>
  <c r="BW703" i="1"/>
  <c r="D295" i="1"/>
  <c r="DJ294" i="1"/>
  <c r="DJ293" i="1"/>
  <c r="DJ292" i="1"/>
  <c r="DK292" i="1"/>
  <c r="T538" i="1"/>
  <c r="BW538" i="1"/>
  <c r="T829" i="1"/>
  <c r="BW829" i="1"/>
  <c r="T778" i="1"/>
  <c r="BT778" i="1"/>
  <c r="Q280" i="1"/>
  <c r="T379" i="1"/>
  <c r="BW379" i="1"/>
  <c r="T754" i="1"/>
  <c r="BW754" i="1"/>
  <c r="T271" i="1"/>
  <c r="BZ271" i="1"/>
  <c r="E14" i="2"/>
  <c r="G14" i="2" s="1"/>
  <c r="Q769" i="1"/>
  <c r="Q773" i="1" s="1"/>
  <c r="Q633" i="1"/>
  <c r="T718" i="1"/>
  <c r="BW718" i="1"/>
  <c r="T133" i="1"/>
  <c r="BZ133" i="1"/>
  <c r="T751" i="1"/>
  <c r="BW751" i="1"/>
  <c r="BT721" i="1"/>
  <c r="T721" i="1"/>
  <c r="T838" i="1"/>
  <c r="BW838" i="1"/>
  <c r="Q602" i="1"/>
  <c r="T88" i="1"/>
  <c r="CD88" i="1"/>
  <c r="V16" i="1"/>
  <c r="X16" i="1" s="1"/>
  <c r="D12" i="7"/>
  <c r="E12" i="7" s="1"/>
  <c r="T586" i="1"/>
  <c r="BW586" i="1"/>
  <c r="DJ355" i="1"/>
  <c r="D358" i="1"/>
  <c r="DJ356" i="1"/>
  <c r="DJ357" i="1"/>
  <c r="DK355" i="1"/>
  <c r="T34" i="1"/>
  <c r="BW34" i="1"/>
  <c r="C47" i="7"/>
  <c r="T844" i="1"/>
  <c r="BZ844" i="1"/>
  <c r="T385" i="1"/>
  <c r="BT385" i="1"/>
  <c r="DJ191" i="1"/>
  <c r="DJ192" i="1"/>
  <c r="DJ190" i="1"/>
  <c r="D193" i="1"/>
  <c r="DK190" i="1"/>
  <c r="T139" i="1"/>
  <c r="CD139" i="1"/>
  <c r="DJ900" i="1"/>
  <c r="DJ899" i="1"/>
  <c r="D901" i="1"/>
  <c r="DJ898" i="1"/>
  <c r="DK898" i="1"/>
  <c r="Q896" i="1"/>
  <c r="T58" i="1"/>
  <c r="BW58" i="1"/>
  <c r="R61" i="1"/>
  <c r="R65" i="1"/>
  <c r="R68" i="1" s="1"/>
  <c r="R69" i="1" s="1"/>
  <c r="R77" i="1" s="1"/>
  <c r="T400" i="1"/>
  <c r="BS400" i="1"/>
  <c r="D694" i="1"/>
  <c r="DJ693" i="1"/>
  <c r="DJ692" i="1"/>
  <c r="DJ691" i="1"/>
  <c r="DK691" i="1"/>
  <c r="T157" i="1"/>
  <c r="BS157" i="1"/>
  <c r="M3" i="2" s="1"/>
  <c r="T406" i="1"/>
  <c r="CD406" i="1"/>
  <c r="D51" i="7"/>
  <c r="E51" i="7" s="1"/>
  <c r="T859" i="1"/>
  <c r="BW859" i="1"/>
  <c r="T871" i="1"/>
  <c r="BT871" i="1"/>
  <c r="T856" i="1"/>
  <c r="BW856" i="1"/>
  <c r="F30" i="7"/>
  <c r="T619" i="1"/>
  <c r="BZ619" i="1"/>
  <c r="T472" i="1"/>
  <c r="BT472" i="1"/>
  <c r="T415" i="1"/>
  <c r="BZ415" i="1"/>
  <c r="T934" i="1"/>
  <c r="CD934" i="1"/>
  <c r="F22" i="7"/>
  <c r="T874" i="1"/>
  <c r="BW874" i="1"/>
  <c r="F60" i="7"/>
  <c r="T439" i="1"/>
  <c r="BT439" i="1"/>
  <c r="B450" i="7"/>
  <c r="D196" i="1" l="1"/>
  <c r="DJ193" i="1"/>
  <c r="DJ194" i="1"/>
  <c r="DJ195" i="1"/>
  <c r="DK193" i="1"/>
  <c r="V436" i="1"/>
  <c r="DJ873" i="1"/>
  <c r="DJ871" i="1"/>
  <c r="D874" i="1"/>
  <c r="DJ872" i="1"/>
  <c r="DK871" i="1"/>
  <c r="C157" i="7"/>
  <c r="B158" i="7"/>
  <c r="F157" i="7"/>
  <c r="D47" i="7"/>
  <c r="E47" i="7" s="1"/>
  <c r="J5" i="2"/>
  <c r="I5" i="2"/>
  <c r="Q71" i="1"/>
  <c r="DJ828" i="1"/>
  <c r="DJ827" i="1"/>
  <c r="D829" i="1"/>
  <c r="DJ826" i="1"/>
  <c r="DK826" i="1"/>
  <c r="Q263" i="1"/>
  <c r="Q265" i="1"/>
  <c r="Q442" i="1"/>
  <c r="C53" i="7"/>
  <c r="B54" i="7"/>
  <c r="F53" i="7"/>
  <c r="R311" i="1"/>
  <c r="R307" i="1"/>
  <c r="R306" i="1"/>
  <c r="V607" i="1"/>
  <c r="Q611" i="1"/>
  <c r="DJ24" i="1"/>
  <c r="DJ22" i="1"/>
  <c r="V22" i="1"/>
  <c r="D25" i="1"/>
  <c r="AC22" i="1"/>
  <c r="Y22" i="1"/>
  <c r="U22" i="1"/>
  <c r="E22" i="1"/>
  <c r="W22" i="1"/>
  <c r="AB22" i="1"/>
  <c r="DJ23" i="1"/>
  <c r="DK22" i="1"/>
  <c r="M14" i="2"/>
  <c r="D526" i="1"/>
  <c r="DJ523" i="1"/>
  <c r="DJ525" i="1"/>
  <c r="DJ524" i="1"/>
  <c r="DK523" i="1"/>
  <c r="D778" i="1"/>
  <c r="DJ777" i="1"/>
  <c r="DJ776" i="1"/>
  <c r="DJ775" i="1"/>
  <c r="DK775" i="1"/>
  <c r="R158" i="1"/>
  <c r="R163" i="1" s="1"/>
  <c r="R169" i="1" s="1"/>
  <c r="R187" i="1" s="1"/>
  <c r="R194" i="1" s="1"/>
  <c r="R209" i="1" s="1"/>
  <c r="R212" i="1" s="1"/>
  <c r="R161" i="1"/>
  <c r="DJ937" i="1"/>
  <c r="DJ939" i="1"/>
  <c r="D940" i="1"/>
  <c r="DJ938" i="1"/>
  <c r="DK937" i="1"/>
  <c r="Q272" i="1"/>
  <c r="Q707" i="1"/>
  <c r="Q710" i="1" s="1"/>
  <c r="Q706" i="1"/>
  <c r="DJ696" i="1"/>
  <c r="D697" i="1"/>
  <c r="DK694" i="1"/>
  <c r="DJ695" i="1"/>
  <c r="DJ694" i="1"/>
  <c r="DJ901" i="1"/>
  <c r="D904" i="1"/>
  <c r="DJ902" i="1"/>
  <c r="DJ903" i="1"/>
  <c r="DK901" i="1"/>
  <c r="F47" i="7"/>
  <c r="DJ359" i="1"/>
  <c r="DJ360" i="1"/>
  <c r="DJ358" i="1"/>
  <c r="D361" i="1"/>
  <c r="DK358" i="1"/>
  <c r="DJ297" i="1"/>
  <c r="DJ296" i="1"/>
  <c r="D298" i="1"/>
  <c r="DJ295" i="1"/>
  <c r="DK295" i="1"/>
  <c r="DF13" i="1"/>
  <c r="DG12" i="1"/>
  <c r="C61" i="7"/>
  <c r="B480" i="7"/>
  <c r="C479" i="7"/>
  <c r="F479" i="7"/>
  <c r="DJ73" i="1"/>
  <c r="D76" i="1"/>
  <c r="DJ74" i="1"/>
  <c r="DJ75" i="1"/>
  <c r="DK73" i="1"/>
  <c r="D156" i="7"/>
  <c r="E156" i="7" s="1"/>
  <c r="Q718" i="1"/>
  <c r="Q262" i="1"/>
  <c r="Q271" i="1" s="1"/>
  <c r="Q259" i="1"/>
  <c r="D400" i="1"/>
  <c r="DJ399" i="1"/>
  <c r="DJ398" i="1"/>
  <c r="DJ397" i="1"/>
  <c r="DK397" i="1"/>
  <c r="DJ639" i="1"/>
  <c r="DJ638" i="1"/>
  <c r="D640" i="1"/>
  <c r="DJ637" i="1"/>
  <c r="W637" i="1"/>
  <c r="DK637" i="1"/>
  <c r="F31" i="7"/>
  <c r="B32" i="7"/>
  <c r="C31" i="7"/>
  <c r="Q443" i="1"/>
  <c r="Q20" i="1"/>
  <c r="Q22" i="1" s="1"/>
  <c r="D52" i="7"/>
  <c r="E52" i="7" s="1"/>
  <c r="E16" i="2"/>
  <c r="J14" i="2"/>
  <c r="I14" i="2"/>
  <c r="DI8" i="1"/>
  <c r="DH9" i="1"/>
  <c r="C450" i="7"/>
  <c r="F450" i="7"/>
  <c r="R98" i="1"/>
  <c r="R104" i="1" s="1"/>
  <c r="R94" i="1"/>
  <c r="Q292" i="1"/>
  <c r="D277" i="1"/>
  <c r="DJ275" i="1"/>
  <c r="DJ274" i="1"/>
  <c r="DJ276" i="1"/>
  <c r="DK274" i="1"/>
  <c r="DJ613" i="1"/>
  <c r="W616" i="1"/>
  <c r="W619" i="1" s="1"/>
  <c r="W622" i="1" s="1"/>
  <c r="W625" i="1" s="1"/>
  <c r="W628" i="1" s="1"/>
  <c r="W631" i="1" s="1"/>
  <c r="W634" i="1" s="1"/>
  <c r="Y613" i="1"/>
  <c r="U613" i="1"/>
  <c r="V616" i="1"/>
  <c r="DJ615" i="1"/>
  <c r="DJ614" i="1"/>
  <c r="Q622" i="1" s="1"/>
  <c r="Q625" i="1" s="1"/>
  <c r="Q631" i="1" s="1"/>
  <c r="Y616" i="1"/>
  <c r="Y619" i="1" s="1"/>
  <c r="Y622" i="1" s="1"/>
  <c r="Y625" i="1" s="1"/>
  <c r="Y628" i="1" s="1"/>
  <c r="Y631" i="1" s="1"/>
  <c r="Y634" i="1" s="1"/>
  <c r="Y637" i="1" s="1"/>
  <c r="U616" i="1"/>
  <c r="U619" i="1" s="1"/>
  <c r="U622" i="1" s="1"/>
  <c r="U625" i="1" s="1"/>
  <c r="U628" i="1" s="1"/>
  <c r="U631" i="1" s="1"/>
  <c r="U634" i="1" s="1"/>
  <c r="U637" i="1" s="1"/>
  <c r="W613" i="1"/>
  <c r="DK613" i="1"/>
  <c r="R202" i="1"/>
  <c r="R206" i="1"/>
  <c r="R217" i="1" s="1"/>
  <c r="R241" i="1" s="1"/>
  <c r="R247" i="1" s="1"/>
  <c r="R248" i="1" s="1"/>
  <c r="R261" i="1" s="1"/>
  <c r="M4" i="2"/>
  <c r="M16" i="2" s="1"/>
  <c r="R166" i="1"/>
  <c r="R170" i="1"/>
  <c r="R173" i="1"/>
  <c r="R176" i="1" s="1"/>
  <c r="D724" i="1"/>
  <c r="DJ722" i="1"/>
  <c r="DJ723" i="1"/>
  <c r="DJ721" i="1"/>
  <c r="DK721" i="1"/>
  <c r="D244" i="1"/>
  <c r="DJ243" i="1"/>
  <c r="DJ242" i="1"/>
  <c r="DJ241" i="1"/>
  <c r="DK241" i="1"/>
  <c r="Q776" i="1"/>
  <c r="M10" i="2"/>
  <c r="DJ149" i="1"/>
  <c r="DJ150" i="1"/>
  <c r="D151" i="1"/>
  <c r="DJ148" i="1"/>
  <c r="DK148" i="1"/>
  <c r="Y445" i="1"/>
  <c r="U445" i="1"/>
  <c r="D448" i="1"/>
  <c r="DJ446" i="1"/>
  <c r="DJ447" i="1"/>
  <c r="DJ445" i="1"/>
  <c r="Q445" i="1" s="1"/>
  <c r="W445" i="1"/>
  <c r="DK445" i="1"/>
  <c r="Q356" i="1"/>
  <c r="J16" i="2"/>
  <c r="G16" i="2"/>
  <c r="J3" i="2"/>
  <c r="I3" i="2"/>
  <c r="I16" i="2" s="1"/>
  <c r="W280" i="1" l="1"/>
  <c r="W283" i="1" s="1"/>
  <c r="W286" i="1" s="1"/>
  <c r="W289" i="1" s="1"/>
  <c r="W292" i="1" s="1"/>
  <c r="W295" i="1" s="1"/>
  <c r="Y280" i="1"/>
  <c r="Y283" i="1" s="1"/>
  <c r="Y286" i="1" s="1"/>
  <c r="Y289" i="1" s="1"/>
  <c r="Y292" i="1" s="1"/>
  <c r="Y295" i="1" s="1"/>
  <c r="DJ277" i="1"/>
  <c r="V280" i="1"/>
  <c r="DJ278" i="1"/>
  <c r="U280" i="1"/>
  <c r="U283" i="1" s="1"/>
  <c r="U286" i="1" s="1"/>
  <c r="U289" i="1" s="1"/>
  <c r="U292" i="1" s="1"/>
  <c r="U295" i="1" s="1"/>
  <c r="DJ279" i="1"/>
  <c r="Q296" i="1" s="1"/>
  <c r="DK277" i="1"/>
  <c r="DJ527" i="1"/>
  <c r="DJ528" i="1"/>
  <c r="D529" i="1"/>
  <c r="DJ526" i="1"/>
  <c r="DK526" i="1"/>
  <c r="DJ831" i="1"/>
  <c r="DJ830" i="1"/>
  <c r="DJ829" i="1"/>
  <c r="DK829" i="1"/>
  <c r="D832" i="1"/>
  <c r="DJ450" i="1"/>
  <c r="DJ448" i="1"/>
  <c r="U448" i="1"/>
  <c r="Y448" i="1"/>
  <c r="D451" i="1"/>
  <c r="DJ449" i="1"/>
  <c r="W448" i="1"/>
  <c r="DK448" i="1"/>
  <c r="R190" i="1"/>
  <c r="R189" i="1"/>
  <c r="R188" i="1"/>
  <c r="R193" i="1" s="1"/>
  <c r="D450" i="7"/>
  <c r="E450" i="7" s="1"/>
  <c r="AC25" i="1"/>
  <c r="Y25" i="1"/>
  <c r="U25" i="1"/>
  <c r="E25" i="1"/>
  <c r="DJ27" i="1"/>
  <c r="DJ26" i="1"/>
  <c r="AB25" i="1"/>
  <c r="DJ25" i="1"/>
  <c r="V25" i="1"/>
  <c r="DK25" i="1"/>
  <c r="W25" i="1"/>
  <c r="D28" i="1"/>
  <c r="Q286" i="1"/>
  <c r="Q283" i="1"/>
  <c r="B451" i="7"/>
  <c r="Q635" i="1"/>
  <c r="D364" i="1"/>
  <c r="DJ362" i="1"/>
  <c r="DK361" i="1"/>
  <c r="DJ363" i="1"/>
  <c r="DJ361" i="1"/>
  <c r="Q901" i="1"/>
  <c r="R227" i="1"/>
  <c r="R222" i="1"/>
  <c r="R230" i="1" s="1"/>
  <c r="DJ780" i="1"/>
  <c r="DJ779" i="1"/>
  <c r="DJ778" i="1"/>
  <c r="Q778" i="1" s="1"/>
  <c r="DK778" i="1"/>
  <c r="D781" i="1"/>
  <c r="Q23" i="1"/>
  <c r="Q25" i="1" s="1"/>
  <c r="X22" i="1"/>
  <c r="Q614" i="1"/>
  <c r="R313" i="1"/>
  <c r="R322" i="1" s="1"/>
  <c r="R325" i="1" s="1"/>
  <c r="R316" i="1"/>
  <c r="R319" i="1" s="1"/>
  <c r="R328" i="1" s="1"/>
  <c r="D53" i="7"/>
  <c r="E53" i="7"/>
  <c r="Q862" i="1"/>
  <c r="Q865" i="1" s="1"/>
  <c r="Q866" i="1" s="1"/>
  <c r="C158" i="7"/>
  <c r="F158" i="7"/>
  <c r="DJ726" i="1"/>
  <c r="DJ725" i="1"/>
  <c r="DJ724" i="1"/>
  <c r="D727" i="1"/>
  <c r="DK724" i="1"/>
  <c r="R284" i="1"/>
  <c r="R281" i="1"/>
  <c r="R287" i="1"/>
  <c r="F32" i="7"/>
  <c r="C32" i="7"/>
  <c r="Q637" i="1"/>
  <c r="C480" i="7"/>
  <c r="B481" i="7"/>
  <c r="E61" i="7"/>
  <c r="D61" i="7"/>
  <c r="D154" i="1"/>
  <c r="DJ151" i="1"/>
  <c r="DJ152" i="1"/>
  <c r="DJ153" i="1"/>
  <c r="DK151" i="1"/>
  <c r="Q620" i="1"/>
  <c r="Q621" i="1" s="1"/>
  <c r="Q634" i="1" s="1"/>
  <c r="DI9" i="1"/>
  <c r="DH10" i="1"/>
  <c r="DJ642" i="1"/>
  <c r="DJ640" i="1"/>
  <c r="D643" i="1"/>
  <c r="Y640" i="1"/>
  <c r="U640" i="1"/>
  <c r="DJ641" i="1"/>
  <c r="W640" i="1"/>
  <c r="DK640" i="1"/>
  <c r="DJ401" i="1"/>
  <c r="DJ402" i="1"/>
  <c r="DK400" i="1"/>
  <c r="D403" i="1"/>
  <c r="DJ400" i="1"/>
  <c r="Q191" i="1"/>
  <c r="Q73" i="1"/>
  <c r="F61" i="7"/>
  <c r="Q297" i="1"/>
  <c r="DJ697" i="1"/>
  <c r="DJ699" i="1"/>
  <c r="D700" i="1"/>
  <c r="DK697" i="1"/>
  <c r="DJ698" i="1"/>
  <c r="Q716" i="1" s="1"/>
  <c r="DJ940" i="1"/>
  <c r="DJ942" i="1"/>
  <c r="DJ941" i="1"/>
  <c r="DK940" i="1"/>
  <c r="D943" i="1"/>
  <c r="C54" i="7"/>
  <c r="F54" i="7"/>
  <c r="B57" i="7"/>
  <c r="Q872" i="1"/>
  <c r="V439" i="1"/>
  <c r="V619" i="1"/>
  <c r="R112" i="1"/>
  <c r="R119" i="1"/>
  <c r="R115" i="1"/>
  <c r="D247" i="1"/>
  <c r="DJ245" i="1"/>
  <c r="DJ244" i="1"/>
  <c r="DJ246" i="1"/>
  <c r="DK244" i="1"/>
  <c r="D31" i="7"/>
  <c r="E31" i="7" s="1"/>
  <c r="Q638" i="1"/>
  <c r="DJ77" i="1"/>
  <c r="DJ78" i="1"/>
  <c r="DJ76" i="1"/>
  <c r="D79" i="1"/>
  <c r="DK76" i="1"/>
  <c r="D479" i="7"/>
  <c r="E479" i="7" s="1"/>
  <c r="B64" i="7"/>
  <c r="DF14" i="1"/>
  <c r="DG13" i="1"/>
  <c r="DJ300" i="1"/>
  <c r="DJ298" i="1"/>
  <c r="Q298" i="1" s="1"/>
  <c r="Y298" i="1"/>
  <c r="U298" i="1"/>
  <c r="DJ299" i="1"/>
  <c r="DK298" i="1"/>
  <c r="W298" i="1"/>
  <c r="D301" i="1"/>
  <c r="D907" i="1"/>
  <c r="DJ904" i="1"/>
  <c r="DJ906" i="1"/>
  <c r="DJ905" i="1"/>
  <c r="DK904" i="1"/>
  <c r="V610" i="1"/>
  <c r="D157" i="7"/>
  <c r="E157" i="7" s="1"/>
  <c r="DJ874" i="1"/>
  <c r="DJ876" i="1"/>
  <c r="D877" i="1"/>
  <c r="DJ875" i="1"/>
  <c r="DK874" i="1"/>
  <c r="DJ198" i="1"/>
  <c r="DJ196" i="1"/>
  <c r="DJ197" i="1"/>
  <c r="D199" i="1"/>
  <c r="DK196" i="1"/>
  <c r="Q300" i="1" l="1"/>
  <c r="V622" i="1"/>
  <c r="Q724" i="1"/>
  <c r="Q389" i="1"/>
  <c r="Q398" i="1" s="1"/>
  <c r="Q383" i="1"/>
  <c r="Q386" i="1" s="1"/>
  <c r="C451" i="7"/>
  <c r="F451" i="7"/>
  <c r="DJ303" i="1"/>
  <c r="DJ302" i="1"/>
  <c r="D304" i="1"/>
  <c r="W301" i="1"/>
  <c r="U301" i="1"/>
  <c r="Y301" i="1"/>
  <c r="DJ301" i="1"/>
  <c r="DK301" i="1"/>
  <c r="R121" i="1"/>
  <c r="R124" i="1"/>
  <c r="R133" i="1" s="1"/>
  <c r="R139" i="1" s="1"/>
  <c r="Y643" i="1"/>
  <c r="U643" i="1"/>
  <c r="DJ645" i="1"/>
  <c r="DJ644" i="1"/>
  <c r="DK643" i="1"/>
  <c r="W643" i="1"/>
  <c r="DJ643" i="1"/>
  <c r="Q643" i="1" s="1"/>
  <c r="D646" i="1"/>
  <c r="DI10" i="1"/>
  <c r="DH11" i="1"/>
  <c r="DJ453" i="1"/>
  <c r="DJ452" i="1"/>
  <c r="DJ451" i="1"/>
  <c r="Y451" i="1"/>
  <c r="D454" i="1"/>
  <c r="W451" i="1"/>
  <c r="U451" i="1"/>
  <c r="DK451" i="1"/>
  <c r="Q26" i="1"/>
  <c r="DJ701" i="1"/>
  <c r="DJ700" i="1"/>
  <c r="DJ702" i="1"/>
  <c r="D703" i="1"/>
  <c r="DK700" i="1"/>
  <c r="E480" i="7"/>
  <c r="D480" i="7"/>
  <c r="DJ727" i="1"/>
  <c r="Q727" i="1" s="1"/>
  <c r="DJ729" i="1"/>
  <c r="DJ728" i="1"/>
  <c r="D730" i="1"/>
  <c r="DK727" i="1"/>
  <c r="R340" i="1"/>
  <c r="R343" i="1" s="1"/>
  <c r="R346" i="1"/>
  <c r="R359" i="1" s="1"/>
  <c r="R362" i="1" s="1"/>
  <c r="R251" i="1"/>
  <c r="R244" i="1"/>
  <c r="X25" i="1"/>
  <c r="Q448" i="1"/>
  <c r="Q451" i="1" s="1"/>
  <c r="V283" i="1"/>
  <c r="DJ877" i="1"/>
  <c r="DJ879" i="1"/>
  <c r="DJ878" i="1"/>
  <c r="D880" i="1"/>
  <c r="DK877" i="1"/>
  <c r="V613" i="1"/>
  <c r="V442" i="1"/>
  <c r="DJ945" i="1"/>
  <c r="DJ944" i="1"/>
  <c r="D946" i="1"/>
  <c r="DJ943" i="1"/>
  <c r="DK943" i="1"/>
  <c r="D406" i="1"/>
  <c r="DJ405" i="1"/>
  <c r="DJ404" i="1"/>
  <c r="DJ403" i="1"/>
  <c r="DK403" i="1"/>
  <c r="Q641" i="1"/>
  <c r="DJ834" i="1"/>
  <c r="DJ833" i="1"/>
  <c r="DJ832" i="1"/>
  <c r="DK832" i="1"/>
  <c r="D835" i="1"/>
  <c r="DJ79" i="1"/>
  <c r="DJ81" i="1"/>
  <c r="D82" i="1"/>
  <c r="DJ80" i="1"/>
  <c r="DK79" i="1"/>
  <c r="C57" i="7"/>
  <c r="B58" i="7"/>
  <c r="F481" i="7"/>
  <c r="C481" i="7"/>
  <c r="B484" i="7"/>
  <c r="D158" i="7"/>
  <c r="E158" i="7"/>
  <c r="DJ783" i="1"/>
  <c r="DJ782" i="1"/>
  <c r="D784" i="1"/>
  <c r="DJ781" i="1"/>
  <c r="DK781" i="1"/>
  <c r="Q781" i="1"/>
  <c r="DJ365" i="1"/>
  <c r="DJ366" i="1"/>
  <c r="DJ364" i="1"/>
  <c r="DK364" i="1"/>
  <c r="D367" i="1"/>
  <c r="R203" i="1"/>
  <c r="R208" i="1"/>
  <c r="R215" i="1" s="1"/>
  <c r="R218" i="1" s="1"/>
  <c r="R223" i="1" s="1"/>
  <c r="D202" i="1"/>
  <c r="DJ199" i="1"/>
  <c r="DJ200" i="1"/>
  <c r="DJ201" i="1"/>
  <c r="DK199" i="1"/>
  <c r="DG14" i="1"/>
  <c r="DF15" i="1"/>
  <c r="DJ909" i="1"/>
  <c r="DJ908" i="1"/>
  <c r="D910" i="1"/>
  <c r="DJ907" i="1"/>
  <c r="DK907" i="1"/>
  <c r="C64" i="7"/>
  <c r="B65" i="7"/>
  <c r="D250" i="1"/>
  <c r="DJ249" i="1"/>
  <c r="Q260" i="1" s="1"/>
  <c r="DJ248" i="1"/>
  <c r="Q261" i="1" s="1"/>
  <c r="DJ247" i="1"/>
  <c r="DK247" i="1"/>
  <c r="D54" i="7"/>
  <c r="E54" i="7" s="1"/>
  <c r="Q196" i="1"/>
  <c r="Q644" i="1"/>
  <c r="Q640" i="1"/>
  <c r="DJ155" i="1"/>
  <c r="DK154" i="1"/>
  <c r="DJ156" i="1"/>
  <c r="DJ154" i="1"/>
  <c r="D157" i="1"/>
  <c r="F480" i="7"/>
  <c r="D32" i="7"/>
  <c r="E32" i="7" s="1"/>
  <c r="R292" i="1"/>
  <c r="R301" i="1" s="1"/>
  <c r="R289" i="1"/>
  <c r="R298" i="1" s="1"/>
  <c r="B159" i="7"/>
  <c r="AC28" i="1"/>
  <c r="Y28" i="1"/>
  <c r="U28" i="1"/>
  <c r="AB28" i="1"/>
  <c r="DJ30" i="1"/>
  <c r="DJ29" i="1"/>
  <c r="DK28" i="1"/>
  <c r="W28" i="1"/>
  <c r="DJ28" i="1"/>
  <c r="V28" i="1"/>
  <c r="E28" i="1"/>
  <c r="D31" i="1"/>
  <c r="Q28" i="1"/>
  <c r="Q452" i="1"/>
  <c r="Q449" i="1"/>
  <c r="D532" i="1"/>
  <c r="DJ529" i="1"/>
  <c r="DJ531" i="1"/>
  <c r="DJ530" i="1"/>
  <c r="DK529" i="1"/>
  <c r="Q290" i="1"/>
  <c r="Q299" i="1" s="1"/>
  <c r="Q293" i="1"/>
  <c r="Q294" i="1"/>
  <c r="Q295" i="1" s="1"/>
  <c r="Q277" i="1"/>
  <c r="D34" i="1" l="1"/>
  <c r="W31" i="1"/>
  <c r="DJ31" i="1"/>
  <c r="V31" i="1"/>
  <c r="X31" i="1" s="1"/>
  <c r="AC31" i="1"/>
  <c r="U31" i="1"/>
  <c r="Y31" i="1"/>
  <c r="E31" i="1"/>
  <c r="DJ33" i="1"/>
  <c r="AB31" i="1"/>
  <c r="DJ32" i="1"/>
  <c r="DK31" i="1"/>
  <c r="DJ157" i="1"/>
  <c r="D160" i="1"/>
  <c r="DJ158" i="1"/>
  <c r="DJ159" i="1"/>
  <c r="DK157" i="1"/>
  <c r="Q922" i="1"/>
  <c r="Q931" i="1" s="1"/>
  <c r="Q937" i="1" s="1"/>
  <c r="Q940" i="1" s="1"/>
  <c r="Q943" i="1" s="1"/>
  <c r="Q907" i="1"/>
  <c r="C484" i="7"/>
  <c r="C58" i="7"/>
  <c r="F58" i="7"/>
  <c r="DJ83" i="1"/>
  <c r="DJ84" i="1"/>
  <c r="DJ82" i="1"/>
  <c r="D85" i="1"/>
  <c r="DK82" i="1"/>
  <c r="D409" i="1"/>
  <c r="DJ407" i="1"/>
  <c r="Q418" i="1" s="1"/>
  <c r="Q422" i="1" s="1"/>
  <c r="DJ406" i="1"/>
  <c r="DJ408" i="1"/>
  <c r="DK406" i="1"/>
  <c r="D883" i="1"/>
  <c r="DJ880" i="1"/>
  <c r="DJ882" i="1"/>
  <c r="DJ881" i="1"/>
  <c r="DK880" i="1"/>
  <c r="Y304" i="1"/>
  <c r="U304" i="1"/>
  <c r="DJ306" i="1"/>
  <c r="Q306" i="1" s="1"/>
  <c r="DJ305" i="1"/>
  <c r="W304" i="1"/>
  <c r="DJ304" i="1"/>
  <c r="Q304" i="1" s="1"/>
  <c r="D307" i="1"/>
  <c r="DK304" i="1"/>
  <c r="C159" i="7"/>
  <c r="DJ251" i="1"/>
  <c r="DJ252" i="1"/>
  <c r="DJ250" i="1"/>
  <c r="D253" i="1"/>
  <c r="DK250" i="1"/>
  <c r="D64" i="7"/>
  <c r="E64" i="7" s="1"/>
  <c r="R245" i="1"/>
  <c r="R249" i="1" s="1"/>
  <c r="R260" i="1" s="1"/>
  <c r="R242" i="1"/>
  <c r="DJ786" i="1"/>
  <c r="DJ785" i="1"/>
  <c r="DJ784" i="1"/>
  <c r="Q834" i="1" s="1"/>
  <c r="D787" i="1"/>
  <c r="DK784" i="1"/>
  <c r="E481" i="7"/>
  <c r="D481" i="7"/>
  <c r="D57" i="7"/>
  <c r="E57" i="7"/>
  <c r="Q79" i="1"/>
  <c r="Q836" i="1"/>
  <c r="Q944" i="1"/>
  <c r="R376" i="1"/>
  <c r="R371" i="1"/>
  <c r="R374" i="1" s="1"/>
  <c r="R375" i="1" s="1"/>
  <c r="DJ703" i="1"/>
  <c r="Q713" i="1" s="1"/>
  <c r="V706" i="1"/>
  <c r="W706" i="1"/>
  <c r="W709" i="1" s="1"/>
  <c r="W712" i="1" s="1"/>
  <c r="W715" i="1" s="1"/>
  <c r="W718" i="1" s="1"/>
  <c r="W721" i="1" s="1"/>
  <c r="W724" i="1" s="1"/>
  <c r="W727" i="1" s="1"/>
  <c r="W730" i="1" s="1"/>
  <c r="U706" i="1"/>
  <c r="U709" i="1" s="1"/>
  <c r="U712" i="1" s="1"/>
  <c r="U715" i="1" s="1"/>
  <c r="U718" i="1" s="1"/>
  <c r="U721" i="1" s="1"/>
  <c r="U724" i="1" s="1"/>
  <c r="U727" i="1" s="1"/>
  <c r="DJ705" i="1"/>
  <c r="Y706" i="1"/>
  <c r="Y709" i="1" s="1"/>
  <c r="Y712" i="1" s="1"/>
  <c r="Y715" i="1" s="1"/>
  <c r="Y718" i="1" s="1"/>
  <c r="Y721" i="1" s="1"/>
  <c r="Y724" i="1" s="1"/>
  <c r="Y727" i="1" s="1"/>
  <c r="DJ704" i="1"/>
  <c r="DK703" i="1"/>
  <c r="DJ456" i="1"/>
  <c r="Y454" i="1"/>
  <c r="U454" i="1"/>
  <c r="DJ454" i="1"/>
  <c r="Q454" i="1" s="1"/>
  <c r="W454" i="1"/>
  <c r="DJ455" i="1"/>
  <c r="D457" i="1"/>
  <c r="DK454" i="1"/>
  <c r="DI11" i="1"/>
  <c r="DH12" i="1"/>
  <c r="DJ837" i="1"/>
  <c r="DJ836" i="1"/>
  <c r="DJ835" i="1"/>
  <c r="DK835" i="1"/>
  <c r="D838" i="1"/>
  <c r="DJ948" i="1"/>
  <c r="DJ947" i="1"/>
  <c r="DK946" i="1"/>
  <c r="D949" i="1"/>
  <c r="DJ946" i="1"/>
  <c r="V445" i="1"/>
  <c r="Q712" i="1"/>
  <c r="Q715" i="1" s="1"/>
  <c r="Q722" i="1" s="1"/>
  <c r="Q723" i="1" s="1"/>
  <c r="Q302" i="1"/>
  <c r="D451" i="7"/>
  <c r="E451" i="7"/>
  <c r="V625" i="1"/>
  <c r="DJ533" i="1"/>
  <c r="DJ534" i="1"/>
  <c r="DJ532" i="1"/>
  <c r="D535" i="1"/>
  <c r="DK532" i="1"/>
  <c r="C65" i="7"/>
  <c r="F65" i="7"/>
  <c r="DJ731" i="1"/>
  <c r="D733" i="1"/>
  <c r="U730" i="1"/>
  <c r="Y730" i="1"/>
  <c r="DJ732" i="1"/>
  <c r="DJ730" i="1"/>
  <c r="DK730" i="1"/>
  <c r="R131" i="1"/>
  <c r="R132" i="1"/>
  <c r="X28" i="1"/>
  <c r="F64" i="7"/>
  <c r="DF16" i="1"/>
  <c r="DG15" i="1"/>
  <c r="Q368" i="1"/>
  <c r="Q365" i="1"/>
  <c r="Q29" i="1"/>
  <c r="R320" i="1"/>
  <c r="R329" i="1" s="1"/>
  <c r="R331" i="1" s="1"/>
  <c r="R323" i="1"/>
  <c r="R326" i="1" s="1"/>
  <c r="Q269" i="1"/>
  <c r="Q268" i="1"/>
  <c r="Q274" i="1"/>
  <c r="DJ912" i="1"/>
  <c r="DJ911" i="1"/>
  <c r="Q917" i="1" s="1"/>
  <c r="Q920" i="1" s="1"/>
  <c r="Q923" i="1" s="1"/>
  <c r="Q925" i="1" s="1"/>
  <c r="Q928" i="1" s="1"/>
  <c r="Q932" i="1" s="1"/>
  <c r="Q934" i="1" s="1"/>
  <c r="D913" i="1"/>
  <c r="DJ910" i="1"/>
  <c r="DK910" i="1"/>
  <c r="DJ203" i="1"/>
  <c r="DJ204" i="1"/>
  <c r="DJ202" i="1"/>
  <c r="D205" i="1"/>
  <c r="DK202" i="1"/>
  <c r="DJ369" i="1"/>
  <c r="DJ368" i="1"/>
  <c r="Q428" i="1" s="1"/>
  <c r="DK367" i="1"/>
  <c r="D370" i="1"/>
  <c r="DJ367" i="1"/>
  <c r="F57" i="7"/>
  <c r="V286" i="1"/>
  <c r="R254" i="1"/>
  <c r="R256" i="1"/>
  <c r="R266" i="1" s="1"/>
  <c r="Q30" i="1"/>
  <c r="DJ648" i="1"/>
  <c r="Y646" i="1"/>
  <c r="U646" i="1"/>
  <c r="D649" i="1"/>
  <c r="DJ647" i="1"/>
  <c r="W646" i="1"/>
  <c r="DJ646" i="1"/>
  <c r="Q646" i="1" s="1"/>
  <c r="DK646" i="1"/>
  <c r="R157" i="1"/>
  <c r="R164" i="1" s="1"/>
  <c r="R178" i="1" s="1"/>
  <c r="R182" i="1" s="1"/>
  <c r="R183" i="1" s="1"/>
  <c r="R185" i="1" s="1"/>
  <c r="R186" i="1" s="1"/>
  <c r="R160" i="1"/>
  <c r="Q301" i="1"/>
  <c r="B452" i="7"/>
  <c r="R197" i="1" l="1"/>
  <c r="R200" i="1"/>
  <c r="R211" i="1" s="1"/>
  <c r="D208" i="1"/>
  <c r="DJ205" i="1"/>
  <c r="DJ206" i="1"/>
  <c r="DJ207" i="1"/>
  <c r="DK205" i="1"/>
  <c r="Y916" i="1"/>
  <c r="Y919" i="1" s="1"/>
  <c r="Y922" i="1" s="1"/>
  <c r="Y925" i="1" s="1"/>
  <c r="Y928" i="1" s="1"/>
  <c r="Y931" i="1" s="1"/>
  <c r="Y934" i="1" s="1"/>
  <c r="Y937" i="1" s="1"/>
  <c r="Y940" i="1" s="1"/>
  <c r="Y943" i="1" s="1"/>
  <c r="Y946" i="1" s="1"/>
  <c r="Y949" i="1" s="1"/>
  <c r="U916" i="1"/>
  <c r="U919" i="1" s="1"/>
  <c r="U922" i="1" s="1"/>
  <c r="U925" i="1" s="1"/>
  <c r="U928" i="1" s="1"/>
  <c r="U931" i="1" s="1"/>
  <c r="U934" i="1" s="1"/>
  <c r="U937" i="1" s="1"/>
  <c r="U940" i="1" s="1"/>
  <c r="U943" i="1" s="1"/>
  <c r="U946" i="1" s="1"/>
  <c r="DJ913" i="1"/>
  <c r="W916" i="1"/>
  <c r="W919" i="1" s="1"/>
  <c r="W922" i="1" s="1"/>
  <c r="W925" i="1" s="1"/>
  <c r="W928" i="1" s="1"/>
  <c r="W931" i="1" s="1"/>
  <c r="W934" i="1" s="1"/>
  <c r="W937" i="1" s="1"/>
  <c r="W940" i="1" s="1"/>
  <c r="W943" i="1" s="1"/>
  <c r="W946" i="1" s="1"/>
  <c r="W949" i="1" s="1"/>
  <c r="DJ914" i="1"/>
  <c r="DJ915" i="1"/>
  <c r="Q919" i="1" s="1"/>
  <c r="Q926" i="1" s="1"/>
  <c r="Q935" i="1" s="1"/>
  <c r="Q938" i="1" s="1"/>
  <c r="Q941" i="1" s="1"/>
  <c r="Q942" i="1" s="1"/>
  <c r="Q945" i="1" s="1"/>
  <c r="DK913" i="1"/>
  <c r="W913" i="1"/>
  <c r="V916" i="1"/>
  <c r="DF17" i="1"/>
  <c r="DG16" i="1"/>
  <c r="D538" i="1"/>
  <c r="DJ535" i="1"/>
  <c r="DJ537" i="1"/>
  <c r="DJ536" i="1"/>
  <c r="DK535" i="1"/>
  <c r="V628" i="1"/>
  <c r="DJ787" i="1"/>
  <c r="Q814" i="1" s="1"/>
  <c r="Q818" i="1" s="1"/>
  <c r="Q824" i="1" s="1"/>
  <c r="Q829" i="1" s="1"/>
  <c r="DJ789" i="1"/>
  <c r="D790" i="1"/>
  <c r="DJ788" i="1"/>
  <c r="DK787" i="1"/>
  <c r="D159" i="7"/>
  <c r="E159" i="7" s="1"/>
  <c r="Q946" i="1"/>
  <c r="Q416" i="1"/>
  <c r="D484" i="7"/>
  <c r="E484" i="7" s="1"/>
  <c r="AB34" i="1"/>
  <c r="DJ35" i="1"/>
  <c r="W34" i="1"/>
  <c r="D37" i="1"/>
  <c r="Y34" i="1"/>
  <c r="AC34" i="1"/>
  <c r="DJ34" i="1"/>
  <c r="V34" i="1"/>
  <c r="E34" i="1"/>
  <c r="DJ36" i="1"/>
  <c r="U34" i="1"/>
  <c r="DK34" i="1"/>
  <c r="Y649" i="1"/>
  <c r="U649" i="1"/>
  <c r="DJ651" i="1"/>
  <c r="DJ650" i="1"/>
  <c r="DJ649" i="1"/>
  <c r="D652" i="1"/>
  <c r="W649" i="1"/>
  <c r="DK649" i="1"/>
  <c r="Q648" i="1"/>
  <c r="Q404" i="1"/>
  <c r="Q407" i="1"/>
  <c r="R327" i="1"/>
  <c r="R334" i="1"/>
  <c r="R338" i="1" s="1"/>
  <c r="R349" i="1" s="1"/>
  <c r="R367" i="1" s="1"/>
  <c r="V448" i="1"/>
  <c r="D952" i="1"/>
  <c r="DJ949" i="1"/>
  <c r="Q949" i="1" s="1"/>
  <c r="U949" i="1"/>
  <c r="DJ951" i="1"/>
  <c r="DJ950" i="1"/>
  <c r="DK949" i="1"/>
  <c r="Q947" i="1"/>
  <c r="DJ840" i="1"/>
  <c r="DJ839" i="1"/>
  <c r="DJ838" i="1"/>
  <c r="D841" i="1"/>
  <c r="DK838" i="1"/>
  <c r="DI12" i="1"/>
  <c r="DH13" i="1"/>
  <c r="V709" i="1"/>
  <c r="R391" i="1"/>
  <c r="R394" i="1"/>
  <c r="R397" i="1" s="1"/>
  <c r="R403" i="1" s="1"/>
  <c r="DJ253" i="1"/>
  <c r="D256" i="1"/>
  <c r="DK253" i="1"/>
  <c r="DJ254" i="1"/>
  <c r="DJ255" i="1"/>
  <c r="Q890" i="1"/>
  <c r="Q880" i="1"/>
  <c r="F484" i="7"/>
  <c r="V289" i="1"/>
  <c r="DJ372" i="1"/>
  <c r="DJ370" i="1"/>
  <c r="DJ371" i="1"/>
  <c r="DK370" i="1"/>
  <c r="D373" i="1"/>
  <c r="Q730" i="1"/>
  <c r="DJ733" i="1"/>
  <c r="Q733" i="1" s="1"/>
  <c r="D736" i="1"/>
  <c r="U733" i="1"/>
  <c r="Y733" i="1"/>
  <c r="DJ734" i="1"/>
  <c r="W733" i="1"/>
  <c r="DJ735" i="1"/>
  <c r="DK733" i="1"/>
  <c r="D65" i="7"/>
  <c r="E65" i="7"/>
  <c r="DJ459" i="1"/>
  <c r="DJ458" i="1"/>
  <c r="D460" i="1"/>
  <c r="DJ457" i="1"/>
  <c r="U457" i="1"/>
  <c r="Y457" i="1"/>
  <c r="DK457" i="1"/>
  <c r="W457" i="1"/>
  <c r="B162" i="7"/>
  <c r="D310" i="1"/>
  <c r="W307" i="1"/>
  <c r="DJ307" i="1"/>
  <c r="DJ309" i="1"/>
  <c r="Q309" i="1" s="1"/>
  <c r="DJ308" i="1"/>
  <c r="Y307" i="1"/>
  <c r="U307" i="1"/>
  <c r="DK307" i="1"/>
  <c r="Q382" i="1"/>
  <c r="Q305" i="1"/>
  <c r="DJ87" i="1"/>
  <c r="DJ86" i="1"/>
  <c r="DK85" i="1"/>
  <c r="D88" i="1"/>
  <c r="DJ85" i="1"/>
  <c r="D58" i="7"/>
  <c r="E58" i="7"/>
  <c r="Q784" i="1"/>
  <c r="Q31" i="1"/>
  <c r="Q32" i="1" s="1"/>
  <c r="F452" i="7"/>
  <c r="B453" i="7"/>
  <c r="C452" i="7"/>
  <c r="Q647" i="1"/>
  <c r="R278" i="1"/>
  <c r="R275" i="1"/>
  <c r="Q33" i="1"/>
  <c r="B66" i="7"/>
  <c r="Q838" i="1"/>
  <c r="Q455" i="1"/>
  <c r="Q457" i="1" s="1"/>
  <c r="Q456" i="1"/>
  <c r="Q458" i="1" s="1"/>
  <c r="Q725" i="1"/>
  <c r="Q728" i="1" s="1"/>
  <c r="Q719" i="1"/>
  <c r="Q731" i="1" s="1"/>
  <c r="R274" i="1"/>
  <c r="R269" i="1"/>
  <c r="R280" i="1" s="1"/>
  <c r="X280" i="1" s="1"/>
  <c r="R268" i="1"/>
  <c r="F159" i="7"/>
  <c r="V886" i="1"/>
  <c r="DJ885" i="1"/>
  <c r="DJ884" i="1"/>
  <c r="Y886" i="1"/>
  <c r="Y889" i="1" s="1"/>
  <c r="Y892" i="1" s="1"/>
  <c r="Y895" i="1" s="1"/>
  <c r="Y898" i="1" s="1"/>
  <c r="Y901" i="1" s="1"/>
  <c r="Y904" i="1" s="1"/>
  <c r="Y907" i="1" s="1"/>
  <c r="Y910" i="1" s="1"/>
  <c r="Y913" i="1" s="1"/>
  <c r="U886" i="1"/>
  <c r="U889" i="1" s="1"/>
  <c r="U892" i="1" s="1"/>
  <c r="U895" i="1" s="1"/>
  <c r="U898" i="1" s="1"/>
  <c r="U901" i="1" s="1"/>
  <c r="U904" i="1" s="1"/>
  <c r="U907" i="1" s="1"/>
  <c r="U910" i="1" s="1"/>
  <c r="U913" i="1" s="1"/>
  <c r="W886" i="1"/>
  <c r="W889" i="1" s="1"/>
  <c r="W892" i="1" s="1"/>
  <c r="W895" i="1" s="1"/>
  <c r="W898" i="1" s="1"/>
  <c r="W901" i="1" s="1"/>
  <c r="W904" i="1" s="1"/>
  <c r="W907" i="1" s="1"/>
  <c r="W910" i="1" s="1"/>
  <c r="DJ883" i="1"/>
  <c r="DK883" i="1"/>
  <c r="DJ411" i="1"/>
  <c r="DJ410" i="1"/>
  <c r="DJ409" i="1"/>
  <c r="DK409" i="1"/>
  <c r="D412" i="1"/>
  <c r="B485" i="7"/>
  <c r="DJ161" i="1"/>
  <c r="DJ162" i="1"/>
  <c r="DJ160" i="1"/>
  <c r="D163" i="1"/>
  <c r="DK160" i="1"/>
  <c r="F453" i="7" l="1"/>
  <c r="C453" i="7"/>
  <c r="B456" i="7"/>
  <c r="D376" i="1"/>
  <c r="DJ374" i="1"/>
  <c r="DJ373" i="1"/>
  <c r="DJ375" i="1"/>
  <c r="DK373" i="1"/>
  <c r="V292" i="1"/>
  <c r="V712" i="1"/>
  <c r="Q421" i="1"/>
  <c r="Q425" i="1"/>
  <c r="Q427" i="1" s="1"/>
  <c r="C485" i="7"/>
  <c r="B486" i="7" s="1"/>
  <c r="Q308" i="1"/>
  <c r="Q307" i="1"/>
  <c r="DJ737" i="1"/>
  <c r="W736" i="1"/>
  <c r="DJ738" i="1"/>
  <c r="U736" i="1"/>
  <c r="D739" i="1"/>
  <c r="Y736" i="1"/>
  <c r="DJ736" i="1"/>
  <c r="DK736" i="1"/>
  <c r="W259" i="1"/>
  <c r="W262" i="1" s="1"/>
  <c r="W265" i="1" s="1"/>
  <c r="W268" i="1" s="1"/>
  <c r="W271" i="1" s="1"/>
  <c r="W274" i="1" s="1"/>
  <c r="W277" i="1" s="1"/>
  <c r="DJ257" i="1"/>
  <c r="DJ256" i="1"/>
  <c r="V259" i="1"/>
  <c r="U259" i="1"/>
  <c r="U262" i="1" s="1"/>
  <c r="U265" i="1" s="1"/>
  <c r="U268" i="1" s="1"/>
  <c r="U271" i="1" s="1"/>
  <c r="U274" i="1" s="1"/>
  <c r="U277" i="1" s="1"/>
  <c r="DJ258" i="1"/>
  <c r="Y259" i="1"/>
  <c r="Y262" i="1" s="1"/>
  <c r="Y265" i="1" s="1"/>
  <c r="Y268" i="1" s="1"/>
  <c r="Y271" i="1" s="1"/>
  <c r="Y274" i="1" s="1"/>
  <c r="Y277" i="1" s="1"/>
  <c r="DK256" i="1"/>
  <c r="Q841" i="1"/>
  <c r="D655" i="1"/>
  <c r="Y652" i="1"/>
  <c r="U652" i="1"/>
  <c r="DJ654" i="1"/>
  <c r="DJ652" i="1"/>
  <c r="DJ653" i="1"/>
  <c r="W652" i="1"/>
  <c r="DK652" i="1"/>
  <c r="Q35" i="1"/>
  <c r="Q36" i="1" s="1"/>
  <c r="R221" i="1"/>
  <c r="R226" i="1"/>
  <c r="Y460" i="1"/>
  <c r="U460" i="1"/>
  <c r="DJ460" i="1"/>
  <c r="W460" i="1"/>
  <c r="DJ461" i="1"/>
  <c r="DK460" i="1"/>
  <c r="DJ462" i="1"/>
  <c r="D463" i="1"/>
  <c r="W415" i="1"/>
  <c r="W418" i="1" s="1"/>
  <c r="W421" i="1" s="1"/>
  <c r="W424" i="1" s="1"/>
  <c r="W427" i="1" s="1"/>
  <c r="DJ413" i="1"/>
  <c r="V415" i="1"/>
  <c r="DJ412" i="1"/>
  <c r="U415" i="1"/>
  <c r="U418" i="1" s="1"/>
  <c r="U421" i="1" s="1"/>
  <c r="U424" i="1" s="1"/>
  <c r="U427" i="1" s="1"/>
  <c r="DJ414" i="1"/>
  <c r="Y415" i="1"/>
  <c r="Y418" i="1" s="1"/>
  <c r="Y421" i="1" s="1"/>
  <c r="Y424" i="1" s="1"/>
  <c r="Y427" i="1" s="1"/>
  <c r="DK412" i="1"/>
  <c r="Q419" i="1"/>
  <c r="R283" i="1"/>
  <c r="X283" i="1" s="1"/>
  <c r="R286" i="1"/>
  <c r="D91" i="1"/>
  <c r="DJ88" i="1"/>
  <c r="DJ90" i="1"/>
  <c r="DJ89" i="1"/>
  <c r="DK88" i="1"/>
  <c r="Q734" i="1"/>
  <c r="Q373" i="1"/>
  <c r="Q370" i="1"/>
  <c r="R412" i="1"/>
  <c r="R415" i="1" s="1"/>
  <c r="R424" i="1" s="1"/>
  <c r="R433" i="1" s="1"/>
  <c r="R409" i="1"/>
  <c r="R419" i="1" s="1"/>
  <c r="Q950" i="1"/>
  <c r="Q951" i="1" s="1"/>
  <c r="Q953" i="1" s="1"/>
  <c r="DJ954" i="1"/>
  <c r="DJ953" i="1"/>
  <c r="W952" i="1"/>
  <c r="DJ952" i="1"/>
  <c r="Q952" i="1" s="1"/>
  <c r="Y952" i="1"/>
  <c r="U952" i="1"/>
  <c r="DK952" i="1"/>
  <c r="R407" i="1"/>
  <c r="R418" i="1" s="1"/>
  <c r="R422" i="1" s="1"/>
  <c r="R404" i="1"/>
  <c r="Q649" i="1"/>
  <c r="D793" i="1"/>
  <c r="DJ790" i="1"/>
  <c r="DJ791" i="1"/>
  <c r="DJ792" i="1"/>
  <c r="DK790" i="1"/>
  <c r="V631" i="1"/>
  <c r="DJ208" i="1"/>
  <c r="DJ209" i="1"/>
  <c r="DJ210" i="1"/>
  <c r="D211" i="1"/>
  <c r="DK208" i="1"/>
  <c r="Q888" i="1"/>
  <c r="Q891" i="1" s="1"/>
  <c r="Q899" i="1" s="1"/>
  <c r="Q908" i="1" s="1"/>
  <c r="Q911" i="1" s="1"/>
  <c r="V889" i="1"/>
  <c r="DJ163" i="1"/>
  <c r="DJ165" i="1"/>
  <c r="D166" i="1"/>
  <c r="DJ164" i="1"/>
  <c r="DK163" i="1"/>
  <c r="Q410" i="1"/>
  <c r="Q411" i="1" s="1"/>
  <c r="Q886" i="1"/>
  <c r="Q889" i="1" s="1"/>
  <c r="Q892" i="1" s="1"/>
  <c r="Q895" i="1" s="1"/>
  <c r="Q898" i="1" s="1"/>
  <c r="Q902" i="1" s="1"/>
  <c r="Q904" i="1" s="1"/>
  <c r="Q906" i="1" s="1"/>
  <c r="Q910" i="1" s="1"/>
  <c r="Q913" i="1" s="1"/>
  <c r="Q915" i="1" s="1"/>
  <c r="C66" i="7"/>
  <c r="R378" i="1"/>
  <c r="R379" i="1" s="1"/>
  <c r="R370" i="1"/>
  <c r="R373" i="1" s="1"/>
  <c r="E452" i="7"/>
  <c r="D452" i="7"/>
  <c r="DJ311" i="1"/>
  <c r="Q311" i="1" s="1"/>
  <c r="W310" i="1"/>
  <c r="DJ312" i="1"/>
  <c r="U310" i="1"/>
  <c r="D313" i="1"/>
  <c r="DJ310" i="1"/>
  <c r="Q310" i="1" s="1"/>
  <c r="Y310" i="1"/>
  <c r="DK310" i="1"/>
  <c r="C162" i="7"/>
  <c r="B163" i="7"/>
  <c r="F162" i="7"/>
  <c r="Q279" i="1"/>
  <c r="DI13" i="1"/>
  <c r="DH14" i="1"/>
  <c r="DJ843" i="1"/>
  <c r="DJ842" i="1"/>
  <c r="D844" i="1"/>
  <c r="DJ841" i="1"/>
  <c r="DK841" i="1"/>
  <c r="V451" i="1"/>
  <c r="X34" i="1"/>
  <c r="D40" i="1"/>
  <c r="W37" i="1"/>
  <c r="DJ37" i="1"/>
  <c r="V37" i="1"/>
  <c r="X37" i="1" s="1"/>
  <c r="DJ39" i="1"/>
  <c r="AB37" i="1"/>
  <c r="AC37" i="1"/>
  <c r="U37" i="1"/>
  <c r="DJ38" i="1"/>
  <c r="Y37" i="1"/>
  <c r="E37" i="1"/>
  <c r="DK37" i="1"/>
  <c r="Q34" i="1"/>
  <c r="DJ539" i="1"/>
  <c r="DJ540" i="1"/>
  <c r="DJ538" i="1"/>
  <c r="D541" i="1"/>
  <c r="DK538" i="1"/>
  <c r="DF18" i="1"/>
  <c r="DG17" i="1"/>
  <c r="V919" i="1"/>
  <c r="B487" i="7" l="1"/>
  <c r="C486" i="7"/>
  <c r="F486" i="7" s="1"/>
  <c r="DJ543" i="1"/>
  <c r="DJ542" i="1"/>
  <c r="DJ541" i="1"/>
  <c r="DK541" i="1"/>
  <c r="D544" i="1"/>
  <c r="AB40" i="1"/>
  <c r="DJ41" i="1"/>
  <c r="W40" i="1"/>
  <c r="DJ42" i="1"/>
  <c r="V40" i="1"/>
  <c r="DJ40" i="1"/>
  <c r="Y40" i="1"/>
  <c r="D43" i="1"/>
  <c r="AC40" i="1"/>
  <c r="U40" i="1"/>
  <c r="E40" i="1"/>
  <c r="DK40" i="1"/>
  <c r="Q178" i="1"/>
  <c r="Q182" i="1" s="1"/>
  <c r="Q183" i="1" s="1"/>
  <c r="Q185" i="1" s="1"/>
  <c r="Q186" i="1" s="1"/>
  <c r="D214" i="1"/>
  <c r="DJ211" i="1"/>
  <c r="DJ213" i="1"/>
  <c r="DJ212" i="1"/>
  <c r="DK211" i="1"/>
  <c r="V634" i="1"/>
  <c r="C163" i="7"/>
  <c r="F163" i="7"/>
  <c r="R229" i="1"/>
  <c r="R232" i="1"/>
  <c r="Q652" i="1"/>
  <c r="Q655" i="1" s="1"/>
  <c r="V262" i="1"/>
  <c r="Y739" i="1"/>
  <c r="U739" i="1"/>
  <c r="DJ740" i="1"/>
  <c r="DJ741" i="1"/>
  <c r="DJ739" i="1"/>
  <c r="W739" i="1"/>
  <c r="D742" i="1"/>
  <c r="DK739" i="1"/>
  <c r="F485" i="7"/>
  <c r="V715" i="1"/>
  <c r="C456" i="7"/>
  <c r="DG18" i="1"/>
  <c r="DF19" i="1"/>
  <c r="DI14" i="1"/>
  <c r="DH15" i="1"/>
  <c r="D66" i="7"/>
  <c r="E66" i="7" s="1"/>
  <c r="R449" i="1"/>
  <c r="R452" i="1" s="1"/>
  <c r="R461" i="1" s="1"/>
  <c r="R443" i="1"/>
  <c r="R445" i="1" s="1"/>
  <c r="Q415" i="1"/>
  <c r="Q424" i="1" s="1"/>
  <c r="DJ167" i="1"/>
  <c r="DJ168" i="1"/>
  <c r="DJ166" i="1"/>
  <c r="D169" i="1"/>
  <c r="DK166" i="1"/>
  <c r="R430" i="1"/>
  <c r="R437" i="1"/>
  <c r="R438" i="1"/>
  <c r="R439" i="1" s="1"/>
  <c r="V454" i="1"/>
  <c r="D162" i="7"/>
  <c r="E162" i="7" s="1"/>
  <c r="D316" i="1"/>
  <c r="W313" i="1"/>
  <c r="DJ313" i="1"/>
  <c r="DJ315" i="1"/>
  <c r="U313" i="1"/>
  <c r="DJ314" i="1"/>
  <c r="Y313" i="1"/>
  <c r="DK313" i="1"/>
  <c r="R388" i="1"/>
  <c r="R401" i="1" s="1"/>
  <c r="R553" i="1" s="1"/>
  <c r="R554" i="1" s="1"/>
  <c r="R385" i="1"/>
  <c r="D94" i="1"/>
  <c r="DK91" i="1"/>
  <c r="DJ91" i="1"/>
  <c r="DJ92" i="1"/>
  <c r="DJ93" i="1"/>
  <c r="Q460" i="1"/>
  <c r="Q266" i="1"/>
  <c r="Q37" i="1"/>
  <c r="E453" i="7"/>
  <c r="D453" i="7"/>
  <c r="V922" i="1"/>
  <c r="D847" i="1"/>
  <c r="DJ844" i="1"/>
  <c r="DJ846" i="1"/>
  <c r="DJ845" i="1"/>
  <c r="DK844" i="1"/>
  <c r="B67" i="7"/>
  <c r="DJ795" i="1"/>
  <c r="DJ794" i="1"/>
  <c r="DK793" i="1"/>
  <c r="D796" i="1"/>
  <c r="DJ793" i="1"/>
  <c r="V418" i="1"/>
  <c r="Q842" i="1"/>
  <c r="F66" i="7"/>
  <c r="V892" i="1"/>
  <c r="Q954" i="1"/>
  <c r="R317" i="1"/>
  <c r="R318" i="1"/>
  <c r="X286" i="1"/>
  <c r="Q436" i="1"/>
  <c r="Q440" i="1" s="1"/>
  <c r="Q446" i="1" s="1"/>
  <c r="Q413" i="1"/>
  <c r="D466" i="1"/>
  <c r="W463" i="1"/>
  <c r="DJ465" i="1"/>
  <c r="U463" i="1"/>
  <c r="DJ464" i="1"/>
  <c r="DJ463" i="1"/>
  <c r="Y463" i="1"/>
  <c r="DK463" i="1"/>
  <c r="Q465" i="1"/>
  <c r="Q461" i="1"/>
  <c r="Q38" i="1"/>
  <c r="Q39" i="1" s="1"/>
  <c r="D658" i="1"/>
  <c r="DK655" i="1"/>
  <c r="W655" i="1"/>
  <c r="DJ655" i="1"/>
  <c r="Y655" i="1"/>
  <c r="U655" i="1"/>
  <c r="DJ657" i="1"/>
  <c r="DJ656" i="1"/>
  <c r="Q736" i="1"/>
  <c r="Q740" i="1" s="1"/>
  <c r="Q737" i="1"/>
  <c r="Q741" i="1" s="1"/>
  <c r="V295" i="1"/>
  <c r="E485" i="7"/>
  <c r="D485" i="7"/>
  <c r="Y379" i="1"/>
  <c r="Y382" i="1" s="1"/>
  <c r="Y385" i="1" s="1"/>
  <c r="Y388" i="1" s="1"/>
  <c r="Y391" i="1" s="1"/>
  <c r="Y394" i="1" s="1"/>
  <c r="Y397" i="1" s="1"/>
  <c r="Y400" i="1" s="1"/>
  <c r="Y403" i="1" s="1"/>
  <c r="Y406" i="1" s="1"/>
  <c r="Y409" i="1" s="1"/>
  <c r="Y412" i="1" s="1"/>
  <c r="U379" i="1"/>
  <c r="U382" i="1" s="1"/>
  <c r="U385" i="1" s="1"/>
  <c r="U388" i="1" s="1"/>
  <c r="U391" i="1" s="1"/>
  <c r="U394" i="1" s="1"/>
  <c r="U397" i="1" s="1"/>
  <c r="U400" i="1" s="1"/>
  <c r="U403" i="1" s="1"/>
  <c r="U406" i="1" s="1"/>
  <c r="U409" i="1" s="1"/>
  <c r="U412" i="1" s="1"/>
  <c r="W379" i="1"/>
  <c r="W382" i="1" s="1"/>
  <c r="W385" i="1" s="1"/>
  <c r="W388" i="1" s="1"/>
  <c r="W391" i="1" s="1"/>
  <c r="W394" i="1" s="1"/>
  <c r="W397" i="1" s="1"/>
  <c r="W400" i="1" s="1"/>
  <c r="W403" i="1" s="1"/>
  <c r="W406" i="1" s="1"/>
  <c r="W409" i="1" s="1"/>
  <c r="W412" i="1" s="1"/>
  <c r="V379" i="1"/>
  <c r="DJ377" i="1"/>
  <c r="DJ378" i="1"/>
  <c r="DJ376" i="1"/>
  <c r="DK376" i="1"/>
  <c r="Q59" i="1" l="1"/>
  <c r="Q62" i="1"/>
  <c r="Q67" i="1" s="1"/>
  <c r="Q70" i="1" s="1"/>
  <c r="Q40" i="1"/>
  <c r="Q41" i="1"/>
  <c r="Q42" i="1" s="1"/>
  <c r="Q380" i="1"/>
  <c r="Q275" i="1"/>
  <c r="Q278" i="1"/>
  <c r="V718" i="1"/>
  <c r="Q394" i="1"/>
  <c r="Q397" i="1" s="1"/>
  <c r="Q403" i="1" s="1"/>
  <c r="Q391" i="1"/>
  <c r="DJ659" i="1"/>
  <c r="DK658" i="1"/>
  <c r="W658" i="1"/>
  <c r="DJ660" i="1"/>
  <c r="DJ658" i="1"/>
  <c r="D661" i="1"/>
  <c r="Y658" i="1"/>
  <c r="U658" i="1"/>
  <c r="V895" i="1"/>
  <c r="C67" i="7"/>
  <c r="B68" i="7"/>
  <c r="V298" i="1"/>
  <c r="R348" i="1"/>
  <c r="R350" i="1" s="1"/>
  <c r="R358" i="1" s="1"/>
  <c r="R361" i="1" s="1"/>
  <c r="R347" i="1"/>
  <c r="R344" i="1"/>
  <c r="R345" i="1" s="1"/>
  <c r="X40" i="1"/>
  <c r="DJ545" i="1"/>
  <c r="DJ544" i="1"/>
  <c r="D547" i="1"/>
  <c r="DJ546" i="1"/>
  <c r="DK544" i="1"/>
  <c r="Y466" i="1"/>
  <c r="DJ468" i="1"/>
  <c r="W466" i="1"/>
  <c r="U466" i="1"/>
  <c r="D469" i="1"/>
  <c r="DJ467" i="1"/>
  <c r="DJ466" i="1"/>
  <c r="DK466" i="1"/>
  <c r="X418" i="1"/>
  <c r="V421" i="1"/>
  <c r="Q853" i="1"/>
  <c r="Q859" i="1" s="1"/>
  <c r="Q845" i="1"/>
  <c r="V925" i="1"/>
  <c r="Q313" i="1"/>
  <c r="DJ169" i="1"/>
  <c r="DJ171" i="1"/>
  <c r="DJ170" i="1"/>
  <c r="D172" i="1"/>
  <c r="DK169" i="1"/>
  <c r="R472" i="1"/>
  <c r="R475" i="1" s="1"/>
  <c r="R481" i="1" s="1"/>
  <c r="R494" i="1" s="1"/>
  <c r="R500" i="1" s="1"/>
  <c r="R506" i="1" s="1"/>
  <c r="R465" i="1"/>
  <c r="DI15" i="1"/>
  <c r="DH16" i="1"/>
  <c r="E456" i="7"/>
  <c r="D456" i="7"/>
  <c r="V265" i="1"/>
  <c r="V637" i="1"/>
  <c r="C487" i="7"/>
  <c r="F487" i="7"/>
  <c r="DJ798" i="1"/>
  <c r="Q820" i="1" s="1"/>
  <c r="Q827" i="1" s="1"/>
  <c r="DJ797" i="1"/>
  <c r="D799" i="1"/>
  <c r="DK796" i="1"/>
  <c r="DJ796" i="1"/>
  <c r="DJ849" i="1"/>
  <c r="DJ848" i="1"/>
  <c r="DJ847" i="1"/>
  <c r="D850" i="1"/>
  <c r="DK847" i="1"/>
  <c r="Q463" i="1"/>
  <c r="Q464" i="1" s="1"/>
  <c r="Q314" i="1"/>
  <c r="V457" i="1"/>
  <c r="R434" i="1"/>
  <c r="Q179" i="1"/>
  <c r="Q184" i="1" s="1"/>
  <c r="Q199" i="1" s="1"/>
  <c r="Q205" i="1" s="1"/>
  <c r="B457" i="7"/>
  <c r="DJ744" i="1"/>
  <c r="Y742" i="1"/>
  <c r="U742" i="1"/>
  <c r="DJ742" i="1"/>
  <c r="Q742" i="1" s="1"/>
  <c r="W742" i="1"/>
  <c r="DJ743" i="1"/>
  <c r="D745" i="1"/>
  <c r="DK742" i="1"/>
  <c r="Q739" i="1"/>
  <c r="D163" i="7"/>
  <c r="E163" i="7" s="1"/>
  <c r="DJ215" i="1"/>
  <c r="DJ214" i="1"/>
  <c r="DJ216" i="1"/>
  <c r="D217" i="1"/>
  <c r="DK214" i="1"/>
  <c r="Q379" i="1"/>
  <c r="Q378" i="1"/>
  <c r="R596" i="1"/>
  <c r="R599" i="1"/>
  <c r="R763" i="1" s="1"/>
  <c r="R766" i="1" s="1"/>
  <c r="R769" i="1" s="1"/>
  <c r="R773" i="1" s="1"/>
  <c r="R776" i="1" s="1"/>
  <c r="R778" i="1" s="1"/>
  <c r="R781" i="1" s="1"/>
  <c r="R784" i="1" s="1"/>
  <c r="R834" i="1" s="1"/>
  <c r="R836" i="1" s="1"/>
  <c r="R838" i="1" s="1"/>
  <c r="R841" i="1" s="1"/>
  <c r="R842" i="1" s="1"/>
  <c r="R847" i="1" s="1"/>
  <c r="R867" i="1" s="1"/>
  <c r="R871" i="1" s="1"/>
  <c r="R874" i="1" s="1"/>
  <c r="R877" i="1" s="1"/>
  <c r="R881" i="1" s="1"/>
  <c r="B3" i="2" s="1"/>
  <c r="D319" i="1"/>
  <c r="W316" i="1"/>
  <c r="DJ318" i="1"/>
  <c r="DJ317" i="1"/>
  <c r="Q317" i="1" s="1"/>
  <c r="DJ316" i="1"/>
  <c r="U316" i="1"/>
  <c r="Y316" i="1"/>
  <c r="DK316" i="1"/>
  <c r="DF20" i="1"/>
  <c r="DG19" i="1"/>
  <c r="F456" i="7"/>
  <c r="B164" i="7"/>
  <c r="Q226" i="1"/>
  <c r="V382" i="1"/>
  <c r="D97" i="1"/>
  <c r="DJ96" i="1"/>
  <c r="DJ95" i="1"/>
  <c r="DJ94" i="1"/>
  <c r="DK94" i="1"/>
  <c r="R238" i="1"/>
  <c r="R236" i="1"/>
  <c r="Q227" i="1"/>
  <c r="Q197" i="1"/>
  <c r="Q200" i="1"/>
  <c r="Q211" i="1" s="1"/>
  <c r="D46" i="1"/>
  <c r="W43" i="1"/>
  <c r="DJ43" i="1"/>
  <c r="V43" i="1"/>
  <c r="X43" i="1" s="1"/>
  <c r="AB43" i="1"/>
  <c r="DJ44" i="1"/>
  <c r="Y43" i="1"/>
  <c r="E43" i="1"/>
  <c r="DJ45" i="1"/>
  <c r="AC43" i="1"/>
  <c r="U43" i="1"/>
  <c r="DK43" i="1"/>
  <c r="D486" i="7"/>
  <c r="E486" i="7" s="1"/>
  <c r="R515" i="1" l="1"/>
  <c r="R526" i="1" s="1"/>
  <c r="R521" i="1"/>
  <c r="R523" i="1" s="1"/>
  <c r="R532" i="1" s="1"/>
  <c r="Q187" i="1"/>
  <c r="Q194" i="1" s="1"/>
  <c r="Q209" i="1" s="1"/>
  <c r="Q212" i="1" s="1"/>
  <c r="Q409" i="1"/>
  <c r="Q412" i="1"/>
  <c r="Q43" i="1"/>
  <c r="R259" i="1"/>
  <c r="X259" i="1" s="1"/>
  <c r="R262" i="1"/>
  <c r="R257" i="1"/>
  <c r="V385" i="1"/>
  <c r="D487" i="7"/>
  <c r="E487" i="7" s="1"/>
  <c r="X265" i="1"/>
  <c r="V268" i="1"/>
  <c r="DI16" i="1"/>
  <c r="DH17" i="1"/>
  <c r="Q44" i="1"/>
  <c r="C164" i="7"/>
  <c r="F164" i="7" s="1"/>
  <c r="DJ321" i="1"/>
  <c r="DJ320" i="1"/>
  <c r="W319" i="1"/>
  <c r="DJ319" i="1"/>
  <c r="U319" i="1"/>
  <c r="D322" i="1"/>
  <c r="Y319" i="1"/>
  <c r="DK319" i="1"/>
  <c r="Q746" i="1"/>
  <c r="Q743" i="1"/>
  <c r="Q867" i="1"/>
  <c r="Q871" i="1" s="1"/>
  <c r="Q874" i="1" s="1"/>
  <c r="Q877" i="1" s="1"/>
  <c r="Q881" i="1" s="1"/>
  <c r="Q847" i="1"/>
  <c r="B488" i="7"/>
  <c r="W175" i="1"/>
  <c r="W178" i="1" s="1"/>
  <c r="W181" i="1" s="1"/>
  <c r="W184" i="1" s="1"/>
  <c r="W187" i="1" s="1"/>
  <c r="W190" i="1" s="1"/>
  <c r="W193" i="1" s="1"/>
  <c r="W196" i="1" s="1"/>
  <c r="W199" i="1" s="1"/>
  <c r="W202" i="1" s="1"/>
  <c r="W205" i="1" s="1"/>
  <c r="W208" i="1" s="1"/>
  <c r="W211" i="1" s="1"/>
  <c r="W214" i="1" s="1"/>
  <c r="DJ173" i="1"/>
  <c r="V175" i="1"/>
  <c r="DJ174" i="1"/>
  <c r="DJ172" i="1"/>
  <c r="Y175" i="1"/>
  <c r="Y178" i="1" s="1"/>
  <c r="Y181" i="1" s="1"/>
  <c r="Y184" i="1" s="1"/>
  <c r="Y187" i="1" s="1"/>
  <c r="Y190" i="1" s="1"/>
  <c r="Y193" i="1" s="1"/>
  <c r="Y196" i="1" s="1"/>
  <c r="Y199" i="1" s="1"/>
  <c r="Y202" i="1" s="1"/>
  <c r="Y205" i="1" s="1"/>
  <c r="Y208" i="1" s="1"/>
  <c r="Y211" i="1" s="1"/>
  <c r="Y214" i="1" s="1"/>
  <c r="U175" i="1"/>
  <c r="U178" i="1" s="1"/>
  <c r="U181" i="1" s="1"/>
  <c r="U184" i="1" s="1"/>
  <c r="U187" i="1" s="1"/>
  <c r="U190" i="1" s="1"/>
  <c r="U193" i="1" s="1"/>
  <c r="U196" i="1" s="1"/>
  <c r="U199" i="1" s="1"/>
  <c r="U202" i="1" s="1"/>
  <c r="U205" i="1" s="1"/>
  <c r="U208" i="1" s="1"/>
  <c r="U211" i="1" s="1"/>
  <c r="U214" i="1" s="1"/>
  <c r="DK172" i="1"/>
  <c r="V424" i="1"/>
  <c r="Q467" i="1"/>
  <c r="D550" i="1"/>
  <c r="DJ547" i="1"/>
  <c r="DJ548" i="1"/>
  <c r="DJ549" i="1"/>
  <c r="DK547" i="1"/>
  <c r="R389" i="1"/>
  <c r="R398" i="1" s="1"/>
  <c r="R383" i="1"/>
  <c r="R386" i="1" s="1"/>
  <c r="D67" i="7"/>
  <c r="E67" i="7" s="1"/>
  <c r="V721" i="1"/>
  <c r="Q235" i="1"/>
  <c r="Q214" i="1"/>
  <c r="C457" i="7"/>
  <c r="F457" i="7"/>
  <c r="R442" i="1"/>
  <c r="X433" i="1"/>
  <c r="DG20" i="1"/>
  <c r="DF21" i="1"/>
  <c r="Q316" i="1"/>
  <c r="Q319" i="1" s="1"/>
  <c r="DJ217" i="1"/>
  <c r="Y217" i="1"/>
  <c r="U217" i="1"/>
  <c r="DJ218" i="1"/>
  <c r="DJ219" i="1"/>
  <c r="D220" i="1"/>
  <c r="DK217" i="1"/>
  <c r="W217" i="1"/>
  <c r="Y745" i="1"/>
  <c r="U745" i="1"/>
  <c r="D748" i="1"/>
  <c r="DJ746" i="1"/>
  <c r="DK745" i="1"/>
  <c r="W745" i="1"/>
  <c r="DJ745" i="1"/>
  <c r="DJ747" i="1"/>
  <c r="V460" i="1"/>
  <c r="Q466" i="1"/>
  <c r="F68" i="7"/>
  <c r="C68" i="7"/>
  <c r="B71" i="7"/>
  <c r="Q658" i="1"/>
  <c r="Q661" i="1" s="1"/>
  <c r="DJ47" i="1"/>
  <c r="Q47" i="1" s="1"/>
  <c r="DK46" i="1"/>
  <c r="W46" i="1"/>
  <c r="DJ48" i="1"/>
  <c r="DJ46" i="1"/>
  <c r="Q46" i="1" s="1"/>
  <c r="V46" i="1"/>
  <c r="D49" i="1"/>
  <c r="AC46" i="1"/>
  <c r="U46" i="1"/>
  <c r="AB46" i="1"/>
  <c r="Y46" i="1"/>
  <c r="E46" i="1"/>
  <c r="Q347" i="1"/>
  <c r="Q348" i="1"/>
  <c r="Q350" i="1" s="1"/>
  <c r="Q358" i="1" s="1"/>
  <c r="Q361" i="1" s="1"/>
  <c r="Q344" i="1"/>
  <c r="Q345" i="1" s="1"/>
  <c r="Q318" i="1"/>
  <c r="Q385" i="1"/>
  <c r="Q388" i="1"/>
  <c r="Q401" i="1" s="1"/>
  <c r="DJ799" i="1"/>
  <c r="D802" i="1"/>
  <c r="DJ800" i="1"/>
  <c r="DJ801" i="1"/>
  <c r="DK799" i="1"/>
  <c r="V640" i="1"/>
  <c r="DJ469" i="1"/>
  <c r="D472" i="1"/>
  <c r="W469" i="1"/>
  <c r="DK469" i="1"/>
  <c r="U469" i="1"/>
  <c r="DJ471" i="1"/>
  <c r="DJ470" i="1"/>
  <c r="Y469" i="1"/>
  <c r="V301" i="1"/>
  <c r="F67" i="7"/>
  <c r="DJ661" i="1"/>
  <c r="Y661" i="1"/>
  <c r="U661" i="1"/>
  <c r="DJ663" i="1"/>
  <c r="DJ662" i="1"/>
  <c r="D664" i="1"/>
  <c r="W661" i="1"/>
  <c r="DK661" i="1"/>
  <c r="W853" i="1"/>
  <c r="W856" i="1" s="1"/>
  <c r="W859" i="1" s="1"/>
  <c r="W862" i="1" s="1"/>
  <c r="W865" i="1" s="1"/>
  <c r="W868" i="1" s="1"/>
  <c r="W871" i="1" s="1"/>
  <c r="W874" i="1" s="1"/>
  <c r="W877" i="1" s="1"/>
  <c r="W880" i="1" s="1"/>
  <c r="W883" i="1" s="1"/>
  <c r="V853" i="1"/>
  <c r="DJ851" i="1"/>
  <c r="Y853" i="1"/>
  <c r="Y856" i="1" s="1"/>
  <c r="Y859" i="1" s="1"/>
  <c r="Y862" i="1" s="1"/>
  <c r="Y865" i="1" s="1"/>
  <c r="Y868" i="1" s="1"/>
  <c r="Y871" i="1" s="1"/>
  <c r="Y874" i="1" s="1"/>
  <c r="Y877" i="1" s="1"/>
  <c r="Y880" i="1" s="1"/>
  <c r="Y883" i="1" s="1"/>
  <c r="DJ852" i="1"/>
  <c r="U853" i="1"/>
  <c r="U856" i="1" s="1"/>
  <c r="U859" i="1" s="1"/>
  <c r="U862" i="1" s="1"/>
  <c r="U865" i="1" s="1"/>
  <c r="U868" i="1" s="1"/>
  <c r="U871" i="1" s="1"/>
  <c r="U874" i="1" s="1"/>
  <c r="U877" i="1" s="1"/>
  <c r="U880" i="1" s="1"/>
  <c r="U883" i="1" s="1"/>
  <c r="DJ850" i="1"/>
  <c r="Q857" i="1" s="1"/>
  <c r="Q858" i="1" s="1"/>
  <c r="Q860" i="1" s="1"/>
  <c r="Q863" i="1" s="1"/>
  <c r="Q868" i="1" s="1"/>
  <c r="Q875" i="1" s="1"/>
  <c r="Q878" i="1" s="1"/>
  <c r="Q883" i="1" s="1"/>
  <c r="DK850" i="1"/>
  <c r="V928" i="1"/>
  <c r="V898" i="1"/>
  <c r="Q392" i="1"/>
  <c r="Q400" i="1" s="1"/>
  <c r="Q395" i="1"/>
  <c r="Q406" i="1" s="1"/>
  <c r="DJ99" i="1"/>
  <c r="DJ98" i="1"/>
  <c r="D100" i="1"/>
  <c r="DJ97" i="1"/>
  <c r="Q97" i="1" s="1"/>
  <c r="DK97" i="1"/>
  <c r="V856" i="1" l="1"/>
  <c r="V304" i="1"/>
  <c r="V931" i="1"/>
  <c r="Q241" i="1"/>
  <c r="Q247" i="1" s="1"/>
  <c r="Q248" i="1" s="1"/>
  <c r="R413" i="1"/>
  <c r="R436" i="1" s="1"/>
  <c r="R410" i="1"/>
  <c r="R411" i="1" s="1"/>
  <c r="Q175" i="1"/>
  <c r="Q181" i="1" s="1"/>
  <c r="Q320" i="1"/>
  <c r="B165" i="7"/>
  <c r="R271" i="1"/>
  <c r="R277" i="1" s="1"/>
  <c r="X262" i="1"/>
  <c r="DJ49" i="1"/>
  <c r="V49" i="1"/>
  <c r="X49" i="1" s="1"/>
  <c r="AC49" i="1"/>
  <c r="Y49" i="1"/>
  <c r="U49" i="1"/>
  <c r="E49" i="1"/>
  <c r="AB49" i="1"/>
  <c r="D52" i="1"/>
  <c r="DJ50" i="1"/>
  <c r="DJ51" i="1"/>
  <c r="W49" i="1"/>
  <c r="DK49" i="1"/>
  <c r="E82" i="1"/>
  <c r="F71" i="7"/>
  <c r="C71" i="7"/>
  <c r="B72" i="7"/>
  <c r="Q470" i="1"/>
  <c r="R460" i="1"/>
  <c r="R463" i="1" s="1"/>
  <c r="R464" i="1" s="1"/>
  <c r="R455" i="1"/>
  <c r="R457" i="1" s="1"/>
  <c r="R454" i="1"/>
  <c r="X442" i="1"/>
  <c r="Q176" i="1"/>
  <c r="DJ324" i="1"/>
  <c r="DJ322" i="1"/>
  <c r="Y322" i="1"/>
  <c r="U322" i="1"/>
  <c r="W322" i="1"/>
  <c r="DJ323" i="1"/>
  <c r="D325" i="1"/>
  <c r="DK322" i="1"/>
  <c r="DI17" i="1"/>
  <c r="DH18" i="1"/>
  <c r="X385" i="1"/>
  <c r="V388" i="1"/>
  <c r="R545" i="1"/>
  <c r="R542" i="1"/>
  <c r="DJ665" i="1"/>
  <c r="W664" i="1"/>
  <c r="DJ666" i="1"/>
  <c r="DJ664" i="1"/>
  <c r="D667" i="1"/>
  <c r="Y664" i="1"/>
  <c r="U664" i="1"/>
  <c r="DK664" i="1"/>
  <c r="D457" i="7"/>
  <c r="E457" i="7" s="1"/>
  <c r="DJ102" i="1"/>
  <c r="E100" i="1"/>
  <c r="D103" i="1"/>
  <c r="DJ101" i="1"/>
  <c r="Q101" i="1" s="1"/>
  <c r="DJ100" i="1"/>
  <c r="DK100" i="1"/>
  <c r="V901" i="1"/>
  <c r="Q887" i="1"/>
  <c r="Q905" i="1" s="1"/>
  <c r="Q914" i="1" s="1"/>
  <c r="Q686" i="1"/>
  <c r="Q695" i="1" s="1"/>
  <c r="Q698" i="1" s="1"/>
  <c r="Q662" i="1"/>
  <c r="DJ474" i="1"/>
  <c r="DJ472" i="1"/>
  <c r="D475" i="1"/>
  <c r="DJ473" i="1"/>
  <c r="Y472" i="1"/>
  <c r="U472" i="1"/>
  <c r="DK472" i="1"/>
  <c r="W472" i="1"/>
  <c r="V643" i="1"/>
  <c r="D805" i="1"/>
  <c r="DJ802" i="1"/>
  <c r="DJ803" i="1"/>
  <c r="DJ804" i="1"/>
  <c r="DK802" i="1"/>
  <c r="E91" i="1"/>
  <c r="X46" i="1"/>
  <c r="E68" i="7"/>
  <c r="D68" i="7"/>
  <c r="B458" i="7"/>
  <c r="Q250" i="1"/>
  <c r="Q253" i="1"/>
  <c r="Q469" i="1"/>
  <c r="X175" i="1"/>
  <c r="V178" i="1"/>
  <c r="E94" i="1"/>
  <c r="X382" i="1"/>
  <c r="Q854" i="1"/>
  <c r="Q856" i="1" s="1"/>
  <c r="Q869" i="1" s="1"/>
  <c r="Q884" i="1" s="1"/>
  <c r="X460" i="1"/>
  <c r="V463" i="1"/>
  <c r="Q787" i="1"/>
  <c r="Q745" i="1"/>
  <c r="DJ750" i="1"/>
  <c r="DJ748" i="1"/>
  <c r="W748" i="1"/>
  <c r="U748" i="1"/>
  <c r="Y748" i="1"/>
  <c r="DJ749" i="1"/>
  <c r="D751" i="1"/>
  <c r="DK748" i="1"/>
  <c r="DJ220" i="1"/>
  <c r="DJ221" i="1"/>
  <c r="Y220" i="1"/>
  <c r="U220" i="1"/>
  <c r="DJ222" i="1"/>
  <c r="DK220" i="1"/>
  <c r="D223" i="1"/>
  <c r="W220" i="1"/>
  <c r="DF22" i="1"/>
  <c r="DG21" i="1"/>
  <c r="V724" i="1"/>
  <c r="DJ551" i="1"/>
  <c r="D553" i="1"/>
  <c r="DJ552" i="1"/>
  <c r="DJ550" i="1"/>
  <c r="DK550" i="1"/>
  <c r="V427" i="1"/>
  <c r="F488" i="7"/>
  <c r="C488" i="7"/>
  <c r="B491" i="7"/>
  <c r="E164" i="7"/>
  <c r="D164" i="7"/>
  <c r="X268" i="1"/>
  <c r="V271" i="1"/>
  <c r="Q779" i="1" l="1"/>
  <c r="Q797" i="1" s="1"/>
  <c r="Q798" i="1" s="1"/>
  <c r="Q748" i="1"/>
  <c r="V646" i="1"/>
  <c r="R568" i="1"/>
  <c r="R572" i="1" s="1"/>
  <c r="R580" i="1" s="1"/>
  <c r="R601" i="1" s="1"/>
  <c r="R575" i="1"/>
  <c r="R578" i="1" s="1"/>
  <c r="C491" i="7"/>
  <c r="B492" i="7" s="1"/>
  <c r="F491" i="7"/>
  <c r="DF23" i="1"/>
  <c r="DG22" i="1"/>
  <c r="Q230" i="1"/>
  <c r="Q222" i="1"/>
  <c r="Q233" i="1"/>
  <c r="Q239" i="1"/>
  <c r="Q220" i="1"/>
  <c r="Q929" i="1"/>
  <c r="X178" i="1"/>
  <c r="V181" i="1"/>
  <c r="Q473" i="1"/>
  <c r="DJ667" i="1"/>
  <c r="Y667" i="1"/>
  <c r="U667" i="1"/>
  <c r="DJ669" i="1"/>
  <c r="DJ668" i="1"/>
  <c r="D670" i="1"/>
  <c r="W667" i="1"/>
  <c r="DK667" i="1"/>
  <c r="X388" i="1"/>
  <c r="V391" i="1"/>
  <c r="R290" i="1"/>
  <c r="R293" i="1"/>
  <c r="R294" i="1"/>
  <c r="R295" i="1" s="1"/>
  <c r="R440" i="1"/>
  <c r="X436" i="1"/>
  <c r="V307" i="1"/>
  <c r="D488" i="7"/>
  <c r="E488" i="7" s="1"/>
  <c r="DJ555" i="1"/>
  <c r="DJ554" i="1"/>
  <c r="DJ553" i="1"/>
  <c r="DK553" i="1"/>
  <c r="D556" i="1"/>
  <c r="V727" i="1"/>
  <c r="C458" i="7"/>
  <c r="B459" i="7" s="1"/>
  <c r="F458" i="7"/>
  <c r="Y475" i="1"/>
  <c r="U475" i="1"/>
  <c r="D478" i="1"/>
  <c r="DJ475" i="1"/>
  <c r="W475" i="1"/>
  <c r="DJ476" i="1"/>
  <c r="DK475" i="1"/>
  <c r="DJ477" i="1"/>
  <c r="Q665" i="1"/>
  <c r="DJ327" i="1"/>
  <c r="DJ326" i="1"/>
  <c r="D328" i="1"/>
  <c r="W325" i="1"/>
  <c r="U325" i="1"/>
  <c r="Y325" i="1"/>
  <c r="DJ325" i="1"/>
  <c r="Q325" i="1" s="1"/>
  <c r="DK325" i="1"/>
  <c r="Q188" i="1"/>
  <c r="Q193" i="1" s="1"/>
  <c r="Q189" i="1"/>
  <c r="Q190" i="1"/>
  <c r="R467" i="1"/>
  <c r="R469" i="1" s="1"/>
  <c r="R486" i="1" s="1"/>
  <c r="R509" i="1" s="1"/>
  <c r="R512" i="1" s="1"/>
  <c r="R537" i="1" s="1"/>
  <c r="C72" i="7"/>
  <c r="F72" i="7" s="1"/>
  <c r="B73" i="7"/>
  <c r="Q56" i="1"/>
  <c r="Q66" i="1" s="1"/>
  <c r="Q74" i="1" s="1"/>
  <c r="Q50" i="1"/>
  <c r="Q55" i="1"/>
  <c r="Q58" i="1"/>
  <c r="Q49" i="1"/>
  <c r="X463" i="1"/>
  <c r="V466" i="1"/>
  <c r="Q102" i="1"/>
  <c r="X271" i="1"/>
  <c r="V274" i="1"/>
  <c r="DJ223" i="1"/>
  <c r="V226" i="1"/>
  <c r="W226" i="1"/>
  <c r="W229" i="1" s="1"/>
  <c r="W232" i="1" s="1"/>
  <c r="W235" i="1" s="1"/>
  <c r="W238" i="1" s="1"/>
  <c r="W241" i="1" s="1"/>
  <c r="W244" i="1" s="1"/>
  <c r="W247" i="1" s="1"/>
  <c r="W250" i="1" s="1"/>
  <c r="W253" i="1" s="1"/>
  <c r="W256" i="1" s="1"/>
  <c r="Y223" i="1"/>
  <c r="U223" i="1"/>
  <c r="DJ224" i="1"/>
  <c r="Q270" i="1" s="1"/>
  <c r="DJ225" i="1"/>
  <c r="Y226" i="1"/>
  <c r="Y229" i="1" s="1"/>
  <c r="Y232" i="1" s="1"/>
  <c r="Y235" i="1" s="1"/>
  <c r="Y238" i="1" s="1"/>
  <c r="Y241" i="1" s="1"/>
  <c r="Y244" i="1" s="1"/>
  <c r="Y247" i="1" s="1"/>
  <c r="Y250" i="1" s="1"/>
  <c r="Y253" i="1" s="1"/>
  <c r="Y256" i="1" s="1"/>
  <c r="U226" i="1"/>
  <c r="U229" i="1" s="1"/>
  <c r="U232" i="1" s="1"/>
  <c r="U235" i="1" s="1"/>
  <c r="U238" i="1" s="1"/>
  <c r="U241" i="1" s="1"/>
  <c r="U244" i="1" s="1"/>
  <c r="U247" i="1" s="1"/>
  <c r="U250" i="1" s="1"/>
  <c r="U253" i="1" s="1"/>
  <c r="U256" i="1" s="1"/>
  <c r="DK223" i="1"/>
  <c r="W223" i="1"/>
  <c r="Q229" i="1"/>
  <c r="Q232" i="1"/>
  <c r="Q221" i="1"/>
  <c r="Y751" i="1"/>
  <c r="U751" i="1"/>
  <c r="DJ753" i="1"/>
  <c r="D754" i="1"/>
  <c r="DK751" i="1"/>
  <c r="DJ751" i="1"/>
  <c r="W751" i="1"/>
  <c r="DJ752" i="1"/>
  <c r="DJ807" i="1"/>
  <c r="DJ806" i="1"/>
  <c r="Q812" i="1" s="1"/>
  <c r="Q815" i="1" s="1"/>
  <c r="Q817" i="1" s="1"/>
  <c r="Q821" i="1" s="1"/>
  <c r="Q823" i="1" s="1"/>
  <c r="Q826" i="1" s="1"/>
  <c r="Q830" i="1" s="1"/>
  <c r="Q832" i="1" s="1"/>
  <c r="Q833" i="1" s="1"/>
  <c r="Q835" i="1" s="1"/>
  <c r="Q839" i="1" s="1"/>
  <c r="Q848" i="1" s="1"/>
  <c r="Q850" i="1" s="1"/>
  <c r="D808" i="1"/>
  <c r="DJ805" i="1"/>
  <c r="DK805" i="1"/>
  <c r="V904" i="1"/>
  <c r="Q100" i="1"/>
  <c r="E103" i="1"/>
  <c r="DJ105" i="1"/>
  <c r="DJ104" i="1"/>
  <c r="D106" i="1"/>
  <c r="DJ103" i="1"/>
  <c r="DK103" i="1"/>
  <c r="Q667" i="1"/>
  <c r="Q664" i="1"/>
  <c r="DI18" i="1"/>
  <c r="DH19" i="1"/>
  <c r="Q326" i="1"/>
  <c r="Q323" i="1"/>
  <c r="Q322" i="1"/>
  <c r="E71" i="7"/>
  <c r="D71" i="7"/>
  <c r="W55" i="1"/>
  <c r="W58" i="1" s="1"/>
  <c r="W61" i="1" s="1"/>
  <c r="W64" i="1" s="1"/>
  <c r="W67" i="1" s="1"/>
  <c r="W70" i="1" s="1"/>
  <c r="W73" i="1" s="1"/>
  <c r="W76" i="1" s="1"/>
  <c r="W79" i="1" s="1"/>
  <c r="W82" i="1" s="1"/>
  <c r="W85" i="1" s="1"/>
  <c r="W88" i="1" s="1"/>
  <c r="W91" i="1" s="1"/>
  <c r="W94" i="1" s="1"/>
  <c r="W97" i="1" s="1"/>
  <c r="W100" i="1" s="1"/>
  <c r="W103" i="1" s="1"/>
  <c r="DJ53" i="1"/>
  <c r="Q53" i="1" s="1"/>
  <c r="W52" i="1"/>
  <c r="V55" i="1"/>
  <c r="DJ54" i="1"/>
  <c r="DJ52" i="1"/>
  <c r="V52" i="1"/>
  <c r="AB52" i="1"/>
  <c r="AB55" i="1" s="1"/>
  <c r="AB58" i="1" s="1"/>
  <c r="AB61" i="1" s="1"/>
  <c r="AB64" i="1" s="1"/>
  <c r="AB67" i="1" s="1"/>
  <c r="AB70" i="1" s="1"/>
  <c r="AB73" i="1" s="1"/>
  <c r="AB76" i="1" s="1"/>
  <c r="AB79" i="1" s="1"/>
  <c r="AB82" i="1" s="1"/>
  <c r="AB85" i="1" s="1"/>
  <c r="AB88" i="1" s="1"/>
  <c r="AB91" i="1" s="1"/>
  <c r="AB94" i="1" s="1"/>
  <c r="AB97" i="1" s="1"/>
  <c r="AB100" i="1" s="1"/>
  <c r="AB103" i="1" s="1"/>
  <c r="E52" i="1"/>
  <c r="Y55" i="1"/>
  <c r="Y58" i="1" s="1"/>
  <c r="Y61" i="1" s="1"/>
  <c r="Y64" i="1" s="1"/>
  <c r="Y67" i="1" s="1"/>
  <c r="Y70" i="1" s="1"/>
  <c r="Y73" i="1" s="1"/>
  <c r="Y76" i="1" s="1"/>
  <c r="Y79" i="1" s="1"/>
  <c r="Y82" i="1" s="1"/>
  <c r="Y85" i="1" s="1"/>
  <c r="Y88" i="1" s="1"/>
  <c r="Y91" i="1" s="1"/>
  <c r="Y94" i="1" s="1"/>
  <c r="Y97" i="1" s="1"/>
  <c r="Y100" i="1" s="1"/>
  <c r="Y103" i="1" s="1"/>
  <c r="Y52" i="1"/>
  <c r="U55" i="1"/>
  <c r="U58" i="1" s="1"/>
  <c r="U61" i="1" s="1"/>
  <c r="U64" i="1" s="1"/>
  <c r="U67" i="1" s="1"/>
  <c r="U70" i="1" s="1"/>
  <c r="U73" i="1" s="1"/>
  <c r="U76" i="1" s="1"/>
  <c r="U79" i="1" s="1"/>
  <c r="U82" i="1" s="1"/>
  <c r="U85" i="1" s="1"/>
  <c r="U88" i="1" s="1"/>
  <c r="U91" i="1" s="1"/>
  <c r="U94" i="1" s="1"/>
  <c r="U97" i="1" s="1"/>
  <c r="U100" i="1" s="1"/>
  <c r="U103" i="1" s="1"/>
  <c r="AC52" i="1"/>
  <c r="AC55" i="1" s="1"/>
  <c r="AC58" i="1" s="1"/>
  <c r="AC61" i="1" s="1"/>
  <c r="AC64" i="1" s="1"/>
  <c r="AC67" i="1" s="1"/>
  <c r="AC70" i="1" s="1"/>
  <c r="AC73" i="1" s="1"/>
  <c r="AC76" i="1" s="1"/>
  <c r="AC79" i="1" s="1"/>
  <c r="AC82" i="1" s="1"/>
  <c r="AC85" i="1" s="1"/>
  <c r="AC88" i="1" s="1"/>
  <c r="AC91" i="1" s="1"/>
  <c r="AC94" i="1" s="1"/>
  <c r="AC97" i="1" s="1"/>
  <c r="AC100" i="1" s="1"/>
  <c r="AC103" i="1" s="1"/>
  <c r="U52" i="1"/>
  <c r="DK52" i="1"/>
  <c r="E58" i="1"/>
  <c r="E55" i="1"/>
  <c r="E64" i="1"/>
  <c r="E61" i="1"/>
  <c r="E70" i="1"/>
  <c r="E67" i="1"/>
  <c r="E76" i="1"/>
  <c r="E73" i="1"/>
  <c r="E85" i="1"/>
  <c r="E88" i="1"/>
  <c r="E97" i="1"/>
  <c r="E79" i="1"/>
  <c r="F165" i="7"/>
  <c r="C165" i="7"/>
  <c r="Q202" i="1"/>
  <c r="Q206" i="1"/>
  <c r="Q217" i="1" s="1"/>
  <c r="V934" i="1"/>
  <c r="V859" i="1"/>
  <c r="Q472" i="1"/>
  <c r="Q475" i="1" s="1"/>
  <c r="F492" i="7" l="1"/>
  <c r="C492" i="7"/>
  <c r="B493" i="7"/>
  <c r="B460" i="7"/>
  <c r="C459" i="7"/>
  <c r="F459" i="7" s="1"/>
  <c r="X55" i="1"/>
  <c r="V58" i="1"/>
  <c r="Q242" i="1"/>
  <c r="Q245" i="1"/>
  <c r="Q249" i="1" s="1"/>
  <c r="R300" i="1"/>
  <c r="R299" i="1"/>
  <c r="X289" i="1"/>
  <c r="V862" i="1"/>
  <c r="V937" i="1"/>
  <c r="E165" i="7"/>
  <c r="D165" i="7"/>
  <c r="B166" i="7"/>
  <c r="X52" i="1"/>
  <c r="V907" i="1"/>
  <c r="Q752" i="1"/>
  <c r="Y754" i="1"/>
  <c r="U754" i="1"/>
  <c r="DJ755" i="1"/>
  <c r="Q755" i="1" s="1"/>
  <c r="DJ754" i="1"/>
  <c r="W754" i="1"/>
  <c r="DJ756" i="1"/>
  <c r="D757" i="1"/>
  <c r="DK754" i="1"/>
  <c r="X274" i="1"/>
  <c r="V277" i="1"/>
  <c r="X277" i="1" s="1"/>
  <c r="Q76" i="1"/>
  <c r="Q83" i="1"/>
  <c r="Q203" i="1"/>
  <c r="Q208" i="1"/>
  <c r="Q215" i="1" s="1"/>
  <c r="Q218" i="1" s="1"/>
  <c r="Q223" i="1" s="1"/>
  <c r="Q327" i="1"/>
  <c r="Q477" i="1"/>
  <c r="W478" i="1"/>
  <c r="DJ479" i="1"/>
  <c r="Q479" i="1" s="1"/>
  <c r="DJ478" i="1"/>
  <c r="D481" i="1"/>
  <c r="U478" i="1"/>
  <c r="DJ480" i="1"/>
  <c r="Y478" i="1"/>
  <c r="DK478" i="1"/>
  <c r="V730" i="1"/>
  <c r="Q599" i="1"/>
  <c r="Q596" i="1"/>
  <c r="V310" i="1"/>
  <c r="R446" i="1"/>
  <c r="X439" i="1"/>
  <c r="Q476" i="1"/>
  <c r="DF24" i="1"/>
  <c r="DG23" i="1"/>
  <c r="R608" i="1"/>
  <c r="R613" i="1" s="1"/>
  <c r="Q82" i="1"/>
  <c r="Q80" i="1"/>
  <c r="Q52" i="1"/>
  <c r="Q236" i="1"/>
  <c r="Q238" i="1"/>
  <c r="Q257" i="1" s="1"/>
  <c r="X226" i="1"/>
  <c r="V229" i="1"/>
  <c r="V469" i="1"/>
  <c r="C73" i="7"/>
  <c r="B74" i="7" s="1"/>
  <c r="F73" i="7"/>
  <c r="R547" i="1"/>
  <c r="R556" i="1" s="1"/>
  <c r="R560" i="1" s="1"/>
  <c r="R550" i="1"/>
  <c r="R302" i="1"/>
  <c r="R304" i="1"/>
  <c r="X304" i="1" s="1"/>
  <c r="X295" i="1"/>
  <c r="V394" i="1"/>
  <c r="W670" i="1"/>
  <c r="DJ671" i="1"/>
  <c r="DJ670" i="1"/>
  <c r="Q670" i="1" s="1"/>
  <c r="DJ672" i="1"/>
  <c r="Y670" i="1"/>
  <c r="U670" i="1"/>
  <c r="D673" i="1"/>
  <c r="DK670" i="1"/>
  <c r="DI19" i="1"/>
  <c r="DH20" i="1"/>
  <c r="DJ108" i="1"/>
  <c r="DJ106" i="1"/>
  <c r="D109" i="1"/>
  <c r="AC106" i="1"/>
  <c r="Y106" i="1"/>
  <c r="U106" i="1"/>
  <c r="E106" i="1"/>
  <c r="DJ107" i="1"/>
  <c r="DK106" i="1"/>
  <c r="W106" i="1"/>
  <c r="AB106" i="1"/>
  <c r="W811" i="1"/>
  <c r="W814" i="1" s="1"/>
  <c r="W817" i="1" s="1"/>
  <c r="W820" i="1" s="1"/>
  <c r="W823" i="1" s="1"/>
  <c r="W826" i="1" s="1"/>
  <c r="W829" i="1" s="1"/>
  <c r="W832" i="1" s="1"/>
  <c r="W835" i="1" s="1"/>
  <c r="W838" i="1" s="1"/>
  <c r="W841" i="1" s="1"/>
  <c r="W844" i="1" s="1"/>
  <c r="W847" i="1" s="1"/>
  <c r="W850" i="1" s="1"/>
  <c r="V811" i="1"/>
  <c r="DJ810" i="1"/>
  <c r="DJ809" i="1"/>
  <c r="Q844" i="1" s="1"/>
  <c r="Q852" i="1" s="1"/>
  <c r="U811" i="1"/>
  <c r="U814" i="1" s="1"/>
  <c r="U817" i="1" s="1"/>
  <c r="U820" i="1" s="1"/>
  <c r="U823" i="1" s="1"/>
  <c r="U826" i="1" s="1"/>
  <c r="U829" i="1" s="1"/>
  <c r="U832" i="1" s="1"/>
  <c r="U835" i="1" s="1"/>
  <c r="U838" i="1" s="1"/>
  <c r="U841" i="1" s="1"/>
  <c r="U844" i="1" s="1"/>
  <c r="U847" i="1" s="1"/>
  <c r="U850" i="1" s="1"/>
  <c r="Y811" i="1"/>
  <c r="Y814" i="1" s="1"/>
  <c r="Y817" i="1" s="1"/>
  <c r="Y820" i="1" s="1"/>
  <c r="Y823" i="1" s="1"/>
  <c r="Y826" i="1" s="1"/>
  <c r="Y829" i="1" s="1"/>
  <c r="Y832" i="1" s="1"/>
  <c r="Y835" i="1" s="1"/>
  <c r="Y838" i="1" s="1"/>
  <c r="Y841" i="1" s="1"/>
  <c r="Y844" i="1" s="1"/>
  <c r="Y847" i="1" s="1"/>
  <c r="Y850" i="1" s="1"/>
  <c r="DJ808" i="1"/>
  <c r="DK808" i="1"/>
  <c r="Q751" i="1"/>
  <c r="Q754" i="1" s="1"/>
  <c r="Q61" i="1"/>
  <c r="Q65" i="1"/>
  <c r="Q68" i="1" s="1"/>
  <c r="Q69" i="1" s="1"/>
  <c r="Q77" i="1" s="1"/>
  <c r="D72" i="7"/>
  <c r="E72" i="7" s="1"/>
  <c r="DJ330" i="1"/>
  <c r="Y328" i="1"/>
  <c r="U328" i="1"/>
  <c r="D331" i="1"/>
  <c r="DJ329" i="1"/>
  <c r="W328" i="1"/>
  <c r="DJ328" i="1"/>
  <c r="DK328" i="1"/>
  <c r="D458" i="7"/>
  <c r="E458" i="7"/>
  <c r="DJ557" i="1"/>
  <c r="DJ556" i="1"/>
  <c r="D559" i="1"/>
  <c r="DJ558" i="1"/>
  <c r="DK556" i="1"/>
  <c r="Q554" i="1"/>
  <c r="Q553" i="1"/>
  <c r="X292" i="1"/>
  <c r="Q682" i="1"/>
  <c r="X181" i="1"/>
  <c r="V184" i="1"/>
  <c r="Q244" i="1"/>
  <c r="Q251" i="1"/>
  <c r="D491" i="7"/>
  <c r="E491" i="7"/>
  <c r="V649" i="1"/>
  <c r="B75" i="7" l="1"/>
  <c r="C74" i="7"/>
  <c r="F74" i="7"/>
  <c r="V652" i="1"/>
  <c r="Q224" i="1"/>
  <c r="Q107" i="1"/>
  <c r="Q254" i="1"/>
  <c r="Q256" i="1"/>
  <c r="Q671" i="1"/>
  <c r="Q478" i="1"/>
  <c r="C460" i="7"/>
  <c r="B463" i="7" s="1"/>
  <c r="DG24" i="1"/>
  <c r="DF25" i="1"/>
  <c r="V313" i="1"/>
  <c r="V733" i="1"/>
  <c r="Q86" i="1"/>
  <c r="Q92" i="1" s="1"/>
  <c r="Q103" i="1" s="1"/>
  <c r="Q89" i="1"/>
  <c r="Y757" i="1"/>
  <c r="U757" i="1"/>
  <c r="DJ759" i="1"/>
  <c r="D760" i="1"/>
  <c r="DK757" i="1"/>
  <c r="DJ758" i="1"/>
  <c r="Q758" i="1" s="1"/>
  <c r="DJ757" i="1"/>
  <c r="W757" i="1"/>
  <c r="V940" i="1"/>
  <c r="B494" i="7"/>
  <c r="C493" i="7"/>
  <c r="Q346" i="1"/>
  <c r="Q359" i="1" s="1"/>
  <c r="Q362" i="1" s="1"/>
  <c r="Q328" i="1"/>
  <c r="Y331" i="1"/>
  <c r="U331" i="1"/>
  <c r="DJ333" i="1"/>
  <c r="DJ332" i="1"/>
  <c r="DJ331" i="1"/>
  <c r="W331" i="1"/>
  <c r="D334" i="1"/>
  <c r="DK331" i="1"/>
  <c r="V814" i="1"/>
  <c r="AC109" i="1"/>
  <c r="Y109" i="1"/>
  <c r="U109" i="1"/>
  <c r="E109" i="1"/>
  <c r="DJ111" i="1"/>
  <c r="DJ110" i="1"/>
  <c r="AB109" i="1"/>
  <c r="W109" i="1"/>
  <c r="D112" i="1"/>
  <c r="DJ109" i="1"/>
  <c r="Q142" i="1" s="1"/>
  <c r="Q145" i="1" s="1"/>
  <c r="DK109" i="1"/>
  <c r="DI20" i="1"/>
  <c r="DH21" i="1"/>
  <c r="D676" i="1"/>
  <c r="W673" i="1"/>
  <c r="DJ673" i="1"/>
  <c r="Q685" i="1" s="1"/>
  <c r="Q691" i="1" s="1"/>
  <c r="Q701" i="1" s="1"/>
  <c r="Y673" i="1"/>
  <c r="U673" i="1"/>
  <c r="DJ675" i="1"/>
  <c r="DJ674" i="1"/>
  <c r="DK673" i="1"/>
  <c r="D73" i="7"/>
  <c r="E73" i="7" s="1"/>
  <c r="X229" i="1"/>
  <c r="V232" i="1"/>
  <c r="Q85" i="1"/>
  <c r="Q88" i="1"/>
  <c r="R466" i="1"/>
  <c r="R473" i="1"/>
  <c r="R476" i="1" s="1"/>
  <c r="R477" i="1" s="1"/>
  <c r="X445" i="1"/>
  <c r="X184" i="1"/>
  <c r="V187" i="1"/>
  <c r="Q94" i="1"/>
  <c r="Q98" i="1"/>
  <c r="Q104" i="1" s="1"/>
  <c r="Q811" i="1"/>
  <c r="Q851" i="1" s="1"/>
  <c r="Q808" i="1"/>
  <c r="DJ559" i="1"/>
  <c r="DJ561" i="1"/>
  <c r="DJ560" i="1"/>
  <c r="D562" i="1"/>
  <c r="DK559" i="1"/>
  <c r="Q331" i="1"/>
  <c r="Q329" i="1"/>
  <c r="V397" i="1"/>
  <c r="R308" i="1"/>
  <c r="R310" i="1"/>
  <c r="X310" i="1" s="1"/>
  <c r="R309" i="1"/>
  <c r="X301" i="1"/>
  <c r="R577" i="1"/>
  <c r="R586" i="1" s="1"/>
  <c r="R590" i="1" s="1"/>
  <c r="R591" i="1" s="1"/>
  <c r="R617" i="1" s="1"/>
  <c r="R619" i="1" s="1"/>
  <c r="R581" i="1"/>
  <c r="V472" i="1"/>
  <c r="C166" i="7"/>
  <c r="F166" i="7" s="1"/>
  <c r="B169" i="7"/>
  <c r="E492" i="7"/>
  <c r="D492" i="7"/>
  <c r="R620" i="1"/>
  <c r="R621" i="1" s="1"/>
  <c r="Q480" i="1"/>
  <c r="D484" i="1"/>
  <c r="W481" i="1"/>
  <c r="DJ481" i="1"/>
  <c r="Y481" i="1"/>
  <c r="DJ483" i="1"/>
  <c r="U481" i="1"/>
  <c r="DJ482" i="1"/>
  <c r="DK481" i="1"/>
  <c r="Q757" i="1"/>
  <c r="V910" i="1"/>
  <c r="V865" i="1"/>
  <c r="X298" i="1"/>
  <c r="X58" i="1"/>
  <c r="V61" i="1"/>
  <c r="D459" i="7"/>
  <c r="E459" i="7" s="1"/>
  <c r="C463" i="7" l="1"/>
  <c r="X61" i="1"/>
  <c r="V64" i="1"/>
  <c r="B170" i="7"/>
  <c r="C169" i="7"/>
  <c r="F169" i="7" s="1"/>
  <c r="DJ485" i="1"/>
  <c r="W484" i="1"/>
  <c r="D487" i="1"/>
  <c r="Y484" i="1"/>
  <c r="DJ484" i="1"/>
  <c r="DJ486" i="1"/>
  <c r="U484" i="1"/>
  <c r="DK484" i="1"/>
  <c r="X232" i="1"/>
  <c r="V235" i="1"/>
  <c r="V913" i="1"/>
  <c r="R640" i="1"/>
  <c r="R634" i="1"/>
  <c r="R628" i="1"/>
  <c r="X619" i="1"/>
  <c r="X187" i="1"/>
  <c r="V190" i="1"/>
  <c r="R470" i="1"/>
  <c r="X466" i="1"/>
  <c r="DJ114" i="1"/>
  <c r="DJ112" i="1"/>
  <c r="Q112" i="1" s="1"/>
  <c r="AC112" i="1"/>
  <c r="Y112" i="1"/>
  <c r="U112" i="1"/>
  <c r="E112" i="1"/>
  <c r="W112" i="1"/>
  <c r="AB112" i="1"/>
  <c r="DJ113" i="1"/>
  <c r="Q113" i="1" s="1"/>
  <c r="D115" i="1"/>
  <c r="DK112" i="1"/>
  <c r="DJ336" i="1"/>
  <c r="Y334" i="1"/>
  <c r="U334" i="1"/>
  <c r="D337" i="1"/>
  <c r="DJ334" i="1"/>
  <c r="W334" i="1"/>
  <c r="DJ335" i="1"/>
  <c r="DK334" i="1"/>
  <c r="Q371" i="1"/>
  <c r="Q374" i="1" s="1"/>
  <c r="Q375" i="1" s="1"/>
  <c r="Q376" i="1"/>
  <c r="D493" i="7"/>
  <c r="E493" i="7" s="1"/>
  <c r="V943" i="1"/>
  <c r="W763" i="1"/>
  <c r="W766" i="1" s="1"/>
  <c r="W769" i="1" s="1"/>
  <c r="W772" i="1" s="1"/>
  <c r="W775" i="1" s="1"/>
  <c r="W778" i="1" s="1"/>
  <c r="W781" i="1" s="1"/>
  <c r="W784" i="1" s="1"/>
  <c r="W787" i="1" s="1"/>
  <c r="W790" i="1" s="1"/>
  <c r="W793" i="1" s="1"/>
  <c r="W796" i="1" s="1"/>
  <c r="W799" i="1" s="1"/>
  <c r="W802" i="1" s="1"/>
  <c r="W805" i="1" s="1"/>
  <c r="W808" i="1" s="1"/>
  <c r="Y760" i="1"/>
  <c r="U760" i="1"/>
  <c r="V763" i="1"/>
  <c r="DJ761" i="1"/>
  <c r="Q764" i="1" s="1"/>
  <c r="Q767" i="1" s="1"/>
  <c r="Q770" i="1" s="1"/>
  <c r="Q772" i="1" s="1"/>
  <c r="Q775" i="1" s="1"/>
  <c r="Q782" i="1" s="1"/>
  <c r="Q785" i="1" s="1"/>
  <c r="Q788" i="1" s="1"/>
  <c r="Q790" i="1" s="1"/>
  <c r="Q793" i="1" s="1"/>
  <c r="Q796" i="1" s="1"/>
  <c r="Q800" i="1" s="1"/>
  <c r="Q803" i="1" s="1"/>
  <c r="Q806" i="1" s="1"/>
  <c r="DJ760" i="1"/>
  <c r="Q791" i="1" s="1"/>
  <c r="Q794" i="1" s="1"/>
  <c r="Q799" i="1" s="1"/>
  <c r="Q802" i="1" s="1"/>
  <c r="Q805" i="1" s="1"/>
  <c r="Q809" i="1" s="1"/>
  <c r="W760" i="1"/>
  <c r="U763" i="1"/>
  <c r="U766" i="1" s="1"/>
  <c r="U769" i="1" s="1"/>
  <c r="U772" i="1" s="1"/>
  <c r="U775" i="1" s="1"/>
  <c r="U778" i="1" s="1"/>
  <c r="U781" i="1" s="1"/>
  <c r="U784" i="1" s="1"/>
  <c r="U787" i="1" s="1"/>
  <c r="U790" i="1" s="1"/>
  <c r="U793" i="1" s="1"/>
  <c r="U796" i="1" s="1"/>
  <c r="U799" i="1" s="1"/>
  <c r="U802" i="1" s="1"/>
  <c r="U805" i="1" s="1"/>
  <c r="U808" i="1" s="1"/>
  <c r="DJ762" i="1"/>
  <c r="Y763" i="1"/>
  <c r="Y766" i="1" s="1"/>
  <c r="Y769" i="1" s="1"/>
  <c r="Y772" i="1" s="1"/>
  <c r="Y775" i="1" s="1"/>
  <c r="Y778" i="1" s="1"/>
  <c r="Y781" i="1" s="1"/>
  <c r="Y784" i="1" s="1"/>
  <c r="Y787" i="1" s="1"/>
  <c r="Y790" i="1" s="1"/>
  <c r="Y793" i="1" s="1"/>
  <c r="Y796" i="1" s="1"/>
  <c r="Y799" i="1" s="1"/>
  <c r="Y802" i="1" s="1"/>
  <c r="Y805" i="1" s="1"/>
  <c r="Y808" i="1" s="1"/>
  <c r="DK760" i="1"/>
  <c r="F460" i="7"/>
  <c r="DJ677" i="1"/>
  <c r="W676" i="1"/>
  <c r="DJ678" i="1"/>
  <c r="DJ676" i="1"/>
  <c r="D679" i="1"/>
  <c r="Y676" i="1"/>
  <c r="U676" i="1"/>
  <c r="DK676" i="1"/>
  <c r="R314" i="1"/>
  <c r="X307" i="1"/>
  <c r="Q481" i="1"/>
  <c r="X472" i="1"/>
  <c r="V475" i="1"/>
  <c r="X397" i="1"/>
  <c r="V400" i="1"/>
  <c r="DJ564" i="1"/>
  <c r="DJ562" i="1"/>
  <c r="DJ563" i="1"/>
  <c r="DK562" i="1"/>
  <c r="D565" i="1"/>
  <c r="Q683" i="1"/>
  <c r="Q694" i="1" s="1"/>
  <c r="Q697" i="1" s="1"/>
  <c r="Q704" i="1" s="1"/>
  <c r="Q674" i="1"/>
  <c r="V817" i="1"/>
  <c r="Q332" i="1"/>
  <c r="F493" i="7"/>
  <c r="V736" i="1"/>
  <c r="DF26" i="1"/>
  <c r="DG25" i="1"/>
  <c r="Q673" i="1"/>
  <c r="D74" i="7"/>
  <c r="E74" i="7"/>
  <c r="Q91" i="1"/>
  <c r="Q95" i="1"/>
  <c r="Q106" i="1" s="1"/>
  <c r="Q109" i="1" s="1"/>
  <c r="V655" i="1"/>
  <c r="C75" i="7"/>
  <c r="V868" i="1"/>
  <c r="C494" i="7"/>
  <c r="F494" i="7"/>
  <c r="Q761" i="1"/>
  <c r="D166" i="7"/>
  <c r="E166" i="7"/>
  <c r="DI21" i="1"/>
  <c r="DH22" i="1"/>
  <c r="Q148" i="1"/>
  <c r="Q152" i="1"/>
  <c r="Q155" i="1"/>
  <c r="Q110" i="1"/>
  <c r="V316" i="1"/>
  <c r="D460" i="7"/>
  <c r="E460" i="7" s="1"/>
  <c r="Q482" i="1"/>
  <c r="X316" i="1" l="1"/>
  <c r="V319" i="1"/>
  <c r="DI22" i="1"/>
  <c r="DH23" i="1"/>
  <c r="E75" i="7"/>
  <c r="D75" i="7"/>
  <c r="R332" i="1"/>
  <c r="R341" i="1" s="1"/>
  <c r="R352" i="1" s="1"/>
  <c r="R355" i="1" s="1"/>
  <c r="R364" i="1" s="1"/>
  <c r="R377" i="1" s="1"/>
  <c r="R380" i="1" s="1"/>
  <c r="R335" i="1"/>
  <c r="R337" i="1" s="1"/>
  <c r="Q676" i="1"/>
  <c r="Y337" i="1"/>
  <c r="U337" i="1"/>
  <c r="DJ339" i="1"/>
  <c r="DJ338" i="1"/>
  <c r="Q349" i="1" s="1"/>
  <c r="Q367" i="1" s="1"/>
  <c r="D340" i="1"/>
  <c r="DJ337" i="1"/>
  <c r="DK337" i="1"/>
  <c r="W337" i="1"/>
  <c r="V766" i="1"/>
  <c r="R644" i="1"/>
  <c r="F170" i="7"/>
  <c r="B171" i="7"/>
  <c r="C170" i="7"/>
  <c r="DJ117" i="1"/>
  <c r="DJ116" i="1"/>
  <c r="AB115" i="1"/>
  <c r="D118" i="1"/>
  <c r="W115" i="1"/>
  <c r="AC115" i="1"/>
  <c r="U115" i="1"/>
  <c r="Y115" i="1"/>
  <c r="DJ115" i="1"/>
  <c r="DK115" i="1"/>
  <c r="E115" i="1"/>
  <c r="R479" i="1"/>
  <c r="R480" i="1"/>
  <c r="X469" i="1"/>
  <c r="R633" i="1"/>
  <c r="R637" i="1" s="1"/>
  <c r="E463" i="7"/>
  <c r="D463" i="7"/>
  <c r="X313" i="1"/>
  <c r="Q166" i="1"/>
  <c r="Q170" i="1"/>
  <c r="Q173" i="1"/>
  <c r="V871" i="1"/>
  <c r="F75" i="7"/>
  <c r="Q760" i="1"/>
  <c r="V820" i="1"/>
  <c r="DJ567" i="1"/>
  <c r="D568" i="1"/>
  <c r="DJ565" i="1"/>
  <c r="Q632" i="1" s="1"/>
  <c r="DJ566" i="1"/>
  <c r="DK565" i="1"/>
  <c r="V403" i="1"/>
  <c r="D494" i="7"/>
  <c r="E494" i="7"/>
  <c r="V658" i="1"/>
  <c r="DG26" i="1"/>
  <c r="DF27" i="1"/>
  <c r="Y682" i="1"/>
  <c r="Y685" i="1" s="1"/>
  <c r="Y688" i="1" s="1"/>
  <c r="Y691" i="1" s="1"/>
  <c r="Y694" i="1" s="1"/>
  <c r="Y697" i="1" s="1"/>
  <c r="Y700" i="1" s="1"/>
  <c r="Y703" i="1" s="1"/>
  <c r="U682" i="1"/>
  <c r="U685" i="1" s="1"/>
  <c r="U688" i="1" s="1"/>
  <c r="U691" i="1" s="1"/>
  <c r="U694" i="1" s="1"/>
  <c r="U697" i="1" s="1"/>
  <c r="U700" i="1" s="1"/>
  <c r="U703" i="1" s="1"/>
  <c r="V682" i="1"/>
  <c r="DJ679" i="1"/>
  <c r="Q688" i="1" s="1"/>
  <c r="DJ681" i="1"/>
  <c r="DJ680" i="1"/>
  <c r="Y679" i="1"/>
  <c r="U679" i="1"/>
  <c r="W682" i="1"/>
  <c r="W685" i="1" s="1"/>
  <c r="W688" i="1" s="1"/>
  <c r="W691" i="1" s="1"/>
  <c r="W694" i="1" s="1"/>
  <c r="W697" i="1" s="1"/>
  <c r="W700" i="1" s="1"/>
  <c r="W703" i="1" s="1"/>
  <c r="W679" i="1"/>
  <c r="DK679" i="1"/>
  <c r="Q338" i="1"/>
  <c r="Q334" i="1"/>
  <c r="B495" i="7"/>
  <c r="B78" i="7"/>
  <c r="V739" i="1"/>
  <c r="X475" i="1"/>
  <c r="V478" i="1"/>
  <c r="Q689" i="1"/>
  <c r="Q692" i="1" s="1"/>
  <c r="Q700" i="1" s="1"/>
  <c r="Q703" i="1" s="1"/>
  <c r="Q677" i="1"/>
  <c r="V946" i="1"/>
  <c r="Q337" i="1"/>
  <c r="Q335" i="1"/>
  <c r="Q484" i="1"/>
  <c r="Q485" i="1"/>
  <c r="F463" i="7"/>
  <c r="X190" i="1"/>
  <c r="V193" i="1"/>
  <c r="R648" i="1"/>
  <c r="R662" i="1" s="1"/>
  <c r="R686" i="1" s="1"/>
  <c r="R695" i="1" s="1"/>
  <c r="R698" i="1" s="1"/>
  <c r="R716" i="1" s="1"/>
  <c r="R724" i="1" s="1"/>
  <c r="X235" i="1"/>
  <c r="V238" i="1"/>
  <c r="Q509" i="1"/>
  <c r="Q512" i="1" s="1"/>
  <c r="Q537" i="1" s="1"/>
  <c r="Q486" i="1"/>
  <c r="DJ489" i="1"/>
  <c r="DJ488" i="1"/>
  <c r="W487" i="1"/>
  <c r="DJ487" i="1"/>
  <c r="Y487" i="1"/>
  <c r="U487" i="1"/>
  <c r="DK487" i="1"/>
  <c r="D490" i="1"/>
  <c r="D169" i="7"/>
  <c r="E169" i="7" s="1"/>
  <c r="X64" i="1"/>
  <c r="V67" i="1"/>
  <c r="B464" i="7"/>
  <c r="X67" i="1" l="1"/>
  <c r="V70" i="1"/>
  <c r="V481" i="1"/>
  <c r="V742" i="1"/>
  <c r="Q488" i="1"/>
  <c r="Q489" i="1" s="1"/>
  <c r="X238" i="1"/>
  <c r="V241" i="1"/>
  <c r="X193" i="1"/>
  <c r="V196" i="1"/>
  <c r="B79" i="7"/>
  <c r="C78" i="7"/>
  <c r="F78" i="7" s="1"/>
  <c r="V661" i="1"/>
  <c r="DJ570" i="1"/>
  <c r="DJ568" i="1"/>
  <c r="D571" i="1"/>
  <c r="DJ569" i="1"/>
  <c r="DK568" i="1"/>
  <c r="R488" i="1"/>
  <c r="R489" i="1" s="1"/>
  <c r="R490" i="1"/>
  <c r="Q115" i="1"/>
  <c r="V769" i="1"/>
  <c r="R395" i="1"/>
  <c r="R392" i="1"/>
  <c r="X379" i="1"/>
  <c r="DJ491" i="1"/>
  <c r="W490" i="1"/>
  <c r="DJ490" i="1"/>
  <c r="D493" i="1"/>
  <c r="U490" i="1"/>
  <c r="Y490" i="1"/>
  <c r="DJ492" i="1"/>
  <c r="DK490" i="1"/>
  <c r="Q487" i="1"/>
  <c r="F464" i="7"/>
  <c r="B465" i="7"/>
  <c r="C464" i="7"/>
  <c r="C495" i="7"/>
  <c r="F495" i="7"/>
  <c r="Q708" i="1"/>
  <c r="Q721" i="1" s="1"/>
  <c r="Q749" i="1" s="1"/>
  <c r="V685" i="1"/>
  <c r="V823" i="1"/>
  <c r="V874" i="1"/>
  <c r="D121" i="1"/>
  <c r="AC118" i="1"/>
  <c r="Y118" i="1"/>
  <c r="U118" i="1"/>
  <c r="E118" i="1"/>
  <c r="AB118" i="1"/>
  <c r="DJ119" i="1"/>
  <c r="Q119" i="1" s="1"/>
  <c r="W118" i="1"/>
  <c r="DJ118" i="1"/>
  <c r="Q118" i="1" s="1"/>
  <c r="DJ120" i="1"/>
  <c r="DK118" i="1"/>
  <c r="D170" i="7"/>
  <c r="E170" i="7"/>
  <c r="V343" i="1"/>
  <c r="DJ342" i="1"/>
  <c r="DJ340" i="1"/>
  <c r="Y343" i="1"/>
  <c r="Y346" i="1" s="1"/>
  <c r="Y349" i="1" s="1"/>
  <c r="Y352" i="1" s="1"/>
  <c r="Y355" i="1" s="1"/>
  <c r="Y358" i="1" s="1"/>
  <c r="Y361" i="1" s="1"/>
  <c r="Y364" i="1" s="1"/>
  <c r="Y367" i="1" s="1"/>
  <c r="Y370" i="1" s="1"/>
  <c r="Y373" i="1" s="1"/>
  <c r="Y376" i="1" s="1"/>
  <c r="U343" i="1"/>
  <c r="U346" i="1" s="1"/>
  <c r="U349" i="1" s="1"/>
  <c r="U352" i="1" s="1"/>
  <c r="U355" i="1" s="1"/>
  <c r="U358" i="1" s="1"/>
  <c r="U361" i="1" s="1"/>
  <c r="U364" i="1" s="1"/>
  <c r="U367" i="1" s="1"/>
  <c r="U370" i="1" s="1"/>
  <c r="U373" i="1" s="1"/>
  <c r="U376" i="1" s="1"/>
  <c r="Y340" i="1"/>
  <c r="U340" i="1"/>
  <c r="W343" i="1"/>
  <c r="W346" i="1" s="1"/>
  <c r="W349" i="1" s="1"/>
  <c r="W352" i="1" s="1"/>
  <c r="W355" i="1" s="1"/>
  <c r="W358" i="1" s="1"/>
  <c r="W361" i="1" s="1"/>
  <c r="W364" i="1" s="1"/>
  <c r="W367" i="1" s="1"/>
  <c r="W370" i="1" s="1"/>
  <c r="W373" i="1" s="1"/>
  <c r="W376" i="1" s="1"/>
  <c r="DJ341" i="1"/>
  <c r="DK340" i="1"/>
  <c r="W340" i="1"/>
  <c r="X319" i="1"/>
  <c r="V322" i="1"/>
  <c r="Q679" i="1"/>
  <c r="DG27" i="1"/>
  <c r="DF28" i="1"/>
  <c r="R664" i="1"/>
  <c r="R667" i="1" s="1"/>
  <c r="B172" i="7"/>
  <c r="C171" i="7"/>
  <c r="F171" i="7"/>
  <c r="Q547" i="1"/>
  <c r="Q556" i="1" s="1"/>
  <c r="Q560" i="1" s="1"/>
  <c r="Q550" i="1"/>
  <c r="R745" i="1"/>
  <c r="R787" i="1" s="1"/>
  <c r="R814" i="1" s="1"/>
  <c r="V949" i="1"/>
  <c r="X403" i="1"/>
  <c r="V406" i="1"/>
  <c r="Q650" i="1"/>
  <c r="Q659" i="1" s="1"/>
  <c r="Q653" i="1"/>
  <c r="Q656" i="1" s="1"/>
  <c r="Q116" i="1"/>
  <c r="DI23" i="1"/>
  <c r="DH24" i="1"/>
  <c r="DI24" i="1" l="1"/>
  <c r="DH25" i="1"/>
  <c r="V409" i="1"/>
  <c r="R677" i="1"/>
  <c r="R689" i="1" s="1"/>
  <c r="R692" i="1" s="1"/>
  <c r="R700" i="1" s="1"/>
  <c r="R703" i="1" s="1"/>
  <c r="R713" i="1" s="1"/>
  <c r="R682" i="1"/>
  <c r="X322" i="1"/>
  <c r="V325" i="1"/>
  <c r="Q352" i="1"/>
  <c r="Q355" i="1" s="1"/>
  <c r="Q364" i="1" s="1"/>
  <c r="Q377" i="1" s="1"/>
  <c r="Q341" i="1"/>
  <c r="DJ123" i="1"/>
  <c r="DJ122" i="1"/>
  <c r="AB121" i="1"/>
  <c r="D124" i="1"/>
  <c r="W121" i="1"/>
  <c r="AC121" i="1"/>
  <c r="U121" i="1"/>
  <c r="E121" i="1"/>
  <c r="DJ121" i="1"/>
  <c r="Y121" i="1"/>
  <c r="DK121" i="1"/>
  <c r="E495" i="7"/>
  <c r="D495" i="7"/>
  <c r="V772" i="1"/>
  <c r="X196" i="1"/>
  <c r="V199" i="1"/>
  <c r="V484" i="1"/>
  <c r="Q668" i="1"/>
  <c r="Q672" i="1"/>
  <c r="Q680" i="1" s="1"/>
  <c r="R818" i="1"/>
  <c r="R824" i="1" s="1"/>
  <c r="R829" i="1" s="1"/>
  <c r="R845" i="1" s="1"/>
  <c r="R853" i="1" s="1"/>
  <c r="E171" i="7"/>
  <c r="D171" i="7"/>
  <c r="DG28" i="1"/>
  <c r="DF29" i="1"/>
  <c r="Q343" i="1"/>
  <c r="Q340" i="1"/>
  <c r="V877" i="1"/>
  <c r="E464" i="7"/>
  <c r="D464" i="7"/>
  <c r="Q490" i="1"/>
  <c r="R499" i="1"/>
  <c r="R503" i="1"/>
  <c r="R518" i="1" s="1"/>
  <c r="R527" i="1" s="1"/>
  <c r="R530" i="1" s="1"/>
  <c r="V952" i="1"/>
  <c r="V688" i="1"/>
  <c r="B498" i="7"/>
  <c r="C465" i="7"/>
  <c r="B466" i="7" s="1"/>
  <c r="F465" i="7"/>
  <c r="R400" i="1"/>
  <c r="X400" i="1" s="1"/>
  <c r="X391" i="1"/>
  <c r="E78" i="7"/>
  <c r="D78" i="7"/>
  <c r="X241" i="1"/>
  <c r="V244" i="1"/>
  <c r="V745" i="1"/>
  <c r="F172" i="7"/>
  <c r="C172" i="7"/>
  <c r="X343" i="1"/>
  <c r="V346" i="1"/>
  <c r="V826" i="1"/>
  <c r="DJ493" i="1"/>
  <c r="Y493" i="1"/>
  <c r="U493" i="1"/>
  <c r="DJ495" i="1"/>
  <c r="DJ494" i="1"/>
  <c r="W493" i="1"/>
  <c r="D496" i="1"/>
  <c r="DK493" i="1"/>
  <c r="Q491" i="1"/>
  <c r="Q493" i="1" s="1"/>
  <c r="R406" i="1"/>
  <c r="R416" i="1" s="1"/>
  <c r="X394" i="1"/>
  <c r="D574" i="1"/>
  <c r="DK571" i="1"/>
  <c r="DJ571" i="1"/>
  <c r="DJ573" i="1"/>
  <c r="DJ572" i="1"/>
  <c r="V664" i="1"/>
  <c r="C79" i="7"/>
  <c r="B80" i="7" s="1"/>
  <c r="X70" i="1"/>
  <c r="V73" i="1"/>
  <c r="B467" i="7" l="1"/>
  <c r="C466" i="7"/>
  <c r="F466" i="7" s="1"/>
  <c r="F80" i="7"/>
  <c r="C80" i="7"/>
  <c r="B81" i="7" s="1"/>
  <c r="V667" i="1"/>
  <c r="DJ497" i="1"/>
  <c r="W496" i="1"/>
  <c r="DJ498" i="1"/>
  <c r="DJ496" i="1"/>
  <c r="Q496" i="1" s="1"/>
  <c r="U496" i="1"/>
  <c r="D499" i="1"/>
  <c r="Y496" i="1"/>
  <c r="DK496" i="1"/>
  <c r="V748" i="1"/>
  <c r="V691" i="1"/>
  <c r="DG29" i="1"/>
  <c r="DF30" i="1"/>
  <c r="V487" i="1"/>
  <c r="V775" i="1"/>
  <c r="Q122" i="1"/>
  <c r="X325" i="1"/>
  <c r="V328" i="1"/>
  <c r="X409" i="1"/>
  <c r="V412" i="1"/>
  <c r="X412" i="1" s="1"/>
  <c r="R538" i="1"/>
  <c r="R551" i="1" s="1"/>
  <c r="R531" i="1"/>
  <c r="R535" i="1" s="1"/>
  <c r="R536" i="1" s="1"/>
  <c r="E79" i="7"/>
  <c r="D79" i="7"/>
  <c r="Q121" i="1"/>
  <c r="X406" i="1"/>
  <c r="Q494" i="1"/>
  <c r="V829" i="1"/>
  <c r="D172" i="7"/>
  <c r="E172" i="7" s="1"/>
  <c r="R859" i="1"/>
  <c r="X73" i="1"/>
  <c r="V76" i="1"/>
  <c r="F79" i="7"/>
  <c r="DJ576" i="1"/>
  <c r="DJ574" i="1"/>
  <c r="D577" i="1"/>
  <c r="DJ575" i="1"/>
  <c r="DK574" i="1"/>
  <c r="R421" i="1"/>
  <c r="R425" i="1"/>
  <c r="X415" i="1"/>
  <c r="B173" i="7"/>
  <c r="X244" i="1"/>
  <c r="V247" i="1"/>
  <c r="E465" i="7"/>
  <c r="D465" i="7"/>
  <c r="V880" i="1"/>
  <c r="X199" i="1"/>
  <c r="V202" i="1"/>
  <c r="D127" i="1"/>
  <c r="AC124" i="1"/>
  <c r="Y124" i="1"/>
  <c r="U124" i="1"/>
  <c r="E124" i="1"/>
  <c r="AB124" i="1"/>
  <c r="DJ124" i="1"/>
  <c r="DJ126" i="1"/>
  <c r="DJ125" i="1"/>
  <c r="Q125" i="1" s="1"/>
  <c r="W124" i="1"/>
  <c r="DK124" i="1"/>
  <c r="DI25" i="1"/>
  <c r="DH26" i="1"/>
  <c r="Q587" i="1"/>
  <c r="Q588" i="1"/>
  <c r="Q600" i="1" s="1"/>
  <c r="X346" i="1"/>
  <c r="V349" i="1"/>
  <c r="C498" i="7"/>
  <c r="R734" i="1"/>
  <c r="R743" i="1" s="1"/>
  <c r="R746" i="1" s="1"/>
  <c r="R751" i="1" s="1"/>
  <c r="R754" i="1" s="1"/>
  <c r="R757" i="1" s="1"/>
  <c r="R760" i="1" s="1"/>
  <c r="R791" i="1" s="1"/>
  <c r="R794" i="1" s="1"/>
  <c r="R799" i="1" s="1"/>
  <c r="R802" i="1" s="1"/>
  <c r="R805" i="1" s="1"/>
  <c r="R809" i="1" s="1"/>
  <c r="R844" i="1" s="1"/>
  <c r="R852" i="1" s="1"/>
  <c r="R854" i="1" s="1"/>
  <c r="R856" i="1" s="1"/>
  <c r="R737" i="1"/>
  <c r="R741" i="1" s="1"/>
  <c r="B82" i="7" l="1"/>
  <c r="C81" i="7"/>
  <c r="F81" i="7" s="1"/>
  <c r="D498" i="7"/>
  <c r="E498" i="7"/>
  <c r="DI26" i="1"/>
  <c r="DH27" i="1"/>
  <c r="B499" i="7"/>
  <c r="V883" i="1"/>
  <c r="X76" i="1"/>
  <c r="V79" i="1"/>
  <c r="DJ499" i="1"/>
  <c r="Q499" i="1" s="1"/>
  <c r="Y499" i="1"/>
  <c r="U499" i="1"/>
  <c r="D502" i="1"/>
  <c r="DJ500" i="1"/>
  <c r="DJ501" i="1"/>
  <c r="DK499" i="1"/>
  <c r="W499" i="1"/>
  <c r="X667" i="1"/>
  <c r="V670" i="1"/>
  <c r="C467" i="7"/>
  <c r="F467" i="7"/>
  <c r="B470" i="7"/>
  <c r="DJ129" i="1"/>
  <c r="DJ128" i="1"/>
  <c r="AB127" i="1"/>
  <c r="D130" i="1"/>
  <c r="E499" i="1" s="1"/>
  <c r="W127" i="1"/>
  <c r="Y127" i="1"/>
  <c r="AC127" i="1"/>
  <c r="U127" i="1"/>
  <c r="E127" i="1"/>
  <c r="DJ127" i="1"/>
  <c r="DK127" i="1"/>
  <c r="E421" i="1"/>
  <c r="E355" i="1"/>
  <c r="E481" i="1"/>
  <c r="E448" i="1"/>
  <c r="X247" i="1"/>
  <c r="V250" i="1"/>
  <c r="R427" i="1"/>
  <c r="X427" i="1" s="1"/>
  <c r="X424" i="1"/>
  <c r="Q594" i="1"/>
  <c r="Q595" i="1" s="1"/>
  <c r="Q589" i="1"/>
  <c r="Q598" i="1" s="1"/>
  <c r="Q593" i="1"/>
  <c r="X328" i="1"/>
  <c r="V331" i="1"/>
  <c r="V778" i="1"/>
  <c r="DF31" i="1"/>
  <c r="DG30" i="1"/>
  <c r="V751" i="1"/>
  <c r="R869" i="1"/>
  <c r="R884" i="1" s="1"/>
  <c r="R886" i="1" s="1"/>
  <c r="F498" i="7"/>
  <c r="X349" i="1"/>
  <c r="V352" i="1"/>
  <c r="E409" i="1"/>
  <c r="X202" i="1"/>
  <c r="V205" i="1"/>
  <c r="R431" i="1"/>
  <c r="X421" i="1"/>
  <c r="DJ578" i="1"/>
  <c r="DJ579" i="1"/>
  <c r="DJ577" i="1"/>
  <c r="D580" i="1"/>
  <c r="DK577" i="1"/>
  <c r="X853" i="1"/>
  <c r="V832" i="1"/>
  <c r="R562" i="1"/>
  <c r="R566" i="1" s="1"/>
  <c r="R559" i="1"/>
  <c r="X745" i="1"/>
  <c r="E496" i="1"/>
  <c r="E424" i="1"/>
  <c r="E361" i="1"/>
  <c r="Q133" i="1"/>
  <c r="Q139" i="1" s="1"/>
  <c r="Q124" i="1"/>
  <c r="C173" i="7"/>
  <c r="F173" i="7" s="1"/>
  <c r="R893" i="1"/>
  <c r="R896" i="1" s="1"/>
  <c r="R901" i="1" s="1"/>
  <c r="V490" i="1"/>
  <c r="V694" i="1"/>
  <c r="Q508" i="1"/>
  <c r="Q511" i="1" s="1"/>
  <c r="Q520" i="1" s="1"/>
  <c r="Q524" i="1" s="1"/>
  <c r="Q497" i="1"/>
  <c r="D80" i="7"/>
  <c r="E80" i="7" s="1"/>
  <c r="D466" i="7"/>
  <c r="E466" i="7"/>
  <c r="X205" i="1" l="1"/>
  <c r="V208" i="1"/>
  <c r="V697" i="1"/>
  <c r="X352" i="1"/>
  <c r="V355" i="1"/>
  <c r="R889" i="1"/>
  <c r="DG31" i="1"/>
  <c r="DF32" i="1"/>
  <c r="E490" i="1"/>
  <c r="E271" i="1"/>
  <c r="E451" i="1"/>
  <c r="E328" i="1"/>
  <c r="E331" i="1"/>
  <c r="E478" i="1"/>
  <c r="Q136" i="1"/>
  <c r="Q127" i="1"/>
  <c r="DJ503" i="1"/>
  <c r="W502" i="1"/>
  <c r="DJ504" i="1"/>
  <c r="DJ502" i="1"/>
  <c r="D505" i="1"/>
  <c r="E502" i="1"/>
  <c r="Y502" i="1"/>
  <c r="U502" i="1"/>
  <c r="DK502" i="1"/>
  <c r="X79" i="1"/>
  <c r="V82" i="1"/>
  <c r="B500" i="7"/>
  <c r="C499" i="7"/>
  <c r="F499" i="7" s="1"/>
  <c r="D173" i="7"/>
  <c r="E173" i="7" s="1"/>
  <c r="R574" i="1"/>
  <c r="R567" i="1"/>
  <c r="Q586" i="1"/>
  <c r="Q590" i="1" s="1"/>
  <c r="Q591" i="1" s="1"/>
  <c r="Q577" i="1"/>
  <c r="V754" i="1"/>
  <c r="V781" i="1"/>
  <c r="E772" i="1"/>
  <c r="E232" i="1"/>
  <c r="E391" i="1"/>
  <c r="E679" i="1"/>
  <c r="E493" i="1"/>
  <c r="E694" i="1"/>
  <c r="E709" i="1"/>
  <c r="E559" i="1"/>
  <c r="Q137" i="1"/>
  <c r="Q134" i="1"/>
  <c r="Q128" i="1"/>
  <c r="D467" i="7"/>
  <c r="E467" i="7" s="1"/>
  <c r="DI27" i="1"/>
  <c r="DH28" i="1"/>
  <c r="X331" i="1"/>
  <c r="V334" i="1"/>
  <c r="R907" i="1"/>
  <c r="Q529" i="1"/>
  <c r="Q539" i="1" s="1"/>
  <c r="Q541" i="1" s="1"/>
  <c r="Q533" i="1"/>
  <c r="Q544" i="1" s="1"/>
  <c r="Q548" i="1" s="1"/>
  <c r="Q555" i="1" s="1"/>
  <c r="Q569" i="1" s="1"/>
  <c r="Q571" i="1" s="1"/>
  <c r="V493" i="1"/>
  <c r="B176" i="7"/>
  <c r="Q157" i="1"/>
  <c r="Q164" i="1" s="1"/>
  <c r="Q160" i="1"/>
  <c r="V835" i="1"/>
  <c r="DJ581" i="1"/>
  <c r="Q581" i="1" s="1"/>
  <c r="DJ582" i="1"/>
  <c r="DK580" i="1"/>
  <c r="E580" i="1"/>
  <c r="DJ580" i="1"/>
  <c r="D583" i="1"/>
  <c r="R448" i="1"/>
  <c r="R456" i="1"/>
  <c r="X430" i="1"/>
  <c r="E397" i="1"/>
  <c r="X250" i="1"/>
  <c r="V253" i="1"/>
  <c r="E787" i="1"/>
  <c r="E568" i="1"/>
  <c r="E487" i="1"/>
  <c r="E688" i="1"/>
  <c r="E334" i="1"/>
  <c r="E733" i="1"/>
  <c r="E715" i="1"/>
  <c r="E436" i="1"/>
  <c r="E475" i="1"/>
  <c r="E364" i="1"/>
  <c r="E676" i="1"/>
  <c r="E298" i="1"/>
  <c r="E784" i="1"/>
  <c r="E460" i="1"/>
  <c r="V673" i="1"/>
  <c r="D81" i="7"/>
  <c r="E81" i="7"/>
  <c r="Y133" i="1"/>
  <c r="Y136" i="1" s="1"/>
  <c r="Y139" i="1" s="1"/>
  <c r="Y142" i="1" s="1"/>
  <c r="Y145" i="1" s="1"/>
  <c r="Y148" i="1" s="1"/>
  <c r="Y151" i="1" s="1"/>
  <c r="Y154" i="1" s="1"/>
  <c r="Y157" i="1" s="1"/>
  <c r="Y160" i="1" s="1"/>
  <c r="Y163" i="1" s="1"/>
  <c r="Y166" i="1" s="1"/>
  <c r="Y169" i="1" s="1"/>
  <c r="Y172" i="1" s="1"/>
  <c r="U133" i="1"/>
  <c r="U136" i="1" s="1"/>
  <c r="U139" i="1" s="1"/>
  <c r="U142" i="1" s="1"/>
  <c r="U145" i="1" s="1"/>
  <c r="U148" i="1" s="1"/>
  <c r="U151" i="1" s="1"/>
  <c r="U154" i="1" s="1"/>
  <c r="U157" i="1" s="1"/>
  <c r="U160" i="1" s="1"/>
  <c r="U163" i="1" s="1"/>
  <c r="U166" i="1" s="1"/>
  <c r="U169" i="1" s="1"/>
  <c r="U172" i="1" s="1"/>
  <c r="AC130" i="1"/>
  <c r="AC133" i="1" s="1"/>
  <c r="AC136" i="1" s="1"/>
  <c r="AC139" i="1" s="1"/>
  <c r="AC142" i="1" s="1"/>
  <c r="AC145" i="1" s="1"/>
  <c r="AC148" i="1" s="1"/>
  <c r="AC151" i="1" s="1"/>
  <c r="AC154" i="1" s="1"/>
  <c r="AC157" i="1" s="1"/>
  <c r="AC160" i="1" s="1"/>
  <c r="AC163" i="1" s="1"/>
  <c r="AC166" i="1" s="1"/>
  <c r="AC169" i="1" s="1"/>
  <c r="AC172" i="1" s="1"/>
  <c r="AC175" i="1" s="1"/>
  <c r="AC178" i="1" s="1"/>
  <c r="AC181" i="1" s="1"/>
  <c r="AC184" i="1" s="1"/>
  <c r="AC187" i="1" s="1"/>
  <c r="AC190" i="1" s="1"/>
  <c r="AC193" i="1" s="1"/>
  <c r="AC196" i="1" s="1"/>
  <c r="AC199" i="1" s="1"/>
  <c r="AC202" i="1" s="1"/>
  <c r="AC205" i="1" s="1"/>
  <c r="AC208" i="1" s="1"/>
  <c r="AC211" i="1" s="1"/>
  <c r="AC214" i="1" s="1"/>
  <c r="AC217" i="1" s="1"/>
  <c r="AC220" i="1" s="1"/>
  <c r="AC223" i="1" s="1"/>
  <c r="AC226" i="1" s="1"/>
  <c r="AC229" i="1" s="1"/>
  <c r="AC232" i="1" s="1"/>
  <c r="AC235" i="1" s="1"/>
  <c r="AC238" i="1" s="1"/>
  <c r="AC241" i="1" s="1"/>
  <c r="AC244" i="1" s="1"/>
  <c r="AC247" i="1" s="1"/>
  <c r="AC250" i="1" s="1"/>
  <c r="AC253" i="1" s="1"/>
  <c r="AC256" i="1" s="1"/>
  <c r="AC259" i="1" s="1"/>
  <c r="AC262" i="1" s="1"/>
  <c r="AC265" i="1" s="1"/>
  <c r="AC268" i="1" s="1"/>
  <c r="AC271" i="1" s="1"/>
  <c r="AC274" i="1" s="1"/>
  <c r="AC277" i="1" s="1"/>
  <c r="AC280" i="1" s="1"/>
  <c r="AC283" i="1" s="1"/>
  <c r="AC286" i="1" s="1"/>
  <c r="AC289" i="1" s="1"/>
  <c r="AC292" i="1" s="1"/>
  <c r="AC295" i="1" s="1"/>
  <c r="AC298" i="1" s="1"/>
  <c r="AC301" i="1" s="1"/>
  <c r="AC304" i="1" s="1"/>
  <c r="AC307" i="1" s="1"/>
  <c r="AC310" i="1" s="1"/>
  <c r="AC313" i="1" s="1"/>
  <c r="AC316" i="1" s="1"/>
  <c r="AC319" i="1" s="1"/>
  <c r="AC322" i="1" s="1"/>
  <c r="AC325" i="1" s="1"/>
  <c r="AC328" i="1" s="1"/>
  <c r="AC331" i="1" s="1"/>
  <c r="AC334" i="1" s="1"/>
  <c r="AC337" i="1" s="1"/>
  <c r="AC340" i="1" s="1"/>
  <c r="AC343" i="1" s="1"/>
  <c r="AC346" i="1" s="1"/>
  <c r="AC349" i="1" s="1"/>
  <c r="AC352" i="1" s="1"/>
  <c r="AC355" i="1" s="1"/>
  <c r="AC358" i="1" s="1"/>
  <c r="AC361" i="1" s="1"/>
  <c r="AC364" i="1" s="1"/>
  <c r="AC367" i="1" s="1"/>
  <c r="AC370" i="1" s="1"/>
  <c r="AC373" i="1" s="1"/>
  <c r="AC376" i="1" s="1"/>
  <c r="AC379" i="1" s="1"/>
  <c r="AC382" i="1" s="1"/>
  <c r="AC385" i="1" s="1"/>
  <c r="AC388" i="1" s="1"/>
  <c r="AC391" i="1" s="1"/>
  <c r="AC394" i="1" s="1"/>
  <c r="AC397" i="1" s="1"/>
  <c r="AC400" i="1" s="1"/>
  <c r="AC403" i="1" s="1"/>
  <c r="AC406" i="1" s="1"/>
  <c r="AC409" i="1" s="1"/>
  <c r="AC412" i="1" s="1"/>
  <c r="AC415" i="1" s="1"/>
  <c r="AC418" i="1" s="1"/>
  <c r="AC421" i="1" s="1"/>
  <c r="AC424" i="1" s="1"/>
  <c r="AC427" i="1" s="1"/>
  <c r="AC430" i="1" s="1"/>
  <c r="AC433" i="1" s="1"/>
  <c r="AC436" i="1" s="1"/>
  <c r="AC439" i="1" s="1"/>
  <c r="AC442" i="1" s="1"/>
  <c r="AC445" i="1" s="1"/>
  <c r="AC448" i="1" s="1"/>
  <c r="AC451" i="1" s="1"/>
  <c r="AC454" i="1" s="1"/>
  <c r="AC457" i="1" s="1"/>
  <c r="AC460" i="1" s="1"/>
  <c r="AC463" i="1" s="1"/>
  <c r="AC466" i="1" s="1"/>
  <c r="AC469" i="1" s="1"/>
  <c r="AC472" i="1" s="1"/>
  <c r="AC475" i="1" s="1"/>
  <c r="AC478" i="1" s="1"/>
  <c r="AC481" i="1" s="1"/>
  <c r="AC484" i="1" s="1"/>
  <c r="AC487" i="1" s="1"/>
  <c r="AC490" i="1" s="1"/>
  <c r="AC493" i="1" s="1"/>
  <c r="AC496" i="1" s="1"/>
  <c r="AC499" i="1" s="1"/>
  <c r="AC502" i="1" s="1"/>
  <c r="Y130" i="1"/>
  <c r="U130" i="1"/>
  <c r="E130" i="1"/>
  <c r="AB130" i="1"/>
  <c r="AB133" i="1" s="1"/>
  <c r="AB136" i="1" s="1"/>
  <c r="AB139" i="1" s="1"/>
  <c r="AB142" i="1" s="1"/>
  <c r="AB145" i="1" s="1"/>
  <c r="AB148" i="1" s="1"/>
  <c r="AB151" i="1" s="1"/>
  <c r="AB154" i="1" s="1"/>
  <c r="AB157" i="1" s="1"/>
  <c r="AB160" i="1" s="1"/>
  <c r="AB163" i="1" s="1"/>
  <c r="AB166" i="1" s="1"/>
  <c r="AB169" i="1" s="1"/>
  <c r="AB172" i="1" s="1"/>
  <c r="AB175" i="1" s="1"/>
  <c r="AB178" i="1" s="1"/>
  <c r="AB181" i="1" s="1"/>
  <c r="AB184" i="1" s="1"/>
  <c r="AB187" i="1" s="1"/>
  <c r="AB190" i="1" s="1"/>
  <c r="AB193" i="1" s="1"/>
  <c r="AB196" i="1" s="1"/>
  <c r="AB199" i="1" s="1"/>
  <c r="AB202" i="1" s="1"/>
  <c r="AB205" i="1" s="1"/>
  <c r="AB208" i="1" s="1"/>
  <c r="AB211" i="1" s="1"/>
  <c r="AB214" i="1" s="1"/>
  <c r="AB217" i="1" s="1"/>
  <c r="AB220" i="1" s="1"/>
  <c r="AB223" i="1" s="1"/>
  <c r="AB226" i="1" s="1"/>
  <c r="AB229" i="1" s="1"/>
  <c r="AB232" i="1" s="1"/>
  <c r="AB235" i="1" s="1"/>
  <c r="AB238" i="1" s="1"/>
  <c r="AB241" i="1" s="1"/>
  <c r="AB244" i="1" s="1"/>
  <c r="AB247" i="1" s="1"/>
  <c r="AB250" i="1" s="1"/>
  <c r="AB253" i="1" s="1"/>
  <c r="AB256" i="1" s="1"/>
  <c r="AB259" i="1" s="1"/>
  <c r="AB262" i="1" s="1"/>
  <c r="AB265" i="1" s="1"/>
  <c r="AB268" i="1" s="1"/>
  <c r="AB271" i="1" s="1"/>
  <c r="AB274" i="1" s="1"/>
  <c r="AB277" i="1" s="1"/>
  <c r="AB280" i="1" s="1"/>
  <c r="AB283" i="1" s="1"/>
  <c r="AB286" i="1" s="1"/>
  <c r="AB289" i="1" s="1"/>
  <c r="AB292" i="1" s="1"/>
  <c r="AB295" i="1" s="1"/>
  <c r="AB298" i="1" s="1"/>
  <c r="AB301" i="1" s="1"/>
  <c r="AB304" i="1" s="1"/>
  <c r="AB307" i="1" s="1"/>
  <c r="AB310" i="1" s="1"/>
  <c r="AB313" i="1" s="1"/>
  <c r="AB316" i="1" s="1"/>
  <c r="AB319" i="1" s="1"/>
  <c r="AB322" i="1" s="1"/>
  <c r="AB325" i="1" s="1"/>
  <c r="AB328" i="1" s="1"/>
  <c r="AB331" i="1" s="1"/>
  <c r="AB334" i="1" s="1"/>
  <c r="AB337" i="1" s="1"/>
  <c r="AB340" i="1" s="1"/>
  <c r="AB343" i="1" s="1"/>
  <c r="AB346" i="1" s="1"/>
  <c r="AB349" i="1" s="1"/>
  <c r="AB352" i="1" s="1"/>
  <c r="AB355" i="1" s="1"/>
  <c r="AB358" i="1" s="1"/>
  <c r="AB361" i="1" s="1"/>
  <c r="AB364" i="1" s="1"/>
  <c r="AB367" i="1" s="1"/>
  <c r="AB370" i="1" s="1"/>
  <c r="AB373" i="1" s="1"/>
  <c r="AB376" i="1" s="1"/>
  <c r="AB379" i="1" s="1"/>
  <c r="AB382" i="1" s="1"/>
  <c r="AB385" i="1" s="1"/>
  <c r="AB388" i="1" s="1"/>
  <c r="AB391" i="1" s="1"/>
  <c r="AB394" i="1" s="1"/>
  <c r="AB397" i="1" s="1"/>
  <c r="AB400" i="1" s="1"/>
  <c r="AB403" i="1" s="1"/>
  <c r="AB406" i="1" s="1"/>
  <c r="AB409" i="1" s="1"/>
  <c r="AB412" i="1" s="1"/>
  <c r="AB415" i="1" s="1"/>
  <c r="AB418" i="1" s="1"/>
  <c r="AB421" i="1" s="1"/>
  <c r="AB424" i="1" s="1"/>
  <c r="AB427" i="1" s="1"/>
  <c r="AB430" i="1" s="1"/>
  <c r="AB433" i="1" s="1"/>
  <c r="AB436" i="1" s="1"/>
  <c r="AB439" i="1" s="1"/>
  <c r="AB442" i="1" s="1"/>
  <c r="AB445" i="1" s="1"/>
  <c r="AB448" i="1" s="1"/>
  <c r="AB451" i="1" s="1"/>
  <c r="AB454" i="1" s="1"/>
  <c r="AB457" i="1" s="1"/>
  <c r="AB460" i="1" s="1"/>
  <c r="AB463" i="1" s="1"/>
  <c r="AB466" i="1" s="1"/>
  <c r="AB469" i="1" s="1"/>
  <c r="AB472" i="1" s="1"/>
  <c r="AB475" i="1" s="1"/>
  <c r="AB478" i="1" s="1"/>
  <c r="AB481" i="1" s="1"/>
  <c r="AB484" i="1" s="1"/>
  <c r="AB487" i="1" s="1"/>
  <c r="AB490" i="1" s="1"/>
  <c r="AB493" i="1" s="1"/>
  <c r="AB496" i="1" s="1"/>
  <c r="AB499" i="1" s="1"/>
  <c r="AB502" i="1" s="1"/>
  <c r="W133" i="1"/>
  <c r="W136" i="1" s="1"/>
  <c r="W139" i="1" s="1"/>
  <c r="W142" i="1" s="1"/>
  <c r="W145" i="1" s="1"/>
  <c r="W148" i="1" s="1"/>
  <c r="W151" i="1" s="1"/>
  <c r="W154" i="1" s="1"/>
  <c r="W157" i="1" s="1"/>
  <c r="W160" i="1" s="1"/>
  <c r="W163" i="1" s="1"/>
  <c r="W166" i="1" s="1"/>
  <c r="W169" i="1" s="1"/>
  <c r="W172" i="1" s="1"/>
  <c r="DJ132" i="1"/>
  <c r="Q132" i="1" s="1"/>
  <c r="DJ131" i="1"/>
  <c r="Q131" i="1" s="1"/>
  <c r="V133" i="1"/>
  <c r="W130" i="1"/>
  <c r="DJ130" i="1"/>
  <c r="DK130" i="1"/>
  <c r="E136" i="1"/>
  <c r="E145" i="1"/>
  <c r="E139" i="1"/>
  <c r="E133" i="1"/>
  <c r="E142" i="1"/>
  <c r="E148" i="1"/>
  <c r="E199" i="1"/>
  <c r="E151" i="1"/>
  <c r="E154" i="1"/>
  <c r="E196" i="1"/>
  <c r="E304" i="1"/>
  <c r="E202" i="1"/>
  <c r="E157" i="1"/>
  <c r="E250" i="1"/>
  <c r="E256" i="1"/>
  <c r="E316" i="1"/>
  <c r="E208" i="1"/>
  <c r="E307" i="1"/>
  <c r="E286" i="1"/>
  <c r="E313" i="1"/>
  <c r="E262" i="1"/>
  <c r="E265" i="1"/>
  <c r="E253" i="1"/>
  <c r="E283" i="1"/>
  <c r="E163" i="1"/>
  <c r="E289" i="1"/>
  <c r="E160" i="1"/>
  <c r="E268" i="1"/>
  <c r="E280" i="1"/>
  <c r="E205" i="1"/>
  <c r="E259" i="1"/>
  <c r="E310" i="1"/>
  <c r="E319" i="1"/>
  <c r="E193" i="1"/>
  <c r="E214" i="1"/>
  <c r="E190" i="1"/>
  <c r="E211" i="1"/>
  <c r="E376" i="1"/>
  <c r="E379" i="1"/>
  <c r="E394" i="1"/>
  <c r="E427" i="1"/>
  <c r="E217" i="1"/>
  <c r="E184" i="1"/>
  <c r="E439" i="1"/>
  <c r="E169" i="1"/>
  <c r="E466" i="1"/>
  <c r="E172" i="1"/>
  <c r="E325" i="1"/>
  <c r="E181" i="1"/>
  <c r="E166" i="1"/>
  <c r="E382" i="1"/>
  <c r="E385" i="1"/>
  <c r="E247" i="1"/>
  <c r="E322" i="1"/>
  <c r="E241" i="1"/>
  <c r="E229" i="1"/>
  <c r="E178" i="1"/>
  <c r="E175" i="1"/>
  <c r="E295" i="1"/>
  <c r="E238" i="1"/>
  <c r="E220" i="1"/>
  <c r="E274" i="1"/>
  <c r="E223" i="1"/>
  <c r="E472" i="1"/>
  <c r="E235" i="1"/>
  <c r="E226" i="1"/>
  <c r="E277" i="1"/>
  <c r="E292" i="1"/>
  <c r="E187" i="1"/>
  <c r="E244" i="1"/>
  <c r="E469" i="1"/>
  <c r="E301" i="1"/>
  <c r="E373" i="1"/>
  <c r="E349" i="1"/>
  <c r="E352" i="1"/>
  <c r="E412" i="1"/>
  <c r="E367" i="1"/>
  <c r="E766" i="1"/>
  <c r="E445" i="1"/>
  <c r="E832" i="1"/>
  <c r="E358" i="1"/>
  <c r="E463" i="1"/>
  <c r="E415" i="1"/>
  <c r="E442" i="1"/>
  <c r="E457" i="1"/>
  <c r="E418" i="1"/>
  <c r="E430" i="1"/>
  <c r="E454" i="1"/>
  <c r="E340" i="1"/>
  <c r="E343" i="1"/>
  <c r="E484" i="1"/>
  <c r="E400" i="1"/>
  <c r="E562" i="1"/>
  <c r="E403" i="1"/>
  <c r="E433" i="1"/>
  <c r="E952" i="1"/>
  <c r="E346" i="1"/>
  <c r="E388" i="1"/>
  <c r="E337" i="1"/>
  <c r="E406" i="1"/>
  <c r="E370" i="1"/>
  <c r="C470" i="7"/>
  <c r="Q500" i="1"/>
  <c r="C82" i="7"/>
  <c r="X253" i="1" l="1"/>
  <c r="V256" i="1"/>
  <c r="X256" i="1" s="1"/>
  <c r="R922" i="1"/>
  <c r="Y586" i="1"/>
  <c r="Y589" i="1" s="1"/>
  <c r="Y592" i="1" s="1"/>
  <c r="Y595" i="1" s="1"/>
  <c r="Y598" i="1" s="1"/>
  <c r="U586" i="1"/>
  <c r="U589" i="1" s="1"/>
  <c r="U592" i="1" s="1"/>
  <c r="U595" i="1" s="1"/>
  <c r="U598" i="1" s="1"/>
  <c r="W586" i="1"/>
  <c r="W589" i="1" s="1"/>
  <c r="W592" i="1" s="1"/>
  <c r="W595" i="1" s="1"/>
  <c r="W598" i="1" s="1"/>
  <c r="DJ585" i="1"/>
  <c r="V586" i="1"/>
  <c r="DJ584" i="1"/>
  <c r="DJ583" i="1"/>
  <c r="E583" i="1"/>
  <c r="DK583" i="1"/>
  <c r="E616" i="1"/>
  <c r="E586" i="1"/>
  <c r="E601" i="1"/>
  <c r="E625" i="1"/>
  <c r="E595" i="1"/>
  <c r="E604" i="1"/>
  <c r="E589" i="1"/>
  <c r="E619" i="1"/>
  <c r="E622" i="1"/>
  <c r="E631" i="1"/>
  <c r="E628" i="1"/>
  <c r="E592" i="1"/>
  <c r="E610" i="1"/>
  <c r="E598" i="1"/>
  <c r="E607" i="1"/>
  <c r="E637" i="1"/>
  <c r="E634" i="1"/>
  <c r="E613" i="1"/>
  <c r="E640" i="1"/>
  <c r="E643" i="1"/>
  <c r="E646" i="1"/>
  <c r="E652" i="1"/>
  <c r="E655" i="1"/>
  <c r="E658" i="1"/>
  <c r="E649" i="1"/>
  <c r="E901" i="1"/>
  <c r="E745" i="1"/>
  <c r="E742" i="1"/>
  <c r="E862" i="1"/>
  <c r="E793" i="1"/>
  <c r="E751" i="1"/>
  <c r="E844" i="1"/>
  <c r="E796" i="1"/>
  <c r="E847" i="1"/>
  <c r="E898" i="1"/>
  <c r="E868" i="1"/>
  <c r="E859" i="1"/>
  <c r="E808" i="1"/>
  <c r="E856" i="1"/>
  <c r="E661" i="1"/>
  <c r="E865" i="1"/>
  <c r="E664" i="1"/>
  <c r="E850" i="1"/>
  <c r="E889" i="1"/>
  <c r="E826" i="1"/>
  <c r="E754" i="1"/>
  <c r="E934" i="1"/>
  <c r="E799" i="1"/>
  <c r="E886" i="1"/>
  <c r="E871" i="1"/>
  <c r="E931" i="1"/>
  <c r="E805" i="1"/>
  <c r="E895" i="1"/>
  <c r="E925" i="1"/>
  <c r="E937" i="1"/>
  <c r="E802" i="1"/>
  <c r="E748" i="1"/>
  <c r="E853" i="1"/>
  <c r="E670" i="1"/>
  <c r="E823" i="1"/>
  <c r="E907" i="1"/>
  <c r="E667" i="1"/>
  <c r="E874" i="1"/>
  <c r="E835" i="1"/>
  <c r="E829" i="1"/>
  <c r="E820" i="1"/>
  <c r="E940" i="1"/>
  <c r="E760" i="1"/>
  <c r="E841" i="1"/>
  <c r="E817" i="1"/>
  <c r="E904" i="1"/>
  <c r="E814" i="1"/>
  <c r="E910" i="1"/>
  <c r="E943" i="1"/>
  <c r="E877" i="1"/>
  <c r="E811" i="1"/>
  <c r="V838" i="1"/>
  <c r="F176" i="7"/>
  <c r="C176" i="7"/>
  <c r="B177" i="7"/>
  <c r="E916" i="1"/>
  <c r="V784" i="1"/>
  <c r="C500" i="7"/>
  <c r="B501" i="7" s="1"/>
  <c r="Q158" i="1"/>
  <c r="Q163" i="1" s="1"/>
  <c r="Q169" i="1" s="1"/>
  <c r="Q161" i="1"/>
  <c r="E892" i="1"/>
  <c r="E757" i="1"/>
  <c r="E706" i="1"/>
  <c r="E880" i="1"/>
  <c r="V700" i="1"/>
  <c r="D82" i="7"/>
  <c r="E82" i="7"/>
  <c r="D470" i="7"/>
  <c r="E470" i="7" s="1"/>
  <c r="R458" i="1"/>
  <c r="X454" i="1"/>
  <c r="Q601" i="1"/>
  <c r="Q608" i="1" s="1"/>
  <c r="Q613" i="1" s="1"/>
  <c r="B471" i="7"/>
  <c r="B85" i="7"/>
  <c r="F82" i="7"/>
  <c r="F470" i="7"/>
  <c r="X133" i="1"/>
  <c r="V136" i="1"/>
  <c r="E739" i="1"/>
  <c r="E724" i="1"/>
  <c r="E673" i="1"/>
  <c r="V496" i="1"/>
  <c r="DI28" i="1"/>
  <c r="DH29" i="1"/>
  <c r="E682" i="1"/>
  <c r="E721" i="1"/>
  <c r="X82" i="1"/>
  <c r="V85" i="1"/>
  <c r="DJ505" i="1"/>
  <c r="W508" i="1"/>
  <c r="W511" i="1" s="1"/>
  <c r="W514" i="1" s="1"/>
  <c r="W517" i="1" s="1"/>
  <c r="W520" i="1" s="1"/>
  <c r="W523" i="1" s="1"/>
  <c r="W526" i="1" s="1"/>
  <c r="W529" i="1" s="1"/>
  <c r="W532" i="1" s="1"/>
  <c r="W535" i="1" s="1"/>
  <c r="W538" i="1" s="1"/>
  <c r="W541" i="1" s="1"/>
  <c r="W544" i="1" s="1"/>
  <c r="W547" i="1" s="1"/>
  <c r="W550" i="1" s="1"/>
  <c r="W553" i="1" s="1"/>
  <c r="W556" i="1" s="1"/>
  <c r="W559" i="1" s="1"/>
  <c r="W562" i="1" s="1"/>
  <c r="W565" i="1" s="1"/>
  <c r="W568" i="1" s="1"/>
  <c r="W571" i="1" s="1"/>
  <c r="W574" i="1" s="1"/>
  <c r="W577" i="1" s="1"/>
  <c r="W580" i="1" s="1"/>
  <c r="W583" i="1" s="1"/>
  <c r="AC505" i="1"/>
  <c r="AC508" i="1" s="1"/>
  <c r="AC511" i="1" s="1"/>
  <c r="AC514" i="1" s="1"/>
  <c r="AC517" i="1" s="1"/>
  <c r="AC520" i="1" s="1"/>
  <c r="AC523" i="1" s="1"/>
  <c r="AC526" i="1" s="1"/>
  <c r="AC529" i="1" s="1"/>
  <c r="AC532" i="1" s="1"/>
  <c r="AC535" i="1" s="1"/>
  <c r="AC538" i="1" s="1"/>
  <c r="AC541" i="1" s="1"/>
  <c r="AC544" i="1" s="1"/>
  <c r="AC547" i="1" s="1"/>
  <c r="AC550" i="1" s="1"/>
  <c r="AC553" i="1" s="1"/>
  <c r="AC556" i="1" s="1"/>
  <c r="AC559" i="1" s="1"/>
  <c r="AC562" i="1" s="1"/>
  <c r="AC565" i="1" s="1"/>
  <c r="AC568" i="1" s="1"/>
  <c r="AC571" i="1" s="1"/>
  <c r="AC574" i="1" s="1"/>
  <c r="AC577" i="1" s="1"/>
  <c r="AC580" i="1" s="1"/>
  <c r="AC583" i="1" s="1"/>
  <c r="AC586" i="1" s="1"/>
  <c r="AC589" i="1" s="1"/>
  <c r="AC592" i="1" s="1"/>
  <c r="AC595" i="1" s="1"/>
  <c r="AC598" i="1" s="1"/>
  <c r="AC601" i="1" s="1"/>
  <c r="AC604" i="1" s="1"/>
  <c r="AC607" i="1" s="1"/>
  <c r="AC610" i="1" s="1"/>
  <c r="AC613" i="1" s="1"/>
  <c r="AC616" i="1" s="1"/>
  <c r="AC619" i="1" s="1"/>
  <c r="AC622" i="1" s="1"/>
  <c r="AC625" i="1" s="1"/>
  <c r="AC628" i="1" s="1"/>
  <c r="AC631" i="1" s="1"/>
  <c r="AC634" i="1" s="1"/>
  <c r="AC637" i="1" s="1"/>
  <c r="AC640" i="1" s="1"/>
  <c r="AC643" i="1" s="1"/>
  <c r="AC646" i="1" s="1"/>
  <c r="AC649" i="1" s="1"/>
  <c r="AC652" i="1" s="1"/>
  <c r="AC655" i="1" s="1"/>
  <c r="AC658" i="1" s="1"/>
  <c r="AC661" i="1" s="1"/>
  <c r="AC664" i="1" s="1"/>
  <c r="AC667" i="1" s="1"/>
  <c r="AC670" i="1" s="1"/>
  <c r="AC673" i="1" s="1"/>
  <c r="AC676" i="1" s="1"/>
  <c r="AC679" i="1" s="1"/>
  <c r="AC682" i="1" s="1"/>
  <c r="AC685" i="1" s="1"/>
  <c r="AC688" i="1" s="1"/>
  <c r="AC691" i="1" s="1"/>
  <c r="AC694" i="1" s="1"/>
  <c r="AC697" i="1" s="1"/>
  <c r="AC700" i="1" s="1"/>
  <c r="AC703" i="1" s="1"/>
  <c r="AC706" i="1" s="1"/>
  <c r="AC709" i="1" s="1"/>
  <c r="AC712" i="1" s="1"/>
  <c r="AC715" i="1" s="1"/>
  <c r="AC718" i="1" s="1"/>
  <c r="AC721" i="1" s="1"/>
  <c r="AC724" i="1" s="1"/>
  <c r="AC727" i="1" s="1"/>
  <c r="AC730" i="1" s="1"/>
  <c r="AC733" i="1" s="1"/>
  <c r="AC736" i="1" s="1"/>
  <c r="AC739" i="1" s="1"/>
  <c r="AC742" i="1" s="1"/>
  <c r="AC745" i="1" s="1"/>
  <c r="AC748" i="1" s="1"/>
  <c r="AC751" i="1" s="1"/>
  <c r="AC754" i="1" s="1"/>
  <c r="AC757" i="1" s="1"/>
  <c r="AC760" i="1" s="1"/>
  <c r="AC763" i="1" s="1"/>
  <c r="AC766" i="1" s="1"/>
  <c r="AC769" i="1" s="1"/>
  <c r="AC772" i="1" s="1"/>
  <c r="AC775" i="1" s="1"/>
  <c r="AC778" i="1" s="1"/>
  <c r="AC781" i="1" s="1"/>
  <c r="AC784" i="1" s="1"/>
  <c r="AC787" i="1" s="1"/>
  <c r="AC790" i="1" s="1"/>
  <c r="AC793" i="1" s="1"/>
  <c r="AC796" i="1" s="1"/>
  <c r="AC799" i="1" s="1"/>
  <c r="AC802" i="1" s="1"/>
  <c r="AC805" i="1" s="1"/>
  <c r="AC808" i="1" s="1"/>
  <c r="AC811" i="1" s="1"/>
  <c r="AC814" i="1" s="1"/>
  <c r="AC817" i="1" s="1"/>
  <c r="AC820" i="1" s="1"/>
  <c r="AC823" i="1" s="1"/>
  <c r="AC826" i="1" s="1"/>
  <c r="AC829" i="1" s="1"/>
  <c r="AC832" i="1" s="1"/>
  <c r="AC835" i="1" s="1"/>
  <c r="AC838" i="1" s="1"/>
  <c r="AC841" i="1" s="1"/>
  <c r="AC844" i="1" s="1"/>
  <c r="AC847" i="1" s="1"/>
  <c r="AC850" i="1" s="1"/>
  <c r="AC853" i="1" s="1"/>
  <c r="AC856" i="1" s="1"/>
  <c r="AC859" i="1" s="1"/>
  <c r="AC862" i="1" s="1"/>
  <c r="AC865" i="1" s="1"/>
  <c r="AC868" i="1" s="1"/>
  <c r="AC871" i="1" s="1"/>
  <c r="AC874" i="1" s="1"/>
  <c r="AC877" i="1" s="1"/>
  <c r="AC880" i="1" s="1"/>
  <c r="AC883" i="1" s="1"/>
  <c r="AC886" i="1" s="1"/>
  <c r="AC889" i="1" s="1"/>
  <c r="AC892" i="1" s="1"/>
  <c r="AC895" i="1" s="1"/>
  <c r="AC898" i="1" s="1"/>
  <c r="AC901" i="1" s="1"/>
  <c r="AC904" i="1" s="1"/>
  <c r="AC907" i="1" s="1"/>
  <c r="AC910" i="1" s="1"/>
  <c r="AC913" i="1" s="1"/>
  <c r="AC916" i="1" s="1"/>
  <c r="AC919" i="1" s="1"/>
  <c r="AC922" i="1" s="1"/>
  <c r="AC925" i="1" s="1"/>
  <c r="AC928" i="1" s="1"/>
  <c r="AC931" i="1" s="1"/>
  <c r="AC934" i="1" s="1"/>
  <c r="AC937" i="1" s="1"/>
  <c r="AC940" i="1" s="1"/>
  <c r="AC943" i="1" s="1"/>
  <c r="AC946" i="1" s="1"/>
  <c r="AC949" i="1" s="1"/>
  <c r="AC952" i="1" s="1"/>
  <c r="F3" i="1" s="1"/>
  <c r="Y505" i="1"/>
  <c r="U505" i="1"/>
  <c r="E505" i="1"/>
  <c r="B3" i="1" s="1"/>
  <c r="U508" i="1"/>
  <c r="U511" i="1" s="1"/>
  <c r="U514" i="1" s="1"/>
  <c r="U517" i="1" s="1"/>
  <c r="U520" i="1" s="1"/>
  <c r="U523" i="1" s="1"/>
  <c r="U526" i="1" s="1"/>
  <c r="U529" i="1" s="1"/>
  <c r="U532" i="1" s="1"/>
  <c r="U535" i="1" s="1"/>
  <c r="U538" i="1" s="1"/>
  <c r="U541" i="1" s="1"/>
  <c r="U544" i="1" s="1"/>
  <c r="U547" i="1" s="1"/>
  <c r="U550" i="1" s="1"/>
  <c r="U553" i="1" s="1"/>
  <c r="U556" i="1" s="1"/>
  <c r="U559" i="1" s="1"/>
  <c r="U562" i="1" s="1"/>
  <c r="U565" i="1" s="1"/>
  <c r="U568" i="1" s="1"/>
  <c r="U571" i="1" s="1"/>
  <c r="U574" i="1" s="1"/>
  <c r="U577" i="1" s="1"/>
  <c r="U580" i="1" s="1"/>
  <c r="U583" i="1" s="1"/>
  <c r="DJ506" i="1"/>
  <c r="Y508" i="1"/>
  <c r="Y511" i="1" s="1"/>
  <c r="Y514" i="1" s="1"/>
  <c r="Y517" i="1" s="1"/>
  <c r="Y520" i="1" s="1"/>
  <c r="Y523" i="1" s="1"/>
  <c r="Y526" i="1" s="1"/>
  <c r="Y529" i="1" s="1"/>
  <c r="Y532" i="1" s="1"/>
  <c r="Y535" i="1" s="1"/>
  <c r="Y538" i="1" s="1"/>
  <c r="Y541" i="1" s="1"/>
  <c r="Y544" i="1" s="1"/>
  <c r="Y547" i="1" s="1"/>
  <c r="Y550" i="1" s="1"/>
  <c r="Y553" i="1" s="1"/>
  <c r="Y556" i="1" s="1"/>
  <c r="Y559" i="1" s="1"/>
  <c r="Y562" i="1" s="1"/>
  <c r="Y565" i="1" s="1"/>
  <c r="Y568" i="1" s="1"/>
  <c r="Y571" i="1" s="1"/>
  <c r="Y574" i="1" s="1"/>
  <c r="Y577" i="1" s="1"/>
  <c r="Y580" i="1" s="1"/>
  <c r="Y583" i="1" s="1"/>
  <c r="DJ507" i="1"/>
  <c r="DK505" i="1"/>
  <c r="W505" i="1"/>
  <c r="V508" i="1"/>
  <c r="AB505" i="1"/>
  <c r="AB508" i="1" s="1"/>
  <c r="AB511" i="1" s="1"/>
  <c r="AB514" i="1" s="1"/>
  <c r="AB517" i="1" s="1"/>
  <c r="AB520" i="1" s="1"/>
  <c r="AB523" i="1" s="1"/>
  <c r="AB526" i="1" s="1"/>
  <c r="AB529" i="1" s="1"/>
  <c r="AB532" i="1" s="1"/>
  <c r="AB535" i="1" s="1"/>
  <c r="AB538" i="1" s="1"/>
  <c r="AB541" i="1" s="1"/>
  <c r="AB544" i="1" s="1"/>
  <c r="AB547" i="1" s="1"/>
  <c r="AB550" i="1" s="1"/>
  <c r="AB553" i="1" s="1"/>
  <c r="AB556" i="1" s="1"/>
  <c r="AB559" i="1" s="1"/>
  <c r="AB562" i="1" s="1"/>
  <c r="AB565" i="1" s="1"/>
  <c r="AB568" i="1" s="1"/>
  <c r="AB571" i="1" s="1"/>
  <c r="AB574" i="1" s="1"/>
  <c r="AB577" i="1" s="1"/>
  <c r="AB580" i="1" s="1"/>
  <c r="AB583" i="1" s="1"/>
  <c r="AB586" i="1" s="1"/>
  <c r="AB589" i="1" s="1"/>
  <c r="AB592" i="1" s="1"/>
  <c r="AB595" i="1" s="1"/>
  <c r="AB598" i="1" s="1"/>
  <c r="AB601" i="1" s="1"/>
  <c r="AB604" i="1" s="1"/>
  <c r="AB607" i="1" s="1"/>
  <c r="AB610" i="1" s="1"/>
  <c r="AB613" i="1" s="1"/>
  <c r="AB616" i="1" s="1"/>
  <c r="AB619" i="1" s="1"/>
  <c r="AB622" i="1" s="1"/>
  <c r="AB625" i="1" s="1"/>
  <c r="AB628" i="1" s="1"/>
  <c r="AB631" i="1" s="1"/>
  <c r="AB634" i="1" s="1"/>
  <c r="AB637" i="1" s="1"/>
  <c r="AB640" i="1" s="1"/>
  <c r="AB643" i="1" s="1"/>
  <c r="AB646" i="1" s="1"/>
  <c r="AB649" i="1" s="1"/>
  <c r="AB652" i="1" s="1"/>
  <c r="AB655" i="1" s="1"/>
  <c r="AB658" i="1" s="1"/>
  <c r="AB661" i="1" s="1"/>
  <c r="AB664" i="1" s="1"/>
  <c r="AB667" i="1" s="1"/>
  <c r="AB670" i="1" s="1"/>
  <c r="AB673" i="1" s="1"/>
  <c r="AB676" i="1" s="1"/>
  <c r="AB679" i="1" s="1"/>
  <c r="AB682" i="1" s="1"/>
  <c r="AB685" i="1" s="1"/>
  <c r="AB688" i="1" s="1"/>
  <c r="AB691" i="1" s="1"/>
  <c r="AB694" i="1" s="1"/>
  <c r="AB697" i="1" s="1"/>
  <c r="AB700" i="1" s="1"/>
  <c r="AB703" i="1" s="1"/>
  <c r="AB706" i="1" s="1"/>
  <c r="AB709" i="1" s="1"/>
  <c r="AB712" i="1" s="1"/>
  <c r="AB715" i="1" s="1"/>
  <c r="AB718" i="1" s="1"/>
  <c r="AB721" i="1" s="1"/>
  <c r="AB724" i="1" s="1"/>
  <c r="AB727" i="1" s="1"/>
  <c r="AB730" i="1" s="1"/>
  <c r="AB733" i="1" s="1"/>
  <c r="AB736" i="1" s="1"/>
  <c r="AB739" i="1" s="1"/>
  <c r="AB742" i="1" s="1"/>
  <c r="AB745" i="1" s="1"/>
  <c r="AB748" i="1" s="1"/>
  <c r="AB751" i="1" s="1"/>
  <c r="AB754" i="1" s="1"/>
  <c r="AB757" i="1" s="1"/>
  <c r="AB760" i="1" s="1"/>
  <c r="AB763" i="1" s="1"/>
  <c r="AB766" i="1" s="1"/>
  <c r="AB769" i="1" s="1"/>
  <c r="AB772" i="1" s="1"/>
  <c r="AB775" i="1" s="1"/>
  <c r="AB778" i="1" s="1"/>
  <c r="AB781" i="1" s="1"/>
  <c r="AB784" i="1" s="1"/>
  <c r="AB787" i="1" s="1"/>
  <c r="AB790" i="1" s="1"/>
  <c r="AB793" i="1" s="1"/>
  <c r="AB796" i="1" s="1"/>
  <c r="AB799" i="1" s="1"/>
  <c r="AB802" i="1" s="1"/>
  <c r="AB805" i="1" s="1"/>
  <c r="AB808" i="1" s="1"/>
  <c r="AB811" i="1" s="1"/>
  <c r="AB814" i="1" s="1"/>
  <c r="AB817" i="1" s="1"/>
  <c r="AB820" i="1" s="1"/>
  <c r="AB823" i="1" s="1"/>
  <c r="AB826" i="1" s="1"/>
  <c r="AB829" i="1" s="1"/>
  <c r="AB832" i="1" s="1"/>
  <c r="AB835" i="1" s="1"/>
  <c r="AB838" i="1" s="1"/>
  <c r="AB841" i="1" s="1"/>
  <c r="AB844" i="1" s="1"/>
  <c r="AB847" i="1" s="1"/>
  <c r="AB850" i="1" s="1"/>
  <c r="AB853" i="1" s="1"/>
  <c r="AB856" i="1" s="1"/>
  <c r="AB859" i="1" s="1"/>
  <c r="AB862" i="1" s="1"/>
  <c r="AB865" i="1" s="1"/>
  <c r="AB868" i="1" s="1"/>
  <c r="AB871" i="1" s="1"/>
  <c r="AB874" i="1" s="1"/>
  <c r="AB877" i="1" s="1"/>
  <c r="AB880" i="1" s="1"/>
  <c r="AB883" i="1" s="1"/>
  <c r="AB886" i="1" s="1"/>
  <c r="AB889" i="1" s="1"/>
  <c r="AB892" i="1" s="1"/>
  <c r="AB895" i="1" s="1"/>
  <c r="AB898" i="1" s="1"/>
  <c r="AB901" i="1" s="1"/>
  <c r="AB904" i="1" s="1"/>
  <c r="AB907" i="1" s="1"/>
  <c r="AB910" i="1" s="1"/>
  <c r="AB913" i="1" s="1"/>
  <c r="AB916" i="1" s="1"/>
  <c r="AB919" i="1" s="1"/>
  <c r="AB922" i="1" s="1"/>
  <c r="AB925" i="1" s="1"/>
  <c r="AB928" i="1" s="1"/>
  <c r="AB931" i="1" s="1"/>
  <c r="AB934" i="1" s="1"/>
  <c r="AB937" i="1" s="1"/>
  <c r="AB940" i="1" s="1"/>
  <c r="AB943" i="1" s="1"/>
  <c r="AB946" i="1" s="1"/>
  <c r="AB949" i="1" s="1"/>
  <c r="AB952" i="1" s="1"/>
  <c r="E511" i="1"/>
  <c r="E514" i="1"/>
  <c r="E508" i="1"/>
  <c r="E517" i="1"/>
  <c r="E523" i="1"/>
  <c r="E520" i="1"/>
  <c r="E526" i="1"/>
  <c r="E529" i="1"/>
  <c r="E541" i="1"/>
  <c r="E532" i="1"/>
  <c r="E535" i="1"/>
  <c r="E538" i="1"/>
  <c r="E544" i="1"/>
  <c r="E553" i="1"/>
  <c r="E547" i="1"/>
  <c r="E556" i="1"/>
  <c r="E550" i="1"/>
  <c r="E949" i="1"/>
  <c r="E712" i="1"/>
  <c r="E913" i="1"/>
  <c r="E781" i="1"/>
  <c r="E730" i="1"/>
  <c r="E574" i="1"/>
  <c r="E577" i="1"/>
  <c r="E736" i="1"/>
  <c r="E775" i="1"/>
  <c r="E700" i="1"/>
  <c r="E919" i="1"/>
  <c r="E565" i="1"/>
  <c r="E718" i="1"/>
  <c r="E703" i="1"/>
  <c r="E763" i="1"/>
  <c r="E769" i="1"/>
  <c r="E571" i="1"/>
  <c r="E727" i="1"/>
  <c r="E778" i="1"/>
  <c r="E883" i="1"/>
  <c r="E691" i="1"/>
  <c r="E697" i="1"/>
  <c r="E685" i="1"/>
  <c r="R892" i="1"/>
  <c r="E790" i="1"/>
  <c r="V757" i="1"/>
  <c r="Q518" i="1"/>
  <c r="Q527" i="1" s="1"/>
  <c r="Q530" i="1" s="1"/>
  <c r="Q503" i="1"/>
  <c r="E928" i="1"/>
  <c r="E946" i="1"/>
  <c r="DF33" i="1"/>
  <c r="DG32" i="1"/>
  <c r="X355" i="1"/>
  <c r="V358" i="1"/>
  <c r="X208" i="1"/>
  <c r="V211" i="1"/>
  <c r="Q140" i="1"/>
  <c r="Q143" i="1" s="1"/>
  <c r="Q146" i="1" s="1"/>
  <c r="Q149" i="1" s="1"/>
  <c r="Q150" i="1" s="1"/>
  <c r="Q172" i="1" s="1"/>
  <c r="Q130" i="1"/>
  <c r="V676" i="1"/>
  <c r="R451" i="1"/>
  <c r="X451" i="1" s="1"/>
  <c r="X448" i="1"/>
  <c r="X334" i="1"/>
  <c r="V337" i="1"/>
  <c r="Q151" i="1"/>
  <c r="Q154" i="1"/>
  <c r="Q167" i="1" s="1"/>
  <c r="R593" i="1"/>
  <c r="R589" i="1"/>
  <c r="R598" i="1" s="1"/>
  <c r="R594" i="1"/>
  <c r="R595" i="1" s="1"/>
  <c r="E499" i="7"/>
  <c r="D499" i="7"/>
  <c r="Q557" i="1"/>
  <c r="Q563" i="1"/>
  <c r="Q565" i="1" s="1"/>
  <c r="Q502" i="1"/>
  <c r="E922" i="1"/>
  <c r="E838" i="1"/>
  <c r="C501" i="7" l="1"/>
  <c r="B502" i="7"/>
  <c r="C85" i="7"/>
  <c r="F85" i="7"/>
  <c r="F500" i="7"/>
  <c r="C177" i="7"/>
  <c r="B178" i="7"/>
  <c r="F177" i="7"/>
  <c r="V589" i="1"/>
  <c r="V760" i="1"/>
  <c r="R895" i="1"/>
  <c r="X892" i="1"/>
  <c r="X85" i="1"/>
  <c r="V88" i="1"/>
  <c r="DI29" i="1"/>
  <c r="DH30" i="1"/>
  <c r="B16" i="2"/>
  <c r="R607" i="1"/>
  <c r="X607" i="1" s="1"/>
  <c r="R610" i="1"/>
  <c r="X337" i="1"/>
  <c r="V340" i="1"/>
  <c r="X340" i="1" s="1"/>
  <c r="V679" i="1"/>
  <c r="X211" i="1"/>
  <c r="V214" i="1"/>
  <c r="V511" i="1"/>
  <c r="V499" i="1"/>
  <c r="C471" i="7"/>
  <c r="R478" i="1"/>
  <c r="R484" i="1"/>
  <c r="X457" i="1"/>
  <c r="V787" i="1"/>
  <c r="D176" i="7"/>
  <c r="E176" i="7" s="1"/>
  <c r="R931" i="1"/>
  <c r="DG33" i="1"/>
  <c r="DF34" i="1"/>
  <c r="Q531" i="1"/>
  <c r="Q535" i="1" s="1"/>
  <c r="Q536" i="1" s="1"/>
  <c r="Q538" i="1"/>
  <c r="Q551" i="1" s="1"/>
  <c r="Q515" i="1"/>
  <c r="Q526" i="1" s="1"/>
  <c r="Q521" i="1"/>
  <c r="Q523" i="1" s="1"/>
  <c r="Q532" i="1" s="1"/>
  <c r="Q506" i="1"/>
  <c r="Q514" i="1"/>
  <c r="Q517" i="1" s="1"/>
  <c r="Q505" i="1"/>
  <c r="X136" i="1"/>
  <c r="V139" i="1"/>
  <c r="V703" i="1"/>
  <c r="Q623" i="1"/>
  <c r="Q626" i="1" s="1"/>
  <c r="Q583" i="1"/>
  <c r="X358" i="1"/>
  <c r="V361" i="1"/>
  <c r="E500" i="7"/>
  <c r="D500" i="7"/>
  <c r="V841" i="1"/>
  <c r="Q592" i="1"/>
  <c r="Q597" i="1" s="1"/>
  <c r="Q584" i="1"/>
  <c r="Q542" i="1" l="1"/>
  <c r="Q545" i="1"/>
  <c r="DF35" i="1"/>
  <c r="DG34" i="1"/>
  <c r="D471" i="7"/>
  <c r="E471" i="7"/>
  <c r="V514" i="1"/>
  <c r="R629" i="1"/>
  <c r="R898" i="1"/>
  <c r="X895" i="1"/>
  <c r="C502" i="7"/>
  <c r="F502" i="7"/>
  <c r="X841" i="1"/>
  <c r="V844" i="1"/>
  <c r="X361" i="1"/>
  <c r="V364" i="1"/>
  <c r="R487" i="1"/>
  <c r="X484" i="1"/>
  <c r="B472" i="7"/>
  <c r="X88" i="1"/>
  <c r="V91" i="1"/>
  <c r="D501" i="7"/>
  <c r="E501" i="7" s="1"/>
  <c r="Q559" i="1"/>
  <c r="Q562" i="1"/>
  <c r="Q566" i="1" s="1"/>
  <c r="V790" i="1"/>
  <c r="R482" i="1"/>
  <c r="X478" i="1"/>
  <c r="X499" i="1"/>
  <c r="V502" i="1"/>
  <c r="X214" i="1"/>
  <c r="V217" i="1"/>
  <c r="C178" i="7"/>
  <c r="B179" i="7"/>
  <c r="F178" i="7"/>
  <c r="D85" i="7"/>
  <c r="E85" i="7" s="1"/>
  <c r="F501" i="7"/>
  <c r="X139" i="1"/>
  <c r="V142" i="1"/>
  <c r="R937" i="1"/>
  <c r="F471" i="7"/>
  <c r="DI30" i="1"/>
  <c r="DH31" i="1"/>
  <c r="X589" i="1"/>
  <c r="V592" i="1"/>
  <c r="E177" i="7"/>
  <c r="D177" i="7"/>
  <c r="B86" i="7"/>
  <c r="X142" i="1" l="1"/>
  <c r="V145" i="1"/>
  <c r="X217" i="1"/>
  <c r="V220" i="1"/>
  <c r="Q567" i="1"/>
  <c r="Q574" i="1"/>
  <c r="DG35" i="1"/>
  <c r="DF36" i="1"/>
  <c r="V595" i="1"/>
  <c r="R491" i="1"/>
  <c r="X481" i="1"/>
  <c r="X91" i="1"/>
  <c r="V94" i="1"/>
  <c r="R497" i="1"/>
  <c r="X487" i="1"/>
  <c r="X844" i="1"/>
  <c r="V847" i="1"/>
  <c r="D502" i="7"/>
  <c r="E502" i="7" s="1"/>
  <c r="R647" i="1"/>
  <c r="R646" i="1"/>
  <c r="X646" i="1" s="1"/>
  <c r="R641" i="1"/>
  <c r="X628" i="1"/>
  <c r="Q568" i="1"/>
  <c r="Q572" i="1" s="1"/>
  <c r="Q580" i="1" s="1"/>
  <c r="Q575" i="1"/>
  <c r="Q578" i="1" s="1"/>
  <c r="B87" i="7"/>
  <c r="C86" i="7"/>
  <c r="F86" i="7"/>
  <c r="C179" i="7"/>
  <c r="F179" i="7" s="1"/>
  <c r="X502" i="1"/>
  <c r="V505" i="1"/>
  <c r="V793" i="1"/>
  <c r="DI31" i="1"/>
  <c r="DH32" i="1"/>
  <c r="R940" i="1"/>
  <c r="D178" i="7"/>
  <c r="E178" i="7"/>
  <c r="F472" i="7"/>
  <c r="C472" i="7"/>
  <c r="X364" i="1"/>
  <c r="V367" i="1"/>
  <c r="B505" i="7"/>
  <c r="R902" i="1"/>
  <c r="V517" i="1"/>
  <c r="DI32" i="1" l="1"/>
  <c r="DH33" i="1"/>
  <c r="R904" i="1"/>
  <c r="X901" i="1"/>
  <c r="D472" i="7"/>
  <c r="E472" i="7" s="1"/>
  <c r="V520" i="1"/>
  <c r="C505" i="7"/>
  <c r="B506" i="7"/>
  <c r="B473" i="7"/>
  <c r="V796" i="1"/>
  <c r="E86" i="7"/>
  <c r="D86" i="7"/>
  <c r="DF37" i="1"/>
  <c r="DG36" i="1"/>
  <c r="X220" i="1"/>
  <c r="V223" i="1"/>
  <c r="X223" i="1" s="1"/>
  <c r="R943" i="1"/>
  <c r="D179" i="7"/>
  <c r="E179" i="7" s="1"/>
  <c r="C87" i="7"/>
  <c r="R643" i="1"/>
  <c r="X643" i="1" s="1"/>
  <c r="X640" i="1"/>
  <c r="R505" i="1"/>
  <c r="R514" i="1" s="1"/>
  <c r="R508" i="1"/>
  <c r="X496" i="1"/>
  <c r="R493" i="1"/>
  <c r="X493" i="1" s="1"/>
  <c r="X490" i="1"/>
  <c r="X505" i="1"/>
  <c r="B180" i="7"/>
  <c r="V850" i="1"/>
  <c r="X94" i="1"/>
  <c r="V97" i="1"/>
  <c r="V598" i="1"/>
  <c r="X145" i="1"/>
  <c r="V148" i="1"/>
  <c r="X367" i="1"/>
  <c r="V370" i="1"/>
  <c r="R671" i="1"/>
  <c r="R673" i="1" s="1"/>
  <c r="R670" i="1"/>
  <c r="R685" i="1" l="1"/>
  <c r="R511" i="1"/>
  <c r="X508" i="1"/>
  <c r="D87" i="7"/>
  <c r="E87" i="7" s="1"/>
  <c r="B507" i="7"/>
  <c r="C506" i="7"/>
  <c r="F506" i="7"/>
  <c r="R906" i="1"/>
  <c r="R910" i="1" s="1"/>
  <c r="X904" i="1"/>
  <c r="X370" i="1"/>
  <c r="V373" i="1"/>
  <c r="R517" i="1"/>
  <c r="X517" i="1" s="1"/>
  <c r="X514" i="1"/>
  <c r="B88" i="7"/>
  <c r="V799" i="1"/>
  <c r="D505" i="7"/>
  <c r="E505" i="7" s="1"/>
  <c r="DI33" i="1"/>
  <c r="DH34" i="1"/>
  <c r="F87" i="7"/>
  <c r="R944" i="1"/>
  <c r="R946" i="1" s="1"/>
  <c r="DG37" i="1"/>
  <c r="DF38" i="1"/>
  <c r="F505" i="7"/>
  <c r="X670" i="1"/>
  <c r="X148" i="1"/>
  <c r="V151" i="1"/>
  <c r="X97" i="1"/>
  <c r="V100" i="1"/>
  <c r="C180" i="7"/>
  <c r="B183" i="7"/>
  <c r="B474" i="7"/>
  <c r="C473" i="7"/>
  <c r="F473" i="7"/>
  <c r="V523" i="1"/>
  <c r="V526" i="1" l="1"/>
  <c r="C474" i="7"/>
  <c r="X100" i="1"/>
  <c r="V103" i="1"/>
  <c r="B508" i="7"/>
  <c r="C507" i="7"/>
  <c r="F507" i="7"/>
  <c r="R520" i="1"/>
  <c r="X511" i="1"/>
  <c r="C183" i="7"/>
  <c r="F183" i="7"/>
  <c r="B184" i="7"/>
  <c r="R949" i="1"/>
  <c r="C88" i="7"/>
  <c r="B89" i="7"/>
  <c r="F88" i="7"/>
  <c r="R913" i="1"/>
  <c r="D180" i="7"/>
  <c r="E180" i="7"/>
  <c r="X151" i="1"/>
  <c r="V154" i="1"/>
  <c r="DF39" i="1"/>
  <c r="DG38" i="1"/>
  <c r="X373" i="1"/>
  <c r="V376" i="1"/>
  <c r="X376" i="1" s="1"/>
  <c r="R691" i="1"/>
  <c r="X685" i="1"/>
  <c r="D473" i="7"/>
  <c r="E473" i="7" s="1"/>
  <c r="F180" i="7"/>
  <c r="DI34" i="1"/>
  <c r="DH35" i="1"/>
  <c r="V802" i="1"/>
  <c r="D506" i="7"/>
  <c r="E506" i="7" s="1"/>
  <c r="B10" i="2" l="1"/>
  <c r="F508" i="7"/>
  <c r="C508" i="7"/>
  <c r="D474" i="7"/>
  <c r="E474" i="7"/>
  <c r="V805" i="1"/>
  <c r="R707" i="1"/>
  <c r="R710" i="1" s="1"/>
  <c r="X709" i="1" s="1"/>
  <c r="R701" i="1"/>
  <c r="R706" i="1"/>
  <c r="X691" i="1"/>
  <c r="DF40" i="1"/>
  <c r="DG39" i="1"/>
  <c r="C89" i="7"/>
  <c r="B92" i="7"/>
  <c r="F89" i="7"/>
  <c r="B185" i="7"/>
  <c r="C184" i="7"/>
  <c r="G184" i="7"/>
  <c r="G183" i="7" s="1"/>
  <c r="F184" i="7"/>
  <c r="R524" i="1"/>
  <c r="X520" i="1"/>
  <c r="X103" i="1"/>
  <c r="V106" i="1"/>
  <c r="X526" i="1"/>
  <c r="V529" i="1"/>
  <c r="X154" i="1"/>
  <c r="V157" i="1"/>
  <c r="E88" i="7"/>
  <c r="D88" i="7"/>
  <c r="DI35" i="1"/>
  <c r="DH36" i="1"/>
  <c r="R915" i="1"/>
  <c r="R919" i="1" s="1"/>
  <c r="D183" i="7"/>
  <c r="E183" i="7" s="1"/>
  <c r="D507" i="7"/>
  <c r="E507" i="7" s="1"/>
  <c r="F474" i="7"/>
  <c r="R926" i="1" l="1"/>
  <c r="R935" i="1" s="1"/>
  <c r="R938" i="1" s="1"/>
  <c r="R533" i="1"/>
  <c r="R544" i="1" s="1"/>
  <c r="R548" i="1" s="1"/>
  <c r="R555" i="1" s="1"/>
  <c r="R569" i="1" s="1"/>
  <c r="R571" i="1" s="1"/>
  <c r="R529" i="1"/>
  <c r="R539" i="1" s="1"/>
  <c r="R541" i="1" s="1"/>
  <c r="X523" i="1"/>
  <c r="C185" i="7"/>
  <c r="R712" i="1"/>
  <c r="X700" i="1"/>
  <c r="DI36" i="1"/>
  <c r="DH37" i="1"/>
  <c r="X157" i="1"/>
  <c r="V160" i="1"/>
  <c r="X106" i="1"/>
  <c r="V109" i="1"/>
  <c r="DF41" i="1"/>
  <c r="DG40" i="1"/>
  <c r="B93" i="7"/>
  <c r="C92" i="7"/>
  <c r="V808" i="1"/>
  <c r="X808" i="1" s="1"/>
  <c r="D508" i="7"/>
  <c r="E508" i="7" s="1"/>
  <c r="X913" i="1"/>
  <c r="X529" i="1"/>
  <c r="V532" i="1"/>
  <c r="D184" i="7"/>
  <c r="E184" i="7" s="1"/>
  <c r="D89" i="7"/>
  <c r="E89" i="7" s="1"/>
  <c r="X706" i="1"/>
  <c r="B509" i="7"/>
  <c r="C93" i="7" l="1"/>
  <c r="F93" i="7"/>
  <c r="D185" i="7"/>
  <c r="E185" i="7"/>
  <c r="R588" i="1"/>
  <c r="R600" i="1" s="1"/>
  <c r="R584" i="1"/>
  <c r="R592" i="1" s="1"/>
  <c r="R587" i="1"/>
  <c r="C509" i="7"/>
  <c r="F509" i="7"/>
  <c r="B512" i="7"/>
  <c r="X160" i="1"/>
  <c r="V163" i="1"/>
  <c r="B186" i="7"/>
  <c r="E92" i="7"/>
  <c r="D92" i="7"/>
  <c r="DG41" i="1"/>
  <c r="DF42" i="1"/>
  <c r="R715" i="1"/>
  <c r="X712" i="1"/>
  <c r="R941" i="1"/>
  <c r="X937" i="1"/>
  <c r="X532" i="1"/>
  <c r="V535" i="1"/>
  <c r="F92" i="7"/>
  <c r="X109" i="1"/>
  <c r="V112" i="1"/>
  <c r="DI37" i="1"/>
  <c r="DH38" i="1"/>
  <c r="F185" i="7"/>
  <c r="X112" i="1" l="1"/>
  <c r="V115" i="1"/>
  <c r="R722" i="1"/>
  <c r="X715" i="1"/>
  <c r="C512" i="7"/>
  <c r="R604" i="1"/>
  <c r="R597" i="1"/>
  <c r="X595" i="1" s="1"/>
  <c r="R605" i="1"/>
  <c r="R616" i="1" s="1"/>
  <c r="X616" i="1" s="1"/>
  <c r="X592" i="1"/>
  <c r="DF43" i="1"/>
  <c r="DG42" i="1"/>
  <c r="C186" i="7"/>
  <c r="R602" i="1"/>
  <c r="X598" i="1"/>
  <c r="D93" i="7"/>
  <c r="E93" i="7" s="1"/>
  <c r="DI38" i="1"/>
  <c r="DH39" i="1"/>
  <c r="R942" i="1"/>
  <c r="R945" i="1" s="1"/>
  <c r="X163" i="1"/>
  <c r="V166" i="1"/>
  <c r="E509" i="7"/>
  <c r="D509" i="7"/>
  <c r="B94" i="7"/>
  <c r="X535" i="1"/>
  <c r="V538" i="1"/>
  <c r="X586" i="1"/>
  <c r="X538" i="1" l="1"/>
  <c r="V541" i="1"/>
  <c r="R952" i="1"/>
  <c r="X943" i="1"/>
  <c r="D186" i="7"/>
  <c r="E186" i="7"/>
  <c r="E512" i="7"/>
  <c r="D512" i="7"/>
  <c r="R723" i="1"/>
  <c r="X721" i="1"/>
  <c r="X166" i="1"/>
  <c r="V169" i="1"/>
  <c r="DI39" i="1"/>
  <c r="DH40" i="1"/>
  <c r="F186" i="7"/>
  <c r="B513" i="7"/>
  <c r="X115" i="1"/>
  <c r="V118" i="1"/>
  <c r="F94" i="7"/>
  <c r="G94" i="7"/>
  <c r="G93" i="7" s="1"/>
  <c r="C94" i="7"/>
  <c r="R611" i="1"/>
  <c r="X601" i="1"/>
  <c r="F512" i="7"/>
  <c r="X940" i="1"/>
  <c r="B187" i="7"/>
  <c r="DG43" i="1"/>
  <c r="DF44" i="1"/>
  <c r="X604" i="1"/>
  <c r="C187" i="7" l="1"/>
  <c r="F187" i="7"/>
  <c r="B190" i="7"/>
  <c r="R614" i="1"/>
  <c r="X610" i="1"/>
  <c r="B14" i="2"/>
  <c r="D94" i="7"/>
  <c r="E94" i="7" s="1"/>
  <c r="X118" i="1"/>
  <c r="V121" i="1"/>
  <c r="DI40" i="1"/>
  <c r="DH41" i="1"/>
  <c r="X541" i="1"/>
  <c r="V544" i="1"/>
  <c r="DF45" i="1"/>
  <c r="DG44" i="1"/>
  <c r="B95" i="7"/>
  <c r="R742" i="1"/>
  <c r="X742" i="1" s="1"/>
  <c r="R736" i="1"/>
  <c r="C513" i="7"/>
  <c r="F513" i="7"/>
  <c r="B514" i="7"/>
  <c r="X169" i="1"/>
  <c r="V172" i="1"/>
  <c r="X172" i="1" s="1"/>
  <c r="C514" i="7" l="1"/>
  <c r="F514" i="7"/>
  <c r="X544" i="1"/>
  <c r="V547" i="1"/>
  <c r="X121" i="1"/>
  <c r="V124" i="1"/>
  <c r="C190" i="7"/>
  <c r="B96" i="7"/>
  <c r="C95" i="7"/>
  <c r="F95" i="7"/>
  <c r="G125" i="7"/>
  <c r="G124" i="7" s="1"/>
  <c r="E513" i="7"/>
  <c r="D513" i="7"/>
  <c r="DI41" i="1"/>
  <c r="DH42" i="1"/>
  <c r="E187" i="7"/>
  <c r="D187" i="7"/>
  <c r="R740" i="1"/>
  <c r="X736" i="1"/>
  <c r="DF46" i="1"/>
  <c r="DG45" i="1"/>
  <c r="R622" i="1"/>
  <c r="X613" i="1"/>
  <c r="DF47" i="1" l="1"/>
  <c r="DG46" i="1"/>
  <c r="C96" i="7"/>
  <c r="X124" i="1"/>
  <c r="V127" i="1"/>
  <c r="DI42" i="1"/>
  <c r="DH43" i="1"/>
  <c r="D190" i="7"/>
  <c r="E190" i="7" s="1"/>
  <c r="D514" i="7"/>
  <c r="E514" i="7"/>
  <c r="R625" i="1"/>
  <c r="X622" i="1"/>
  <c r="R748" i="1"/>
  <c r="X739" i="1"/>
  <c r="B191" i="7"/>
  <c r="X547" i="1"/>
  <c r="V550" i="1"/>
  <c r="B515" i="7"/>
  <c r="D95" i="7"/>
  <c r="E95" i="7"/>
  <c r="F190" i="7"/>
  <c r="X127" i="1" l="1"/>
  <c r="V130" i="1"/>
  <c r="X130" i="1" s="1"/>
  <c r="D96" i="7"/>
  <c r="E96" i="7" s="1"/>
  <c r="C191" i="7"/>
  <c r="R635" i="1"/>
  <c r="R631" i="1"/>
  <c r="X631" i="1" s="1"/>
  <c r="X625" i="1"/>
  <c r="B516" i="7"/>
  <c r="C515" i="7"/>
  <c r="F515" i="7"/>
  <c r="DI43" i="1"/>
  <c r="DH44" i="1"/>
  <c r="B99" i="7"/>
  <c r="DF48" i="1"/>
  <c r="DG47" i="1"/>
  <c r="X550" i="1"/>
  <c r="V553" i="1"/>
  <c r="R779" i="1"/>
  <c r="X748" i="1"/>
  <c r="F96" i="7"/>
  <c r="DI44" i="1" l="1"/>
  <c r="DH45" i="1"/>
  <c r="F516" i="7"/>
  <c r="C516" i="7"/>
  <c r="B519" i="7"/>
  <c r="D191" i="7"/>
  <c r="E191" i="7" s="1"/>
  <c r="B192" i="7"/>
  <c r="R797" i="1"/>
  <c r="R798" i="1" s="1"/>
  <c r="R820" i="1" s="1"/>
  <c r="X778" i="1"/>
  <c r="DF49" i="1"/>
  <c r="DG48" i="1"/>
  <c r="F191" i="7"/>
  <c r="X553" i="1"/>
  <c r="V556" i="1"/>
  <c r="C99" i="7"/>
  <c r="F99" i="7"/>
  <c r="E515" i="7"/>
  <c r="D515" i="7"/>
  <c r="R638" i="1"/>
  <c r="X634" i="1"/>
  <c r="X556" i="1" l="1"/>
  <c r="V559" i="1"/>
  <c r="DG49" i="1"/>
  <c r="DF50" i="1"/>
  <c r="DI45" i="1"/>
  <c r="DH46" i="1"/>
  <c r="R652" i="1"/>
  <c r="R649" i="1"/>
  <c r="X637" i="1"/>
  <c r="D99" i="7"/>
  <c r="E99" i="7"/>
  <c r="R827" i="1"/>
  <c r="R862" i="1" s="1"/>
  <c r="C519" i="7"/>
  <c r="B100" i="7"/>
  <c r="F192" i="7"/>
  <c r="B193" i="7"/>
  <c r="C192" i="7"/>
  <c r="D516" i="7"/>
  <c r="E516" i="7" s="1"/>
  <c r="C193" i="7" l="1"/>
  <c r="F193" i="7"/>
  <c r="D519" i="7"/>
  <c r="E519" i="7" s="1"/>
  <c r="R655" i="1"/>
  <c r="X652" i="1"/>
  <c r="B520" i="7"/>
  <c r="DI46" i="1"/>
  <c r="DH47" i="1"/>
  <c r="X559" i="1"/>
  <c r="V562" i="1"/>
  <c r="C100" i="7"/>
  <c r="F100" i="7"/>
  <c r="D192" i="7"/>
  <c r="E192" i="7"/>
  <c r="F519" i="7"/>
  <c r="R865" i="1"/>
  <c r="R658" i="1"/>
  <c r="X649" i="1"/>
  <c r="DG50" i="1"/>
  <c r="DF51" i="1"/>
  <c r="R866" i="1" l="1"/>
  <c r="R872" i="1" s="1"/>
  <c r="X865" i="1"/>
  <c r="E100" i="7"/>
  <c r="D100" i="7"/>
  <c r="DI47" i="1"/>
  <c r="DH48" i="1"/>
  <c r="R665" i="1"/>
  <c r="X655" i="1"/>
  <c r="D193" i="7"/>
  <c r="E193" i="7" s="1"/>
  <c r="R661" i="1"/>
  <c r="X661" i="1" s="1"/>
  <c r="X658" i="1"/>
  <c r="B101" i="7"/>
  <c r="B194" i="7"/>
  <c r="DF52" i="1"/>
  <c r="DG51" i="1"/>
  <c r="X562" i="1"/>
  <c r="V565" i="1"/>
  <c r="F520" i="7"/>
  <c r="C520" i="7"/>
  <c r="DF53" i="1" l="1"/>
  <c r="DG52" i="1"/>
  <c r="R676" i="1"/>
  <c r="R674" i="1"/>
  <c r="X664" i="1"/>
  <c r="X565" i="1"/>
  <c r="V568" i="1"/>
  <c r="C194" i="7"/>
  <c r="B197" i="7"/>
  <c r="DI48" i="1"/>
  <c r="DH49" i="1"/>
  <c r="D520" i="7"/>
  <c r="E520" i="7" s="1"/>
  <c r="F101" i="7"/>
  <c r="C101" i="7"/>
  <c r="R880" i="1"/>
  <c r="X871" i="1"/>
  <c r="B521" i="7"/>
  <c r="X568" i="1" l="1"/>
  <c r="V571" i="1"/>
  <c r="R679" i="1"/>
  <c r="X676" i="1"/>
  <c r="R890" i="1"/>
  <c r="X880" i="1"/>
  <c r="B198" i="7"/>
  <c r="C197" i="7"/>
  <c r="F197" i="7"/>
  <c r="D101" i="7"/>
  <c r="E101" i="7" s="1"/>
  <c r="D194" i="7"/>
  <c r="E194" i="7" s="1"/>
  <c r="DF54" i="1"/>
  <c r="DG53" i="1"/>
  <c r="C521" i="7"/>
  <c r="B522" i="7"/>
  <c r="F521" i="7"/>
  <c r="B102" i="7"/>
  <c r="DI49" i="1"/>
  <c r="DH50" i="1"/>
  <c r="F194" i="7"/>
  <c r="R683" i="1"/>
  <c r="X673" i="1"/>
  <c r="R694" i="1" l="1"/>
  <c r="X682" i="1"/>
  <c r="C102" i="7"/>
  <c r="C198" i="7"/>
  <c r="R688" i="1"/>
  <c r="X688" i="1" s="1"/>
  <c r="X679" i="1"/>
  <c r="DG54" i="1"/>
  <c r="DF55" i="1"/>
  <c r="X571" i="1"/>
  <c r="V574" i="1"/>
  <c r="DI50" i="1"/>
  <c r="DH51" i="1"/>
  <c r="C522" i="7"/>
  <c r="F522" i="7"/>
  <c r="R916" i="1"/>
  <c r="D521" i="7"/>
  <c r="E521" i="7" s="1"/>
  <c r="D197" i="7"/>
  <c r="E197" i="7"/>
  <c r="D198" i="7" l="1"/>
  <c r="E198" i="7" s="1"/>
  <c r="E102" i="7"/>
  <c r="D102" i="7"/>
  <c r="D522" i="7"/>
  <c r="E522" i="7"/>
  <c r="X574" i="1"/>
  <c r="V577" i="1"/>
  <c r="F198" i="7"/>
  <c r="B523" i="7"/>
  <c r="F102" i="7"/>
  <c r="R697" i="1"/>
  <c r="X694" i="1"/>
  <c r="B4" i="2"/>
  <c r="DI51" i="1"/>
  <c r="DH52" i="1"/>
  <c r="DG55" i="1"/>
  <c r="DF56" i="1"/>
  <c r="B199" i="7"/>
  <c r="B103" i="7"/>
  <c r="DG56" i="1" l="1"/>
  <c r="DF57" i="1"/>
  <c r="C523" i="7"/>
  <c r="C103" i="7"/>
  <c r="B106" i="7"/>
  <c r="DI52" i="1"/>
  <c r="DH53" i="1"/>
  <c r="C199" i="7"/>
  <c r="R704" i="1"/>
  <c r="X697" i="1"/>
  <c r="X577" i="1"/>
  <c r="V580" i="1"/>
  <c r="D199" i="7" l="1"/>
  <c r="E199" i="7" s="1"/>
  <c r="B107" i="7"/>
  <c r="C106" i="7"/>
  <c r="D523" i="7"/>
  <c r="E523" i="7" s="1"/>
  <c r="R725" i="1"/>
  <c r="R719" i="1"/>
  <c r="X703" i="1"/>
  <c r="DI53" i="1"/>
  <c r="DH54" i="1"/>
  <c r="D103" i="7"/>
  <c r="E103" i="7"/>
  <c r="DF58" i="1"/>
  <c r="DG57" i="1"/>
  <c r="X580" i="1"/>
  <c r="V583" i="1"/>
  <c r="X583" i="1" s="1"/>
  <c r="F199" i="7"/>
  <c r="B526" i="7"/>
  <c r="B200" i="7"/>
  <c r="F103" i="7"/>
  <c r="F523" i="7"/>
  <c r="DF59" i="1" l="1"/>
  <c r="DG58" i="1"/>
  <c r="B108" i="7"/>
  <c r="C107" i="7"/>
  <c r="F107" i="7"/>
  <c r="C200" i="7"/>
  <c r="B201" i="7"/>
  <c r="R731" i="1"/>
  <c r="X718" i="1"/>
  <c r="E106" i="7"/>
  <c r="D106" i="7"/>
  <c r="C526" i="7"/>
  <c r="F526" i="7"/>
  <c r="DI54" i="1"/>
  <c r="DH55" i="1"/>
  <c r="R728" i="1"/>
  <c r="X727" i="1" s="1"/>
  <c r="X724" i="1"/>
  <c r="F106" i="7"/>
  <c r="C201" i="7" l="1"/>
  <c r="F201" i="7"/>
  <c r="B204" i="7"/>
  <c r="C108" i="7"/>
  <c r="F108" i="7"/>
  <c r="D526" i="7"/>
  <c r="E526" i="7" s="1"/>
  <c r="D200" i="7"/>
  <c r="E200" i="7"/>
  <c r="DI55" i="1"/>
  <c r="DH56" i="1"/>
  <c r="B527" i="7"/>
  <c r="R733" i="1"/>
  <c r="X730" i="1"/>
  <c r="DG59" i="1"/>
  <c r="DF60" i="1"/>
  <c r="F200" i="7"/>
  <c r="D107" i="7"/>
  <c r="E107" i="7" s="1"/>
  <c r="C204" i="7" l="1"/>
  <c r="B205" i="7"/>
  <c r="F204" i="7"/>
  <c r="R752" i="1"/>
  <c r="X733" i="1"/>
  <c r="DF61" i="1"/>
  <c r="DG60" i="1"/>
  <c r="C527" i="7"/>
  <c r="F527" i="7"/>
  <c r="E108" i="7"/>
  <c r="D108" i="7"/>
  <c r="D201" i="7"/>
  <c r="E201" i="7"/>
  <c r="DI56" i="1"/>
  <c r="DH57" i="1"/>
  <c r="B109" i="7"/>
  <c r="DG61" i="1" l="1"/>
  <c r="DF62" i="1"/>
  <c r="B206" i="7"/>
  <c r="C205" i="7"/>
  <c r="F205" i="7"/>
  <c r="C109" i="7"/>
  <c r="D527" i="7"/>
  <c r="E527" i="7"/>
  <c r="D204" i="7"/>
  <c r="E204" i="7" s="1"/>
  <c r="DI57" i="1"/>
  <c r="DH58" i="1"/>
  <c r="B528" i="7"/>
  <c r="R755" i="1"/>
  <c r="X751" i="1"/>
  <c r="C528" i="7" l="1"/>
  <c r="D109" i="7"/>
  <c r="E109" i="7" s="1"/>
  <c r="C206" i="7"/>
  <c r="DI58" i="1"/>
  <c r="DH59" i="1"/>
  <c r="F109" i="7"/>
  <c r="DG62" i="1"/>
  <c r="DF63" i="1"/>
  <c r="R758" i="1"/>
  <c r="X754" i="1"/>
  <c r="B110" i="7"/>
  <c r="D205" i="7"/>
  <c r="E205" i="7"/>
  <c r="D206" i="7" l="1"/>
  <c r="E206" i="7"/>
  <c r="E528" i="7"/>
  <c r="D528" i="7"/>
  <c r="R761" i="1"/>
  <c r="X757" i="1"/>
  <c r="DI59" i="1"/>
  <c r="DH60" i="1"/>
  <c r="F206" i="7"/>
  <c r="B529" i="7"/>
  <c r="DF64" i="1"/>
  <c r="DG63" i="1"/>
  <c r="F528" i="7"/>
  <c r="C110" i="7"/>
  <c r="B207" i="7"/>
  <c r="D110" i="7" l="1"/>
  <c r="E110" i="7" s="1"/>
  <c r="DF65" i="1"/>
  <c r="DG64" i="1"/>
  <c r="F110" i="7"/>
  <c r="B530" i="7"/>
  <c r="F529" i="7"/>
  <c r="C529" i="7"/>
  <c r="C207" i="7"/>
  <c r="F207" i="7"/>
  <c r="B208" i="7"/>
  <c r="R764" i="1"/>
  <c r="X760" i="1"/>
  <c r="B113" i="7"/>
  <c r="DI60" i="1"/>
  <c r="DH61" i="1"/>
  <c r="C208" i="7" l="1"/>
  <c r="F208" i="7"/>
  <c r="B211" i="7"/>
  <c r="DF66" i="1"/>
  <c r="DG65" i="1"/>
  <c r="C113" i="7"/>
  <c r="C530" i="7"/>
  <c r="B533" i="7"/>
  <c r="F530" i="7"/>
  <c r="D207" i="7"/>
  <c r="E207" i="7" s="1"/>
  <c r="DI61" i="1"/>
  <c r="DH62" i="1"/>
  <c r="R767" i="1"/>
  <c r="X763" i="1"/>
  <c r="D529" i="7"/>
  <c r="E529" i="7" s="1"/>
  <c r="DI62" i="1" l="1"/>
  <c r="DH63" i="1"/>
  <c r="E113" i="7"/>
  <c r="D113" i="7"/>
  <c r="C211" i="7"/>
  <c r="B212" i="7"/>
  <c r="F211" i="7"/>
  <c r="C533" i="7"/>
  <c r="F113" i="7"/>
  <c r="D530" i="7"/>
  <c r="E530" i="7"/>
  <c r="D208" i="7"/>
  <c r="E208" i="7"/>
  <c r="R770" i="1"/>
  <c r="X766" i="1"/>
  <c r="B114" i="7"/>
  <c r="DF67" i="1"/>
  <c r="DG66" i="1"/>
  <c r="DF68" i="1" l="1"/>
  <c r="DG67" i="1"/>
  <c r="F114" i="7"/>
  <c r="C114" i="7"/>
  <c r="B115" i="7"/>
  <c r="D533" i="7"/>
  <c r="E533" i="7" s="1"/>
  <c r="C212" i="7"/>
  <c r="F212" i="7"/>
  <c r="B213" i="7"/>
  <c r="DI63" i="1"/>
  <c r="DH64" i="1"/>
  <c r="F533" i="7"/>
  <c r="D211" i="7"/>
  <c r="E211" i="7" s="1"/>
  <c r="R772" i="1"/>
  <c r="X769" i="1"/>
  <c r="B534" i="7"/>
  <c r="C534" i="7" l="1"/>
  <c r="F534" i="7"/>
  <c r="C213" i="7"/>
  <c r="F213" i="7"/>
  <c r="B116" i="7"/>
  <c r="C115" i="7"/>
  <c r="F115" i="7"/>
  <c r="DG68" i="1"/>
  <c r="DF69" i="1"/>
  <c r="R775" i="1"/>
  <c r="X772" i="1"/>
  <c r="DI64" i="1"/>
  <c r="DH65" i="1"/>
  <c r="D212" i="7"/>
  <c r="E212" i="7"/>
  <c r="D114" i="7"/>
  <c r="E114" i="7" s="1"/>
  <c r="DI65" i="1" l="1"/>
  <c r="DH66" i="1"/>
  <c r="DF70" i="1"/>
  <c r="DG69" i="1"/>
  <c r="C116" i="7"/>
  <c r="F116" i="7"/>
  <c r="D534" i="7"/>
  <c r="E534" i="7"/>
  <c r="D213" i="7"/>
  <c r="E213" i="7" s="1"/>
  <c r="B535" i="7"/>
  <c r="R782" i="1"/>
  <c r="X775" i="1"/>
  <c r="D115" i="7"/>
  <c r="E115" i="7" s="1"/>
  <c r="B214" i="7"/>
  <c r="DF71" i="1" l="1"/>
  <c r="DG70" i="1"/>
  <c r="D116" i="7"/>
  <c r="E116" i="7" s="1"/>
  <c r="DI66" i="1"/>
  <c r="DH67" i="1"/>
  <c r="F214" i="7"/>
  <c r="C214" i="7"/>
  <c r="B215" i="7"/>
  <c r="R785" i="1"/>
  <c r="X781" i="1"/>
  <c r="B117" i="7"/>
  <c r="C535" i="7"/>
  <c r="F535" i="7"/>
  <c r="D535" i="7" l="1"/>
  <c r="E535" i="7" s="1"/>
  <c r="R788" i="1"/>
  <c r="X784" i="1"/>
  <c r="DI67" i="1"/>
  <c r="DH68" i="1"/>
  <c r="B536" i="7"/>
  <c r="C215" i="7"/>
  <c r="G215" i="7"/>
  <c r="G214" i="7" s="1"/>
  <c r="F215" i="7"/>
  <c r="B218" i="7"/>
  <c r="DF72" i="1"/>
  <c r="DG71" i="1"/>
  <c r="C117" i="7"/>
  <c r="D214" i="7"/>
  <c r="E214" i="7" s="1"/>
  <c r="D117" i="7" l="1"/>
  <c r="E117" i="7" s="1"/>
  <c r="C218" i="7"/>
  <c r="C536" i="7"/>
  <c r="R790" i="1"/>
  <c r="X787" i="1"/>
  <c r="F117" i="7"/>
  <c r="DI68" i="1"/>
  <c r="DH69" i="1"/>
  <c r="B120" i="7"/>
  <c r="DF73" i="1"/>
  <c r="DG72" i="1"/>
  <c r="D215" i="7"/>
  <c r="E215" i="7"/>
  <c r="DG73" i="1" l="1"/>
  <c r="DF74" i="1"/>
  <c r="E536" i="7"/>
  <c r="D536" i="7"/>
  <c r="D218" i="7"/>
  <c r="E218" i="7"/>
  <c r="B121" i="7"/>
  <c r="C120" i="7"/>
  <c r="F120" i="7"/>
  <c r="F536" i="7"/>
  <c r="DI69" i="1"/>
  <c r="DH70" i="1"/>
  <c r="R793" i="1"/>
  <c r="X790" i="1"/>
  <c r="F218" i="7"/>
  <c r="B537" i="7"/>
  <c r="B219" i="7"/>
  <c r="C121" i="7" l="1"/>
  <c r="B122" i="7"/>
  <c r="DG74" i="1"/>
  <c r="DF75" i="1"/>
  <c r="C219" i="7"/>
  <c r="R796" i="1"/>
  <c r="X793" i="1"/>
  <c r="F537" i="7"/>
  <c r="C537" i="7"/>
  <c r="B540" i="7"/>
  <c r="DI70" i="1"/>
  <c r="DH71" i="1"/>
  <c r="D120" i="7"/>
  <c r="E120" i="7" s="1"/>
  <c r="DI71" i="1" l="1"/>
  <c r="DH72" i="1"/>
  <c r="D219" i="7"/>
  <c r="E219" i="7" s="1"/>
  <c r="C122" i="7"/>
  <c r="B123" i="7"/>
  <c r="B220" i="7"/>
  <c r="D121" i="7"/>
  <c r="E121" i="7" s="1"/>
  <c r="B541" i="7"/>
  <c r="C540" i="7"/>
  <c r="R800" i="1"/>
  <c r="X796" i="1"/>
  <c r="DF76" i="1"/>
  <c r="DG75" i="1"/>
  <c r="F121" i="7"/>
  <c r="E537" i="7"/>
  <c r="D537" i="7"/>
  <c r="F219" i="7"/>
  <c r="C541" i="7" l="1"/>
  <c r="C123" i="7"/>
  <c r="F123" i="7"/>
  <c r="R803" i="1"/>
  <c r="X799" i="1"/>
  <c r="D122" i="7"/>
  <c r="E122" i="7" s="1"/>
  <c r="DI72" i="1"/>
  <c r="DH73" i="1"/>
  <c r="D540" i="7"/>
  <c r="E540" i="7" s="1"/>
  <c r="F122" i="7"/>
  <c r="DF77" i="1"/>
  <c r="DG76" i="1"/>
  <c r="F540" i="7"/>
  <c r="F220" i="7"/>
  <c r="C220" i="7"/>
  <c r="B221" i="7"/>
  <c r="R806" i="1" l="1"/>
  <c r="X802" i="1"/>
  <c r="E541" i="7"/>
  <c r="D541" i="7"/>
  <c r="F541" i="7"/>
  <c r="C221" i="7"/>
  <c r="B222" i="7"/>
  <c r="D123" i="7"/>
  <c r="E123" i="7"/>
  <c r="B542" i="7"/>
  <c r="D220" i="7"/>
  <c r="E220" i="7"/>
  <c r="DF78" i="1"/>
  <c r="DG77" i="1"/>
  <c r="DI73" i="1"/>
  <c r="DH74" i="1"/>
  <c r="B124" i="7"/>
  <c r="C542" i="7" l="1"/>
  <c r="B543" i="7"/>
  <c r="C222" i="7"/>
  <c r="F222" i="7"/>
  <c r="B225" i="7"/>
  <c r="C124" i="7"/>
  <c r="DF79" i="1"/>
  <c r="DG78" i="1"/>
  <c r="D221" i="7"/>
  <c r="E221" i="7" s="1"/>
  <c r="DI74" i="1"/>
  <c r="DH75" i="1"/>
  <c r="R812" i="1"/>
  <c r="X805" i="1"/>
  <c r="F221" i="7"/>
  <c r="DI75" i="1" l="1"/>
  <c r="DH76" i="1"/>
  <c r="D124" i="7"/>
  <c r="E124" i="7" s="1"/>
  <c r="C543" i="7"/>
  <c r="B544" i="7"/>
  <c r="DF80" i="1"/>
  <c r="DG79" i="1"/>
  <c r="C225" i="7"/>
  <c r="F225" i="7"/>
  <c r="D542" i="7"/>
  <c r="E542" i="7" s="1"/>
  <c r="B127" i="7"/>
  <c r="F542" i="7"/>
  <c r="R815" i="1"/>
  <c r="X811" i="1"/>
  <c r="F124" i="7"/>
  <c r="D222" i="7"/>
  <c r="E222" i="7"/>
  <c r="C127" i="7" l="1"/>
  <c r="C544" i="7"/>
  <c r="F544" i="7"/>
  <c r="B547" i="7"/>
  <c r="E225" i="7"/>
  <c r="D225" i="7"/>
  <c r="D543" i="7"/>
  <c r="E543" i="7" s="1"/>
  <c r="DI76" i="1"/>
  <c r="DH77" i="1"/>
  <c r="R817" i="1"/>
  <c r="X814" i="1"/>
  <c r="F543" i="7"/>
  <c r="B226" i="7"/>
  <c r="DG80" i="1"/>
  <c r="DF81" i="1"/>
  <c r="D127" i="7" l="1"/>
  <c r="E127" i="7" s="1"/>
  <c r="DF82" i="1"/>
  <c r="DG81" i="1"/>
  <c r="C547" i="7"/>
  <c r="B548" i="7"/>
  <c r="B128" i="7"/>
  <c r="R821" i="1"/>
  <c r="X817" i="1"/>
  <c r="F127" i="7"/>
  <c r="C226" i="7"/>
  <c r="B227" i="7"/>
  <c r="F226" i="7"/>
  <c r="DI77" i="1"/>
  <c r="DH78" i="1"/>
  <c r="D544" i="7"/>
  <c r="E544" i="7"/>
  <c r="C548" i="7" l="1"/>
  <c r="F548" i="7"/>
  <c r="DF83" i="1"/>
  <c r="DG82" i="1"/>
  <c r="D547" i="7"/>
  <c r="E547" i="7" s="1"/>
  <c r="C227" i="7"/>
  <c r="F227" i="7"/>
  <c r="R823" i="1"/>
  <c r="X820" i="1"/>
  <c r="F547" i="7"/>
  <c r="DI78" i="1"/>
  <c r="DH79" i="1"/>
  <c r="D226" i="7"/>
  <c r="E226" i="7"/>
  <c r="B129" i="7"/>
  <c r="F128" i="7"/>
  <c r="C128" i="7"/>
  <c r="G156" i="7"/>
  <c r="G155" i="7" s="1"/>
  <c r="DI79" i="1" l="1"/>
  <c r="DH80" i="1"/>
  <c r="R826" i="1"/>
  <c r="X823" i="1"/>
  <c r="C129" i="7"/>
  <c r="F129" i="7"/>
  <c r="D548" i="7"/>
  <c r="E548" i="7"/>
  <c r="D227" i="7"/>
  <c r="E227" i="7" s="1"/>
  <c r="B549" i="7"/>
  <c r="D128" i="7"/>
  <c r="E128" i="7" s="1"/>
  <c r="B228" i="7"/>
  <c r="DF84" i="1"/>
  <c r="DG83" i="1"/>
  <c r="C228" i="7" l="1"/>
  <c r="R830" i="1"/>
  <c r="X826" i="1"/>
  <c r="D129" i="7"/>
  <c r="E129" i="7"/>
  <c r="DI80" i="1"/>
  <c r="DH81" i="1"/>
  <c r="B130" i="7"/>
  <c r="DG84" i="1"/>
  <c r="DF85" i="1"/>
  <c r="C549" i="7"/>
  <c r="F549" i="7"/>
  <c r="D228" i="7" l="1"/>
  <c r="E228" i="7" s="1"/>
  <c r="D549" i="7"/>
  <c r="E549" i="7" s="1"/>
  <c r="C130" i="7"/>
  <c r="F130" i="7"/>
  <c r="B229" i="7"/>
  <c r="B550" i="7"/>
  <c r="DI81" i="1"/>
  <c r="DH82" i="1"/>
  <c r="F228" i="7"/>
  <c r="DF86" i="1"/>
  <c r="DG85" i="1"/>
  <c r="R832" i="1"/>
  <c r="X829" i="1"/>
  <c r="R833" i="1" l="1"/>
  <c r="R835" i="1" s="1"/>
  <c r="X832" i="1"/>
  <c r="DI82" i="1"/>
  <c r="DH83" i="1"/>
  <c r="D130" i="7"/>
  <c r="E130" i="7" s="1"/>
  <c r="DG86" i="1"/>
  <c r="DF87" i="1"/>
  <c r="C550" i="7"/>
  <c r="B131" i="7"/>
  <c r="C229" i="7"/>
  <c r="B232" i="7"/>
  <c r="C232" i="7" l="1"/>
  <c r="D550" i="7"/>
  <c r="E550" i="7" s="1"/>
  <c r="D229" i="7"/>
  <c r="E229" i="7" s="1"/>
  <c r="B551" i="7"/>
  <c r="F229" i="7"/>
  <c r="F550" i="7"/>
  <c r="R839" i="1"/>
  <c r="X835" i="1"/>
  <c r="C131" i="7"/>
  <c r="B134" i="7"/>
  <c r="DG87" i="1"/>
  <c r="DF88" i="1"/>
  <c r="DI83" i="1"/>
  <c r="DH84" i="1"/>
  <c r="DI84" i="1" l="1"/>
  <c r="DH85" i="1"/>
  <c r="B135" i="7"/>
  <c r="C134" i="7"/>
  <c r="F134" i="7"/>
  <c r="R848" i="1"/>
  <c r="X838" i="1"/>
  <c r="D232" i="7"/>
  <c r="E232" i="7" s="1"/>
  <c r="D131" i="7"/>
  <c r="E131" i="7" s="1"/>
  <c r="B233" i="7"/>
  <c r="DF89" i="1"/>
  <c r="DG88" i="1"/>
  <c r="F131" i="7"/>
  <c r="F232" i="7"/>
  <c r="C551" i="7"/>
  <c r="B554" i="7"/>
  <c r="C554" i="7" l="1"/>
  <c r="C135" i="7"/>
  <c r="E551" i="7"/>
  <c r="D551" i="7"/>
  <c r="R850" i="1"/>
  <c r="X847" i="1"/>
  <c r="DI85" i="1"/>
  <c r="DH86" i="1"/>
  <c r="F551" i="7"/>
  <c r="DG89" i="1"/>
  <c r="DF90" i="1"/>
  <c r="C233" i="7"/>
  <c r="D134" i="7"/>
  <c r="E134" i="7" s="1"/>
  <c r="DF91" i="1" l="1"/>
  <c r="DG90" i="1"/>
  <c r="E554" i="7"/>
  <c r="D554" i="7"/>
  <c r="D233" i="7"/>
  <c r="E233" i="7" s="1"/>
  <c r="E135" i="7"/>
  <c r="D135" i="7"/>
  <c r="B555" i="7"/>
  <c r="F233" i="7"/>
  <c r="R857" i="1"/>
  <c r="X850" i="1"/>
  <c r="B136" i="7"/>
  <c r="F554" i="7"/>
  <c r="B234" i="7"/>
  <c r="DI86" i="1"/>
  <c r="DH87" i="1"/>
  <c r="F135" i="7"/>
  <c r="C234" i="7" l="1"/>
  <c r="R858" i="1"/>
  <c r="R860" i="1" s="1"/>
  <c r="X856" i="1"/>
  <c r="DI87" i="1"/>
  <c r="DH88" i="1"/>
  <c r="C136" i="7"/>
  <c r="C555" i="7"/>
  <c r="DG91" i="1"/>
  <c r="DF92" i="1"/>
  <c r="DF93" i="1" l="1"/>
  <c r="DG92" i="1"/>
  <c r="E555" i="7"/>
  <c r="D555" i="7"/>
  <c r="DI88" i="1"/>
  <c r="DH89" i="1"/>
  <c r="D234" i="7"/>
  <c r="E234" i="7" s="1"/>
  <c r="D136" i="7"/>
  <c r="E136" i="7" s="1"/>
  <c r="F234" i="7"/>
  <c r="F555" i="7"/>
  <c r="F136" i="7"/>
  <c r="B235" i="7"/>
  <c r="B556" i="7"/>
  <c r="B137" i="7"/>
  <c r="R863" i="1"/>
  <c r="X859" i="1"/>
  <c r="C556" i="7" l="1"/>
  <c r="F556" i="7"/>
  <c r="C235" i="7"/>
  <c r="F235" i="7"/>
  <c r="DI89" i="1"/>
  <c r="DH90" i="1"/>
  <c r="R868" i="1"/>
  <c r="X862" i="1"/>
  <c r="DF94" i="1"/>
  <c r="DG93" i="1"/>
  <c r="C137" i="7"/>
  <c r="F137" i="7"/>
  <c r="DG94" i="1" l="1"/>
  <c r="DF95" i="1"/>
  <c r="D137" i="7"/>
  <c r="E137" i="7" s="1"/>
  <c r="D556" i="7"/>
  <c r="E556" i="7"/>
  <c r="B138" i="7"/>
  <c r="R875" i="1"/>
  <c r="X868" i="1"/>
  <c r="D235" i="7"/>
  <c r="E235" i="7" s="1"/>
  <c r="B557" i="7"/>
  <c r="DI90" i="1"/>
  <c r="DH91" i="1"/>
  <c r="B236" i="7"/>
  <c r="C236" i="7" l="1"/>
  <c r="B239" i="7"/>
  <c r="C138" i="7"/>
  <c r="F138" i="7"/>
  <c r="B141" i="7"/>
  <c r="DI91" i="1"/>
  <c r="DH92" i="1"/>
  <c r="DG95" i="1"/>
  <c r="DF96" i="1"/>
  <c r="B558" i="7"/>
  <c r="C557" i="7"/>
  <c r="F557" i="7"/>
  <c r="R878" i="1"/>
  <c r="X874" i="1"/>
  <c r="C558" i="7" l="1"/>
  <c r="B561" i="7"/>
  <c r="C239" i="7"/>
  <c r="F239" i="7"/>
  <c r="R883" i="1"/>
  <c r="X877" i="1"/>
  <c r="DF97" i="1"/>
  <c r="DG96" i="1"/>
  <c r="B142" i="7"/>
  <c r="C141" i="7"/>
  <c r="F141" i="7"/>
  <c r="D236" i="7"/>
  <c r="E236" i="7"/>
  <c r="F236" i="7"/>
  <c r="D557" i="7"/>
  <c r="E557" i="7" s="1"/>
  <c r="DI92" i="1"/>
  <c r="DH93" i="1"/>
  <c r="D138" i="7"/>
  <c r="E138" i="7" s="1"/>
  <c r="C142" i="7" l="1"/>
  <c r="F142" i="7"/>
  <c r="R888" i="1"/>
  <c r="X883" i="1"/>
  <c r="C561" i="7"/>
  <c r="D558" i="7"/>
  <c r="E558" i="7" s="1"/>
  <c r="DF98" i="1"/>
  <c r="DG97" i="1"/>
  <c r="D239" i="7"/>
  <c r="E239" i="7"/>
  <c r="F558" i="7"/>
  <c r="DI93" i="1"/>
  <c r="DH94" i="1"/>
  <c r="D141" i="7"/>
  <c r="E141" i="7"/>
  <c r="B240" i="7"/>
  <c r="DF99" i="1" l="1"/>
  <c r="DG98" i="1"/>
  <c r="E561" i="7"/>
  <c r="D561" i="7"/>
  <c r="B562" i="7"/>
  <c r="D142" i="7"/>
  <c r="E142" i="7" s="1"/>
  <c r="DI94" i="1"/>
  <c r="DH95" i="1"/>
  <c r="B143" i="7"/>
  <c r="F240" i="7"/>
  <c r="C240" i="7"/>
  <c r="B241" i="7"/>
  <c r="F561" i="7"/>
  <c r="R891" i="1"/>
  <c r="X886" i="1"/>
  <c r="R899" i="1" l="1"/>
  <c r="X889" i="1"/>
  <c r="F143" i="7"/>
  <c r="C143" i="7"/>
  <c r="B144" i="7"/>
  <c r="C241" i="7"/>
  <c r="B242" i="7"/>
  <c r="DI95" i="1"/>
  <c r="DH96" i="1"/>
  <c r="F562" i="7"/>
  <c r="C562" i="7"/>
  <c r="DF100" i="1"/>
  <c r="DG99" i="1"/>
  <c r="D240" i="7"/>
  <c r="E240" i="7"/>
  <c r="C242" i="7" l="1"/>
  <c r="F242" i="7"/>
  <c r="DF101" i="1"/>
  <c r="DG100" i="1"/>
  <c r="DI96" i="1"/>
  <c r="DH97" i="1"/>
  <c r="D241" i="7"/>
  <c r="E241" i="7" s="1"/>
  <c r="D562" i="7"/>
  <c r="E562" i="7" s="1"/>
  <c r="C144" i="7"/>
  <c r="R908" i="1"/>
  <c r="X898" i="1"/>
  <c r="B563" i="7"/>
  <c r="F241" i="7"/>
  <c r="E143" i="7"/>
  <c r="D143" i="7"/>
  <c r="R911" i="1" l="1"/>
  <c r="X907" i="1"/>
  <c r="DI97" i="1"/>
  <c r="DH98" i="1"/>
  <c r="D144" i="7"/>
  <c r="E144" i="7" s="1"/>
  <c r="D242" i="7"/>
  <c r="E242" i="7" s="1"/>
  <c r="C563" i="7"/>
  <c r="F563" i="7"/>
  <c r="B564" i="7"/>
  <c r="F144" i="7"/>
  <c r="B243" i="7"/>
  <c r="B145" i="7"/>
  <c r="DF102" i="1"/>
  <c r="DG101" i="1"/>
  <c r="C564" i="7" l="1"/>
  <c r="F564" i="7"/>
  <c r="C243" i="7"/>
  <c r="F243" i="7"/>
  <c r="B246" i="7"/>
  <c r="E563" i="7"/>
  <c r="D563" i="7"/>
  <c r="DI98" i="1"/>
  <c r="DH99" i="1"/>
  <c r="DG102" i="1"/>
  <c r="DF103" i="1"/>
  <c r="C145" i="7"/>
  <c r="B148" i="7"/>
  <c r="F145" i="7"/>
  <c r="R917" i="1"/>
  <c r="X910" i="1"/>
  <c r="C148" i="7" l="1"/>
  <c r="B149" i="7"/>
  <c r="F246" i="7"/>
  <c r="C246" i="7"/>
  <c r="B247" i="7"/>
  <c r="D564" i="7"/>
  <c r="E564" i="7" s="1"/>
  <c r="R920" i="1"/>
  <c r="X916" i="1"/>
  <c r="DF104" i="1"/>
  <c r="DG103" i="1"/>
  <c r="D243" i="7"/>
  <c r="E243" i="7"/>
  <c r="DI99" i="1"/>
  <c r="DH100" i="1"/>
  <c r="D145" i="7"/>
  <c r="E145" i="7"/>
  <c r="B565" i="7"/>
  <c r="C565" i="7" l="1"/>
  <c r="F565" i="7"/>
  <c r="B568" i="7"/>
  <c r="DG104" i="1"/>
  <c r="DF105" i="1"/>
  <c r="B248" i="7"/>
  <c r="F247" i="7"/>
  <c r="C247" i="7"/>
  <c r="D148" i="7"/>
  <c r="E148" i="7" s="1"/>
  <c r="DI100" i="1"/>
  <c r="DH101" i="1"/>
  <c r="C149" i="7"/>
  <c r="F149" i="7"/>
  <c r="R923" i="1"/>
  <c r="X919" i="1"/>
  <c r="D246" i="7"/>
  <c r="E246" i="7" s="1"/>
  <c r="F148" i="7"/>
  <c r="C568" i="7" l="1"/>
  <c r="F568" i="7"/>
  <c r="E149" i="7"/>
  <c r="D149" i="7"/>
  <c r="C248" i="7"/>
  <c r="R925" i="1"/>
  <c r="X922" i="1"/>
  <c r="DI101" i="1"/>
  <c r="DH102" i="1"/>
  <c r="D247" i="7"/>
  <c r="E247" i="7" s="1"/>
  <c r="B150" i="7"/>
  <c r="DF106" i="1"/>
  <c r="DG105" i="1"/>
  <c r="D565" i="7"/>
  <c r="E565" i="7" s="1"/>
  <c r="C150" i="7" l="1"/>
  <c r="D248" i="7"/>
  <c r="E248" i="7" s="1"/>
  <c r="B249" i="7"/>
  <c r="D568" i="7"/>
  <c r="E568" i="7" s="1"/>
  <c r="DG106" i="1"/>
  <c r="DF107" i="1"/>
  <c r="DI102" i="1"/>
  <c r="DH103" i="1"/>
  <c r="F248" i="7"/>
  <c r="R928" i="1"/>
  <c r="X925" i="1"/>
  <c r="B569" i="7"/>
  <c r="D150" i="7" l="1"/>
  <c r="E150" i="7" s="1"/>
  <c r="DF108" i="1"/>
  <c r="DG107" i="1"/>
  <c r="C569" i="7"/>
  <c r="F569" i="7"/>
  <c r="DI103" i="1"/>
  <c r="DH104" i="1"/>
  <c r="R932" i="1"/>
  <c r="X928" i="1"/>
  <c r="C249" i="7"/>
  <c r="B250" i="7" s="1"/>
  <c r="F249" i="7"/>
  <c r="B151" i="7"/>
  <c r="F150" i="7"/>
  <c r="C250" i="7" l="1"/>
  <c r="B253" i="7"/>
  <c r="R934" i="1"/>
  <c r="X931" i="1"/>
  <c r="C151" i="7"/>
  <c r="DF109" i="1"/>
  <c r="DG108" i="1"/>
  <c r="D569" i="7"/>
  <c r="E569" i="7"/>
  <c r="D249" i="7"/>
  <c r="E249" i="7" s="1"/>
  <c r="DI104" i="1"/>
  <c r="DH105" i="1"/>
  <c r="B570" i="7"/>
  <c r="DI105" i="1" l="1"/>
  <c r="DH106" i="1"/>
  <c r="E151" i="7"/>
  <c r="D151" i="7"/>
  <c r="C253" i="7"/>
  <c r="F253" i="7"/>
  <c r="D250" i="7"/>
  <c r="E250" i="7" s="1"/>
  <c r="F250" i="7"/>
  <c r="F570" i="7"/>
  <c r="C570" i="7"/>
  <c r="B571" i="7" s="1"/>
  <c r="DF110" i="1"/>
  <c r="DG109" i="1"/>
  <c r="R947" i="1"/>
  <c r="X934" i="1"/>
  <c r="F151" i="7"/>
  <c r="C571" i="7" l="1"/>
  <c r="F571" i="7"/>
  <c r="R950" i="1"/>
  <c r="X946" i="1"/>
  <c r="DG110" i="1"/>
  <c r="DF111" i="1"/>
  <c r="E253" i="7"/>
  <c r="D253" i="7"/>
  <c r="DI106" i="1"/>
  <c r="DH107" i="1"/>
  <c r="E570" i="7"/>
  <c r="D570" i="7"/>
  <c r="B254" i="7"/>
  <c r="DI107" i="1" l="1"/>
  <c r="DH108" i="1"/>
  <c r="R951" i="1"/>
  <c r="R953" i="1" s="1"/>
  <c r="DF112" i="1"/>
  <c r="DG111" i="1"/>
  <c r="F254" i="7"/>
  <c r="C254" i="7"/>
  <c r="D571" i="7"/>
  <c r="E571" i="7" s="1"/>
  <c r="B572" i="7"/>
  <c r="R954" i="1" l="1"/>
  <c r="B7" i="2" s="1"/>
  <c r="X952" i="1"/>
  <c r="C572" i="7"/>
  <c r="D254" i="7"/>
  <c r="E254" i="7" s="1"/>
  <c r="X949" i="1"/>
  <c r="DI108" i="1"/>
  <c r="DH109" i="1"/>
  <c r="B255" i="7"/>
  <c r="DF113" i="1"/>
  <c r="DG112" i="1"/>
  <c r="C255" i="7" l="1"/>
  <c r="D572" i="7"/>
  <c r="E572" i="7" s="1"/>
  <c r="DF114" i="1"/>
  <c r="DG113" i="1"/>
  <c r="B575" i="7"/>
  <c r="DI109" i="1"/>
  <c r="DH110" i="1"/>
  <c r="F572" i="7"/>
  <c r="DI110" i="1" l="1"/>
  <c r="DH111" i="1"/>
  <c r="B576" i="7"/>
  <c r="F575" i="7"/>
  <c r="C575" i="7"/>
  <c r="D255" i="7"/>
  <c r="E255" i="7" s="1"/>
  <c r="DG114" i="1"/>
  <c r="DF115" i="1"/>
  <c r="F255" i="7"/>
  <c r="B256" i="7"/>
  <c r="C256" i="7" l="1"/>
  <c r="F256" i="7"/>
  <c r="B577" i="7"/>
  <c r="C576" i="7"/>
  <c r="F576" i="7"/>
  <c r="DI111" i="1"/>
  <c r="DH112" i="1"/>
  <c r="DF116" i="1"/>
  <c r="DG115" i="1"/>
  <c r="E575" i="7"/>
  <c r="D575" i="7"/>
  <c r="DI112" i="1" l="1"/>
  <c r="DH113" i="1"/>
  <c r="B578" i="7"/>
  <c r="C577" i="7"/>
  <c r="D256" i="7"/>
  <c r="E256" i="7"/>
  <c r="DF117" i="1"/>
  <c r="DG116" i="1"/>
  <c r="D576" i="7"/>
  <c r="E576" i="7"/>
  <c r="B257" i="7"/>
  <c r="C257" i="7" l="1"/>
  <c r="F257" i="7"/>
  <c r="B260" i="7"/>
  <c r="DF118" i="1"/>
  <c r="DG117" i="1"/>
  <c r="D577" i="7"/>
  <c r="E577" i="7" s="1"/>
  <c r="F578" i="7"/>
  <c r="C578" i="7"/>
  <c r="B579" i="7"/>
  <c r="DI113" i="1"/>
  <c r="DH114" i="1"/>
  <c r="F577" i="7"/>
  <c r="DI114" i="1" l="1"/>
  <c r="DH115" i="1"/>
  <c r="DF119" i="1"/>
  <c r="DG118" i="1"/>
  <c r="C260" i="7"/>
  <c r="F260" i="7"/>
  <c r="F579" i="7"/>
  <c r="C579" i="7"/>
  <c r="B582" i="7"/>
  <c r="E578" i="7"/>
  <c r="D578" i="7"/>
  <c r="D257" i="7"/>
  <c r="E257" i="7" s="1"/>
  <c r="C582" i="7" l="1"/>
  <c r="F582" i="7"/>
  <c r="D260" i="7"/>
  <c r="E260" i="7" s="1"/>
  <c r="DG119" i="1"/>
  <c r="DF120" i="1"/>
  <c r="DI115" i="1"/>
  <c r="DH116" i="1"/>
  <c r="D579" i="7"/>
  <c r="E579" i="7" s="1"/>
  <c r="B261" i="7"/>
  <c r="DG120" i="1" l="1"/>
  <c r="DF121" i="1"/>
  <c r="B262" i="7"/>
  <c r="C261" i="7"/>
  <c r="D582" i="7"/>
  <c r="E582" i="7"/>
  <c r="DI116" i="1"/>
  <c r="DH117" i="1"/>
  <c r="B583" i="7"/>
  <c r="C262" i="7" l="1"/>
  <c r="B263" i="7"/>
  <c r="DF122" i="1"/>
  <c r="DG121" i="1"/>
  <c r="D261" i="7"/>
  <c r="E261" i="7" s="1"/>
  <c r="F583" i="7"/>
  <c r="C583" i="7"/>
  <c r="B584" i="7"/>
  <c r="DI117" i="1"/>
  <c r="DH118" i="1"/>
  <c r="F261" i="7"/>
  <c r="DI118" i="1" l="1"/>
  <c r="DH119" i="1"/>
  <c r="DF123" i="1"/>
  <c r="DG122" i="1"/>
  <c r="C263" i="7"/>
  <c r="B264" i="7"/>
  <c r="C584" i="7"/>
  <c r="F584" i="7"/>
  <c r="E262" i="7"/>
  <c r="D262" i="7"/>
  <c r="D583" i="7"/>
  <c r="E583" i="7"/>
  <c r="F262" i="7"/>
  <c r="DG123" i="1" l="1"/>
  <c r="DF124" i="1"/>
  <c r="E263" i="7"/>
  <c r="D263" i="7"/>
  <c r="D584" i="7"/>
  <c r="E584" i="7" s="1"/>
  <c r="C264" i="7"/>
  <c r="DI119" i="1"/>
  <c r="DH120" i="1"/>
  <c r="B585" i="7"/>
  <c r="F263" i="7"/>
  <c r="D264" i="7" l="1"/>
  <c r="E264" i="7"/>
  <c r="C585" i="7"/>
  <c r="B586" i="7" s="1"/>
  <c r="F264" i="7"/>
  <c r="DI120" i="1"/>
  <c r="DH121" i="1"/>
  <c r="DF125" i="1"/>
  <c r="DG124" i="1"/>
  <c r="B267" i="7"/>
  <c r="C586" i="7" l="1"/>
  <c r="F586" i="7"/>
  <c r="B589" i="7"/>
  <c r="DI121" i="1"/>
  <c r="DH122" i="1"/>
  <c r="C267" i="7"/>
  <c r="B268" i="7"/>
  <c r="D585" i="7"/>
  <c r="E585" i="7"/>
  <c r="DG125" i="1"/>
  <c r="DF126" i="1"/>
  <c r="F585" i="7"/>
  <c r="C268" i="7" l="1"/>
  <c r="F268" i="7"/>
  <c r="DF127" i="1"/>
  <c r="DG126" i="1"/>
  <c r="D267" i="7"/>
  <c r="E267" i="7" s="1"/>
  <c r="C589" i="7"/>
  <c r="F589" i="7"/>
  <c r="F267" i="7"/>
  <c r="DI122" i="1"/>
  <c r="DH123" i="1"/>
  <c r="D586" i="7"/>
  <c r="E586" i="7" s="1"/>
  <c r="D589" i="7" l="1"/>
  <c r="E589" i="7"/>
  <c r="DF128" i="1"/>
  <c r="DG127" i="1"/>
  <c r="D268" i="7"/>
  <c r="E268" i="7"/>
  <c r="DI123" i="1"/>
  <c r="DH124" i="1"/>
  <c r="B590" i="7"/>
  <c r="B269" i="7"/>
  <c r="DI124" i="1" l="1"/>
  <c r="DH125" i="1"/>
  <c r="DF129" i="1"/>
  <c r="DG128" i="1"/>
  <c r="C269" i="7"/>
  <c r="F269" i="7"/>
  <c r="B591" i="7"/>
  <c r="C590" i="7"/>
  <c r="F590" i="7"/>
  <c r="DF130" i="1" l="1"/>
  <c r="DG129" i="1"/>
  <c r="F591" i="7"/>
  <c r="B592" i="7"/>
  <c r="C591" i="7"/>
  <c r="D269" i="7"/>
  <c r="E269" i="7"/>
  <c r="DI125" i="1"/>
  <c r="DH126" i="1"/>
  <c r="D590" i="7"/>
  <c r="E590" i="7" s="1"/>
  <c r="B270" i="7"/>
  <c r="C270" i="7" l="1"/>
  <c r="F592" i="7"/>
  <c r="C592" i="7"/>
  <c r="DI126" i="1"/>
  <c r="DH127" i="1"/>
  <c r="D591" i="7"/>
  <c r="E591" i="7" s="1"/>
  <c r="DF131" i="1"/>
  <c r="DG130" i="1"/>
  <c r="DI127" i="1" l="1"/>
  <c r="DH128" i="1"/>
  <c r="DG131" i="1"/>
  <c r="DF132" i="1"/>
  <c r="D270" i="7"/>
  <c r="E270" i="7" s="1"/>
  <c r="E592" i="7"/>
  <c r="D592" i="7"/>
  <c r="B271" i="7"/>
  <c r="B593" i="7"/>
  <c r="F270" i="7"/>
  <c r="C593" i="7" l="1"/>
  <c r="B596" i="7"/>
  <c r="DF133" i="1"/>
  <c r="DG132" i="1"/>
  <c r="DI128" i="1"/>
  <c r="DH129" i="1"/>
  <c r="F271" i="7"/>
  <c r="C271" i="7"/>
  <c r="B274" i="7"/>
  <c r="DI129" i="1" l="1"/>
  <c r="DH130" i="1"/>
  <c r="F596" i="7"/>
  <c r="B597" i="7"/>
  <c r="C596" i="7"/>
  <c r="DF134" i="1"/>
  <c r="DG133" i="1"/>
  <c r="F274" i="7"/>
  <c r="C274" i="7"/>
  <c r="D593" i="7"/>
  <c r="E593" i="7" s="1"/>
  <c r="D271" i="7"/>
  <c r="E271" i="7" s="1"/>
  <c r="F593" i="7"/>
  <c r="C597" i="7" l="1"/>
  <c r="E274" i="7"/>
  <c r="D274" i="7"/>
  <c r="DG134" i="1"/>
  <c r="DF135" i="1"/>
  <c r="DI130" i="1"/>
  <c r="DH131" i="1"/>
  <c r="B275" i="7"/>
  <c r="E596" i="7"/>
  <c r="D596" i="7"/>
  <c r="DF136" i="1" l="1"/>
  <c r="DG135" i="1"/>
  <c r="D597" i="7"/>
  <c r="E597" i="7" s="1"/>
  <c r="C275" i="7"/>
  <c r="F275" i="7"/>
  <c r="B598" i="7"/>
  <c r="DI131" i="1"/>
  <c r="DH132" i="1"/>
  <c r="F597" i="7"/>
  <c r="C598" i="7" l="1"/>
  <c r="F598" i="7"/>
  <c r="DI132" i="1"/>
  <c r="DH133" i="1"/>
  <c r="D275" i="7"/>
  <c r="E275" i="7" s="1"/>
  <c r="B276" i="7"/>
  <c r="DF137" i="1"/>
  <c r="DG136" i="1"/>
  <c r="G276" i="7" l="1"/>
  <c r="G275" i="7" s="1"/>
  <c r="C276" i="7"/>
  <c r="F276" i="7"/>
  <c r="B277" i="7"/>
  <c r="D598" i="7"/>
  <c r="E598" i="7" s="1"/>
  <c r="DF138" i="1"/>
  <c r="DG137" i="1"/>
  <c r="DI133" i="1"/>
  <c r="DH134" i="1"/>
  <c r="B599" i="7"/>
  <c r="C599" i="7" l="1"/>
  <c r="C277" i="7"/>
  <c r="B278" i="7" s="1"/>
  <c r="DG138" i="1"/>
  <c r="DF139" i="1"/>
  <c r="DI134" i="1"/>
  <c r="DH135" i="1"/>
  <c r="E276" i="7"/>
  <c r="D276" i="7"/>
  <c r="C278" i="7" l="1"/>
  <c r="F278" i="7"/>
  <c r="B281" i="7"/>
  <c r="E599" i="7"/>
  <c r="D599" i="7"/>
  <c r="DF140" i="1"/>
  <c r="DG139" i="1"/>
  <c r="DI135" i="1"/>
  <c r="DH136" i="1"/>
  <c r="D277" i="7"/>
  <c r="E277" i="7" s="1"/>
  <c r="B600" i="7"/>
  <c r="F277" i="7"/>
  <c r="F599" i="7"/>
  <c r="C600" i="7" l="1"/>
  <c r="B603" i="7"/>
  <c r="C281" i="7"/>
  <c r="B282" i="7" s="1"/>
  <c r="DG140" i="1"/>
  <c r="DF141" i="1"/>
  <c r="DI136" i="1"/>
  <c r="DH137" i="1"/>
  <c r="D278" i="7"/>
  <c r="E278" i="7" s="1"/>
  <c r="C282" i="7" l="1"/>
  <c r="F282" i="7"/>
  <c r="DF142" i="1"/>
  <c r="DG141" i="1"/>
  <c r="C603" i="7"/>
  <c r="DI137" i="1"/>
  <c r="DH138" i="1"/>
  <c r="E281" i="7"/>
  <c r="D281" i="7"/>
  <c r="D600" i="7"/>
  <c r="E600" i="7" s="1"/>
  <c r="F281" i="7"/>
  <c r="F600" i="7"/>
  <c r="D603" i="7" l="1"/>
  <c r="E603" i="7"/>
  <c r="B604" i="7"/>
  <c r="DG142" i="1"/>
  <c r="DF143" i="1"/>
  <c r="DI138" i="1"/>
  <c r="DH139" i="1"/>
  <c r="F603" i="7"/>
  <c r="D282" i="7"/>
  <c r="E282" i="7"/>
  <c r="B283" i="7"/>
  <c r="C604" i="7" l="1"/>
  <c r="B605" i="7"/>
  <c r="F604" i="7"/>
  <c r="B284" i="7"/>
  <c r="C283" i="7"/>
  <c r="F283" i="7"/>
  <c r="DI139" i="1"/>
  <c r="DH140" i="1"/>
  <c r="DF144" i="1"/>
  <c r="DG143" i="1"/>
  <c r="DI140" i="1" l="1"/>
  <c r="DH141" i="1"/>
  <c r="F284" i="7"/>
  <c r="B285" i="7"/>
  <c r="C284" i="7"/>
  <c r="C605" i="7"/>
  <c r="B606" i="7"/>
  <c r="DG144" i="1"/>
  <c r="DF145" i="1"/>
  <c r="E283" i="7"/>
  <c r="D283" i="7"/>
  <c r="D604" i="7"/>
  <c r="E604" i="7" s="1"/>
  <c r="DF146" i="1" l="1"/>
  <c r="DG145" i="1"/>
  <c r="D605" i="7"/>
  <c r="E605" i="7" s="1"/>
  <c r="F605" i="7"/>
  <c r="C285" i="7"/>
  <c r="B288" i="7" s="1"/>
  <c r="F285" i="7"/>
  <c r="C606" i="7"/>
  <c r="F606" i="7"/>
  <c r="DI141" i="1"/>
  <c r="DH142" i="1"/>
  <c r="D284" i="7"/>
  <c r="E284" i="7" s="1"/>
  <c r="C288" i="7" l="1"/>
  <c r="B289" i="7"/>
  <c r="D606" i="7"/>
  <c r="E606" i="7" s="1"/>
  <c r="D285" i="7"/>
  <c r="E285" i="7" s="1"/>
  <c r="DI142" i="1"/>
  <c r="DH143" i="1"/>
  <c r="B607" i="7"/>
  <c r="DF147" i="1"/>
  <c r="DG146" i="1"/>
  <c r="DG147" i="1" l="1"/>
  <c r="DF148" i="1"/>
  <c r="F289" i="7"/>
  <c r="C289" i="7"/>
  <c r="B290" i="7"/>
  <c r="C607" i="7"/>
  <c r="B610" i="7" s="1"/>
  <c r="D288" i="7"/>
  <c r="E288" i="7" s="1"/>
  <c r="DI143" i="1"/>
  <c r="DH144" i="1"/>
  <c r="F288" i="7"/>
  <c r="C610" i="7" l="1"/>
  <c r="F610" i="7"/>
  <c r="DI144" i="1"/>
  <c r="DH145" i="1"/>
  <c r="D289" i="7"/>
  <c r="E289" i="7" s="1"/>
  <c r="D607" i="7"/>
  <c r="E607" i="7"/>
  <c r="F607" i="7"/>
  <c r="DF149" i="1"/>
  <c r="DG148" i="1"/>
  <c r="C290" i="7"/>
  <c r="B291" i="7" s="1"/>
  <c r="F290" i="7"/>
  <c r="C291" i="7" l="1"/>
  <c r="F291" i="7"/>
  <c r="DG149" i="1"/>
  <c r="DF150" i="1"/>
  <c r="D290" i="7"/>
  <c r="E290" i="7"/>
  <c r="E610" i="7"/>
  <c r="D610" i="7"/>
  <c r="DI145" i="1"/>
  <c r="DH146" i="1"/>
  <c r="B611" i="7"/>
  <c r="C611" i="7" l="1"/>
  <c r="DI146" i="1"/>
  <c r="DH147" i="1"/>
  <c r="D291" i="7"/>
  <c r="E291" i="7"/>
  <c r="DF151" i="1"/>
  <c r="DG150" i="1"/>
  <c r="B292" i="7"/>
  <c r="C292" i="7" l="1"/>
  <c r="B295" i="7"/>
  <c r="DG151" i="1"/>
  <c r="DF152" i="1"/>
  <c r="D611" i="7"/>
  <c r="E611" i="7" s="1"/>
  <c r="B612" i="7"/>
  <c r="DI147" i="1"/>
  <c r="DH148" i="1"/>
  <c r="F611" i="7"/>
  <c r="C612" i="7" l="1"/>
  <c r="B296" i="7"/>
  <c r="C295" i="7"/>
  <c r="F295" i="7"/>
  <c r="DI148" i="1"/>
  <c r="DH149" i="1"/>
  <c r="D292" i="7"/>
  <c r="E292" i="7" s="1"/>
  <c r="DF153" i="1"/>
  <c r="DG152" i="1"/>
  <c r="F292" i="7"/>
  <c r="DF154" i="1" l="1"/>
  <c r="DG153" i="1"/>
  <c r="DI149" i="1"/>
  <c r="DH150" i="1"/>
  <c r="C296" i="7"/>
  <c r="B297" i="7"/>
  <c r="E612" i="7"/>
  <c r="D612" i="7"/>
  <c r="B613" i="7"/>
  <c r="E295" i="7"/>
  <c r="D295" i="7"/>
  <c r="F612" i="7"/>
  <c r="C297" i="7" l="1"/>
  <c r="B298" i="7"/>
  <c r="C613" i="7"/>
  <c r="F613" i="7" s="1"/>
  <c r="DI150" i="1"/>
  <c r="DH151" i="1"/>
  <c r="D296" i="7"/>
  <c r="E296" i="7" s="1"/>
  <c r="F296" i="7"/>
  <c r="DF155" i="1"/>
  <c r="DG154" i="1"/>
  <c r="DF156" i="1" l="1"/>
  <c r="DG155" i="1"/>
  <c r="DI151" i="1"/>
  <c r="DH152" i="1"/>
  <c r="C298" i="7"/>
  <c r="F298" i="7"/>
  <c r="D613" i="7"/>
  <c r="E613" i="7"/>
  <c r="D297" i="7"/>
  <c r="E297" i="7" s="1"/>
  <c r="B614" i="7"/>
  <c r="F297" i="7"/>
  <c r="C614" i="7" l="1"/>
  <c r="F614" i="7"/>
  <c r="DI152" i="1"/>
  <c r="DH153" i="1"/>
  <c r="D298" i="7"/>
  <c r="E298" i="7"/>
  <c r="B299" i="7"/>
  <c r="DF157" i="1"/>
  <c r="DG156" i="1"/>
  <c r="DG157" i="1" l="1"/>
  <c r="DF158" i="1"/>
  <c r="DI153" i="1"/>
  <c r="DH154" i="1"/>
  <c r="C299" i="7"/>
  <c r="F299" i="7"/>
  <c r="B302" i="7"/>
  <c r="E614" i="7"/>
  <c r="D614" i="7"/>
  <c r="DI154" i="1" l="1"/>
  <c r="DH155" i="1"/>
  <c r="B303" i="7"/>
  <c r="C302" i="7"/>
  <c r="DG158" i="1"/>
  <c r="DF159" i="1"/>
  <c r="D299" i="7"/>
  <c r="E299" i="7" s="1"/>
  <c r="C303" i="7" l="1"/>
  <c r="F303" i="7"/>
  <c r="D302" i="7"/>
  <c r="E302" i="7" s="1"/>
  <c r="DF160" i="1"/>
  <c r="DG159" i="1"/>
  <c r="DI155" i="1"/>
  <c r="DH156" i="1"/>
  <c r="F302" i="7"/>
  <c r="DF161" i="1" l="1"/>
  <c r="DG160" i="1"/>
  <c r="E303" i="7"/>
  <c r="D303" i="7"/>
  <c r="DI156" i="1"/>
  <c r="DH157" i="1"/>
  <c r="B304" i="7"/>
  <c r="C304" i="7" l="1"/>
  <c r="DI157" i="1"/>
  <c r="DH158" i="1"/>
  <c r="DF162" i="1"/>
  <c r="DG161" i="1"/>
  <c r="DF163" i="1" l="1"/>
  <c r="DG162" i="1"/>
  <c r="E304" i="7"/>
  <c r="D304" i="7"/>
  <c r="B305" i="7"/>
  <c r="DI158" i="1"/>
  <c r="DH159" i="1"/>
  <c r="F304" i="7"/>
  <c r="DI159" i="1" l="1"/>
  <c r="DH160" i="1"/>
  <c r="B306" i="7"/>
  <c r="C305" i="7"/>
  <c r="DF164" i="1"/>
  <c r="DG163" i="1"/>
  <c r="D305" i="7" l="1"/>
  <c r="E305" i="7" s="1"/>
  <c r="G306" i="7"/>
  <c r="G305" i="7" s="1"/>
  <c r="C306" i="7"/>
  <c r="B309" i="7"/>
  <c r="DG164" i="1"/>
  <c r="DF165" i="1"/>
  <c r="DI160" i="1"/>
  <c r="DH161" i="1"/>
  <c r="F305" i="7"/>
  <c r="DI161" i="1" l="1"/>
  <c r="DH162" i="1"/>
  <c r="DF166" i="1"/>
  <c r="DG165" i="1"/>
  <c r="D306" i="7"/>
  <c r="E306" i="7" s="1"/>
  <c r="B310" i="7"/>
  <c r="C309" i="7"/>
  <c r="F306" i="7"/>
  <c r="C310" i="7" l="1"/>
  <c r="E309" i="7"/>
  <c r="D309" i="7"/>
  <c r="DF167" i="1"/>
  <c r="DG166" i="1"/>
  <c r="DI162" i="1"/>
  <c r="DH163" i="1"/>
  <c r="F309" i="7"/>
  <c r="DF168" i="1" l="1"/>
  <c r="DG167" i="1"/>
  <c r="E310" i="7"/>
  <c r="D310" i="7"/>
  <c r="B311" i="7"/>
  <c r="DI163" i="1"/>
  <c r="DH164" i="1"/>
  <c r="F310" i="7"/>
  <c r="DI164" i="1" l="1"/>
  <c r="DH165" i="1"/>
  <c r="C311" i="7"/>
  <c r="F311" i="7" s="1"/>
  <c r="DF169" i="1"/>
  <c r="DG168" i="1"/>
  <c r="DF170" i="1" l="1"/>
  <c r="DG169" i="1"/>
  <c r="D311" i="7"/>
  <c r="E311" i="7" s="1"/>
  <c r="DI165" i="1"/>
  <c r="DH166" i="1"/>
  <c r="B312" i="7"/>
  <c r="C312" i="7" l="1"/>
  <c r="F312" i="7"/>
  <c r="DI166" i="1"/>
  <c r="DH167" i="1"/>
  <c r="DG170" i="1"/>
  <c r="DF171" i="1"/>
  <c r="DF172" i="1" l="1"/>
  <c r="DG171" i="1"/>
  <c r="D312" i="7"/>
  <c r="E312" i="7"/>
  <c r="DI167" i="1"/>
  <c r="DH168" i="1"/>
  <c r="B313" i="7"/>
  <c r="C313" i="7" l="1"/>
  <c r="F313" i="7"/>
  <c r="B316" i="7"/>
  <c r="DI168" i="1"/>
  <c r="DH169" i="1"/>
  <c r="DF173" i="1"/>
  <c r="DG172" i="1"/>
  <c r="DF174" i="1" l="1"/>
  <c r="DG173" i="1"/>
  <c r="B317" i="7"/>
  <c r="C316" i="7"/>
  <c r="F316" i="7"/>
  <c r="DI169" i="1"/>
  <c r="DH170" i="1"/>
  <c r="D313" i="7"/>
  <c r="E313" i="7" s="1"/>
  <c r="C317" i="7" l="1"/>
  <c r="F317" i="7"/>
  <c r="D316" i="7"/>
  <c r="E316" i="7" s="1"/>
  <c r="DI170" i="1"/>
  <c r="DH171" i="1"/>
  <c r="DG174" i="1"/>
  <c r="DF175" i="1"/>
  <c r="DI171" i="1" l="1"/>
  <c r="DH172" i="1"/>
  <c r="D317" i="7"/>
  <c r="E317" i="7" s="1"/>
  <c r="DG175" i="1"/>
  <c r="DF176" i="1"/>
  <c r="B318" i="7"/>
  <c r="DG176" i="1" l="1"/>
  <c r="DF177" i="1"/>
  <c r="F318" i="7"/>
  <c r="B319" i="7"/>
  <c r="C318" i="7"/>
  <c r="DI172" i="1"/>
  <c r="DH173" i="1"/>
  <c r="C319" i="7" l="1"/>
  <c r="F319" i="7"/>
  <c r="DI173" i="1"/>
  <c r="DH174" i="1"/>
  <c r="DF178" i="1"/>
  <c r="DG177" i="1"/>
  <c r="D318" i="7"/>
  <c r="E318" i="7" s="1"/>
  <c r="D319" i="7" l="1"/>
  <c r="E319" i="7" s="1"/>
  <c r="DF179" i="1"/>
  <c r="DG178" i="1"/>
  <c r="DI174" i="1"/>
  <c r="DH175" i="1"/>
  <c r="B320" i="7"/>
  <c r="C320" i="7" l="1"/>
  <c r="B323" i="7"/>
  <c r="F320" i="7"/>
  <c r="DI175" i="1"/>
  <c r="DH176" i="1"/>
  <c r="DG179" i="1"/>
  <c r="DF180" i="1"/>
  <c r="DF181" i="1" l="1"/>
  <c r="DG180" i="1"/>
  <c r="B324" i="7"/>
  <c r="F323" i="7"/>
  <c r="C323" i="7"/>
  <c r="DI176" i="1"/>
  <c r="DH177" i="1"/>
  <c r="D320" i="7"/>
  <c r="E320" i="7" s="1"/>
  <c r="DI177" i="1" l="1"/>
  <c r="DH178" i="1"/>
  <c r="B325" i="7"/>
  <c r="C324" i="7"/>
  <c r="D323" i="7"/>
  <c r="E323" i="7" s="1"/>
  <c r="DG181" i="1"/>
  <c r="DF182" i="1"/>
  <c r="D324" i="7" l="1"/>
  <c r="E324" i="7"/>
  <c r="B326" i="7"/>
  <c r="C325" i="7"/>
  <c r="DI178" i="1"/>
  <c r="DH179" i="1"/>
  <c r="DG182" i="1"/>
  <c r="DF183" i="1"/>
  <c r="F324" i="7"/>
  <c r="C326" i="7" l="1"/>
  <c r="B327" i="7"/>
  <c r="E325" i="7"/>
  <c r="D325" i="7"/>
  <c r="DI179" i="1"/>
  <c r="DH180" i="1"/>
  <c r="DG183" i="1"/>
  <c r="DF184" i="1"/>
  <c r="F325" i="7"/>
  <c r="DI180" i="1" l="1"/>
  <c r="DH181" i="1"/>
  <c r="F327" i="7"/>
  <c r="C327" i="7"/>
  <c r="B330" i="7"/>
  <c r="D326" i="7"/>
  <c r="E326" i="7" s="1"/>
  <c r="DF185" i="1"/>
  <c r="DG184" i="1"/>
  <c r="F326" i="7"/>
  <c r="DI181" i="1" l="1"/>
  <c r="DH182" i="1"/>
  <c r="DF186" i="1"/>
  <c r="DG185" i="1"/>
  <c r="D327" i="7"/>
  <c r="E327" i="7" s="1"/>
  <c r="F330" i="7"/>
  <c r="C330" i="7"/>
  <c r="DF187" i="1" l="1"/>
  <c r="DG186" i="1"/>
  <c r="E330" i="7"/>
  <c r="D330" i="7"/>
  <c r="DI182" i="1"/>
  <c r="DH183" i="1"/>
  <c r="B331" i="7"/>
  <c r="C331" i="7" l="1"/>
  <c r="F331" i="7" s="1"/>
  <c r="DI183" i="1"/>
  <c r="DH184" i="1"/>
  <c r="DF188" i="1"/>
  <c r="DG187" i="1"/>
  <c r="D331" i="7" l="1"/>
  <c r="E331" i="7" s="1"/>
  <c r="DG188" i="1"/>
  <c r="DF189" i="1"/>
  <c r="DI184" i="1"/>
  <c r="DH185" i="1"/>
  <c r="B332" i="7"/>
  <c r="C332" i="7" l="1"/>
  <c r="F332" i="7"/>
  <c r="DG189" i="1"/>
  <c r="DF190" i="1"/>
  <c r="DI185" i="1"/>
  <c r="DH186" i="1"/>
  <c r="DI186" i="1" l="1"/>
  <c r="DH187" i="1"/>
  <c r="D332" i="7"/>
  <c r="E332" i="7" s="1"/>
  <c r="DF191" i="1"/>
  <c r="DG190" i="1"/>
  <c r="B333" i="7"/>
  <c r="C333" i="7" l="1"/>
  <c r="F333" i="7"/>
  <c r="DI187" i="1"/>
  <c r="DH188" i="1"/>
  <c r="DG191" i="1"/>
  <c r="DF192" i="1"/>
  <c r="DF193" i="1" l="1"/>
  <c r="DG192" i="1"/>
  <c r="D333" i="7"/>
  <c r="E333" i="7" s="1"/>
  <c r="DI188" i="1"/>
  <c r="DH189" i="1"/>
  <c r="B334" i="7"/>
  <c r="C334" i="7" l="1"/>
  <c r="B337" i="7"/>
  <c r="DI189" i="1"/>
  <c r="DH190" i="1"/>
  <c r="DG193" i="1"/>
  <c r="DF194" i="1"/>
  <c r="DG194" i="1" l="1"/>
  <c r="DF195" i="1"/>
  <c r="F337" i="7"/>
  <c r="B338" i="7"/>
  <c r="C337" i="7"/>
  <c r="D334" i="7"/>
  <c r="E334" i="7" s="1"/>
  <c r="DI190" i="1"/>
  <c r="DH191" i="1"/>
  <c r="F334" i="7"/>
  <c r="C338" i="7" l="1"/>
  <c r="F338" i="7"/>
  <c r="DF196" i="1"/>
  <c r="DG195" i="1"/>
  <c r="DI191" i="1"/>
  <c r="DH192" i="1"/>
  <c r="E337" i="7"/>
  <c r="D337" i="7"/>
  <c r="DF197" i="1" l="1"/>
  <c r="DG196" i="1"/>
  <c r="DI192" i="1"/>
  <c r="DH193" i="1"/>
  <c r="D338" i="7"/>
  <c r="E338" i="7"/>
  <c r="B339" i="7"/>
  <c r="DI193" i="1" l="1"/>
  <c r="DH194" i="1"/>
  <c r="C339" i="7"/>
  <c r="DG197" i="1"/>
  <c r="DF198" i="1"/>
  <c r="D339" i="7" l="1"/>
  <c r="E339" i="7" s="1"/>
  <c r="DF199" i="1"/>
  <c r="DG198" i="1"/>
  <c r="B340" i="7"/>
  <c r="DI194" i="1"/>
  <c r="DH195" i="1"/>
  <c r="F339" i="7"/>
  <c r="DI195" i="1" l="1"/>
  <c r="DH196" i="1"/>
  <c r="DG199" i="1"/>
  <c r="DF200" i="1"/>
  <c r="C340" i="7"/>
  <c r="B341" i="7" s="1"/>
  <c r="C341" i="7" l="1"/>
  <c r="F341" i="7"/>
  <c r="B344" i="7"/>
  <c r="DG200" i="1"/>
  <c r="DF201" i="1"/>
  <c r="D340" i="7"/>
  <c r="E340" i="7" s="1"/>
  <c r="DI196" i="1"/>
  <c r="DH197" i="1"/>
  <c r="F340" i="7"/>
  <c r="C344" i="7" l="1"/>
  <c r="B345" i="7"/>
  <c r="DI197" i="1"/>
  <c r="DH198" i="1"/>
  <c r="DG201" i="1"/>
  <c r="DF202" i="1"/>
  <c r="D341" i="7"/>
  <c r="E341" i="7" s="1"/>
  <c r="D344" i="7" l="1"/>
  <c r="E344" i="7" s="1"/>
  <c r="DI198" i="1"/>
  <c r="DH199" i="1"/>
  <c r="F344" i="7"/>
  <c r="DF203" i="1"/>
  <c r="DG202" i="1"/>
  <c r="C345" i="7"/>
  <c r="B346" i="7"/>
  <c r="C346" i="7" l="1"/>
  <c r="F346" i="7"/>
  <c r="DG203" i="1"/>
  <c r="DF204" i="1"/>
  <c r="D345" i="7"/>
  <c r="E345" i="7" s="1"/>
  <c r="F345" i="7"/>
  <c r="DI199" i="1"/>
  <c r="DH200" i="1"/>
  <c r="DI200" i="1" l="1"/>
  <c r="DH201" i="1"/>
  <c r="D346" i="7"/>
  <c r="E346" i="7" s="1"/>
  <c r="DF205" i="1"/>
  <c r="DG204" i="1"/>
  <c r="B347" i="7"/>
  <c r="C347" i="7" l="1"/>
  <c r="F347" i="7"/>
  <c r="DI201" i="1"/>
  <c r="DH202" i="1"/>
  <c r="DG205" i="1"/>
  <c r="DF206" i="1"/>
  <c r="DG206" i="1" l="1"/>
  <c r="DF207" i="1"/>
  <c r="D347" i="7"/>
  <c r="E347" i="7" s="1"/>
  <c r="DI202" i="1"/>
  <c r="DH203" i="1"/>
  <c r="B348" i="7"/>
  <c r="C348" i="7" l="1"/>
  <c r="B351" i="7"/>
  <c r="DI203" i="1"/>
  <c r="DH204" i="1"/>
  <c r="DG207" i="1"/>
  <c r="DF208" i="1"/>
  <c r="DF209" i="1" l="1"/>
  <c r="DG208" i="1"/>
  <c r="B352" i="7"/>
  <c r="C351" i="7"/>
  <c r="F351" i="7"/>
  <c r="D348" i="7"/>
  <c r="E348" i="7" s="1"/>
  <c r="DI204" i="1"/>
  <c r="DH205" i="1"/>
  <c r="F348" i="7"/>
  <c r="C352" i="7" l="1"/>
  <c r="B353" i="7"/>
  <c r="DI205" i="1"/>
  <c r="DH206" i="1"/>
  <c r="DG209" i="1"/>
  <c r="DF210" i="1"/>
  <c r="D351" i="7"/>
  <c r="E351" i="7" s="1"/>
  <c r="DF211" i="1" l="1"/>
  <c r="DG210" i="1"/>
  <c r="F353" i="7"/>
  <c r="C353" i="7"/>
  <c r="B354" i="7"/>
  <c r="D352" i="7"/>
  <c r="E352" i="7" s="1"/>
  <c r="DI206" i="1"/>
  <c r="DH207" i="1"/>
  <c r="F352" i="7"/>
  <c r="DI207" i="1" l="1"/>
  <c r="DH208" i="1"/>
  <c r="B355" i="7"/>
  <c r="C354" i="7"/>
  <c r="F354" i="7"/>
  <c r="DG211" i="1"/>
  <c r="DF212" i="1"/>
  <c r="D353" i="7"/>
  <c r="E353" i="7" s="1"/>
  <c r="DG212" i="1" l="1"/>
  <c r="DF213" i="1"/>
  <c r="C355" i="7"/>
  <c r="DI208" i="1"/>
  <c r="DH209" i="1"/>
  <c r="D354" i="7"/>
  <c r="E354" i="7"/>
  <c r="DI209" i="1" l="1"/>
  <c r="DH210" i="1"/>
  <c r="D355" i="7"/>
  <c r="E355" i="7" s="1"/>
  <c r="DF214" i="1"/>
  <c r="DG213" i="1"/>
  <c r="B358" i="7"/>
  <c r="F355" i="7"/>
  <c r="C358" i="7" l="1"/>
  <c r="B359" i="7"/>
  <c r="F358" i="7"/>
  <c r="DI210" i="1"/>
  <c r="DH211" i="1"/>
  <c r="DF215" i="1"/>
  <c r="DG214" i="1"/>
  <c r="DG215" i="1" l="1"/>
  <c r="DF216" i="1"/>
  <c r="B360" i="7"/>
  <c r="C359" i="7"/>
  <c r="F359" i="7"/>
  <c r="DI211" i="1"/>
  <c r="DH212" i="1"/>
  <c r="D358" i="7"/>
  <c r="E358" i="7"/>
  <c r="DI212" i="1" l="1"/>
  <c r="DH213" i="1"/>
  <c r="F360" i="7"/>
  <c r="C360" i="7"/>
  <c r="B361" i="7"/>
  <c r="DF217" i="1"/>
  <c r="DG216" i="1"/>
  <c r="D359" i="7"/>
  <c r="E359" i="7" s="1"/>
  <c r="DF218" i="1" l="1"/>
  <c r="DG217" i="1"/>
  <c r="DI213" i="1"/>
  <c r="DH214" i="1"/>
  <c r="C361" i="7"/>
  <c r="D360" i="7"/>
  <c r="E360" i="7" s="1"/>
  <c r="D361" i="7" l="1"/>
  <c r="E361" i="7" s="1"/>
  <c r="B362" i="7"/>
  <c r="F361" i="7"/>
  <c r="DG218" i="1"/>
  <c r="DF219" i="1"/>
  <c r="DI214" i="1"/>
  <c r="DH215" i="1"/>
  <c r="C362" i="7" l="1"/>
  <c r="B365" i="7"/>
  <c r="DF220" i="1"/>
  <c r="DG219" i="1"/>
  <c r="DI215" i="1"/>
  <c r="DH216" i="1"/>
  <c r="DI216" i="1" l="1"/>
  <c r="DH217" i="1"/>
  <c r="F365" i="7"/>
  <c r="C365" i="7"/>
  <c r="D362" i="7"/>
  <c r="E362" i="7"/>
  <c r="F362" i="7"/>
  <c r="DF221" i="1"/>
  <c r="DG220" i="1"/>
  <c r="DI217" i="1" l="1"/>
  <c r="DH218" i="1"/>
  <c r="DG221" i="1"/>
  <c r="DF222" i="1"/>
  <c r="D365" i="7"/>
  <c r="E365" i="7" s="1"/>
  <c r="B366" i="7"/>
  <c r="DF223" i="1" l="1"/>
  <c r="DG222" i="1"/>
  <c r="F366" i="7"/>
  <c r="C366" i="7"/>
  <c r="B367" i="7"/>
  <c r="DI218" i="1"/>
  <c r="DH219" i="1"/>
  <c r="DI219" i="1" l="1"/>
  <c r="DH220" i="1"/>
  <c r="C367" i="7"/>
  <c r="DF224" i="1"/>
  <c r="DG223" i="1"/>
  <c r="D366" i="7"/>
  <c r="E366" i="7"/>
  <c r="D367" i="7" l="1"/>
  <c r="E367" i="7" s="1"/>
  <c r="DG224" i="1"/>
  <c r="DF225" i="1"/>
  <c r="DI220" i="1"/>
  <c r="DH221" i="1"/>
  <c r="B368" i="7"/>
  <c r="F367" i="7"/>
  <c r="C368" i="7" l="1"/>
  <c r="B369" i="7"/>
  <c r="G368" i="7"/>
  <c r="G367" i="7" s="1"/>
  <c r="DI221" i="1"/>
  <c r="DH222" i="1"/>
  <c r="DG225" i="1"/>
  <c r="DF226" i="1"/>
  <c r="C369" i="7" l="1"/>
  <c r="F369" i="7"/>
  <c r="B372" i="7"/>
  <c r="DI222" i="1"/>
  <c r="DH223" i="1"/>
  <c r="D368" i="7"/>
  <c r="E368" i="7" s="1"/>
  <c r="F368" i="7"/>
  <c r="DF227" i="1"/>
  <c r="DG226" i="1"/>
  <c r="C372" i="7" l="1"/>
  <c r="F372" i="7"/>
  <c r="DG227" i="1"/>
  <c r="DF228" i="1"/>
  <c r="DI223" i="1"/>
  <c r="DH224" i="1"/>
  <c r="D369" i="7"/>
  <c r="E369" i="7" s="1"/>
  <c r="DI224" i="1" l="1"/>
  <c r="DH225" i="1"/>
  <c r="D372" i="7"/>
  <c r="E372" i="7" s="1"/>
  <c r="DF229" i="1"/>
  <c r="DG228" i="1"/>
  <c r="B373" i="7"/>
  <c r="C373" i="7" l="1"/>
  <c r="B374" i="7"/>
  <c r="DI225" i="1"/>
  <c r="DH226" i="1"/>
  <c r="DF230" i="1"/>
  <c r="DG229" i="1"/>
  <c r="C374" i="7" l="1"/>
  <c r="B375" i="7"/>
  <c r="F374" i="7"/>
  <c r="DG230" i="1"/>
  <c r="DF231" i="1"/>
  <c r="D373" i="7"/>
  <c r="E373" i="7"/>
  <c r="DI226" i="1"/>
  <c r="DH227" i="1"/>
  <c r="F373" i="7"/>
  <c r="C375" i="7" l="1"/>
  <c r="B376" i="7"/>
  <c r="F375" i="7"/>
  <c r="DI227" i="1"/>
  <c r="DH228" i="1"/>
  <c r="DF232" i="1"/>
  <c r="DG231" i="1"/>
  <c r="D374" i="7"/>
  <c r="E374" i="7" s="1"/>
  <c r="DF233" i="1" l="1"/>
  <c r="DG232" i="1"/>
  <c r="C376" i="7"/>
  <c r="DI228" i="1"/>
  <c r="DH229" i="1"/>
  <c r="D375" i="7"/>
  <c r="E375" i="7"/>
  <c r="DI229" i="1" l="1"/>
  <c r="DH230" i="1"/>
  <c r="E376" i="7"/>
  <c r="D376" i="7"/>
  <c r="B379" i="7"/>
  <c r="DG233" i="1"/>
  <c r="DF234" i="1"/>
  <c r="F376" i="7"/>
  <c r="DF235" i="1" l="1"/>
  <c r="DG234" i="1"/>
  <c r="DI230" i="1"/>
  <c r="DH231" i="1"/>
  <c r="C379" i="7"/>
  <c r="B380" i="7" s="1"/>
  <c r="F379" i="7"/>
  <c r="C380" i="7" l="1"/>
  <c r="F380" i="7"/>
  <c r="DI231" i="1"/>
  <c r="DH232" i="1"/>
  <c r="D379" i="7"/>
  <c r="E379" i="7"/>
  <c r="DF236" i="1"/>
  <c r="DG235" i="1"/>
  <c r="DF237" i="1" l="1"/>
  <c r="DG236" i="1"/>
  <c r="D380" i="7"/>
  <c r="E380" i="7" s="1"/>
  <c r="DI232" i="1"/>
  <c r="DH233" i="1"/>
  <c r="B381" i="7"/>
  <c r="C381" i="7" l="1"/>
  <c r="DI233" i="1"/>
  <c r="DH234" i="1"/>
  <c r="DF238" i="1"/>
  <c r="DG237" i="1"/>
  <c r="D381" i="7" l="1"/>
  <c r="E381" i="7" s="1"/>
  <c r="DF239" i="1"/>
  <c r="DG238" i="1"/>
  <c r="B382" i="7"/>
  <c r="DI234" i="1"/>
  <c r="DH235" i="1"/>
  <c r="F381" i="7"/>
  <c r="DI235" i="1" l="1"/>
  <c r="DH236" i="1"/>
  <c r="DG239" i="1"/>
  <c r="DF240" i="1"/>
  <c r="C382" i="7"/>
  <c r="B383" i="7" s="1"/>
  <c r="C383" i="7" l="1"/>
  <c r="DF241" i="1"/>
  <c r="DG240" i="1"/>
  <c r="DI236" i="1"/>
  <c r="DH237" i="1"/>
  <c r="E382" i="7"/>
  <c r="D382" i="7"/>
  <c r="F382" i="7"/>
  <c r="DF242" i="1" l="1"/>
  <c r="DG241" i="1"/>
  <c r="DI237" i="1"/>
  <c r="DH238" i="1"/>
  <c r="D383" i="7"/>
  <c r="E383" i="7" s="1"/>
  <c r="B386" i="7"/>
  <c r="F383" i="7"/>
  <c r="C386" i="7" l="1"/>
  <c r="DI238" i="1"/>
  <c r="DH239" i="1"/>
  <c r="DF243" i="1"/>
  <c r="DG242" i="1"/>
  <c r="D386" i="7" l="1"/>
  <c r="E386" i="7" s="1"/>
  <c r="DF244" i="1"/>
  <c r="DG243" i="1"/>
  <c r="B387" i="7"/>
  <c r="DI239" i="1"/>
  <c r="DH240" i="1"/>
  <c r="F386" i="7"/>
  <c r="DI240" i="1" l="1"/>
  <c r="DH241" i="1"/>
  <c r="DF245" i="1"/>
  <c r="DG244" i="1"/>
  <c r="C387" i="7"/>
  <c r="D387" i="7" l="1"/>
  <c r="E387" i="7"/>
  <c r="DG245" i="1"/>
  <c r="DF246" i="1"/>
  <c r="B388" i="7"/>
  <c r="DI241" i="1"/>
  <c r="DH242" i="1"/>
  <c r="F387" i="7"/>
  <c r="DG246" i="1" l="1"/>
  <c r="DF247" i="1"/>
  <c r="DI242" i="1"/>
  <c r="DH243" i="1"/>
  <c r="C388" i="7"/>
  <c r="F388" i="7"/>
  <c r="DI243" i="1" l="1"/>
  <c r="DH244" i="1"/>
  <c r="D388" i="7"/>
  <c r="E388" i="7" s="1"/>
  <c r="DG247" i="1"/>
  <c r="DF248" i="1"/>
  <c r="B389" i="7"/>
  <c r="C389" i="7" l="1"/>
  <c r="DG248" i="1"/>
  <c r="DF249" i="1"/>
  <c r="DI244" i="1"/>
  <c r="DH245" i="1"/>
  <c r="DI245" i="1" l="1"/>
  <c r="DH246" i="1"/>
  <c r="D389" i="7"/>
  <c r="E389" i="7" s="1"/>
  <c r="B390" i="7"/>
  <c r="DF250" i="1"/>
  <c r="DG249" i="1"/>
  <c r="F389" i="7"/>
  <c r="DG250" i="1" l="1"/>
  <c r="DF251" i="1"/>
  <c r="DI246" i="1"/>
  <c r="DH247" i="1"/>
  <c r="C390" i="7"/>
  <c r="B393" i="7"/>
  <c r="DG251" i="1" l="1"/>
  <c r="DF252" i="1"/>
  <c r="DI247" i="1"/>
  <c r="DH248" i="1"/>
  <c r="C393" i="7"/>
  <c r="E390" i="7"/>
  <c r="D390" i="7"/>
  <c r="F390" i="7"/>
  <c r="DI248" i="1" l="1"/>
  <c r="DH249" i="1"/>
  <c r="D393" i="7"/>
  <c r="E393" i="7"/>
  <c r="F393" i="7"/>
  <c r="DF253" i="1"/>
  <c r="DG252" i="1"/>
  <c r="B394" i="7"/>
  <c r="C394" i="7" l="1"/>
  <c r="B395" i="7"/>
  <c r="DF254" i="1"/>
  <c r="DG253" i="1"/>
  <c r="DI249" i="1"/>
  <c r="DH250" i="1"/>
  <c r="DG254" i="1" l="1"/>
  <c r="DF255" i="1"/>
  <c r="DI250" i="1"/>
  <c r="DH251" i="1"/>
  <c r="C395" i="7"/>
  <c r="E394" i="7"/>
  <c r="D394" i="7"/>
  <c r="F394" i="7"/>
  <c r="DI251" i="1" l="1"/>
  <c r="DH252" i="1"/>
  <c r="D395" i="7"/>
  <c r="E395" i="7" s="1"/>
  <c r="F395" i="7"/>
  <c r="DF256" i="1"/>
  <c r="DG255" i="1"/>
  <c r="B396" i="7"/>
  <c r="C396" i="7" l="1"/>
  <c r="F396" i="7"/>
  <c r="DF257" i="1"/>
  <c r="DG256" i="1"/>
  <c r="DI252" i="1"/>
  <c r="DH253" i="1"/>
  <c r="DF258" i="1" l="1"/>
  <c r="DG257" i="1"/>
  <c r="DI253" i="1"/>
  <c r="DH254" i="1"/>
  <c r="D396" i="7"/>
  <c r="E396" i="7"/>
  <c r="B397" i="7"/>
  <c r="DI254" i="1" l="1"/>
  <c r="DH255" i="1"/>
  <c r="C397" i="7"/>
  <c r="F397" i="7"/>
  <c r="DG258" i="1"/>
  <c r="DF259" i="1"/>
  <c r="DF260" i="1" l="1"/>
  <c r="DG259" i="1"/>
  <c r="D397" i="7"/>
  <c r="E397" i="7" s="1"/>
  <c r="DI255" i="1"/>
  <c r="DH256" i="1"/>
  <c r="B400" i="7"/>
  <c r="C400" i="7" l="1"/>
  <c r="F400" i="7"/>
  <c r="DI256" i="1"/>
  <c r="DH257" i="1"/>
  <c r="DF261" i="1"/>
  <c r="DG260" i="1"/>
  <c r="DF262" i="1" l="1"/>
  <c r="DG261" i="1"/>
  <c r="D400" i="7"/>
  <c r="E400" i="7"/>
  <c r="DI257" i="1"/>
  <c r="DH258" i="1"/>
  <c r="B401" i="7"/>
  <c r="C401" i="7" l="1"/>
  <c r="F401" i="7"/>
  <c r="DI258" i="1"/>
  <c r="DH259" i="1"/>
  <c r="DF263" i="1"/>
  <c r="DG262" i="1"/>
  <c r="DG263" i="1" l="1"/>
  <c r="DF264" i="1"/>
  <c r="D401" i="7"/>
  <c r="E401" i="7" s="1"/>
  <c r="DI259" i="1"/>
  <c r="DH260" i="1"/>
  <c r="B402" i="7"/>
  <c r="C402" i="7" l="1"/>
  <c r="B403" i="7"/>
  <c r="DI260" i="1"/>
  <c r="DH261" i="1"/>
  <c r="DF265" i="1"/>
  <c r="DG264" i="1"/>
  <c r="C403" i="7" l="1"/>
  <c r="B404" i="7"/>
  <c r="DF266" i="1"/>
  <c r="DG265" i="1"/>
  <c r="D402" i="7"/>
  <c r="E402" i="7" s="1"/>
  <c r="DI261" i="1"/>
  <c r="DH262" i="1"/>
  <c r="F402" i="7"/>
  <c r="DF267" i="1" l="1"/>
  <c r="DG266" i="1"/>
  <c r="C404" i="7"/>
  <c r="B407" i="7"/>
  <c r="D403" i="7"/>
  <c r="E403" i="7" s="1"/>
  <c r="DI262" i="1"/>
  <c r="DH263" i="1"/>
  <c r="F403" i="7"/>
  <c r="C407" i="7" l="1"/>
  <c r="F407" i="7"/>
  <c r="B408" i="7"/>
  <c r="D404" i="7"/>
  <c r="E404" i="7" s="1"/>
  <c r="DI263" i="1"/>
  <c r="DH264" i="1"/>
  <c r="F404" i="7"/>
  <c r="DG267" i="1"/>
  <c r="DF268" i="1"/>
  <c r="DI264" i="1" l="1"/>
  <c r="DH265" i="1"/>
  <c r="C408" i="7"/>
  <c r="DG268" i="1"/>
  <c r="DF269" i="1"/>
  <c r="E407" i="7"/>
  <c r="D407" i="7"/>
  <c r="D408" i="7" l="1"/>
  <c r="E408" i="7"/>
  <c r="DF270" i="1"/>
  <c r="DG269" i="1"/>
  <c r="B409" i="7"/>
  <c r="DI265" i="1"/>
  <c r="DH266" i="1"/>
  <c r="F408" i="7"/>
  <c r="DI266" i="1" l="1"/>
  <c r="DH267" i="1"/>
  <c r="DG270" i="1"/>
  <c r="DF271" i="1"/>
  <c r="C409" i="7"/>
  <c r="F409" i="7"/>
  <c r="DF272" i="1" l="1"/>
  <c r="DG271" i="1"/>
  <c r="D409" i="7"/>
  <c r="E409" i="7" s="1"/>
  <c r="DI267" i="1"/>
  <c r="DH268" i="1"/>
  <c r="B410" i="7"/>
  <c r="C410" i="7" l="1"/>
  <c r="B411" i="7"/>
  <c r="DI268" i="1"/>
  <c r="DH269" i="1"/>
  <c r="DF273" i="1"/>
  <c r="DG272" i="1"/>
  <c r="DG273" i="1" l="1"/>
  <c r="DF274" i="1"/>
  <c r="E410" i="7"/>
  <c r="D410" i="7"/>
  <c r="C411" i="7"/>
  <c r="B414" i="7"/>
  <c r="DI269" i="1"/>
  <c r="DH270" i="1"/>
  <c r="F410" i="7"/>
  <c r="C414" i="7" l="1"/>
  <c r="B415" i="7"/>
  <c r="E411" i="7"/>
  <c r="D411" i="7"/>
  <c r="DG274" i="1"/>
  <c r="DF275" i="1"/>
  <c r="DI270" i="1"/>
  <c r="DH271" i="1"/>
  <c r="F411" i="7"/>
  <c r="DF276" i="1" l="1"/>
  <c r="DG275" i="1"/>
  <c r="B416" i="7"/>
  <c r="F415" i="7"/>
  <c r="C415" i="7"/>
  <c r="D414" i="7"/>
  <c r="E414" i="7" s="1"/>
  <c r="DI271" i="1"/>
  <c r="DH272" i="1"/>
  <c r="F414" i="7"/>
  <c r="C416" i="7" l="1"/>
  <c r="F416" i="7"/>
  <c r="DI272" i="1"/>
  <c r="DH273" i="1"/>
  <c r="D415" i="7"/>
  <c r="E415" i="7" s="1"/>
  <c r="DF277" i="1"/>
  <c r="DG276" i="1"/>
  <c r="DF278" i="1" l="1"/>
  <c r="DG277" i="1"/>
  <c r="D416" i="7"/>
  <c r="E416" i="7"/>
  <c r="DI273" i="1"/>
  <c r="DH274" i="1"/>
  <c r="B417" i="7"/>
  <c r="C417" i="7" l="1"/>
  <c r="F417" i="7"/>
  <c r="DI274" i="1"/>
  <c r="DH275" i="1"/>
  <c r="DG278" i="1"/>
  <c r="DF279" i="1"/>
  <c r="DI275" i="1" l="1"/>
  <c r="DH276" i="1"/>
  <c r="DG279" i="1"/>
  <c r="DF280" i="1"/>
  <c r="D417" i="7"/>
  <c r="E417" i="7" s="1"/>
  <c r="B418" i="7"/>
  <c r="DF281" i="1" l="1"/>
  <c r="DG280" i="1"/>
  <c r="C418" i="7"/>
  <c r="DI276" i="1"/>
  <c r="DH277" i="1"/>
  <c r="D418" i="7" l="1"/>
  <c r="E418" i="7" s="1"/>
  <c r="DI277" i="1"/>
  <c r="DH278" i="1"/>
  <c r="F418" i="7"/>
  <c r="B421" i="7"/>
  <c r="DF282" i="1"/>
  <c r="DG281" i="1"/>
  <c r="DI278" i="1" l="1"/>
  <c r="DH279" i="1"/>
  <c r="DG282" i="1"/>
  <c r="DF283" i="1"/>
  <c r="C421" i="7"/>
  <c r="F421" i="7"/>
  <c r="DF284" i="1" l="1"/>
  <c r="DG283" i="1"/>
  <c r="D421" i="7"/>
  <c r="E421" i="7" s="1"/>
  <c r="DI279" i="1"/>
  <c r="DH280" i="1"/>
  <c r="B422" i="7"/>
  <c r="C422" i="7" l="1"/>
  <c r="B423" i="7"/>
  <c r="DI280" i="1"/>
  <c r="DH281" i="1"/>
  <c r="DG284" i="1"/>
  <c r="DF285" i="1"/>
  <c r="DG285" i="1" l="1"/>
  <c r="DF286" i="1"/>
  <c r="B424" i="7"/>
  <c r="F423" i="7"/>
  <c r="C423" i="7"/>
  <c r="D422" i="7"/>
  <c r="E422" i="7" s="1"/>
  <c r="DI281" i="1"/>
  <c r="DH282" i="1"/>
  <c r="F422" i="7"/>
  <c r="C424" i="7" l="1"/>
  <c r="F424" i="7"/>
  <c r="DG286" i="1"/>
  <c r="DF287" i="1"/>
  <c r="DI282" i="1"/>
  <c r="DH283" i="1"/>
  <c r="E423" i="7"/>
  <c r="D423" i="7"/>
  <c r="DI283" i="1" l="1"/>
  <c r="DH284" i="1"/>
  <c r="D424" i="7"/>
  <c r="E424" i="7"/>
  <c r="DF288" i="1"/>
  <c r="DG287" i="1"/>
  <c r="B425" i="7"/>
  <c r="C425" i="7" l="1"/>
  <c r="F425" i="7"/>
  <c r="B428" i="7"/>
  <c r="DI284" i="1"/>
  <c r="DH285" i="1"/>
  <c r="DF289" i="1"/>
  <c r="DG288" i="1"/>
  <c r="C428" i="7" l="1"/>
  <c r="DF290" i="1"/>
  <c r="DG289" i="1"/>
  <c r="DI285" i="1"/>
  <c r="DH286" i="1"/>
  <c r="E425" i="7"/>
  <c r="D425" i="7"/>
  <c r="DF291" i="1" l="1"/>
  <c r="DG290" i="1"/>
  <c r="DI286" i="1"/>
  <c r="DH287" i="1"/>
  <c r="D428" i="7"/>
  <c r="E428" i="7" s="1"/>
  <c r="B429" i="7"/>
  <c r="F428" i="7"/>
  <c r="DI287" i="1" l="1"/>
  <c r="DH288" i="1"/>
  <c r="B430" i="7"/>
  <c r="F429" i="7"/>
  <c r="C429" i="7"/>
  <c r="DF292" i="1"/>
  <c r="DG291" i="1"/>
  <c r="C430" i="7" l="1"/>
  <c r="DF293" i="1"/>
  <c r="DG292" i="1"/>
  <c r="DI288" i="1"/>
  <c r="DH289" i="1"/>
  <c r="E429" i="7"/>
  <c r="D429" i="7"/>
  <c r="DF294" i="1" l="1"/>
  <c r="DG293" i="1"/>
  <c r="DI289" i="1"/>
  <c r="DH290" i="1"/>
  <c r="D430" i="7"/>
  <c r="E430" i="7" s="1"/>
  <c r="F430" i="7"/>
  <c r="B431" i="7"/>
  <c r="C431" i="7" l="1"/>
  <c r="F431" i="7"/>
  <c r="DI290" i="1"/>
  <c r="DH291" i="1"/>
  <c r="DG294" i="1"/>
  <c r="DF295" i="1"/>
  <c r="DF296" i="1" l="1"/>
  <c r="DG295" i="1"/>
  <c r="D431" i="7"/>
  <c r="E431" i="7"/>
  <c r="DI291" i="1"/>
  <c r="DH292" i="1"/>
  <c r="B432" i="7"/>
  <c r="C432" i="7" l="1"/>
  <c r="B435" i="7"/>
  <c r="DI292" i="1"/>
  <c r="DH293" i="1"/>
  <c r="DG296" i="1"/>
  <c r="DF297" i="1"/>
  <c r="DF298" i="1" l="1"/>
  <c r="DG297" i="1"/>
  <c r="B436" i="7"/>
  <c r="C435" i="7"/>
  <c r="D432" i="7"/>
  <c r="E432" i="7" s="1"/>
  <c r="DI293" i="1"/>
  <c r="DH294" i="1"/>
  <c r="F432" i="7"/>
  <c r="C436" i="7" l="1"/>
  <c r="B437" i="7"/>
  <c r="D435" i="7"/>
  <c r="E435" i="7" s="1"/>
  <c r="DI294" i="1"/>
  <c r="DH295" i="1"/>
  <c r="F435" i="7"/>
  <c r="DG298" i="1"/>
  <c r="DF299" i="1"/>
  <c r="C437" i="7" l="1"/>
  <c r="F437" i="7"/>
  <c r="B438" i="7"/>
  <c r="D436" i="7"/>
  <c r="E436" i="7" s="1"/>
  <c r="DI295" i="1"/>
  <c r="DH296" i="1"/>
  <c r="DF300" i="1"/>
  <c r="DG299" i="1"/>
  <c r="F436" i="7"/>
  <c r="DG300" i="1" l="1"/>
  <c r="DF301" i="1"/>
  <c r="DI296" i="1"/>
  <c r="DH297" i="1"/>
  <c r="C438" i="7"/>
  <c r="B439" i="7"/>
  <c r="F438" i="7"/>
  <c r="E437" i="7"/>
  <c r="D437" i="7"/>
  <c r="DI297" i="1" l="1"/>
  <c r="DH298" i="1"/>
  <c r="DF302" i="1"/>
  <c r="DG301" i="1"/>
  <c r="C439" i="7"/>
  <c r="F439" i="7"/>
  <c r="B442" i="7"/>
  <c r="D438" i="7"/>
  <c r="E438" i="7" s="1"/>
  <c r="C442" i="7" l="1"/>
  <c r="F442" i="7"/>
  <c r="DF303" i="1"/>
  <c r="DG302" i="1"/>
  <c r="DI298" i="1"/>
  <c r="DH299" i="1"/>
  <c r="E439" i="7"/>
  <c r="D439" i="7"/>
  <c r="DF304" i="1" l="1"/>
  <c r="DG303" i="1"/>
  <c r="DI299" i="1"/>
  <c r="DH300" i="1"/>
  <c r="D442" i="7"/>
  <c r="E442" i="7"/>
  <c r="B443" i="7"/>
  <c r="DI300" i="1" l="1"/>
  <c r="DH301" i="1"/>
  <c r="C443" i="7"/>
  <c r="DF305" i="1"/>
  <c r="DG304" i="1"/>
  <c r="D443" i="7" l="1"/>
  <c r="E443" i="7" s="1"/>
  <c r="B444" i="7"/>
  <c r="DG305" i="1"/>
  <c r="DF306" i="1"/>
  <c r="DI301" i="1"/>
  <c r="DH302" i="1"/>
  <c r="F443" i="7"/>
  <c r="DI302" i="1" l="1"/>
  <c r="DH303" i="1"/>
  <c r="C444" i="7"/>
  <c r="DF307" i="1"/>
  <c r="DG306" i="1"/>
  <c r="D444" i="7" l="1"/>
  <c r="E444" i="7" s="1"/>
  <c r="F444" i="7"/>
  <c r="DG307" i="1"/>
  <c r="DF308" i="1"/>
  <c r="DI303" i="1"/>
  <c r="DH304" i="1"/>
  <c r="B445" i="7"/>
  <c r="C445" i="7" l="1"/>
  <c r="DI304" i="1"/>
  <c r="DH305" i="1"/>
  <c r="DF309" i="1"/>
  <c r="DG308" i="1"/>
  <c r="DI305" i="1" l="1"/>
  <c r="DH306" i="1"/>
  <c r="D445" i="7"/>
  <c r="E445" i="7" s="1"/>
  <c r="DF310" i="1"/>
  <c r="DG309" i="1"/>
  <c r="F445" i="7"/>
  <c r="DI306" i="1" l="1"/>
  <c r="DH307" i="1"/>
  <c r="DF311" i="1"/>
  <c r="DG310" i="1"/>
  <c r="DG311" i="1" l="1"/>
  <c r="DF312" i="1"/>
  <c r="DI307" i="1"/>
  <c r="DH308" i="1"/>
  <c r="DI308" i="1" l="1"/>
  <c r="DH309" i="1"/>
  <c r="DF313" i="1"/>
  <c r="DG312" i="1"/>
  <c r="DG313" i="1" l="1"/>
  <c r="DF314" i="1"/>
  <c r="DI309" i="1"/>
  <c r="DH310" i="1"/>
  <c r="DG314" i="1" l="1"/>
  <c r="DF315" i="1"/>
  <c r="DI310" i="1"/>
  <c r="DH311" i="1"/>
  <c r="DI311" i="1" l="1"/>
  <c r="DH312" i="1"/>
  <c r="DF316" i="1"/>
  <c r="DG315" i="1"/>
  <c r="DG316" i="1" l="1"/>
  <c r="DF317" i="1"/>
  <c r="DI312" i="1"/>
  <c r="DH313" i="1"/>
  <c r="DI313" i="1" l="1"/>
  <c r="DH314" i="1"/>
  <c r="DG317" i="1"/>
  <c r="DF318" i="1"/>
  <c r="DG318" i="1" l="1"/>
  <c r="DF319" i="1"/>
  <c r="DI314" i="1"/>
  <c r="DH315" i="1"/>
  <c r="DI315" i="1" l="1"/>
  <c r="DH316" i="1"/>
  <c r="DF320" i="1"/>
  <c r="DG319" i="1"/>
  <c r="DG320" i="1" l="1"/>
  <c r="DF321" i="1"/>
  <c r="DI316" i="1"/>
  <c r="DH317" i="1"/>
  <c r="DI317" i="1" l="1"/>
  <c r="DH318" i="1"/>
  <c r="DF322" i="1"/>
  <c r="DG321" i="1"/>
  <c r="DF323" i="1" l="1"/>
  <c r="DG322" i="1"/>
  <c r="DI318" i="1"/>
  <c r="DH319" i="1"/>
  <c r="DI319" i="1" l="1"/>
  <c r="DH320" i="1"/>
  <c r="DF324" i="1"/>
  <c r="DG323" i="1"/>
  <c r="DG324" i="1" l="1"/>
  <c r="DF325" i="1"/>
  <c r="DI320" i="1"/>
  <c r="DH321" i="1"/>
  <c r="DI321" i="1" l="1"/>
  <c r="DH322" i="1"/>
  <c r="DF326" i="1"/>
  <c r="DG325" i="1"/>
  <c r="DF327" i="1" l="1"/>
  <c r="DG326" i="1"/>
  <c r="DI322" i="1"/>
  <c r="DH323" i="1"/>
  <c r="DI323" i="1" l="1"/>
  <c r="DH324" i="1"/>
  <c r="DG327" i="1"/>
  <c r="DF328" i="1"/>
  <c r="DF329" i="1" l="1"/>
  <c r="DG328" i="1"/>
  <c r="DI324" i="1"/>
  <c r="DH325" i="1"/>
  <c r="DI325" i="1" l="1"/>
  <c r="DH326" i="1"/>
  <c r="DF330" i="1"/>
  <c r="DG329" i="1"/>
  <c r="DG330" i="1" l="1"/>
  <c r="DF331" i="1"/>
  <c r="DI326" i="1"/>
  <c r="DH327" i="1"/>
  <c r="DI327" i="1" l="1"/>
  <c r="DH328" i="1"/>
  <c r="DF332" i="1"/>
  <c r="DG331" i="1"/>
  <c r="DG332" i="1" l="1"/>
  <c r="DF333" i="1"/>
  <c r="DI328" i="1"/>
  <c r="DH329" i="1"/>
  <c r="DI329" i="1" l="1"/>
  <c r="DH330" i="1"/>
  <c r="DG333" i="1"/>
  <c r="DF334" i="1"/>
  <c r="DF335" i="1" l="1"/>
  <c r="DG334" i="1"/>
  <c r="DI330" i="1"/>
  <c r="DH331" i="1"/>
  <c r="DI331" i="1" l="1"/>
  <c r="DH332" i="1"/>
  <c r="DF336" i="1"/>
  <c r="DG335" i="1"/>
  <c r="DG336" i="1" l="1"/>
  <c r="DF337" i="1"/>
  <c r="DI332" i="1"/>
  <c r="DH333" i="1"/>
  <c r="DI333" i="1" l="1"/>
  <c r="DH334" i="1"/>
  <c r="DF338" i="1"/>
  <c r="DG337" i="1"/>
  <c r="DG338" i="1" l="1"/>
  <c r="DF339" i="1"/>
  <c r="DI334" i="1"/>
  <c r="DH335" i="1"/>
  <c r="DI335" i="1" l="1"/>
  <c r="DH336" i="1"/>
  <c r="DF340" i="1"/>
  <c r="DG339" i="1"/>
  <c r="DG340" i="1" l="1"/>
  <c r="DF341" i="1"/>
  <c r="DI336" i="1"/>
  <c r="DH337" i="1"/>
  <c r="DI337" i="1" l="1"/>
  <c r="DH338" i="1"/>
  <c r="DF342" i="1"/>
  <c r="DG341" i="1"/>
  <c r="DF343" i="1" l="1"/>
  <c r="DG342" i="1"/>
  <c r="DI338" i="1"/>
  <c r="DH339" i="1"/>
  <c r="DI339" i="1" l="1"/>
  <c r="DH340" i="1"/>
  <c r="DF344" i="1"/>
  <c r="DG343" i="1"/>
  <c r="DG344" i="1" l="1"/>
  <c r="DF345" i="1"/>
  <c r="DI340" i="1"/>
  <c r="DH341" i="1"/>
  <c r="DI341" i="1" l="1"/>
  <c r="DH342" i="1"/>
  <c r="DF346" i="1"/>
  <c r="DG345" i="1"/>
  <c r="DF347" i="1" l="1"/>
  <c r="DG346" i="1"/>
  <c r="DI342" i="1"/>
  <c r="DH343" i="1"/>
  <c r="DI343" i="1" l="1"/>
  <c r="DH344" i="1"/>
  <c r="DF348" i="1"/>
  <c r="DG347" i="1"/>
  <c r="DF349" i="1" l="1"/>
  <c r="DG348" i="1"/>
  <c r="DI344" i="1"/>
  <c r="DH345" i="1"/>
  <c r="DI345" i="1" l="1"/>
  <c r="DH346" i="1"/>
  <c r="DG349" i="1"/>
  <c r="DF350" i="1"/>
  <c r="DG350" i="1" l="1"/>
  <c r="DF351" i="1"/>
  <c r="DI346" i="1"/>
  <c r="DH347" i="1"/>
  <c r="DI347" i="1" l="1"/>
  <c r="DH348" i="1"/>
  <c r="DF352" i="1"/>
  <c r="DG351" i="1"/>
  <c r="DF353" i="1" l="1"/>
  <c r="DG352" i="1"/>
  <c r="DI348" i="1"/>
  <c r="DH349" i="1"/>
  <c r="DI349" i="1" l="1"/>
  <c r="DH350" i="1"/>
  <c r="DF354" i="1"/>
  <c r="DG353" i="1"/>
  <c r="DF355" i="1" l="1"/>
  <c r="DG354" i="1"/>
  <c r="DI350" i="1"/>
  <c r="DH351" i="1"/>
  <c r="DI351" i="1" l="1"/>
  <c r="DH352" i="1"/>
  <c r="DG355" i="1"/>
  <c r="DF356" i="1"/>
  <c r="DG356" i="1" l="1"/>
  <c r="DF357" i="1"/>
  <c r="DI352" i="1"/>
  <c r="DH353" i="1"/>
  <c r="DI353" i="1" l="1"/>
  <c r="DH354" i="1"/>
  <c r="DF358" i="1"/>
  <c r="DG357" i="1"/>
  <c r="DF359" i="1" l="1"/>
  <c r="DG358" i="1"/>
  <c r="DI354" i="1"/>
  <c r="DH355" i="1"/>
  <c r="DI355" i="1" l="1"/>
  <c r="DH356" i="1"/>
  <c r="DF360" i="1"/>
  <c r="DG359" i="1"/>
  <c r="DG360" i="1" l="1"/>
  <c r="DF361" i="1"/>
  <c r="DI356" i="1"/>
  <c r="DH357" i="1"/>
  <c r="DI357" i="1" l="1"/>
  <c r="DH358" i="1"/>
  <c r="DG361" i="1"/>
  <c r="DF362" i="1"/>
  <c r="DG362" i="1" l="1"/>
  <c r="DF363" i="1"/>
  <c r="DI358" i="1"/>
  <c r="DH359" i="1"/>
  <c r="DI359" i="1" l="1"/>
  <c r="DH360" i="1"/>
  <c r="DF364" i="1"/>
  <c r="DG363" i="1"/>
  <c r="DF365" i="1" l="1"/>
  <c r="DG364" i="1"/>
  <c r="DI360" i="1"/>
  <c r="DH361" i="1"/>
  <c r="DI361" i="1" l="1"/>
  <c r="DH362" i="1"/>
  <c r="DF366" i="1"/>
  <c r="DG365" i="1"/>
  <c r="DG366" i="1" l="1"/>
  <c r="DF367" i="1"/>
  <c r="DI362" i="1"/>
  <c r="DH363" i="1"/>
  <c r="DI363" i="1" l="1"/>
  <c r="DH364" i="1"/>
  <c r="DF368" i="1"/>
  <c r="DG367" i="1"/>
  <c r="DG368" i="1" l="1"/>
  <c r="DF369" i="1"/>
  <c r="DI364" i="1"/>
  <c r="DH365" i="1"/>
  <c r="DI365" i="1" l="1"/>
  <c r="DH366" i="1"/>
  <c r="DF370" i="1"/>
  <c r="DG369" i="1"/>
  <c r="DF371" i="1" l="1"/>
  <c r="DG370" i="1"/>
  <c r="DI366" i="1"/>
  <c r="DH367" i="1"/>
  <c r="DI367" i="1" l="1"/>
  <c r="DH368" i="1"/>
  <c r="DF372" i="1"/>
  <c r="DG371" i="1"/>
  <c r="DF373" i="1" l="1"/>
  <c r="DG372" i="1"/>
  <c r="DI368" i="1"/>
  <c r="DH369" i="1"/>
  <c r="DI369" i="1" l="1"/>
  <c r="DH370" i="1"/>
  <c r="DG373" i="1"/>
  <c r="DF374" i="1"/>
  <c r="DG374" i="1" l="1"/>
  <c r="DF375" i="1"/>
  <c r="DI370" i="1"/>
  <c r="DH371" i="1"/>
  <c r="DI371" i="1" l="1"/>
  <c r="DH372" i="1"/>
  <c r="DF376" i="1"/>
  <c r="DG375" i="1"/>
  <c r="DG376" i="1" l="1"/>
  <c r="DF377" i="1"/>
  <c r="DI372" i="1"/>
  <c r="DH373" i="1"/>
  <c r="DI373" i="1" l="1"/>
  <c r="DH374" i="1"/>
  <c r="DF378" i="1"/>
  <c r="DG377" i="1"/>
  <c r="DG378" i="1" l="1"/>
  <c r="DF379" i="1"/>
  <c r="DI374" i="1"/>
  <c r="DH375" i="1"/>
  <c r="DI375" i="1" l="1"/>
  <c r="DH376" i="1"/>
  <c r="DG379" i="1"/>
  <c r="DF380" i="1"/>
  <c r="DG380" i="1" l="1"/>
  <c r="DF381" i="1"/>
  <c r="DI376" i="1"/>
  <c r="DH377" i="1"/>
  <c r="DI377" i="1" l="1"/>
  <c r="DH378" i="1"/>
  <c r="DF382" i="1"/>
  <c r="DG381" i="1"/>
  <c r="DG382" i="1" l="1"/>
  <c r="DF383" i="1"/>
  <c r="DI378" i="1"/>
  <c r="DH379" i="1"/>
  <c r="DI379" i="1" l="1"/>
  <c r="DH380" i="1"/>
  <c r="DF384" i="1"/>
  <c r="DG383" i="1"/>
  <c r="DF385" i="1" l="1"/>
  <c r="DG384" i="1"/>
  <c r="DI380" i="1"/>
  <c r="DH381" i="1"/>
  <c r="DI381" i="1" l="1"/>
  <c r="DH382" i="1"/>
  <c r="DF386" i="1"/>
  <c r="DG385" i="1"/>
  <c r="DF387" i="1" l="1"/>
  <c r="DG386" i="1"/>
  <c r="DI382" i="1"/>
  <c r="DH383" i="1"/>
  <c r="DI383" i="1" l="1"/>
  <c r="DH384" i="1"/>
  <c r="DF388" i="1"/>
  <c r="DG387" i="1"/>
  <c r="DF389" i="1" l="1"/>
  <c r="DG388" i="1"/>
  <c r="DI384" i="1"/>
  <c r="DH385" i="1"/>
  <c r="DI385" i="1" l="1"/>
  <c r="DH386" i="1"/>
  <c r="DG389" i="1"/>
  <c r="DF390" i="1"/>
  <c r="DF391" i="1" l="1"/>
  <c r="DG390" i="1"/>
  <c r="DI386" i="1"/>
  <c r="DH387" i="1"/>
  <c r="DI387" i="1" l="1"/>
  <c r="DH388" i="1"/>
  <c r="DF392" i="1"/>
  <c r="DG391" i="1"/>
  <c r="DF393" i="1" l="1"/>
  <c r="DG392" i="1"/>
  <c r="DI388" i="1"/>
  <c r="DH389" i="1"/>
  <c r="DI389" i="1" l="1"/>
  <c r="DH390" i="1"/>
  <c r="DG393" i="1"/>
  <c r="DF394" i="1"/>
  <c r="DF395" i="1" l="1"/>
  <c r="DG394" i="1"/>
  <c r="DI390" i="1"/>
  <c r="DH391" i="1"/>
  <c r="DI391" i="1" l="1"/>
  <c r="DH392" i="1"/>
  <c r="DG395" i="1"/>
  <c r="DF396" i="1"/>
  <c r="DG396" i="1" l="1"/>
  <c r="DF397" i="1"/>
  <c r="DI392" i="1"/>
  <c r="DH393" i="1"/>
  <c r="DI393" i="1" l="1"/>
  <c r="DH394" i="1"/>
  <c r="DG397" i="1"/>
  <c r="DF398" i="1"/>
  <c r="DG398" i="1" l="1"/>
  <c r="DF399" i="1"/>
  <c r="DI394" i="1"/>
  <c r="DH395" i="1"/>
  <c r="DI395" i="1" l="1"/>
  <c r="DH396" i="1"/>
  <c r="DG399" i="1"/>
  <c r="DF400" i="1"/>
  <c r="DG400" i="1" l="1"/>
  <c r="DF401" i="1"/>
  <c r="DI396" i="1"/>
  <c r="DH397" i="1"/>
  <c r="DI397" i="1" l="1"/>
  <c r="DH398" i="1"/>
  <c r="DG401" i="1"/>
  <c r="DF402" i="1"/>
  <c r="DF403" i="1" l="1"/>
  <c r="DG402" i="1"/>
  <c r="DI398" i="1"/>
  <c r="DH399" i="1"/>
  <c r="DI399" i="1" l="1"/>
  <c r="DH400" i="1"/>
  <c r="DG403" i="1"/>
  <c r="DF404" i="1"/>
  <c r="DF405" i="1" l="1"/>
  <c r="DG404" i="1"/>
  <c r="DI400" i="1"/>
  <c r="DH401" i="1"/>
  <c r="DI401" i="1" l="1"/>
  <c r="DH402" i="1"/>
  <c r="DF406" i="1"/>
  <c r="DG405" i="1"/>
  <c r="DF407" i="1" l="1"/>
  <c r="DG406" i="1"/>
  <c r="DI402" i="1"/>
  <c r="DH403" i="1"/>
  <c r="DI403" i="1" l="1"/>
  <c r="DH404" i="1"/>
  <c r="DG407" i="1"/>
  <c r="DF408" i="1"/>
  <c r="DG408" i="1" l="1"/>
  <c r="DF409" i="1"/>
  <c r="DI404" i="1"/>
  <c r="DH405" i="1"/>
  <c r="DI405" i="1" l="1"/>
  <c r="DH406" i="1"/>
  <c r="DG409" i="1"/>
  <c r="DF410" i="1"/>
  <c r="DG410" i="1" l="1"/>
  <c r="DF411" i="1"/>
  <c r="DI406" i="1"/>
  <c r="DH407" i="1"/>
  <c r="DI407" i="1" l="1"/>
  <c r="DH408" i="1"/>
  <c r="DG411" i="1"/>
  <c r="DF412" i="1"/>
  <c r="DF413" i="1" l="1"/>
  <c r="DG412" i="1"/>
  <c r="DI408" i="1"/>
  <c r="DH409" i="1"/>
  <c r="DI409" i="1" l="1"/>
  <c r="DH410" i="1"/>
  <c r="DF414" i="1"/>
  <c r="DG413" i="1"/>
  <c r="DG414" i="1" l="1"/>
  <c r="DF415" i="1"/>
  <c r="DI410" i="1"/>
  <c r="DH411" i="1"/>
  <c r="DI411" i="1" l="1"/>
  <c r="DH412" i="1"/>
  <c r="DF416" i="1"/>
  <c r="DG415" i="1"/>
  <c r="DF417" i="1" l="1"/>
  <c r="DG416" i="1"/>
  <c r="DI412" i="1"/>
  <c r="DH413" i="1"/>
  <c r="DI413" i="1" l="1"/>
  <c r="DH414" i="1"/>
  <c r="DG417" i="1"/>
  <c r="DF418" i="1"/>
  <c r="DG418" i="1" l="1"/>
  <c r="DF419" i="1"/>
  <c r="DI414" i="1"/>
  <c r="DH415" i="1"/>
  <c r="DI415" i="1" l="1"/>
  <c r="DH416" i="1"/>
  <c r="DF420" i="1"/>
  <c r="DG419" i="1"/>
  <c r="DG420" i="1" l="1"/>
  <c r="DF421" i="1"/>
  <c r="DI416" i="1"/>
  <c r="DH417" i="1"/>
  <c r="DI417" i="1" l="1"/>
  <c r="DH418" i="1"/>
  <c r="DF422" i="1"/>
  <c r="DG421" i="1"/>
  <c r="DF423" i="1" l="1"/>
  <c r="DG422" i="1"/>
  <c r="DI418" i="1"/>
  <c r="DH419" i="1"/>
  <c r="DI419" i="1" l="1"/>
  <c r="DH420" i="1"/>
  <c r="DG423" i="1"/>
  <c r="DF424" i="1"/>
  <c r="DG424" i="1" l="1"/>
  <c r="DF425" i="1"/>
  <c r="DI420" i="1"/>
  <c r="DH421" i="1"/>
  <c r="DI421" i="1" l="1"/>
  <c r="DH422" i="1"/>
  <c r="DF426" i="1"/>
  <c r="DG425" i="1"/>
  <c r="DF427" i="1" l="1"/>
  <c r="DG426" i="1"/>
  <c r="DI422" i="1"/>
  <c r="DH423" i="1"/>
  <c r="DI423" i="1" l="1"/>
  <c r="DH424" i="1"/>
  <c r="DF428" i="1"/>
  <c r="DG427" i="1"/>
  <c r="DF429" i="1" l="1"/>
  <c r="DG428" i="1"/>
  <c r="DI424" i="1"/>
  <c r="DH425" i="1"/>
  <c r="DI425" i="1" l="1"/>
  <c r="DH426" i="1"/>
  <c r="DF430" i="1"/>
  <c r="DG429" i="1"/>
  <c r="DG430" i="1" l="1"/>
  <c r="DF431" i="1"/>
  <c r="DI426" i="1"/>
  <c r="DH427" i="1"/>
  <c r="DI427" i="1" l="1"/>
  <c r="DH428" i="1"/>
  <c r="DF432" i="1"/>
  <c r="DG431" i="1"/>
  <c r="DG432" i="1" l="1"/>
  <c r="DF433" i="1"/>
  <c r="DI428" i="1"/>
  <c r="DH429" i="1"/>
  <c r="DI429" i="1" l="1"/>
  <c r="DH430" i="1"/>
  <c r="DF434" i="1"/>
  <c r="DG433" i="1"/>
  <c r="DG434" i="1" l="1"/>
  <c r="DF435" i="1"/>
  <c r="DI430" i="1"/>
  <c r="DH431" i="1"/>
  <c r="DI431" i="1" l="1"/>
  <c r="DH432" i="1"/>
  <c r="DF436" i="1"/>
  <c r="DG435" i="1"/>
  <c r="DF437" i="1" l="1"/>
  <c r="DG436" i="1"/>
  <c r="DI432" i="1"/>
  <c r="DH433" i="1"/>
  <c r="DI433" i="1" l="1"/>
  <c r="DH434" i="1"/>
  <c r="DF438" i="1"/>
  <c r="DG437" i="1"/>
  <c r="DG438" i="1" l="1"/>
  <c r="DF439" i="1"/>
  <c r="DI434" i="1"/>
  <c r="DH435" i="1"/>
  <c r="DI435" i="1" l="1"/>
  <c r="DH436" i="1"/>
  <c r="DF440" i="1"/>
  <c r="DG439" i="1"/>
  <c r="DG440" i="1" l="1"/>
  <c r="DF441" i="1"/>
  <c r="DI436" i="1"/>
  <c r="DH437" i="1"/>
  <c r="DI437" i="1" l="1"/>
  <c r="DH438" i="1"/>
  <c r="DF442" i="1"/>
  <c r="DG441" i="1"/>
  <c r="DG442" i="1" l="1"/>
  <c r="DF443" i="1"/>
  <c r="DI438" i="1"/>
  <c r="DH439" i="1"/>
  <c r="DI439" i="1" l="1"/>
  <c r="DH440" i="1"/>
  <c r="DF444" i="1"/>
  <c r="DG443" i="1"/>
  <c r="DF445" i="1" l="1"/>
  <c r="DG444" i="1"/>
  <c r="DI440" i="1"/>
  <c r="DH441" i="1"/>
  <c r="DI441" i="1" l="1"/>
  <c r="DH442" i="1"/>
  <c r="DF446" i="1"/>
  <c r="DG445" i="1"/>
  <c r="DG446" i="1" l="1"/>
  <c r="DF447" i="1"/>
  <c r="DI442" i="1"/>
  <c r="DH443" i="1"/>
  <c r="DI443" i="1" l="1"/>
  <c r="DH444" i="1"/>
  <c r="DF448" i="1"/>
  <c r="DG447" i="1"/>
  <c r="DG448" i="1" l="1"/>
  <c r="DF449" i="1"/>
  <c r="DI444" i="1"/>
  <c r="DH445" i="1"/>
  <c r="DI445" i="1" l="1"/>
  <c r="DH446" i="1"/>
  <c r="DF450" i="1"/>
  <c r="DG449" i="1"/>
  <c r="DG450" i="1" l="1"/>
  <c r="DF451" i="1"/>
  <c r="DI446" i="1"/>
  <c r="DH447" i="1"/>
  <c r="DI447" i="1" l="1"/>
  <c r="DH448" i="1"/>
  <c r="DF452" i="1"/>
  <c r="DG451" i="1"/>
  <c r="DF453" i="1" l="1"/>
  <c r="DG452" i="1"/>
  <c r="DI448" i="1"/>
  <c r="DH449" i="1"/>
  <c r="DI449" i="1" l="1"/>
  <c r="DH450" i="1"/>
  <c r="DF454" i="1"/>
  <c r="DG453" i="1"/>
  <c r="DF455" i="1" l="1"/>
  <c r="DG454" i="1"/>
  <c r="DI450" i="1"/>
  <c r="DH451" i="1"/>
  <c r="DI451" i="1" l="1"/>
  <c r="DH452" i="1"/>
  <c r="DF456" i="1"/>
  <c r="DG455" i="1"/>
  <c r="DG456" i="1" l="1"/>
  <c r="DF457" i="1"/>
  <c r="DI452" i="1"/>
  <c r="DH453" i="1"/>
  <c r="DI453" i="1" l="1"/>
  <c r="DH454" i="1"/>
  <c r="DF458" i="1"/>
  <c r="DG457" i="1"/>
  <c r="DF459" i="1" l="1"/>
  <c r="DG458" i="1"/>
  <c r="DI454" i="1"/>
  <c r="DH455" i="1"/>
  <c r="DI455" i="1" l="1"/>
  <c r="DH456" i="1"/>
  <c r="DG459" i="1"/>
  <c r="DF460" i="1"/>
  <c r="DF461" i="1" l="1"/>
  <c r="DG460" i="1"/>
  <c r="DI456" i="1"/>
  <c r="DH457" i="1"/>
  <c r="DI457" i="1" l="1"/>
  <c r="DH458" i="1"/>
  <c r="DF462" i="1"/>
  <c r="DG461" i="1"/>
  <c r="DG462" i="1" l="1"/>
  <c r="DF463" i="1"/>
  <c r="DI458" i="1"/>
  <c r="DH459" i="1"/>
  <c r="DI459" i="1" l="1"/>
  <c r="DH460" i="1"/>
  <c r="DG463" i="1"/>
  <c r="DF464" i="1"/>
  <c r="DG464" i="1" l="1"/>
  <c r="DF465" i="1"/>
  <c r="DI460" i="1"/>
  <c r="DH461" i="1"/>
  <c r="DI461" i="1" l="1"/>
  <c r="DH462" i="1"/>
  <c r="DF466" i="1"/>
  <c r="DG465" i="1"/>
  <c r="DG466" i="1" l="1"/>
  <c r="DF467" i="1"/>
  <c r="DI462" i="1"/>
  <c r="DH463" i="1"/>
  <c r="DI463" i="1" l="1"/>
  <c r="DH464" i="1"/>
  <c r="DG467" i="1"/>
  <c r="DF468" i="1"/>
  <c r="DF469" i="1" l="1"/>
  <c r="DG468" i="1"/>
  <c r="DI464" i="1"/>
  <c r="DH465" i="1"/>
  <c r="DI465" i="1" l="1"/>
  <c r="DH466" i="1"/>
  <c r="DG469" i="1"/>
  <c r="DF470" i="1"/>
  <c r="DG470" i="1" l="1"/>
  <c r="DF471" i="1"/>
  <c r="DI466" i="1"/>
  <c r="DH467" i="1"/>
  <c r="DI467" i="1" l="1"/>
  <c r="DH468" i="1"/>
  <c r="DF472" i="1"/>
  <c r="DG471" i="1"/>
  <c r="DG472" i="1" l="1"/>
  <c r="DF473" i="1"/>
  <c r="DI468" i="1"/>
  <c r="DH469" i="1"/>
  <c r="DI469" i="1" l="1"/>
  <c r="DH470" i="1"/>
  <c r="DF474" i="1"/>
  <c r="DG473" i="1"/>
  <c r="DG474" i="1" l="1"/>
  <c r="DF475" i="1"/>
  <c r="DI470" i="1"/>
  <c r="DH471" i="1"/>
  <c r="DI471" i="1" l="1"/>
  <c r="DH472" i="1"/>
  <c r="DF476" i="1"/>
  <c r="DG475" i="1"/>
  <c r="DF477" i="1" l="1"/>
  <c r="DG476" i="1"/>
  <c r="DI472" i="1"/>
  <c r="DH473" i="1"/>
  <c r="DI473" i="1" l="1"/>
  <c r="DH474" i="1"/>
  <c r="DF478" i="1"/>
  <c r="DG477" i="1"/>
  <c r="DG478" i="1" l="1"/>
  <c r="DF479" i="1"/>
  <c r="DI474" i="1"/>
  <c r="DH475" i="1"/>
  <c r="DI475" i="1" l="1"/>
  <c r="DH476" i="1"/>
  <c r="DG479" i="1"/>
  <c r="DF480" i="1"/>
  <c r="DF481" i="1" l="1"/>
  <c r="DG480" i="1"/>
  <c r="DI476" i="1"/>
  <c r="DH477" i="1"/>
  <c r="DI477" i="1" l="1"/>
  <c r="DH478" i="1"/>
  <c r="DG481" i="1"/>
  <c r="DF482" i="1"/>
  <c r="DG482" i="1" l="1"/>
  <c r="DF483" i="1"/>
  <c r="DI478" i="1"/>
  <c r="DH479" i="1"/>
  <c r="DI479" i="1" l="1"/>
  <c r="DH480" i="1"/>
  <c r="DG483" i="1"/>
  <c r="DF484" i="1"/>
  <c r="DF485" i="1" l="1"/>
  <c r="DG484" i="1"/>
  <c r="DI480" i="1"/>
  <c r="DH481" i="1"/>
  <c r="DI481" i="1" l="1"/>
  <c r="DH482" i="1"/>
  <c r="DG485" i="1"/>
  <c r="DF486" i="1"/>
  <c r="DF487" i="1" l="1"/>
  <c r="DG486" i="1"/>
  <c r="DI482" i="1"/>
  <c r="DH483" i="1"/>
  <c r="DI483" i="1" l="1"/>
  <c r="DH484" i="1"/>
  <c r="DF488" i="1"/>
  <c r="DG487" i="1"/>
  <c r="DF489" i="1" l="1"/>
  <c r="DG488" i="1"/>
  <c r="DI484" i="1"/>
  <c r="DH485" i="1"/>
  <c r="DI485" i="1" l="1"/>
  <c r="DH486" i="1"/>
  <c r="DG489" i="1"/>
  <c r="DF490" i="1"/>
  <c r="DF491" i="1" l="1"/>
  <c r="DG490" i="1"/>
  <c r="DI486" i="1"/>
  <c r="DH487" i="1"/>
  <c r="DI487" i="1" l="1"/>
  <c r="DH488" i="1"/>
  <c r="DG491" i="1"/>
  <c r="DF492" i="1"/>
  <c r="DF493" i="1" l="1"/>
  <c r="DG492" i="1"/>
  <c r="DI488" i="1"/>
  <c r="DH489" i="1"/>
  <c r="DI489" i="1" l="1"/>
  <c r="DH490" i="1"/>
  <c r="DG493" i="1"/>
  <c r="DF494" i="1"/>
  <c r="DG494" i="1" l="1"/>
  <c r="DF495" i="1"/>
  <c r="DI490" i="1"/>
  <c r="DH491" i="1"/>
  <c r="DI491" i="1" l="1"/>
  <c r="DH492" i="1"/>
  <c r="DF496" i="1"/>
  <c r="DG495" i="1"/>
  <c r="DF497" i="1" l="1"/>
  <c r="DG496" i="1"/>
  <c r="DI492" i="1"/>
  <c r="DH493" i="1"/>
  <c r="DI493" i="1" l="1"/>
  <c r="DH494" i="1"/>
  <c r="DF498" i="1"/>
  <c r="DG497" i="1"/>
  <c r="DF499" i="1" l="1"/>
  <c r="DG498" i="1"/>
  <c r="DI494" i="1"/>
  <c r="DH495" i="1"/>
  <c r="DI495" i="1" l="1"/>
  <c r="DH496" i="1"/>
  <c r="DG499" i="1"/>
  <c r="DF500" i="1"/>
  <c r="DG500" i="1" l="1"/>
  <c r="DF501" i="1"/>
  <c r="DI496" i="1"/>
  <c r="DH497" i="1"/>
  <c r="DI497" i="1" l="1"/>
  <c r="DH498" i="1"/>
  <c r="DF502" i="1"/>
  <c r="DG501" i="1"/>
  <c r="DF503" i="1" l="1"/>
  <c r="DG502" i="1"/>
  <c r="DI498" i="1"/>
  <c r="DH499" i="1"/>
  <c r="DI499" i="1" l="1"/>
  <c r="DH500" i="1"/>
  <c r="DF504" i="1"/>
  <c r="DG503" i="1"/>
  <c r="DF505" i="1" l="1"/>
  <c r="DG504" i="1"/>
  <c r="DI500" i="1"/>
  <c r="DH501" i="1"/>
  <c r="DI501" i="1" l="1"/>
  <c r="DH502" i="1"/>
  <c r="DG505" i="1"/>
  <c r="DF506" i="1"/>
  <c r="DG506" i="1" l="1"/>
  <c r="DF507" i="1"/>
  <c r="DI502" i="1"/>
  <c r="DH503" i="1"/>
  <c r="DI503" i="1" l="1"/>
  <c r="DH504" i="1"/>
  <c r="DG507" i="1"/>
  <c r="DF508" i="1"/>
  <c r="DF509" i="1" l="1"/>
  <c r="DG508" i="1"/>
  <c r="DI504" i="1"/>
  <c r="DH505" i="1"/>
  <c r="DI505" i="1" l="1"/>
  <c r="DH506" i="1"/>
  <c r="DG509" i="1"/>
  <c r="DF510" i="1"/>
  <c r="DF511" i="1" l="1"/>
  <c r="DG510" i="1"/>
  <c r="DI506" i="1"/>
  <c r="DH507" i="1"/>
  <c r="DI507" i="1" l="1"/>
  <c r="DH508" i="1"/>
  <c r="DG511" i="1"/>
  <c r="DF512" i="1"/>
  <c r="DF513" i="1" l="1"/>
  <c r="DG512" i="1"/>
  <c r="DI508" i="1"/>
  <c r="DH509" i="1"/>
  <c r="DI509" i="1" l="1"/>
  <c r="DH510" i="1"/>
  <c r="DF514" i="1"/>
  <c r="DG513" i="1"/>
  <c r="DF515" i="1" l="1"/>
  <c r="DG514" i="1"/>
  <c r="DI510" i="1"/>
  <c r="DH511" i="1"/>
  <c r="DI511" i="1" l="1"/>
  <c r="DH512" i="1"/>
  <c r="DG515" i="1"/>
  <c r="DF516" i="1"/>
  <c r="DF517" i="1" l="1"/>
  <c r="DG516" i="1"/>
  <c r="DI512" i="1"/>
  <c r="DH513" i="1"/>
  <c r="DI513" i="1" l="1"/>
  <c r="DH514" i="1"/>
  <c r="DG517" i="1"/>
  <c r="DF518" i="1"/>
  <c r="DF519" i="1" l="1"/>
  <c r="DG518" i="1"/>
  <c r="DI514" i="1"/>
  <c r="DH515" i="1"/>
  <c r="DI515" i="1" l="1"/>
  <c r="DH516" i="1"/>
  <c r="DF520" i="1"/>
  <c r="DG519" i="1"/>
  <c r="DG520" i="1" l="1"/>
  <c r="DF521" i="1"/>
  <c r="DI516" i="1"/>
  <c r="DH517" i="1"/>
  <c r="DI517" i="1" l="1"/>
  <c r="DH518" i="1"/>
  <c r="DG521" i="1"/>
  <c r="DF522" i="1"/>
  <c r="DF523" i="1" l="1"/>
  <c r="DG522" i="1"/>
  <c r="DI518" i="1"/>
  <c r="DH519" i="1"/>
  <c r="DI519" i="1" l="1"/>
  <c r="DH520" i="1"/>
  <c r="DG523" i="1"/>
  <c r="DF524" i="1"/>
  <c r="DG524" i="1" l="1"/>
  <c r="DF525" i="1"/>
  <c r="DI520" i="1"/>
  <c r="DH521" i="1"/>
  <c r="DI521" i="1" l="1"/>
  <c r="DH522" i="1"/>
  <c r="DF526" i="1"/>
  <c r="DG525" i="1"/>
  <c r="DF527" i="1" l="1"/>
  <c r="DG526" i="1"/>
  <c r="DI522" i="1"/>
  <c r="DH523" i="1"/>
  <c r="DI523" i="1" l="1"/>
  <c r="DH524" i="1"/>
  <c r="DG527" i="1"/>
  <c r="DF528" i="1"/>
  <c r="DF529" i="1" l="1"/>
  <c r="DG528" i="1"/>
  <c r="DI524" i="1"/>
  <c r="DH525" i="1"/>
  <c r="DI525" i="1" l="1"/>
  <c r="DH526" i="1"/>
  <c r="DF530" i="1"/>
  <c r="DG529" i="1"/>
  <c r="DF531" i="1" l="1"/>
  <c r="DG530" i="1"/>
  <c r="DI526" i="1"/>
  <c r="DH527" i="1"/>
  <c r="DI527" i="1" l="1"/>
  <c r="DH528" i="1"/>
  <c r="DG531" i="1"/>
  <c r="DF532" i="1"/>
  <c r="DF533" i="1" l="1"/>
  <c r="DG532" i="1"/>
  <c r="DI528" i="1"/>
  <c r="DH529" i="1"/>
  <c r="DI529" i="1" l="1"/>
  <c r="DH530" i="1"/>
  <c r="DG533" i="1"/>
  <c r="DF534" i="1"/>
  <c r="DF535" i="1" l="1"/>
  <c r="DG534" i="1"/>
  <c r="DI530" i="1"/>
  <c r="DH531" i="1"/>
  <c r="DI531" i="1" l="1"/>
  <c r="DH532" i="1"/>
  <c r="DG535" i="1"/>
  <c r="DF536" i="1"/>
  <c r="DF537" i="1" l="1"/>
  <c r="DG536" i="1"/>
  <c r="DI532" i="1"/>
  <c r="DH533" i="1"/>
  <c r="DI533" i="1" l="1"/>
  <c r="DH534" i="1"/>
  <c r="DF538" i="1"/>
  <c r="DG537" i="1"/>
  <c r="DF539" i="1" l="1"/>
  <c r="DG538" i="1"/>
  <c r="DI534" i="1"/>
  <c r="DH535" i="1"/>
  <c r="DI535" i="1" l="1"/>
  <c r="DH536" i="1"/>
  <c r="DG539" i="1"/>
  <c r="DF540" i="1"/>
  <c r="DF541" i="1" l="1"/>
  <c r="DG540" i="1"/>
  <c r="DI536" i="1"/>
  <c r="DH537" i="1"/>
  <c r="DI537" i="1" l="1"/>
  <c r="DH538" i="1"/>
  <c r="DF542" i="1"/>
  <c r="DG541" i="1"/>
  <c r="DF543" i="1" l="1"/>
  <c r="DG542" i="1"/>
  <c r="DI538" i="1"/>
  <c r="DH539" i="1"/>
  <c r="DI539" i="1" l="1"/>
  <c r="DH540" i="1"/>
  <c r="DG543" i="1"/>
  <c r="DF544" i="1"/>
  <c r="DF545" i="1" l="1"/>
  <c r="DG544" i="1"/>
  <c r="DI540" i="1"/>
  <c r="DH541" i="1"/>
  <c r="DI541" i="1" l="1"/>
  <c r="DH542" i="1"/>
  <c r="DG545" i="1"/>
  <c r="DF546" i="1"/>
  <c r="DF547" i="1" l="1"/>
  <c r="DG546" i="1"/>
  <c r="DI542" i="1"/>
  <c r="DH543" i="1"/>
  <c r="DI543" i="1" l="1"/>
  <c r="DH544" i="1"/>
  <c r="DG547" i="1"/>
  <c r="DF548" i="1"/>
  <c r="DF549" i="1" l="1"/>
  <c r="DG548" i="1"/>
  <c r="DI544" i="1"/>
  <c r="DH545" i="1"/>
  <c r="DI545" i="1" l="1"/>
  <c r="DH546" i="1"/>
  <c r="DG549" i="1"/>
  <c r="DF550" i="1"/>
  <c r="DF551" i="1" l="1"/>
  <c r="DG550" i="1"/>
  <c r="DI546" i="1"/>
  <c r="DH547" i="1"/>
  <c r="DI547" i="1" l="1"/>
  <c r="DH548" i="1"/>
  <c r="DG551" i="1"/>
  <c r="DF552" i="1"/>
  <c r="DF553" i="1" l="1"/>
  <c r="DG552" i="1"/>
  <c r="DI548" i="1"/>
  <c r="DH549" i="1"/>
  <c r="DI549" i="1" l="1"/>
  <c r="DH550" i="1"/>
  <c r="DF554" i="1"/>
  <c r="DG553" i="1"/>
  <c r="DF555" i="1" l="1"/>
  <c r="DG554" i="1"/>
  <c r="DI550" i="1"/>
  <c r="DH551" i="1"/>
  <c r="DI551" i="1" l="1"/>
  <c r="DH552" i="1"/>
  <c r="DG555" i="1"/>
  <c r="DF556" i="1"/>
  <c r="DF557" i="1" l="1"/>
  <c r="DG556" i="1"/>
  <c r="DI552" i="1"/>
  <c r="DH553" i="1"/>
  <c r="DI553" i="1" l="1"/>
  <c r="DH554" i="1"/>
  <c r="DG557" i="1"/>
  <c r="DF558" i="1"/>
  <c r="DF559" i="1" l="1"/>
  <c r="DG558" i="1"/>
  <c r="DI554" i="1"/>
  <c r="DH555" i="1"/>
  <c r="DI555" i="1" l="1"/>
  <c r="DH556" i="1"/>
  <c r="DG559" i="1"/>
  <c r="DF560" i="1"/>
  <c r="DG560" i="1" l="1"/>
  <c r="DF561" i="1"/>
  <c r="DI556" i="1"/>
  <c r="DH557" i="1"/>
  <c r="DI557" i="1" l="1"/>
  <c r="DH558" i="1"/>
  <c r="DF562" i="1"/>
  <c r="DG561" i="1"/>
  <c r="DF563" i="1" l="1"/>
  <c r="DG562" i="1"/>
  <c r="DI558" i="1"/>
  <c r="DH559" i="1"/>
  <c r="DI559" i="1" l="1"/>
  <c r="DH560" i="1"/>
  <c r="DF564" i="1"/>
  <c r="DG563" i="1"/>
  <c r="DG564" i="1" l="1"/>
  <c r="DF565" i="1"/>
  <c r="DI560" i="1"/>
  <c r="DH561" i="1"/>
  <c r="DI561" i="1" l="1"/>
  <c r="DH562" i="1"/>
  <c r="DG565" i="1"/>
  <c r="DF566" i="1"/>
  <c r="DG566" i="1" l="1"/>
  <c r="DF567" i="1"/>
  <c r="DI562" i="1"/>
  <c r="DH563" i="1"/>
  <c r="DI563" i="1" l="1"/>
  <c r="DH564" i="1"/>
  <c r="DF568" i="1"/>
  <c r="DG567" i="1"/>
  <c r="DG568" i="1" l="1"/>
  <c r="DF569" i="1"/>
  <c r="DI564" i="1"/>
  <c r="DH565" i="1"/>
  <c r="DI565" i="1" l="1"/>
  <c r="DH566" i="1"/>
  <c r="DF570" i="1"/>
  <c r="DG569" i="1"/>
  <c r="DG570" i="1" l="1"/>
  <c r="DF571" i="1"/>
  <c r="DI566" i="1"/>
  <c r="DH567" i="1"/>
  <c r="DI567" i="1" l="1"/>
  <c r="DH568" i="1"/>
  <c r="DF572" i="1"/>
  <c r="DG571" i="1"/>
  <c r="DG572" i="1" l="1"/>
  <c r="DF573" i="1"/>
  <c r="DI568" i="1"/>
  <c r="DH569" i="1"/>
  <c r="DI569" i="1" l="1"/>
  <c r="DH570" i="1"/>
  <c r="DF574" i="1"/>
  <c r="DG573" i="1"/>
  <c r="DG574" i="1" l="1"/>
  <c r="DF575" i="1"/>
  <c r="DI570" i="1"/>
  <c r="DH571" i="1"/>
  <c r="DI571" i="1" l="1"/>
  <c r="DH572" i="1"/>
  <c r="DF576" i="1"/>
  <c r="DG575" i="1"/>
  <c r="DF577" i="1" l="1"/>
  <c r="DG576" i="1"/>
  <c r="DI572" i="1"/>
  <c r="DH573" i="1"/>
  <c r="DI573" i="1" l="1"/>
  <c r="DH574" i="1"/>
  <c r="DF578" i="1"/>
  <c r="DG577" i="1"/>
  <c r="DG578" i="1" l="1"/>
  <c r="DF579" i="1"/>
  <c r="DI574" i="1"/>
  <c r="DH575" i="1"/>
  <c r="DI575" i="1" l="1"/>
  <c r="DH576" i="1"/>
  <c r="DG579" i="1"/>
  <c r="DF580" i="1"/>
  <c r="DG580" i="1" l="1"/>
  <c r="DF581" i="1"/>
  <c r="DI576" i="1"/>
  <c r="DH577" i="1"/>
  <c r="DI577" i="1" l="1"/>
  <c r="DH578" i="1"/>
  <c r="DF582" i="1"/>
  <c r="DG581" i="1"/>
  <c r="DG582" i="1" l="1"/>
  <c r="DF583" i="1"/>
  <c r="DI578" i="1"/>
  <c r="DH579" i="1"/>
  <c r="DI579" i="1" l="1"/>
  <c r="DH580" i="1"/>
  <c r="DG583" i="1"/>
  <c r="DF584" i="1"/>
  <c r="DG584" i="1" l="1"/>
  <c r="DF585" i="1"/>
  <c r="DI580" i="1"/>
  <c r="DH581" i="1"/>
  <c r="DI581" i="1" l="1"/>
  <c r="DH582" i="1"/>
  <c r="DF586" i="1"/>
  <c r="DG585" i="1"/>
  <c r="DF587" i="1" l="1"/>
  <c r="DG586" i="1"/>
  <c r="DI582" i="1"/>
  <c r="DH583" i="1"/>
  <c r="DI583" i="1" l="1"/>
  <c r="DH584" i="1"/>
  <c r="DF588" i="1"/>
  <c r="DG587" i="1"/>
  <c r="DF589" i="1" l="1"/>
  <c r="DG588" i="1"/>
  <c r="DI584" i="1"/>
  <c r="DH585" i="1"/>
  <c r="DI585" i="1" l="1"/>
  <c r="DH586" i="1"/>
  <c r="DF590" i="1"/>
  <c r="DG589" i="1"/>
  <c r="DF591" i="1" l="1"/>
  <c r="DG590" i="1"/>
  <c r="DI586" i="1"/>
  <c r="DH587" i="1"/>
  <c r="DI587" i="1" l="1"/>
  <c r="DH588" i="1"/>
  <c r="DG591" i="1"/>
  <c r="DF592" i="1"/>
  <c r="DG592" i="1" l="1"/>
  <c r="DF593" i="1"/>
  <c r="DI588" i="1"/>
  <c r="DH589" i="1"/>
  <c r="DI589" i="1" l="1"/>
  <c r="DH590" i="1"/>
  <c r="DF594" i="1"/>
  <c r="DG593" i="1"/>
  <c r="DG594" i="1" l="1"/>
  <c r="DF595" i="1"/>
  <c r="DI590" i="1"/>
  <c r="DH591" i="1"/>
  <c r="DI591" i="1" l="1"/>
  <c r="DH592" i="1"/>
  <c r="DF596" i="1"/>
  <c r="DG595" i="1"/>
  <c r="DI592" i="1" l="1"/>
  <c r="DH593" i="1"/>
  <c r="DG596" i="1"/>
  <c r="DF597" i="1"/>
  <c r="DF598" i="1" l="1"/>
  <c r="DG597" i="1"/>
  <c r="DI593" i="1"/>
  <c r="DH594" i="1"/>
  <c r="DI594" i="1" l="1"/>
  <c r="DH595" i="1"/>
  <c r="DF599" i="1"/>
  <c r="DG598" i="1"/>
  <c r="DF600" i="1" l="1"/>
  <c r="DG599" i="1"/>
  <c r="DI595" i="1"/>
  <c r="DH596" i="1"/>
  <c r="DI596" i="1" l="1"/>
  <c r="DH597" i="1"/>
  <c r="DG600" i="1"/>
  <c r="DF601" i="1"/>
  <c r="DG601" i="1" l="1"/>
  <c r="DF602" i="1"/>
  <c r="DI597" i="1"/>
  <c r="DH598" i="1"/>
  <c r="DI598" i="1" l="1"/>
  <c r="DH599" i="1"/>
  <c r="DG602" i="1"/>
  <c r="DF603" i="1"/>
  <c r="DF604" i="1" l="1"/>
  <c r="DG603" i="1"/>
  <c r="DI599" i="1"/>
  <c r="DH600" i="1"/>
  <c r="DI600" i="1" l="1"/>
  <c r="DH601" i="1"/>
  <c r="DF605" i="1"/>
  <c r="DG604" i="1"/>
  <c r="DF606" i="1" l="1"/>
  <c r="DG605" i="1"/>
  <c r="DI601" i="1"/>
  <c r="DH602" i="1"/>
  <c r="DI602" i="1" l="1"/>
  <c r="DH603" i="1"/>
  <c r="DF607" i="1"/>
  <c r="DG606" i="1"/>
  <c r="DF608" i="1" l="1"/>
  <c r="DG607" i="1"/>
  <c r="DI603" i="1"/>
  <c r="DH604" i="1"/>
  <c r="DI604" i="1" l="1"/>
  <c r="DH605" i="1"/>
  <c r="DG608" i="1"/>
  <c r="DF609" i="1"/>
  <c r="DF610" i="1" l="1"/>
  <c r="DG609" i="1"/>
  <c r="DI605" i="1"/>
  <c r="DH606" i="1"/>
  <c r="DI606" i="1" l="1"/>
  <c r="DH607" i="1"/>
  <c r="DF611" i="1"/>
  <c r="DG610" i="1"/>
  <c r="DF612" i="1" l="1"/>
  <c r="DG611" i="1"/>
  <c r="DI607" i="1"/>
  <c r="DH608" i="1"/>
  <c r="DI608" i="1" l="1"/>
  <c r="DH609" i="1"/>
  <c r="DF613" i="1"/>
  <c r="DG612" i="1"/>
  <c r="DF614" i="1" l="1"/>
  <c r="DG613" i="1"/>
  <c r="DI609" i="1"/>
  <c r="DH610" i="1"/>
  <c r="DI610" i="1" l="1"/>
  <c r="DH611" i="1"/>
  <c r="DG614" i="1"/>
  <c r="DF615" i="1"/>
  <c r="DG615" i="1" l="1"/>
  <c r="DF616" i="1"/>
  <c r="DI611" i="1"/>
  <c r="DH612" i="1"/>
  <c r="DI612" i="1" l="1"/>
  <c r="DH613" i="1"/>
  <c r="DG616" i="1"/>
  <c r="DF617" i="1"/>
  <c r="DG617" i="1" l="1"/>
  <c r="DF618" i="1"/>
  <c r="DI613" i="1"/>
  <c r="DH614" i="1"/>
  <c r="DI614" i="1" l="1"/>
  <c r="DH615" i="1"/>
  <c r="DF619" i="1"/>
  <c r="DG618" i="1"/>
  <c r="DF620" i="1" l="1"/>
  <c r="DG619" i="1"/>
  <c r="DI615" i="1"/>
  <c r="DH616" i="1"/>
  <c r="DI616" i="1" l="1"/>
  <c r="DH617" i="1"/>
  <c r="DG620" i="1"/>
  <c r="DF621" i="1"/>
  <c r="DF622" i="1" l="1"/>
  <c r="DG621" i="1"/>
  <c r="DI617" i="1"/>
  <c r="DH618" i="1"/>
  <c r="DI618" i="1" l="1"/>
  <c r="DH619" i="1"/>
  <c r="DF623" i="1"/>
  <c r="DG622" i="1"/>
  <c r="DF624" i="1" l="1"/>
  <c r="DG623" i="1"/>
  <c r="DI619" i="1"/>
  <c r="DH620" i="1"/>
  <c r="DI620" i="1" l="1"/>
  <c r="DH621" i="1"/>
  <c r="DF625" i="1"/>
  <c r="DG624" i="1"/>
  <c r="DF626" i="1" l="1"/>
  <c r="DG625" i="1"/>
  <c r="DI621" i="1"/>
  <c r="DH622" i="1"/>
  <c r="DI622" i="1" l="1"/>
  <c r="DH623" i="1"/>
  <c r="DG626" i="1"/>
  <c r="DF627" i="1"/>
  <c r="DF628" i="1" l="1"/>
  <c r="DG627" i="1"/>
  <c r="DI623" i="1"/>
  <c r="DH624" i="1"/>
  <c r="DI624" i="1" l="1"/>
  <c r="DH625" i="1"/>
  <c r="DF629" i="1"/>
  <c r="DG628" i="1"/>
  <c r="DF630" i="1" l="1"/>
  <c r="DG629" i="1"/>
  <c r="DI625" i="1"/>
  <c r="DH626" i="1"/>
  <c r="DI626" i="1" l="1"/>
  <c r="DH627" i="1"/>
  <c r="DF631" i="1"/>
  <c r="DG630" i="1"/>
  <c r="DF632" i="1" l="1"/>
  <c r="DG631" i="1"/>
  <c r="DI627" i="1"/>
  <c r="DH628" i="1"/>
  <c r="DI628" i="1" l="1"/>
  <c r="DH629" i="1"/>
  <c r="DF633" i="1"/>
  <c r="DG632" i="1"/>
  <c r="DG633" i="1" l="1"/>
  <c r="DF634" i="1"/>
  <c r="DI629" i="1"/>
  <c r="DH630" i="1"/>
  <c r="DI630" i="1" l="1"/>
  <c r="DH631" i="1"/>
  <c r="DG634" i="1"/>
  <c r="DF635" i="1"/>
  <c r="DF636" i="1" l="1"/>
  <c r="DG635" i="1"/>
  <c r="DI631" i="1"/>
  <c r="DH632" i="1"/>
  <c r="DI632" i="1" l="1"/>
  <c r="DH633" i="1"/>
  <c r="DF637" i="1"/>
  <c r="DG636" i="1"/>
  <c r="DF638" i="1" l="1"/>
  <c r="DG637" i="1"/>
  <c r="DI633" i="1"/>
  <c r="DH634" i="1"/>
  <c r="DI634" i="1" l="1"/>
  <c r="DH635" i="1"/>
  <c r="DF639" i="1"/>
  <c r="DG638" i="1"/>
  <c r="DF640" i="1" l="1"/>
  <c r="DG639" i="1"/>
  <c r="DI635" i="1"/>
  <c r="DH636" i="1"/>
  <c r="DI636" i="1" l="1"/>
  <c r="DH637" i="1"/>
  <c r="DG640" i="1"/>
  <c r="DF641" i="1"/>
  <c r="DF642" i="1" l="1"/>
  <c r="DG641" i="1"/>
  <c r="DI637" i="1"/>
  <c r="DH638" i="1"/>
  <c r="DI638" i="1" l="1"/>
  <c r="DH639" i="1"/>
  <c r="DF643" i="1"/>
  <c r="DG642" i="1"/>
  <c r="DF644" i="1" l="1"/>
  <c r="DG643" i="1"/>
  <c r="DI639" i="1"/>
  <c r="DH640" i="1"/>
  <c r="DI640" i="1" l="1"/>
  <c r="DH641" i="1"/>
  <c r="DG644" i="1"/>
  <c r="DF645" i="1"/>
  <c r="DG645" i="1" l="1"/>
  <c r="DF646" i="1"/>
  <c r="DI641" i="1"/>
  <c r="DH642" i="1"/>
  <c r="DI642" i="1" l="1"/>
  <c r="DH643" i="1"/>
  <c r="DF647" i="1"/>
  <c r="DG646" i="1"/>
  <c r="DF648" i="1" l="1"/>
  <c r="DG647" i="1"/>
  <c r="DI643" i="1"/>
  <c r="DH644" i="1"/>
  <c r="DI644" i="1" l="1"/>
  <c r="DH645" i="1"/>
  <c r="DF649" i="1"/>
  <c r="DG648" i="1"/>
  <c r="DF650" i="1" l="1"/>
  <c r="DG649" i="1"/>
  <c r="DI645" i="1"/>
  <c r="DH646" i="1"/>
  <c r="DI646" i="1" l="1"/>
  <c r="DH647" i="1"/>
  <c r="DG650" i="1"/>
  <c r="DF651" i="1"/>
  <c r="DG651" i="1" l="1"/>
  <c r="DF652" i="1"/>
  <c r="DI647" i="1"/>
  <c r="DH648" i="1"/>
  <c r="DI648" i="1" l="1"/>
  <c r="DH649" i="1"/>
  <c r="DG652" i="1"/>
  <c r="DF653" i="1"/>
  <c r="DG653" i="1" l="1"/>
  <c r="DF654" i="1"/>
  <c r="DI649" i="1"/>
  <c r="DH650" i="1"/>
  <c r="DI650" i="1" l="1"/>
  <c r="DH651" i="1"/>
  <c r="DF655" i="1"/>
  <c r="DG654" i="1"/>
  <c r="DG655" i="1" l="1"/>
  <c r="DF656" i="1"/>
  <c r="DI651" i="1"/>
  <c r="DH652" i="1"/>
  <c r="DI652" i="1" l="1"/>
  <c r="DH653" i="1"/>
  <c r="DG656" i="1"/>
  <c r="DF657" i="1"/>
  <c r="DF658" i="1" l="1"/>
  <c r="DG657" i="1"/>
  <c r="DI653" i="1"/>
  <c r="DH654" i="1"/>
  <c r="DI654" i="1" l="1"/>
  <c r="DH655" i="1"/>
  <c r="DF659" i="1"/>
  <c r="DG658" i="1"/>
  <c r="DF660" i="1" l="1"/>
  <c r="DG659" i="1"/>
  <c r="DI655" i="1"/>
  <c r="DH656" i="1"/>
  <c r="DI656" i="1" l="1"/>
  <c r="DH657" i="1"/>
  <c r="DF661" i="1"/>
  <c r="DG660" i="1"/>
  <c r="DF662" i="1" l="1"/>
  <c r="DG661" i="1"/>
  <c r="DI657" i="1"/>
  <c r="DH658" i="1"/>
  <c r="DI658" i="1" l="1"/>
  <c r="DH659" i="1"/>
  <c r="DG662" i="1"/>
  <c r="DF663" i="1"/>
  <c r="DI659" i="1" l="1"/>
  <c r="DH660" i="1"/>
  <c r="DF664" i="1"/>
  <c r="DG663" i="1"/>
  <c r="DF665" i="1" l="1"/>
  <c r="DG664" i="1"/>
  <c r="DI660" i="1"/>
  <c r="DH661" i="1"/>
  <c r="DI661" i="1" l="1"/>
  <c r="DH662" i="1"/>
  <c r="DF666" i="1"/>
  <c r="DG665" i="1"/>
  <c r="DF667" i="1" l="1"/>
  <c r="DG666" i="1"/>
  <c r="DI662" i="1"/>
  <c r="DH663" i="1"/>
  <c r="DI663" i="1" l="1"/>
  <c r="DH664" i="1"/>
  <c r="DF668" i="1"/>
  <c r="DG667" i="1"/>
  <c r="DG668" i="1" l="1"/>
  <c r="DF669" i="1"/>
  <c r="DI664" i="1"/>
  <c r="DH665" i="1"/>
  <c r="DI665" i="1" l="1"/>
  <c r="DH666" i="1"/>
  <c r="DF670" i="1"/>
  <c r="DG669" i="1"/>
  <c r="DG670" i="1" l="1"/>
  <c r="DF671" i="1"/>
  <c r="DI666" i="1"/>
  <c r="DH667" i="1"/>
  <c r="DI667" i="1" l="1"/>
  <c r="DH668" i="1"/>
  <c r="DG671" i="1"/>
  <c r="DF672" i="1"/>
  <c r="DF673" i="1" l="1"/>
  <c r="DG672" i="1"/>
  <c r="DI668" i="1"/>
  <c r="DH669" i="1"/>
  <c r="DI669" i="1" l="1"/>
  <c r="DH670" i="1"/>
  <c r="DG673" i="1"/>
  <c r="DF674" i="1"/>
  <c r="DG674" i="1" l="1"/>
  <c r="DF675" i="1"/>
  <c r="DI670" i="1"/>
  <c r="DH671" i="1"/>
  <c r="DI671" i="1" l="1"/>
  <c r="DH672" i="1"/>
  <c r="DF676" i="1"/>
  <c r="DG675" i="1"/>
  <c r="DF677" i="1" l="1"/>
  <c r="DG676" i="1"/>
  <c r="DI672" i="1"/>
  <c r="DH673" i="1"/>
  <c r="DI673" i="1" l="1"/>
  <c r="DH674" i="1"/>
  <c r="DG677" i="1"/>
  <c r="DF678" i="1"/>
  <c r="DG678" i="1" l="1"/>
  <c r="DF679" i="1"/>
  <c r="DI674" i="1"/>
  <c r="DH675" i="1"/>
  <c r="DI675" i="1" l="1"/>
  <c r="DH676" i="1"/>
  <c r="DG679" i="1"/>
  <c r="DF680" i="1"/>
  <c r="DF681" i="1" l="1"/>
  <c r="DG680" i="1"/>
  <c r="DI676" i="1"/>
  <c r="DH677" i="1"/>
  <c r="DI677" i="1" l="1"/>
  <c r="DH678" i="1"/>
  <c r="DF682" i="1"/>
  <c r="DG681" i="1"/>
  <c r="DG682" i="1" l="1"/>
  <c r="DF683" i="1"/>
  <c r="DI678" i="1"/>
  <c r="DH679" i="1"/>
  <c r="DI679" i="1" l="1"/>
  <c r="DH680" i="1"/>
  <c r="DF684" i="1"/>
  <c r="DG683" i="1"/>
  <c r="DF685" i="1" l="1"/>
  <c r="DG684" i="1"/>
  <c r="DI680" i="1"/>
  <c r="DH681" i="1"/>
  <c r="DI681" i="1" l="1"/>
  <c r="DH682" i="1"/>
  <c r="DG685" i="1"/>
  <c r="DF686" i="1"/>
  <c r="DF687" i="1" l="1"/>
  <c r="DG686" i="1"/>
  <c r="DI682" i="1"/>
  <c r="DH683" i="1"/>
  <c r="DI683" i="1" l="1"/>
  <c r="DH684" i="1"/>
  <c r="DF688" i="1"/>
  <c r="DG687" i="1"/>
  <c r="DF689" i="1" l="1"/>
  <c r="DG688" i="1"/>
  <c r="DI684" i="1"/>
  <c r="DH685" i="1"/>
  <c r="DI685" i="1" l="1"/>
  <c r="DH686" i="1"/>
  <c r="DG689" i="1"/>
  <c r="DF690" i="1"/>
  <c r="DG690" i="1" l="1"/>
  <c r="DF691" i="1"/>
  <c r="DI686" i="1"/>
  <c r="DH687" i="1"/>
  <c r="DI687" i="1" l="1"/>
  <c r="DH688" i="1"/>
  <c r="DG691" i="1"/>
  <c r="DF692" i="1"/>
  <c r="DG692" i="1" l="1"/>
  <c r="DF693" i="1"/>
  <c r="DI688" i="1"/>
  <c r="DH689" i="1"/>
  <c r="DI689" i="1" l="1"/>
  <c r="DH690" i="1"/>
  <c r="DG693" i="1"/>
  <c r="DF694" i="1"/>
  <c r="DG694" i="1" l="1"/>
  <c r="DF695" i="1"/>
  <c r="DI690" i="1"/>
  <c r="DH691" i="1"/>
  <c r="DI691" i="1" l="1"/>
  <c r="DH692" i="1"/>
  <c r="DG695" i="1"/>
  <c r="DF696" i="1"/>
  <c r="DF697" i="1" l="1"/>
  <c r="DG696" i="1"/>
  <c r="DI692" i="1"/>
  <c r="DH693" i="1"/>
  <c r="DI693" i="1" l="1"/>
  <c r="DH694" i="1"/>
  <c r="DG697" i="1"/>
  <c r="DF698" i="1"/>
  <c r="DG698" i="1" l="1"/>
  <c r="DF699" i="1"/>
  <c r="DI694" i="1"/>
  <c r="DH695" i="1"/>
  <c r="DI695" i="1" l="1"/>
  <c r="DH696" i="1"/>
  <c r="DG699" i="1"/>
  <c r="DF700" i="1"/>
  <c r="DF701" i="1" l="1"/>
  <c r="DG700" i="1"/>
  <c r="DI696" i="1"/>
  <c r="DH697" i="1"/>
  <c r="DI697" i="1" l="1"/>
  <c r="DH698" i="1"/>
  <c r="DF702" i="1"/>
  <c r="DG701" i="1"/>
  <c r="DF703" i="1" l="1"/>
  <c r="DG702" i="1"/>
  <c r="DI698" i="1"/>
  <c r="DH699" i="1"/>
  <c r="DI699" i="1" l="1"/>
  <c r="DH700" i="1"/>
  <c r="DF704" i="1"/>
  <c r="DG703" i="1"/>
  <c r="DG704" i="1" l="1"/>
  <c r="DF705" i="1"/>
  <c r="DI700" i="1"/>
  <c r="DH701" i="1"/>
  <c r="DI701" i="1" l="1"/>
  <c r="DH702" i="1"/>
  <c r="DF706" i="1"/>
  <c r="DG705" i="1"/>
  <c r="DF707" i="1" l="1"/>
  <c r="DG706" i="1"/>
  <c r="DI702" i="1"/>
  <c r="DH703" i="1"/>
  <c r="DI703" i="1" l="1"/>
  <c r="DH704" i="1"/>
  <c r="DG707" i="1"/>
  <c r="DF708" i="1"/>
  <c r="DG708" i="1" l="1"/>
  <c r="DF709" i="1"/>
  <c r="DI704" i="1"/>
  <c r="DH705" i="1"/>
  <c r="DI705" i="1" l="1"/>
  <c r="DH706" i="1"/>
  <c r="DG709" i="1"/>
  <c r="DF710" i="1"/>
  <c r="DF711" i="1" l="1"/>
  <c r="DG710" i="1"/>
  <c r="DI706" i="1"/>
  <c r="DH707" i="1"/>
  <c r="DI707" i="1" l="1"/>
  <c r="DH708" i="1"/>
  <c r="DF712" i="1"/>
  <c r="DG711" i="1"/>
  <c r="DG712" i="1" l="1"/>
  <c r="DF713" i="1"/>
  <c r="DI708" i="1"/>
  <c r="DH709" i="1"/>
  <c r="DI709" i="1" l="1"/>
  <c r="DH710" i="1"/>
  <c r="DG713" i="1"/>
  <c r="DF714" i="1"/>
  <c r="DF715" i="1" l="1"/>
  <c r="DG714" i="1"/>
  <c r="DI710" i="1"/>
  <c r="DH711" i="1"/>
  <c r="DI711" i="1" l="1"/>
  <c r="DH712" i="1"/>
  <c r="DG715" i="1"/>
  <c r="DF716" i="1"/>
  <c r="DG716" i="1" l="1"/>
  <c r="DF717" i="1"/>
  <c r="DI712" i="1"/>
  <c r="DH713" i="1"/>
  <c r="DI713" i="1" l="1"/>
  <c r="DH714" i="1"/>
  <c r="DG717" i="1"/>
  <c r="DF718" i="1"/>
  <c r="DF719" i="1" l="1"/>
  <c r="DG718" i="1"/>
  <c r="DI714" i="1"/>
  <c r="DH715" i="1"/>
  <c r="DI715" i="1" l="1"/>
  <c r="DH716" i="1"/>
  <c r="DG719" i="1"/>
  <c r="DF720" i="1"/>
  <c r="DF721" i="1" l="1"/>
  <c r="DG720" i="1"/>
  <c r="DI716" i="1"/>
  <c r="DH717" i="1"/>
  <c r="DI717" i="1" l="1"/>
  <c r="DH718" i="1"/>
  <c r="DG721" i="1"/>
  <c r="DF722" i="1"/>
  <c r="DF723" i="1" l="1"/>
  <c r="DG722" i="1"/>
  <c r="DI718" i="1"/>
  <c r="DH719" i="1"/>
  <c r="DI719" i="1" l="1"/>
  <c r="DH720" i="1"/>
  <c r="DF724" i="1"/>
  <c r="DG723" i="1"/>
  <c r="DG724" i="1" l="1"/>
  <c r="DF725" i="1"/>
  <c r="DI720" i="1"/>
  <c r="DH721" i="1"/>
  <c r="DI721" i="1" l="1"/>
  <c r="DH722" i="1"/>
  <c r="DG725" i="1"/>
  <c r="DF726" i="1"/>
  <c r="DF727" i="1" l="1"/>
  <c r="DG726" i="1"/>
  <c r="DI722" i="1"/>
  <c r="DH723" i="1"/>
  <c r="DI723" i="1" l="1"/>
  <c r="DH724" i="1"/>
  <c r="DG727" i="1"/>
  <c r="DF728" i="1"/>
  <c r="DG728" i="1" l="1"/>
  <c r="DF729" i="1"/>
  <c r="DI724" i="1"/>
  <c r="DH725" i="1"/>
  <c r="DI725" i="1" l="1"/>
  <c r="DH726" i="1"/>
  <c r="DG729" i="1"/>
  <c r="DF730" i="1"/>
  <c r="DF731" i="1" l="1"/>
  <c r="DG730" i="1"/>
  <c r="DI726" i="1"/>
  <c r="DH727" i="1"/>
  <c r="DI727" i="1" l="1"/>
  <c r="DH728" i="1"/>
  <c r="DF732" i="1"/>
  <c r="DG731" i="1"/>
  <c r="DF733" i="1" l="1"/>
  <c r="DG732" i="1"/>
  <c r="DI728" i="1"/>
  <c r="DH729" i="1"/>
  <c r="DI729" i="1" l="1"/>
  <c r="DH730" i="1"/>
  <c r="DG733" i="1"/>
  <c r="DF734" i="1"/>
  <c r="DG734" i="1" l="1"/>
  <c r="DF735" i="1"/>
  <c r="DI730" i="1"/>
  <c r="DH731" i="1"/>
  <c r="DI731" i="1" l="1"/>
  <c r="DH732" i="1"/>
  <c r="DG735" i="1"/>
  <c r="DF736" i="1"/>
  <c r="DF737" i="1" l="1"/>
  <c r="DG736" i="1"/>
  <c r="DI732" i="1"/>
  <c r="DH733" i="1"/>
  <c r="DI733" i="1" l="1"/>
  <c r="DH734" i="1"/>
  <c r="DG737" i="1"/>
  <c r="DF738" i="1"/>
  <c r="DG738" i="1" l="1"/>
  <c r="DF739" i="1"/>
  <c r="DI734" i="1"/>
  <c r="DH735" i="1"/>
  <c r="DI735" i="1" l="1"/>
  <c r="DH736" i="1"/>
  <c r="DG739" i="1"/>
  <c r="DF740" i="1"/>
  <c r="DG740" i="1" l="1"/>
  <c r="DF741" i="1"/>
  <c r="DI736" i="1"/>
  <c r="DH737" i="1"/>
  <c r="DI737" i="1" l="1"/>
  <c r="DH738" i="1"/>
  <c r="DG741" i="1"/>
  <c r="DF742" i="1"/>
  <c r="DG742" i="1" l="1"/>
  <c r="DF743" i="1"/>
  <c r="DI738" i="1"/>
  <c r="DH739" i="1"/>
  <c r="DI739" i="1" l="1"/>
  <c r="DH740" i="1"/>
  <c r="DF744" i="1"/>
  <c r="DG743" i="1"/>
  <c r="DG744" i="1" l="1"/>
  <c r="DF745" i="1"/>
  <c r="DI740" i="1"/>
  <c r="DH741" i="1"/>
  <c r="DI741" i="1" l="1"/>
  <c r="DH742" i="1"/>
  <c r="DF746" i="1"/>
  <c r="DG745" i="1"/>
  <c r="DG746" i="1" l="1"/>
  <c r="DF747" i="1"/>
  <c r="DI742" i="1"/>
  <c r="DH743" i="1"/>
  <c r="DI743" i="1" l="1"/>
  <c r="DH744" i="1"/>
  <c r="DF748" i="1"/>
  <c r="DG747" i="1"/>
  <c r="DG748" i="1" l="1"/>
  <c r="DF749" i="1"/>
  <c r="DI744" i="1"/>
  <c r="DH745" i="1"/>
  <c r="DI745" i="1" l="1"/>
  <c r="DH746" i="1"/>
  <c r="DF750" i="1"/>
  <c r="DG749" i="1"/>
  <c r="DG750" i="1" l="1"/>
  <c r="DF751" i="1"/>
  <c r="DI746" i="1"/>
  <c r="DH747" i="1"/>
  <c r="DI747" i="1" l="1"/>
  <c r="DH748" i="1"/>
  <c r="DG751" i="1"/>
  <c r="DF752" i="1"/>
  <c r="DG752" i="1" l="1"/>
  <c r="DF753" i="1"/>
  <c r="DI748" i="1"/>
  <c r="DH749" i="1"/>
  <c r="DI749" i="1" l="1"/>
  <c r="DH750" i="1"/>
  <c r="DG753" i="1"/>
  <c r="DF754" i="1"/>
  <c r="DF755" i="1" l="1"/>
  <c r="DG754" i="1"/>
  <c r="DI750" i="1"/>
  <c r="DH751" i="1"/>
  <c r="DI751" i="1" l="1"/>
  <c r="DH752" i="1"/>
  <c r="DG755" i="1"/>
  <c r="DF756" i="1"/>
  <c r="DG756" i="1" l="1"/>
  <c r="DF757" i="1"/>
  <c r="DI752" i="1"/>
  <c r="DH753" i="1"/>
  <c r="DI753" i="1" l="1"/>
  <c r="DH754" i="1"/>
  <c r="DG757" i="1"/>
  <c r="DF758" i="1"/>
  <c r="DG758" i="1" l="1"/>
  <c r="DF759" i="1"/>
  <c r="DI754" i="1"/>
  <c r="DH755" i="1"/>
  <c r="DI755" i="1" l="1"/>
  <c r="DH756" i="1"/>
  <c r="DG759" i="1"/>
  <c r="DF760" i="1"/>
  <c r="DF761" i="1" l="1"/>
  <c r="DG760" i="1"/>
  <c r="DI756" i="1"/>
  <c r="DH757" i="1"/>
  <c r="DI757" i="1" l="1"/>
  <c r="DH758" i="1"/>
  <c r="DG761" i="1"/>
  <c r="DF762" i="1"/>
  <c r="DG762" i="1" l="1"/>
  <c r="DF763" i="1"/>
  <c r="DI758" i="1"/>
  <c r="DH759" i="1"/>
  <c r="DI759" i="1" l="1"/>
  <c r="DH760" i="1"/>
  <c r="DG763" i="1"/>
  <c r="DF764" i="1"/>
  <c r="DG764" i="1" l="1"/>
  <c r="DF765" i="1"/>
  <c r="DI760" i="1"/>
  <c r="DH761" i="1"/>
  <c r="DI761" i="1" l="1"/>
  <c r="DH762" i="1"/>
  <c r="DF766" i="1"/>
  <c r="DG765" i="1"/>
  <c r="DG766" i="1" l="1"/>
  <c r="DF767" i="1"/>
  <c r="DI762" i="1"/>
  <c r="DH763" i="1"/>
  <c r="DI763" i="1" l="1"/>
  <c r="DH764" i="1"/>
  <c r="DG767" i="1"/>
  <c r="DF768" i="1"/>
  <c r="DF769" i="1" l="1"/>
  <c r="DG768" i="1"/>
  <c r="DI764" i="1"/>
  <c r="DH765" i="1"/>
  <c r="DI765" i="1" l="1"/>
  <c r="DH766" i="1"/>
  <c r="DG769" i="1"/>
  <c r="DF770" i="1"/>
  <c r="DG770" i="1" l="1"/>
  <c r="DF771" i="1"/>
  <c r="DI766" i="1"/>
  <c r="DH767" i="1"/>
  <c r="DI767" i="1" l="1"/>
  <c r="DH768" i="1"/>
  <c r="DF772" i="1"/>
  <c r="DG771" i="1"/>
  <c r="DG772" i="1" l="1"/>
  <c r="DF773" i="1"/>
  <c r="DI768" i="1"/>
  <c r="DH769" i="1"/>
  <c r="DI769" i="1" l="1"/>
  <c r="DH770" i="1"/>
  <c r="DG773" i="1"/>
  <c r="DF774" i="1"/>
  <c r="DF775" i="1" l="1"/>
  <c r="DG774" i="1"/>
  <c r="DI770" i="1"/>
  <c r="DH771" i="1"/>
  <c r="DI771" i="1" l="1"/>
  <c r="DH772" i="1"/>
  <c r="DG775" i="1"/>
  <c r="DF776" i="1"/>
  <c r="DG776" i="1" l="1"/>
  <c r="DF777" i="1"/>
  <c r="DI772" i="1"/>
  <c r="DH773" i="1"/>
  <c r="DI773" i="1" l="1"/>
  <c r="DH774" i="1"/>
  <c r="DG777" i="1"/>
  <c r="DF778" i="1"/>
  <c r="DF779" i="1" l="1"/>
  <c r="DG778" i="1"/>
  <c r="DI774" i="1"/>
  <c r="DH775" i="1"/>
  <c r="DI775" i="1" l="1"/>
  <c r="DH776" i="1"/>
  <c r="DF780" i="1"/>
  <c r="DG779" i="1"/>
  <c r="DF781" i="1" l="1"/>
  <c r="DG780" i="1"/>
  <c r="DI776" i="1"/>
  <c r="DH777" i="1"/>
  <c r="DI777" i="1" l="1"/>
  <c r="DH778" i="1"/>
  <c r="DF782" i="1"/>
  <c r="DG781" i="1"/>
  <c r="DF783" i="1" l="1"/>
  <c r="DG782" i="1"/>
  <c r="DI778" i="1"/>
  <c r="DH779" i="1"/>
  <c r="DI779" i="1" l="1"/>
  <c r="DH780" i="1"/>
  <c r="DG783" i="1"/>
  <c r="DF784" i="1"/>
  <c r="DG784" i="1" l="1"/>
  <c r="DF785" i="1"/>
  <c r="DI780" i="1"/>
  <c r="DH781" i="1"/>
  <c r="DI781" i="1" l="1"/>
  <c r="DH782" i="1"/>
  <c r="DG785" i="1"/>
  <c r="DF786" i="1"/>
  <c r="DF787" i="1" l="1"/>
  <c r="DG786" i="1"/>
  <c r="DI782" i="1"/>
  <c r="DH783" i="1"/>
  <c r="DI783" i="1" l="1"/>
  <c r="DH784" i="1"/>
  <c r="DF788" i="1"/>
  <c r="DG787" i="1"/>
  <c r="DG788" i="1" l="1"/>
  <c r="DF789" i="1"/>
  <c r="DI784" i="1"/>
  <c r="DH785" i="1"/>
  <c r="DI785" i="1" l="1"/>
  <c r="DH786" i="1"/>
  <c r="DF790" i="1"/>
  <c r="DG789" i="1"/>
  <c r="DG790" i="1" l="1"/>
  <c r="DF791" i="1"/>
  <c r="DI786" i="1"/>
  <c r="DH787" i="1"/>
  <c r="DI787" i="1" l="1"/>
  <c r="DH788" i="1"/>
  <c r="DF792" i="1"/>
  <c r="DG791" i="1"/>
  <c r="DF793" i="1" l="1"/>
  <c r="DG792" i="1"/>
  <c r="DI788" i="1"/>
  <c r="DH789" i="1"/>
  <c r="DI789" i="1" l="1"/>
  <c r="DH790" i="1"/>
  <c r="DF794" i="1"/>
  <c r="DG793" i="1"/>
  <c r="DF795" i="1" l="1"/>
  <c r="DG794" i="1"/>
  <c r="DI790" i="1"/>
  <c r="DH791" i="1"/>
  <c r="DI791" i="1" l="1"/>
  <c r="DH792" i="1"/>
  <c r="DF796" i="1"/>
  <c r="DG795" i="1"/>
  <c r="DG796" i="1" l="1"/>
  <c r="DF797" i="1"/>
  <c r="DI792" i="1"/>
  <c r="DH793" i="1"/>
  <c r="DI793" i="1" l="1"/>
  <c r="DH794" i="1"/>
  <c r="DG797" i="1"/>
  <c r="DF798" i="1"/>
  <c r="DF799" i="1" l="1"/>
  <c r="DG798" i="1"/>
  <c r="DI794" i="1"/>
  <c r="DH795" i="1"/>
  <c r="DI795" i="1" l="1"/>
  <c r="DH796" i="1"/>
  <c r="DG799" i="1"/>
  <c r="DF800" i="1"/>
  <c r="DG800" i="1" l="1"/>
  <c r="DF801" i="1"/>
  <c r="DI796" i="1"/>
  <c r="DH797" i="1"/>
  <c r="DI797" i="1" l="1"/>
  <c r="DH798" i="1"/>
  <c r="DF802" i="1"/>
  <c r="DG801" i="1"/>
  <c r="DG802" i="1" l="1"/>
  <c r="DF803" i="1"/>
  <c r="DI798" i="1"/>
  <c r="DH799" i="1"/>
  <c r="DI799" i="1" l="1"/>
  <c r="DH800" i="1"/>
  <c r="DG803" i="1"/>
  <c r="DF804" i="1"/>
  <c r="DF805" i="1" l="1"/>
  <c r="DG804" i="1"/>
  <c r="DI800" i="1"/>
  <c r="DH801" i="1"/>
  <c r="DI801" i="1" l="1"/>
  <c r="DH802" i="1"/>
  <c r="DF806" i="1"/>
  <c r="DG805" i="1"/>
  <c r="DF807" i="1" l="1"/>
  <c r="DG806" i="1"/>
  <c r="DI802" i="1"/>
  <c r="DH803" i="1"/>
  <c r="DI803" i="1" l="1"/>
  <c r="DH804" i="1"/>
  <c r="DF808" i="1"/>
  <c r="DG807" i="1"/>
  <c r="DF809" i="1" l="1"/>
  <c r="DG808" i="1"/>
  <c r="DI804" i="1"/>
  <c r="DH805" i="1"/>
  <c r="DI805" i="1" l="1"/>
  <c r="DH806" i="1"/>
  <c r="DG809" i="1"/>
  <c r="DF810" i="1"/>
  <c r="DG810" i="1" l="1"/>
  <c r="DF811" i="1"/>
  <c r="DI806" i="1"/>
  <c r="DH807" i="1"/>
  <c r="DI807" i="1" l="1"/>
  <c r="DH808" i="1"/>
  <c r="DG811" i="1"/>
  <c r="DF812" i="1"/>
  <c r="DF813" i="1" l="1"/>
  <c r="DG812" i="1"/>
  <c r="DI808" i="1"/>
  <c r="DH809" i="1"/>
  <c r="DI809" i="1" l="1"/>
  <c r="DH810" i="1"/>
  <c r="DF814" i="1"/>
  <c r="DG813" i="1"/>
  <c r="DF815" i="1" l="1"/>
  <c r="DG814" i="1"/>
  <c r="DI810" i="1"/>
  <c r="DH811" i="1"/>
  <c r="DI811" i="1" l="1"/>
  <c r="DH812" i="1"/>
  <c r="DF816" i="1"/>
  <c r="DG815" i="1"/>
  <c r="DF817" i="1" l="1"/>
  <c r="DG816" i="1"/>
  <c r="DI812" i="1"/>
  <c r="DH813" i="1"/>
  <c r="DI813" i="1" l="1"/>
  <c r="DH814" i="1"/>
  <c r="DF818" i="1"/>
  <c r="DG817" i="1"/>
  <c r="DG818" i="1" l="1"/>
  <c r="DF819" i="1"/>
  <c r="DI814" i="1"/>
  <c r="DH815" i="1"/>
  <c r="DI815" i="1" l="1"/>
  <c r="DH816" i="1"/>
  <c r="DF820" i="1"/>
  <c r="DG819" i="1"/>
  <c r="DF821" i="1" l="1"/>
  <c r="DG820" i="1"/>
  <c r="DI816" i="1"/>
  <c r="DH817" i="1"/>
  <c r="DI817" i="1" l="1"/>
  <c r="DH818" i="1"/>
  <c r="DG821" i="1"/>
  <c r="DF822" i="1"/>
  <c r="DF823" i="1" l="1"/>
  <c r="DG822" i="1"/>
  <c r="DI818" i="1"/>
  <c r="DH819" i="1"/>
  <c r="DI819" i="1" l="1"/>
  <c r="DH820" i="1"/>
  <c r="DG823" i="1"/>
  <c r="DF824" i="1"/>
  <c r="DG824" i="1" l="1"/>
  <c r="DF825" i="1"/>
  <c r="DI820" i="1"/>
  <c r="DH821" i="1"/>
  <c r="DI821" i="1" l="1"/>
  <c r="DH822" i="1"/>
  <c r="DF826" i="1"/>
  <c r="DG825" i="1"/>
  <c r="DF827" i="1" l="1"/>
  <c r="DG826" i="1"/>
  <c r="DI822" i="1"/>
  <c r="DH823" i="1"/>
  <c r="DI823" i="1" l="1"/>
  <c r="DH824" i="1"/>
  <c r="DF828" i="1"/>
  <c r="DG827" i="1"/>
  <c r="DF829" i="1" l="1"/>
  <c r="DG828" i="1"/>
  <c r="DI824" i="1"/>
  <c r="DH825" i="1"/>
  <c r="DI825" i="1" l="1"/>
  <c r="DH826" i="1"/>
  <c r="DF830" i="1"/>
  <c r="DG829" i="1"/>
  <c r="DG830" i="1" l="1"/>
  <c r="DF831" i="1"/>
  <c r="DI826" i="1"/>
  <c r="DH827" i="1"/>
  <c r="DI827" i="1" l="1"/>
  <c r="DH828" i="1"/>
  <c r="DG831" i="1"/>
  <c r="DF832" i="1"/>
  <c r="DF833" i="1" l="1"/>
  <c r="DG832" i="1"/>
  <c r="DI828" i="1"/>
  <c r="DH829" i="1"/>
  <c r="DI829" i="1" l="1"/>
  <c r="DH830" i="1"/>
  <c r="DG833" i="1"/>
  <c r="DF834" i="1"/>
  <c r="DG834" i="1" l="1"/>
  <c r="DF835" i="1"/>
  <c r="DI830" i="1"/>
  <c r="DH831" i="1"/>
  <c r="DI831" i="1" l="1"/>
  <c r="DH832" i="1"/>
  <c r="DF836" i="1"/>
  <c r="DG835" i="1"/>
  <c r="DG836" i="1" l="1"/>
  <c r="DF837" i="1"/>
  <c r="DI832" i="1"/>
  <c r="DH833" i="1"/>
  <c r="DI833" i="1" l="1"/>
  <c r="DH834" i="1"/>
  <c r="DG837" i="1"/>
  <c r="DF838" i="1"/>
  <c r="DF839" i="1" l="1"/>
  <c r="DG838" i="1"/>
  <c r="DI834" i="1"/>
  <c r="DH835" i="1"/>
  <c r="DI835" i="1" l="1"/>
  <c r="DH836" i="1"/>
  <c r="DG839" i="1"/>
  <c r="DF840" i="1"/>
  <c r="DG840" i="1" l="1"/>
  <c r="DF841" i="1"/>
  <c r="DI836" i="1"/>
  <c r="DH837" i="1"/>
  <c r="DI837" i="1" l="1"/>
  <c r="DH838" i="1"/>
  <c r="DF842" i="1"/>
  <c r="DG841" i="1"/>
  <c r="DG842" i="1" l="1"/>
  <c r="DF843" i="1"/>
  <c r="DI838" i="1"/>
  <c r="DH839" i="1"/>
  <c r="DI839" i="1" l="1"/>
  <c r="DH840" i="1"/>
  <c r="DF844" i="1"/>
  <c r="DG843" i="1"/>
  <c r="DF845" i="1" l="1"/>
  <c r="DG844" i="1"/>
  <c r="DI840" i="1"/>
  <c r="DH841" i="1"/>
  <c r="DI841" i="1" l="1"/>
  <c r="DH842" i="1"/>
  <c r="DG845" i="1"/>
  <c r="DF846" i="1"/>
  <c r="DF847" i="1" l="1"/>
  <c r="DG846" i="1"/>
  <c r="DI842" i="1"/>
  <c r="DH843" i="1"/>
  <c r="DI843" i="1" l="1"/>
  <c r="DH844" i="1"/>
  <c r="DF848" i="1"/>
  <c r="DG847" i="1"/>
  <c r="DF849" i="1" l="1"/>
  <c r="DG848" i="1"/>
  <c r="DI844" i="1"/>
  <c r="DH845" i="1"/>
  <c r="DI845" i="1" l="1"/>
  <c r="DH846" i="1"/>
  <c r="DF850" i="1"/>
  <c r="DG849" i="1"/>
  <c r="DG850" i="1" l="1"/>
  <c r="DF851" i="1"/>
  <c r="DI846" i="1"/>
  <c r="DH847" i="1"/>
  <c r="DI847" i="1" l="1"/>
  <c r="DH848" i="1"/>
  <c r="DG851" i="1"/>
  <c r="DF852" i="1"/>
  <c r="DG852" i="1" l="1"/>
  <c r="DF853" i="1"/>
  <c r="DI848" i="1"/>
  <c r="DH849" i="1"/>
  <c r="DI849" i="1" l="1"/>
  <c r="DH850" i="1"/>
  <c r="DG853" i="1"/>
  <c r="DF854" i="1"/>
  <c r="DF855" i="1" l="1"/>
  <c r="DG854" i="1"/>
  <c r="DI850" i="1"/>
  <c r="DH851" i="1"/>
  <c r="DI851" i="1" l="1"/>
  <c r="DH852" i="1"/>
  <c r="DF856" i="1"/>
  <c r="DG855" i="1"/>
  <c r="DF857" i="1" l="1"/>
  <c r="DG856" i="1"/>
  <c r="DI852" i="1"/>
  <c r="DH853" i="1"/>
  <c r="DI853" i="1" l="1"/>
  <c r="DH854" i="1"/>
  <c r="DF858" i="1"/>
  <c r="DG857" i="1"/>
  <c r="DF859" i="1" l="1"/>
  <c r="DG858" i="1"/>
  <c r="DI854" i="1"/>
  <c r="DH855" i="1"/>
  <c r="DI855" i="1" l="1"/>
  <c r="DH856" i="1"/>
  <c r="DG859" i="1"/>
  <c r="DF860" i="1"/>
  <c r="DG860" i="1" l="1"/>
  <c r="DF861" i="1"/>
  <c r="DI856" i="1"/>
  <c r="DH857" i="1"/>
  <c r="DI857" i="1" l="1"/>
  <c r="DH858" i="1"/>
  <c r="DG861" i="1"/>
  <c r="DF862" i="1"/>
  <c r="DF863" i="1" l="1"/>
  <c r="DG862" i="1"/>
  <c r="DI858" i="1"/>
  <c r="DH859" i="1"/>
  <c r="DI859" i="1" l="1"/>
  <c r="DH860" i="1"/>
  <c r="DF864" i="1"/>
  <c r="DG863" i="1"/>
  <c r="DG864" i="1" l="1"/>
  <c r="DF865" i="1"/>
  <c r="DI860" i="1"/>
  <c r="DH861" i="1"/>
  <c r="DI861" i="1" l="1"/>
  <c r="DH862" i="1"/>
  <c r="DG865" i="1"/>
  <c r="DF866" i="1"/>
  <c r="DG866" i="1" l="1"/>
  <c r="DF867" i="1"/>
  <c r="DI862" i="1"/>
  <c r="DH863" i="1"/>
  <c r="DI863" i="1" l="1"/>
  <c r="DH864" i="1"/>
  <c r="DG867" i="1"/>
  <c r="DF868" i="1"/>
  <c r="DF869" i="1" l="1"/>
  <c r="DG868" i="1"/>
  <c r="DI864" i="1"/>
  <c r="DH865" i="1"/>
  <c r="DI865" i="1" l="1"/>
  <c r="DH866" i="1"/>
  <c r="DF870" i="1"/>
  <c r="DG869" i="1"/>
  <c r="DG870" i="1" l="1"/>
  <c r="DF871" i="1"/>
  <c r="DI866" i="1"/>
  <c r="DH867" i="1"/>
  <c r="DI867" i="1" l="1"/>
  <c r="DH868" i="1"/>
  <c r="DF872" i="1"/>
  <c r="DG871" i="1"/>
  <c r="DG872" i="1" l="1"/>
  <c r="DF873" i="1"/>
  <c r="DI868" i="1"/>
  <c r="DH869" i="1"/>
  <c r="DI869" i="1" l="1"/>
  <c r="DH870" i="1"/>
  <c r="DF874" i="1"/>
  <c r="DG873" i="1"/>
  <c r="DF875" i="1" l="1"/>
  <c r="DG874" i="1"/>
  <c r="DI870" i="1"/>
  <c r="DH871" i="1"/>
  <c r="DI871" i="1" l="1"/>
  <c r="DH872" i="1"/>
  <c r="DG875" i="1"/>
  <c r="DF876" i="1"/>
  <c r="DF877" i="1" l="1"/>
  <c r="DG876" i="1"/>
  <c r="DI872" i="1"/>
  <c r="DH873" i="1"/>
  <c r="DI873" i="1" l="1"/>
  <c r="DH874" i="1"/>
  <c r="DF878" i="1"/>
  <c r="DG877" i="1"/>
  <c r="DG878" i="1" l="1"/>
  <c r="DF879" i="1"/>
  <c r="DI874" i="1"/>
  <c r="DH875" i="1"/>
  <c r="DI875" i="1" l="1"/>
  <c r="DH876" i="1"/>
  <c r="DF880" i="1"/>
  <c r="DG879" i="1"/>
  <c r="DG880" i="1" l="1"/>
  <c r="DF881" i="1"/>
  <c r="DI876" i="1"/>
  <c r="DH877" i="1"/>
  <c r="DI877" i="1" l="1"/>
  <c r="DH878" i="1"/>
  <c r="DF882" i="1"/>
  <c r="DG881" i="1"/>
  <c r="DF883" i="1" l="1"/>
  <c r="DG882" i="1"/>
  <c r="DI878" i="1"/>
  <c r="DH879" i="1"/>
  <c r="DI879" i="1" l="1"/>
  <c r="DH880" i="1"/>
  <c r="DF884" i="1"/>
  <c r="DG883" i="1"/>
  <c r="DF885" i="1" l="1"/>
  <c r="DG884" i="1"/>
  <c r="DI880" i="1"/>
  <c r="DH881" i="1"/>
  <c r="DI881" i="1" l="1"/>
  <c r="DH882" i="1"/>
  <c r="DF886" i="1"/>
  <c r="DG885" i="1"/>
  <c r="DG886" i="1" l="1"/>
  <c r="DF887" i="1"/>
  <c r="DI882" i="1"/>
  <c r="DH883" i="1"/>
  <c r="DI883" i="1" l="1"/>
  <c r="DH884" i="1"/>
  <c r="DG887" i="1"/>
  <c r="DF888" i="1"/>
  <c r="DF889" i="1" l="1"/>
  <c r="DG888" i="1"/>
  <c r="DI884" i="1"/>
  <c r="DH885" i="1"/>
  <c r="DI885" i="1" l="1"/>
  <c r="DH886" i="1"/>
  <c r="DF890" i="1"/>
  <c r="DG889" i="1"/>
  <c r="DG890" i="1" l="1"/>
  <c r="DF891" i="1"/>
  <c r="DI886" i="1"/>
  <c r="DH887" i="1"/>
  <c r="DI887" i="1" l="1"/>
  <c r="DH888" i="1"/>
  <c r="DF892" i="1"/>
  <c r="DG891" i="1"/>
  <c r="DG892" i="1" l="1"/>
  <c r="DF893" i="1"/>
  <c r="DI888" i="1"/>
  <c r="DH889" i="1"/>
  <c r="DI889" i="1" l="1"/>
  <c r="DH890" i="1"/>
  <c r="DF894" i="1"/>
  <c r="DG893" i="1"/>
  <c r="DF895" i="1" l="1"/>
  <c r="DG894" i="1"/>
  <c r="DI890" i="1"/>
  <c r="DH891" i="1"/>
  <c r="DI891" i="1" l="1"/>
  <c r="DH892" i="1"/>
  <c r="DF896" i="1"/>
  <c r="DG895" i="1"/>
  <c r="DF897" i="1" l="1"/>
  <c r="DG896" i="1"/>
  <c r="DI892" i="1"/>
  <c r="DH893" i="1"/>
  <c r="DI893" i="1" l="1"/>
  <c r="DH894" i="1"/>
  <c r="DG897" i="1"/>
  <c r="DF898" i="1"/>
  <c r="DF899" i="1" l="1"/>
  <c r="DG898" i="1"/>
  <c r="DI894" i="1"/>
  <c r="DH895" i="1"/>
  <c r="DI895" i="1" l="1"/>
  <c r="DH896" i="1"/>
  <c r="DG899" i="1"/>
  <c r="DF900" i="1"/>
  <c r="DF901" i="1" l="1"/>
  <c r="DG900" i="1"/>
  <c r="DI896" i="1"/>
  <c r="DH897" i="1"/>
  <c r="DI897" i="1" l="1"/>
  <c r="DH898" i="1"/>
  <c r="DG901" i="1"/>
  <c r="DF902" i="1"/>
  <c r="DG902" i="1" l="1"/>
  <c r="DF903" i="1"/>
  <c r="DI898" i="1"/>
  <c r="DH899" i="1"/>
  <c r="DI899" i="1" l="1"/>
  <c r="DH900" i="1"/>
  <c r="DF904" i="1"/>
  <c r="DG903" i="1"/>
  <c r="DG904" i="1" l="1"/>
  <c r="DF905" i="1"/>
  <c r="DI900" i="1"/>
  <c r="DH901" i="1"/>
  <c r="DI901" i="1" l="1"/>
  <c r="DH902" i="1"/>
  <c r="DG905" i="1"/>
  <c r="DF906" i="1"/>
  <c r="DG906" i="1" l="1"/>
  <c r="DF907" i="1"/>
  <c r="DI902" i="1"/>
  <c r="DH903" i="1"/>
  <c r="DI903" i="1" l="1"/>
  <c r="DH904" i="1"/>
  <c r="DF908" i="1"/>
  <c r="DG907" i="1"/>
  <c r="DF909" i="1" l="1"/>
  <c r="DG908" i="1"/>
  <c r="DI904" i="1"/>
  <c r="DH905" i="1"/>
  <c r="DI905" i="1" l="1"/>
  <c r="DH906" i="1"/>
  <c r="DG909" i="1"/>
  <c r="DF910" i="1"/>
  <c r="DF911" i="1" l="1"/>
  <c r="DG910" i="1"/>
  <c r="DI906" i="1"/>
  <c r="DH907" i="1"/>
  <c r="DI907" i="1" l="1"/>
  <c r="DH908" i="1"/>
  <c r="DG911" i="1"/>
  <c r="DF912" i="1"/>
  <c r="DF913" i="1" l="1"/>
  <c r="DG912" i="1"/>
  <c r="DI908" i="1"/>
  <c r="DH909" i="1"/>
  <c r="DI909" i="1" l="1"/>
  <c r="DH910" i="1"/>
  <c r="DG913" i="1"/>
  <c r="DF914" i="1"/>
  <c r="DG914" i="1" l="1"/>
  <c r="DF915" i="1"/>
  <c r="DI910" i="1"/>
  <c r="DH911" i="1"/>
  <c r="DI911" i="1" l="1"/>
  <c r="DH912" i="1"/>
  <c r="DF916" i="1"/>
  <c r="DG915" i="1"/>
  <c r="DF917" i="1" l="1"/>
  <c r="DG916" i="1"/>
  <c r="DI912" i="1"/>
  <c r="DH913" i="1"/>
  <c r="DI913" i="1" l="1"/>
  <c r="DH914" i="1"/>
  <c r="DG917" i="1"/>
  <c r="DF918" i="1"/>
  <c r="DF919" i="1" l="1"/>
  <c r="DG918" i="1"/>
  <c r="DI914" i="1"/>
  <c r="DH915" i="1"/>
  <c r="DI915" i="1" l="1"/>
  <c r="DH916" i="1"/>
  <c r="DF920" i="1"/>
  <c r="DG919" i="1"/>
  <c r="DF921" i="1" l="1"/>
  <c r="DG920" i="1"/>
  <c r="DI916" i="1"/>
  <c r="DH917" i="1"/>
  <c r="DI917" i="1" l="1"/>
  <c r="DH918" i="1"/>
  <c r="DF922" i="1"/>
  <c r="DG921" i="1"/>
  <c r="DG922" i="1" l="1"/>
  <c r="DF923" i="1"/>
  <c r="DI918" i="1"/>
  <c r="DH919" i="1"/>
  <c r="DI919" i="1" l="1"/>
  <c r="DH920" i="1"/>
  <c r="DG923" i="1"/>
  <c r="DF924" i="1"/>
  <c r="DF925" i="1" l="1"/>
  <c r="DG924" i="1"/>
  <c r="DI920" i="1"/>
  <c r="DH921" i="1"/>
  <c r="DI921" i="1" l="1"/>
  <c r="DH922" i="1"/>
  <c r="DG925" i="1"/>
  <c r="DF926" i="1"/>
  <c r="DF927" i="1" l="1"/>
  <c r="DG926" i="1"/>
  <c r="DI922" i="1"/>
  <c r="DH923" i="1"/>
  <c r="DI923" i="1" l="1"/>
  <c r="DH924" i="1"/>
  <c r="DF928" i="1"/>
  <c r="DG927" i="1"/>
  <c r="DG928" i="1" l="1"/>
  <c r="DF929" i="1"/>
  <c r="DI924" i="1"/>
  <c r="DH925" i="1"/>
  <c r="DI925" i="1" l="1"/>
  <c r="DH926" i="1"/>
  <c r="DF930" i="1"/>
  <c r="DG929" i="1"/>
  <c r="DF931" i="1" l="1"/>
  <c r="DG930" i="1"/>
  <c r="DI926" i="1"/>
  <c r="DH927" i="1"/>
  <c r="DI927" i="1" l="1"/>
  <c r="DH928" i="1"/>
  <c r="DF932" i="1"/>
  <c r="DG931" i="1"/>
  <c r="DG932" i="1" l="1"/>
  <c r="DF933" i="1"/>
  <c r="DI928" i="1"/>
  <c r="DH929" i="1"/>
  <c r="DI929" i="1" l="1"/>
  <c r="DH930" i="1"/>
  <c r="DG933" i="1"/>
  <c r="DF934" i="1"/>
  <c r="DF935" i="1" l="1"/>
  <c r="DG934" i="1"/>
  <c r="DI930" i="1"/>
  <c r="DH931" i="1"/>
  <c r="DI931" i="1" l="1"/>
  <c r="DH932" i="1"/>
  <c r="DG935" i="1"/>
  <c r="DF936" i="1"/>
  <c r="DF937" i="1" l="1"/>
  <c r="DG936" i="1"/>
  <c r="DI932" i="1"/>
  <c r="DH933" i="1"/>
  <c r="DI933" i="1" l="1"/>
  <c r="DH934" i="1"/>
  <c r="DF938" i="1"/>
  <c r="DG937" i="1"/>
  <c r="DG938" i="1" l="1"/>
  <c r="DF939" i="1"/>
  <c r="DI934" i="1"/>
  <c r="DH935" i="1"/>
  <c r="DI935" i="1" l="1"/>
  <c r="DH936" i="1"/>
  <c r="DF940" i="1"/>
  <c r="DG939" i="1"/>
  <c r="DF941" i="1" l="1"/>
  <c r="DG940" i="1"/>
  <c r="DI936" i="1"/>
  <c r="DH937" i="1"/>
  <c r="DI937" i="1" l="1"/>
  <c r="DH938" i="1"/>
  <c r="DG941" i="1"/>
  <c r="DF942" i="1"/>
  <c r="DF943" i="1" l="1"/>
  <c r="DG942" i="1"/>
  <c r="DI938" i="1"/>
  <c r="DH939" i="1"/>
  <c r="DI939" i="1" l="1"/>
  <c r="DH940" i="1"/>
  <c r="DF944" i="1"/>
  <c r="DG943" i="1"/>
  <c r="DF945" i="1" l="1"/>
  <c r="DG944" i="1"/>
  <c r="DI940" i="1"/>
  <c r="DH941" i="1"/>
  <c r="DI941" i="1" l="1"/>
  <c r="DH942" i="1"/>
  <c r="DF946" i="1"/>
  <c r="DG945" i="1"/>
  <c r="DF947" i="1" l="1"/>
  <c r="DG946" i="1"/>
  <c r="DI942" i="1"/>
  <c r="DH943" i="1"/>
  <c r="DI943" i="1" l="1"/>
  <c r="DH944" i="1"/>
  <c r="DG947" i="1"/>
  <c r="DF948" i="1"/>
  <c r="DF949" i="1" l="1"/>
  <c r="DG948" i="1"/>
  <c r="DI944" i="1"/>
  <c r="DH945" i="1"/>
  <c r="DI945" i="1" l="1"/>
  <c r="DH946" i="1"/>
  <c r="DF950" i="1"/>
  <c r="DG949" i="1"/>
  <c r="DF951" i="1" l="1"/>
  <c r="DG950" i="1"/>
  <c r="DI946" i="1"/>
  <c r="DH947" i="1"/>
  <c r="DI947" i="1" l="1"/>
  <c r="DH948" i="1"/>
  <c r="DF952" i="1"/>
  <c r="DG951" i="1"/>
  <c r="DF953" i="1" l="1"/>
  <c r="DG952" i="1"/>
  <c r="DI948" i="1"/>
  <c r="DH949" i="1"/>
  <c r="DI949" i="1" l="1"/>
  <c r="DH950" i="1"/>
  <c r="DF954" i="1"/>
  <c r="DG953" i="1"/>
  <c r="DG954" i="1" l="1"/>
  <c r="DI950" i="1"/>
  <c r="DH951" i="1"/>
  <c r="DI951" i="1" l="1"/>
  <c r="DH952" i="1"/>
  <c r="DI952" i="1" l="1"/>
  <c r="DH953" i="1"/>
  <c r="DI953" i="1" l="1"/>
  <c r="DH954" i="1"/>
  <c r="DI954" i="1" s="1"/>
  <c r="DI3" i="1" s="1"/>
</calcChain>
</file>

<file path=xl/sharedStrings.xml><?xml version="1.0" encoding="utf-8"?>
<sst xmlns="http://schemas.openxmlformats.org/spreadsheetml/2006/main" count="2797" uniqueCount="368">
  <si>
    <t>Outubro 2022</t>
  </si>
  <si>
    <t>Bets</t>
  </si>
  <si>
    <t>Res.</t>
  </si>
  <si>
    <t>Data entrada</t>
  </si>
  <si>
    <t>Agora / Hoje / Semana</t>
  </si>
  <si>
    <t>Data do Jogo</t>
  </si>
  <si>
    <t>Times</t>
  </si>
  <si>
    <t>Mercado</t>
  </si>
  <si>
    <t>BetHouse</t>
  </si>
  <si>
    <t>Odd</t>
  </si>
  <si>
    <t>Stake</t>
  </si>
  <si>
    <t>Arredondado</t>
  </si>
  <si>
    <t>Aposta/Liability</t>
  </si>
  <si>
    <t>Retorno</t>
  </si>
  <si>
    <t>Hoje</t>
  </si>
  <si>
    <t>Abertas</t>
  </si>
  <si>
    <t>Lucro</t>
  </si>
  <si>
    <t>Lucro %</t>
  </si>
  <si>
    <t>Confirmado</t>
  </si>
  <si>
    <t>Min lucro estimado</t>
  </si>
  <si>
    <t>Max lucro estimado</t>
  </si>
  <si>
    <t>% Diário</t>
  </si>
  <si>
    <t>Investimento Diário</t>
  </si>
  <si>
    <t>Montante em Aberto</t>
  </si>
  <si>
    <t>Anulado</t>
  </si>
  <si>
    <t>Lucro Mensal</t>
  </si>
  <si>
    <t>Pra hoje</t>
  </si>
  <si>
    <t>Percentual</t>
  </si>
  <si>
    <t>Saldo</t>
  </si>
  <si>
    <t>Saldo em Aberto</t>
  </si>
  <si>
    <t>Rollover</t>
  </si>
  <si>
    <t>Lucro Líquido</t>
  </si>
  <si>
    <r>
      <rPr>
        <b/>
        <sz val="12"/>
        <color indexed="8"/>
        <rFont val="Calibri"/>
        <family val="2"/>
      </rPr>
      <t>Win x Loss</t>
    </r>
  </si>
  <si>
    <t>Menor</t>
  </si>
  <si>
    <t>Maior</t>
  </si>
  <si>
    <t>Diferença</t>
  </si>
  <si>
    <t>Bet365</t>
  </si>
  <si>
    <t>BetFair</t>
  </si>
  <si>
    <t>BetFair Ex</t>
  </si>
  <si>
    <t>BetWay</t>
  </si>
  <si>
    <t>FavBet</t>
  </si>
  <si>
    <t>LEON</t>
  </si>
  <si>
    <t>MarathonBet</t>
  </si>
  <si>
    <t>Pinnacle</t>
  </si>
  <si>
    <t>Smarkets</t>
  </si>
  <si>
    <t>TempoBet</t>
  </si>
  <si>
    <t>TitanBet</t>
  </si>
  <si>
    <t>VBet</t>
  </si>
  <si>
    <t>ZenitBet</t>
  </si>
  <si>
    <t>X</t>
  </si>
  <si>
    <t>Team Aster - Tundra Esports</t>
  </si>
  <si>
    <t>TO</t>
  </si>
  <si>
    <t>TU</t>
  </si>
  <si>
    <t xml:space="preserve"> </t>
  </si>
  <si>
    <t>W</t>
  </si>
  <si>
    <t>L</t>
  </si>
  <si>
    <t>Jacuipense BA - Bahia</t>
  </si>
  <si>
    <t>Kryvbas - Kolos Kovalivka</t>
  </si>
  <si>
    <t>Marske United - South Shields</t>
  </si>
  <si>
    <t>1X</t>
  </si>
  <si>
    <t>Rhein-Neckar Lowen - HSG Wetzlar</t>
  </si>
  <si>
    <t>DNB2</t>
  </si>
  <si>
    <t>Eskilstuna Guif - IFK Kristianstad</t>
  </si>
  <si>
    <t>DNB1</t>
  </si>
  <si>
    <t>X2</t>
  </si>
  <si>
    <t>Castleview - UCC</t>
  </si>
  <si>
    <t>AH1</t>
  </si>
  <si>
    <t>EH2</t>
  </si>
  <si>
    <t>Burgos Promesas - Guijuelo</t>
  </si>
  <si>
    <t>CD Palencia Cristo Atletico - Real Aviles CF</t>
  </si>
  <si>
    <t>Al Nassr Riyadh - Al Batin</t>
  </si>
  <si>
    <t>ScoreBoth</t>
  </si>
  <si>
    <t>Not ScoreBoth</t>
  </si>
  <si>
    <t>2</t>
  </si>
  <si>
    <t>Compostela - FC Polvorin</t>
  </si>
  <si>
    <t>Vici Gaming - eStar Pro</t>
  </si>
  <si>
    <t>AH2</t>
  </si>
  <si>
    <t>Gernika - Tudelano</t>
  </si>
  <si>
    <t>Luke Saville - Ajeet Rai</t>
  </si>
  <si>
    <t>Peninsula Power - Brisbane City</t>
  </si>
  <si>
    <t>SV Eintracht Trier 05 - TSV Steinbach</t>
  </si>
  <si>
    <t>Chelghoum Laid - Belouizdad</t>
  </si>
  <si>
    <t>Real Madrid - Barcelona</t>
  </si>
  <si>
    <t>Tallinna FC Flora - Harju JK Laagri</t>
  </si>
  <si>
    <t>Belasitsa Petrich - Montana</t>
  </si>
  <si>
    <t>Huddersfield - Coventry</t>
  </si>
  <si>
    <t>AS Roma - Real Sociedad</t>
  </si>
  <si>
    <t>FC Bayern Munchen - Crvena Zvezda MTS Belgrade</t>
  </si>
  <si>
    <t>Lay</t>
  </si>
  <si>
    <t>RK Jeruzalem Ormoz - MRK Krka</t>
  </si>
  <si>
    <t>Talon Esports - Team Spirit</t>
  </si>
  <si>
    <t>RSC Anderlecht - Villarreal</t>
  </si>
  <si>
    <t>Lee McGregor - Alexis Boureima Kabore</t>
  </si>
  <si>
    <t>Arsenal - Bournemouth</t>
  </si>
  <si>
    <t>HSC 2000 Coburg - VfL Eintracht Hagen</t>
  </si>
  <si>
    <t>Angel Ximenez Puente Genil - BM Guadalajara</t>
  </si>
  <si>
    <t>3</t>
  </si>
  <si>
    <t>Atlanta FaZe - OpTic Texas</t>
  </si>
  <si>
    <t>FC Ingolstadt 04 - TSG Hoffenheim</t>
  </si>
  <si>
    <t>Union Berlin - Royale Union Saint-Gilloise</t>
  </si>
  <si>
    <t>Eltham Redbacks FC - Strathmore</t>
  </si>
  <si>
    <t>MS Tirat HaCarmel - Hap MS Sandala Gilboa</t>
  </si>
  <si>
    <t>EH1</t>
  </si>
  <si>
    <t>Eltham Redbacks - Strathmore</t>
  </si>
  <si>
    <t>Almeria - Villarreal</t>
  </si>
  <si>
    <t>Roma - Real Sociedad</t>
  </si>
  <si>
    <t>Busoga United - UPDF FC</t>
  </si>
  <si>
    <t>FC Gleisdorf 09 - Tus Bad Gleichenberg</t>
  </si>
  <si>
    <t>6</t>
  </si>
  <si>
    <t>Guarani De Juazeiro - Caucaia EC</t>
  </si>
  <si>
    <t>Mumbai City FC - Bengaluru</t>
  </si>
  <si>
    <t>Lugi HF - Ystads IF HF</t>
  </si>
  <si>
    <t>Maccabi Ahva Shaab - Ironi Bnei Kabul</t>
  </si>
  <si>
    <t>John Michael - Sebastian Bialecki</t>
  </si>
  <si>
    <t>Benfica - Club Brugge</t>
  </si>
  <si>
    <t>FaZe - Rooster</t>
  </si>
  <si>
    <t>Spartak Pleven - Ludogorets Razgrad II</t>
  </si>
  <si>
    <t>Shabab Al Khaleel - Islami Kalkelea</t>
  </si>
  <si>
    <t>Mount Pleasant FA - Cavalier SC</t>
  </si>
  <si>
    <t>Bayern Munich - PSG</t>
  </si>
  <si>
    <t>Lamia - PAOK Salonika</t>
  </si>
  <si>
    <t>Criciuma - Atletico Catarinense</t>
  </si>
  <si>
    <t>Acerto  de Contas Semanal</t>
  </si>
  <si>
    <r>
      <rPr>
        <sz val="11"/>
        <color indexed="8"/>
        <rFont val="Calibri"/>
        <family val="2"/>
      </rPr>
      <t>7</t>
    </r>
  </si>
  <si>
    <t>North Geelong - Avondale</t>
  </si>
  <si>
    <t>North Bay Battalion - Owen Sound Attack</t>
  </si>
  <si>
    <t>Slavia Prague B - Trinec</t>
  </si>
  <si>
    <t>Flint Firebirds - Erie Otters</t>
  </si>
  <si>
    <t>FK Arsenal Tivat - Buducnost Podgorica</t>
  </si>
  <si>
    <t>Oblivion Force - Griffin E-Sports</t>
  </si>
  <si>
    <t>AD Senador Guiomard - Independencia AC</t>
  </si>
  <si>
    <t>Alacranes de Durango - Dorados</t>
  </si>
  <si>
    <t>NK Rudar Velenje - NK Maribor</t>
  </si>
  <si>
    <t>8</t>
  </si>
  <si>
    <t>Poland - France</t>
  </si>
  <si>
    <t>Kyoto Sanga FC - Gamba Osaka</t>
  </si>
  <si>
    <t>Goztepe - Fenerbahce</t>
  </si>
  <si>
    <t>Znicz Pruszkow - Polonia Warszawa</t>
  </si>
  <si>
    <t>Guabira - Oriente Petrolero</t>
  </si>
  <si>
    <t>SSC Juno Burg - SF BG Marburg</t>
  </si>
  <si>
    <t>Union Berlin - Union Saint Gilloise</t>
  </si>
  <si>
    <t>9</t>
  </si>
  <si>
    <t>North Macedonia - Portugal</t>
  </si>
  <si>
    <t>Denmark - Germany</t>
  </si>
  <si>
    <t>Sheriff Tiraspol - Nice</t>
  </si>
  <si>
    <t>Denmark - Germany</t>
  </si>
  <si>
    <t>AFC Fylde - Darlington</t>
  </si>
  <si>
    <t>Rans Nusantara - Persis Solo</t>
  </si>
  <si>
    <t>Nova Iguacu - Madureira</t>
  </si>
  <si>
    <t>KK Viimsi II - Kadrina Karud</t>
  </si>
  <si>
    <t>Sydney FC - Central Coast Mariners FC II</t>
  </si>
  <si>
    <t>Kk Viimsi II - Kadrina Karud</t>
  </si>
  <si>
    <t>FC Twente - VV Alkmaar</t>
  </si>
  <si>
    <t>Perth Glory - Western Sydney Wanderers</t>
  </si>
  <si>
    <t>Barrie Colts - London Knights</t>
  </si>
  <si>
    <r>
      <rPr>
        <sz val="11"/>
        <color indexed="8"/>
        <rFont val="Calibri"/>
        <family val="2"/>
      </rPr>
      <t>10</t>
    </r>
  </si>
  <si>
    <t>Pogon Siedlce - Gornik Polkowice</t>
  </si>
  <si>
    <t>KKS Kalisz - LKP Motor Lublin</t>
  </si>
  <si>
    <t>RSM Hodonin - Vitkovice</t>
  </si>
  <si>
    <t>Fenerbahce - Sevilla</t>
  </si>
  <si>
    <t>Union St Gilloise - Union Berlin</t>
  </si>
  <si>
    <t>Adelaide City FC - Adelaide Comets FC</t>
  </si>
  <si>
    <t>Hannover 96 - FC St. Pauli</t>
  </si>
  <si>
    <t>Hilden - 1. FC Koln</t>
  </si>
  <si>
    <t>13</t>
  </si>
  <si>
    <t>USM Alger - Chelghoum Laid</t>
  </si>
  <si>
    <t>Ironi Bnei Kabul - Hapoel Ironi Arraba</t>
  </si>
  <si>
    <t>Khaitan - Al Yarmouk</t>
  </si>
  <si>
    <t>Leylah Annie Fernandez - Caroline Garcia</t>
  </si>
  <si>
    <t>Laanemaa Haapsalu - FC Kuressaare II</t>
  </si>
  <si>
    <t>Martina Trevisan - Karolina Muchova</t>
  </si>
  <si>
    <t>HK Gladiators Trnava - HK Martin</t>
  </si>
  <si>
    <t>Potters Bar Town - Horsham</t>
  </si>
  <si>
    <t>Kirklarelispor - Serik Belediyespor</t>
  </si>
  <si>
    <r>
      <rPr>
        <sz val="11"/>
        <color indexed="8"/>
        <rFont val="Calibri"/>
        <family val="2"/>
      </rPr>
      <t>14</t>
    </r>
  </si>
  <si>
    <t>Sesvete - Dubrava</t>
  </si>
  <si>
    <t>El Paso Locomotive FC - Colorado Springs Switchbacks FC</t>
  </si>
  <si>
    <t>Backa Topola - Mladost Lucani</t>
  </si>
  <si>
    <t>Sporting Cristal - Huracan</t>
  </si>
  <si>
    <t>I Swiatek - E Raducanu</t>
  </si>
  <si>
    <t>15</t>
  </si>
  <si>
    <t>Aris Limassol - AEK Larnaca</t>
  </si>
  <si>
    <t>BKMA Yerevan - FC Urartu</t>
  </si>
  <si>
    <t>Brisbane City - Olympic FC</t>
  </si>
  <si>
    <t>1/2W</t>
  </si>
  <si>
    <t>Renate - Triestina</t>
  </si>
  <si>
    <t>James Davis - Mac Kiger</t>
  </si>
  <si>
    <t>Barletta - Brindisi</t>
  </si>
  <si>
    <t>Kwangdong Freecs - KT Rolster</t>
  </si>
  <si>
    <t>Tallinna Kalev - FC Flora Tallinn</t>
  </si>
  <si>
    <t>Lernayin Artsakh Fc - FC Pyunik</t>
  </si>
  <si>
    <t>Lernayin Artsakh FC - FC Pyunik</t>
  </si>
  <si>
    <t>Aguia de Maraba - Goias</t>
  </si>
  <si>
    <t>Atletico MG - Millonarios</t>
  </si>
  <si>
    <t>Basaksehir - Gent</t>
  </si>
  <si>
    <t>Zhizhen Zhang - Rinky Hijikata</t>
  </si>
  <si>
    <t>Nordsjaelland - GOG</t>
  </si>
  <si>
    <t>Ferencvaros - Leverkusen</t>
  </si>
  <si>
    <t>Team Liquid - Rare Atom</t>
  </si>
  <si>
    <t>Debreceni Eac - Alba Fehervar</t>
  </si>
  <si>
    <t>Biggleswade FC - Hadley</t>
  </si>
  <si>
    <t>Beijing Royal Fighters - Shanxi Loongs</t>
  </si>
  <si>
    <r>
      <rPr>
        <sz val="11"/>
        <color indexed="8"/>
        <rFont val="Calibri"/>
        <family val="2"/>
      </rPr>
      <t>16</t>
    </r>
  </si>
  <si>
    <t>Djurgardens IF - Lech Poznan</t>
  </si>
  <si>
    <t>Olimpia Grudziadz - KS Unia Solec Kujawski</t>
  </si>
  <si>
    <t>Az Alkmaar - Lazio</t>
  </si>
  <si>
    <t>Devonport City - Clarence Zebras</t>
  </si>
  <si>
    <t>Parnu JK Vaprus - Nomme Kalju</t>
  </si>
  <si>
    <t>Sivasspor - Fiorentina</t>
  </si>
  <si>
    <t>Lisen - Vyskov</t>
  </si>
  <si>
    <t>Wazito - Nairobi City Stars</t>
  </si>
  <si>
    <t>Lukko - HIFK</t>
  </si>
  <si>
    <t>Ahi Acre - Maccabi Ironi Yafia</t>
  </si>
  <si>
    <t>EHX1</t>
  </si>
  <si>
    <t>VfL Wolfsburg - Turbine Potsdam</t>
  </si>
  <si>
    <t>Karolina Muchova - Elena Rybakina</t>
  </si>
  <si>
    <t>Hercules - SD Formentera</t>
  </si>
  <si>
    <t>EC Cruzeiro Arapiraca - CE Olhodaguense</t>
  </si>
  <si>
    <t>17</t>
  </si>
  <si>
    <t>Lemvig Thyboron - Skjern Handbold</t>
  </si>
  <si>
    <t>Rosario Central (Res) - CA Huracan BA (Res)</t>
  </si>
  <si>
    <t>Volendam - Fortuna Sittard</t>
  </si>
  <si>
    <t>20</t>
  </si>
  <si>
    <t>Tricked - NtK</t>
  </si>
  <si>
    <t>Linfield U20 - Larne FC U20</t>
  </si>
  <si>
    <t>Tricked - CEPTER</t>
  </si>
  <si>
    <t>One Move - BB Team</t>
  </si>
  <si>
    <r>
      <rPr>
        <sz val="11"/>
        <color indexed="8"/>
        <rFont val="Calibri"/>
        <family val="2"/>
      </rPr>
      <t>21</t>
    </r>
  </si>
  <si>
    <t>Kazakhstan - Denmark</t>
  </si>
  <si>
    <t>Frederikshavn White Hawks - Herning Blue Fox</t>
  </si>
  <si>
    <t>Rex Regum Qeon - Gen G</t>
  </si>
  <si>
    <t>ThunderFlash - Avez</t>
  </si>
  <si>
    <t>San Marino - Northern Ireland</t>
  </si>
  <si>
    <t>Sierra Leone - Sao Tome E Principe</t>
  </si>
  <si>
    <t>TEN5ION - Por</t>
  </si>
  <si>
    <t>Sierra Leone - Sao Tome and Principe</t>
  </si>
  <si>
    <t>Argentina - Panama</t>
  </si>
  <si>
    <t>Sheff Utd U21 - Burnley U21</t>
  </si>
  <si>
    <t>Coventry City - Peterborough United</t>
  </si>
  <si>
    <t>Brenda Fruhvirtova - Xiyu Wang</t>
  </si>
  <si>
    <t>Katherine Sebov - Linda Fruhvirtova</t>
  </si>
  <si>
    <t>Congo DR - Mauritania</t>
  </si>
  <si>
    <t>WinNil1</t>
  </si>
  <si>
    <t>Bayern Munchen - Arsenal</t>
  </si>
  <si>
    <t>22</t>
  </si>
  <si>
    <t>Auburn FC - Hurstville</t>
  </si>
  <si>
    <t>Central Valley Fuego - North Carolina</t>
  </si>
  <si>
    <t>The Gap FC - St. George Willawong FC</t>
  </si>
  <si>
    <t>Army Geniuses - Polaris</t>
  </si>
  <si>
    <t>Czarni Sosnowiec (W) - UKS SMS Lodz (W)</t>
  </si>
  <si>
    <t>23</t>
  </si>
  <si>
    <t>Wisla Pulawy - Polonia Warszawa</t>
  </si>
  <si>
    <t>America De Cali (W) - Atletico Bucaramanga (W)</t>
  </si>
  <si>
    <t>Gibraltar - Greece</t>
  </si>
  <si>
    <t>Hamburg II - FC Phonix Lubeck</t>
  </si>
  <si>
    <t>Infinity - Qhali</t>
  </si>
  <si>
    <t>Stomil Olsztyn - LKP Motor Lublin</t>
  </si>
  <si>
    <t>Kaan-Marienborn - Duren</t>
  </si>
  <si>
    <t>beastcoast - Alliance.LATAM</t>
  </si>
  <si>
    <t>Billy Harris - Marco Trungelliti</t>
  </si>
  <si>
    <t>Springvale White Eagles - Malvern City</t>
  </si>
  <si>
    <t>Mandurah City SC - Gosnells City</t>
  </si>
  <si>
    <t>Serbia - Lithuania</t>
  </si>
  <si>
    <t>Unia Tarnow - KS Lublinianka</t>
  </si>
  <si>
    <t>27</t>
  </si>
  <si>
    <t>Gaimin Gladiators - Entity</t>
  </si>
  <si>
    <t>CFR Cluj - Hermannstadt</t>
  </si>
  <si>
    <t>Argentina - Curacao</t>
  </si>
  <si>
    <t>FC Rot-Weiss Erfurt - FSV Luckenwalde</t>
  </si>
  <si>
    <t>Republic of Ireland - France</t>
  </si>
  <si>
    <t>Sweden - Azerbaijan</t>
  </si>
  <si>
    <t>Moldova - Czech Republic</t>
  </si>
  <si>
    <t>Hubert Hurkacz - Adrian Mannarino</t>
  </si>
  <si>
    <t>Alafoss - RB Keflavik</t>
  </si>
  <si>
    <t>28</t>
  </si>
  <si>
    <t>Parabellum fe - w7m fe</t>
  </si>
  <si>
    <t>Truro City - Bracknell Town</t>
  </si>
  <si>
    <t>Khalij Fars Mahshahr - Fajr Sepasi</t>
  </si>
  <si>
    <t>Scotland - Spain</t>
  </si>
  <si>
    <t>Elmar Ejupovic - Antoine Bellier</t>
  </si>
  <si>
    <t>Barcelona - AS Roma</t>
  </si>
  <si>
    <t>Scotland - Spain</t>
  </si>
  <si>
    <t>KR Reykjavik - Stjarnan</t>
  </si>
  <si>
    <t>Hercilio Luz - Criciuma</t>
  </si>
  <si>
    <t>Nantes - Wisla Plock</t>
  </si>
  <si>
    <t>29</t>
  </si>
  <si>
    <t>ZKK Triglav Kranj - ZKK Celje</t>
  </si>
  <si>
    <t>Nantes - Wisla Plock</t>
  </si>
  <si>
    <t>Rayong FC - Chiangmai United</t>
  </si>
  <si>
    <t>St Francis FC - Greystones Utd AFC</t>
  </si>
  <si>
    <t>Liry - Kultsu</t>
  </si>
  <si>
    <t>Cadiz B - UCAM Murcia</t>
  </si>
  <si>
    <t>Entity - Ooredoo Thunders</t>
  </si>
  <si>
    <t>Atletico Sanluqueno - Yeclano</t>
  </si>
  <si>
    <t>Pescara - Virtus Francavilla</t>
  </si>
  <si>
    <r>
      <rPr>
        <sz val="11"/>
        <color indexed="8"/>
        <rFont val="Calibri"/>
        <family val="2"/>
      </rPr>
      <t>30</t>
    </r>
  </si>
  <si>
    <t>Veszprem KC - SC Szeged</t>
  </si>
  <si>
    <t>Cristina-Andreea Mitu - Weronika Falkowska</t>
  </si>
  <si>
    <t>Devonport City FC - Launceston City FC</t>
  </si>
  <si>
    <t>Algeciras - AD Alcorcon</t>
  </si>
  <si>
    <t>Cesson Rennes - Dunkerque Grand Littoral</t>
  </si>
  <si>
    <t>Ribe-Esbjerg HH - Aalborg Handball</t>
  </si>
  <si>
    <t>Vicenza - Trento</t>
  </si>
  <si>
    <t>Giugliano 1928 - Catanzaro</t>
  </si>
  <si>
    <t>Lemvig Thyboron - GOG Handbold</t>
  </si>
  <si>
    <t>31</t>
  </si>
  <si>
    <t>Eintracht Frankfurt - Bochum</t>
  </si>
  <si>
    <t>Aarhus Fremad - Brabrand IF</t>
  </si>
  <si>
    <t>Eintracht Frankfurt - VfL Bochum</t>
  </si>
  <si>
    <t>Ystads IF - IFK Kristianstad</t>
  </si>
  <si>
    <t>1/2L</t>
  </si>
  <si>
    <t>AE Larissa FC - PAOK B</t>
  </si>
  <si>
    <t>FUT - Istanbul Wildcats</t>
  </si>
  <si>
    <t>Valor Real</t>
  </si>
  <si>
    <t>Taxa</t>
  </si>
  <si>
    <t>Investimento Inicial</t>
  </si>
  <si>
    <t>Montante Atual</t>
  </si>
  <si>
    <t>Montante Aberto</t>
  </si>
  <si>
    <t>Montante BetHouse</t>
  </si>
  <si>
    <t>Montante Ontem</t>
  </si>
  <si>
    <t>Diferença diária</t>
  </si>
  <si>
    <t>Vitórias</t>
  </si>
  <si>
    <t>Derrotas</t>
  </si>
  <si>
    <t>Saque</t>
  </si>
  <si>
    <t>Depósito</t>
  </si>
  <si>
    <t>RollOver</t>
  </si>
  <si>
    <t>Alvo</t>
  </si>
  <si>
    <t>Quebra</t>
  </si>
  <si>
    <t>Total</t>
  </si>
  <si>
    <t>Calculadora de Probabilidade</t>
  </si>
  <si>
    <t>Possibilidades</t>
  </si>
  <si>
    <t>Potência</t>
  </si>
  <si>
    <t>Probabilidade</t>
  </si>
  <si>
    <t>Evento</t>
  </si>
  <si>
    <t>Multiversos</t>
  </si>
  <si>
    <t>Quiralidade</t>
  </si>
  <si>
    <t>Organização Seletiva</t>
  </si>
  <si>
    <t>Organização real</t>
  </si>
  <si>
    <t>Quiralidade + Organização</t>
  </si>
  <si>
    <t>Tabela 1</t>
  </si>
  <si>
    <t>Montante</t>
  </si>
  <si>
    <t>Rendimento</t>
  </si>
  <si>
    <t>Imposto</t>
  </si>
  <si>
    <t>Percentual Mensal</t>
  </si>
  <si>
    <t>Base de Cálculo</t>
  </si>
  <si>
    <t>Investimento de Milhas</t>
  </si>
  <si>
    <t>Início</t>
  </si>
  <si>
    <t>Fim</t>
  </si>
  <si>
    <t>Universo</t>
  </si>
  <si>
    <t>Organização</t>
  </si>
  <si>
    <t>Multiverso</t>
  </si>
  <si>
    <t>Polimultiverso</t>
  </si>
  <si>
    <t>P</t>
  </si>
  <si>
    <t>V</t>
  </si>
  <si>
    <t>n</t>
  </si>
  <si>
    <t>R</t>
  </si>
  <si>
    <t>T</t>
  </si>
  <si>
    <t>gama</t>
  </si>
  <si>
    <t>beta</t>
  </si>
  <si>
    <t>alfa</t>
  </si>
  <si>
    <t>A</t>
  </si>
  <si>
    <t>B</t>
  </si>
  <si>
    <t>C</t>
  </si>
  <si>
    <t>c-</t>
  </si>
  <si>
    <t>b-</t>
  </si>
  <si>
    <t>a-</t>
  </si>
  <si>
    <t>Tabela 1-1</t>
  </si>
  <si>
    <t>Tabela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</si>
</sst>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R$-416]\ 0.00"/>
    <numFmt numFmtId="165" formatCode="d\ mmm\,\ yyyy\ hh:mm"/>
    <numFmt numFmtId="166" formatCode="[$R$-416]\ #,##0.00"/>
    <numFmt numFmtId="167" formatCode="0.0000"/>
    <numFmt numFmtId="168" formatCode="#,##0%"/>
    <numFmt numFmtId="169" formatCode="#,##0.00%"/>
    <numFmt numFmtId="170" formatCode="#,##0.0%"/>
    <numFmt numFmtId="171" formatCode="#,##0.0"/>
    <numFmt numFmtId="172" formatCode="0.0E+00"/>
    <numFmt numFmtId="173" formatCode="d\ mmmm"/>
    <numFmt numFmtId="174" formatCode="0.0000%"/>
    <numFmt numFmtId="175" formatCode="[h]&quot;h&quot;"/>
    <numFmt numFmtId="176" formatCode="[h]&quot;h&quot;\ m&quot;m&quot;"/>
    <numFmt numFmtId="177" formatCode="0.0############%"/>
    <numFmt numFmtId="178" formatCode="0.0###########%"/>
    <numFmt numFmtId="179" formatCode="[$R$-416]\ 0.0#############"/>
  </numFmts>
  <fonts count="13" x14ac:knownFonts="1">
    <font>
      <sz val="10"/>
      <color indexed="8"/>
      <name val="Helvetica Neue"/>
    </font>
    <font>
      <sz val="12"/>
      <color indexed="8"/>
      <name val="Helvetica Neue"/>
      <family val="2"/>
    </font>
    <font>
      <sz val="11"/>
      <color indexed="8"/>
      <name val="Calibri"/>
      <family val="2"/>
    </font>
    <font>
      <sz val="14"/>
      <color indexed="8"/>
      <name val="Calibri"/>
      <family val="2"/>
    </font>
    <font>
      <sz val="10"/>
      <color indexed="8"/>
      <name val="Calibri"/>
      <family val="2"/>
    </font>
    <font>
      <sz val="6"/>
      <color indexed="8"/>
      <name val="Calibri"/>
      <family val="2"/>
    </font>
    <font>
      <b/>
      <sz val="12"/>
      <color indexed="8"/>
      <name val="Calibri"/>
      <family val="2"/>
    </font>
    <font>
      <sz val="11"/>
      <color indexed="17"/>
      <name val="Calibri"/>
      <family val="2"/>
    </font>
    <font>
      <sz val="14"/>
      <color indexed="8"/>
      <name val="Calibri"/>
      <family val="2"/>
    </font>
    <font>
      <sz val="11"/>
      <color indexed="58"/>
      <name val="Calibri"/>
      <family val="2"/>
    </font>
    <font>
      <b/>
      <sz val="10"/>
      <color indexed="8"/>
      <name val="Helvetica Neue"/>
      <family val="2"/>
    </font>
    <font>
      <b/>
      <sz val="12"/>
      <color indexed="27"/>
      <name val="Helvetica Neue"/>
      <family val="2"/>
    </font>
    <font>
      <b/>
      <sz val="12"/>
      <color indexed="8"/>
      <name val="Helvetica Neue"/>
      <family val="2"/>
    </font>
  </fonts>
  <fills count="6">
    <fill>
      <patternFill patternType="none"/>
    </fill>
    <fill>
      <patternFill patternType="gray125"/>
    </fill>
    <fill>
      <patternFill patternType="solid">
        <fgColor indexed="9"/>
        <bgColor auto="1"/>
      </patternFill>
    </fill>
    <fill>
      <patternFill patternType="solid">
        <fgColor indexed="27"/>
        <bgColor auto="1"/>
      </patternFill>
    </fill>
    <fill>
      <patternFill patternType="solid">
        <fgColor indexed="51"/>
        <bgColor auto="1"/>
      </patternFill>
    </fill>
    <fill>
      <patternFill patternType="solid">
        <fgColor indexed="52"/>
        <bgColor auto="1"/>
      </patternFill>
    </fill>
  </fills>
  <borders count="153">
    <border>
      <left/>
      <right/>
      <top/>
      <bottom/>
      <diagonal/>
    </border>
    <border>
      <left style="thick">
        <color indexed="8"/>
      </left>
      <right style="thin">
        <color indexed="8"/>
      </right>
      <top style="thick">
        <color indexed="8"/>
      </top>
      <bottom style="medium">
        <color indexed="8"/>
      </bottom>
      <diagonal/>
    </border>
    <border>
      <left style="thin">
        <color indexed="8"/>
      </left>
      <right style="thin">
        <color indexed="8"/>
      </right>
      <top style="thick">
        <color indexed="8"/>
      </top>
      <bottom style="thin">
        <color indexed="8"/>
      </bottom>
      <diagonal/>
    </border>
    <border>
      <left style="thin">
        <color indexed="8"/>
      </left>
      <right style="thin">
        <color indexed="8"/>
      </right>
      <top style="thick">
        <color indexed="8"/>
      </top>
      <bottom style="medium">
        <color indexed="8"/>
      </bottom>
      <diagonal/>
    </border>
    <border>
      <left style="thin">
        <color indexed="8"/>
      </left>
      <right/>
      <top style="thick">
        <color indexed="8"/>
      </top>
      <bottom style="medium">
        <color indexed="8"/>
      </bottom>
      <diagonal/>
    </border>
    <border>
      <left/>
      <right style="thin">
        <color indexed="18"/>
      </right>
      <top style="thick">
        <color indexed="8"/>
      </top>
      <bottom style="medium">
        <color indexed="8"/>
      </bottom>
      <diagonal/>
    </border>
    <border>
      <left style="thin">
        <color indexed="18"/>
      </left>
      <right style="thin">
        <color indexed="18"/>
      </right>
      <top style="thick">
        <color indexed="8"/>
      </top>
      <bottom style="medium">
        <color indexed="8"/>
      </bottom>
      <diagonal/>
    </border>
    <border>
      <left style="thin">
        <color indexed="18"/>
      </left>
      <right style="medium">
        <color indexed="8"/>
      </right>
      <top style="thick">
        <color indexed="8"/>
      </top>
      <bottom style="medium">
        <color indexed="8"/>
      </bottom>
      <diagonal/>
    </border>
    <border>
      <left style="medium">
        <color indexed="8"/>
      </left>
      <right style="medium">
        <color indexed="8"/>
      </right>
      <top style="thick">
        <color indexed="8"/>
      </top>
      <bottom style="medium">
        <color indexed="8"/>
      </bottom>
      <diagonal/>
    </border>
    <border>
      <left style="medium">
        <color indexed="8"/>
      </left>
      <right style="thin">
        <color indexed="8"/>
      </right>
      <top style="thick">
        <color indexed="8"/>
      </top>
      <bottom style="medium">
        <color indexed="8"/>
      </bottom>
      <diagonal/>
    </border>
    <border>
      <left style="thin">
        <color indexed="8"/>
      </left>
      <right style="thin">
        <color indexed="40"/>
      </right>
      <top style="thick">
        <color indexed="8"/>
      </top>
      <bottom style="thin">
        <color indexed="8"/>
      </bottom>
      <diagonal/>
    </border>
    <border>
      <left style="thin">
        <color indexed="40"/>
      </left>
      <right style="thin">
        <color indexed="8"/>
      </right>
      <top style="thick">
        <color indexed="8"/>
      </top>
      <bottom style="thin">
        <color indexed="8"/>
      </bottom>
      <diagonal/>
    </border>
    <border>
      <left style="thin">
        <color indexed="8"/>
      </left>
      <right style="thin">
        <color indexed="18"/>
      </right>
      <top style="thick">
        <color indexed="8"/>
      </top>
      <bottom style="medium">
        <color indexed="8"/>
      </bottom>
      <diagonal/>
    </border>
    <border>
      <left style="medium">
        <color indexed="8"/>
      </left>
      <right style="thin">
        <color indexed="18"/>
      </right>
      <top style="thick">
        <color indexed="8"/>
      </top>
      <bottom style="medium">
        <color indexed="8"/>
      </bottom>
      <diagonal/>
    </border>
    <border>
      <left style="thin">
        <color indexed="18"/>
      </left>
      <right style="thick">
        <color indexed="8"/>
      </right>
      <top style="thick">
        <color indexed="8"/>
      </top>
      <bottom style="medium">
        <color indexed="8"/>
      </bottom>
      <diagonal/>
    </border>
    <border>
      <left style="thick">
        <color indexed="8"/>
      </left>
      <right style="thin">
        <color indexed="18"/>
      </right>
      <top style="thick">
        <color indexed="8"/>
      </top>
      <bottom style="thick">
        <color indexed="8"/>
      </bottom>
      <diagonal/>
    </border>
    <border>
      <left style="thin">
        <color indexed="18"/>
      </left>
      <right style="thin">
        <color indexed="18"/>
      </right>
      <top style="thick">
        <color indexed="8"/>
      </top>
      <bottom style="thick">
        <color indexed="8"/>
      </bottom>
      <diagonal/>
    </border>
    <border>
      <left style="thin">
        <color indexed="18"/>
      </left>
      <right style="thin">
        <color indexed="8"/>
      </right>
      <top style="thick">
        <color indexed="8"/>
      </top>
      <bottom style="thick">
        <color indexed="8"/>
      </bottom>
      <diagonal/>
    </border>
    <border>
      <left style="thin">
        <color indexed="8"/>
      </left>
      <right style="thick">
        <color indexed="8"/>
      </right>
      <top style="thick">
        <color indexed="8"/>
      </top>
      <bottom style="thick">
        <color indexed="8"/>
      </bottom>
      <diagonal/>
    </border>
    <border>
      <left style="thick">
        <color indexed="8"/>
      </left>
      <right style="thin">
        <color indexed="8"/>
      </right>
      <top style="thick">
        <color indexed="8"/>
      </top>
      <bottom style="thick">
        <color indexed="8"/>
      </bottom>
      <diagonal/>
    </border>
    <border>
      <left style="thin">
        <color indexed="8"/>
      </left>
      <right style="medium">
        <color indexed="8"/>
      </right>
      <top style="thick">
        <color indexed="8"/>
      </top>
      <bottom style="medium">
        <color indexed="8"/>
      </bottom>
      <diagonal/>
    </border>
    <border>
      <left style="thin">
        <color indexed="18"/>
      </left>
      <right style="thin">
        <color indexed="18"/>
      </right>
      <top style="thick">
        <color indexed="8"/>
      </top>
      <bottom style="thin">
        <color indexed="18"/>
      </bottom>
      <diagonal/>
    </border>
    <border>
      <left style="thick">
        <color indexed="8"/>
      </left>
      <right style="thin">
        <color indexed="8"/>
      </right>
      <top style="medium">
        <color indexed="8"/>
      </top>
      <bottom style="thick">
        <color indexed="8"/>
      </bottom>
      <diagonal/>
    </border>
    <border>
      <left style="thin">
        <color indexed="8"/>
      </left>
      <right style="thin">
        <color indexed="8"/>
      </right>
      <top style="thin">
        <color indexed="8"/>
      </top>
      <bottom style="thick">
        <color indexed="8"/>
      </bottom>
      <diagonal/>
    </border>
    <border>
      <left style="thin">
        <color indexed="8"/>
      </left>
      <right style="thin">
        <color indexed="8"/>
      </right>
      <top style="medium">
        <color indexed="8"/>
      </top>
      <bottom style="thick">
        <color indexed="8"/>
      </bottom>
      <diagonal/>
    </border>
    <border>
      <left style="thin">
        <color indexed="8"/>
      </left>
      <right/>
      <top style="medium">
        <color indexed="8"/>
      </top>
      <bottom style="thick">
        <color indexed="8"/>
      </bottom>
      <diagonal/>
    </border>
    <border>
      <left/>
      <right style="thin">
        <color indexed="18"/>
      </right>
      <top style="medium">
        <color indexed="8"/>
      </top>
      <bottom style="thick">
        <color indexed="8"/>
      </bottom>
      <diagonal/>
    </border>
    <border>
      <left style="thin">
        <color indexed="18"/>
      </left>
      <right style="thin">
        <color indexed="18"/>
      </right>
      <top style="medium">
        <color indexed="8"/>
      </top>
      <bottom style="thick">
        <color indexed="8"/>
      </bottom>
      <diagonal/>
    </border>
    <border>
      <left style="thin">
        <color indexed="18"/>
      </left>
      <right style="medium">
        <color indexed="8"/>
      </right>
      <top style="medium">
        <color indexed="8"/>
      </top>
      <bottom style="thick">
        <color indexed="8"/>
      </bottom>
      <diagonal/>
    </border>
    <border>
      <left style="medium">
        <color indexed="8"/>
      </left>
      <right style="medium">
        <color indexed="8"/>
      </right>
      <top style="medium">
        <color indexed="8"/>
      </top>
      <bottom style="thick">
        <color indexed="8"/>
      </bottom>
      <diagonal/>
    </border>
    <border>
      <left style="medium">
        <color indexed="8"/>
      </left>
      <right style="thin">
        <color indexed="8"/>
      </right>
      <top style="medium">
        <color indexed="8"/>
      </top>
      <bottom style="thick">
        <color indexed="8"/>
      </bottom>
      <diagonal/>
    </border>
    <border>
      <left style="thin">
        <color indexed="8"/>
      </left>
      <right style="thin">
        <color indexed="40"/>
      </right>
      <top style="thin">
        <color indexed="8"/>
      </top>
      <bottom style="thick">
        <color indexed="8"/>
      </bottom>
      <diagonal/>
    </border>
    <border>
      <left style="thin">
        <color indexed="40"/>
      </left>
      <right style="thin">
        <color indexed="8"/>
      </right>
      <top style="thin">
        <color indexed="8"/>
      </top>
      <bottom style="thick">
        <color indexed="8"/>
      </bottom>
      <diagonal/>
    </border>
    <border>
      <left style="thin">
        <color indexed="8"/>
      </left>
      <right style="thin">
        <color indexed="18"/>
      </right>
      <top style="medium">
        <color indexed="8"/>
      </top>
      <bottom style="thick">
        <color indexed="8"/>
      </bottom>
      <diagonal/>
    </border>
    <border>
      <left style="medium">
        <color indexed="8"/>
      </left>
      <right style="thin">
        <color indexed="18"/>
      </right>
      <top style="medium">
        <color indexed="8"/>
      </top>
      <bottom style="thick">
        <color indexed="8"/>
      </bottom>
      <diagonal/>
    </border>
    <border>
      <left style="thin">
        <color indexed="18"/>
      </left>
      <right style="thick">
        <color indexed="8"/>
      </right>
      <top style="medium">
        <color indexed="8"/>
      </top>
      <bottom style="thick">
        <color indexed="8"/>
      </bottom>
      <diagonal/>
    </border>
    <border>
      <left style="thin">
        <color indexed="18"/>
      </left>
      <right style="medium">
        <color indexed="8"/>
      </right>
      <top style="thick">
        <color indexed="8"/>
      </top>
      <bottom style="thick">
        <color indexed="8"/>
      </bottom>
      <diagonal/>
    </border>
    <border>
      <left style="medium">
        <color indexed="8"/>
      </left>
      <right style="medium">
        <color indexed="8"/>
      </right>
      <top style="thick">
        <color indexed="8"/>
      </top>
      <bottom style="thick">
        <color indexed="8"/>
      </bottom>
      <diagonal/>
    </border>
    <border>
      <left style="medium">
        <color indexed="8"/>
      </left>
      <right style="thick">
        <color indexed="8"/>
      </right>
      <top style="thick">
        <color indexed="8"/>
      </top>
      <bottom style="thick">
        <color indexed="8"/>
      </bottom>
      <diagonal/>
    </border>
    <border>
      <left style="thick">
        <color indexed="8"/>
      </left>
      <right style="thick">
        <color indexed="8"/>
      </right>
      <top style="thick">
        <color indexed="8"/>
      </top>
      <bottom style="thick">
        <color indexed="8"/>
      </bottom>
      <diagonal/>
    </border>
    <border>
      <left style="medium">
        <color indexed="8"/>
      </left>
      <right style="thin">
        <color indexed="8"/>
      </right>
      <top style="thick">
        <color indexed="8"/>
      </top>
      <bottom style="thick">
        <color indexed="8"/>
      </bottom>
      <diagonal/>
    </border>
    <border>
      <left style="medium">
        <color indexed="8"/>
      </left>
      <right style="thin">
        <color indexed="18"/>
      </right>
      <top style="thick">
        <color indexed="8"/>
      </top>
      <bottom style="thick">
        <color indexed="8"/>
      </bottom>
      <diagonal/>
    </border>
    <border>
      <left style="thin">
        <color indexed="8"/>
      </left>
      <right style="medium">
        <color indexed="8"/>
      </right>
      <top style="medium">
        <color indexed="8"/>
      </top>
      <bottom style="thick">
        <color indexed="8"/>
      </bottom>
      <diagonal/>
    </border>
    <border>
      <left style="thin">
        <color indexed="18"/>
      </left>
      <right style="thin">
        <color indexed="18"/>
      </right>
      <top style="thin">
        <color indexed="18"/>
      </top>
      <bottom style="thick">
        <color indexed="8"/>
      </bottom>
      <diagonal/>
    </border>
    <border>
      <left style="medium">
        <color indexed="8"/>
      </left>
      <right style="medium">
        <color indexed="8"/>
      </right>
      <top style="thick">
        <color indexed="8"/>
      </top>
      <bottom style="thin">
        <color indexed="18"/>
      </bottom>
      <diagonal/>
    </border>
    <border>
      <left style="medium">
        <color indexed="8"/>
      </left>
      <right style="thin">
        <color indexed="8"/>
      </right>
      <top style="thick">
        <color indexed="8"/>
      </top>
      <bottom style="thin">
        <color indexed="18"/>
      </bottom>
      <diagonal/>
    </border>
    <border>
      <left style="thin">
        <color indexed="8"/>
      </left>
      <right style="thin">
        <color indexed="8"/>
      </right>
      <top style="thick">
        <color indexed="8"/>
      </top>
      <bottom style="thin">
        <color indexed="18"/>
      </bottom>
      <diagonal/>
    </border>
    <border>
      <left style="thin">
        <color indexed="8"/>
      </left>
      <right/>
      <top style="thick">
        <color indexed="8"/>
      </top>
      <bottom style="thin">
        <color indexed="8"/>
      </bottom>
      <diagonal/>
    </border>
    <border>
      <left/>
      <right style="thin">
        <color indexed="8"/>
      </right>
      <top style="thick">
        <color indexed="8"/>
      </top>
      <bottom style="thin">
        <color indexed="8"/>
      </bottom>
      <diagonal/>
    </border>
    <border>
      <left style="thin">
        <color indexed="8"/>
      </left>
      <right style="thin">
        <color indexed="18"/>
      </right>
      <top style="thick">
        <color indexed="8"/>
      </top>
      <bottom style="thin">
        <color indexed="18"/>
      </bottom>
      <diagonal/>
    </border>
    <border>
      <left style="thin">
        <color indexed="18"/>
      </left>
      <right style="thin">
        <color indexed="8"/>
      </right>
      <top style="thick">
        <color indexed="8"/>
      </top>
      <bottom style="thin">
        <color indexed="18"/>
      </bottom>
      <diagonal/>
    </border>
    <border>
      <left style="thin">
        <color indexed="18"/>
      </left>
      <right style="medium">
        <color indexed="8"/>
      </right>
      <top style="thick">
        <color indexed="8"/>
      </top>
      <bottom style="thin">
        <color indexed="18"/>
      </bottom>
      <diagonal/>
    </border>
    <border>
      <left style="thin">
        <color indexed="8"/>
      </left>
      <right style="thin">
        <color indexed="40"/>
      </right>
      <top style="thick">
        <color indexed="8"/>
      </top>
      <bottom style="thin">
        <color indexed="18"/>
      </bottom>
      <diagonal/>
    </border>
    <border>
      <left style="thin">
        <color indexed="40"/>
      </left>
      <right style="thin">
        <color indexed="8"/>
      </right>
      <top style="thick">
        <color indexed="8"/>
      </top>
      <bottom style="thin">
        <color indexed="18"/>
      </bottom>
      <diagonal/>
    </border>
    <border>
      <left style="thin">
        <color indexed="8"/>
      </left>
      <right style="medium">
        <color indexed="8"/>
      </right>
      <top style="thick">
        <color indexed="8"/>
      </top>
      <bottom style="thin">
        <color indexed="18"/>
      </bottom>
      <diagonal/>
    </border>
    <border>
      <left style="medium">
        <color indexed="8"/>
      </left>
      <right style="thin">
        <color indexed="8"/>
      </right>
      <top style="thick">
        <color indexed="8"/>
      </top>
      <bottom style="thin">
        <color indexed="8"/>
      </bottom>
      <diagonal/>
    </border>
    <border>
      <left style="thin">
        <color indexed="18"/>
      </left>
      <right style="thick">
        <color indexed="8"/>
      </right>
      <top style="thick">
        <color indexed="8"/>
      </top>
      <bottom style="thin">
        <color indexed="18"/>
      </bottom>
      <diagonal/>
    </border>
    <border>
      <left style="thin">
        <color indexed="8"/>
      </left>
      <right style="thick">
        <color indexed="8"/>
      </right>
      <top style="thick">
        <color indexed="8"/>
      </top>
      <bottom style="medium">
        <color indexed="8"/>
      </bottom>
      <diagonal/>
    </border>
    <border>
      <left style="thick">
        <color indexed="8"/>
      </left>
      <right style="medium">
        <color indexed="8"/>
      </right>
      <top style="thick">
        <color indexed="8"/>
      </top>
      <bottom style="medium">
        <color indexed="8"/>
      </bottom>
      <diagonal/>
    </border>
    <border>
      <left style="medium">
        <color indexed="8"/>
      </left>
      <right style="medium">
        <color indexed="8"/>
      </right>
      <top style="thin">
        <color indexed="18"/>
      </top>
      <bottom style="thin">
        <color indexed="18"/>
      </bottom>
      <diagonal/>
    </border>
    <border>
      <left style="medium">
        <color indexed="8"/>
      </left>
      <right style="thin">
        <color indexed="8"/>
      </right>
      <top style="thin">
        <color indexed="18"/>
      </top>
      <bottom style="thin">
        <color indexed="18"/>
      </bottom>
      <diagonal/>
    </border>
    <border>
      <left style="thin">
        <color indexed="8"/>
      </left>
      <right style="thin">
        <color indexed="8"/>
      </right>
      <top style="thin">
        <color indexed="18"/>
      </top>
      <bottom style="thin">
        <color indexed="18"/>
      </bottom>
      <diagonal/>
    </border>
    <border>
      <left style="thin">
        <color indexed="8"/>
      </left>
      <right/>
      <top style="thin">
        <color indexed="8"/>
      </top>
      <bottom style="thin">
        <color indexed="18"/>
      </bottom>
      <diagonal/>
    </border>
    <border>
      <left/>
      <right style="thin">
        <color indexed="8"/>
      </right>
      <top style="thin">
        <color indexed="8"/>
      </top>
      <bottom style="thin">
        <color indexed="18"/>
      </bottom>
      <diagonal/>
    </border>
    <border>
      <left style="thin">
        <color indexed="8"/>
      </left>
      <right style="thin">
        <color indexed="18"/>
      </right>
      <top style="thin">
        <color indexed="18"/>
      </top>
      <bottom style="thin">
        <color indexed="18"/>
      </bottom>
      <diagonal/>
    </border>
    <border>
      <left style="thin">
        <color indexed="18"/>
      </left>
      <right style="thin">
        <color indexed="18"/>
      </right>
      <top style="thin">
        <color indexed="18"/>
      </top>
      <bottom style="thin">
        <color indexed="18"/>
      </bottom>
      <diagonal/>
    </border>
    <border>
      <left style="thin">
        <color indexed="18"/>
      </left>
      <right style="thin">
        <color indexed="8"/>
      </right>
      <top style="thin">
        <color indexed="18"/>
      </top>
      <bottom style="thin">
        <color indexed="18"/>
      </bottom>
      <diagonal/>
    </border>
    <border>
      <left style="thin">
        <color indexed="18"/>
      </left>
      <right style="medium">
        <color indexed="8"/>
      </right>
      <top style="thin">
        <color indexed="18"/>
      </top>
      <bottom style="thin">
        <color indexed="18"/>
      </bottom>
      <diagonal/>
    </border>
    <border>
      <left style="thin">
        <color indexed="8"/>
      </left>
      <right style="thin">
        <color indexed="40"/>
      </right>
      <top style="thin">
        <color indexed="18"/>
      </top>
      <bottom style="thin">
        <color indexed="18"/>
      </bottom>
      <diagonal/>
    </border>
    <border>
      <left style="thin">
        <color indexed="40"/>
      </left>
      <right style="thin">
        <color indexed="8"/>
      </right>
      <top style="thin">
        <color indexed="18"/>
      </top>
      <bottom style="thin">
        <color indexed="18"/>
      </bottom>
      <diagonal/>
    </border>
    <border>
      <left style="thin">
        <color indexed="8"/>
      </left>
      <right style="thin">
        <color indexed="8"/>
      </right>
      <top style="thin">
        <color indexed="8"/>
      </top>
      <bottom style="thin">
        <color indexed="18"/>
      </bottom>
      <diagonal/>
    </border>
    <border>
      <left style="thin">
        <color indexed="8"/>
      </left>
      <right style="medium">
        <color indexed="8"/>
      </right>
      <top style="thin">
        <color indexed="1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18"/>
      </left>
      <right style="thick">
        <color indexed="8"/>
      </right>
      <top style="thin">
        <color indexed="18"/>
      </top>
      <bottom style="thin">
        <color indexed="18"/>
      </bottom>
      <diagonal/>
    </border>
    <border>
      <left style="thick">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medium">
        <color indexed="8"/>
      </bottom>
      <diagonal/>
    </border>
    <border>
      <left style="thick">
        <color indexed="8"/>
      </left>
      <right style="medium">
        <color indexed="8"/>
      </right>
      <top style="medium">
        <color indexed="8"/>
      </top>
      <bottom style="medium">
        <color indexed="8"/>
      </bottom>
      <diagonal/>
    </border>
    <border>
      <left style="medium">
        <color indexed="8"/>
      </left>
      <right style="medium">
        <color indexed="8"/>
      </right>
      <top style="thin">
        <color indexed="18"/>
      </top>
      <bottom style="thin">
        <color indexed="8"/>
      </bottom>
      <diagonal/>
    </border>
    <border>
      <left style="medium">
        <color indexed="8"/>
      </left>
      <right style="thin">
        <color indexed="8"/>
      </right>
      <top style="thin">
        <color indexed="18"/>
      </top>
      <bottom style="thin">
        <color indexed="8"/>
      </bottom>
      <diagonal/>
    </border>
    <border>
      <left style="thin">
        <color indexed="8"/>
      </left>
      <right style="thin">
        <color indexed="8"/>
      </right>
      <top style="thin">
        <color indexed="18"/>
      </top>
      <bottom style="thin">
        <color indexed="8"/>
      </bottom>
      <diagonal/>
    </border>
    <border>
      <left style="thin">
        <color indexed="8"/>
      </left>
      <right/>
      <top style="thin">
        <color indexed="18"/>
      </top>
      <bottom style="thin">
        <color indexed="8"/>
      </bottom>
      <diagonal/>
    </border>
    <border>
      <left/>
      <right style="thin">
        <color indexed="8"/>
      </right>
      <top style="thin">
        <color indexed="18"/>
      </top>
      <bottom style="thin">
        <color indexed="8"/>
      </bottom>
      <diagonal/>
    </border>
    <border>
      <left style="thin">
        <color indexed="8"/>
      </left>
      <right style="thin">
        <color indexed="18"/>
      </right>
      <top style="thin">
        <color indexed="18"/>
      </top>
      <bottom style="thin">
        <color indexed="8"/>
      </bottom>
      <diagonal/>
    </border>
    <border>
      <left style="thin">
        <color indexed="18"/>
      </left>
      <right style="thin">
        <color indexed="18"/>
      </right>
      <top style="thin">
        <color indexed="18"/>
      </top>
      <bottom style="thin">
        <color indexed="8"/>
      </bottom>
      <diagonal/>
    </border>
    <border>
      <left style="thin">
        <color indexed="18"/>
      </left>
      <right style="thin">
        <color indexed="8"/>
      </right>
      <top style="thin">
        <color indexed="18"/>
      </top>
      <bottom style="thin">
        <color indexed="8"/>
      </bottom>
      <diagonal/>
    </border>
    <border>
      <left style="thin">
        <color indexed="18"/>
      </left>
      <right style="medium">
        <color indexed="8"/>
      </right>
      <top style="thin">
        <color indexed="18"/>
      </top>
      <bottom style="thin">
        <color indexed="8"/>
      </bottom>
      <diagonal/>
    </border>
    <border>
      <left style="thin">
        <color indexed="40"/>
      </left>
      <right style="thin">
        <color indexed="8"/>
      </right>
      <top style="thin">
        <color indexed="18"/>
      </top>
      <bottom style="thin">
        <color indexed="8"/>
      </bottom>
      <diagonal/>
    </border>
    <border>
      <left style="thin">
        <color indexed="8"/>
      </left>
      <right style="medium">
        <color indexed="8"/>
      </right>
      <top style="thin">
        <color indexed="8"/>
      </top>
      <bottom style="thin">
        <color indexed="8"/>
      </bottom>
      <diagonal/>
    </border>
    <border>
      <left style="thin">
        <color indexed="18"/>
      </left>
      <right style="thick">
        <color indexed="8"/>
      </right>
      <top style="thin">
        <color indexed="18"/>
      </top>
      <bottom style="thin">
        <color indexed="8"/>
      </bottom>
      <diagonal/>
    </border>
    <border>
      <left style="medium">
        <color indexed="8"/>
      </left>
      <right style="medium">
        <color indexed="8"/>
      </right>
      <top style="thin">
        <color indexed="8"/>
      </top>
      <bottom style="thin">
        <color indexed="18"/>
      </bottom>
      <diagonal/>
    </border>
    <border>
      <left style="medium">
        <color indexed="8"/>
      </left>
      <right style="thin">
        <color indexed="8"/>
      </right>
      <top style="thin">
        <color indexed="8"/>
      </top>
      <bottom style="thin">
        <color indexed="1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18"/>
      </right>
      <top style="thin">
        <color indexed="8"/>
      </top>
      <bottom style="thin">
        <color indexed="18"/>
      </bottom>
      <diagonal/>
    </border>
    <border>
      <left style="thin">
        <color indexed="18"/>
      </left>
      <right style="thin">
        <color indexed="18"/>
      </right>
      <top style="thin">
        <color indexed="8"/>
      </top>
      <bottom style="thin">
        <color indexed="18"/>
      </bottom>
      <diagonal/>
    </border>
    <border>
      <left style="thin">
        <color indexed="18"/>
      </left>
      <right style="thin">
        <color indexed="8"/>
      </right>
      <top style="thin">
        <color indexed="8"/>
      </top>
      <bottom style="thin">
        <color indexed="18"/>
      </bottom>
      <diagonal/>
    </border>
    <border>
      <left style="thin">
        <color indexed="18"/>
      </left>
      <right style="medium">
        <color indexed="8"/>
      </right>
      <top style="thin">
        <color indexed="8"/>
      </top>
      <bottom style="thin">
        <color indexed="18"/>
      </bottom>
      <diagonal/>
    </border>
    <border>
      <left style="thin">
        <color indexed="8"/>
      </left>
      <right style="thin">
        <color indexed="53"/>
      </right>
      <top style="thin">
        <color indexed="8"/>
      </top>
      <bottom style="thin">
        <color indexed="18"/>
      </bottom>
      <diagonal/>
    </border>
    <border>
      <left style="thin">
        <color indexed="53"/>
      </left>
      <right style="thin">
        <color indexed="53"/>
      </right>
      <top style="thin">
        <color indexed="18"/>
      </top>
      <bottom style="thin">
        <color indexed="18"/>
      </bottom>
      <diagonal/>
    </border>
    <border>
      <left style="thin">
        <color indexed="53"/>
      </left>
      <right style="thin">
        <color indexed="8"/>
      </right>
      <top style="thin">
        <color indexed="8"/>
      </top>
      <bottom style="thin">
        <color indexed="18"/>
      </bottom>
      <diagonal/>
    </border>
    <border>
      <left style="thin">
        <color indexed="8"/>
      </left>
      <right style="medium">
        <color indexed="8"/>
      </right>
      <top style="thin">
        <color indexed="8"/>
      </top>
      <bottom style="thin">
        <color indexed="18"/>
      </bottom>
      <diagonal/>
    </border>
    <border>
      <left style="thin">
        <color indexed="18"/>
      </left>
      <right style="thick">
        <color indexed="8"/>
      </right>
      <top style="thin">
        <color indexed="8"/>
      </top>
      <bottom style="thin">
        <color indexed="18"/>
      </bottom>
      <diagonal/>
    </border>
    <border>
      <left style="thin">
        <color indexed="8"/>
      </left>
      <right style="thin">
        <color indexed="8"/>
      </right>
      <top style="thin">
        <color indexed="8"/>
      </top>
      <bottom style="medium">
        <color indexed="8"/>
      </bottom>
      <diagonal/>
    </border>
    <border>
      <left style="thin">
        <color indexed="8"/>
      </left>
      <right style="thin">
        <color indexed="53"/>
      </right>
      <top style="thin">
        <color indexed="18"/>
      </top>
      <bottom style="thin">
        <color indexed="18"/>
      </bottom>
      <diagonal/>
    </border>
    <border>
      <left style="thin">
        <color indexed="53"/>
      </left>
      <right style="thin">
        <color indexed="8"/>
      </right>
      <top style="thin">
        <color indexed="18"/>
      </top>
      <bottom style="thin">
        <color indexed="18"/>
      </bottom>
      <diagonal/>
    </border>
    <border>
      <left style="thin">
        <color indexed="8"/>
      </left>
      <right style="thin">
        <color indexed="53"/>
      </right>
      <top style="thin">
        <color indexed="18"/>
      </top>
      <bottom style="thin">
        <color indexed="8"/>
      </bottom>
      <diagonal/>
    </border>
    <border>
      <left style="thin">
        <color indexed="53"/>
      </left>
      <right style="thin">
        <color indexed="8"/>
      </right>
      <top style="thin">
        <color indexed="18"/>
      </top>
      <bottom style="thin">
        <color indexed="8"/>
      </bottom>
      <diagonal/>
    </border>
    <border>
      <left style="thin">
        <color indexed="53"/>
      </left>
      <right style="thin">
        <color indexed="53"/>
      </right>
      <top style="thin">
        <color indexed="8"/>
      </top>
      <bottom style="thin">
        <color indexed="18"/>
      </bottom>
      <diagonal/>
    </border>
    <border>
      <left style="thin">
        <color indexed="8"/>
      </left>
      <right style="thin">
        <color indexed="18"/>
      </right>
      <top style="thin">
        <color indexed="18"/>
      </top>
      <bottom style="medium">
        <color indexed="8"/>
      </bottom>
      <diagonal/>
    </border>
    <border>
      <left style="thin">
        <color indexed="18"/>
      </left>
      <right style="thin">
        <color indexed="8"/>
      </right>
      <top style="thin">
        <color indexed="18"/>
      </top>
      <bottom style="medium">
        <color indexed="8"/>
      </bottom>
      <diagonal/>
    </border>
    <border>
      <left style="thin">
        <color indexed="18"/>
      </left>
      <right style="thin">
        <color indexed="18"/>
      </right>
      <top style="thin">
        <color indexed="18"/>
      </top>
      <bottom style="medium">
        <color indexed="8"/>
      </bottom>
      <diagonal/>
    </border>
    <border>
      <left style="thin">
        <color indexed="18"/>
      </left>
      <right style="medium">
        <color indexed="8"/>
      </right>
      <top style="thin">
        <color indexed="18"/>
      </top>
      <bottom style="medium">
        <color indexed="8"/>
      </bottom>
      <diagonal/>
    </border>
    <border>
      <left style="thin">
        <color indexed="8"/>
      </left>
      <right style="thin">
        <color indexed="18"/>
      </right>
      <top style="medium">
        <color indexed="8"/>
      </top>
      <bottom style="thin">
        <color indexed="18"/>
      </bottom>
      <diagonal/>
    </border>
    <border>
      <left style="thin">
        <color indexed="18"/>
      </left>
      <right style="thin">
        <color indexed="8"/>
      </right>
      <top style="medium">
        <color indexed="8"/>
      </top>
      <bottom style="thin">
        <color indexed="18"/>
      </bottom>
      <diagonal/>
    </border>
    <border>
      <left style="thin">
        <color indexed="18"/>
      </left>
      <right style="thin">
        <color indexed="18"/>
      </right>
      <top style="medium">
        <color indexed="8"/>
      </top>
      <bottom style="thin">
        <color indexed="18"/>
      </bottom>
      <diagonal/>
    </border>
    <border>
      <left style="thin">
        <color indexed="18"/>
      </left>
      <right style="medium">
        <color indexed="8"/>
      </right>
      <top style="medium">
        <color indexed="8"/>
      </top>
      <bottom style="thin">
        <color indexed="18"/>
      </bottom>
      <diagonal/>
    </border>
    <border>
      <left style="thin">
        <color indexed="8"/>
      </left>
      <right style="thin">
        <color indexed="8"/>
      </right>
      <top style="thin">
        <color indexed="18"/>
      </top>
      <bottom style="medium">
        <color indexed="8"/>
      </bottom>
      <diagonal/>
    </border>
    <border>
      <left style="thin">
        <color indexed="8"/>
      </left>
      <right style="thin">
        <color indexed="8"/>
      </right>
      <top style="medium">
        <color indexed="8"/>
      </top>
      <bottom style="thin">
        <color indexed="8"/>
      </bottom>
      <diagonal/>
    </border>
    <border>
      <left style="medium">
        <color indexed="8"/>
      </left>
      <right style="medium">
        <color indexed="8"/>
      </right>
      <top style="thin">
        <color indexed="8"/>
      </top>
      <bottom style="thin">
        <color indexed="8"/>
      </bottom>
      <diagonal/>
    </border>
    <border>
      <left style="thin">
        <color indexed="8"/>
      </left>
      <right style="thin">
        <color indexed="18"/>
      </right>
      <top style="thin">
        <color indexed="8"/>
      </top>
      <bottom style="thin">
        <color indexed="8"/>
      </bottom>
      <diagonal/>
    </border>
    <border>
      <left style="thin">
        <color indexed="18"/>
      </left>
      <right style="thin">
        <color indexed="18"/>
      </right>
      <top style="medium">
        <color indexed="8"/>
      </top>
      <bottom style="medium">
        <color indexed="8"/>
      </bottom>
      <diagonal/>
    </border>
    <border>
      <left style="thin">
        <color indexed="18"/>
      </left>
      <right style="thin">
        <color indexed="8"/>
      </right>
      <top style="medium">
        <color indexed="8"/>
      </top>
      <bottom style="medium">
        <color indexed="8"/>
      </bottom>
      <diagonal/>
    </border>
    <border>
      <left style="thin">
        <color indexed="8"/>
      </left>
      <right style="thin">
        <color indexed="18"/>
      </right>
      <top style="medium">
        <color indexed="8"/>
      </top>
      <bottom style="medium">
        <color indexed="8"/>
      </bottom>
      <diagonal/>
    </border>
    <border>
      <left style="thin">
        <color indexed="18"/>
      </left>
      <right style="medium">
        <color indexed="8"/>
      </right>
      <top style="medium">
        <color indexed="8"/>
      </top>
      <bottom style="medium">
        <color indexed="8"/>
      </bottom>
      <diagonal/>
    </border>
    <border>
      <left style="thin">
        <color indexed="8"/>
      </left>
      <right style="thin">
        <color indexed="53"/>
      </right>
      <top style="thin">
        <color indexed="8"/>
      </top>
      <bottom style="thin">
        <color indexed="8"/>
      </bottom>
      <diagonal/>
    </border>
    <border>
      <left style="thin">
        <color indexed="53"/>
      </left>
      <right style="thin">
        <color indexed="8"/>
      </right>
      <top style="thin">
        <color indexed="8"/>
      </top>
      <bottom style="thin">
        <color indexed="8"/>
      </bottom>
      <diagonal/>
    </border>
    <border>
      <left style="thin">
        <color indexed="18"/>
      </left>
      <right style="thick">
        <color indexed="8"/>
      </right>
      <top style="thin">
        <color indexed="8"/>
      </top>
      <bottom style="thin">
        <color indexed="8"/>
      </bottom>
      <diagonal/>
    </border>
    <border>
      <left style="thin">
        <color indexed="18"/>
      </left>
      <right style="thin">
        <color indexed="18"/>
      </right>
      <top style="thin">
        <color indexed="18"/>
      </top>
      <bottom style="thin">
        <color indexed="53"/>
      </bottom>
      <diagonal/>
    </border>
    <border>
      <left style="thin">
        <color indexed="8"/>
      </left>
      <right style="thin">
        <color indexed="8"/>
      </right>
      <top style="thin">
        <color indexed="53"/>
      </top>
      <bottom style="thin">
        <color indexed="18"/>
      </bottom>
      <diagonal/>
    </border>
    <border>
      <left style="thin">
        <color indexed="8"/>
      </left>
      <right style="thin">
        <color indexed="18"/>
      </right>
      <top style="thin">
        <color indexed="53"/>
      </top>
      <bottom style="thin">
        <color indexed="18"/>
      </bottom>
      <diagonal/>
    </border>
    <border>
      <left style="thin">
        <color indexed="18"/>
      </left>
      <right style="thin">
        <color indexed="18"/>
      </right>
      <top style="thin">
        <color indexed="53"/>
      </top>
      <bottom style="thin">
        <color indexed="18"/>
      </bottom>
      <diagonal/>
    </border>
    <border>
      <left style="thin">
        <color indexed="8"/>
      </left>
      <right style="thin">
        <color indexed="8"/>
      </right>
      <top style="thin">
        <color indexed="18"/>
      </top>
      <bottom style="thin">
        <color indexed="53"/>
      </bottom>
      <diagonal/>
    </border>
    <border>
      <left style="thin">
        <color indexed="8"/>
      </left>
      <right style="thin">
        <color indexed="18"/>
      </right>
      <top style="thin">
        <color indexed="18"/>
      </top>
      <bottom style="thin">
        <color indexed="53"/>
      </bottom>
      <diagonal/>
    </border>
    <border>
      <left style="thin">
        <color indexed="8"/>
      </left>
      <right style="thin">
        <color indexed="8"/>
      </right>
      <top style="thin">
        <color indexed="53"/>
      </top>
      <bottom style="thin">
        <color indexed="53"/>
      </bottom>
      <diagonal/>
    </border>
    <border>
      <left style="thin">
        <color indexed="8"/>
      </left>
      <right style="thin">
        <color indexed="18"/>
      </right>
      <top style="thin">
        <color indexed="53"/>
      </top>
      <bottom style="thin">
        <color indexed="53"/>
      </bottom>
      <diagonal/>
    </border>
    <border>
      <left style="thin">
        <color indexed="18"/>
      </left>
      <right style="thin">
        <color indexed="18"/>
      </right>
      <top style="thin">
        <color indexed="53"/>
      </top>
      <bottom style="thin">
        <color indexed="53"/>
      </bottom>
      <diagonal/>
    </border>
    <border>
      <left style="thin">
        <color indexed="18"/>
      </left>
      <right style="thin">
        <color indexed="53"/>
      </right>
      <top style="thin">
        <color indexed="53"/>
      </top>
      <bottom style="thin">
        <color indexed="18"/>
      </bottom>
      <diagonal/>
    </border>
    <border>
      <left style="thin">
        <color indexed="53"/>
      </left>
      <right style="thin">
        <color indexed="18"/>
      </right>
      <top style="thin">
        <color indexed="53"/>
      </top>
      <bottom style="thin">
        <color indexed="18"/>
      </bottom>
      <diagonal/>
    </border>
    <border>
      <left style="thin">
        <color indexed="18"/>
      </left>
      <right style="thin">
        <color indexed="53"/>
      </right>
      <top style="thin">
        <color indexed="18"/>
      </top>
      <bottom style="thin">
        <color indexed="18"/>
      </bottom>
      <diagonal/>
    </border>
    <border>
      <left style="thin">
        <color indexed="53"/>
      </left>
      <right style="thin">
        <color indexed="18"/>
      </right>
      <top style="thin">
        <color indexed="18"/>
      </top>
      <bottom style="thin">
        <color indexed="18"/>
      </bottom>
      <diagonal/>
    </border>
    <border>
      <left style="thin">
        <color indexed="18"/>
      </left>
      <right style="thin">
        <color indexed="53"/>
      </right>
      <top style="thin">
        <color indexed="18"/>
      </top>
      <bottom style="thin">
        <color indexed="53"/>
      </bottom>
      <diagonal/>
    </border>
    <border>
      <left style="thin">
        <color indexed="53"/>
      </left>
      <right style="thin">
        <color indexed="18"/>
      </right>
      <top style="thin">
        <color indexed="18"/>
      </top>
      <bottom style="thin">
        <color indexed="53"/>
      </bottom>
      <diagonal/>
    </border>
    <border>
      <left style="medium">
        <color indexed="8"/>
      </left>
      <right style="thin">
        <color indexed="18"/>
      </right>
      <top style="medium">
        <color indexed="8"/>
      </top>
      <bottom style="medium">
        <color indexed="8"/>
      </bottom>
      <diagonal/>
    </border>
    <border>
      <left style="medium">
        <color indexed="8"/>
      </left>
      <right style="medium">
        <color indexed="8"/>
      </right>
      <top style="medium">
        <color indexed="8"/>
      </top>
      <bottom style="thin">
        <color indexed="18"/>
      </bottom>
      <diagonal/>
    </border>
    <border>
      <left style="medium">
        <color indexed="8"/>
      </left>
      <right style="thin">
        <color indexed="18"/>
      </right>
      <top style="medium">
        <color indexed="8"/>
      </top>
      <bottom style="thin">
        <color indexed="18"/>
      </bottom>
      <diagonal/>
    </border>
    <border>
      <left style="medium">
        <color indexed="8"/>
      </left>
      <right style="thin">
        <color indexed="18"/>
      </right>
      <top style="thin">
        <color indexed="18"/>
      </top>
      <bottom style="thin">
        <color indexed="18"/>
      </bottom>
      <diagonal/>
    </border>
    <border>
      <left style="medium">
        <color indexed="8"/>
      </left>
      <right style="medium">
        <color indexed="8"/>
      </right>
      <top style="thin">
        <color indexed="18"/>
      </top>
      <bottom style="medium">
        <color indexed="8"/>
      </bottom>
      <diagonal/>
    </border>
    <border>
      <left style="medium">
        <color indexed="8"/>
      </left>
      <right style="thin">
        <color indexed="18"/>
      </right>
      <top style="thin">
        <color indexed="18"/>
      </top>
      <bottom style="medium">
        <color indexed="8"/>
      </bottom>
      <diagonal/>
    </border>
  </borders>
  <cellStyleXfs count="1">
    <xf numFmtId="0" fontId="0" fillId="0" borderId="0" applyNumberFormat="0" applyFill="0" applyBorder="0" applyProtection="0">
      <alignment vertical="top" wrapText="1"/>
    </xf>
  </cellStyleXfs>
  <cellXfs count="541">
    <xf numFmtId="0" fontId="0" fillId="0" borderId="0" xfId="0">
      <alignment vertical="top" wrapText="1"/>
    </xf>
    <xf numFmtId="0" fontId="2" fillId="0" borderId="0" xfId="0" applyNumberFormat="1" applyFont="1" applyAlignment="1"/>
    <xf numFmtId="49" fontId="2" fillId="2" borderId="2" xfId="0" applyNumberFormat="1" applyFont="1" applyFill="1" applyBorder="1" applyAlignment="1">
      <alignment wrapText="1"/>
    </xf>
    <xf numFmtId="49" fontId="5" fillId="2" borderId="6" xfId="0" applyNumberFormat="1" applyFont="1" applyFill="1" applyBorder="1" applyAlignment="1">
      <alignment horizontal="center" vertical="center" wrapText="1"/>
    </xf>
    <xf numFmtId="49" fontId="2" fillId="2" borderId="13" xfId="0" applyNumberFormat="1" applyFont="1" applyFill="1" applyBorder="1" applyAlignment="1">
      <alignment horizontal="center" vertical="center" wrapText="1"/>
    </xf>
    <xf numFmtId="49" fontId="2" fillId="2" borderId="19" xfId="0" applyNumberFormat="1" applyFont="1" applyFill="1" applyBorder="1" applyAlignment="1">
      <alignment horizontal="center" vertical="center" wrapText="1"/>
    </xf>
    <xf numFmtId="49" fontId="2" fillId="2" borderId="20" xfId="0" applyNumberFormat="1" applyFont="1" applyFill="1" applyBorder="1" applyAlignment="1">
      <alignment horizontal="center" vertical="center" wrapText="1"/>
    </xf>
    <xf numFmtId="49" fontId="2" fillId="2" borderId="21" xfId="0" applyNumberFormat="1"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2" fillId="2" borderId="23" xfId="0" applyNumberFormat="1" applyFont="1" applyFill="1" applyBorder="1" applyAlignment="1">
      <alignment horizontal="center" vertical="center" wrapText="1"/>
    </xf>
    <xf numFmtId="49" fontId="4" fillId="2" borderId="27" xfId="0" applyNumberFormat="1" applyFont="1" applyFill="1" applyBorder="1" applyAlignment="1">
      <alignment horizontal="center" vertical="center" wrapText="1"/>
    </xf>
    <xf numFmtId="49" fontId="2" fillId="2" borderId="15" xfId="0" applyNumberFormat="1" applyFont="1" applyFill="1" applyBorder="1" applyAlignment="1">
      <alignment horizontal="center" vertical="center" wrapText="1"/>
    </xf>
    <xf numFmtId="49" fontId="2" fillId="2" borderId="16" xfId="0" applyNumberFormat="1" applyFont="1" applyFill="1" applyBorder="1" applyAlignment="1">
      <alignment horizontal="center" vertical="center" wrapText="1"/>
    </xf>
    <xf numFmtId="49" fontId="2" fillId="2" borderId="17" xfId="0" applyNumberFormat="1" applyFont="1" applyFill="1" applyBorder="1" applyAlignment="1">
      <alignment horizontal="center" vertical="center" wrapText="1"/>
    </xf>
    <xf numFmtId="49" fontId="2" fillId="2" borderId="18" xfId="0" applyNumberFormat="1" applyFont="1" applyFill="1" applyBorder="1" applyAlignment="1">
      <alignment horizontal="center" vertical="center" wrapText="1"/>
    </xf>
    <xf numFmtId="49" fontId="2" fillId="2" borderId="36" xfId="0" applyNumberFormat="1" applyFont="1" applyFill="1" applyBorder="1" applyAlignment="1">
      <alignment horizontal="center" vertical="center" wrapText="1"/>
    </xf>
    <xf numFmtId="49" fontId="2" fillId="2" borderId="37" xfId="0" applyNumberFormat="1" applyFont="1" applyFill="1" applyBorder="1" applyAlignment="1">
      <alignment horizontal="center" vertical="center" wrapText="1"/>
    </xf>
    <xf numFmtId="49" fontId="2" fillId="2" borderId="38" xfId="0" applyNumberFormat="1" applyFont="1" applyFill="1" applyBorder="1" applyAlignment="1">
      <alignment horizontal="center" vertical="center" wrapText="1"/>
    </xf>
    <xf numFmtId="49" fontId="2" fillId="2" borderId="39" xfId="0" applyNumberFormat="1" applyFont="1" applyFill="1" applyBorder="1" applyAlignment="1">
      <alignment horizontal="center" vertical="center" wrapText="1"/>
    </xf>
    <xf numFmtId="49" fontId="2" fillId="2" borderId="40" xfId="0" applyNumberFormat="1" applyFont="1" applyFill="1" applyBorder="1" applyAlignment="1">
      <alignment horizontal="center" vertical="center" wrapText="1"/>
    </xf>
    <xf numFmtId="2" fontId="2" fillId="2" borderId="19" xfId="0" applyNumberFormat="1" applyFont="1" applyFill="1" applyBorder="1" applyAlignment="1">
      <alignment horizontal="center" vertical="center" wrapText="1"/>
    </xf>
    <xf numFmtId="9" fontId="2" fillId="2" borderId="42" xfId="0" applyNumberFormat="1" applyFont="1" applyFill="1" applyBorder="1" applyAlignment="1">
      <alignment horizontal="center" vertical="center" wrapText="1"/>
    </xf>
    <xf numFmtId="0" fontId="2" fillId="2" borderId="34" xfId="0" applyNumberFormat="1" applyFont="1" applyFill="1" applyBorder="1" applyAlignment="1">
      <alignment horizontal="center" vertical="center" wrapText="1"/>
    </xf>
    <xf numFmtId="164" fontId="2" fillId="2" borderId="43" xfId="0" applyNumberFormat="1" applyFont="1" applyFill="1" applyBorder="1" applyAlignment="1">
      <alignment horizontal="center" vertical="center" wrapText="1"/>
    </xf>
    <xf numFmtId="0" fontId="2" fillId="2" borderId="43" xfId="0" applyFont="1" applyFill="1" applyBorder="1" applyAlignment="1">
      <alignment horizontal="center" vertical="center" wrapText="1"/>
    </xf>
    <xf numFmtId="0" fontId="2" fillId="2" borderId="35" xfId="0" applyFont="1" applyFill="1" applyBorder="1" applyAlignment="1">
      <alignment horizontal="center" vertical="center" wrapText="1"/>
    </xf>
    <xf numFmtId="49" fontId="2" fillId="3" borderId="46" xfId="0" applyNumberFormat="1" applyFont="1" applyFill="1" applyBorder="1" applyAlignment="1">
      <alignment horizontal="center" vertical="center"/>
    </xf>
    <xf numFmtId="49" fontId="2" fillId="3" borderId="21" xfId="0" applyNumberFormat="1" applyFont="1" applyFill="1" applyBorder="1" applyAlignment="1">
      <alignment horizontal="right"/>
    </xf>
    <xf numFmtId="0" fontId="2" fillId="3" borderId="50" xfId="0" applyNumberFormat="1" applyFont="1" applyFill="1" applyBorder="1" applyAlignment="1">
      <alignment horizontal="left"/>
    </xf>
    <xf numFmtId="49" fontId="2" fillId="0" borderId="49" xfId="0" applyNumberFormat="1" applyFont="1" applyBorder="1" applyAlignment="1"/>
    <xf numFmtId="0" fontId="2" fillId="3" borderId="21" xfId="0" applyNumberFormat="1" applyFont="1" applyFill="1" applyBorder="1" applyAlignment="1"/>
    <xf numFmtId="164" fontId="2" fillId="3" borderId="51" xfId="0" applyNumberFormat="1" applyFont="1" applyFill="1" applyBorder="1" applyAlignment="1"/>
    <xf numFmtId="166" fontId="2" fillId="3" borderId="45" xfId="0" applyNumberFormat="1" applyFont="1" applyFill="1" applyBorder="1" applyAlignment="1"/>
    <xf numFmtId="166" fontId="2" fillId="3" borderId="46" xfId="0" applyNumberFormat="1" applyFont="1" applyFill="1" applyBorder="1" applyAlignment="1"/>
    <xf numFmtId="0" fontId="2" fillId="0" borderId="52" xfId="0" applyNumberFormat="1" applyFont="1" applyBorder="1" applyAlignment="1"/>
    <xf numFmtId="0" fontId="2" fillId="3" borderId="53" xfId="0" applyNumberFormat="1" applyFont="1" applyFill="1" applyBorder="1" applyAlignment="1"/>
    <xf numFmtId="10" fontId="2" fillId="3" borderId="49" xfId="0" applyNumberFormat="1" applyFont="1" applyFill="1" applyBorder="1" applyAlignment="1"/>
    <xf numFmtId="10" fontId="2" fillId="3" borderId="56" xfId="0" applyNumberFormat="1" applyFont="1" applyFill="1" applyBorder="1" applyAlignment="1"/>
    <xf numFmtId="164" fontId="2" fillId="3" borderId="1" xfId="0" applyNumberFormat="1" applyFont="1" applyFill="1" applyBorder="1" applyAlignment="1">
      <alignment horizontal="center" vertical="center"/>
    </xf>
    <xf numFmtId="164" fontId="2" fillId="3" borderId="3" xfId="0" applyNumberFormat="1" applyFont="1" applyFill="1" applyBorder="1" applyAlignment="1">
      <alignment horizontal="center" vertical="center"/>
    </xf>
    <xf numFmtId="164" fontId="2" fillId="3" borderId="57" xfId="0" applyNumberFormat="1" applyFont="1" applyFill="1" applyBorder="1" applyAlignment="1">
      <alignment horizontal="center" vertical="center"/>
    </xf>
    <xf numFmtId="164" fontId="2" fillId="3" borderId="20" xfId="0" applyNumberFormat="1" applyFont="1" applyFill="1" applyBorder="1" applyAlignment="1">
      <alignment horizontal="center" vertical="center"/>
    </xf>
    <xf numFmtId="164" fontId="2" fillId="3" borderId="8" xfId="0" applyNumberFormat="1" applyFont="1" applyFill="1" applyBorder="1" applyAlignment="1">
      <alignment horizontal="center" vertical="center"/>
    </xf>
    <xf numFmtId="164" fontId="2" fillId="3" borderId="9" xfId="0" applyNumberFormat="1" applyFont="1" applyFill="1" applyBorder="1" applyAlignment="1">
      <alignment horizontal="center" vertical="center"/>
    </xf>
    <xf numFmtId="164" fontId="2" fillId="3" borderId="58" xfId="0" applyNumberFormat="1" applyFont="1" applyFill="1" applyBorder="1" applyAlignment="1">
      <alignment horizontal="center" vertical="center"/>
    </xf>
    <xf numFmtId="166" fontId="2" fillId="3" borderId="8" xfId="0" applyNumberFormat="1" applyFont="1" applyFill="1" applyBorder="1" applyAlignment="1">
      <alignment horizontal="center" vertical="center"/>
    </xf>
    <xf numFmtId="0" fontId="2" fillId="3" borderId="1" xfId="0" applyNumberFormat="1" applyFont="1" applyFill="1" applyBorder="1" applyAlignment="1">
      <alignment horizontal="center" vertical="center"/>
    </xf>
    <xf numFmtId="0" fontId="2" fillId="3" borderId="20" xfId="0" applyNumberFormat="1" applyFont="1" applyFill="1" applyBorder="1" applyAlignment="1">
      <alignment horizontal="center" vertical="center"/>
    </xf>
    <xf numFmtId="0" fontId="2" fillId="3" borderId="9"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0" fontId="2" fillId="3" borderId="57" xfId="0" applyNumberFormat="1" applyFont="1" applyFill="1" applyBorder="1" applyAlignment="1">
      <alignment horizontal="center" vertical="center"/>
    </xf>
    <xf numFmtId="0" fontId="2" fillId="3" borderId="2" xfId="0" applyNumberFormat="1" applyFont="1" applyFill="1" applyBorder="1" applyAlignment="1">
      <alignment horizontal="center" vertical="center"/>
    </xf>
    <xf numFmtId="49" fontId="2" fillId="3" borderId="61" xfId="0" applyNumberFormat="1" applyFont="1" applyFill="1" applyBorder="1" applyAlignment="1">
      <alignment horizontal="center" vertical="center"/>
    </xf>
    <xf numFmtId="49" fontId="2" fillId="0" borderId="61" xfId="0" applyNumberFormat="1" applyFont="1" applyBorder="1" applyAlignment="1"/>
    <xf numFmtId="49" fontId="2" fillId="3" borderId="65" xfId="0" applyNumberFormat="1" applyFont="1" applyFill="1" applyBorder="1" applyAlignment="1">
      <alignment horizontal="right"/>
    </xf>
    <xf numFmtId="0" fontId="2" fillId="0" borderId="66" xfId="0" applyNumberFormat="1" applyFont="1" applyBorder="1" applyAlignment="1">
      <alignment horizontal="left"/>
    </xf>
    <xf numFmtId="49" fontId="2" fillId="0" borderId="64" xfId="0" applyNumberFormat="1" applyFont="1" applyBorder="1" applyAlignment="1"/>
    <xf numFmtId="0" fontId="2" fillId="3" borderId="65" xfId="0" applyNumberFormat="1" applyFont="1" applyFill="1" applyBorder="1" applyAlignment="1"/>
    <xf numFmtId="164" fontId="2" fillId="3" borderId="67" xfId="0" applyNumberFormat="1" applyFont="1" applyFill="1" applyBorder="1" applyAlignment="1"/>
    <xf numFmtId="166" fontId="2" fillId="3" borderId="60" xfId="0" applyNumberFormat="1" applyFont="1" applyFill="1" applyBorder="1" applyAlignment="1"/>
    <xf numFmtId="166" fontId="2" fillId="3" borderId="61" xfId="0" applyNumberFormat="1" applyFont="1" applyFill="1" applyBorder="1" applyAlignment="1"/>
    <xf numFmtId="0" fontId="2" fillId="0" borderId="68" xfId="0" applyNumberFormat="1" applyFont="1" applyBorder="1" applyAlignment="1"/>
    <xf numFmtId="0" fontId="2" fillId="3" borderId="69" xfId="0" applyNumberFormat="1" applyFont="1" applyFill="1" applyBorder="1" applyAlignment="1"/>
    <xf numFmtId="10" fontId="2" fillId="3" borderId="64" xfId="0" applyNumberFormat="1" applyFont="1" applyFill="1" applyBorder="1" applyAlignment="1"/>
    <xf numFmtId="10" fontId="2" fillId="3" borderId="74" xfId="0" applyNumberFormat="1" applyFont="1" applyFill="1" applyBorder="1" applyAlignment="1"/>
    <xf numFmtId="164" fontId="2" fillId="3" borderId="75" xfId="0" applyNumberFormat="1" applyFont="1" applyFill="1" applyBorder="1" applyAlignment="1">
      <alignment horizontal="center" vertical="center"/>
    </xf>
    <xf numFmtId="164" fontId="2" fillId="3" borderId="76" xfId="0" applyNumberFormat="1" applyFont="1" applyFill="1" applyBorder="1" applyAlignment="1">
      <alignment horizontal="center" vertical="center"/>
    </xf>
    <xf numFmtId="164" fontId="2" fillId="3" borderId="77" xfId="0" applyNumberFormat="1" applyFont="1" applyFill="1" applyBorder="1" applyAlignment="1">
      <alignment horizontal="center" vertical="center"/>
    </xf>
    <xf numFmtId="164" fontId="2" fillId="3" borderId="78" xfId="0" applyNumberFormat="1" applyFont="1" applyFill="1" applyBorder="1" applyAlignment="1">
      <alignment horizontal="center" vertical="center"/>
    </xf>
    <xf numFmtId="164" fontId="2" fillId="3" borderId="79" xfId="0" applyNumberFormat="1" applyFont="1" applyFill="1" applyBorder="1" applyAlignment="1">
      <alignment horizontal="center" vertical="center"/>
    </xf>
    <xf numFmtId="164" fontId="2" fillId="3" borderId="80" xfId="0" applyNumberFormat="1" applyFont="1" applyFill="1" applyBorder="1" applyAlignment="1">
      <alignment horizontal="center" vertical="center"/>
    </xf>
    <xf numFmtId="166" fontId="2" fillId="3" borderId="81" xfId="0" applyNumberFormat="1" applyFont="1" applyFill="1" applyBorder="1" applyAlignment="1">
      <alignment horizontal="center" vertical="center"/>
    </xf>
    <xf numFmtId="0" fontId="2" fillId="3" borderId="75" xfId="0" applyNumberFormat="1" applyFont="1" applyFill="1" applyBorder="1" applyAlignment="1">
      <alignment horizontal="center" vertical="center"/>
    </xf>
    <xf numFmtId="0" fontId="2" fillId="3" borderId="78" xfId="0" applyNumberFormat="1" applyFont="1" applyFill="1" applyBorder="1" applyAlignment="1">
      <alignment horizontal="center" vertical="center"/>
    </xf>
    <xf numFmtId="0" fontId="2" fillId="3" borderId="80" xfId="0" applyNumberFormat="1" applyFont="1" applyFill="1" applyBorder="1" applyAlignment="1">
      <alignment horizontal="center" vertical="center"/>
    </xf>
    <xf numFmtId="0" fontId="2" fillId="3" borderId="76" xfId="0" applyNumberFormat="1" applyFont="1" applyFill="1" applyBorder="1" applyAlignment="1">
      <alignment horizontal="center" vertical="center"/>
    </xf>
    <xf numFmtId="0" fontId="2" fillId="3" borderId="77" xfId="0" applyNumberFormat="1" applyFont="1" applyFill="1" applyBorder="1" applyAlignment="1">
      <alignment horizontal="center" vertical="center"/>
    </xf>
    <xf numFmtId="0" fontId="2" fillId="3" borderId="73" xfId="0" applyNumberFormat="1" applyFont="1" applyFill="1" applyBorder="1" applyAlignment="1">
      <alignment horizontal="center" vertical="center"/>
    </xf>
    <xf numFmtId="49" fontId="2" fillId="3" borderId="84" xfId="0" applyNumberFormat="1" applyFont="1" applyFill="1" applyBorder="1" applyAlignment="1">
      <alignment horizontal="center"/>
    </xf>
    <xf numFmtId="49" fontId="2" fillId="0" borderId="84" xfId="0" applyNumberFormat="1" applyFont="1" applyBorder="1" applyAlignment="1"/>
    <xf numFmtId="0" fontId="2" fillId="0" borderId="87" xfId="0" applyFont="1" applyBorder="1" applyAlignment="1"/>
    <xf numFmtId="0" fontId="2" fillId="3" borderId="88" xfId="0" applyFont="1" applyFill="1" applyBorder="1" applyAlignment="1">
      <alignment horizontal="right"/>
    </xf>
    <xf numFmtId="0" fontId="2" fillId="3" borderId="89" xfId="0" applyFont="1" applyFill="1" applyBorder="1" applyAlignment="1">
      <alignment horizontal="left"/>
    </xf>
    <xf numFmtId="0" fontId="2" fillId="3" borderId="88" xfId="0" applyFont="1" applyFill="1" applyBorder="1" applyAlignment="1"/>
    <xf numFmtId="164" fontId="2" fillId="3" borderId="90" xfId="0" applyNumberFormat="1" applyFont="1" applyFill="1" applyBorder="1" applyAlignment="1"/>
    <xf numFmtId="49" fontId="2" fillId="3" borderId="83" xfId="0" applyNumberFormat="1" applyFont="1" applyFill="1" applyBorder="1" applyAlignment="1"/>
    <xf numFmtId="49" fontId="2" fillId="3" borderId="84" xfId="0" applyNumberFormat="1" applyFont="1" applyFill="1" applyBorder="1" applyAlignment="1"/>
    <xf numFmtId="49" fontId="2" fillId="0" borderId="68" xfId="0" applyNumberFormat="1" applyFont="1" applyBorder="1" applyAlignment="1"/>
    <xf numFmtId="49" fontId="2" fillId="3" borderId="91" xfId="0" applyNumberFormat="1" applyFont="1" applyFill="1" applyBorder="1" applyAlignment="1"/>
    <xf numFmtId="0" fontId="2" fillId="3" borderId="87" xfId="0" applyFont="1" applyFill="1" applyBorder="1" applyAlignment="1"/>
    <xf numFmtId="49" fontId="2" fillId="3" borderId="93" xfId="0" applyNumberFormat="1" applyFont="1" applyFill="1" applyBorder="1" applyAlignment="1"/>
    <xf numFmtId="164" fontId="2" fillId="3" borderId="81" xfId="0" applyNumberFormat="1" applyFont="1" applyFill="1" applyBorder="1" applyAlignment="1">
      <alignment horizontal="center" vertical="center"/>
    </xf>
    <xf numFmtId="49" fontId="2" fillId="5" borderId="70" xfId="0" applyNumberFormat="1" applyFont="1" applyFill="1" applyBorder="1" applyAlignment="1">
      <alignment horizontal="center" vertical="center"/>
    </xf>
    <xf numFmtId="49" fontId="2" fillId="5" borderId="99" xfId="0" applyNumberFormat="1" applyFont="1" applyFill="1" applyBorder="1" applyAlignment="1">
      <alignment horizontal="right"/>
    </xf>
    <xf numFmtId="0" fontId="2" fillId="5" borderId="100" xfId="0" applyNumberFormat="1" applyFont="1" applyFill="1" applyBorder="1" applyAlignment="1">
      <alignment horizontal="left"/>
    </xf>
    <xf numFmtId="49" fontId="2" fillId="5" borderId="98" xfId="0" applyNumberFormat="1" applyFont="1" applyFill="1" applyBorder="1" applyAlignment="1"/>
    <xf numFmtId="0" fontId="2" fillId="5" borderId="99" xfId="0" applyNumberFormat="1" applyFont="1" applyFill="1" applyBorder="1" applyAlignment="1"/>
    <xf numFmtId="164" fontId="2" fillId="5" borderId="101" xfId="0" applyNumberFormat="1" applyFont="1" applyFill="1" applyBorder="1" applyAlignment="1"/>
    <xf numFmtId="166" fontId="2" fillId="5" borderId="95" xfId="0" applyNumberFormat="1" applyFont="1" applyFill="1" applyBorder="1" applyAlignment="1"/>
    <xf numFmtId="166" fontId="2" fillId="5" borderId="102" xfId="0" applyNumberFormat="1" applyFont="1" applyFill="1" applyBorder="1" applyAlignment="1"/>
    <xf numFmtId="0" fontId="2" fillId="5" borderId="103" xfId="0" applyNumberFormat="1" applyFont="1" applyFill="1" applyBorder="1" applyAlignment="1"/>
    <xf numFmtId="0" fontId="2" fillId="5" borderId="104" xfId="0" applyNumberFormat="1" applyFont="1" applyFill="1" applyBorder="1" applyAlignment="1"/>
    <xf numFmtId="10" fontId="2" fillId="5" borderId="98" xfId="0" applyNumberFormat="1" applyFont="1" applyFill="1" applyBorder="1" applyAlignment="1"/>
    <xf numFmtId="10" fontId="2" fillId="5" borderId="106" xfId="0" applyNumberFormat="1" applyFont="1" applyFill="1" applyBorder="1" applyAlignment="1"/>
    <xf numFmtId="164" fontId="2" fillId="5" borderId="75" xfId="0" applyNumberFormat="1" applyFont="1" applyFill="1" applyBorder="1" applyAlignment="1">
      <alignment horizontal="center" vertical="center"/>
    </xf>
    <xf numFmtId="164" fontId="2" fillId="5" borderId="76" xfId="0" applyNumberFormat="1" applyFont="1" applyFill="1" applyBorder="1" applyAlignment="1">
      <alignment horizontal="center" vertical="center"/>
    </xf>
    <xf numFmtId="164" fontId="2" fillId="5" borderId="77" xfId="0" applyNumberFormat="1" applyFont="1" applyFill="1" applyBorder="1" applyAlignment="1">
      <alignment horizontal="center" vertical="center"/>
    </xf>
    <xf numFmtId="164" fontId="2" fillId="5" borderId="78" xfId="0" applyNumberFormat="1" applyFont="1" applyFill="1" applyBorder="1" applyAlignment="1">
      <alignment horizontal="center" vertical="center"/>
    </xf>
    <xf numFmtId="164" fontId="2" fillId="5" borderId="79" xfId="0" applyNumberFormat="1" applyFont="1" applyFill="1" applyBorder="1" applyAlignment="1">
      <alignment horizontal="center" vertical="center"/>
    </xf>
    <xf numFmtId="164" fontId="2" fillId="5" borderId="80" xfId="0" applyNumberFormat="1" applyFont="1" applyFill="1" applyBorder="1" applyAlignment="1">
      <alignment horizontal="center" vertical="center"/>
    </xf>
    <xf numFmtId="166" fontId="2" fillId="5" borderId="75" xfId="0" applyNumberFormat="1" applyFont="1" applyFill="1" applyBorder="1" applyAlignment="1">
      <alignment horizontal="center" vertical="center"/>
    </xf>
    <xf numFmtId="166" fontId="2" fillId="5" borderId="79" xfId="0" applyNumberFormat="1" applyFont="1" applyFill="1" applyBorder="1" applyAlignment="1">
      <alignment horizontal="center" vertical="center"/>
    </xf>
    <xf numFmtId="0" fontId="2" fillId="5" borderId="81" xfId="0" applyNumberFormat="1" applyFont="1" applyFill="1" applyBorder="1" applyAlignment="1">
      <alignment horizontal="center" vertical="center"/>
    </xf>
    <xf numFmtId="0" fontId="2" fillId="5" borderId="79" xfId="0" applyNumberFormat="1" applyFont="1" applyFill="1" applyBorder="1" applyAlignment="1">
      <alignment horizontal="center" vertical="center"/>
    </xf>
    <xf numFmtId="0" fontId="2" fillId="5" borderId="80" xfId="0" applyNumberFormat="1" applyFont="1" applyFill="1" applyBorder="1" applyAlignment="1">
      <alignment horizontal="center" vertical="center"/>
    </xf>
    <xf numFmtId="0" fontId="2" fillId="5" borderId="76" xfId="0" applyNumberFormat="1" applyFont="1" applyFill="1" applyBorder="1" applyAlignment="1">
      <alignment horizontal="center" vertical="center"/>
    </xf>
    <xf numFmtId="0" fontId="2" fillId="5" borderId="77" xfId="0" applyNumberFormat="1" applyFont="1" applyFill="1" applyBorder="1" applyAlignment="1">
      <alignment horizontal="center" vertical="center"/>
    </xf>
    <xf numFmtId="0" fontId="2" fillId="5" borderId="75" xfId="0" applyNumberFormat="1" applyFont="1" applyFill="1" applyBorder="1" applyAlignment="1">
      <alignment horizontal="center" vertical="center"/>
    </xf>
    <xf numFmtId="0" fontId="2" fillId="5" borderId="107" xfId="0" applyNumberFormat="1" applyFont="1" applyFill="1" applyBorder="1" applyAlignment="1">
      <alignment horizontal="center" vertical="center"/>
    </xf>
    <xf numFmtId="49" fontId="2" fillId="5" borderId="61" xfId="0" applyNumberFormat="1" applyFont="1" applyFill="1" applyBorder="1" applyAlignment="1">
      <alignment horizontal="center" vertical="center"/>
    </xf>
    <xf numFmtId="49" fontId="2" fillId="5" borderId="65" xfId="0" applyNumberFormat="1" applyFont="1" applyFill="1" applyBorder="1" applyAlignment="1">
      <alignment horizontal="right"/>
    </xf>
    <xf numFmtId="0" fontId="2" fillId="5" borderId="66" xfId="0" applyNumberFormat="1" applyFont="1" applyFill="1" applyBorder="1" applyAlignment="1">
      <alignment horizontal="left"/>
    </xf>
    <xf numFmtId="49" fontId="2" fillId="5" borderId="64" xfId="0" applyNumberFormat="1" applyFont="1" applyFill="1" applyBorder="1" applyAlignment="1"/>
    <xf numFmtId="0" fontId="2" fillId="5" borderId="65" xfId="0" applyNumberFormat="1" applyFont="1" applyFill="1" applyBorder="1" applyAlignment="1"/>
    <xf numFmtId="164" fontId="2" fillId="5" borderId="67" xfId="0" applyNumberFormat="1" applyFont="1" applyFill="1" applyBorder="1" applyAlignment="1"/>
    <xf numFmtId="166" fontId="2" fillId="5" borderId="60" xfId="0" applyNumberFormat="1" applyFont="1" applyFill="1" applyBorder="1" applyAlignment="1"/>
    <xf numFmtId="166" fontId="2" fillId="5" borderId="61" xfId="0" applyNumberFormat="1" applyFont="1" applyFill="1" applyBorder="1" applyAlignment="1"/>
    <xf numFmtId="0" fontId="2" fillId="5" borderId="108" xfId="0" applyNumberFormat="1" applyFont="1" applyFill="1" applyBorder="1" applyAlignment="1"/>
    <xf numFmtId="0" fontId="2" fillId="5" borderId="109" xfId="0" applyNumberFormat="1" applyFont="1" applyFill="1" applyBorder="1" applyAlignment="1"/>
    <xf numFmtId="10" fontId="2" fillId="5" borderId="64" xfId="0" applyNumberFormat="1" applyFont="1" applyFill="1" applyBorder="1" applyAlignment="1"/>
    <xf numFmtId="10" fontId="2" fillId="5" borderId="74" xfId="0" applyNumberFormat="1" applyFont="1" applyFill="1" applyBorder="1" applyAlignment="1"/>
    <xf numFmtId="166" fontId="2" fillId="5" borderId="78" xfId="0" applyNumberFormat="1" applyFont="1" applyFill="1" applyBorder="1" applyAlignment="1">
      <alignment horizontal="center" vertical="center"/>
    </xf>
    <xf numFmtId="0" fontId="2" fillId="5" borderId="81" xfId="0" applyNumberFormat="1" applyFont="1" applyFill="1" applyBorder="1" applyAlignment="1"/>
    <xf numFmtId="0" fontId="2" fillId="5" borderId="79" xfId="0" applyNumberFormat="1" applyFont="1" applyFill="1" applyBorder="1" applyAlignment="1"/>
    <xf numFmtId="49" fontId="2" fillId="5" borderId="84" xfId="0" applyNumberFormat="1" applyFont="1" applyFill="1" applyBorder="1" applyAlignment="1">
      <alignment horizontal="center"/>
    </xf>
    <xf numFmtId="0" fontId="2" fillId="5" borderId="88" xfId="0" applyFont="1" applyFill="1" applyBorder="1" applyAlignment="1">
      <alignment horizontal="right"/>
    </xf>
    <xf numFmtId="0" fontId="2" fillId="5" borderId="89" xfId="0" applyFont="1" applyFill="1" applyBorder="1" applyAlignment="1">
      <alignment horizontal="left"/>
    </xf>
    <xf numFmtId="0" fontId="2" fillId="5" borderId="87" xfId="0" applyFont="1" applyFill="1" applyBorder="1" applyAlignment="1"/>
    <xf numFmtId="0" fontId="2" fillId="5" borderId="88" xfId="0" applyFont="1" applyFill="1" applyBorder="1" applyAlignment="1"/>
    <xf numFmtId="164" fontId="2" fillId="5" borderId="90" xfId="0" applyNumberFormat="1" applyFont="1" applyFill="1" applyBorder="1" applyAlignment="1"/>
    <xf numFmtId="49" fontId="2" fillId="5" borderId="83" xfId="0" applyNumberFormat="1" applyFont="1" applyFill="1" applyBorder="1" applyAlignment="1"/>
    <xf numFmtId="49" fontId="2" fillId="5" borderId="84" xfId="0" applyNumberFormat="1" applyFont="1" applyFill="1" applyBorder="1" applyAlignment="1"/>
    <xf numFmtId="49" fontId="2" fillId="5" borderId="110" xfId="0" applyNumberFormat="1" applyFont="1" applyFill="1" applyBorder="1" applyAlignment="1"/>
    <xf numFmtId="49" fontId="2" fillId="5" borderId="111" xfId="0" applyNumberFormat="1" applyFont="1" applyFill="1" applyBorder="1" applyAlignment="1"/>
    <xf numFmtId="167" fontId="2" fillId="5" borderId="87" xfId="0" applyNumberFormat="1" applyFont="1" applyFill="1" applyBorder="1" applyAlignment="1"/>
    <xf numFmtId="49" fontId="2" fillId="5" borderId="93" xfId="0" applyNumberFormat="1" applyFont="1" applyFill="1" applyBorder="1" applyAlignment="1"/>
    <xf numFmtId="49" fontId="2" fillId="3" borderId="70" xfId="0" applyNumberFormat="1" applyFont="1" applyFill="1" applyBorder="1" applyAlignment="1">
      <alignment horizontal="center" vertical="center"/>
    </xf>
    <xf numFmtId="0" fontId="2" fillId="0" borderId="99" xfId="0" applyNumberFormat="1" applyFont="1" applyBorder="1" applyAlignment="1">
      <alignment horizontal="right"/>
    </xf>
    <xf numFmtId="0" fontId="2" fillId="0" borderId="100" xfId="0" applyFont="1" applyBorder="1" applyAlignment="1">
      <alignment horizontal="left"/>
    </xf>
    <xf numFmtId="49" fontId="2" fillId="0" borderId="98" xfId="0" applyNumberFormat="1" applyFont="1" applyBorder="1" applyAlignment="1"/>
    <xf numFmtId="0" fontId="2" fillId="0" borderId="99" xfId="0" applyNumberFormat="1" applyFont="1" applyBorder="1" applyAlignment="1"/>
    <xf numFmtId="164" fontId="2" fillId="0" borderId="101" xfId="0" applyNumberFormat="1" applyFont="1" applyBorder="1" applyAlignment="1"/>
    <xf numFmtId="166" fontId="2" fillId="3" borderId="95" xfId="0" applyNumberFormat="1" applyFont="1" applyFill="1" applyBorder="1" applyAlignment="1"/>
    <xf numFmtId="166" fontId="2" fillId="3" borderId="70" xfId="0" applyNumberFormat="1" applyFont="1" applyFill="1" applyBorder="1" applyAlignment="1"/>
    <xf numFmtId="0" fontId="2" fillId="0" borderId="70" xfId="0" applyNumberFormat="1" applyFont="1" applyBorder="1" applyAlignment="1"/>
    <xf numFmtId="0" fontId="2" fillId="3" borderId="70" xfId="0" applyNumberFormat="1" applyFont="1" applyFill="1" applyBorder="1" applyAlignment="1"/>
    <xf numFmtId="10" fontId="2" fillId="3" borderId="98" xfId="0" applyNumberFormat="1" applyFont="1" applyFill="1" applyBorder="1" applyAlignment="1"/>
    <xf numFmtId="10" fontId="2" fillId="3" borderId="106" xfId="0" applyNumberFormat="1" applyFont="1" applyFill="1" applyBorder="1" applyAlignment="1"/>
    <xf numFmtId="166" fontId="2" fillId="3" borderId="79" xfId="0" applyNumberFormat="1" applyFont="1" applyFill="1" applyBorder="1" applyAlignment="1">
      <alignment horizontal="center" vertical="center"/>
    </xf>
    <xf numFmtId="0" fontId="2" fillId="3" borderId="81" xfId="0" applyNumberFormat="1" applyFont="1" applyFill="1" applyBorder="1" applyAlignment="1">
      <alignment horizontal="center" vertical="center"/>
    </xf>
    <xf numFmtId="0" fontId="2" fillId="3" borderId="79" xfId="0" applyNumberFormat="1" applyFont="1" applyFill="1" applyBorder="1" applyAlignment="1">
      <alignment horizontal="center" vertical="center"/>
    </xf>
    <xf numFmtId="0" fontId="2" fillId="0" borderId="65" xfId="0" applyNumberFormat="1" applyFont="1" applyBorder="1" applyAlignment="1">
      <alignment horizontal="right"/>
    </xf>
    <xf numFmtId="49" fontId="2" fillId="0" borderId="66" xfId="0" applyNumberFormat="1" applyFont="1" applyBorder="1" applyAlignment="1">
      <alignment horizontal="left"/>
    </xf>
    <xf numFmtId="0" fontId="2" fillId="0" borderId="65" xfId="0" applyNumberFormat="1" applyFont="1" applyBorder="1" applyAlignment="1"/>
    <xf numFmtId="164" fontId="2" fillId="0" borderId="67" xfId="0" applyNumberFormat="1" applyFont="1" applyBorder="1" applyAlignment="1"/>
    <xf numFmtId="0" fontId="2" fillId="0" borderId="61" xfId="0" applyNumberFormat="1" applyFont="1" applyBorder="1" applyAlignment="1"/>
    <xf numFmtId="0" fontId="2" fillId="3" borderId="61" xfId="0" applyNumberFormat="1" applyFont="1" applyFill="1" applyBorder="1" applyAlignment="1"/>
    <xf numFmtId="166" fontId="2" fillId="3" borderId="76" xfId="0" applyNumberFormat="1" applyFont="1" applyFill="1" applyBorder="1" applyAlignment="1">
      <alignment horizontal="center" vertical="center"/>
    </xf>
    <xf numFmtId="0" fontId="2" fillId="0" borderId="81" xfId="0" applyNumberFormat="1" applyFont="1" applyBorder="1" applyAlignment="1"/>
    <xf numFmtId="0" fontId="2" fillId="0" borderId="79" xfId="0" applyNumberFormat="1" applyFont="1" applyBorder="1" applyAlignment="1"/>
    <xf numFmtId="0" fontId="2" fillId="0" borderId="88" xfId="0" applyFont="1" applyBorder="1" applyAlignment="1">
      <alignment horizontal="right"/>
    </xf>
    <xf numFmtId="0" fontId="2" fillId="0" borderId="89" xfId="0" applyFont="1" applyBorder="1" applyAlignment="1">
      <alignment horizontal="left"/>
    </xf>
    <xf numFmtId="0" fontId="2" fillId="0" borderId="88" xfId="0" applyFont="1" applyBorder="1" applyAlignment="1"/>
    <xf numFmtId="164" fontId="2" fillId="0" borderId="90" xfId="0" applyNumberFormat="1" applyFont="1" applyBorder="1" applyAlignment="1"/>
    <xf numFmtId="0" fontId="2" fillId="5" borderId="99" xfId="0" applyNumberFormat="1" applyFont="1" applyFill="1" applyBorder="1" applyAlignment="1">
      <alignment horizontal="right"/>
    </xf>
    <xf numFmtId="0" fontId="2" fillId="5" borderId="100" xfId="0" applyFont="1" applyFill="1" applyBorder="1" applyAlignment="1">
      <alignment horizontal="left"/>
    </xf>
    <xf numFmtId="0" fontId="2" fillId="5" borderId="112" xfId="0" applyNumberFormat="1" applyFont="1" applyFill="1" applyBorder="1" applyAlignment="1"/>
    <xf numFmtId="0" fontId="2" fillId="5" borderId="65" xfId="0" applyNumberFormat="1" applyFont="1" applyFill="1" applyBorder="1" applyAlignment="1">
      <alignment horizontal="right"/>
    </xf>
    <xf numFmtId="49" fontId="2" fillId="5" borderId="66" xfId="0" applyNumberFormat="1" applyFont="1" applyFill="1" applyBorder="1" applyAlignment="1">
      <alignment horizontal="left"/>
    </xf>
    <xf numFmtId="49" fontId="2" fillId="0" borderId="99" xfId="0" applyNumberFormat="1" applyFont="1" applyBorder="1" applyAlignment="1">
      <alignment horizontal="right"/>
    </xf>
    <xf numFmtId="0" fontId="2" fillId="0" borderId="100" xfId="0" applyNumberFormat="1" applyFont="1" applyBorder="1" applyAlignment="1">
      <alignment horizontal="left"/>
    </xf>
    <xf numFmtId="49" fontId="2" fillId="0" borderId="65" xfId="0" applyNumberFormat="1" applyFont="1" applyBorder="1" applyAlignment="1">
      <alignment horizontal="right"/>
    </xf>
    <xf numFmtId="49" fontId="2" fillId="0" borderId="88" xfId="0" applyNumberFormat="1" applyFont="1" applyBorder="1" applyAlignment="1">
      <alignment horizontal="right"/>
    </xf>
    <xf numFmtId="0" fontId="2" fillId="0" borderId="89" xfId="0" applyNumberFormat="1" applyFont="1" applyBorder="1" applyAlignment="1">
      <alignment horizontal="left"/>
    </xf>
    <xf numFmtId="49" fontId="2" fillId="0" borderId="87" xfId="0" applyNumberFormat="1" applyFont="1" applyBorder="1" applyAlignment="1"/>
    <xf numFmtId="0" fontId="2" fillId="0" borderId="88" xfId="0" applyNumberFormat="1" applyFont="1" applyBorder="1" applyAlignment="1"/>
    <xf numFmtId="166" fontId="2" fillId="3" borderId="83" xfId="0" applyNumberFormat="1" applyFont="1" applyFill="1" applyBorder="1" applyAlignment="1"/>
    <xf numFmtId="166" fontId="2" fillId="3" borderId="84" xfId="0" applyNumberFormat="1" applyFont="1" applyFill="1" applyBorder="1" applyAlignment="1"/>
    <xf numFmtId="0" fontId="2" fillId="3" borderId="84" xfId="0" applyNumberFormat="1" applyFont="1" applyFill="1" applyBorder="1" applyAlignment="1"/>
    <xf numFmtId="10" fontId="2" fillId="3" borderId="93" xfId="0" applyNumberFormat="1" applyFont="1" applyFill="1" applyBorder="1" applyAlignment="1"/>
    <xf numFmtId="0" fontId="2" fillId="0" borderId="88" xfId="0" applyNumberFormat="1" applyFont="1" applyBorder="1" applyAlignment="1">
      <alignment horizontal="right"/>
    </xf>
    <xf numFmtId="0" fontId="2" fillId="5" borderId="88" xfId="0" applyNumberFormat="1" applyFont="1" applyFill="1" applyBorder="1" applyAlignment="1">
      <alignment horizontal="right"/>
    </xf>
    <xf numFmtId="49" fontId="2" fillId="5" borderId="87" xfId="0" applyNumberFormat="1" applyFont="1" applyFill="1" applyBorder="1" applyAlignment="1"/>
    <xf numFmtId="0" fontId="2" fillId="5" borderId="88" xfId="0" applyNumberFormat="1" applyFont="1" applyFill="1" applyBorder="1" applyAlignment="1"/>
    <xf numFmtId="166" fontId="2" fillId="5" borderId="83" xfId="0" applyNumberFormat="1" applyFont="1" applyFill="1" applyBorder="1" applyAlignment="1"/>
    <xf numFmtId="166" fontId="2" fillId="5" borderId="84" xfId="0" applyNumberFormat="1" applyFont="1" applyFill="1" applyBorder="1" applyAlignment="1"/>
    <xf numFmtId="0" fontId="2" fillId="5" borderId="110" xfId="0" applyNumberFormat="1" applyFont="1" applyFill="1" applyBorder="1" applyAlignment="1"/>
    <xf numFmtId="0" fontId="2" fillId="5" borderId="111" xfId="0" applyNumberFormat="1" applyFont="1" applyFill="1" applyBorder="1" applyAlignment="1"/>
    <xf numFmtId="10" fontId="2" fillId="5" borderId="93" xfId="0" applyNumberFormat="1" applyFont="1" applyFill="1" applyBorder="1" applyAlignment="1"/>
    <xf numFmtId="0" fontId="2" fillId="0" borderId="84" xfId="0" applyNumberFormat="1" applyFont="1" applyBorder="1" applyAlignment="1"/>
    <xf numFmtId="49" fontId="2" fillId="5" borderId="76" xfId="0" applyNumberFormat="1" applyFont="1" applyFill="1" applyBorder="1" applyAlignment="1">
      <alignment horizontal="center" vertical="center"/>
    </xf>
    <xf numFmtId="49" fontId="2" fillId="3" borderId="76" xfId="0" applyNumberFormat="1" applyFont="1" applyFill="1" applyBorder="1" applyAlignment="1">
      <alignment horizontal="center" vertical="center"/>
    </xf>
    <xf numFmtId="49" fontId="2" fillId="5" borderId="88" xfId="0" applyNumberFormat="1" applyFont="1" applyFill="1" applyBorder="1" applyAlignment="1">
      <alignment horizontal="right"/>
    </xf>
    <xf numFmtId="0" fontId="2" fillId="5" borderId="89" xfId="0" applyNumberFormat="1" applyFont="1" applyFill="1" applyBorder="1" applyAlignment="1">
      <alignment horizontal="left"/>
    </xf>
    <xf numFmtId="0" fontId="2" fillId="0" borderId="99" xfId="0" applyFont="1" applyBorder="1" applyAlignment="1">
      <alignment horizontal="right"/>
    </xf>
    <xf numFmtId="0" fontId="2" fillId="0" borderId="65" xfId="0" applyFont="1" applyBorder="1" applyAlignment="1">
      <alignment horizontal="right"/>
    </xf>
    <xf numFmtId="0" fontId="2" fillId="5" borderId="99" xfId="0" applyFont="1" applyFill="1" applyBorder="1" applyAlignment="1">
      <alignment horizontal="right"/>
    </xf>
    <xf numFmtId="0" fontId="2" fillId="5" borderId="65" xfId="0" applyFont="1" applyFill="1" applyBorder="1" applyAlignment="1">
      <alignment horizontal="right"/>
    </xf>
    <xf numFmtId="0" fontId="2" fillId="5" borderId="114" xfId="0" applyFont="1" applyFill="1" applyBorder="1" applyAlignment="1">
      <alignment horizontal="left"/>
    </xf>
    <xf numFmtId="0" fontId="2" fillId="5" borderId="113" xfId="0" applyFont="1" applyFill="1" applyBorder="1" applyAlignment="1"/>
    <xf numFmtId="0" fontId="2" fillId="5" borderId="115" xfId="0" applyFont="1" applyFill="1" applyBorder="1" applyAlignment="1"/>
    <xf numFmtId="164" fontId="2" fillId="5" borderId="116" xfId="0" applyNumberFormat="1" applyFont="1" applyFill="1" applyBorder="1" applyAlignment="1"/>
    <xf numFmtId="0" fontId="2" fillId="0" borderId="118" xfId="0" applyNumberFormat="1" applyFont="1" applyBorder="1" applyAlignment="1">
      <alignment horizontal="left"/>
    </xf>
    <xf numFmtId="49" fontId="2" fillId="0" borderId="117" xfId="0" applyNumberFormat="1" applyFont="1" applyBorder="1" applyAlignment="1"/>
    <xf numFmtId="0" fontId="2" fillId="0" borderId="119" xfId="0" applyNumberFormat="1" applyFont="1" applyBorder="1" applyAlignment="1"/>
    <xf numFmtId="164" fontId="2" fillId="0" borderId="120" xfId="0" applyNumberFormat="1" applyFont="1" applyBorder="1" applyAlignment="1"/>
    <xf numFmtId="0" fontId="2" fillId="0" borderId="66" xfId="0" applyFont="1" applyBorder="1" applyAlignment="1">
      <alignment horizontal="left"/>
    </xf>
    <xf numFmtId="0" fontId="2" fillId="5" borderId="115" xfId="0" applyFont="1" applyFill="1" applyBorder="1" applyAlignment="1">
      <alignment horizontal="right"/>
    </xf>
    <xf numFmtId="49" fontId="2" fillId="0" borderId="119" xfId="0" applyNumberFormat="1" applyFont="1" applyBorder="1" applyAlignment="1">
      <alignment horizontal="right"/>
    </xf>
    <xf numFmtId="0" fontId="2" fillId="5" borderId="66" xfId="0" applyFont="1" applyFill="1" applyBorder="1" applyAlignment="1">
      <alignment horizontal="left"/>
    </xf>
    <xf numFmtId="49" fontId="2" fillId="5" borderId="108" xfId="0" applyNumberFormat="1" applyFont="1" applyFill="1" applyBorder="1" applyAlignment="1"/>
    <xf numFmtId="49" fontId="2" fillId="3" borderId="99" xfId="0" applyNumberFormat="1" applyFont="1" applyFill="1" applyBorder="1" applyAlignment="1">
      <alignment horizontal="right"/>
    </xf>
    <xf numFmtId="0" fontId="2" fillId="3" borderId="100" xfId="0" applyNumberFormat="1" applyFont="1" applyFill="1" applyBorder="1" applyAlignment="1">
      <alignment horizontal="left"/>
    </xf>
    <xf numFmtId="49" fontId="2" fillId="3" borderId="98" xfId="0" applyNumberFormat="1" applyFont="1" applyFill="1" applyBorder="1" applyAlignment="1"/>
    <xf numFmtId="0" fontId="2" fillId="3" borderId="99" xfId="0" applyNumberFormat="1" applyFont="1" applyFill="1" applyBorder="1" applyAlignment="1"/>
    <xf numFmtId="164" fontId="2" fillId="3" borderId="101" xfId="0" applyNumberFormat="1" applyFont="1" applyFill="1" applyBorder="1" applyAlignment="1"/>
    <xf numFmtId="166" fontId="2" fillId="3" borderId="102" xfId="0" applyNumberFormat="1" applyFont="1" applyFill="1" applyBorder="1" applyAlignment="1"/>
    <xf numFmtId="0" fontId="2" fillId="3" borderId="103" xfId="0" applyNumberFormat="1" applyFont="1" applyFill="1" applyBorder="1" applyAlignment="1"/>
    <xf numFmtId="0" fontId="2" fillId="3" borderId="104" xfId="0" applyNumberFormat="1" applyFont="1" applyFill="1" applyBorder="1" applyAlignment="1"/>
    <xf numFmtId="166" fontId="2" fillId="3" borderId="75" xfId="0" applyNumberFormat="1" applyFont="1" applyFill="1" applyBorder="1" applyAlignment="1">
      <alignment horizontal="center" vertical="center"/>
    </xf>
    <xf numFmtId="0" fontId="2" fillId="3" borderId="66" xfId="0" applyNumberFormat="1" applyFont="1" applyFill="1" applyBorder="1" applyAlignment="1">
      <alignment horizontal="left"/>
    </xf>
    <xf numFmtId="49" fontId="2" fillId="3" borderId="64" xfId="0" applyNumberFormat="1" applyFont="1" applyFill="1" applyBorder="1" applyAlignment="1"/>
    <xf numFmtId="0" fontId="2" fillId="3" borderId="108" xfId="0" applyNumberFormat="1" applyFont="1" applyFill="1" applyBorder="1" applyAlignment="1"/>
    <xf numFmtId="0" fontId="2" fillId="3" borderId="109" xfId="0" applyNumberFormat="1" applyFont="1" applyFill="1" applyBorder="1" applyAlignment="1"/>
    <xf numFmtId="166" fontId="2" fillId="3" borderId="78" xfId="0" applyNumberFormat="1" applyFont="1" applyFill="1" applyBorder="1" applyAlignment="1">
      <alignment horizontal="center" vertical="center"/>
    </xf>
    <xf numFmtId="0" fontId="2" fillId="3" borderId="81" xfId="0" applyNumberFormat="1" applyFont="1" applyFill="1" applyBorder="1" applyAlignment="1"/>
    <xf numFmtId="0" fontId="2" fillId="3" borderId="79" xfId="0" applyNumberFormat="1" applyFont="1" applyFill="1" applyBorder="1" applyAlignment="1"/>
    <xf numFmtId="49" fontId="2" fillId="3" borderId="108" xfId="0" applyNumberFormat="1" applyFont="1" applyFill="1" applyBorder="1" applyAlignment="1"/>
    <xf numFmtId="49" fontId="2" fillId="3" borderId="111" xfId="0" applyNumberFormat="1" applyFont="1" applyFill="1" applyBorder="1" applyAlignment="1"/>
    <xf numFmtId="167" fontId="2" fillId="3" borderId="87" xfId="0" applyNumberFormat="1" applyFont="1" applyFill="1" applyBorder="1" applyAlignment="1"/>
    <xf numFmtId="0" fontId="2" fillId="3" borderId="100" xfId="0" applyFont="1" applyFill="1" applyBorder="1" applyAlignment="1">
      <alignment horizontal="left"/>
    </xf>
    <xf numFmtId="49" fontId="2" fillId="3" borderId="66" xfId="0" applyNumberFormat="1" applyFont="1" applyFill="1" applyBorder="1" applyAlignment="1">
      <alignment horizontal="left"/>
    </xf>
    <xf numFmtId="49" fontId="2" fillId="3" borderId="88" xfId="0" applyNumberFormat="1" applyFont="1" applyFill="1" applyBorder="1" applyAlignment="1">
      <alignment horizontal="right"/>
    </xf>
    <xf numFmtId="0" fontId="2" fillId="3" borderId="89" xfId="0" applyNumberFormat="1" applyFont="1" applyFill="1" applyBorder="1" applyAlignment="1">
      <alignment horizontal="left"/>
    </xf>
    <xf numFmtId="49" fontId="2" fillId="3" borderId="87" xfId="0" applyNumberFormat="1" applyFont="1" applyFill="1" applyBorder="1" applyAlignment="1"/>
    <xf numFmtId="0" fontId="2" fillId="3" borderId="88" xfId="0" applyNumberFormat="1" applyFont="1" applyFill="1" applyBorder="1" applyAlignment="1"/>
    <xf numFmtId="0" fontId="2" fillId="3" borderId="111" xfId="0" applyNumberFormat="1" applyFont="1" applyFill="1" applyBorder="1" applyAlignment="1"/>
    <xf numFmtId="0" fontId="2" fillId="3" borderId="65" xfId="0" applyNumberFormat="1" applyFont="1" applyFill="1" applyBorder="1" applyAlignment="1">
      <alignment horizontal="right"/>
    </xf>
    <xf numFmtId="0" fontId="2" fillId="3" borderId="99" xfId="0" applyNumberFormat="1" applyFont="1" applyFill="1" applyBorder="1" applyAlignment="1">
      <alignment horizontal="right"/>
    </xf>
    <xf numFmtId="0" fontId="2" fillId="3" borderId="88" xfId="0" applyNumberFormat="1" applyFont="1" applyFill="1" applyBorder="1" applyAlignment="1">
      <alignment horizontal="right"/>
    </xf>
    <xf numFmtId="49" fontId="2" fillId="3" borderId="121" xfId="0" applyNumberFormat="1" applyFont="1" applyFill="1" applyBorder="1" applyAlignment="1">
      <alignment horizontal="center"/>
    </xf>
    <xf numFmtId="0" fontId="2" fillId="3" borderId="115" xfId="0" applyNumberFormat="1" applyFont="1" applyFill="1" applyBorder="1" applyAlignment="1">
      <alignment horizontal="right"/>
    </xf>
    <xf numFmtId="0" fontId="2" fillId="3" borderId="114" xfId="0" applyFont="1" applyFill="1" applyBorder="1" applyAlignment="1">
      <alignment horizontal="left"/>
    </xf>
    <xf numFmtId="49" fontId="2" fillId="3" borderId="113" xfId="0" applyNumberFormat="1" applyFont="1" applyFill="1" applyBorder="1" applyAlignment="1"/>
    <xf numFmtId="0" fontId="2" fillId="3" borderId="115" xfId="0" applyNumberFormat="1" applyFont="1" applyFill="1" applyBorder="1" applyAlignment="1"/>
    <xf numFmtId="164" fontId="2" fillId="3" borderId="116" xfId="0" applyNumberFormat="1" applyFont="1" applyFill="1" applyBorder="1" applyAlignment="1"/>
    <xf numFmtId="0" fontId="2" fillId="3" borderId="110" xfId="0" applyNumberFormat="1" applyFont="1" applyFill="1" applyBorder="1" applyAlignment="1"/>
    <xf numFmtId="49" fontId="2" fillId="3" borderId="76" xfId="0" applyNumberFormat="1" applyFont="1" applyFill="1" applyBorder="1" applyAlignment="1">
      <alignment horizontal="center"/>
    </xf>
    <xf numFmtId="49" fontId="2" fillId="3" borderId="125" xfId="0" applyNumberFormat="1" applyFont="1" applyFill="1" applyBorder="1" applyAlignment="1">
      <alignment horizontal="right"/>
    </xf>
    <xf numFmtId="0" fontId="2" fillId="3" borderId="126" xfId="0" applyFont="1" applyFill="1" applyBorder="1" applyAlignment="1">
      <alignment horizontal="left"/>
    </xf>
    <xf numFmtId="49" fontId="2" fillId="3" borderId="127" xfId="0" applyNumberFormat="1" applyFont="1" applyFill="1" applyBorder="1" applyAlignment="1"/>
    <xf numFmtId="0" fontId="2" fillId="3" borderId="125" xfId="0" applyNumberFormat="1" applyFont="1" applyFill="1" applyBorder="1" applyAlignment="1"/>
    <xf numFmtId="164" fontId="2" fillId="3" borderId="128" xfId="0" applyNumberFormat="1" applyFont="1" applyFill="1" applyBorder="1" applyAlignment="1"/>
    <xf numFmtId="166" fontId="2" fillId="3" borderId="72" xfId="0" applyNumberFormat="1" applyFont="1" applyFill="1" applyBorder="1" applyAlignment="1"/>
    <xf numFmtId="166" fontId="2" fillId="3" borderId="73" xfId="0" applyNumberFormat="1" applyFont="1" applyFill="1" applyBorder="1" applyAlignment="1"/>
    <xf numFmtId="0" fontId="2" fillId="3" borderId="129" xfId="0" applyNumberFormat="1" applyFont="1" applyFill="1" applyBorder="1" applyAlignment="1"/>
    <xf numFmtId="0" fontId="2" fillId="3" borderId="130" xfId="0" applyNumberFormat="1" applyFont="1" applyFill="1" applyBorder="1" applyAlignment="1"/>
    <xf numFmtId="167" fontId="2" fillId="3" borderId="124" xfId="0" applyNumberFormat="1" applyFont="1" applyFill="1" applyBorder="1" applyAlignment="1"/>
    <xf numFmtId="10" fontId="2" fillId="3" borderId="131" xfId="0" applyNumberFormat="1" applyFont="1" applyFill="1" applyBorder="1" applyAlignment="1"/>
    <xf numFmtId="49" fontId="2" fillId="3" borderId="126" xfId="0" applyNumberFormat="1" applyFont="1" applyFill="1" applyBorder="1" applyAlignment="1">
      <alignment horizontal="left"/>
    </xf>
    <xf numFmtId="0" fontId="2" fillId="3" borderId="125" xfId="0" applyNumberFormat="1" applyFont="1" applyFill="1" applyBorder="1" applyAlignment="1">
      <alignment horizontal="right"/>
    </xf>
    <xf numFmtId="0" fontId="2" fillId="2" borderId="132" xfId="0" applyFont="1" applyFill="1" applyBorder="1" applyAlignment="1"/>
    <xf numFmtId="49" fontId="2" fillId="2" borderId="132" xfId="0" applyNumberFormat="1" applyFont="1" applyFill="1" applyBorder="1" applyAlignment="1"/>
    <xf numFmtId="49" fontId="9" fillId="2" borderId="132" xfId="0" applyNumberFormat="1" applyFont="1" applyFill="1" applyBorder="1" applyAlignment="1"/>
    <xf numFmtId="9" fontId="2" fillId="2" borderId="132" xfId="0" applyNumberFormat="1" applyFont="1" applyFill="1" applyBorder="1" applyAlignment="1"/>
    <xf numFmtId="49" fontId="2" fillId="4" borderId="133" xfId="0" applyNumberFormat="1" applyFont="1" applyFill="1" applyBorder="1" applyAlignment="1"/>
    <xf numFmtId="0" fontId="2" fillId="4" borderId="133" xfId="0" applyNumberFormat="1" applyFont="1" applyFill="1" applyBorder="1" applyAlignment="1">
      <alignment horizontal="center"/>
    </xf>
    <xf numFmtId="168" fontId="2" fillId="0" borderId="134" xfId="0" applyNumberFormat="1" applyFont="1" applyBorder="1" applyAlignment="1"/>
    <xf numFmtId="166" fontId="2" fillId="0" borderId="135" xfId="0" applyNumberFormat="1" applyFont="1" applyBorder="1" applyAlignment="1"/>
    <xf numFmtId="166" fontId="9" fillId="0" borderId="135" xfId="0" applyNumberFormat="1" applyFont="1" applyBorder="1" applyAlignment="1"/>
    <xf numFmtId="169" fontId="2" fillId="0" borderId="135" xfId="0" applyNumberFormat="1" applyFont="1" applyBorder="1" applyAlignment="1"/>
    <xf numFmtId="3" fontId="2" fillId="0" borderId="135" xfId="0" applyNumberFormat="1" applyFont="1" applyBorder="1" applyAlignment="1"/>
    <xf numFmtId="49" fontId="2" fillId="4" borderId="61" xfId="0" applyNumberFormat="1" applyFont="1" applyFill="1" applyBorder="1" applyAlignment="1"/>
    <xf numFmtId="0" fontId="2" fillId="4" borderId="61" xfId="0" applyNumberFormat="1" applyFont="1" applyFill="1" applyBorder="1" applyAlignment="1">
      <alignment horizontal="center"/>
    </xf>
    <xf numFmtId="168" fontId="2" fillId="0" borderId="64" xfId="0" applyNumberFormat="1" applyFont="1" applyBorder="1" applyAlignment="1"/>
    <xf numFmtId="166" fontId="2" fillId="0" borderId="65" xfId="0" applyNumberFormat="1" applyFont="1" applyBorder="1" applyAlignment="1"/>
    <xf numFmtId="166" fontId="9" fillId="0" borderId="65" xfId="0" applyNumberFormat="1" applyFont="1" applyBorder="1" applyAlignment="1"/>
    <xf numFmtId="169" fontId="2" fillId="0" borderId="65" xfId="0" applyNumberFormat="1" applyFont="1" applyBorder="1" applyAlignment="1"/>
    <xf numFmtId="3" fontId="2" fillId="0" borderId="65" xfId="0" applyNumberFormat="1" applyFont="1" applyBorder="1" applyAlignment="1"/>
    <xf numFmtId="170" fontId="2" fillId="0" borderId="64" xfId="0" applyNumberFormat="1" applyFont="1" applyBorder="1" applyAlignment="1"/>
    <xf numFmtId="171" fontId="2" fillId="0" borderId="65" xfId="0" applyNumberFormat="1" applyFont="1" applyBorder="1" applyAlignment="1"/>
    <xf numFmtId="49" fontId="2" fillId="4" borderId="136" xfId="0" applyNumberFormat="1" applyFont="1" applyFill="1" applyBorder="1" applyAlignment="1"/>
    <xf numFmtId="0" fontId="2" fillId="4" borderId="136" xfId="0" applyNumberFormat="1" applyFont="1" applyFill="1" applyBorder="1" applyAlignment="1">
      <alignment horizontal="center"/>
    </xf>
    <xf numFmtId="168" fontId="2" fillId="0" borderId="137" xfId="0" applyNumberFormat="1" applyFont="1" applyBorder="1" applyAlignment="1"/>
    <xf numFmtId="166" fontId="2" fillId="0" borderId="132" xfId="0" applyNumberFormat="1" applyFont="1" applyBorder="1" applyAlignment="1"/>
    <xf numFmtId="166" fontId="9" fillId="0" borderId="132" xfId="0" applyNumberFormat="1" applyFont="1" applyBorder="1" applyAlignment="1"/>
    <xf numFmtId="169" fontId="2" fillId="0" borderId="132" xfId="0" applyNumberFormat="1" applyFont="1" applyBorder="1" applyAlignment="1"/>
    <xf numFmtId="171" fontId="2" fillId="0" borderId="132" xfId="0" applyNumberFormat="1" applyFont="1" applyBorder="1" applyAlignment="1"/>
    <xf numFmtId="3" fontId="2" fillId="0" borderId="132" xfId="0" applyNumberFormat="1" applyFont="1" applyBorder="1" applyAlignment="1"/>
    <xf numFmtId="49" fontId="2" fillId="4" borderId="138" xfId="0" applyNumberFormat="1" applyFont="1" applyFill="1" applyBorder="1" applyAlignment="1"/>
    <xf numFmtId="0" fontId="2" fillId="4" borderId="138" xfId="0" applyNumberFormat="1" applyFont="1" applyFill="1" applyBorder="1" applyAlignment="1">
      <alignment horizontal="center"/>
    </xf>
    <xf numFmtId="168" fontId="2" fillId="0" borderId="139" xfId="0" applyNumberFormat="1" applyFont="1" applyBorder="1" applyAlignment="1"/>
    <xf numFmtId="166" fontId="2" fillId="0" borderId="140" xfId="0" applyNumberFormat="1" applyFont="1" applyBorder="1" applyAlignment="1"/>
    <xf numFmtId="166" fontId="9" fillId="0" borderId="140" xfId="0" applyNumberFormat="1" applyFont="1" applyBorder="1" applyAlignment="1"/>
    <xf numFmtId="169" fontId="2" fillId="0" borderId="140" xfId="0" applyNumberFormat="1" applyFont="1" applyBorder="1" applyAlignment="1"/>
    <xf numFmtId="3" fontId="2" fillId="0" borderId="140" xfId="0" applyNumberFormat="1" applyFont="1" applyBorder="1" applyAlignment="1"/>
    <xf numFmtId="49" fontId="2" fillId="0" borderId="135" xfId="0" applyNumberFormat="1" applyFont="1" applyBorder="1" applyAlignment="1"/>
    <xf numFmtId="0" fontId="2" fillId="0" borderId="135" xfId="0" applyNumberFormat="1" applyFont="1" applyBorder="1" applyAlignment="1">
      <alignment horizontal="center"/>
    </xf>
    <xf numFmtId="171" fontId="2" fillId="0" borderId="135" xfId="0" applyNumberFormat="1" applyFont="1" applyBorder="1" applyAlignment="1"/>
    <xf numFmtId="0" fontId="0" fillId="0" borderId="0" xfId="0" applyNumberFormat="1">
      <alignment vertical="top" wrapText="1"/>
    </xf>
    <xf numFmtId="49" fontId="10" fillId="2" borderId="132" xfId="0" applyNumberFormat="1" applyFont="1" applyFill="1" applyBorder="1">
      <alignment vertical="top" wrapText="1"/>
    </xf>
    <xf numFmtId="0" fontId="0" fillId="0" borderId="135" xfId="0" applyNumberFormat="1" applyBorder="1">
      <alignment vertical="top" wrapText="1"/>
    </xf>
    <xf numFmtId="11" fontId="0" fillId="0" borderId="135" xfId="0" applyNumberFormat="1" applyBorder="1">
      <alignment vertical="top" wrapText="1"/>
    </xf>
    <xf numFmtId="49" fontId="0" fillId="0" borderId="135" xfId="0" applyNumberFormat="1" applyBorder="1">
      <alignment vertical="top" wrapText="1"/>
    </xf>
    <xf numFmtId="1" fontId="0" fillId="0" borderId="135" xfId="0" applyNumberFormat="1" applyBorder="1">
      <alignment vertical="top" wrapText="1"/>
    </xf>
    <xf numFmtId="49" fontId="0" fillId="0" borderId="65" xfId="0" applyNumberFormat="1" applyBorder="1">
      <alignment vertical="top" wrapText="1"/>
    </xf>
    <xf numFmtId="1" fontId="0" fillId="0" borderId="65" xfId="0" applyNumberFormat="1" applyBorder="1">
      <alignment vertical="top" wrapText="1"/>
    </xf>
    <xf numFmtId="0" fontId="0" fillId="0" borderId="65" xfId="0" applyNumberFormat="1" applyBorder="1">
      <alignment vertical="top" wrapText="1"/>
    </xf>
    <xf numFmtId="172" fontId="0" fillId="0" borderId="65" xfId="0" applyNumberFormat="1" applyBorder="1">
      <alignment vertical="top" wrapText="1"/>
    </xf>
    <xf numFmtId="0" fontId="0" fillId="0" borderId="65" xfId="0" applyBorder="1">
      <alignment vertical="top" wrapText="1"/>
    </xf>
    <xf numFmtId="0" fontId="10" fillId="2" borderId="132" xfId="0" applyNumberFormat="1" applyFont="1" applyFill="1" applyBorder="1">
      <alignment vertical="top" wrapText="1"/>
    </xf>
    <xf numFmtId="49" fontId="10" fillId="4" borderId="141" xfId="0" applyNumberFormat="1" applyFont="1" applyFill="1" applyBorder="1">
      <alignment vertical="top" wrapText="1"/>
    </xf>
    <xf numFmtId="166" fontId="0" fillId="0" borderId="142" xfId="0" applyNumberFormat="1" applyBorder="1">
      <alignment vertical="top" wrapText="1"/>
    </xf>
    <xf numFmtId="166" fontId="0" fillId="0" borderId="135" xfId="0" applyNumberFormat="1" applyBorder="1">
      <alignment vertical="top" wrapText="1"/>
    </xf>
    <xf numFmtId="0" fontId="0" fillId="0" borderId="135" xfId="0" applyBorder="1">
      <alignment vertical="top" wrapText="1"/>
    </xf>
    <xf numFmtId="173" fontId="10" fillId="4" borderId="143" xfId="0" applyNumberFormat="1" applyFont="1" applyFill="1" applyBorder="1">
      <alignment vertical="top" wrapText="1"/>
    </xf>
    <xf numFmtId="164" fontId="0" fillId="0" borderId="144" xfId="0" applyNumberFormat="1" applyBorder="1">
      <alignment vertical="top" wrapText="1"/>
    </xf>
    <xf numFmtId="164" fontId="0" fillId="0" borderId="65" xfId="0" applyNumberFormat="1" applyBorder="1">
      <alignment vertical="top" wrapText="1"/>
    </xf>
    <xf numFmtId="166" fontId="0" fillId="0" borderId="65" xfId="0" applyNumberFormat="1" applyBorder="1">
      <alignment vertical="top" wrapText="1"/>
    </xf>
    <xf numFmtId="174" fontId="0" fillId="0" borderId="65" xfId="0" applyNumberFormat="1" applyBorder="1">
      <alignment vertical="top" wrapText="1"/>
    </xf>
    <xf numFmtId="49" fontId="0" fillId="0" borderId="144" xfId="0" applyNumberFormat="1" applyBorder="1">
      <alignment vertical="top" wrapText="1"/>
    </xf>
    <xf numFmtId="0" fontId="0" fillId="0" borderId="65" xfId="0" applyBorder="1" applyAlignment="1">
      <alignment horizontal="right" vertical="top" wrapText="1"/>
    </xf>
    <xf numFmtId="0" fontId="10" fillId="2" borderId="132" xfId="0" applyFont="1" applyFill="1" applyBorder="1">
      <alignment vertical="top" wrapText="1"/>
    </xf>
    <xf numFmtId="164" fontId="10" fillId="2" borderId="132" xfId="0" applyNumberFormat="1" applyFont="1" applyFill="1" applyBorder="1">
      <alignment vertical="top" wrapText="1"/>
    </xf>
    <xf numFmtId="173" fontId="10" fillId="4" borderId="141" xfId="0" applyNumberFormat="1" applyFont="1" applyFill="1" applyBorder="1">
      <alignment vertical="top" wrapText="1"/>
    </xf>
    <xf numFmtId="20" fontId="0" fillId="0" borderId="142" xfId="0" applyNumberFormat="1" applyBorder="1">
      <alignment vertical="top" wrapText="1"/>
    </xf>
    <xf numFmtId="20" fontId="0" fillId="0" borderId="135" xfId="0" applyNumberFormat="1" applyBorder="1">
      <alignment vertical="top" wrapText="1"/>
    </xf>
    <xf numFmtId="175" fontId="0" fillId="0" borderId="135" xfId="0" applyNumberFormat="1" applyBorder="1">
      <alignment vertical="top" wrapText="1"/>
    </xf>
    <xf numFmtId="3" fontId="0" fillId="0" borderId="135" xfId="0" applyNumberFormat="1" applyBorder="1">
      <alignment vertical="top" wrapText="1"/>
    </xf>
    <xf numFmtId="20" fontId="0" fillId="0" borderId="144" xfId="0" applyNumberFormat="1" applyBorder="1">
      <alignment vertical="top" wrapText="1"/>
    </xf>
    <xf numFmtId="20" fontId="0" fillId="0" borderId="65" xfId="0" applyNumberFormat="1" applyBorder="1">
      <alignment vertical="top" wrapText="1"/>
    </xf>
    <xf numFmtId="175" fontId="0" fillId="0" borderId="65" xfId="0" applyNumberFormat="1" applyBorder="1">
      <alignment vertical="top" wrapText="1"/>
    </xf>
    <xf numFmtId="3" fontId="0" fillId="0" borderId="65" xfId="0" applyNumberFormat="1" applyBorder="1">
      <alignment vertical="top" wrapText="1"/>
    </xf>
    <xf numFmtId="176" fontId="0" fillId="0" borderId="65" xfId="0" applyNumberFormat="1" applyBorder="1">
      <alignment vertical="top" wrapText="1"/>
    </xf>
    <xf numFmtId="166" fontId="10" fillId="0" borderId="65" xfId="0" applyNumberFormat="1" applyFont="1" applyBorder="1">
      <alignment vertical="top" wrapText="1"/>
    </xf>
    <xf numFmtId="11" fontId="0" fillId="0" borderId="65" xfId="0" applyNumberFormat="1" applyBorder="1">
      <alignment vertical="top" wrapText="1"/>
    </xf>
    <xf numFmtId="4" fontId="0" fillId="0" borderId="65" xfId="0" applyNumberFormat="1" applyBorder="1">
      <alignment vertical="top" wrapText="1"/>
    </xf>
    <xf numFmtId="177" fontId="0" fillId="0" borderId="65" xfId="0" applyNumberFormat="1" applyBorder="1">
      <alignment vertical="top" wrapText="1"/>
    </xf>
    <xf numFmtId="178" fontId="0" fillId="0" borderId="65" xfId="0" applyNumberFormat="1" applyBorder="1">
      <alignment vertical="top" wrapText="1"/>
    </xf>
    <xf numFmtId="179" fontId="0" fillId="0" borderId="65" xfId="0" applyNumberFormat="1" applyBorder="1">
      <alignment vertical="top" wrapText="1"/>
    </xf>
    <xf numFmtId="0" fontId="10" fillId="4" borderId="143" xfId="0" applyFont="1" applyFill="1" applyBorder="1">
      <alignment vertical="top" wrapText="1"/>
    </xf>
    <xf numFmtId="0" fontId="0" fillId="0" borderId="144" xfId="0" applyBorder="1">
      <alignment vertical="top" wrapText="1"/>
    </xf>
    <xf numFmtId="0" fontId="10" fillId="4" borderId="145" xfId="0" applyFont="1" applyFill="1" applyBorder="1">
      <alignment vertical="top" wrapText="1"/>
    </xf>
    <xf numFmtId="0" fontId="0" fillId="0" borderId="146" xfId="0" applyBorder="1">
      <alignment vertical="top" wrapText="1"/>
    </xf>
    <xf numFmtId="0" fontId="0" fillId="0" borderId="132" xfId="0" applyBorder="1">
      <alignment vertical="top" wrapText="1"/>
    </xf>
    <xf numFmtId="166" fontId="0" fillId="0" borderId="132" xfId="0" applyNumberFormat="1" applyBorder="1">
      <alignment vertical="top" wrapText="1"/>
    </xf>
    <xf numFmtId="164" fontId="0" fillId="0" borderId="132" xfId="0" applyNumberFormat="1" applyBorder="1">
      <alignment vertical="top" wrapText="1"/>
    </xf>
    <xf numFmtId="0" fontId="10" fillId="0" borderId="135" xfId="0" applyFont="1" applyBorder="1">
      <alignment vertical="top" wrapText="1"/>
    </xf>
    <xf numFmtId="166" fontId="10" fillId="0" borderId="135" xfId="0" applyNumberFormat="1" applyFont="1" applyBorder="1">
      <alignment vertical="top" wrapText="1"/>
    </xf>
    <xf numFmtId="164" fontId="10" fillId="0" borderId="135" xfId="0" applyNumberFormat="1" applyFont="1" applyBorder="1">
      <alignment vertical="top" wrapText="1"/>
    </xf>
    <xf numFmtId="0" fontId="10" fillId="2" borderId="116" xfId="0" applyFont="1" applyFill="1" applyBorder="1">
      <alignment vertical="top" wrapText="1"/>
    </xf>
    <xf numFmtId="49" fontId="10" fillId="2" borderId="147" xfId="0" applyNumberFormat="1" applyFont="1" applyFill="1" applyBorder="1">
      <alignment vertical="top" wrapText="1"/>
    </xf>
    <xf numFmtId="49" fontId="10" fillId="2" borderId="125" xfId="0" applyNumberFormat="1" applyFont="1" applyFill="1" applyBorder="1">
      <alignment vertical="top" wrapText="1"/>
    </xf>
    <xf numFmtId="49" fontId="10" fillId="2" borderId="128" xfId="0" applyNumberFormat="1" applyFont="1" applyFill="1" applyBorder="1">
      <alignment vertical="top" wrapText="1"/>
    </xf>
    <xf numFmtId="49" fontId="10" fillId="4" borderId="148" xfId="0" applyNumberFormat="1" applyFont="1" applyFill="1" applyBorder="1">
      <alignment vertical="top" wrapText="1"/>
    </xf>
    <xf numFmtId="49" fontId="10" fillId="4" borderId="59" xfId="0" applyNumberFormat="1" applyFont="1" applyFill="1" applyBorder="1">
      <alignment vertical="top" wrapText="1"/>
    </xf>
    <xf numFmtId="49" fontId="10" fillId="4" borderId="151" xfId="0" applyNumberFormat="1" applyFont="1" applyFill="1" applyBorder="1">
      <alignment vertical="top" wrapText="1"/>
    </xf>
    <xf numFmtId="0" fontId="10" fillId="4" borderId="141" xfId="0" applyNumberFormat="1" applyFont="1" applyFill="1" applyBorder="1">
      <alignment vertical="top" wrapText="1"/>
    </xf>
    <xf numFmtId="0" fontId="0" fillId="0" borderId="142" xfId="0" applyNumberFormat="1" applyBorder="1">
      <alignment vertical="top" wrapText="1"/>
    </xf>
    <xf numFmtId="0" fontId="10" fillId="4" borderId="143" xfId="0" applyNumberFormat="1" applyFont="1" applyFill="1" applyBorder="1">
      <alignment vertical="top" wrapText="1"/>
    </xf>
    <xf numFmtId="0" fontId="0" fillId="0" borderId="144" xfId="0" applyNumberFormat="1" applyBorder="1">
      <alignment vertical="top" wrapText="1"/>
    </xf>
    <xf numFmtId="0" fontId="3" fillId="0" borderId="0" xfId="0" applyFont="1" applyAlignment="1">
      <alignment horizontal="center" vertical="center"/>
    </xf>
    <xf numFmtId="0" fontId="2" fillId="3" borderId="47" xfId="0" applyNumberFormat="1" applyFont="1" applyFill="1" applyBorder="1" applyAlignment="1">
      <alignment horizontal="right" vertical="center"/>
    </xf>
    <xf numFmtId="0" fontId="2" fillId="0" borderId="62" xfId="0" applyFont="1" applyBorder="1" applyAlignment="1"/>
    <xf numFmtId="0" fontId="2" fillId="0" borderId="85" xfId="0" applyFont="1" applyBorder="1" applyAlignment="1"/>
    <xf numFmtId="165" fontId="4" fillId="3" borderId="46" xfId="0" applyNumberFormat="1" applyFont="1" applyFill="1" applyBorder="1" applyAlignment="1">
      <alignment horizontal="center" vertical="center" wrapText="1"/>
    </xf>
    <xf numFmtId="0" fontId="2" fillId="0" borderId="61" xfId="0" applyFont="1" applyBorder="1" applyAlignment="1"/>
    <xf numFmtId="0" fontId="2" fillId="0" borderId="84" xfId="0" applyFont="1" applyBorder="1" applyAlignment="1"/>
    <xf numFmtId="10" fontId="2" fillId="3" borderId="2" xfId="0" applyNumberFormat="1" applyFont="1" applyFill="1" applyBorder="1" applyAlignment="1">
      <alignment horizontal="center" vertical="center"/>
    </xf>
    <xf numFmtId="0" fontId="2" fillId="0" borderId="70" xfId="0" applyFont="1" applyBorder="1" applyAlignment="1"/>
    <xf numFmtId="166" fontId="2" fillId="3" borderId="2" xfId="0" applyNumberFormat="1" applyFont="1" applyFill="1" applyBorder="1" applyAlignment="1">
      <alignment horizontal="center" vertical="center"/>
    </xf>
    <xf numFmtId="166" fontId="2" fillId="3" borderId="55" xfId="0" applyNumberFormat="1" applyFont="1" applyFill="1" applyBorder="1" applyAlignment="1">
      <alignment horizontal="center" vertical="center"/>
    </xf>
    <xf numFmtId="0" fontId="2" fillId="0" borderId="72" xfId="0" applyFont="1" applyBorder="1" applyAlignment="1"/>
    <xf numFmtId="0" fontId="2" fillId="0" borderId="73" xfId="0" applyFont="1" applyBorder="1" applyAlignment="1"/>
    <xf numFmtId="49" fontId="2" fillId="3" borderId="48" xfId="0" applyNumberFormat="1" applyFont="1" applyFill="1" applyBorder="1" applyAlignment="1">
      <alignment horizontal="right" vertical="center"/>
    </xf>
    <xf numFmtId="0" fontId="2" fillId="0" borderId="63" xfId="0" applyFont="1" applyBorder="1" applyAlignment="1"/>
    <xf numFmtId="0" fontId="2" fillId="0" borderId="86" xfId="0" applyFont="1" applyBorder="1" applyAlignment="1"/>
    <xf numFmtId="0" fontId="2" fillId="3" borderId="44" xfId="0" applyNumberFormat="1" applyFont="1" applyFill="1" applyBorder="1" applyAlignment="1">
      <alignment horizontal="right" vertical="center"/>
    </xf>
    <xf numFmtId="0" fontId="2" fillId="4" borderId="59" xfId="0" applyFont="1" applyFill="1" applyBorder="1" applyAlignment="1"/>
    <xf numFmtId="0" fontId="2" fillId="4" borderId="82" xfId="0" applyFont="1" applyFill="1" applyBorder="1" applyAlignment="1"/>
    <xf numFmtId="164" fontId="2" fillId="3" borderId="8" xfId="0" applyNumberFormat="1" applyFont="1" applyFill="1" applyBorder="1" applyAlignment="1">
      <alignment horizontal="center" vertical="center"/>
    </xf>
    <xf numFmtId="0" fontId="2" fillId="0" borderId="79" xfId="0" applyFont="1" applyBorder="1" applyAlignment="1"/>
    <xf numFmtId="166" fontId="2" fillId="3" borderId="58" xfId="0" applyNumberFormat="1" applyFont="1" applyFill="1" applyBorder="1" applyAlignment="1">
      <alignment horizontal="center" vertical="center"/>
    </xf>
    <xf numFmtId="0" fontId="2" fillId="0" borderId="81" xfId="0" applyFont="1" applyBorder="1" applyAlignment="1"/>
    <xf numFmtId="0" fontId="2" fillId="3" borderId="2" xfId="0" applyNumberFormat="1" applyFont="1" applyFill="1" applyBorder="1" applyAlignment="1">
      <alignment horizontal="center" vertical="center"/>
    </xf>
    <xf numFmtId="3" fontId="2" fillId="3" borderId="2" xfId="0" applyNumberFormat="1" applyFont="1" applyFill="1" applyBorder="1" applyAlignment="1">
      <alignment horizontal="center" vertical="center"/>
    </xf>
    <xf numFmtId="49" fontId="8" fillId="3" borderId="46" xfId="0" applyNumberFormat="1" applyFont="1" applyFill="1" applyBorder="1" applyAlignment="1">
      <alignment horizontal="center" vertical="center" wrapText="1"/>
    </xf>
    <xf numFmtId="49" fontId="2" fillId="0" borderId="61" xfId="0" applyNumberFormat="1" applyFont="1" applyBorder="1" applyAlignment="1"/>
    <xf numFmtId="49" fontId="2" fillId="0" borderId="84" xfId="0" applyNumberFormat="1" applyFont="1" applyBorder="1" applyAlignment="1"/>
    <xf numFmtId="164" fontId="2" fillId="3" borderId="9" xfId="0" applyNumberFormat="1" applyFont="1" applyFill="1" applyBorder="1" applyAlignment="1">
      <alignment horizontal="center" vertical="center"/>
    </xf>
    <xf numFmtId="0" fontId="2" fillId="0" borderId="80" xfId="0" applyFont="1" applyBorder="1" applyAlignment="1"/>
    <xf numFmtId="166" fontId="2" fillId="3" borderId="46" xfId="0" applyNumberFormat="1" applyFont="1" applyFill="1" applyBorder="1" applyAlignment="1">
      <alignment horizontal="center" vertical="center"/>
    </xf>
    <xf numFmtId="166" fontId="2" fillId="0" borderId="61" xfId="0" applyNumberFormat="1" applyFont="1" applyBorder="1" applyAlignment="1"/>
    <xf numFmtId="166" fontId="2" fillId="0" borderId="84" xfId="0" applyNumberFormat="1" applyFont="1" applyBorder="1" applyAlignment="1"/>
    <xf numFmtId="2" fontId="2" fillId="3" borderId="44" xfId="0" applyNumberFormat="1" applyFont="1" applyFill="1" applyBorder="1" applyAlignment="1">
      <alignment vertical="center"/>
    </xf>
    <xf numFmtId="0" fontId="2" fillId="0" borderId="59" xfId="0" applyFont="1" applyBorder="1" applyAlignment="1"/>
    <xf numFmtId="0" fontId="2" fillId="0" borderId="82" xfId="0" applyFont="1" applyBorder="1" applyAlignment="1"/>
    <xf numFmtId="164" fontId="2" fillId="3" borderId="57" xfId="0" applyNumberFormat="1" applyFont="1" applyFill="1" applyBorder="1" applyAlignment="1">
      <alignment horizontal="center" vertical="center"/>
    </xf>
    <xf numFmtId="0" fontId="2" fillId="0" borderId="77" xfId="0" applyFont="1" applyBorder="1" applyAlignment="1"/>
    <xf numFmtId="49" fontId="6" fillId="2" borderId="15" xfId="0" applyNumberFormat="1" applyFont="1" applyFill="1" applyBorder="1" applyAlignment="1">
      <alignment horizontal="center" vertical="center" wrapText="1"/>
    </xf>
    <xf numFmtId="0" fontId="2" fillId="2" borderId="16" xfId="0" applyFont="1" applyFill="1" applyBorder="1" applyAlignment="1"/>
    <xf numFmtId="0" fontId="2" fillId="2" borderId="17" xfId="0" applyFont="1" applyFill="1" applyBorder="1" applyAlignment="1"/>
    <xf numFmtId="0" fontId="2" fillId="2" borderId="18" xfId="0" applyFont="1" applyFill="1" applyBorder="1" applyAlignment="1"/>
    <xf numFmtId="0" fontId="2" fillId="2" borderId="15" xfId="0" applyFont="1" applyFill="1" applyBorder="1" applyAlignment="1"/>
    <xf numFmtId="49" fontId="2" fillId="2" borderId="15" xfId="0" applyNumberFormat="1" applyFont="1" applyFill="1" applyBorder="1" applyAlignment="1">
      <alignment horizontal="center" vertical="center" wrapText="1"/>
    </xf>
    <xf numFmtId="0" fontId="2" fillId="2" borderId="36" xfId="0" applyFont="1" applyFill="1" applyBorder="1" applyAlignment="1"/>
    <xf numFmtId="49" fontId="2" fillId="2" borderId="41" xfId="0" applyNumberFormat="1" applyFont="1" applyFill="1" applyBorder="1" applyAlignment="1">
      <alignment horizontal="center" vertical="center" wrapText="1"/>
    </xf>
    <xf numFmtId="49" fontId="2" fillId="2" borderId="37" xfId="0" applyNumberFormat="1" applyFont="1" applyFill="1" applyBorder="1" applyAlignment="1">
      <alignment horizontal="center" vertical="center" wrapText="1"/>
    </xf>
    <xf numFmtId="0" fontId="2" fillId="2" borderId="37" xfId="0" applyFont="1" applyFill="1" applyBorder="1" applyAlignment="1"/>
    <xf numFmtId="49" fontId="2" fillId="2" borderId="36" xfId="0" applyNumberFormat="1" applyFont="1" applyFill="1" applyBorder="1" applyAlignment="1">
      <alignment horizontal="center" vertical="center" wrapText="1"/>
    </xf>
    <xf numFmtId="0" fontId="2" fillId="2" borderId="38" xfId="0" applyFont="1" applyFill="1" applyBorder="1" applyAlignment="1"/>
    <xf numFmtId="49" fontId="4" fillId="2" borderId="6" xfId="0" applyNumberFormat="1" applyFont="1" applyFill="1" applyBorder="1" applyAlignment="1">
      <alignment horizontal="center" vertical="center" wrapText="1"/>
    </xf>
    <xf numFmtId="0" fontId="2" fillId="2" borderId="27" xfId="0" applyFont="1" applyFill="1" applyBorder="1" applyAlignment="1"/>
    <xf numFmtId="49" fontId="2" fillId="2" borderId="6" xfId="0" applyNumberFormat="1" applyFont="1" applyFill="1" applyBorder="1" applyAlignment="1">
      <alignment horizontal="center" vertical="center" wrapText="1"/>
    </xf>
    <xf numFmtId="49" fontId="2" fillId="2" borderId="7" xfId="0" applyNumberFormat="1" applyFont="1" applyFill="1" applyBorder="1" applyAlignment="1">
      <alignment horizontal="center" vertical="center" wrapText="1"/>
    </xf>
    <xf numFmtId="0" fontId="2" fillId="2" borderId="28" xfId="0" applyFont="1" applyFill="1" applyBorder="1" applyAlignment="1"/>
    <xf numFmtId="49" fontId="2" fillId="2" borderId="8" xfId="0" applyNumberFormat="1" applyFont="1" applyFill="1" applyBorder="1" applyAlignment="1">
      <alignment horizontal="center" vertical="center" wrapText="1"/>
    </xf>
    <xf numFmtId="0" fontId="2" fillId="2" borderId="29" xfId="0" applyFont="1" applyFill="1" applyBorder="1" applyAlignment="1"/>
    <xf numFmtId="49" fontId="2" fillId="2" borderId="9" xfId="0" applyNumberFormat="1" applyFont="1" applyFill="1" applyBorder="1" applyAlignment="1">
      <alignment horizontal="center" vertical="center" wrapText="1"/>
    </xf>
    <xf numFmtId="0" fontId="2" fillId="2" borderId="30" xfId="0" applyFont="1" applyFill="1" applyBorder="1" applyAlignment="1"/>
    <xf numFmtId="49" fontId="2" fillId="2" borderId="3" xfId="0" applyNumberFormat="1" applyFont="1" applyFill="1" applyBorder="1" applyAlignment="1">
      <alignment horizontal="center" vertical="center" wrapText="1"/>
    </xf>
    <xf numFmtId="0" fontId="2" fillId="2" borderId="24" xfId="0" applyFont="1" applyFill="1" applyBorder="1" applyAlignment="1"/>
    <xf numFmtId="49" fontId="2" fillId="2" borderId="10" xfId="0" applyNumberFormat="1" applyFont="1" applyFill="1" applyBorder="1" applyAlignment="1">
      <alignment horizontal="center" vertical="center" wrapText="1"/>
    </xf>
    <xf numFmtId="0" fontId="2" fillId="2" borderId="31" xfId="0" applyFont="1" applyFill="1" applyBorder="1" applyAlignment="1"/>
    <xf numFmtId="49" fontId="2" fillId="2" borderId="11" xfId="0" applyNumberFormat="1" applyFont="1" applyFill="1" applyBorder="1" applyAlignment="1">
      <alignment horizontal="center" vertical="center" wrapText="1" readingOrder="2"/>
    </xf>
    <xf numFmtId="0" fontId="2" fillId="2" borderId="32" xfId="0" applyFont="1" applyFill="1" applyBorder="1" applyAlignment="1"/>
    <xf numFmtId="49" fontId="2" fillId="2" borderId="12" xfId="0" applyNumberFormat="1" applyFont="1" applyFill="1" applyBorder="1" applyAlignment="1">
      <alignment horizontal="center" vertical="center" wrapText="1"/>
    </xf>
    <xf numFmtId="0" fontId="2" fillId="2" borderId="33" xfId="0" applyFont="1" applyFill="1" applyBorder="1" applyAlignment="1"/>
    <xf numFmtId="49" fontId="2" fillId="2" borderId="14" xfId="0" applyNumberFormat="1" applyFont="1" applyFill="1" applyBorder="1" applyAlignment="1">
      <alignment horizontal="center" vertical="center" wrapText="1"/>
    </xf>
    <xf numFmtId="0" fontId="2" fillId="2" borderId="35" xfId="0" applyFont="1" applyFill="1" applyBorder="1" applyAlignment="1"/>
    <xf numFmtId="49" fontId="2" fillId="2" borderId="13" xfId="0" applyNumberFormat="1" applyFont="1" applyFill="1" applyBorder="1" applyAlignment="1">
      <alignment horizontal="center" vertical="center" wrapText="1"/>
    </xf>
    <xf numFmtId="0" fontId="2" fillId="2" borderId="34" xfId="0" applyFont="1" applyFill="1" applyBorder="1" applyAlignment="1"/>
    <xf numFmtId="49" fontId="4" fillId="2" borderId="4" xfId="0" applyNumberFormat="1" applyFont="1" applyFill="1" applyBorder="1" applyAlignment="1">
      <alignment horizontal="center" vertical="center" wrapText="1"/>
    </xf>
    <xf numFmtId="0" fontId="2" fillId="2" borderId="5" xfId="0" applyFont="1" applyFill="1" applyBorder="1" applyAlignment="1"/>
    <xf numFmtId="0" fontId="2" fillId="2" borderId="25" xfId="0" applyFont="1" applyFill="1" applyBorder="1" applyAlignment="1"/>
    <xf numFmtId="0" fontId="2" fillId="2" borderId="26" xfId="0" applyFont="1" applyFill="1" applyBorder="1" applyAlignment="1"/>
    <xf numFmtId="0" fontId="2" fillId="2" borderId="1" xfId="0" applyNumberFormat="1" applyFont="1" applyFill="1" applyBorder="1" applyAlignment="1">
      <alignment horizontal="center" vertical="center" wrapText="1"/>
    </xf>
    <xf numFmtId="0" fontId="2" fillId="2" borderId="22" xfId="0" applyFont="1" applyFill="1" applyBorder="1" applyAlignment="1"/>
    <xf numFmtId="0" fontId="2" fillId="2" borderId="6" xfId="0" applyFont="1" applyFill="1" applyBorder="1" applyAlignment="1"/>
    <xf numFmtId="0" fontId="2" fillId="2" borderId="41" xfId="0" applyFont="1" applyFill="1" applyBorder="1" applyAlignment="1"/>
    <xf numFmtId="49" fontId="2" fillId="3" borderId="54" xfId="0" applyNumberFormat="1" applyFont="1" applyFill="1" applyBorder="1" applyAlignment="1">
      <alignment horizontal="center" vertical="center"/>
    </xf>
    <xf numFmtId="10" fontId="2" fillId="0" borderId="71" xfId="0" applyNumberFormat="1" applyFont="1" applyBorder="1" applyAlignment="1"/>
    <xf numFmtId="10" fontId="2" fillId="0" borderId="92" xfId="0" applyNumberFormat="1" applyFont="1" applyBorder="1" applyAlignment="1">
      <alignment horizontal="center" vertical="center"/>
    </xf>
    <xf numFmtId="0" fontId="2" fillId="2" borderId="6" xfId="0" applyFont="1" applyFill="1" applyBorder="1" applyAlignment="1">
      <alignment horizontal="center" vertical="center" wrapText="1"/>
    </xf>
    <xf numFmtId="49" fontId="7" fillId="3" borderId="45" xfId="0" applyNumberFormat="1" applyFont="1" applyFill="1" applyBorder="1" applyAlignment="1">
      <alignment horizontal="right" vertical="center"/>
    </xf>
    <xf numFmtId="49" fontId="2" fillId="4" borderId="60" xfId="0" applyNumberFormat="1" applyFont="1" applyFill="1" applyBorder="1" applyAlignment="1"/>
    <xf numFmtId="49" fontId="2" fillId="4" borderId="83" xfId="0" applyNumberFormat="1" applyFont="1" applyFill="1" applyBorder="1" applyAlignment="1"/>
    <xf numFmtId="10" fontId="2" fillId="5" borderId="73" xfId="0" applyNumberFormat="1" applyFont="1" applyFill="1" applyBorder="1" applyAlignment="1">
      <alignment horizontal="center" vertical="center"/>
    </xf>
    <xf numFmtId="0" fontId="2" fillId="5" borderId="94" xfId="0" applyNumberFormat="1" applyFont="1" applyFill="1" applyBorder="1" applyAlignment="1">
      <alignment horizontal="right" vertical="center"/>
    </xf>
    <xf numFmtId="166" fontId="2" fillId="5" borderId="79" xfId="0" applyNumberFormat="1" applyFont="1" applyFill="1" applyBorder="1" applyAlignment="1">
      <alignment horizontal="center" vertical="center"/>
    </xf>
    <xf numFmtId="0" fontId="2" fillId="5" borderId="79" xfId="0" applyFont="1" applyFill="1" applyBorder="1" applyAlignment="1">
      <alignment horizontal="center" vertical="center"/>
    </xf>
    <xf numFmtId="164" fontId="2" fillId="5" borderId="79" xfId="0" applyNumberFormat="1" applyFont="1" applyFill="1" applyBorder="1" applyAlignment="1">
      <alignment horizontal="center" vertical="center"/>
    </xf>
    <xf numFmtId="164" fontId="2" fillId="5" borderId="81" xfId="0" applyNumberFormat="1" applyFont="1" applyFill="1" applyBorder="1" applyAlignment="1">
      <alignment horizontal="center" vertical="center"/>
    </xf>
    <xf numFmtId="0" fontId="2" fillId="5" borderId="81" xfId="0" applyFont="1" applyFill="1" applyBorder="1" applyAlignment="1">
      <alignment horizontal="center" vertical="center"/>
    </xf>
    <xf numFmtId="0" fontId="2" fillId="5" borderId="76" xfId="0" applyNumberFormat="1" applyFont="1" applyFill="1" applyBorder="1" applyAlignment="1">
      <alignment horizontal="center" vertical="center"/>
    </xf>
    <xf numFmtId="0" fontId="2" fillId="5" borderId="76" xfId="0" applyFont="1" applyFill="1" applyBorder="1" applyAlignment="1">
      <alignment horizontal="center" vertical="center"/>
    </xf>
    <xf numFmtId="0" fontId="2" fillId="5" borderId="107" xfId="0" applyNumberFormat="1" applyFont="1" applyFill="1" applyBorder="1" applyAlignment="1">
      <alignment horizontal="center" vertical="center"/>
    </xf>
    <xf numFmtId="49" fontId="2" fillId="5" borderId="96" xfId="0" applyNumberFormat="1" applyFont="1" applyFill="1" applyBorder="1" applyAlignment="1">
      <alignment horizontal="right" vertical="center"/>
    </xf>
    <xf numFmtId="0" fontId="2" fillId="5" borderId="96" xfId="0" applyNumberFormat="1" applyFont="1" applyFill="1" applyBorder="1" applyAlignment="1">
      <alignment horizontal="right" vertical="center"/>
    </xf>
    <xf numFmtId="166" fontId="2" fillId="5" borderId="73" xfId="0" applyNumberFormat="1" applyFont="1" applyFill="1" applyBorder="1" applyAlignment="1">
      <alignment horizontal="center" vertical="center"/>
    </xf>
    <xf numFmtId="166" fontId="2" fillId="5" borderId="72" xfId="0" applyNumberFormat="1" applyFont="1" applyFill="1" applyBorder="1" applyAlignment="1">
      <alignment horizontal="center" vertical="center"/>
    </xf>
    <xf numFmtId="3" fontId="2" fillId="5" borderId="73" xfId="0" applyNumberFormat="1" applyFont="1" applyFill="1" applyBorder="1" applyAlignment="1">
      <alignment horizontal="center" vertical="center"/>
    </xf>
    <xf numFmtId="164" fontId="2" fillId="5" borderId="80" xfId="0" applyNumberFormat="1" applyFont="1" applyFill="1" applyBorder="1" applyAlignment="1">
      <alignment horizontal="center" vertical="center"/>
    </xf>
    <xf numFmtId="166" fontId="2" fillId="5" borderId="70" xfId="0" applyNumberFormat="1" applyFont="1" applyFill="1" applyBorder="1" applyAlignment="1">
      <alignment horizontal="center" vertical="center"/>
    </xf>
    <xf numFmtId="49" fontId="4" fillId="5" borderId="98" xfId="0" applyNumberFormat="1" applyFont="1" applyFill="1" applyBorder="1" applyAlignment="1">
      <alignment horizontal="center" vertical="center" wrapText="1"/>
    </xf>
    <xf numFmtId="0" fontId="2" fillId="0" borderId="64" xfId="0" applyFont="1" applyBorder="1" applyAlignment="1"/>
    <xf numFmtId="0" fontId="2" fillId="0" borderId="87" xfId="0" applyFont="1" applyBorder="1" applyAlignment="1"/>
    <xf numFmtId="2" fontId="2" fillId="5" borderId="94" xfId="0" applyNumberFormat="1" applyFont="1" applyFill="1" applyBorder="1" applyAlignment="1">
      <alignment vertical="center"/>
    </xf>
    <xf numFmtId="164" fontId="2" fillId="5" borderId="77" xfId="0" applyNumberFormat="1" applyFont="1" applyFill="1" applyBorder="1" applyAlignment="1">
      <alignment horizontal="center" vertical="center"/>
    </xf>
    <xf numFmtId="49" fontId="2" fillId="5" borderId="105" xfId="0" applyNumberFormat="1" applyFont="1" applyFill="1" applyBorder="1" applyAlignment="1">
      <alignment horizontal="center" vertical="center"/>
    </xf>
    <xf numFmtId="166" fontId="2" fillId="0" borderId="70" xfId="0" applyNumberFormat="1" applyFont="1" applyBorder="1" applyAlignment="1"/>
    <xf numFmtId="165" fontId="4" fillId="5" borderId="70" xfId="0" applyNumberFormat="1" applyFont="1" applyFill="1" applyBorder="1" applyAlignment="1">
      <alignment horizontal="center" vertical="center" wrapText="1"/>
    </xf>
    <xf numFmtId="165" fontId="2" fillId="0" borderId="61" xfId="0" applyNumberFormat="1" applyFont="1" applyBorder="1" applyAlignment="1"/>
    <xf numFmtId="165" fontId="2" fillId="0" borderId="84" xfId="0" applyNumberFormat="1" applyFont="1" applyBorder="1" applyAlignment="1"/>
    <xf numFmtId="49" fontId="2" fillId="5" borderId="97" xfId="0" applyNumberFormat="1" applyFont="1" applyFill="1" applyBorder="1" applyAlignment="1">
      <alignment horizontal="right" vertical="center"/>
    </xf>
    <xf numFmtId="10" fontId="2" fillId="3" borderId="73" xfId="0" applyNumberFormat="1" applyFont="1" applyFill="1" applyBorder="1" applyAlignment="1">
      <alignment horizontal="center" vertical="center"/>
    </xf>
    <xf numFmtId="0" fontId="2" fillId="3" borderId="94" xfId="0" applyNumberFormat="1" applyFont="1" applyFill="1" applyBorder="1" applyAlignment="1">
      <alignment horizontal="right" vertical="center"/>
    </xf>
    <xf numFmtId="164" fontId="2" fillId="3" borderId="79" xfId="0" applyNumberFormat="1" applyFont="1" applyFill="1" applyBorder="1" applyAlignment="1">
      <alignment horizontal="center" vertical="center"/>
    </xf>
    <xf numFmtId="0" fontId="2" fillId="3" borderId="79" xfId="0" applyFont="1" applyFill="1" applyBorder="1" applyAlignment="1">
      <alignment horizontal="center" vertical="center"/>
    </xf>
    <xf numFmtId="164" fontId="2" fillId="3" borderId="81" xfId="0" applyNumberFormat="1" applyFont="1" applyFill="1" applyBorder="1" applyAlignment="1">
      <alignment horizontal="center" vertical="center"/>
    </xf>
    <xf numFmtId="0" fontId="2" fillId="3" borderId="81" xfId="0" applyFont="1" applyFill="1" applyBorder="1" applyAlignment="1">
      <alignment horizontal="center" vertical="center"/>
    </xf>
    <xf numFmtId="0" fontId="2" fillId="3" borderId="76" xfId="0" applyNumberFormat="1" applyFont="1" applyFill="1" applyBorder="1" applyAlignment="1">
      <alignment horizontal="center" vertical="center"/>
    </xf>
    <xf numFmtId="0" fontId="2" fillId="3" borderId="76" xfId="0" applyFont="1" applyFill="1" applyBorder="1" applyAlignment="1">
      <alignment horizontal="center" vertical="center"/>
    </xf>
    <xf numFmtId="49" fontId="2" fillId="3" borderId="96" xfId="0" applyNumberFormat="1" applyFont="1" applyFill="1" applyBorder="1" applyAlignment="1">
      <alignment horizontal="right" vertical="center"/>
    </xf>
    <xf numFmtId="0" fontId="2" fillId="3" borderId="96" xfId="0" applyNumberFormat="1" applyFont="1" applyFill="1" applyBorder="1" applyAlignment="1">
      <alignment horizontal="right" vertical="center"/>
    </xf>
    <xf numFmtId="166" fontId="2" fillId="3" borderId="73" xfId="0" applyNumberFormat="1" applyFont="1" applyFill="1" applyBorder="1" applyAlignment="1">
      <alignment horizontal="center" vertical="center"/>
    </xf>
    <xf numFmtId="166" fontId="2" fillId="3" borderId="72" xfId="0" applyNumberFormat="1" applyFont="1" applyFill="1" applyBorder="1" applyAlignment="1">
      <alignment horizontal="center" vertical="center"/>
    </xf>
    <xf numFmtId="166" fontId="2" fillId="3" borderId="79" xfId="0" applyNumberFormat="1" applyFont="1" applyFill="1" applyBorder="1" applyAlignment="1">
      <alignment horizontal="center" vertical="center"/>
    </xf>
    <xf numFmtId="3" fontId="2" fillId="3" borderId="73" xfId="0" applyNumberFormat="1" applyFont="1" applyFill="1" applyBorder="1" applyAlignment="1">
      <alignment horizontal="center" vertical="center"/>
    </xf>
    <xf numFmtId="164" fontId="2" fillId="3" borderId="80" xfId="0" applyNumberFormat="1" applyFont="1" applyFill="1" applyBorder="1" applyAlignment="1">
      <alignment horizontal="center" vertical="center"/>
    </xf>
    <xf numFmtId="166" fontId="2" fillId="3" borderId="70" xfId="0" applyNumberFormat="1" applyFont="1" applyFill="1" applyBorder="1" applyAlignment="1">
      <alignment horizontal="center" vertical="center"/>
    </xf>
    <xf numFmtId="49" fontId="4" fillId="0" borderId="98" xfId="0" applyNumberFormat="1" applyFont="1" applyBorder="1" applyAlignment="1">
      <alignment horizontal="center" vertical="center" wrapText="1"/>
    </xf>
    <xf numFmtId="2" fontId="2" fillId="3" borderId="94" xfId="0" applyNumberFormat="1" applyFont="1" applyFill="1" applyBorder="1" applyAlignment="1">
      <alignment vertical="center"/>
    </xf>
    <xf numFmtId="164" fontId="2" fillId="3" borderId="77" xfId="0" applyNumberFormat="1" applyFont="1" applyFill="1" applyBorder="1" applyAlignment="1">
      <alignment horizontal="center" vertical="center"/>
    </xf>
    <xf numFmtId="49" fontId="2" fillId="3" borderId="105" xfId="0" applyNumberFormat="1" applyFont="1" applyFill="1" applyBorder="1" applyAlignment="1">
      <alignment horizontal="center" vertical="center"/>
    </xf>
    <xf numFmtId="49" fontId="7" fillId="3" borderId="95" xfId="0" applyNumberFormat="1" applyFont="1" applyFill="1" applyBorder="1" applyAlignment="1">
      <alignment horizontal="right" vertical="center"/>
    </xf>
    <xf numFmtId="49" fontId="7" fillId="5" borderId="95" xfId="0" applyNumberFormat="1" applyFont="1" applyFill="1" applyBorder="1" applyAlignment="1">
      <alignment horizontal="right" vertical="center"/>
    </xf>
    <xf numFmtId="165" fontId="4" fillId="3" borderId="73" xfId="0" applyNumberFormat="1" applyFont="1" applyFill="1" applyBorder="1" applyAlignment="1">
      <alignment horizontal="center" vertical="center" wrapText="1"/>
    </xf>
    <xf numFmtId="49" fontId="8" fillId="5" borderId="70" xfId="0" applyNumberFormat="1" applyFont="1" applyFill="1" applyBorder="1" applyAlignment="1">
      <alignment horizontal="center" vertical="center" wrapText="1"/>
    </xf>
    <xf numFmtId="49" fontId="8" fillId="3" borderId="70" xfId="0" applyNumberFormat="1" applyFont="1" applyFill="1" applyBorder="1" applyAlignment="1">
      <alignment horizontal="center" vertical="center" wrapText="1"/>
    </xf>
    <xf numFmtId="49" fontId="2" fillId="3" borderId="97" xfId="0" applyNumberFormat="1" applyFont="1" applyFill="1" applyBorder="1" applyAlignment="1">
      <alignment horizontal="right" vertical="center"/>
    </xf>
    <xf numFmtId="49" fontId="4" fillId="0" borderId="117" xfId="0" applyNumberFormat="1" applyFont="1" applyBorder="1" applyAlignment="1">
      <alignment horizontal="center" vertical="center" wrapText="1"/>
    </xf>
    <xf numFmtId="165" fontId="4" fillId="3" borderId="122" xfId="0" applyNumberFormat="1" applyFont="1" applyFill="1" applyBorder="1" applyAlignment="1">
      <alignment horizontal="center" vertical="center" wrapText="1"/>
    </xf>
    <xf numFmtId="0" fontId="2" fillId="0" borderId="113" xfId="0" applyFont="1" applyBorder="1" applyAlignment="1"/>
    <xf numFmtId="165" fontId="2" fillId="0" borderId="121" xfId="0" applyNumberFormat="1" applyFont="1" applyBorder="1" applyAlignment="1"/>
    <xf numFmtId="49" fontId="4" fillId="3" borderId="98" xfId="0" applyNumberFormat="1" applyFont="1" applyFill="1" applyBorder="1" applyAlignment="1">
      <alignment horizontal="center" vertical="center" wrapText="1"/>
    </xf>
    <xf numFmtId="165" fontId="4" fillId="3" borderId="70" xfId="0" applyNumberFormat="1" applyFont="1" applyFill="1" applyBorder="1" applyAlignment="1">
      <alignment horizontal="center" vertical="center" wrapText="1"/>
    </xf>
    <xf numFmtId="49" fontId="4" fillId="5" borderId="117" xfId="0" applyNumberFormat="1" applyFont="1" applyFill="1" applyBorder="1" applyAlignment="1">
      <alignment horizontal="center" vertical="center" wrapText="1"/>
    </xf>
    <xf numFmtId="0" fontId="2" fillId="3" borderId="123" xfId="0" applyNumberFormat="1" applyFont="1" applyFill="1" applyBorder="1" applyAlignment="1">
      <alignment horizontal="right" vertical="center"/>
    </xf>
    <xf numFmtId="0" fontId="2" fillId="3" borderId="72" xfId="0" applyFont="1" applyFill="1" applyBorder="1" applyAlignment="1">
      <alignment horizontal="center" vertical="center"/>
    </xf>
    <xf numFmtId="49" fontId="4" fillId="3" borderId="124" xfId="0" applyNumberFormat="1" applyFont="1" applyFill="1" applyBorder="1" applyAlignment="1">
      <alignment horizontal="center" vertical="center" wrapText="1"/>
    </xf>
    <xf numFmtId="0" fontId="4" fillId="3" borderId="124" xfId="0" applyFont="1" applyFill="1" applyBorder="1" applyAlignment="1">
      <alignment horizontal="center" vertical="center" wrapText="1"/>
    </xf>
    <xf numFmtId="2" fontId="2" fillId="3" borderId="123" xfId="0" applyNumberFormat="1" applyFont="1" applyFill="1" applyBorder="1" applyAlignment="1">
      <alignment vertical="center"/>
    </xf>
    <xf numFmtId="49" fontId="2" fillId="3" borderId="92" xfId="0" applyNumberFormat="1" applyFont="1" applyFill="1" applyBorder="1" applyAlignment="1">
      <alignment horizontal="center" vertical="center"/>
    </xf>
    <xf numFmtId="10" fontId="2" fillId="3" borderId="92" xfId="0" applyNumberFormat="1" applyFont="1" applyFill="1" applyBorder="1" applyAlignment="1">
      <alignment horizontal="center" vertical="center"/>
    </xf>
    <xf numFmtId="49" fontId="7" fillId="3" borderId="72" xfId="0" applyNumberFormat="1" applyFont="1" applyFill="1" applyBorder="1" applyAlignment="1">
      <alignment horizontal="right" vertical="center"/>
    </xf>
    <xf numFmtId="49" fontId="8" fillId="3" borderId="73" xfId="0" applyNumberFormat="1" applyFont="1" applyFill="1" applyBorder="1" applyAlignment="1">
      <alignment horizontal="center" vertical="center" wrapText="1"/>
    </xf>
    <xf numFmtId="49" fontId="4" fillId="3" borderId="49" xfId="0" applyNumberFormat="1" applyFont="1" applyFill="1" applyBorder="1" applyAlignment="1">
      <alignment horizontal="center" vertical="center" wrapText="1"/>
    </xf>
    <xf numFmtId="0" fontId="1" fillId="0" borderId="0" xfId="0" applyFont="1" applyAlignment="1">
      <alignment horizontal="center" vertical="center"/>
    </xf>
    <xf numFmtId="49" fontId="12" fillId="0" borderId="149" xfId="0" applyNumberFormat="1" applyFont="1" applyBorder="1" applyAlignment="1">
      <alignment horizontal="center" vertical="center" wrapText="1"/>
    </xf>
    <xf numFmtId="0" fontId="0" fillId="0" borderId="119" xfId="0" applyBorder="1">
      <alignment vertical="top" wrapText="1"/>
    </xf>
    <xf numFmtId="0" fontId="0" fillId="0" borderId="120" xfId="0" applyBorder="1">
      <alignment vertical="top" wrapText="1"/>
    </xf>
    <xf numFmtId="0" fontId="0" fillId="0" borderId="150" xfId="0" applyBorder="1">
      <alignment vertical="top" wrapText="1"/>
    </xf>
    <xf numFmtId="0" fontId="0" fillId="0" borderId="65" xfId="0" applyBorder="1">
      <alignment vertical="top" wrapText="1"/>
    </xf>
    <xf numFmtId="0" fontId="0" fillId="0" borderId="67" xfId="0" applyBorder="1">
      <alignment vertical="top" wrapText="1"/>
    </xf>
    <xf numFmtId="0" fontId="0" fillId="0" borderId="152" xfId="0" applyBorder="1">
      <alignment vertical="top" wrapText="1"/>
    </xf>
    <xf numFmtId="0" fontId="0" fillId="0" borderId="115" xfId="0" applyBorder="1">
      <alignment vertical="top" wrapText="1"/>
    </xf>
    <xf numFmtId="0" fontId="0" fillId="0" borderId="116" xfId="0" applyBorder="1">
      <alignment vertical="top" wrapText="1"/>
    </xf>
    <xf numFmtId="49" fontId="11" fillId="0" borderId="149" xfId="0" applyNumberFormat="1" applyFont="1" applyBorder="1" applyAlignment="1">
      <alignment horizontal="center" vertical="center" wrapText="1"/>
    </xf>
    <xf numFmtId="0" fontId="12" fillId="3" borderId="149" xfId="0" applyNumberFormat="1" applyFont="1" applyFill="1" applyBorder="1" applyAlignment="1">
      <alignment horizontal="center" vertical="center" wrapText="1"/>
    </xf>
  </cellXfs>
  <cellStyles count="1">
    <cellStyle name="Normal" xfId="0" builtinId="0"/>
  </cellStyles>
  <dxfs count="178">
    <dxf>
      <font>
        <b/>
        <color rgb="FFFEF2DF"/>
      </font>
      <fill>
        <patternFill patternType="solid">
          <fgColor indexed="10"/>
          <bgColor rgb="FFFEF2DF"/>
        </patternFill>
      </fill>
    </dxf>
    <dxf>
      <font>
        <b/>
        <color rgb="FFAB671D"/>
      </font>
      <fill>
        <patternFill patternType="solid">
          <fgColor indexed="10"/>
          <bgColor indexed="63"/>
        </patternFill>
      </fill>
    </dxf>
    <dxf>
      <font>
        <b/>
        <color rgb="FFFCDAC9"/>
      </font>
      <fill>
        <patternFill patternType="solid">
          <fgColor indexed="10"/>
          <bgColor indexed="62"/>
        </patternFill>
      </fill>
    </dxf>
    <dxf>
      <font>
        <b/>
        <color rgb="FFE0AD87"/>
      </font>
      <fill>
        <patternFill patternType="solid">
          <fgColor indexed="10"/>
          <bgColor indexed="61"/>
        </patternFill>
      </fill>
    </dxf>
    <dxf>
      <font>
        <b/>
        <color rgb="FF893507"/>
      </font>
      <fill>
        <patternFill patternType="solid">
          <fgColor indexed="10"/>
          <bgColor indexed="60"/>
        </patternFill>
      </fill>
    </dxf>
    <dxf>
      <font>
        <b/>
        <color rgb="FF6B0000"/>
      </font>
      <fill>
        <patternFill patternType="solid">
          <fgColor indexed="10"/>
          <bgColor indexed="59"/>
        </patternFill>
      </fill>
    </dxf>
    <dxf>
      <font>
        <b/>
        <color rgb="FF000000"/>
      </font>
      <fill>
        <patternFill patternType="solid">
          <fgColor indexed="10"/>
          <bgColor indexed="8"/>
        </patternFill>
      </fill>
    </dxf>
    <dxf>
      <font>
        <b/>
        <color rgb="FFFEFFFE"/>
      </font>
      <fill>
        <patternFill patternType="solid">
          <fgColor indexed="10"/>
          <bgColor indexed="14"/>
        </patternFill>
      </fill>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b/>
        <color rgb="FFD8218E"/>
      </font>
      <fill>
        <patternFill patternType="solid">
          <fgColor indexed="10"/>
          <bgColor indexed="31"/>
        </patternFill>
      </fill>
    </dxf>
    <dxf>
      <font>
        <b/>
        <color rgb="FFFEFFFE"/>
      </font>
      <fill>
        <patternFill patternType="solid">
          <fgColor indexed="10"/>
          <bgColor indexed="30"/>
        </patternFill>
      </fill>
    </dxf>
    <dxf>
      <font>
        <b/>
        <color rgb="FFFEFFFE"/>
      </font>
      <fill>
        <patternFill patternType="solid">
          <fgColor indexed="10"/>
          <bgColor indexed="29"/>
        </patternFill>
      </fill>
    </dxf>
    <dxf>
      <font>
        <b/>
        <color rgb="FFFEFFFE"/>
      </font>
      <fill>
        <patternFill patternType="solid">
          <fgColor indexed="10"/>
          <bgColor indexed="28"/>
        </patternFill>
      </fill>
    </dxf>
    <dxf>
      <font>
        <b/>
        <color rgb="FFFEFFFE"/>
      </font>
      <fill>
        <patternFill patternType="solid">
          <fgColor indexed="10"/>
          <bgColor indexed="26"/>
        </patternFill>
      </fill>
    </dxf>
    <dxf>
      <font>
        <b/>
        <color rgb="FFFF5500"/>
      </font>
      <fill>
        <patternFill patternType="solid">
          <fgColor indexed="10"/>
          <bgColor indexed="24"/>
        </patternFill>
      </fill>
    </dxf>
    <dxf>
      <font>
        <b/>
        <color rgb="FF000000"/>
      </font>
      <fill>
        <patternFill patternType="solid">
          <fgColor indexed="10"/>
          <bgColor indexed="23"/>
        </patternFill>
      </fill>
    </dxf>
    <dxf>
      <font>
        <b/>
        <color rgb="FF00B073"/>
      </font>
      <fill>
        <patternFill patternType="solid">
          <fgColor indexed="10"/>
          <bgColor indexed="8"/>
        </patternFill>
      </fill>
    </dxf>
    <dxf>
      <font>
        <b/>
        <color rgb="FFFEFFFE"/>
      </font>
      <fill>
        <patternFill patternType="solid">
          <fgColor indexed="10"/>
          <bgColor indexed="57"/>
        </patternFill>
      </fill>
    </dxf>
    <dxf>
      <font>
        <b/>
        <color rgb="FFFEFFFE"/>
      </font>
      <fill>
        <patternFill patternType="solid">
          <fgColor indexed="10"/>
          <bgColor indexed="56"/>
        </patternFill>
      </fill>
    </dxf>
    <dxf>
      <font>
        <b/>
        <color rgb="FFFEFFFE"/>
      </font>
      <fill>
        <patternFill patternType="solid">
          <fgColor indexed="10"/>
          <bgColor indexed="37"/>
        </patternFill>
      </fill>
    </dxf>
    <dxf>
      <font>
        <b/>
        <color rgb="FFFDFFFF"/>
      </font>
      <fill>
        <patternFill patternType="solid">
          <fgColor indexed="10"/>
          <bgColor indexed="35"/>
        </patternFill>
      </fill>
    </dxf>
    <dxf>
      <font>
        <b/>
        <color rgb="FFFDFFFF"/>
      </font>
      <fill>
        <patternFill patternType="solid">
          <fgColor indexed="10"/>
          <bgColor indexed="35"/>
        </patternFill>
      </fill>
    </dxf>
    <dxf>
      <font>
        <b/>
        <color rgb="FFF52479"/>
      </font>
      <fill>
        <patternFill patternType="solid">
          <fgColor indexed="10"/>
          <bgColor indexed="33"/>
        </patternFill>
      </fill>
    </dxf>
    <dxf>
      <font>
        <b/>
        <color rgb="FF80A85A"/>
      </font>
      <fill>
        <patternFill patternType="solid">
          <fgColor indexed="10"/>
          <bgColor indexed="44"/>
        </patternFill>
      </fill>
    </dxf>
    <dxf>
      <font>
        <b/>
        <color rgb="FFD8218E"/>
      </font>
      <fill>
        <patternFill patternType="solid">
          <fgColor indexed="10"/>
          <bgColor indexed="31"/>
        </patternFill>
      </fill>
    </dxf>
    <dxf>
      <font>
        <b/>
        <color rgb="FFFEFFFE"/>
      </font>
      <fill>
        <patternFill patternType="solid">
          <fgColor indexed="10"/>
          <bgColor indexed="30"/>
        </patternFill>
      </fill>
    </dxf>
    <dxf>
      <font>
        <b/>
        <color rgb="FFFEFFFE"/>
      </font>
      <fill>
        <patternFill patternType="solid">
          <fgColor indexed="10"/>
          <bgColor indexed="29"/>
        </patternFill>
      </fill>
    </dxf>
    <dxf>
      <font>
        <b/>
        <color rgb="FFFEFFFE"/>
      </font>
      <fill>
        <patternFill patternType="solid">
          <fgColor indexed="10"/>
          <bgColor indexed="28"/>
        </patternFill>
      </fill>
    </dxf>
    <dxf>
      <font>
        <b/>
        <color rgb="FFFEFFFE"/>
      </font>
      <fill>
        <patternFill patternType="solid">
          <fgColor indexed="10"/>
          <bgColor indexed="26"/>
        </patternFill>
      </fill>
    </dxf>
    <dxf>
      <font>
        <b/>
        <color rgb="FFFF5500"/>
      </font>
      <fill>
        <patternFill patternType="solid">
          <fgColor indexed="10"/>
          <bgColor indexed="24"/>
        </patternFill>
      </fill>
    </dxf>
    <dxf>
      <font>
        <b/>
        <color rgb="FF000000"/>
      </font>
      <fill>
        <patternFill patternType="solid">
          <fgColor indexed="10"/>
          <bgColor indexed="23"/>
        </patternFill>
      </fill>
    </dxf>
    <dxf>
      <font>
        <color rgb="FFE32400"/>
      </font>
    </dxf>
    <dxf>
      <font>
        <color rgb="FF3A88FE"/>
      </font>
    </dxf>
    <dxf>
      <font>
        <b/>
        <color rgb="FFFEFFFE"/>
      </font>
      <fill>
        <patternFill patternType="solid">
          <fgColor indexed="10"/>
          <bgColor indexed="57"/>
        </patternFill>
      </fill>
    </dxf>
    <dxf>
      <font>
        <b/>
        <color rgb="FFFEFFFE"/>
      </font>
      <fill>
        <patternFill patternType="solid">
          <fgColor indexed="10"/>
          <bgColor indexed="56"/>
        </patternFill>
      </fill>
    </dxf>
    <dxf>
      <font>
        <b/>
        <color rgb="FFFEFFFE"/>
      </font>
      <fill>
        <patternFill patternType="solid">
          <fgColor indexed="10"/>
          <bgColor indexed="37"/>
        </patternFill>
      </fill>
    </dxf>
    <dxf>
      <font>
        <b/>
        <color rgb="FFFDFFFF"/>
      </font>
      <fill>
        <patternFill patternType="solid">
          <fgColor indexed="10"/>
          <bgColor indexed="35"/>
        </patternFill>
      </fill>
    </dxf>
    <dxf>
      <font>
        <b/>
        <color rgb="FFFDFFFF"/>
      </font>
      <fill>
        <patternFill patternType="solid">
          <fgColor indexed="10"/>
          <bgColor indexed="35"/>
        </patternFill>
      </fill>
    </dxf>
    <dxf>
      <font>
        <b/>
        <color rgb="FFF52479"/>
      </font>
      <fill>
        <patternFill patternType="solid">
          <fgColor indexed="10"/>
          <bgColor indexed="33"/>
        </patternFill>
      </fill>
    </dxf>
    <dxf>
      <font>
        <b/>
        <color rgb="FF000000"/>
      </font>
      <fill>
        <patternFill patternType="solid">
          <fgColor indexed="10"/>
          <bgColor indexed="23"/>
        </patternFill>
      </fill>
    </dxf>
    <dxf>
      <font>
        <b/>
        <color rgb="FFD8218E"/>
      </font>
      <fill>
        <patternFill patternType="solid">
          <fgColor indexed="10"/>
          <bgColor indexed="31"/>
        </patternFill>
      </fill>
    </dxf>
    <dxf>
      <font>
        <b/>
        <color rgb="FFFEFFFE"/>
      </font>
      <fill>
        <patternFill patternType="solid">
          <fgColor indexed="10"/>
          <bgColor indexed="30"/>
        </patternFill>
      </fill>
    </dxf>
    <dxf>
      <font>
        <b/>
        <color rgb="FFFEFFFE"/>
      </font>
      <fill>
        <patternFill patternType="solid">
          <fgColor indexed="10"/>
          <bgColor indexed="29"/>
        </patternFill>
      </fill>
    </dxf>
    <dxf>
      <font>
        <b/>
        <color rgb="FFFEFFFE"/>
      </font>
      <fill>
        <patternFill patternType="solid">
          <fgColor indexed="10"/>
          <bgColor indexed="28"/>
        </patternFill>
      </fill>
    </dxf>
    <dxf>
      <font>
        <b/>
        <color rgb="FFFEFFFE"/>
      </font>
      <fill>
        <patternFill patternType="solid">
          <fgColor indexed="10"/>
          <bgColor indexed="26"/>
        </patternFill>
      </fill>
    </dxf>
    <dxf>
      <font>
        <b/>
        <color rgb="FFFF5500"/>
      </font>
      <fill>
        <patternFill patternType="solid">
          <fgColor indexed="10"/>
          <bgColor indexed="24"/>
        </patternFill>
      </fill>
    </dxf>
    <dxf>
      <font>
        <b/>
        <color rgb="FF000000"/>
      </font>
      <fill>
        <patternFill patternType="solid">
          <fgColor indexed="10"/>
          <bgColor indexed="23"/>
        </patternFill>
      </fill>
    </dxf>
    <dxf>
      <font>
        <color rgb="FF0432FF"/>
      </font>
      <fill>
        <patternFill patternType="solid">
          <fgColor indexed="10"/>
          <bgColor indexed="49"/>
        </patternFill>
      </fill>
    </dxf>
    <dxf>
      <font>
        <color rgb="FF3A88FE"/>
      </font>
    </dxf>
    <dxf>
      <font>
        <color rgb="FF669C35"/>
      </font>
    </dxf>
    <dxf>
      <font>
        <color rgb="FFE32400"/>
      </font>
    </dxf>
    <dxf>
      <font>
        <color rgb="FF000000"/>
      </font>
      <fill>
        <patternFill patternType="solid">
          <fgColor indexed="10"/>
          <bgColor indexed="41"/>
        </patternFill>
      </fill>
    </dxf>
    <dxf>
      <font>
        <color rgb="FF000000"/>
      </font>
      <fill>
        <patternFill patternType="solid">
          <fgColor indexed="10"/>
          <bgColor indexed="41"/>
        </patternFill>
      </fill>
    </dxf>
    <dxf>
      <font>
        <color rgb="FF000000"/>
      </font>
      <fill>
        <patternFill patternType="solid">
          <fgColor indexed="10"/>
          <bgColor indexed="12"/>
        </patternFill>
      </fill>
    </dxf>
    <dxf>
      <font>
        <b/>
        <color rgb="FF00B073"/>
      </font>
      <fill>
        <patternFill patternType="solid">
          <fgColor indexed="10"/>
          <bgColor indexed="8"/>
        </patternFill>
      </fill>
    </dxf>
    <dxf>
      <font>
        <b/>
        <color rgb="FFFEFFFE"/>
      </font>
      <fill>
        <patternFill patternType="solid">
          <fgColor indexed="10"/>
          <bgColor indexed="43"/>
        </patternFill>
      </fill>
    </dxf>
    <dxf>
      <font>
        <b/>
        <color rgb="FFFEFFFE"/>
      </font>
      <fill>
        <patternFill patternType="solid">
          <fgColor indexed="10"/>
          <bgColor indexed="42"/>
        </patternFill>
      </fill>
    </dxf>
    <dxf>
      <font>
        <b/>
        <color rgb="FFFDFDFF"/>
      </font>
      <fill>
        <patternFill patternType="solid">
          <fgColor indexed="10"/>
          <bgColor indexed="37"/>
        </patternFill>
      </fill>
    </dxf>
    <dxf>
      <font>
        <b/>
        <color rgb="FFFDFDFF"/>
      </font>
      <fill>
        <patternFill patternType="solid">
          <fgColor indexed="10"/>
          <bgColor indexed="35"/>
        </patternFill>
      </fill>
    </dxf>
    <dxf>
      <font>
        <b/>
        <color rgb="FFFA257C"/>
      </font>
      <fill>
        <patternFill patternType="solid">
          <fgColor indexed="10"/>
          <bgColor indexed="33"/>
        </patternFill>
      </fill>
    </dxf>
    <dxf>
      <font>
        <b/>
        <color rgb="FF80A85A"/>
      </font>
      <fill>
        <patternFill patternType="solid">
          <fgColor indexed="10"/>
          <bgColor indexed="44"/>
        </patternFill>
      </fill>
    </dxf>
    <dxf>
      <font>
        <b/>
        <color rgb="FFD8218E"/>
      </font>
      <fill>
        <patternFill patternType="solid">
          <fgColor indexed="10"/>
          <bgColor indexed="31"/>
        </patternFill>
      </fill>
    </dxf>
    <dxf>
      <font>
        <b/>
        <color rgb="FFFEFFFE"/>
      </font>
      <fill>
        <patternFill patternType="solid">
          <fgColor indexed="10"/>
          <bgColor indexed="30"/>
        </patternFill>
      </fill>
    </dxf>
    <dxf>
      <font>
        <b/>
        <color rgb="FFFEFFFE"/>
      </font>
      <fill>
        <patternFill patternType="solid">
          <fgColor indexed="10"/>
          <bgColor indexed="29"/>
        </patternFill>
      </fill>
    </dxf>
    <dxf>
      <font>
        <b/>
        <color rgb="FFFEFFFE"/>
      </font>
      <fill>
        <patternFill patternType="solid">
          <fgColor indexed="10"/>
          <bgColor indexed="28"/>
        </patternFill>
      </fill>
    </dxf>
    <dxf>
      <font>
        <b/>
        <color rgb="FFFEFFFE"/>
      </font>
      <fill>
        <patternFill patternType="solid">
          <fgColor indexed="10"/>
          <bgColor indexed="26"/>
        </patternFill>
      </fill>
    </dxf>
    <dxf>
      <font>
        <b/>
        <color rgb="FFFF5500"/>
      </font>
      <fill>
        <patternFill patternType="solid">
          <fgColor indexed="10"/>
          <bgColor indexed="24"/>
        </patternFill>
      </fill>
    </dxf>
    <dxf>
      <font>
        <b/>
        <color rgb="FF000000"/>
      </font>
      <fill>
        <patternFill patternType="solid">
          <fgColor indexed="10"/>
          <bgColor indexed="23"/>
        </patternFill>
      </fill>
    </dxf>
    <dxf>
      <font>
        <b/>
        <color rgb="FFE32400"/>
      </font>
      <fill>
        <patternFill patternType="solid">
          <fgColor indexed="10"/>
          <bgColor indexed="8"/>
        </patternFill>
      </fill>
    </dxf>
    <dxf>
      <font>
        <b/>
        <color rgb="FF000000"/>
      </font>
      <fill>
        <patternFill patternType="solid">
          <fgColor indexed="10"/>
          <bgColor indexed="8"/>
        </patternFill>
      </fill>
    </dxf>
    <dxf>
      <font>
        <b/>
        <color rgb="FFED220B"/>
      </font>
      <fill>
        <patternFill patternType="solid">
          <fgColor indexed="10"/>
          <bgColor indexed="14"/>
        </patternFill>
      </fill>
    </dxf>
    <dxf>
      <font>
        <color rgb="FF88F94E"/>
      </font>
      <fill>
        <patternFill patternType="solid">
          <fgColor indexed="10"/>
          <bgColor indexed="11"/>
        </patternFill>
      </fill>
    </dxf>
    <dxf>
      <font>
        <b/>
        <color rgb="FF000000"/>
      </font>
      <fill>
        <patternFill patternType="solid">
          <fgColor indexed="10"/>
          <bgColor indexed="8"/>
        </patternFill>
      </fill>
    </dxf>
    <dxf>
      <font>
        <b/>
        <color rgb="FFED220B"/>
      </font>
      <fill>
        <patternFill patternType="solid">
          <fgColor indexed="10"/>
          <bgColor indexed="14"/>
        </patternFill>
      </fill>
    </dxf>
    <dxf>
      <font>
        <color rgb="FF88F94E"/>
      </font>
      <fill>
        <patternFill patternType="solid">
          <fgColor indexed="10"/>
          <bgColor indexed="11"/>
        </patternFill>
      </fill>
    </dxf>
    <dxf>
      <font>
        <b/>
        <color rgb="FF00B073"/>
      </font>
      <fill>
        <patternFill patternType="solid">
          <fgColor indexed="10"/>
          <bgColor indexed="8"/>
        </patternFill>
      </fill>
    </dxf>
    <dxf>
      <font>
        <b/>
        <color rgb="FFFEFFFE"/>
      </font>
      <fill>
        <patternFill patternType="solid">
          <fgColor indexed="10"/>
          <bgColor indexed="43"/>
        </patternFill>
      </fill>
    </dxf>
    <dxf>
      <font>
        <b/>
        <color rgb="FFFEFFFE"/>
      </font>
      <fill>
        <patternFill patternType="solid">
          <fgColor indexed="10"/>
          <bgColor indexed="42"/>
        </patternFill>
      </fill>
    </dxf>
    <dxf>
      <font>
        <b/>
        <color rgb="FFFDFDFF"/>
      </font>
      <fill>
        <patternFill patternType="solid">
          <fgColor indexed="10"/>
          <bgColor indexed="37"/>
        </patternFill>
      </fill>
    </dxf>
    <dxf>
      <font>
        <b/>
        <color rgb="FFFDFDFF"/>
      </font>
      <fill>
        <patternFill patternType="solid">
          <fgColor indexed="10"/>
          <bgColor indexed="35"/>
        </patternFill>
      </fill>
    </dxf>
    <dxf>
      <font>
        <b/>
        <color rgb="FFFA257C"/>
      </font>
      <fill>
        <patternFill patternType="solid">
          <fgColor indexed="10"/>
          <bgColor indexed="33"/>
        </patternFill>
      </fill>
    </dxf>
    <dxf>
      <font>
        <b/>
        <color rgb="FF617C46"/>
      </font>
      <fill>
        <patternFill patternType="solid">
          <fgColor indexed="10"/>
          <bgColor indexed="44"/>
        </patternFill>
      </fill>
    </dxf>
    <dxf>
      <font>
        <b/>
        <color rgb="FFD8218E"/>
      </font>
      <fill>
        <patternFill patternType="solid">
          <fgColor indexed="10"/>
          <bgColor indexed="31"/>
        </patternFill>
      </fill>
    </dxf>
    <dxf>
      <font>
        <b/>
        <color rgb="FFFEFFFE"/>
      </font>
      <fill>
        <patternFill patternType="solid">
          <fgColor indexed="10"/>
          <bgColor indexed="30"/>
        </patternFill>
      </fill>
    </dxf>
    <dxf>
      <font>
        <b/>
        <color rgb="FFFEFFFE"/>
      </font>
      <fill>
        <patternFill patternType="solid">
          <fgColor indexed="10"/>
          <bgColor indexed="29"/>
        </patternFill>
      </fill>
    </dxf>
    <dxf>
      <font>
        <b/>
        <color rgb="FFFEFFFE"/>
      </font>
      <fill>
        <patternFill patternType="solid">
          <fgColor indexed="10"/>
          <bgColor indexed="28"/>
        </patternFill>
      </fill>
    </dxf>
    <dxf>
      <font>
        <b/>
        <color rgb="FFFEFFFE"/>
      </font>
      <fill>
        <patternFill patternType="solid">
          <fgColor indexed="10"/>
          <bgColor indexed="26"/>
        </patternFill>
      </fill>
    </dxf>
    <dxf>
      <font>
        <b/>
        <color rgb="FFFF5500"/>
      </font>
      <fill>
        <patternFill patternType="solid">
          <fgColor indexed="10"/>
          <bgColor indexed="24"/>
        </patternFill>
      </fill>
    </dxf>
    <dxf>
      <font>
        <b/>
        <color rgb="FF000000"/>
      </font>
      <fill>
        <patternFill patternType="solid">
          <fgColor indexed="10"/>
          <bgColor indexed="23"/>
        </patternFill>
      </fill>
    </dxf>
    <dxf>
      <font>
        <b/>
        <color rgb="FFFEFFFE"/>
      </font>
      <fill>
        <patternFill patternType="solid">
          <fgColor indexed="10"/>
          <bgColor indexed="43"/>
        </patternFill>
      </fill>
    </dxf>
    <dxf>
      <font>
        <b/>
        <color rgb="FFFEFFFE"/>
      </font>
      <fill>
        <patternFill patternType="solid">
          <fgColor indexed="10"/>
          <bgColor indexed="42"/>
        </patternFill>
      </fill>
    </dxf>
    <dxf>
      <font>
        <b/>
        <color rgb="FFFDFDFF"/>
      </font>
      <fill>
        <patternFill patternType="solid">
          <fgColor indexed="10"/>
          <bgColor indexed="37"/>
        </patternFill>
      </fill>
    </dxf>
    <dxf>
      <font>
        <b/>
        <color rgb="FFFDFDFF"/>
      </font>
      <fill>
        <patternFill patternType="solid">
          <fgColor indexed="10"/>
          <bgColor indexed="35"/>
        </patternFill>
      </fill>
    </dxf>
    <dxf>
      <font>
        <b/>
        <color rgb="FFFA257C"/>
      </font>
      <fill>
        <patternFill patternType="solid">
          <fgColor indexed="10"/>
          <bgColor indexed="33"/>
        </patternFill>
      </fill>
    </dxf>
    <dxf>
      <font>
        <b/>
        <color rgb="FF000000"/>
      </font>
      <fill>
        <patternFill patternType="solid">
          <fgColor indexed="10"/>
          <bgColor indexed="23"/>
        </patternFill>
      </fill>
    </dxf>
    <dxf>
      <font>
        <b/>
        <color rgb="FFD8218E"/>
      </font>
      <fill>
        <patternFill patternType="solid">
          <fgColor indexed="10"/>
          <bgColor indexed="31"/>
        </patternFill>
      </fill>
    </dxf>
    <dxf>
      <font>
        <b/>
        <color rgb="FFFEFFFE"/>
      </font>
      <fill>
        <patternFill patternType="solid">
          <fgColor indexed="10"/>
          <bgColor indexed="30"/>
        </patternFill>
      </fill>
    </dxf>
    <dxf>
      <font>
        <b/>
        <color rgb="FFFEFFFE"/>
      </font>
      <fill>
        <patternFill patternType="solid">
          <fgColor indexed="10"/>
          <bgColor indexed="29"/>
        </patternFill>
      </fill>
    </dxf>
    <dxf>
      <font>
        <b/>
        <color rgb="FFFEFFFE"/>
      </font>
      <fill>
        <patternFill patternType="solid">
          <fgColor indexed="10"/>
          <bgColor indexed="28"/>
        </patternFill>
      </fill>
    </dxf>
    <dxf>
      <font>
        <b/>
        <color rgb="FFFEFFFE"/>
      </font>
      <fill>
        <patternFill patternType="solid">
          <fgColor indexed="10"/>
          <bgColor indexed="26"/>
        </patternFill>
      </fill>
    </dxf>
    <dxf>
      <font>
        <b/>
        <color rgb="FFFF5500"/>
      </font>
      <fill>
        <patternFill patternType="solid">
          <fgColor indexed="10"/>
          <bgColor indexed="24"/>
        </patternFill>
      </fill>
    </dxf>
    <dxf>
      <font>
        <b/>
        <color rgb="FF000000"/>
      </font>
      <fill>
        <patternFill patternType="solid">
          <fgColor indexed="10"/>
          <bgColor indexed="23"/>
        </patternFill>
      </fill>
    </dxf>
    <dxf>
      <font>
        <color rgb="FFE32400"/>
      </font>
    </dxf>
    <dxf>
      <font>
        <color rgb="FF3A88FE"/>
      </font>
    </dxf>
    <dxf>
      <font>
        <color rgb="FFE32400"/>
      </font>
    </dxf>
    <dxf>
      <font>
        <color rgb="FF3A88FE"/>
      </font>
    </dxf>
    <dxf>
      <font>
        <color rgb="FFE32400"/>
      </font>
    </dxf>
    <dxf>
      <font>
        <color rgb="FF000000"/>
      </font>
      <fill>
        <patternFill patternType="solid">
          <fgColor indexed="10"/>
          <bgColor indexed="41"/>
        </patternFill>
      </fill>
    </dxf>
    <dxf>
      <font>
        <color rgb="FFFFD931"/>
      </font>
      <fill>
        <patternFill patternType="solid">
          <fgColor indexed="10"/>
          <bgColor indexed="14"/>
        </patternFill>
      </fill>
    </dxf>
    <dxf>
      <font>
        <color rgb="FF000000"/>
      </font>
      <fill>
        <patternFill patternType="solid">
          <fgColor indexed="10"/>
          <bgColor indexed="41"/>
        </patternFill>
      </fill>
    </dxf>
    <dxf>
      <font>
        <color rgb="FFE32400"/>
      </font>
    </dxf>
    <dxf>
      <font>
        <color rgb="FF3A88FE"/>
      </font>
    </dxf>
    <dxf>
      <font>
        <color rgb="FFE32400"/>
      </font>
    </dxf>
    <dxf>
      <font>
        <color rgb="FFE32400"/>
      </font>
    </dxf>
    <dxf>
      <font>
        <color rgb="FF3A88FE"/>
      </font>
    </dxf>
    <dxf>
      <font>
        <b/>
        <color rgb="FFFDFDFF"/>
      </font>
      <fill>
        <patternFill patternType="solid">
          <fgColor indexed="10"/>
          <bgColor indexed="37"/>
        </patternFill>
      </fill>
    </dxf>
    <dxf>
      <font>
        <b/>
        <color rgb="FFFDFDFF"/>
      </font>
      <fill>
        <patternFill patternType="solid">
          <fgColor indexed="10"/>
          <bgColor indexed="35"/>
        </patternFill>
      </fill>
    </dxf>
    <dxf>
      <font>
        <b/>
        <color rgb="FFFA257C"/>
      </font>
      <fill>
        <patternFill patternType="solid">
          <fgColor indexed="10"/>
          <bgColor indexed="33"/>
        </patternFill>
      </fill>
    </dxf>
    <dxf>
      <font>
        <b/>
        <color rgb="FF000000"/>
      </font>
      <fill>
        <patternFill patternType="solid">
          <fgColor indexed="10"/>
          <bgColor indexed="23"/>
        </patternFill>
      </fill>
    </dxf>
    <dxf>
      <font>
        <b/>
        <color rgb="FFD8218E"/>
      </font>
      <fill>
        <patternFill patternType="solid">
          <fgColor indexed="10"/>
          <bgColor indexed="31"/>
        </patternFill>
      </fill>
    </dxf>
    <dxf>
      <font>
        <b/>
        <color rgb="FFFEFFFE"/>
      </font>
      <fill>
        <patternFill patternType="solid">
          <fgColor indexed="10"/>
          <bgColor indexed="30"/>
        </patternFill>
      </fill>
    </dxf>
    <dxf>
      <font>
        <b/>
        <color rgb="FFFEFFFE"/>
      </font>
      <fill>
        <patternFill patternType="solid">
          <fgColor indexed="10"/>
          <bgColor indexed="29"/>
        </patternFill>
      </fill>
    </dxf>
    <dxf>
      <font>
        <b/>
        <color rgb="FFFEFFFE"/>
      </font>
      <fill>
        <patternFill patternType="solid">
          <fgColor indexed="10"/>
          <bgColor indexed="28"/>
        </patternFill>
      </fill>
    </dxf>
    <dxf>
      <font>
        <b/>
        <color rgb="FFFEFFFE"/>
      </font>
      <fill>
        <patternFill patternType="solid">
          <fgColor indexed="10"/>
          <bgColor indexed="26"/>
        </patternFill>
      </fill>
    </dxf>
    <dxf>
      <font>
        <b/>
        <color rgb="FFFF5500"/>
      </font>
      <fill>
        <patternFill patternType="solid">
          <fgColor indexed="10"/>
          <bgColor indexed="24"/>
        </patternFill>
      </fill>
    </dxf>
    <dxf>
      <font>
        <b/>
        <color rgb="FF000000"/>
      </font>
      <fill>
        <patternFill patternType="solid">
          <fgColor indexed="10"/>
          <bgColor indexed="23"/>
        </patternFill>
      </fill>
    </dxf>
    <dxf>
      <font>
        <color rgb="FF000000"/>
      </font>
      <fill>
        <patternFill patternType="solid">
          <fgColor indexed="10"/>
          <bgColor indexed="22"/>
        </patternFill>
      </fill>
    </dxf>
    <dxf>
      <font>
        <color rgb="FF000000"/>
      </font>
      <fill>
        <patternFill patternType="solid">
          <fgColor indexed="10"/>
          <bgColor indexed="21"/>
        </patternFill>
      </fill>
    </dxf>
    <dxf>
      <font>
        <color rgb="FF929292"/>
      </font>
    </dxf>
    <dxf>
      <font>
        <color rgb="FF000000"/>
      </font>
      <fill>
        <patternFill patternType="solid">
          <fgColor indexed="10"/>
          <bgColor indexed="19"/>
        </patternFill>
      </fill>
    </dxf>
    <dxf>
      <font>
        <b/>
        <color rgb="FFED220B"/>
      </font>
      <fill>
        <patternFill patternType="solid">
          <fgColor indexed="10"/>
          <bgColor indexed="8"/>
        </patternFill>
      </fill>
    </dxf>
    <dxf>
      <font>
        <b/>
        <color rgb="FF60D836"/>
      </font>
      <fill>
        <patternFill patternType="solid">
          <fgColor indexed="10"/>
          <bgColor indexed="8"/>
        </patternFill>
      </fill>
    </dxf>
    <dxf>
      <font>
        <b/>
        <color rgb="FFFFD931"/>
      </font>
      <fill>
        <patternFill patternType="solid">
          <fgColor indexed="10"/>
          <bgColor indexed="16"/>
        </patternFill>
      </fill>
    </dxf>
    <dxf>
      <font>
        <b/>
        <color rgb="FF72FCE9"/>
      </font>
      <fill>
        <patternFill patternType="solid">
          <fgColor indexed="10"/>
          <bgColor indexed="15"/>
        </patternFill>
      </fill>
    </dxf>
    <dxf>
      <font>
        <b/>
        <color rgb="FFED220B"/>
      </font>
      <fill>
        <patternFill patternType="solid">
          <fgColor indexed="10"/>
          <bgColor indexed="14"/>
        </patternFill>
      </fill>
    </dxf>
    <dxf>
      <font>
        <color rgb="FFB6E694"/>
      </font>
      <fill>
        <patternFill patternType="solid">
          <fgColor indexed="10"/>
          <bgColor indexed="12"/>
        </patternFill>
      </fill>
    </dxf>
    <dxf>
      <font>
        <color rgb="FF88F94E"/>
      </font>
      <fill>
        <patternFill patternType="solid">
          <fgColor indexed="10"/>
          <bgColor indexed="11"/>
        </patternFill>
      </fill>
    </dxf>
  </dxfs>
  <tableStyles count="0"/>
  <colors>
    <indexedColors>
      <rgbColor rgb="FF000000"/>
      <rgbColor rgb="FFFFFFFF"/>
      <rgbColor rgb="FFFF0000"/>
      <rgbColor rgb="FF00FF00"/>
      <rgbColor rgb="FF0000FF"/>
      <rgbColor rgb="FFFFFF00"/>
      <rgbColor rgb="FFFF00FF"/>
      <rgbColor rgb="FF00FFFF"/>
      <rgbColor rgb="FF000000"/>
      <rgbColor rgb="FFBDC0BF"/>
      <rgbColor rgb="00000000"/>
      <rgbColor rgb="FF88F94E"/>
      <rgbColor rgb="E5AFE489"/>
      <rgbColor rgb="FFB6E694"/>
      <rgbColor rgb="FFED220B"/>
      <rgbColor rgb="FF72FCE9"/>
      <rgbColor rgb="FFFFD931"/>
      <rgbColor rgb="FF60D836"/>
      <rgbColor rgb="FFA5A5A5"/>
      <rgbColor rgb="E5FFD38A"/>
      <rgbColor rgb="E5929292"/>
      <rgbColor rgb="E598EFEA"/>
      <rgbColor rgb="E588CCFF"/>
      <rgbColor rgb="FFFFB80C"/>
      <rgbColor rgb="FF03294E"/>
      <rgbColor rgb="FFFF5500"/>
      <rgbColor rgb="FF106C4F"/>
      <rgbColor rgb="FFFEFFFE"/>
      <rgbColor rgb="FF29292B"/>
      <rgbColor rgb="FFAF0000"/>
      <rgbColor rgb="FF1F5684"/>
      <rgbColor rgb="FF160E20"/>
      <rgbColor rgb="FFD8218E"/>
      <rgbColor rgb="FF000055"/>
      <rgbColor rgb="FFFA257C"/>
      <rgbColor rgb="FF20262B"/>
      <rgbColor rgb="FFFDFDFF"/>
      <rgbColor rgb="FF003D78"/>
      <rgbColor rgb="FF3A88FE"/>
      <rgbColor rgb="FFE32400"/>
      <rgbColor rgb="FFBFBFBF"/>
      <rgbColor rgb="E5FF9781"/>
      <rgbColor rgb="FF0A4B70"/>
      <rgbColor rgb="FF0567C9"/>
      <rgbColor rgb="FF1F1F1F"/>
      <rgbColor rgb="FF617C46"/>
      <rgbColor rgb="FF00B073"/>
      <rgbColor rgb="FF80A85A"/>
      <rgbColor rgb="FF669C35"/>
      <rgbColor rgb="FF56C1FE"/>
      <rgbColor rgb="FF0432FF"/>
      <rgbColor rgb="FFDBDBDB"/>
      <rgbColor rgb="FFD5D5D5"/>
      <rgbColor rgb="FF3F3F3F"/>
      <rgbColor rgb="FFF52479"/>
      <rgbColor rgb="FFFDFFFF"/>
      <rgbColor rgb="FF27587B"/>
      <rgbColor rgb="FF0965E9"/>
      <rgbColor rgb="FF00A1FE"/>
      <rgbColor rgb="FF6B0000"/>
      <rgbColor rgb="FF893507"/>
      <rgbColor rgb="FFE0AD87"/>
      <rgbColor rgb="FFFCDAC9"/>
      <rgbColor rgb="FFAB671D"/>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K954"/>
  <sheetViews>
    <sheetView showGridLines="0" tabSelected="1" workbookViewId="0">
      <pane xSplit="3" ySplit="3" topLeftCell="D925" activePane="bottomRight" state="frozen"/>
      <selection pane="topRight"/>
      <selection pane="bottomLeft"/>
      <selection pane="bottomRight" activeCell="D4" sqref="D4:D6"/>
    </sheetView>
  </sheetViews>
  <sheetFormatPr baseColWidth="10" defaultColWidth="16.33203125" defaultRowHeight="15.5" customHeight="1" x14ac:dyDescent="0.2"/>
  <cols>
    <col min="1" max="3" width="4.33203125" style="1" customWidth="1"/>
    <col min="4" max="4" width="3.1640625" style="1" customWidth="1"/>
    <col min="5" max="5" width="3.33203125" style="1" customWidth="1"/>
    <col min="6" max="6" width="7.33203125" style="1" customWidth="1"/>
    <col min="7" max="7" width="14" style="1" bestFit="1" customWidth="1"/>
    <col min="8" max="8" width="13.5" style="1" customWidth="1"/>
    <col min="9" max="9" width="11.33203125" style="1" customWidth="1"/>
    <col min="10" max="10" width="5" style="1" customWidth="1"/>
    <col min="11" max="11" width="8.33203125" style="1" customWidth="1"/>
    <col min="12" max="12" width="5.83203125" style="1" customWidth="1"/>
    <col min="13" max="13" width="8.83203125" style="1" customWidth="1"/>
    <col min="14" max="14" width="4.33203125" style="1" customWidth="1"/>
    <col min="15" max="15" width="8.33203125" style="1" customWidth="1"/>
    <col min="16" max="16" width="9.6640625" style="1" customWidth="1"/>
    <col min="17" max="17" width="2.5" style="1" customWidth="1"/>
    <col min="18" max="18" width="2.83203125" style="1" customWidth="1"/>
    <col min="19" max="19" width="8.33203125" style="1" customWidth="1"/>
    <col min="20" max="20" width="6.6640625" style="1" customWidth="1"/>
    <col min="21" max="21" width="9.83203125" style="1" customWidth="1"/>
    <col min="22" max="23" width="10.5" style="1" customWidth="1"/>
    <col min="24" max="24" width="14.33203125" style="1" customWidth="1"/>
    <col min="25" max="28" width="9.83203125" style="1" customWidth="1"/>
    <col min="29" max="29" width="7.1640625" style="1" customWidth="1"/>
    <col min="30" max="31" width="9" style="1" customWidth="1"/>
    <col min="32" max="83" width="10.1640625" style="1" customWidth="1"/>
    <col min="84" max="109" width="2.83203125" style="1" customWidth="1"/>
    <col min="110" max="110" width="6.1640625" style="1" customWidth="1"/>
    <col min="111" max="111" width="8.5" style="1" customWidth="1"/>
    <col min="112" max="112" width="5.5" style="1" customWidth="1"/>
    <col min="113" max="113" width="8.33203125" style="1" customWidth="1"/>
    <col min="114" max="114" width="5.1640625" style="1" customWidth="1"/>
    <col min="115" max="115" width="2.83203125" style="1" customWidth="1"/>
    <col min="116" max="116" width="16.33203125" style="1" customWidth="1"/>
    <col min="117" max="16384" width="16.33203125" style="1"/>
  </cols>
  <sheetData>
    <row r="1" spans="1:115" ht="14.75" customHeight="1" x14ac:dyDescent="0.2">
      <c r="A1" s="372" t="s">
        <v>0</v>
      </c>
      <c r="B1" s="372"/>
      <c r="C1" s="372"/>
      <c r="D1" s="372"/>
      <c r="E1" s="372"/>
      <c r="F1" s="372"/>
      <c r="G1" s="372"/>
      <c r="H1" s="372"/>
      <c r="I1" s="372"/>
      <c r="J1" s="372"/>
      <c r="K1" s="372"/>
      <c r="L1" s="372"/>
      <c r="M1" s="372"/>
      <c r="N1" s="372"/>
      <c r="O1" s="372"/>
      <c r="P1" s="372"/>
      <c r="Q1" s="372"/>
      <c r="R1" s="372"/>
      <c r="S1" s="372"/>
      <c r="T1" s="372"/>
      <c r="U1" s="372"/>
      <c r="V1" s="372"/>
      <c r="W1" s="372"/>
      <c r="X1" s="372"/>
      <c r="Y1" s="372"/>
      <c r="Z1" s="372"/>
      <c r="AA1" s="372"/>
      <c r="AB1" s="372"/>
      <c r="AC1" s="372"/>
      <c r="AD1" s="372"/>
      <c r="AE1" s="372"/>
      <c r="AF1" s="372"/>
      <c r="AG1" s="372"/>
      <c r="AH1" s="372"/>
      <c r="AI1" s="372"/>
      <c r="AJ1" s="372"/>
      <c r="AK1" s="372"/>
      <c r="AL1" s="372"/>
      <c r="AM1" s="372"/>
      <c r="AN1" s="372"/>
      <c r="AO1" s="372"/>
      <c r="AP1" s="372"/>
      <c r="AQ1" s="372"/>
      <c r="AR1" s="372"/>
      <c r="AS1" s="372"/>
      <c r="AT1" s="372"/>
      <c r="AU1" s="372"/>
      <c r="AV1" s="372"/>
      <c r="AW1" s="372"/>
      <c r="AX1" s="372"/>
      <c r="AY1" s="372"/>
      <c r="AZ1" s="372"/>
      <c r="BA1" s="372"/>
      <c r="BB1" s="372"/>
      <c r="BC1" s="372"/>
      <c r="BD1" s="372"/>
      <c r="BE1" s="372"/>
      <c r="BF1" s="372"/>
      <c r="BG1" s="372"/>
      <c r="BH1" s="372"/>
      <c r="BI1" s="372"/>
      <c r="BJ1" s="372"/>
      <c r="BK1" s="372"/>
      <c r="BL1" s="372"/>
      <c r="BM1" s="372"/>
      <c r="BN1" s="372"/>
      <c r="BO1" s="372"/>
      <c r="BP1" s="372"/>
      <c r="BQ1" s="372"/>
      <c r="BR1" s="372"/>
      <c r="BS1" s="372"/>
      <c r="BT1" s="372"/>
      <c r="BU1" s="372"/>
      <c r="BV1" s="372"/>
      <c r="BW1" s="372"/>
      <c r="BX1" s="372"/>
      <c r="BY1" s="372"/>
      <c r="BZ1" s="372"/>
      <c r="CA1" s="372"/>
      <c r="CB1" s="372"/>
      <c r="CC1" s="372"/>
      <c r="CD1" s="372"/>
      <c r="CE1" s="372"/>
      <c r="CF1" s="372"/>
      <c r="CG1" s="372"/>
      <c r="CH1" s="372"/>
      <c r="CI1" s="372"/>
      <c r="CJ1" s="372"/>
      <c r="CK1" s="372"/>
      <c r="CL1" s="372"/>
      <c r="CM1" s="372"/>
      <c r="CN1" s="372"/>
      <c r="CO1" s="372"/>
      <c r="CP1" s="372"/>
      <c r="CQ1" s="372"/>
      <c r="CR1" s="372"/>
      <c r="CS1" s="372"/>
      <c r="CT1" s="372"/>
      <c r="CU1" s="372"/>
      <c r="CV1" s="372"/>
      <c r="CW1" s="372"/>
      <c r="CX1" s="372"/>
      <c r="CY1" s="372"/>
      <c r="CZ1" s="372"/>
      <c r="DA1" s="372"/>
      <c r="DB1" s="372"/>
      <c r="DC1" s="372"/>
      <c r="DD1" s="372"/>
      <c r="DE1" s="372"/>
      <c r="DF1" s="372"/>
      <c r="DG1" s="372"/>
      <c r="DH1" s="372"/>
      <c r="DI1" s="372"/>
      <c r="DJ1" s="372"/>
      <c r="DK1" s="372"/>
    </row>
    <row r="2" spans="1:115" ht="20.25" customHeight="1" x14ac:dyDescent="0.2">
      <c r="A2" s="447"/>
      <c r="B2" s="2" t="s">
        <v>1</v>
      </c>
      <c r="C2" s="431" t="s">
        <v>2</v>
      </c>
      <c r="D2" s="443" t="s">
        <v>3</v>
      </c>
      <c r="E2" s="444"/>
      <c r="F2" s="3" t="s">
        <v>4</v>
      </c>
      <c r="G2" s="422" t="s">
        <v>5</v>
      </c>
      <c r="H2" s="422" t="s">
        <v>6</v>
      </c>
      <c r="I2" s="424" t="s">
        <v>7</v>
      </c>
      <c r="J2" s="449"/>
      <c r="K2" s="424" t="s">
        <v>8</v>
      </c>
      <c r="L2" s="424" t="s">
        <v>9</v>
      </c>
      <c r="M2" s="425" t="s">
        <v>10</v>
      </c>
      <c r="N2" s="427" t="s">
        <v>11</v>
      </c>
      <c r="O2" s="429" t="s">
        <v>12</v>
      </c>
      <c r="P2" s="431" t="s">
        <v>13</v>
      </c>
      <c r="Q2" s="433" t="s">
        <v>14</v>
      </c>
      <c r="R2" s="435" t="s">
        <v>15</v>
      </c>
      <c r="S2" s="437" t="s">
        <v>16</v>
      </c>
      <c r="T2" s="424" t="s">
        <v>17</v>
      </c>
      <c r="U2" s="424" t="s">
        <v>18</v>
      </c>
      <c r="V2" s="424" t="s">
        <v>19</v>
      </c>
      <c r="W2" s="424" t="s">
        <v>20</v>
      </c>
      <c r="X2" s="425" t="s">
        <v>21</v>
      </c>
      <c r="Y2" s="441" t="s">
        <v>22</v>
      </c>
      <c r="Z2" s="424" t="s">
        <v>23</v>
      </c>
      <c r="AA2" s="424" t="s">
        <v>24</v>
      </c>
      <c r="AB2" s="424" t="s">
        <v>25</v>
      </c>
      <c r="AC2" s="424" t="s">
        <v>26</v>
      </c>
      <c r="AD2" s="454"/>
      <c r="AE2" s="439" t="s">
        <v>27</v>
      </c>
      <c r="AF2" s="410" t="s">
        <v>28</v>
      </c>
      <c r="AG2" s="411"/>
      <c r="AH2" s="411"/>
      <c r="AI2" s="411"/>
      <c r="AJ2" s="411"/>
      <c r="AK2" s="411"/>
      <c r="AL2" s="411"/>
      <c r="AM2" s="411"/>
      <c r="AN2" s="411"/>
      <c r="AO2" s="411"/>
      <c r="AP2" s="411"/>
      <c r="AQ2" s="412"/>
      <c r="AR2" s="413"/>
      <c r="AS2" s="410" t="s">
        <v>29</v>
      </c>
      <c r="AT2" s="411"/>
      <c r="AU2" s="411"/>
      <c r="AV2" s="411"/>
      <c r="AW2" s="411"/>
      <c r="AX2" s="411"/>
      <c r="AY2" s="411"/>
      <c r="AZ2" s="411"/>
      <c r="BA2" s="411"/>
      <c r="BB2" s="411"/>
      <c r="BC2" s="411"/>
      <c r="BD2" s="412"/>
      <c r="BE2" s="413"/>
      <c r="BF2" s="410" t="s">
        <v>30</v>
      </c>
      <c r="BG2" s="411"/>
      <c r="BH2" s="411"/>
      <c r="BI2" s="411"/>
      <c r="BJ2" s="411"/>
      <c r="BK2" s="411"/>
      <c r="BL2" s="411"/>
      <c r="BM2" s="411"/>
      <c r="BN2" s="411"/>
      <c r="BO2" s="411"/>
      <c r="BP2" s="411"/>
      <c r="BQ2" s="412"/>
      <c r="BR2" s="413"/>
      <c r="BS2" s="410" t="s">
        <v>31</v>
      </c>
      <c r="BT2" s="411"/>
      <c r="BU2" s="411"/>
      <c r="BV2" s="411"/>
      <c r="BW2" s="411"/>
      <c r="BX2" s="411"/>
      <c r="BY2" s="411"/>
      <c r="BZ2" s="411"/>
      <c r="CA2" s="411"/>
      <c r="CB2" s="411"/>
      <c r="CC2" s="411"/>
      <c r="CD2" s="412"/>
      <c r="CE2" s="413"/>
      <c r="CF2" s="410" t="s">
        <v>32</v>
      </c>
      <c r="CG2" s="411"/>
      <c r="CH2" s="411"/>
      <c r="CI2" s="411"/>
      <c r="CJ2" s="411"/>
      <c r="CK2" s="411"/>
      <c r="CL2" s="411"/>
      <c r="CM2" s="411"/>
      <c r="CN2" s="411"/>
      <c r="CO2" s="412"/>
      <c r="CP2" s="413"/>
      <c r="CQ2" s="414"/>
      <c r="CR2" s="411"/>
      <c r="CS2" s="411"/>
      <c r="CT2" s="411"/>
      <c r="CU2" s="411"/>
      <c r="CV2" s="411"/>
      <c r="CW2" s="411"/>
      <c r="CX2" s="411"/>
      <c r="CY2" s="411"/>
      <c r="CZ2" s="411"/>
      <c r="DA2" s="411"/>
      <c r="DB2" s="411"/>
      <c r="DC2" s="411"/>
      <c r="DD2" s="412"/>
      <c r="DE2" s="413"/>
      <c r="DF2" s="5" t="s">
        <v>33</v>
      </c>
      <c r="DG2" s="6" t="s">
        <v>16</v>
      </c>
      <c r="DH2" s="4" t="s">
        <v>34</v>
      </c>
      <c r="DI2" s="7" t="s">
        <v>35</v>
      </c>
      <c r="DJ2" s="8"/>
      <c r="DK2" s="9"/>
    </row>
    <row r="3" spans="1:115" ht="16.5" customHeight="1" x14ac:dyDescent="0.2">
      <c r="A3" s="448"/>
      <c r="B3" s="10">
        <f>COUNTIF(B4:B954," ")-COUNTIF(E4:E954," ")</f>
        <v>0</v>
      </c>
      <c r="C3" s="432"/>
      <c r="D3" s="445"/>
      <c r="E3" s="446"/>
      <c r="F3" s="11" t="str">
        <f ca="1">COUNTIF(F4:F954,"???")&amp;"/"&amp;LARGE(AC4:AC954,1)-COUNTIF(F4:F954,"???")&amp;"/"&amp;COUNTIF(B4:B954," ")-COUNTIF(E4:E954," ")-LARGE(AC4:AC954,1)</f>
        <v>0/0/0</v>
      </c>
      <c r="G3" s="423"/>
      <c r="H3" s="423"/>
      <c r="I3" s="423"/>
      <c r="J3" s="423"/>
      <c r="K3" s="423"/>
      <c r="L3" s="423"/>
      <c r="M3" s="426"/>
      <c r="N3" s="428"/>
      <c r="O3" s="430"/>
      <c r="P3" s="432"/>
      <c r="Q3" s="434"/>
      <c r="R3" s="436"/>
      <c r="S3" s="438"/>
      <c r="T3" s="423"/>
      <c r="U3" s="423"/>
      <c r="V3" s="423"/>
      <c r="W3" s="423"/>
      <c r="X3" s="426"/>
      <c r="Y3" s="442"/>
      <c r="Z3" s="423"/>
      <c r="AA3" s="423"/>
      <c r="AB3" s="423"/>
      <c r="AC3" s="423"/>
      <c r="AD3" s="423"/>
      <c r="AE3" s="440"/>
      <c r="AF3" s="12" t="s">
        <v>36</v>
      </c>
      <c r="AG3" s="13" t="s">
        <v>37</v>
      </c>
      <c r="AH3" s="13" t="s">
        <v>38</v>
      </c>
      <c r="AI3" s="13" t="s">
        <v>39</v>
      </c>
      <c r="AJ3" s="13" t="s">
        <v>40</v>
      </c>
      <c r="AK3" s="13" t="s">
        <v>41</v>
      </c>
      <c r="AL3" s="13" t="s">
        <v>42</v>
      </c>
      <c r="AM3" s="13" t="s">
        <v>43</v>
      </c>
      <c r="AN3" s="13" t="s">
        <v>44</v>
      </c>
      <c r="AO3" s="13" t="s">
        <v>45</v>
      </c>
      <c r="AP3" s="13" t="s">
        <v>46</v>
      </c>
      <c r="AQ3" s="14" t="s">
        <v>47</v>
      </c>
      <c r="AR3" s="15" t="s">
        <v>48</v>
      </c>
      <c r="AS3" s="12" t="s">
        <v>36</v>
      </c>
      <c r="AT3" s="13" t="s">
        <v>37</v>
      </c>
      <c r="AU3" s="13" t="s">
        <v>38</v>
      </c>
      <c r="AV3" s="13" t="s">
        <v>39</v>
      </c>
      <c r="AW3" s="13" t="s">
        <v>40</v>
      </c>
      <c r="AX3" s="13" t="s">
        <v>41</v>
      </c>
      <c r="AY3" s="13" t="s">
        <v>42</v>
      </c>
      <c r="AZ3" s="16" t="s">
        <v>43</v>
      </c>
      <c r="BA3" s="17" t="s">
        <v>44</v>
      </c>
      <c r="BB3" s="17" t="s">
        <v>45</v>
      </c>
      <c r="BC3" s="17" t="s">
        <v>46</v>
      </c>
      <c r="BD3" s="18" t="s">
        <v>47</v>
      </c>
      <c r="BE3" s="19" t="s">
        <v>48</v>
      </c>
      <c r="BF3" s="12" t="s">
        <v>36</v>
      </c>
      <c r="BG3" s="13" t="s">
        <v>37</v>
      </c>
      <c r="BH3" s="13" t="s">
        <v>38</v>
      </c>
      <c r="BI3" s="13" t="s">
        <v>39</v>
      </c>
      <c r="BJ3" s="13" t="s">
        <v>40</v>
      </c>
      <c r="BK3" s="13" t="s">
        <v>41</v>
      </c>
      <c r="BL3" s="13" t="s">
        <v>42</v>
      </c>
      <c r="BM3" s="16" t="s">
        <v>43</v>
      </c>
      <c r="BN3" s="17" t="s">
        <v>44</v>
      </c>
      <c r="BO3" s="17" t="s">
        <v>45</v>
      </c>
      <c r="BP3" s="17" t="s">
        <v>46</v>
      </c>
      <c r="BQ3" s="20" t="s">
        <v>47</v>
      </c>
      <c r="BR3" s="15" t="s">
        <v>48</v>
      </c>
      <c r="BS3" s="12" t="s">
        <v>36</v>
      </c>
      <c r="BT3" s="13" t="s">
        <v>37</v>
      </c>
      <c r="BU3" s="13" t="s">
        <v>38</v>
      </c>
      <c r="BV3" s="13" t="s">
        <v>39</v>
      </c>
      <c r="BW3" s="13" t="s">
        <v>40</v>
      </c>
      <c r="BX3" s="13" t="s">
        <v>41</v>
      </c>
      <c r="BY3" s="13" t="s">
        <v>42</v>
      </c>
      <c r="BZ3" s="16" t="s">
        <v>43</v>
      </c>
      <c r="CA3" s="17" t="s">
        <v>44</v>
      </c>
      <c r="CB3" s="17" t="s">
        <v>45</v>
      </c>
      <c r="CC3" s="17" t="s">
        <v>46</v>
      </c>
      <c r="CD3" s="20" t="s">
        <v>47</v>
      </c>
      <c r="CE3" s="15" t="s">
        <v>48</v>
      </c>
      <c r="CF3" s="415" t="s">
        <v>36</v>
      </c>
      <c r="CG3" s="416"/>
      <c r="CH3" s="417" t="s">
        <v>37</v>
      </c>
      <c r="CI3" s="416"/>
      <c r="CJ3" s="417" t="s">
        <v>38</v>
      </c>
      <c r="CK3" s="416"/>
      <c r="CL3" s="417" t="s">
        <v>39</v>
      </c>
      <c r="CM3" s="416"/>
      <c r="CN3" s="418" t="s">
        <v>40</v>
      </c>
      <c r="CO3" s="419"/>
      <c r="CP3" s="418" t="s">
        <v>41</v>
      </c>
      <c r="CQ3" s="419"/>
      <c r="CR3" s="418" t="s">
        <v>42</v>
      </c>
      <c r="CS3" s="419"/>
      <c r="CT3" s="417" t="s">
        <v>43</v>
      </c>
      <c r="CU3" s="416"/>
      <c r="CV3" s="418" t="s">
        <v>44</v>
      </c>
      <c r="CW3" s="450"/>
      <c r="CX3" s="420" t="s">
        <v>45</v>
      </c>
      <c r="CY3" s="419"/>
      <c r="CZ3" s="418" t="s">
        <v>46</v>
      </c>
      <c r="DA3" s="419"/>
      <c r="DB3" s="418" t="s">
        <v>47</v>
      </c>
      <c r="DC3" s="419"/>
      <c r="DD3" s="418" t="s">
        <v>48</v>
      </c>
      <c r="DE3" s="421"/>
      <c r="DF3" s="21">
        <v>1.5</v>
      </c>
      <c r="DG3" s="22">
        <v>0.05</v>
      </c>
      <c r="DH3" s="23">
        <f>DF$3/(DF$3*(DF$3/(DF$3*(1+DG$3)))-1)</f>
        <v>3.5000000000000018</v>
      </c>
      <c r="DI3" s="24">
        <f>IF(LARGE(DI4:DI954,1)&gt;LARGE(DG4:DG954,1),LARGE(DI4:DI954,1)-LARGE(DG4:DG954,1))</f>
        <v>3.1269999999999953</v>
      </c>
      <c r="DJ3" s="25"/>
      <c r="DK3" s="26"/>
    </row>
    <row r="4" spans="1:115" ht="15" customHeight="1" x14ac:dyDescent="0.2">
      <c r="A4" s="388">
        <v>1</v>
      </c>
      <c r="B4" s="455" t="str">
        <f>IF(OR(C4="W",C5="W",C6="W",C4="1/2W",C5="1/2W",C6="1/2W",C4="1/2L",C5="1/2L",C6="1/2L"),"OK",IF(OR(C4="L",C5="L",C6="L"),"LOSS",IF(OR(C4="X",C5="X",C6="X"),"Anulado"," ")))</f>
        <v>Anulado</v>
      </c>
      <c r="C4" s="27" t="s">
        <v>49</v>
      </c>
      <c r="D4" s="373">
        <v>1</v>
      </c>
      <c r="E4" s="385" t="str">
        <f>IF(G4=""," ","– "&amp;COUNTIF(D$4:D6,$D4))</f>
        <v>– 1</v>
      </c>
      <c r="F4" s="397" t="str">
        <f ca="1">IF(G4="","",IF(OR(AND($C4&lt;&gt;" ",$C5=" "),AND($C5&lt;&gt;" ",$C4=" "),AND(L6&gt;0,OR(AND($C6&lt;&gt;" ",OR($C4=" ",$C5=" ")),AND($C6=" ",OR($C4&lt;&gt;" ",$C5&lt;&gt;" "))))),"???",IF(MONTH(G4)=MONTH(TODAY()),IF(AND(DAY(G4)&lt;DAY(TODAY()),$B4=" "),"???",IF($B4=" ",IF(AND(DAY(G4)=DAY(TODAY()),HOUR(G4)&lt;=HOUR(NOW())+1),IF(AND(HOUR(G4)+2&lt;=HOUR(NOW()),DAY(G4)&lt;=DAY(TODAY()),MINUTE(G4)&lt;=MINUTE(NOW())),"???",IF(OR(MINUTE(G4)&lt;=MINUTE(NOW()),HOUR(G4)&lt;=HOUR(NOW())),"!!!","")),""),"")),"")))</f>
        <v/>
      </c>
      <c r="G4" s="376">
        <v>44958.697916666664</v>
      </c>
      <c r="H4" s="528" t="s">
        <v>50</v>
      </c>
      <c r="I4" s="28" t="s">
        <v>51</v>
      </c>
      <c r="J4" s="29">
        <v>10</v>
      </c>
      <c r="K4" s="30" t="s">
        <v>43</v>
      </c>
      <c r="L4" s="31">
        <v>2.0299999999999998</v>
      </c>
      <c r="M4" s="32"/>
      <c r="N4" s="405">
        <v>0</v>
      </c>
      <c r="O4" s="33">
        <f>IF(OR(AE4="",AE5=""),"",ROUND(IF(L6&gt;0,IF(M4&gt;0,M4,IF(M5&gt;0,ROUND((M5*AE4)/AE5,IF(N4=0,2,IF(N4=0.1,1,0))),ROUND((M6*AE4)/AE6,IF(N4=0,2,IF(N4=0.1,1,0))))),IF(M4&gt;0,M4,ROUND((M5*AE4)/AE5,IF(N4=0,2,IF(N4=0.1,1,0))))),2))</f>
        <v>6.3</v>
      </c>
      <c r="P4" s="34">
        <f>IF(OR(L4="",O4=""),"",IF($C4="1/2W",O4/2+O4/2*L4,IF($C4="1/2L",O4/2,IF(I4="Lay",(O4*(L4/(L4-1))-O4)*(1-_xlfn.XLOOKUP(K4,'Fevereiro 2023 - Valor Real'!A3:A15,'Fevereiro 2023 - Valor Real'!C3:C15,0))+O4,(O4*L4-O4)*(1-_xlfn.XLOOKUP(K4,'Fevereiro 2023 - Valor Real'!A3:A15,'Fevereiro 2023 - Valor Real'!C3:C15,0))+O4))))</f>
        <v>12.788999999999998</v>
      </c>
      <c r="Q4" s="35">
        <v>1</v>
      </c>
      <c r="R4" s="36">
        <f>IF(K4="","",IF($C4=" ",1,0))</f>
        <v>0</v>
      </c>
      <c r="S4" s="402">
        <f>IF($B4="Anulado",0,ROUND(IF(OR($B4="LOSS",$B4="OK"),IF(OR($C4="W",$C4="1/2W",$C4="1/2L"),P4-O4,IF($C4="L",-O4,0))+IF(OR($C5="W",$C5="1/2W",$C5="1/2L"),P5-O5,IF($C5="L",-O5,0))+IF(OR($C6="W",$C6="1/2W",$C6="1/2L"),P6-O6,IF($C6="L",-O6,0)),IF(AND(OR($C4="W",$C4="1/2W",$C4="1/2L"),C5="W"),P4+P5-SUM(O4:O6)+_xlfn.XLOOKUP("X",C4:C6,O4:O6,0),IF(AND(C4=TRUE,C6="W"),P4+P6-SUM(O4:O6),IF(AND(C5="W",C6="W"),P5+P6-SUM(O4:O6)+_xlfn.XLOOKUP("X",C4:C6,O4:O6,0),IF(L6&gt;0,IF(OR($C4="W",$C4="1/2W",$C4="1/2L"),P4-SUM(O4:O6)+_xlfn.XLOOKUP("X",C4:C6,O4:O6,0),IF(OR($C4="W",$C4="1/2W",$C4="1/2L"),P5-SUM(O4:O6)+_xlfn.XLOOKUP("X",C4:C6,O4:O6,0),IF(OR($C4="W",$C4="1/2W",$C4="1/2L"),P6-SUM(O4:O6)+_xlfn.XLOOKUP("X",C4:C6,O4:O6,0),IF(SUM(P4:P6)/3-SUM(O4:O6)+_xlfn.XLOOKUP("X",C4:C6,O4:O6,0)&gt;0,SUM(P4:P6)/3-SUM(O4:O6)+_xlfn.XLOOKUP("X",C4:C6,O4:O6,0),LARGE(P4:P6,1)-SUM(O4:O6))))),IF(OR($C4="W",$C4="1/2W",$C4="1/2L"),P4-SUM(O4:O5)+_xlfn.XLOOKUP("X",C4:C6,O4:O6,0),IF(OR($C4="W",$C4="1/2W",$C4="1/2L"),P5-SUM(O4:O5)+_xlfn.XLOOKUP("X",C4:C6,O4:O6,0),SUM(P4:P5)/2-SUM(O4:O5)+_xlfn.XLOOKUP("X",C4:C6,O4:O6,0)))))))),2))</f>
        <v>0</v>
      </c>
      <c r="T4" s="379">
        <f>IF(S4=0,0,S4/SUM(O4:O6))</f>
        <v>0</v>
      </c>
      <c r="U4" s="381">
        <f>IF(OR($B4="LOSS",$B4="OK",$B4="Anulada"),S4,0)</f>
        <v>0</v>
      </c>
      <c r="V4" s="381">
        <f>IF($D4="",0,IF($B4=" ",IF(I6="",IF(OR(AND(I4="DNB1",I5="DNB2"),AND(OR(I4="DNB1",I4="DNB2"),J5=0),AND(OR(I5="DNB1",I5="DNB2"),J4=0),AND(I4="DNB2",I5="DNB1"),AND(IF(J4=0,(J4+1)/ROUND(J4+1,0),J4/ROUND(J4,0))=1,IF(J5=0,(J5+1)/ROUND(IF(J5="",0,J5)+1,0),IF(J5="",0,J5)/ROUND(IF(J5="",1,J5),0))=1,OR(J4&lt;&gt;""),J5&lt;&gt;"")),0,IF(S4&lt;0,IF(I6="",SMALL(P4:P5,1)-SUM(O4:O5),0),SMALL(P4:P5,1)-SUM(O4:O5))),IF(S4&lt;0,IF(I6="",SMALL(P4:P6,1)-SUM(O4:O6),0),LARGE(P4:P6,1)-SUM(O4:O6))),S4))</f>
        <v>0</v>
      </c>
      <c r="W4" s="381">
        <f>IF(S4&lt;0,IF(I6="",S4,0),S4)</f>
        <v>0</v>
      </c>
      <c r="X4" s="451" t="str">
        <f>IF(OR(SUM(R4:R6)=0,V4=W4),ROUND(IF(W4=0,0,W4/Y4)*100,2)&amp;"%",ROUND(IF(V4=0,0,V4/Y4)*100,2)&amp;"% a "&amp;ROUND(IF(W4=0,0,W4/Y4)*100,2)&amp;"%")</f>
        <v>0%</v>
      </c>
      <c r="Y4" s="382">
        <f>SUM(O4:O6)</f>
        <v>12.33</v>
      </c>
      <c r="Z4" s="381">
        <f>IF($B4=" ",SUM(O4:O6),0)</f>
        <v>0</v>
      </c>
      <c r="AA4" s="381">
        <f>IF($B4="Anulado",LARGE(P4:P6,1)-SUM(O4:O6),0)</f>
        <v>0.45899999999999785</v>
      </c>
      <c r="AB4" s="381">
        <f>S4</f>
        <v>0</v>
      </c>
      <c r="AC4" s="396">
        <f ca="1">IF($D4="","",IF($B4=" ",IF(DAY(G4)=DAY(TODAY()),1,0),0))</f>
        <v>0</v>
      </c>
      <c r="AD4" s="37"/>
      <c r="AE4" s="38">
        <f>IF(L4="","",IF(L6&gt;0,(SUM(((L4-1)*(1-_xlfn.XLOOKUP(K4,'Fevereiro 2023 - Valor Real'!A3:A15,'Fevereiro 2023 - Valor Real'!C3:C15,0))+1),((L5-1)*(1-_xlfn.XLOOKUP(K5,'Fevereiro 2023 - Valor Real'!A3:A15,'Fevereiro 2023 - Valor Real'!C3:C15,0))+1),((L6-1)*(1-_xlfn.XLOOKUP(K6,'Fevereiro 2023 - Valor Real'!A3:A15,'Fevereiro 2023 - Valor Real'!C3:C15,0))+1))/((L4-1)*(1-_xlfn.XLOOKUP(K4,'Fevereiro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Real'!C3:C15,0))+1))/((L4-1)*(1-_xlfn.XLOOKUP(K4,'Fevereiro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Real'!C3:C15,0))+1))/((L5-1)*(1-_xlfn.XLOOKUP(K5,'Fevereiro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Real'!C3:C15,0))+1))/((L6-1)*(1-_xlfn.XLOOKUP(K6,'Fevereiro 2023 - Valor Real'!A3:A15,'Fevereiro 2023 - Valor Real'!C3:C15,0))+1)),IF(I4="Lay",IF(I5="Lay",((L5/(L5-1)-1)*(1-_xlfn.XLOOKUP(K5,'Fevereiro 2023 - Valor Real'!A3:A15,'Fevereiro 2023 - Valor Real'!C3:C15,0))+1)/(((L5/(L5-1)-1)*(1-_xlfn.XLOOKUP(K5,'Fevereiro 2023 - Valor Real'!A3:A15,'Fevereiro 2023 - Valor Real'!C3:C15,0))+1)+((L4/(L4-1)-1)*(1-_xlfn.XLOOKUP(K4,'Fevereiro 2023 - Valor Real'!A3:A15,'Fevereiro 2023 - Valor Real'!C3:C15,0))+1)),((L5-1)*(1-_xlfn.XLOOKUP(K5,'Fevereiro 2023 - Valor Real'!A3:A15,'Fevereiro 2023 - Valor Real'!C3:C15,0))+1)/(((L5-1)*(1-_xlfn.XLOOKUP(K5,'Fevereiro 2023 - Valor Real'!A3:A15,'Fevereiro 2023 - Valor Real'!C3:C15,0))+1)+((L4/(L4-1)-1)*(1-_xlfn.XLOOKUP(K4,'Fevereiro 2023 - Valor Real'!A3:A15,'Fevereiro 2023 - Valor Real'!C3:C15,0))+1))),IF(I5="Lay",(((L5/(L5-1)-1)*(1-_xlfn.XLOOKUP(K5,'Fevereiro 2023 - Valor Real'!A3:A15,'Fevereiro 2023 - Valor Real'!C3:C15,0))+1))/(((L4-1)*(1-_xlfn.XLOOKUP(K4,'Fevereiro 2023 - Valor Real'!A3:A15,'Fevereiro 2023 - Valor Real'!C3:C15,0))+1)+((L5/(L5-1)-1)*(1-_xlfn.XLOOKUP(K5,'Fevereiro 2023 - Valor Real'!A3:A15,'Fevereiro 2023 - Valor Real'!C3:C15,0))+1)),((L5-1)*(1-_xlfn.XLOOKUP(K5,'Fevereiro 2023 - Valor Real'!A3:A15,'Fevereiro 2023 - Valor Real'!C3:C15,0))+1)/(((L5-1)*(1-_xlfn.XLOOKUP(K5,'Fevereiro 2023 - Valor Real'!A3:A15,'Fevereiro 2023 - Valor Real'!C3:C15,0))+1)+((L4-1)*(1-_xlfn.XLOOKUP(K4,'Fevereiro 2023 - Valor Real'!A3:A15,'Fevereiro 2023 - Valor Real'!C3:C15,0))+1))))))</f>
        <v>0.51084337349397591</v>
      </c>
      <c r="AF4" s="39">
        <f t="shared" ref="AF4:AR13" si="0">IF($K4=AF$3,ROUND(IF(OR($C4="W",$C4="1/2W",$C4="1/2L"),$P4-$O4,IF($C4="X",0,-$O4)),2),0)</f>
        <v>0</v>
      </c>
      <c r="AG4" s="40">
        <f t="shared" si="0"/>
        <v>0</v>
      </c>
      <c r="AH4" s="40">
        <f t="shared" si="0"/>
        <v>0</v>
      </c>
      <c r="AI4" s="40">
        <f t="shared" si="0"/>
        <v>0</v>
      </c>
      <c r="AJ4" s="40">
        <f t="shared" si="0"/>
        <v>0</v>
      </c>
      <c r="AK4" s="40">
        <f t="shared" si="0"/>
        <v>0</v>
      </c>
      <c r="AL4" s="40">
        <f t="shared" si="0"/>
        <v>0</v>
      </c>
      <c r="AM4" s="40">
        <f t="shared" si="0"/>
        <v>0</v>
      </c>
      <c r="AN4" s="40">
        <f t="shared" si="0"/>
        <v>0</v>
      </c>
      <c r="AO4" s="40">
        <f t="shared" si="0"/>
        <v>0</v>
      </c>
      <c r="AP4" s="40">
        <f t="shared" si="0"/>
        <v>0</v>
      </c>
      <c r="AQ4" s="40">
        <f t="shared" si="0"/>
        <v>0</v>
      </c>
      <c r="AR4" s="41">
        <f t="shared" si="0"/>
        <v>0</v>
      </c>
      <c r="AS4" s="39">
        <f t="shared" ref="AS4:BE4" si="1">IF(AND($B4=" ",$K4=AS$3),$O4,0)</f>
        <v>0</v>
      </c>
      <c r="AT4" s="40">
        <f t="shared" si="1"/>
        <v>0</v>
      </c>
      <c r="AU4" s="40">
        <f t="shared" si="1"/>
        <v>0</v>
      </c>
      <c r="AV4" s="40">
        <f t="shared" si="1"/>
        <v>0</v>
      </c>
      <c r="AW4" s="40">
        <f t="shared" si="1"/>
        <v>0</v>
      </c>
      <c r="AX4" s="40">
        <f t="shared" si="1"/>
        <v>0</v>
      </c>
      <c r="AY4" s="40">
        <f t="shared" si="1"/>
        <v>0</v>
      </c>
      <c r="AZ4" s="42">
        <f t="shared" si="1"/>
        <v>0</v>
      </c>
      <c r="BA4" s="43">
        <f t="shared" si="1"/>
        <v>0</v>
      </c>
      <c r="BB4" s="43">
        <f t="shared" si="1"/>
        <v>0</v>
      </c>
      <c r="BC4" s="44">
        <f t="shared" si="1"/>
        <v>0</v>
      </c>
      <c r="BD4" s="40">
        <f t="shared" si="1"/>
        <v>0</v>
      </c>
      <c r="BE4" s="41">
        <f t="shared" si="1"/>
        <v>0</v>
      </c>
      <c r="BF4" s="45">
        <f t="shared" ref="BF4:BR13" si="2">IF($K4=BF$3,IF($C4="X",0,$O4),0)</f>
        <v>0</v>
      </c>
      <c r="BG4" s="43">
        <f t="shared" si="2"/>
        <v>0</v>
      </c>
      <c r="BH4" s="43">
        <f t="shared" si="2"/>
        <v>0</v>
      </c>
      <c r="BI4" s="43">
        <f t="shared" si="2"/>
        <v>0</v>
      </c>
      <c r="BJ4" s="43">
        <f t="shared" si="2"/>
        <v>0</v>
      </c>
      <c r="BK4" s="43">
        <f t="shared" si="2"/>
        <v>0</v>
      </c>
      <c r="BL4" s="43">
        <f t="shared" si="2"/>
        <v>0</v>
      </c>
      <c r="BM4" s="46">
        <f t="shared" si="2"/>
        <v>0</v>
      </c>
      <c r="BN4" s="46">
        <f t="shared" si="2"/>
        <v>0</v>
      </c>
      <c r="BO4" s="46">
        <f t="shared" si="2"/>
        <v>0</v>
      </c>
      <c r="BP4" s="46">
        <f t="shared" si="2"/>
        <v>0</v>
      </c>
      <c r="BQ4" s="44">
        <f t="shared" si="2"/>
        <v>0</v>
      </c>
      <c r="BR4" s="41">
        <f t="shared" si="2"/>
        <v>0</v>
      </c>
      <c r="BS4" s="393">
        <f>IF($B4="LOSS",IF(AND($K4=BS$3,$C4="L"),-$O4,0)+IF(AND($K5=BS$3,$C5="L"),-$O5,0)+IF(AND($K6=BS$3,$C6="L"),-$O6,0),IF(OR(AND($K4=BS$3,OR($C4="W",$C4="1/2W")),AND($K5=BS$3,OR($C5="W",$C5="1/2W")),AND($K6=BS$3,OR($C6="W",$C6="1/2W"))),$S4,0))</f>
        <v>0</v>
      </c>
      <c r="BT4" s="391">
        <f>IF($B4="LOSS",IF(AND($K4=BT$3,$C4="L"),-$O4,0)+IF(AND($K5=BT$3,$C5="L"),-$O5,0)+IF(AND($K5=BT$3,$C6="L"),-$O6,0),IF(OR(AND($K5=BT$3,OR($C4="W",$C4="1/2W")),AND($K5=BT$3,OR($C5="W",$C5="1/2W")),AND($K5=BT$3,OR($C6="W",$C6="1/2W"))),$S4,0))</f>
        <v>0</v>
      </c>
      <c r="BU4" s="391">
        <f>IF($B4="LOSS",IF(AND($K4=BU$3,$C4="L"),-$O4,0)+IF(AND($K5=BU$3,$C5="L"),-$O5,0)+IF(AND($K5=BU$3,$C6="L"),-$O6,0),IF(OR(AND($K5=BU$3,OR($C4="W",$C4="1/2W")),AND($K5=BU$3,OR($C5="W",$C5="1/2W")),AND($K5=BU$3,OR($C6="W",$C6="1/2W"))),$S4,0))</f>
        <v>0</v>
      </c>
      <c r="BV4" s="391">
        <f t="shared" ref="BV4:CE4" si="3">IF($B4="LOSS",IF(AND($K4=BV$3,$C4="L"),-$O4,0)+IF(AND($K5=BV$3,$C5="L"),-$O5,0)+IF(AND($K6=BV$3,$C6="L"),-$O6,0),IF(OR(AND($K4=BV$3,OR($C4="W",$C4="1/2W")),AND($K5=BV$3,OR($C5="W",$C5="1/2W")),AND($K6=BV$3,OR($C6="W",$C6="1/2W"))),$S4,0))</f>
        <v>0</v>
      </c>
      <c r="BW4" s="391">
        <f t="shared" si="3"/>
        <v>0</v>
      </c>
      <c r="BX4" s="391">
        <f t="shared" si="3"/>
        <v>0</v>
      </c>
      <c r="BY4" s="391">
        <f t="shared" si="3"/>
        <v>0</v>
      </c>
      <c r="BZ4" s="391">
        <f t="shared" si="3"/>
        <v>0</v>
      </c>
      <c r="CA4" s="391">
        <f t="shared" si="3"/>
        <v>0</v>
      </c>
      <c r="CB4" s="391">
        <f t="shared" si="3"/>
        <v>0</v>
      </c>
      <c r="CC4" s="391">
        <f t="shared" si="3"/>
        <v>0</v>
      </c>
      <c r="CD4" s="400">
        <f t="shared" si="3"/>
        <v>0</v>
      </c>
      <c r="CE4" s="408">
        <f t="shared" si="3"/>
        <v>0</v>
      </c>
      <c r="CF4" s="47">
        <f t="shared" ref="CF4:CF67" si="4">IF(CF$3=$K4,IF($C4="W",1,IF($C4="1/2W",0.5,0)),0)</f>
        <v>0</v>
      </c>
      <c r="CG4" s="48">
        <f t="shared" ref="CG4:CG67" si="5">IF(CF$3=$K4,IF($C4="L",1,IF($C4="1/2L",0.5,0)),0)</f>
        <v>0</v>
      </c>
      <c r="CH4" s="49">
        <f t="shared" ref="CH4:CH67" si="6">IF(CH$3=$K4,IF($C4="W",1,IF($C4="1/2W",0.5,0)),0)</f>
        <v>0</v>
      </c>
      <c r="CI4" s="48">
        <f t="shared" ref="CI4:CI67" si="7">IF(CH$3=$K4,IF($C4="L",1,IF($C4="1/2L",0.5,0)),0)</f>
        <v>0</v>
      </c>
      <c r="CJ4" s="49">
        <f t="shared" ref="CJ4:CJ67" si="8">IF(CJ$3=$K4,IF($C4="W",1,IF($C4="1/2W",0.5,0)),0)</f>
        <v>0</v>
      </c>
      <c r="CK4" s="48">
        <f t="shared" ref="CK4:CK67" si="9">IF(CJ$3=$K4,IF($C4="L",1,IF($C4="1/2L",0.5,0)),0)</f>
        <v>0</v>
      </c>
      <c r="CL4" s="49">
        <f t="shared" ref="CL4:CL67" si="10">IF(CL$3=$K4,IF($C4="W",1,IF($C4="1/2W",0.5,0)),0)</f>
        <v>0</v>
      </c>
      <c r="CM4" s="50">
        <f t="shared" ref="CM4:CM67" si="11">IF(CL$3=$K4,IF($C4="L",1,IF($C4="1/2L",0.5,0)),0)</f>
        <v>0</v>
      </c>
      <c r="CN4" s="50">
        <f t="shared" ref="CN4:CN67" si="12">IF(CN$3=$K4,IF($C4="W",1,IF($C4="1/2W",0.5,0)),0)</f>
        <v>0</v>
      </c>
      <c r="CO4" s="50">
        <f t="shared" ref="CO4:CO67" si="13">IF(CN$3=$K4,IF($C4="L",1,IF($C4="1/2L",0.5,0)),0)</f>
        <v>0</v>
      </c>
      <c r="CP4" s="50">
        <f t="shared" ref="CP4:CP67" si="14">IF(CP$3=$K4,IF($C4="W",1,IF($C4="1/2W",0.5,0)),0)</f>
        <v>0</v>
      </c>
      <c r="CQ4" s="50">
        <f t="shared" ref="CQ4:CQ67" si="15">IF(CP$3=$K4,IF($C4="L",1,IF($C4="1/2L",0.5,0)),0)</f>
        <v>0</v>
      </c>
      <c r="CR4" s="50">
        <f t="shared" ref="CR4:CR67" si="16">IF(CR$3=$K4,IF($C4="W",1,IF($C4="1/2W",0.5,0)),0)</f>
        <v>0</v>
      </c>
      <c r="CS4" s="50">
        <f t="shared" ref="CS4:CS67" si="17">IF(CR$3=$K4,IF($C4="L",1,IF($C4="1/2L",0.5,0)),0)</f>
        <v>0</v>
      </c>
      <c r="CT4" s="50">
        <f t="shared" ref="CT4:CT67" si="18">IF(CT$3=$K4,IF($C4="W",1,IF($C4="1/2W",0.5,0)),0)</f>
        <v>0</v>
      </c>
      <c r="CU4" s="50">
        <f t="shared" ref="CU4:CU67" si="19">IF(CT$3=$K4,IF($C4="L",1,IF($C4="1/2L",0.5,0)),0)</f>
        <v>0</v>
      </c>
      <c r="CV4" s="50">
        <f t="shared" ref="CV4:CV67" si="20">IF(CV$3=$K4,IF($C4="W",1,IF($C4="1/2W",0.5,0)),0)</f>
        <v>0</v>
      </c>
      <c r="CW4" s="50">
        <f t="shared" ref="CW4:CW67" si="21">IF(CV$3=$K4,IF($C4="L",1,IF($C4="1/2L",0.5,0)),0)</f>
        <v>0</v>
      </c>
      <c r="CX4" s="50">
        <f t="shared" ref="CX4:CX67" si="22">IF(CX$3=$K4,IF($C4="W",1,IF($C4="1/2W",0.5,0)),0)</f>
        <v>0</v>
      </c>
      <c r="CY4" s="50">
        <f t="shared" ref="CY4:CY67" si="23">IF(CX$3=$K4,IF($C4="L",1,IF($C4="1/2L",0.5,0)),0)</f>
        <v>0</v>
      </c>
      <c r="CZ4" s="50">
        <f t="shared" ref="CZ4:CZ67" si="24">IF(CZ$3=$K4,IF($C4="W",1,IF($C4="1/2W",0.5,0)),0)</f>
        <v>0</v>
      </c>
      <c r="DA4" s="50">
        <f t="shared" ref="DA4:DA67" si="25">IF(CZ$3=$K4,IF($C4="L",1,IF($C4="1/2L",0.5,0)),0)</f>
        <v>0</v>
      </c>
      <c r="DB4" s="50">
        <f t="shared" ref="DB4:DB67" si="26">IF(DB$3=$K4,IF($C4="W",1,IF($C4="1/2W",0.5,0)),0)</f>
        <v>0</v>
      </c>
      <c r="DC4" s="50">
        <f t="shared" ref="DC4:DC67" si="27">IF(DB$3=$K4,IF($C4="L",1,IF($C4="1/2L",0.5,0)),0)</f>
        <v>0</v>
      </c>
      <c r="DD4" s="50">
        <f t="shared" ref="DD4:DD67" si="28">IF(DD$3=$K4,IF($C4="W",1,IF($C4="1/2W",0.5,0)),0)</f>
        <v>0</v>
      </c>
      <c r="DE4" s="51">
        <f t="shared" ref="DE4:DE67" si="29">IF(DD$3=$K4,IF($C4="L",1,IF($C4="1/2L",0.5,0)),0)</f>
        <v>0</v>
      </c>
      <c r="DF4" s="47">
        <f>IF(AND(L4&lt;DF$3,$C4="W"),1,0)</f>
        <v>0</v>
      </c>
      <c r="DG4" s="40">
        <f>IF(DF4&gt;DF3,L4,0)</f>
        <v>0</v>
      </c>
      <c r="DH4" s="50">
        <f>IF(AND(L4&gt;DH$3,$C4="W"),1,0)</f>
        <v>0</v>
      </c>
      <c r="DI4" s="40">
        <f>IF(DH4&gt;DH3,L4,0)</f>
        <v>0</v>
      </c>
      <c r="DJ4" s="52">
        <f>IF($D4="","",$D4)</f>
        <v>1</v>
      </c>
      <c r="DK4" s="395">
        <f>IF(AND($B4=" ",$D4&lt;&gt;""),1,0)</f>
        <v>0</v>
      </c>
    </row>
    <row r="5" spans="1:115" ht="14.5" customHeight="1" x14ac:dyDescent="0.2">
      <c r="A5" s="389"/>
      <c r="B5" s="456"/>
      <c r="C5" s="53" t="s">
        <v>49</v>
      </c>
      <c r="D5" s="374"/>
      <c r="E5" s="386"/>
      <c r="F5" s="398"/>
      <c r="G5" s="377"/>
      <c r="H5" s="476"/>
      <c r="I5" s="55" t="s">
        <v>52</v>
      </c>
      <c r="J5" s="56">
        <f>IF(OR(I4="TO",I4="TU",I4="TO1",I4="TU1",I4="TO2",I4="TU2"),J4,IF(OR(I4="AH1",I4="AH2"),IF(OR(I5="AH1",I5="AH2"),-J4,IF(OR(I5="EH1",I5="EH2"),-J4+0.5,"")),IF(OR(I4="EH1",I4="EH2"),IF(OR(I5="AH1",I5="AH2"),-J4+0.5,IF(OR(I5="EH1",I5="EH2"),-J4+1,"")),IF(AND(OR(I4="DNB1",I4="DNB2"),OR(I5="AH1",I5="AH2")),0,IF(AND(I4="Not ScoreBoth",OR(I5="TO1",I5="TO2")),0.5,"")))))</f>
        <v>10</v>
      </c>
      <c r="K5" s="57" t="s">
        <v>40</v>
      </c>
      <c r="L5" s="58">
        <v>2.12</v>
      </c>
      <c r="M5" s="59">
        <v>6.03</v>
      </c>
      <c r="N5" s="406"/>
      <c r="O5" s="60">
        <f>IF(OR(AE4="",AE5=""),"",ROUND(IF(L6&gt;0,IF(M5&gt;0,M5,IF(M4&gt;0,IF(N4=TRUE,ROUND((M4*AE5)/AE4,0),(M4*AE5)/AE4),IF(M5&gt;0,ROUND(M5,IF(N4=0,2,IF(N4=0.1,1,0))),IF(M6&gt;0,ROUND(O6*AE5/AE6,IF(N4=0,2,IF(N4=0.1,1,0))),0)))),IF(M5&gt;0,M5,ROUND((M4*AE5)/AE4,IF(N4=0,2,IF(N4=0.1,1,0))))),2))</f>
        <v>6.03</v>
      </c>
      <c r="P5" s="61">
        <f>IF(OR(L5="",O5=""),"",IF($C5="1/2W",O5/2+O5/2*L5,IF($C5="1/2L",O5/2,IF(I5="Lay",((O5*(L5/(L5-1)))-O5)*(1-_xlfn.XLOOKUP(K5,'Fevereiro 2023 - Valor Real'!A3:A15,'Fevereiro 2023 - Valor Real'!C3:C15,0))+O5,(O5*L5-O5)*(1-_xlfn.XLOOKUP(K5,'Fevereiro 2023 - Valor Real'!A3:A15,'Fevereiro 2023 - Valor Real'!C3:C15,0))+O5))))</f>
        <v>12.783600000000002</v>
      </c>
      <c r="Q5" s="62">
        <f>IF(K5="","",IF(_xlfn.XLOOKUP(K5,K$4:K4,$DJ$4:DJ4,0,,-1)=DJ5,_xlfn.XLOOKUP(K5,K$4:K4,Q$4:Q4,1,,-1)+1,1))</f>
        <v>1</v>
      </c>
      <c r="R5" s="63">
        <f>IF(K5="","",_xlfn.XLOOKUP(K5,K$4:K4,R$4:R4,0,,-1)+IF($C5=" ",1,0))</f>
        <v>0</v>
      </c>
      <c r="S5" s="403"/>
      <c r="T5" s="380"/>
      <c r="U5" s="380"/>
      <c r="V5" s="380"/>
      <c r="W5" s="380"/>
      <c r="X5" s="452"/>
      <c r="Y5" s="383"/>
      <c r="Z5" s="384"/>
      <c r="AA5" s="384"/>
      <c r="AB5" s="384"/>
      <c r="AC5" s="384"/>
      <c r="AD5" s="64"/>
      <c r="AE5" s="65">
        <f>IF(L5="","",IF(L6&gt;0,(SUM(((L4-1)*(1-_xlfn.XLOOKUP(K4,'Fevereiro 2023 - Valor Real'!A3:A15,'Fevereiro 2023 - Valor Real'!C3:C15,0))+1),((L5-1)*(1-_xlfn.XLOOKUP(K5,'Fevereiro 2023 - Valor Real'!A3:A15,'Fevereiro 2023 - Valor Real'!C3:C15,0))+1),((L6-1)*(1-_xlfn.XLOOKUP(K6,'Fevereiro 2023 - Valor Real'!A3:A15,'Fevereiro 2023 - Valor Real'!C3:C15,0))+1))/((L5-1)*(1-_xlfn.XLOOKUP(K5,'Fevereiro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Real'!C3:C15,0))+1))/((L4-1)*(1-_xlfn.XLOOKUP(K4,'Fevereiro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Real'!C3:C15,0))+1))/((L5-1)*(1-_xlfn.XLOOKUP(K5,'Fevereiro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Real'!C3:C15,0))+1))/((L6-1)*(1-_xlfn.XLOOKUP(K6,'Fevereiro 2023 - Valor Real'!A3:A15,'Fevereiro 2023 - Valor Real'!C3:C15,0))+1)),IF(I5="Lay",IF(I4="Lay",((L4/(L4-1)-1)*(1-_xlfn.XLOOKUP(K4,'Fevereiro 2023 - Valor Real'!A3:A15,'Fevereiro 2023 - Valor Real'!C3:C15,0))+1)/(((L4/(L4-1)-1)*(1-_xlfn.XLOOKUP(K4,'Fevereiro 2023 - Valor Real'!A3:A15,'Fevereiro 2023 - Valor Real'!C3:C15,0))+1)+((L5/(L5-1)-1)*(1-_xlfn.XLOOKUP(K5,'Fevereiro 2023 - Valor Real'!A3:A15,'Fevereiro 2023 - Valor Real'!C3:C15,0))+1)),((L4-1)*(1-_xlfn.XLOOKUP(K4,'Fevereiro 2023 - Valor Real'!A3:A15,'Fevereiro 2023 - Valor Real'!C3:C15,0))+1)/(((L4-1)*(1-_xlfn.XLOOKUP(K4,'Fevereiro 2023 - Valor Real'!A3:A15,'Fevereiro 2023 - Valor Real'!C3:C15,0))+1)+((L5/(L5-1)-1)*(1-_xlfn.XLOOKUP(K5,'Fevereiro 2023 - Valor Real'!A3:A15,'Fevereiro 2023 - Valor Real'!C3:C15,0))+1))),IF(I4="Lay",((L4/(L4-1)-1)*(1-_xlfn.XLOOKUP(K4,'Fevereiro 2023 - Valor Real'!A3:A15,'Fevereiro 2023 - Valor Real'!C3:C15,0))+1)/((((L4/(L4-1)-1)*(1-_xlfn.XLOOKUP(K4,'Fevereiro 2023 - Valor Real'!A3:A15,'Fevereiro 2023 - Valor Real'!C3:C15,0))+1))+((L5-1)*(1-_xlfn.XLOOKUP(K5,'Fevereiro 2023 - Valor Real'!A3:A15,'Fevereiro 2023 - Valor Real'!C3:C15,0))+1)),((L4-1)*(1-_xlfn.XLOOKUP(K4,'Fevereiro 2023 - Valor Real'!A3:A15,'Fevereiro 2023 - Valor Real'!C3:C15,0))+1)/(((L4-1)*(1-_xlfn.XLOOKUP(K4,'Fevereiro 2023 - Valor Real'!A3:A15,'Fevereiro 2023 - Valor Real'!C3:C15,0))+1)+((L5-1)*(1-_xlfn.XLOOKUP(K5,'Fevereiro 2023 - Valor Real'!A3:A15,'Fevereiro 2023 - Valor Real'!C3:C15,0))+1))))))</f>
        <v>0.48915662650602398</v>
      </c>
      <c r="AF5" s="66">
        <f t="shared" si="0"/>
        <v>0</v>
      </c>
      <c r="AG5" s="67">
        <f t="shared" si="0"/>
        <v>0</v>
      </c>
      <c r="AH5" s="67">
        <f t="shared" si="0"/>
        <v>0</v>
      </c>
      <c r="AI5" s="67">
        <f t="shared" si="0"/>
        <v>0</v>
      </c>
      <c r="AJ5" s="67">
        <f t="shared" si="0"/>
        <v>0</v>
      </c>
      <c r="AK5" s="67">
        <f t="shared" si="0"/>
        <v>0</v>
      </c>
      <c r="AL5" s="67">
        <f t="shared" si="0"/>
        <v>0</v>
      </c>
      <c r="AM5" s="67">
        <f t="shared" si="0"/>
        <v>0</v>
      </c>
      <c r="AN5" s="67">
        <f t="shared" si="0"/>
        <v>0</v>
      </c>
      <c r="AO5" s="67">
        <f t="shared" si="0"/>
        <v>0</v>
      </c>
      <c r="AP5" s="67">
        <f t="shared" si="0"/>
        <v>0</v>
      </c>
      <c r="AQ5" s="67">
        <f t="shared" si="0"/>
        <v>0</v>
      </c>
      <c r="AR5" s="68">
        <f t="shared" si="0"/>
        <v>0</v>
      </c>
      <c r="AS5" s="66">
        <f>IF(AND($B4=" ",$K5=AS$3),$O5,0)</f>
        <v>0</v>
      </c>
      <c r="AT5" s="67">
        <f>IF(AND($B4=" ",K5=AT$3),$O5,0)</f>
        <v>0</v>
      </c>
      <c r="AU5" s="67">
        <f t="shared" ref="AU5:BE5" si="30">IF(AND($B4=" ",$K5=AU$3),$O5,0)</f>
        <v>0</v>
      </c>
      <c r="AV5" s="67">
        <f t="shared" si="30"/>
        <v>0</v>
      </c>
      <c r="AW5" s="67">
        <f t="shared" si="30"/>
        <v>0</v>
      </c>
      <c r="AX5" s="67">
        <f t="shared" si="30"/>
        <v>0</v>
      </c>
      <c r="AY5" s="67">
        <f t="shared" si="30"/>
        <v>0</v>
      </c>
      <c r="AZ5" s="69">
        <f t="shared" si="30"/>
        <v>0</v>
      </c>
      <c r="BA5" s="70">
        <f t="shared" si="30"/>
        <v>0</v>
      </c>
      <c r="BB5" s="70">
        <f t="shared" si="30"/>
        <v>0</v>
      </c>
      <c r="BC5" s="71">
        <f t="shared" si="30"/>
        <v>0</v>
      </c>
      <c r="BD5" s="67">
        <f t="shared" si="30"/>
        <v>0</v>
      </c>
      <c r="BE5" s="68">
        <f t="shared" si="30"/>
        <v>0</v>
      </c>
      <c r="BF5" s="72">
        <f t="shared" si="2"/>
        <v>0</v>
      </c>
      <c r="BG5" s="70">
        <f t="shared" si="2"/>
        <v>0</v>
      </c>
      <c r="BH5" s="70">
        <f t="shared" si="2"/>
        <v>0</v>
      </c>
      <c r="BI5" s="70">
        <f t="shared" si="2"/>
        <v>0</v>
      </c>
      <c r="BJ5" s="70">
        <f t="shared" si="2"/>
        <v>0</v>
      </c>
      <c r="BK5" s="70">
        <f t="shared" si="2"/>
        <v>0</v>
      </c>
      <c r="BL5" s="70">
        <f t="shared" si="2"/>
        <v>0</v>
      </c>
      <c r="BM5" s="70">
        <f t="shared" si="2"/>
        <v>0</v>
      </c>
      <c r="BN5" s="70">
        <f t="shared" si="2"/>
        <v>0</v>
      </c>
      <c r="BO5" s="70">
        <f t="shared" si="2"/>
        <v>0</v>
      </c>
      <c r="BP5" s="70">
        <f t="shared" si="2"/>
        <v>0</v>
      </c>
      <c r="BQ5" s="71">
        <f t="shared" si="2"/>
        <v>0</v>
      </c>
      <c r="BR5" s="68">
        <f t="shared" si="2"/>
        <v>0</v>
      </c>
      <c r="BS5" s="394"/>
      <c r="BT5" s="392"/>
      <c r="BU5" s="392"/>
      <c r="BV5" s="392"/>
      <c r="BW5" s="392"/>
      <c r="BX5" s="392"/>
      <c r="BY5" s="392"/>
      <c r="BZ5" s="392"/>
      <c r="CA5" s="392"/>
      <c r="CB5" s="392"/>
      <c r="CC5" s="392"/>
      <c r="CD5" s="401"/>
      <c r="CE5" s="409"/>
      <c r="CF5" s="73">
        <f t="shared" si="4"/>
        <v>0</v>
      </c>
      <c r="CG5" s="74">
        <f t="shared" si="5"/>
        <v>0</v>
      </c>
      <c r="CH5" s="75">
        <f t="shared" si="6"/>
        <v>0</v>
      </c>
      <c r="CI5" s="74">
        <f t="shared" si="7"/>
        <v>0</v>
      </c>
      <c r="CJ5" s="75">
        <f t="shared" si="8"/>
        <v>0</v>
      </c>
      <c r="CK5" s="74">
        <f t="shared" si="9"/>
        <v>0</v>
      </c>
      <c r="CL5" s="75">
        <f t="shared" si="10"/>
        <v>0</v>
      </c>
      <c r="CM5" s="76">
        <f t="shared" si="11"/>
        <v>0</v>
      </c>
      <c r="CN5" s="76">
        <f t="shared" si="12"/>
        <v>0</v>
      </c>
      <c r="CO5" s="76">
        <f t="shared" si="13"/>
        <v>0</v>
      </c>
      <c r="CP5" s="76">
        <f t="shared" si="14"/>
        <v>0</v>
      </c>
      <c r="CQ5" s="76">
        <f t="shared" si="15"/>
        <v>0</v>
      </c>
      <c r="CR5" s="76">
        <f t="shared" si="16"/>
        <v>0</v>
      </c>
      <c r="CS5" s="76">
        <f t="shared" si="17"/>
        <v>0</v>
      </c>
      <c r="CT5" s="76">
        <f t="shared" si="18"/>
        <v>0</v>
      </c>
      <c r="CU5" s="76">
        <f t="shared" si="19"/>
        <v>0</v>
      </c>
      <c r="CV5" s="76">
        <f t="shared" si="20"/>
        <v>0</v>
      </c>
      <c r="CW5" s="76">
        <f t="shared" si="21"/>
        <v>0</v>
      </c>
      <c r="CX5" s="76">
        <f t="shared" si="22"/>
        <v>0</v>
      </c>
      <c r="CY5" s="76">
        <f t="shared" si="23"/>
        <v>0</v>
      </c>
      <c r="CZ5" s="76">
        <f t="shared" si="24"/>
        <v>0</v>
      </c>
      <c r="DA5" s="76">
        <f t="shared" si="25"/>
        <v>0</v>
      </c>
      <c r="DB5" s="76">
        <f t="shared" si="26"/>
        <v>0</v>
      </c>
      <c r="DC5" s="76">
        <f t="shared" si="27"/>
        <v>0</v>
      </c>
      <c r="DD5" s="76">
        <f t="shared" si="28"/>
        <v>0</v>
      </c>
      <c r="DE5" s="77">
        <f t="shared" si="29"/>
        <v>0</v>
      </c>
      <c r="DF5" s="73">
        <f t="shared" ref="DF5:DF68" si="31">IF(AND(L5&lt;DF$3,$C5="W"),1+DF4,DF4)</f>
        <v>0</v>
      </c>
      <c r="DG5" s="67">
        <f t="shared" ref="DG5:DG68" si="32">IF(DF5&gt;DF4,L5+DG4,DG4)</f>
        <v>0</v>
      </c>
      <c r="DH5" s="76">
        <f t="shared" ref="DH5:DH68" si="33">IF(AND(L5&gt;DH$3,$C5="W"),1+DH4,0+DH4)</f>
        <v>0</v>
      </c>
      <c r="DI5" s="67">
        <f t="shared" ref="DI5:DI68" si="34">IF(DH5&gt;DH4,L5+DI4,DI4)</f>
        <v>0</v>
      </c>
      <c r="DJ5" s="78">
        <f>IF($D4="","",$D4)</f>
        <v>1</v>
      </c>
      <c r="DK5" s="384"/>
    </row>
    <row r="6" spans="1:115" ht="14.5" customHeight="1" x14ac:dyDescent="0.2">
      <c r="A6" s="390"/>
      <c r="B6" s="457"/>
      <c r="C6" s="79" t="s">
        <v>53</v>
      </c>
      <c r="D6" s="375"/>
      <c r="E6" s="387"/>
      <c r="F6" s="399"/>
      <c r="G6" s="378"/>
      <c r="H6" s="477"/>
      <c r="I6" s="82"/>
      <c r="J6" s="83"/>
      <c r="K6" s="81"/>
      <c r="L6" s="84"/>
      <c r="M6" s="85"/>
      <c r="N6" s="407"/>
      <c r="O6" s="86" t="str">
        <f>IF(OR(AE4="",AE5=""),"",IF(L6&gt;0,ROUND(IF(M6&gt;0,M6,IF(M4&gt;0,ROUND((M4*AE6)/AE4,IF(N4=0,2,IF(N4=0.1,1,0))),IF(M5&gt;0,ROUND((M5*AE6)/AE5,IF(N4=0,2,IF(N4=0.1,1,0))),IF(M6&gt;0,M6,0)))),2),""))</f>
        <v/>
      </c>
      <c r="P6" s="87" t="str">
        <f>IF(I5="Lay",O5*(L5/(L5-1))-O5,IF(I4="Lay",O4*(L4/(L4-1))-O4,IF(OR(L6="",O6=""),"",IF($C6="1/2W",O6/2+O6/2*L6,IF($C6="1/2L",O6/2,(O6*L6-O6)*(1-_xlfn.XLOOKUP(K6,'Fevereiro 2023 - Valor Real'!A3:A15,'Fevereiro 2023 - Valor Real'!C3:C15,0))+O6)))))</f>
        <v/>
      </c>
      <c r="Q6" s="88" t="str">
        <f>IF(K6="","",IF(_xlfn.XLOOKUP(K6,K$4:K5,$DJ$4:DJ5,0,,-1)=DJ6,_xlfn.XLOOKUP(K6,K$4:K5,Q$4:Q5,1,,-1)+1,1))</f>
        <v/>
      </c>
      <c r="R6" s="89" t="str">
        <f>IF(K6="","",_xlfn.XLOOKUP(K6,K$4:K5,R$4:R5,0,,-1)+IF($C6=" ",1,0))</f>
        <v/>
      </c>
      <c r="S6" s="404"/>
      <c r="T6" s="378"/>
      <c r="U6" s="378"/>
      <c r="V6" s="378"/>
      <c r="W6" s="378"/>
      <c r="X6" s="453"/>
      <c r="Y6" s="383"/>
      <c r="Z6" s="384"/>
      <c r="AA6" s="384"/>
      <c r="AB6" s="384"/>
      <c r="AC6" s="384"/>
      <c r="AD6" s="90"/>
      <c r="AE6" s="91" t="str">
        <f>IF(L6="","",(SUM(((L4-1)*(1-_xlfn.XLOOKUP(K4,'Fevereiro 2023 - Valor Real'!A3:A15,'Fevereiro 2023 - Valor Real'!C3:C15,0))+1),((L5-1)*(1-_xlfn.XLOOKUP(K5,'Fevereiro 2023 - Valor Real'!A3:A15,'Fevereiro 2023 - Valor Real'!C3:C15,0))+1),((L6-1)*(1-_xlfn.XLOOKUP(K6,'Fevereiro 2023 - Valor Real'!A3:A15,'Fevereiro 2023 - Valor Real'!C3:C15,0))+1))/((L6-1)*(1-_xlfn.XLOOKUP(K6,'Fevereiro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Real'!C3:C15,0))+1))/((L4-1)*(1-_xlfn.XLOOKUP(K4,'Fevereiro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Real'!C3:C15,0))+1))/((L5-1)*(1-_xlfn.XLOOKUP(K5,'Fevereiro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Real'!C3:C15,0))+1))/((L6-1)*(1-_xlfn.XLOOKUP(K6,'Fevereiro 2023 - Valor Real'!A3:A15,'Fevereiro 2023 - Valor Real'!C3:C15,0))+1)))</f>
        <v/>
      </c>
      <c r="AF6" s="66">
        <f t="shared" si="0"/>
        <v>0</v>
      </c>
      <c r="AG6" s="67">
        <f t="shared" si="0"/>
        <v>0</v>
      </c>
      <c r="AH6" s="67">
        <f t="shared" si="0"/>
        <v>0</v>
      </c>
      <c r="AI6" s="67">
        <f t="shared" si="0"/>
        <v>0</v>
      </c>
      <c r="AJ6" s="67">
        <f t="shared" si="0"/>
        <v>0</v>
      </c>
      <c r="AK6" s="67">
        <f t="shared" si="0"/>
        <v>0</v>
      </c>
      <c r="AL6" s="67">
        <f t="shared" si="0"/>
        <v>0</v>
      </c>
      <c r="AM6" s="67">
        <f t="shared" si="0"/>
        <v>0</v>
      </c>
      <c r="AN6" s="67">
        <f t="shared" si="0"/>
        <v>0</v>
      </c>
      <c r="AO6" s="67">
        <f t="shared" si="0"/>
        <v>0</v>
      </c>
      <c r="AP6" s="67">
        <f t="shared" si="0"/>
        <v>0</v>
      </c>
      <c r="AQ6" s="67">
        <f t="shared" si="0"/>
        <v>0</v>
      </c>
      <c r="AR6" s="68">
        <f t="shared" si="0"/>
        <v>0</v>
      </c>
      <c r="AS6" s="66">
        <f>IF(AND($B4=" ",$K6=AS$3),$O6,0)</f>
        <v>0</v>
      </c>
      <c r="AT6" s="67">
        <f>IF(AND($B4=" ",K6=AT$3),$O6,0)</f>
        <v>0</v>
      </c>
      <c r="AU6" s="67">
        <f t="shared" ref="AU6:BE6" si="35">IF(AND($B4=" ",$K6=AU$3),$O6,0)</f>
        <v>0</v>
      </c>
      <c r="AV6" s="67">
        <f t="shared" si="35"/>
        <v>0</v>
      </c>
      <c r="AW6" s="67">
        <f t="shared" si="35"/>
        <v>0</v>
      </c>
      <c r="AX6" s="67">
        <f t="shared" si="35"/>
        <v>0</v>
      </c>
      <c r="AY6" s="67">
        <f t="shared" si="35"/>
        <v>0</v>
      </c>
      <c r="AZ6" s="69">
        <f t="shared" si="35"/>
        <v>0</v>
      </c>
      <c r="BA6" s="70">
        <f t="shared" si="35"/>
        <v>0</v>
      </c>
      <c r="BB6" s="70">
        <f t="shared" si="35"/>
        <v>0</v>
      </c>
      <c r="BC6" s="71">
        <f t="shared" si="35"/>
        <v>0</v>
      </c>
      <c r="BD6" s="67">
        <f t="shared" si="35"/>
        <v>0</v>
      </c>
      <c r="BE6" s="68">
        <f t="shared" si="35"/>
        <v>0</v>
      </c>
      <c r="BF6" s="92">
        <f t="shared" si="2"/>
        <v>0</v>
      </c>
      <c r="BG6" s="70">
        <f t="shared" si="2"/>
        <v>0</v>
      </c>
      <c r="BH6" s="70">
        <f t="shared" si="2"/>
        <v>0</v>
      </c>
      <c r="BI6" s="70">
        <f t="shared" si="2"/>
        <v>0</v>
      </c>
      <c r="BJ6" s="70">
        <f t="shared" si="2"/>
        <v>0</v>
      </c>
      <c r="BK6" s="70">
        <f t="shared" si="2"/>
        <v>0</v>
      </c>
      <c r="BL6" s="70">
        <f t="shared" si="2"/>
        <v>0</v>
      </c>
      <c r="BM6" s="70">
        <f t="shared" si="2"/>
        <v>0</v>
      </c>
      <c r="BN6" s="70">
        <f t="shared" si="2"/>
        <v>0</v>
      </c>
      <c r="BO6" s="70">
        <f t="shared" si="2"/>
        <v>0</v>
      </c>
      <c r="BP6" s="70">
        <f t="shared" si="2"/>
        <v>0</v>
      </c>
      <c r="BQ6" s="71">
        <f t="shared" si="2"/>
        <v>0</v>
      </c>
      <c r="BR6" s="68">
        <f t="shared" si="2"/>
        <v>0</v>
      </c>
      <c r="BS6" s="394"/>
      <c r="BT6" s="392"/>
      <c r="BU6" s="392"/>
      <c r="BV6" s="392"/>
      <c r="BW6" s="392"/>
      <c r="BX6" s="392"/>
      <c r="BY6" s="392"/>
      <c r="BZ6" s="392"/>
      <c r="CA6" s="392"/>
      <c r="CB6" s="392"/>
      <c r="CC6" s="392"/>
      <c r="CD6" s="401"/>
      <c r="CE6" s="409"/>
      <c r="CF6" s="73">
        <f t="shared" si="4"/>
        <v>0</v>
      </c>
      <c r="CG6" s="74">
        <f t="shared" si="5"/>
        <v>0</v>
      </c>
      <c r="CH6" s="75">
        <f t="shared" si="6"/>
        <v>0</v>
      </c>
      <c r="CI6" s="74">
        <f t="shared" si="7"/>
        <v>0</v>
      </c>
      <c r="CJ6" s="75">
        <f t="shared" si="8"/>
        <v>0</v>
      </c>
      <c r="CK6" s="74">
        <f t="shared" si="9"/>
        <v>0</v>
      </c>
      <c r="CL6" s="75">
        <f t="shared" si="10"/>
        <v>0</v>
      </c>
      <c r="CM6" s="76">
        <f t="shared" si="11"/>
        <v>0</v>
      </c>
      <c r="CN6" s="76">
        <f t="shared" si="12"/>
        <v>0</v>
      </c>
      <c r="CO6" s="76">
        <f t="shared" si="13"/>
        <v>0</v>
      </c>
      <c r="CP6" s="76">
        <f t="shared" si="14"/>
        <v>0</v>
      </c>
      <c r="CQ6" s="76">
        <f t="shared" si="15"/>
        <v>0</v>
      </c>
      <c r="CR6" s="76">
        <f t="shared" si="16"/>
        <v>0</v>
      </c>
      <c r="CS6" s="76">
        <f t="shared" si="17"/>
        <v>0</v>
      </c>
      <c r="CT6" s="76">
        <f t="shared" si="18"/>
        <v>0</v>
      </c>
      <c r="CU6" s="76">
        <f t="shared" si="19"/>
        <v>0</v>
      </c>
      <c r="CV6" s="76">
        <f t="shared" si="20"/>
        <v>0</v>
      </c>
      <c r="CW6" s="76">
        <f t="shared" si="21"/>
        <v>0</v>
      </c>
      <c r="CX6" s="76">
        <f t="shared" si="22"/>
        <v>0</v>
      </c>
      <c r="CY6" s="76">
        <f t="shared" si="23"/>
        <v>0</v>
      </c>
      <c r="CZ6" s="76">
        <f t="shared" si="24"/>
        <v>0</v>
      </c>
      <c r="DA6" s="76">
        <f t="shared" si="25"/>
        <v>0</v>
      </c>
      <c r="DB6" s="76">
        <f t="shared" si="26"/>
        <v>0</v>
      </c>
      <c r="DC6" s="76">
        <f t="shared" si="27"/>
        <v>0</v>
      </c>
      <c r="DD6" s="76">
        <f t="shared" si="28"/>
        <v>0</v>
      </c>
      <c r="DE6" s="77">
        <f t="shared" si="29"/>
        <v>0</v>
      </c>
      <c r="DF6" s="73">
        <f t="shared" si="31"/>
        <v>0</v>
      </c>
      <c r="DG6" s="67">
        <f t="shared" si="32"/>
        <v>0</v>
      </c>
      <c r="DH6" s="76">
        <f t="shared" si="33"/>
        <v>0</v>
      </c>
      <c r="DI6" s="67">
        <f t="shared" si="34"/>
        <v>0</v>
      </c>
      <c r="DJ6" s="78">
        <f>IF($D4="","",$D4)</f>
        <v>1</v>
      </c>
      <c r="DK6" s="384"/>
    </row>
    <row r="7" spans="1:115" ht="14.5" customHeight="1" x14ac:dyDescent="0.2">
      <c r="A7" s="459">
        <f>$A4+1</f>
        <v>2</v>
      </c>
      <c r="B7" s="507" t="str">
        <f>IF(OR(C7="W",C8="W",C9="W",C7="1/2W",C8="1/2W",C9="1/2W",C7="1/2L",C8="1/2L",C9="1/2L"),"OK",IF(OR(C7="L",C8="L",C9="L"),"LOSS",IF(OR(C7="X",C8="X",C9="X"),"Anulado"," ")))</f>
        <v>Anulado</v>
      </c>
      <c r="C7" s="93" t="s">
        <v>49</v>
      </c>
      <c r="D7" s="469">
        <f>IF(G7="","",$D4)</f>
        <v>1</v>
      </c>
      <c r="E7" s="485" t="str">
        <f>IF(G7=""," ","– "&amp;COUNTIF(D$4:D9,$D7))</f>
        <v>– 2</v>
      </c>
      <c r="F7" s="509" t="str">
        <f ca="1">IF(G7="","",IF(OR(AND($C7&lt;&gt;" ",$C8=" "),AND($C8&lt;&gt;" ",$C7=" "),AND(L9&gt;0,OR(AND($C9&lt;&gt;" ",OR($C7=" ",$C8=" ")),AND($C9=" ",OR($C7&lt;&gt;" ",$C8&lt;&gt;" "))))),IF(SUM(F$4:F6)=0,1,LARGE(F$4:F6,1)+1),IF(MONTH(G7)=MONTH(TODAY()),IF(AND(DAY(G7)&lt;DAY(TODAY()),$B7=" "),IF(SUM(F$4:F6)=0,1,LARGE(F$4:F6,1)+1),IF($B7=" ",IF(AND(DAY(G7)=DAY(TODAY()),HOUR(G7)&lt;=HOUR(NOW())+1),IF(AND(HOUR(G7)+2&lt;=HOUR(NOW()),DAY(G7)&lt;=DAY(TODAY()),MINUTE(G7)&lt;=MINUTE(NOW())),IF(SUM(F$4:F6)=0,1,LARGE(F$4:F6,1)+1),IF(OR(MINUTE(G7)&lt;=MINUTE(NOW()),HOUR(G7)&lt;=HOUR(NOW())),"!!!","")),""),"")),"")))</f>
        <v/>
      </c>
      <c r="G7" s="482">
        <v>44986.5</v>
      </c>
      <c r="H7" s="475" t="s">
        <v>50</v>
      </c>
      <c r="I7" s="94" t="s">
        <v>51</v>
      </c>
      <c r="J7" s="95">
        <v>10</v>
      </c>
      <c r="K7" s="96" t="s">
        <v>43</v>
      </c>
      <c r="L7" s="97">
        <v>2</v>
      </c>
      <c r="M7" s="98">
        <v>10</v>
      </c>
      <c r="N7" s="478">
        <v>0</v>
      </c>
      <c r="O7" s="99">
        <f>IF(OR(AE7="",AE8=""),"",ROUND(IF(L9&gt;0,IF(M7&gt;0,M7,IF(M8&gt;0,ROUND((M8*AE7)/AE8,IF(N7=0,2,IF(N7=0.1,1,0))),ROUND((M9*AE7)/AE9,IF(N7=0,2,IF(N7=0.1,1,0))))),IF(M7&gt;0,M7,ROUND((M8*AE7)/AE8,IF(N7=0,2,IF(N7=0.1,1,0))))),2))</f>
        <v>10</v>
      </c>
      <c r="P7" s="100">
        <f>IF(OR(L7="",O7=""),"",IF($C7="1/2W",O7/2+O7/2*L7,IF($C7="1/2L",O7/2,IF(I7="Lay",(O7*(L7/(L7-1))-O7)*(1-_xlfn.XLOOKUP(K7,'Fevereiro 2023 - Valor Real'!A3:A15,'Fevereiro 2023 - Valor Real'!C3:C15,0))+O7,(O7*L7-O7)*(1-_xlfn.XLOOKUP(K7,'Fevereiro 2023 - Valor Real'!A3:A15,'Fevereiro 2023 - Valor Real'!C3:C15,0))+O7))))</f>
        <v>20</v>
      </c>
      <c r="Q7" s="101">
        <f>IF(K7="","",IF(_xlfn.XLOOKUP(K7,K$4:K6,$DJ$4:DJ6,0,,-1)=DJ7,_xlfn.XLOOKUP(K7,K$4:K6,Q$4:Q6,1,,-1)+1,1))</f>
        <v>2</v>
      </c>
      <c r="R7" s="102">
        <f>IF(K7="","",_xlfn.XLOOKUP(K7,K$4:K6,R$4:R6,0,,-1)+IF($C7=" ",1,0))</f>
        <v>0</v>
      </c>
      <c r="S7" s="474">
        <f>IF($B7="Anulado",0,ROUND(IF(OR($B7="LOSS",$B7="OK"),IF(OR($C7="W",$C7="1/2W",$C7="1/2L"),P7-O7,IF($C7="L",-O7,0))+IF(OR($C8="W",$C8="1/2W",$C8="1/2L"),P8-O8,IF($C8="L",-O8,0))+IF(OR($C9="W",$C9="1/2W",$C9="1/2L"),P9-O9,IF($C9="L",-O9,0)),IF(AND(OR($C7="W",$C7="1/2W",$C7="1/2L"),C8="W"),P7+P8-SUM(O7:O9)+_xlfn.XLOOKUP("X",C7:C9,O7:O9,0),IF(AND(C7=TRUE,C9="W"),P7+P9-SUM(O7:O9),IF(AND(C8="W",C9="W"),P8+P9-SUM(O7:O9)+_xlfn.XLOOKUP("X",C7:C9,O7:O9,0),IF(L9&gt;0,IF(OR($C7="W",$C7="1/2W",$C7="1/2L"),P7-SUM(O7:O9)+_xlfn.XLOOKUP("X",C7:C9,O7:O9,0),IF(OR($C7="W",$C7="1/2W",$C7="1/2L"),P8-SUM(O7:O9)+_xlfn.XLOOKUP("X",C7:C9,O7:O9,0),IF(OR($C7="W",$C7="1/2W",$C7="1/2L"),P9-SUM(O7:O9)+_xlfn.XLOOKUP("X",C7:C9,O7:O9,0),IF(SUM(P7:P9)/3-SUM(O7:O9)+_xlfn.XLOOKUP("X",C7:C9,O7:O9,0)&gt;0,SUM(P7:P9)/3-SUM(O7:O9)+_xlfn.XLOOKUP("X",C7:C9,O7:O9,0),LARGE(P7:P9,1)-SUM(O7:O9))))),IF(OR($C7="W",$C7="1/2W",$C7="1/2L"),P7-SUM(O7:O8)+_xlfn.XLOOKUP("X",C7:C9,O7:O9,0),IF(OR($C7="W",$C7="1/2W",$C7="1/2L"),P8-SUM(O7:O8)+_xlfn.XLOOKUP("X",C7:C9,O7:O9,0),SUM(P7:P8)/2-SUM(O7:O8)+_xlfn.XLOOKUP("X",C7:C9,O7:O9,0)))))))),2))</f>
        <v>0</v>
      </c>
      <c r="T7" s="458">
        <f>IF(S7=0,0,S7/SUM(O7:O9))</f>
        <v>0</v>
      </c>
      <c r="U7" s="470">
        <f>IF($D7=$D4,IF(OR($B7="LOSS",$B7="OK",$B7="Anulada"),S7,0)+U4,IF(OR($B7="LOSS",$B7="OK",$B7="Anulada"),S7,0))</f>
        <v>0</v>
      </c>
      <c r="V7" s="470">
        <f>IF($D7="",0,IF($D7=$D4,IF($B7=" ",IF(I9="",IF(OR(AND(I7="DNB1",I8="DNB2"),AND(OR(I7="DNB1",I7="DNB2"),J8=0),AND(OR(I8="DNB1",I8="DNB2"),J7=0),AND(I7="DNB2",I8="DNB1"),AND(IF(J7=0,(J7+1)/ROUND(J7+1,0),J7/ROUND(J7,0))=1,IF(J8=0,(J8+1)/ROUND(IF(J8="",0,J8)+1,0),IF(J8="",0,J8)/ROUND(IF(J8="",1,J8),0))=1,OR(J7&lt;&gt;""),J8&lt;&gt;"")),0,IF(S7&lt;0,IF(I9="",SMALL(P7:P8,1)-SUM(O7:O8),0),SMALL(P7:P8,1)-SUM(O7:O8))),IF(S7&lt;0,IF(I9="",SMALL(P7:P9,1)-SUM(O7:O9),0),LARGE(P7:P9,1)-SUM(O7:O9))),S7)+V4,IF(I9="",IF(OR(AND(I7="DNB1",I8="DNB2"),AND(OR(I7="DNB1",I7="DNB2"),J8=0),AND(OR(I8="DNB1",I8="DNB2"),J7=0),AND(I7="DNB2",I8="DNB1"),AND(IF(J7=0,(J7+1)/ROUND(J7+1,0),J7/ROUND(J7,0))=1,IF(J8=0,(IF(J8="",0,J8)+1)/ROUND(IF(J8="",0,J8)+1,0),IF(J8="",0,J8)/ROUND(IF(J8="",0,J8)+1,0))=1,OR(J7&lt;&gt;""),J8&lt;&gt;"")),0,IF(S7&lt;0,IF(I9="",SMALL(P7:P8,1)-SUM(O7:O8),0),SMALL(P7:P9,1)-SUM(O7:O9))),IF(S7&lt;0,IF(I9="",SMALL(P7:P9,1)-SUM(O7:O9),0),LARGE(P7:P9,1)-SUM(O7:O9)))))</f>
        <v>0</v>
      </c>
      <c r="W7" s="470">
        <f>IF($D7=$D4,IF(S7&lt;0,IF(I9="",S7,0),S7)+W4,S7)</f>
        <v>0</v>
      </c>
      <c r="X7" s="480" t="str">
        <f>IF(OR(SUM(R7:R9)=0,V7=W7),ROUND(IF(W7=0,0,W7/Y7)*100,2)&amp;"%",ROUND(IF(V7=0,0,V7/Y7)*100,2)&amp;"% a "&amp;ROUND(IF(W7=0,0,W7/Y7)*100,2)&amp;"%")</f>
        <v>0%</v>
      </c>
      <c r="Y7" s="471">
        <f>IF($D7=$D4,Y4+SUM(O7:O9),SUM(O7:O9))</f>
        <v>32.33</v>
      </c>
      <c r="Z7" s="470">
        <f>IF($B7=" ",SUM(O7:O9),0)+Z4</f>
        <v>0</v>
      </c>
      <c r="AA7" s="470">
        <f>IF(G7="","",IF($B7="Anulado",LARGE(P7:P9,1)-SUM(O7:O9)+AA4,AA4))</f>
        <v>0.45899999999999785</v>
      </c>
      <c r="AB7" s="470">
        <f>IF($D7="","",AB4+S7)</f>
        <v>0</v>
      </c>
      <c r="AC7" s="472">
        <f ca="1">IF($D7="","",IF($B7=" ",IF(DAY(G7)=DAY(TODAY()),1+AC4,0+AC4),0+AC4))</f>
        <v>0</v>
      </c>
      <c r="AD7" s="103">
        <f>(((L8/(L8-1)-1)*(1-_xlfn.XLOOKUP(K8,'Fevereiro 2023 - Valor Real'!A3:A15,'Fevereiro 2023 - Valor Real'!C3:C15,0))+1))/(((L7-1)*(1-_xlfn.XLOOKUP(K7,'Fevereiro 2023 - Valor Real'!A3:A15,'Fevereiro 2023 - Valor Real'!C3:C15,0))+1)+((L8/(L8-1)-1)*(1-_xlfn.XLOOKUP(K8,'Fevereiro 2023 - Valor Real'!A3:A15,'Fevereiro 2023 - Valor Real'!C3:C15,0))+1))</f>
        <v>0.5</v>
      </c>
      <c r="AE7" s="104">
        <f>IF(L7="","",IF(L9&gt;0,(SUM(((L7-1)*(1-_xlfn.XLOOKUP(K7,'Fevereiro 2023 - Valor Real'!A3:A15,'Fevereiro 2023 - Valor Real'!C3:C15,0))+1),((L8-1)*(1-_xlfn.XLOOKUP(K8,'Fevereiro 2023 - Valor Real'!A3:A15,'Fevereiro 2023 - Valor Real'!C3:C15,0))+1),((L9-1)*(1-_xlfn.XLOOKUP(K9,'Fevereiro 2023 - Valor Real'!A3:A15,'Fevereiro 2023 - Valor Real'!C3:C15,0))+1))/((L7-1)*(1-_xlfn.XLOOKUP(K7,'Fevereiro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Real'!C3:C15,0))+1))/((L7-1)*(1-_xlfn.XLOOKUP(K7,'Fevereiro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Real'!C3:C15,0))+1))/((L8-1)*(1-_xlfn.XLOOKUP(K8,'Fevereiro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Real'!C3:C15,0))+1))/((L9-1)*(1-_xlfn.XLOOKUP(K9,'Fevereiro 2023 - Valor Real'!A3:A15,'Fevereiro 2023 - Valor Real'!C3:C15,0))+1)),IF(I7="Lay",IF(I8="Lay",((L8/(L8-1)-1)*(1-_xlfn.XLOOKUP(K8,'Fevereiro 2023 - Valor Real'!A3:A15,'Fevereiro 2023 - Valor Real'!C3:C15,0))+1)/(((L8/(L8-1)-1)*(1-_xlfn.XLOOKUP(K8,'Fevereiro 2023 - Valor Real'!A3:A15,'Fevereiro 2023 - Valor Real'!C3:C15,0))+1)+((L7/(L7-1)-1)*(1-_xlfn.XLOOKUP(K7,'Fevereiro 2023 - Valor Real'!A3:A15,'Fevereiro 2023 - Valor Real'!C3:C15,0))+1)),((L8-1)*(1-_xlfn.XLOOKUP(K8,'Fevereiro 2023 - Valor Real'!A3:A15,'Fevereiro 2023 - Valor Real'!C3:C15,0))+1)/(((L8-1)*(1-_xlfn.XLOOKUP(K8,'Fevereiro 2023 - Valor Real'!A3:A15,'Fevereiro 2023 - Valor Real'!C3:C15,0))+1)+((L7/(L7-1)-1)*(1-_xlfn.XLOOKUP(K7,'Fevereiro 2023 - Valor Real'!A3:A15,'Fevereiro 2023 - Valor Real'!C3:C15,0))+1))),IF(I8="Lay",(((L8/(L8-1)-1)*(1-_xlfn.XLOOKUP(K8,'Fevereiro 2023 - Valor Real'!A3:A15,'Fevereiro 2023 - Valor Real'!C3:C15,0))+1))/(((L7-1)*(1-_xlfn.XLOOKUP(K7,'Fevereiro 2023 - Valor Real'!A3:A15,'Fevereiro 2023 - Valor Real'!C3:C15,0))+1)+((L8/(L8-1)-1)*(1-_xlfn.XLOOKUP(K8,'Fevereiro 2023 - Valor Real'!A3:A15,'Fevereiro 2023 - Valor Real'!C3:C15,0))+1)),((L8-1)*(1-_xlfn.XLOOKUP(K8,'Fevereiro 2023 - Valor Real'!A3:A15,'Fevereiro 2023 - Valor Real'!C3:C15,0))+1)/(((L8-1)*(1-_xlfn.XLOOKUP(K8,'Fevereiro 2023 - Valor Real'!A3:A15,'Fevereiro 2023 - Valor Real'!C3:C15,0))+1)+((L7-1)*(1-_xlfn.XLOOKUP(K7,'Fevereiro 2023 - Valor Real'!A3:A15,'Fevereiro 2023 - Valor Real'!C3:C15,0))+1))))))</f>
        <v>0.5</v>
      </c>
      <c r="AF7" s="105">
        <f t="shared" si="0"/>
        <v>0</v>
      </c>
      <c r="AG7" s="106">
        <f t="shared" si="0"/>
        <v>0</v>
      </c>
      <c r="AH7" s="106">
        <f t="shared" si="0"/>
        <v>0</v>
      </c>
      <c r="AI7" s="106">
        <f t="shared" si="0"/>
        <v>0</v>
      </c>
      <c r="AJ7" s="106">
        <f t="shared" si="0"/>
        <v>0</v>
      </c>
      <c r="AK7" s="106">
        <f t="shared" si="0"/>
        <v>0</v>
      </c>
      <c r="AL7" s="106">
        <f t="shared" si="0"/>
        <v>0</v>
      </c>
      <c r="AM7" s="106">
        <f t="shared" si="0"/>
        <v>0</v>
      </c>
      <c r="AN7" s="106">
        <f t="shared" si="0"/>
        <v>0</v>
      </c>
      <c r="AO7" s="106">
        <f t="shared" si="0"/>
        <v>0</v>
      </c>
      <c r="AP7" s="106">
        <f t="shared" si="0"/>
        <v>0</v>
      </c>
      <c r="AQ7" s="106">
        <f t="shared" si="0"/>
        <v>0</v>
      </c>
      <c r="AR7" s="107">
        <f t="shared" si="0"/>
        <v>0</v>
      </c>
      <c r="AS7" s="105">
        <f t="shared" ref="AS7:BE7" si="36">IF(AND($B7=" ",$K7=AS$3),$O7,0)</f>
        <v>0</v>
      </c>
      <c r="AT7" s="106">
        <f t="shared" si="36"/>
        <v>0</v>
      </c>
      <c r="AU7" s="106">
        <f t="shared" si="36"/>
        <v>0</v>
      </c>
      <c r="AV7" s="106">
        <f t="shared" si="36"/>
        <v>0</v>
      </c>
      <c r="AW7" s="106">
        <f t="shared" si="36"/>
        <v>0</v>
      </c>
      <c r="AX7" s="106">
        <f t="shared" si="36"/>
        <v>0</v>
      </c>
      <c r="AY7" s="108">
        <f t="shared" si="36"/>
        <v>0</v>
      </c>
      <c r="AZ7" s="109">
        <f t="shared" si="36"/>
        <v>0</v>
      </c>
      <c r="BA7" s="109">
        <f t="shared" si="36"/>
        <v>0</v>
      </c>
      <c r="BB7" s="109">
        <f t="shared" si="36"/>
        <v>0</v>
      </c>
      <c r="BC7" s="110">
        <f t="shared" si="36"/>
        <v>0</v>
      </c>
      <c r="BD7" s="106">
        <f t="shared" si="36"/>
        <v>0</v>
      </c>
      <c r="BE7" s="107">
        <f t="shared" si="36"/>
        <v>0</v>
      </c>
      <c r="BF7" s="111">
        <f t="shared" si="2"/>
        <v>0</v>
      </c>
      <c r="BG7" s="106">
        <f t="shared" si="2"/>
        <v>0</v>
      </c>
      <c r="BH7" s="106">
        <f t="shared" si="2"/>
        <v>0</v>
      </c>
      <c r="BI7" s="106">
        <f t="shared" si="2"/>
        <v>0</v>
      </c>
      <c r="BJ7" s="106">
        <f t="shared" si="2"/>
        <v>0</v>
      </c>
      <c r="BK7" s="106">
        <f t="shared" si="2"/>
        <v>0</v>
      </c>
      <c r="BL7" s="106">
        <f t="shared" si="2"/>
        <v>0</v>
      </c>
      <c r="BM7" s="108">
        <f t="shared" si="2"/>
        <v>0</v>
      </c>
      <c r="BN7" s="109">
        <f t="shared" si="2"/>
        <v>0</v>
      </c>
      <c r="BO7" s="109">
        <f t="shared" si="2"/>
        <v>0</v>
      </c>
      <c r="BP7" s="109">
        <f t="shared" si="2"/>
        <v>0</v>
      </c>
      <c r="BQ7" s="110">
        <f t="shared" si="2"/>
        <v>0</v>
      </c>
      <c r="BR7" s="107">
        <f t="shared" si="2"/>
        <v>0</v>
      </c>
      <c r="BS7" s="463">
        <f>IF($B7="LOSS",IF(AND($K7=BS$3,$C7="L"),-$O7,0)+IF(AND($K8=BS$3,$C8="L"),-$O8,0)+IF(AND($K9=BS$3,$C9="L"),-$O9,0),IF(OR(AND($K7=BS$3,OR($C7="W",$C7="1/2W")),AND($K8=BS$3,OR($C8="W",$C8="1/2W")),AND($K9=BS$3,OR($C9="W",$C9="1/2W"))),$S7,0))</f>
        <v>0</v>
      </c>
      <c r="BT7" s="462">
        <f>IF($B7="LOSS",IF(AND($K7=BT$3,$C7="L"),-$O7,0)+IF(AND($K8=BT$3,$C8="L"),-$O8,0)+IF(AND($K8=BT$3,$C9="L"),-$O9,0),IF(OR(AND($K8=BT$3,OR($C7="W",$C7="1/2W")),AND($K8=BT$3,OR($C8="W",$C8="1/2W")),AND($K8=BT$3,OR($C9="W",$C9="1/2W"))),$S7,0))</f>
        <v>0</v>
      </c>
      <c r="BU7" s="462">
        <f>IF($B7="LOSS",IF(AND($K7=BU$3,$C7="L"),-$O7,0)+IF(AND($K8=BU$3,$C8="L"),-$O8,0)+IF(AND($K8=BU$3,$C9="L"),-$O9,0),IF(OR(AND($K8=BU$3,OR($C7="W",$C7="1/2W")),AND($K8=BU$3,OR($C8="W",$C8="1/2W")),AND($K8=BU$3,OR($C9="W",$C9="1/2W"))),$S7,0))</f>
        <v>0</v>
      </c>
      <c r="BV7" s="462">
        <f t="shared" ref="BV7:CE7" si="37">IF($B7="LOSS",IF(AND($K7=BV$3,$C7="L"),-$O7,0)+IF(AND($K8=BV$3,$C8="L"),-$O8,0)+IF(AND($K9=BV$3,$C9="L"),-$O9,0),IF(OR(AND($K7=BV$3,OR($C7="W",$C7="1/2W")),AND($K8=BV$3,OR($C8="W",$C8="1/2W")),AND($K9=BV$3,OR($C9="W",$C9="1/2W"))),$S7,0))</f>
        <v>0</v>
      </c>
      <c r="BW7" s="462">
        <f t="shared" si="37"/>
        <v>0</v>
      </c>
      <c r="BX7" s="462">
        <f t="shared" si="37"/>
        <v>0</v>
      </c>
      <c r="BY7" s="462">
        <f t="shared" si="37"/>
        <v>0</v>
      </c>
      <c r="BZ7" s="460">
        <f t="shared" si="37"/>
        <v>0</v>
      </c>
      <c r="CA7" s="460">
        <f t="shared" si="37"/>
        <v>0</v>
      </c>
      <c r="CB7" s="460">
        <f t="shared" si="37"/>
        <v>0</v>
      </c>
      <c r="CC7" s="460">
        <f t="shared" si="37"/>
        <v>0</v>
      </c>
      <c r="CD7" s="473">
        <f t="shared" si="37"/>
        <v>0</v>
      </c>
      <c r="CE7" s="479">
        <f t="shared" si="37"/>
        <v>0</v>
      </c>
      <c r="CF7" s="113">
        <f t="shared" si="4"/>
        <v>0</v>
      </c>
      <c r="CG7" s="114">
        <f t="shared" si="5"/>
        <v>0</v>
      </c>
      <c r="CH7" s="114">
        <f t="shared" si="6"/>
        <v>0</v>
      </c>
      <c r="CI7" s="114">
        <f t="shared" si="7"/>
        <v>0</v>
      </c>
      <c r="CJ7" s="114">
        <f t="shared" si="8"/>
        <v>0</v>
      </c>
      <c r="CK7" s="114">
        <f t="shared" si="9"/>
        <v>0</v>
      </c>
      <c r="CL7" s="114">
        <f t="shared" si="10"/>
        <v>0</v>
      </c>
      <c r="CM7" s="114">
        <f t="shared" si="11"/>
        <v>0</v>
      </c>
      <c r="CN7" s="114">
        <f t="shared" si="12"/>
        <v>0</v>
      </c>
      <c r="CO7" s="114">
        <f t="shared" si="13"/>
        <v>0</v>
      </c>
      <c r="CP7" s="114">
        <f t="shared" si="14"/>
        <v>0</v>
      </c>
      <c r="CQ7" s="114">
        <f t="shared" si="15"/>
        <v>0</v>
      </c>
      <c r="CR7" s="114">
        <f t="shared" si="16"/>
        <v>0</v>
      </c>
      <c r="CS7" s="114">
        <f t="shared" si="17"/>
        <v>0</v>
      </c>
      <c r="CT7" s="115">
        <f t="shared" si="18"/>
        <v>0</v>
      </c>
      <c r="CU7" s="116">
        <f t="shared" si="19"/>
        <v>0</v>
      </c>
      <c r="CV7" s="116">
        <f t="shared" si="20"/>
        <v>0</v>
      </c>
      <c r="CW7" s="116">
        <f t="shared" si="21"/>
        <v>0</v>
      </c>
      <c r="CX7" s="116">
        <f t="shared" si="22"/>
        <v>0</v>
      </c>
      <c r="CY7" s="116">
        <f t="shared" si="23"/>
        <v>0</v>
      </c>
      <c r="CZ7" s="116">
        <f t="shared" si="24"/>
        <v>0</v>
      </c>
      <c r="DA7" s="116">
        <f t="shared" si="25"/>
        <v>0</v>
      </c>
      <c r="DB7" s="116">
        <f t="shared" si="26"/>
        <v>0</v>
      </c>
      <c r="DC7" s="116">
        <f t="shared" si="27"/>
        <v>0</v>
      </c>
      <c r="DD7" s="116">
        <f t="shared" si="28"/>
        <v>0</v>
      </c>
      <c r="DE7" s="117">
        <f t="shared" si="29"/>
        <v>0</v>
      </c>
      <c r="DF7" s="118">
        <f t="shared" si="31"/>
        <v>0</v>
      </c>
      <c r="DG7" s="106">
        <f t="shared" si="32"/>
        <v>0</v>
      </c>
      <c r="DH7" s="116">
        <f t="shared" si="33"/>
        <v>0</v>
      </c>
      <c r="DI7" s="106">
        <f t="shared" si="34"/>
        <v>0</v>
      </c>
      <c r="DJ7" s="119">
        <f>IF($D7="","",$D7)</f>
        <v>1</v>
      </c>
      <c r="DK7" s="467">
        <f>IF(AND($B7=" ",$D7&lt;&gt;""),1,0)</f>
        <v>0</v>
      </c>
    </row>
    <row r="8" spans="1:115" ht="14.5" customHeight="1" x14ac:dyDescent="0.2">
      <c r="A8" s="389"/>
      <c r="B8" s="456"/>
      <c r="C8" s="120" t="s">
        <v>49</v>
      </c>
      <c r="D8" s="374"/>
      <c r="E8" s="386"/>
      <c r="F8" s="377"/>
      <c r="G8" s="483"/>
      <c r="H8" s="476"/>
      <c r="I8" s="121" t="s">
        <v>52</v>
      </c>
      <c r="J8" s="122">
        <f>IF(OR(I7="TO",I7="TU",I7="TO1",I7="TU1",I7="TO2",I7="TU2"),J7,IF(OR(I7="AH1",I7="AH2"),IF(OR(I8="AH1",I8="AH2"),-J7,IF(OR(I8="EH1",I8="EH2"),-J7+0.5,"")),IF(OR(I7="EH1",I7="EH2"),IF(OR(I8="AH1",I8="AH2"),-J7+0.5,IF(OR(I8="EH1",I8="EH2"),-J7+1,"")),IF(AND(OR(I7="DNB1",I7="DNB2"),OR(I8="AH1",I8="AH2")),0,IF(AND(I7="Not ScoreBoth",OR(I8="TO1",I8="TO2")),0.5,"")))))</f>
        <v>10</v>
      </c>
      <c r="K8" s="123" t="s">
        <v>43</v>
      </c>
      <c r="L8" s="124">
        <v>2</v>
      </c>
      <c r="M8" s="125"/>
      <c r="N8" s="406"/>
      <c r="O8" s="126">
        <f>IF(OR(AE7="",AE8=""),"",ROUND(IF(L9&gt;0,IF(M8&gt;0,M8,IF(M7&gt;0,IF(N7=TRUE,ROUND((M7*AE8)/AE7,0),(M7*AE8)/AE7),IF(M8&gt;0,ROUND(M8,IF(N7=0,2,IF(N7=0.1,1,0))),IF(M9&gt;0,ROUND(O9*AE8/AE9,IF(N7=0,2,IF(N7=0.1,1,0))),0)))),IF(M8&gt;0,M8,ROUND((M7*AE8)/AE7,IF(N7=0,2,IF(N7=0.1,1,0))))),2))</f>
        <v>10</v>
      </c>
      <c r="P8" s="127">
        <f>IF(OR(L8="",O8=""),"",IF($C8="1/2W",O8/2+O8/2*L8,IF($C8="1/2L",O8/2,IF(I8="Lay",((O8*(L8/(L8-1)))-O8)*(1-_xlfn.XLOOKUP(K8,'Fevereiro 2023 - Valor Real'!A3:A15,'Fevereiro 2023 - Valor Real'!C3:C15,0))+O8,(O8*L8-O8)*(1-_xlfn.XLOOKUP(K8,'Fevereiro 2023 - Valor Real'!A3:A15,'Fevereiro 2023 - Valor Real'!C3:C15,0))+O8))))</f>
        <v>20</v>
      </c>
      <c r="Q8" s="128">
        <f>IF(K8="","",IF(_xlfn.XLOOKUP(K8,K$4:K7,$DJ$4:DJ7,0,,-1)=DJ8,_xlfn.XLOOKUP(K8,K$4:K7,Q$4:Q7,1,,-1)+1,1))</f>
        <v>3</v>
      </c>
      <c r="R8" s="129">
        <f>IF(K8="","",_xlfn.XLOOKUP(K8,K$4:K7,R$4:R7,0,,-1)+IF($C8=" ",1,0))</f>
        <v>0</v>
      </c>
      <c r="S8" s="403"/>
      <c r="T8" s="380"/>
      <c r="U8" s="380"/>
      <c r="V8" s="481"/>
      <c r="W8" s="380"/>
      <c r="X8" s="452"/>
      <c r="Y8" s="383"/>
      <c r="Z8" s="384"/>
      <c r="AA8" s="384"/>
      <c r="AB8" s="384"/>
      <c r="AC8" s="384"/>
      <c r="AD8" s="130">
        <f>(((L8/(L8-1)-1)*(1-_xlfn.XLOOKUP(K8,'Fevereiro 2023 - Valor Real'!A3:A15,'Fevereiro 2023 - Valor Real'!C3:C15,0))+1))</f>
        <v>2</v>
      </c>
      <c r="AE8" s="131">
        <f>IF(L8="","",IF(L9&gt;0,(SUM(((L7-1)*(1-_xlfn.XLOOKUP(K7,'Fevereiro 2023 - Valor Real'!A3:A15,'Fevereiro 2023 - Valor Real'!C3:C15,0))+1),((L8-1)*(1-_xlfn.XLOOKUP(K8,'Fevereiro 2023 - Valor Real'!A3:A15,'Fevereiro 2023 - Valor Real'!C3:C15,0))+1),((L9-1)*(1-_xlfn.XLOOKUP(K9,'Fevereiro 2023 - Valor Real'!A3:A15,'Fevereiro 2023 - Valor Real'!C3:C15,0))+1))/((L8-1)*(1-_xlfn.XLOOKUP(K8,'Fevereiro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Real'!C3:C15,0))+1))/((L7-1)*(1-_xlfn.XLOOKUP(K7,'Fevereiro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Real'!C3:C15,0))+1))/((L8-1)*(1-_xlfn.XLOOKUP(K8,'Fevereiro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Real'!C3:C15,0))+1))/((L9-1)*(1-_xlfn.XLOOKUP(K9,'Fevereiro 2023 - Valor Real'!A3:A15,'Fevereiro 2023 - Valor Real'!C3:C15,0))+1)),IF(I8="Lay",IF(I7="Lay",((L7/(L7-1)-1)*(1-_xlfn.XLOOKUP(K7,'Fevereiro 2023 - Valor Real'!A3:A15,'Fevereiro 2023 - Valor Real'!C3:C15,0))+1)/(((L7/(L7-1)-1)*(1-_xlfn.XLOOKUP(K7,'Fevereiro 2023 - Valor Real'!A3:A15,'Fevereiro 2023 - Valor Real'!C3:C15,0))+1)+((L8/(L8-1)-1)*(1-_xlfn.XLOOKUP(K8,'Fevereiro 2023 - Valor Real'!A3:A15,'Fevereiro 2023 - Valor Real'!C3:C15,0))+1)),((L7-1)*(1-_xlfn.XLOOKUP(K7,'Fevereiro 2023 - Valor Real'!A3:A15,'Fevereiro 2023 - Valor Real'!C3:C15,0))+1)/(((L7-1)*(1-_xlfn.XLOOKUP(K7,'Fevereiro 2023 - Valor Real'!A3:A15,'Fevereiro 2023 - Valor Real'!C3:C15,0))+1)+((L8/(L8-1)-1)*(1-_xlfn.XLOOKUP(K8,'Fevereiro 2023 - Valor Real'!A3:A15,'Fevereiro 2023 - Valor Real'!C3:C15,0))+1))),IF(I7="Lay",((L7/(L7-1)-1)*(1-_xlfn.XLOOKUP(K7,'Fevereiro 2023 - Valor Real'!A3:A15,'Fevereiro 2023 - Valor Real'!C3:C15,0))+1)/((((L7/(L7-1)-1)*(1-_xlfn.XLOOKUP(K7,'Fevereiro 2023 - Valor Real'!A3:A15,'Fevereiro 2023 - Valor Real'!C3:C15,0))+1))+((L8-1)*(1-_xlfn.XLOOKUP(K8,'Fevereiro 2023 - Valor Real'!A3:A15,'Fevereiro 2023 - Valor Real'!C3:C15,0))+1)),((L7-1)*(1-_xlfn.XLOOKUP(K7,'Fevereiro 2023 - Valor Real'!A3:A15,'Fevereiro 2023 - Valor Real'!C3:C15,0))+1)/(((L7-1)*(1-_xlfn.XLOOKUP(K7,'Fevereiro 2023 - Valor Real'!A3:A15,'Fevereiro 2023 - Valor Real'!C3:C15,0))+1)+((L8-1)*(1-_xlfn.XLOOKUP(K8,'Fevereiro 2023 - Valor Real'!A3:A15,'Fevereiro 2023 - Valor Real'!C3:C15,0))+1))))))</f>
        <v>0.5</v>
      </c>
      <c r="AF8" s="105">
        <f t="shared" si="0"/>
        <v>0</v>
      </c>
      <c r="AG8" s="106">
        <f t="shared" si="0"/>
        <v>0</v>
      </c>
      <c r="AH8" s="106">
        <f t="shared" si="0"/>
        <v>0</v>
      </c>
      <c r="AI8" s="106">
        <f t="shared" si="0"/>
        <v>0</v>
      </c>
      <c r="AJ8" s="106">
        <f t="shared" si="0"/>
        <v>0</v>
      </c>
      <c r="AK8" s="106">
        <f t="shared" si="0"/>
        <v>0</v>
      </c>
      <c r="AL8" s="106">
        <f t="shared" si="0"/>
        <v>0</v>
      </c>
      <c r="AM8" s="106">
        <f t="shared" si="0"/>
        <v>0</v>
      </c>
      <c r="AN8" s="106">
        <f t="shared" si="0"/>
        <v>0</v>
      </c>
      <c r="AO8" s="106">
        <f t="shared" si="0"/>
        <v>0</v>
      </c>
      <c r="AP8" s="106">
        <f t="shared" si="0"/>
        <v>0</v>
      </c>
      <c r="AQ8" s="106">
        <f t="shared" si="0"/>
        <v>0</v>
      </c>
      <c r="AR8" s="107">
        <f t="shared" si="0"/>
        <v>0</v>
      </c>
      <c r="AS8" s="105">
        <f>IF(AND($B7=" ",$K8=AS$3),$O8,0)</f>
        <v>0</v>
      </c>
      <c r="AT8" s="106">
        <f>IF(AND($B7=" ",K8=AT$3),$O8,0)</f>
        <v>0</v>
      </c>
      <c r="AU8" s="106">
        <f t="shared" ref="AU8:BE8" si="38">IF(AND($B7=" ",$K8=AU$3),$O8,0)</f>
        <v>0</v>
      </c>
      <c r="AV8" s="106">
        <f t="shared" si="38"/>
        <v>0</v>
      </c>
      <c r="AW8" s="106">
        <f t="shared" si="38"/>
        <v>0</v>
      </c>
      <c r="AX8" s="106">
        <f t="shared" si="38"/>
        <v>0</v>
      </c>
      <c r="AY8" s="108">
        <f t="shared" si="38"/>
        <v>0</v>
      </c>
      <c r="AZ8" s="109">
        <f t="shared" si="38"/>
        <v>0</v>
      </c>
      <c r="BA8" s="109">
        <f t="shared" si="38"/>
        <v>0</v>
      </c>
      <c r="BB8" s="109">
        <f t="shared" si="38"/>
        <v>0</v>
      </c>
      <c r="BC8" s="110">
        <f t="shared" si="38"/>
        <v>0</v>
      </c>
      <c r="BD8" s="106">
        <f t="shared" si="38"/>
        <v>0</v>
      </c>
      <c r="BE8" s="107">
        <f t="shared" si="38"/>
        <v>0</v>
      </c>
      <c r="BF8" s="105">
        <f t="shared" si="2"/>
        <v>0</v>
      </c>
      <c r="BG8" s="106">
        <f t="shared" si="2"/>
        <v>0</v>
      </c>
      <c r="BH8" s="106">
        <f t="shared" si="2"/>
        <v>0</v>
      </c>
      <c r="BI8" s="106">
        <f t="shared" si="2"/>
        <v>0</v>
      </c>
      <c r="BJ8" s="106">
        <f t="shared" si="2"/>
        <v>0</v>
      </c>
      <c r="BK8" s="106">
        <f t="shared" si="2"/>
        <v>0</v>
      </c>
      <c r="BL8" s="106">
        <f t="shared" si="2"/>
        <v>0</v>
      </c>
      <c r="BM8" s="132">
        <f t="shared" si="2"/>
        <v>0</v>
      </c>
      <c r="BN8" s="112">
        <f t="shared" si="2"/>
        <v>0</v>
      </c>
      <c r="BO8" s="112">
        <f t="shared" si="2"/>
        <v>0</v>
      </c>
      <c r="BP8" s="112">
        <f t="shared" si="2"/>
        <v>0</v>
      </c>
      <c r="BQ8" s="110">
        <f t="shared" si="2"/>
        <v>0</v>
      </c>
      <c r="BR8" s="107">
        <f t="shared" si="2"/>
        <v>0</v>
      </c>
      <c r="BS8" s="464"/>
      <c r="BT8" s="461"/>
      <c r="BU8" s="392"/>
      <c r="BV8" s="461"/>
      <c r="BW8" s="392"/>
      <c r="BX8" s="392"/>
      <c r="BY8" s="392"/>
      <c r="BZ8" s="461"/>
      <c r="CA8" s="392"/>
      <c r="CB8" s="392"/>
      <c r="CC8" s="392"/>
      <c r="CD8" s="401"/>
      <c r="CE8" s="409"/>
      <c r="CF8" s="133">
        <f t="shared" si="4"/>
        <v>0</v>
      </c>
      <c r="CG8" s="134">
        <f t="shared" si="5"/>
        <v>0</v>
      </c>
      <c r="CH8" s="134">
        <f t="shared" si="6"/>
        <v>0</v>
      </c>
      <c r="CI8" s="134">
        <f t="shared" si="7"/>
        <v>0</v>
      </c>
      <c r="CJ8" s="134">
        <f t="shared" si="8"/>
        <v>0</v>
      </c>
      <c r="CK8" s="134">
        <f t="shared" si="9"/>
        <v>0</v>
      </c>
      <c r="CL8" s="134">
        <f t="shared" si="10"/>
        <v>0</v>
      </c>
      <c r="CM8" s="134">
        <f t="shared" si="11"/>
        <v>0</v>
      </c>
      <c r="CN8" s="134">
        <f t="shared" si="12"/>
        <v>0</v>
      </c>
      <c r="CO8" s="134">
        <f t="shared" si="13"/>
        <v>0</v>
      </c>
      <c r="CP8" s="134">
        <f t="shared" si="14"/>
        <v>0</v>
      </c>
      <c r="CQ8" s="134">
        <f t="shared" si="15"/>
        <v>0</v>
      </c>
      <c r="CR8" s="134">
        <f t="shared" si="16"/>
        <v>0</v>
      </c>
      <c r="CS8" s="134">
        <f t="shared" si="17"/>
        <v>0</v>
      </c>
      <c r="CT8" s="115">
        <f t="shared" si="18"/>
        <v>0</v>
      </c>
      <c r="CU8" s="116">
        <f t="shared" si="19"/>
        <v>0</v>
      </c>
      <c r="CV8" s="116">
        <f t="shared" si="20"/>
        <v>0</v>
      </c>
      <c r="CW8" s="116">
        <f t="shared" si="21"/>
        <v>0</v>
      </c>
      <c r="CX8" s="116">
        <f t="shared" si="22"/>
        <v>0</v>
      </c>
      <c r="CY8" s="116">
        <f t="shared" si="23"/>
        <v>0</v>
      </c>
      <c r="CZ8" s="116">
        <f t="shared" si="24"/>
        <v>0</v>
      </c>
      <c r="DA8" s="116">
        <f t="shared" si="25"/>
        <v>0</v>
      </c>
      <c r="DB8" s="116">
        <f t="shared" si="26"/>
        <v>0</v>
      </c>
      <c r="DC8" s="116">
        <f t="shared" si="27"/>
        <v>0</v>
      </c>
      <c r="DD8" s="116">
        <f t="shared" si="28"/>
        <v>0</v>
      </c>
      <c r="DE8" s="117">
        <f t="shared" si="29"/>
        <v>0</v>
      </c>
      <c r="DF8" s="118">
        <f t="shared" si="31"/>
        <v>0</v>
      </c>
      <c r="DG8" s="106">
        <f t="shared" si="32"/>
        <v>0</v>
      </c>
      <c r="DH8" s="116">
        <f t="shared" si="33"/>
        <v>0</v>
      </c>
      <c r="DI8" s="106">
        <f t="shared" si="34"/>
        <v>0</v>
      </c>
      <c r="DJ8" s="116">
        <f>IF($D7="","",$D7)</f>
        <v>1</v>
      </c>
      <c r="DK8" s="466"/>
    </row>
    <row r="9" spans="1:115" ht="14.5" customHeight="1" x14ac:dyDescent="0.2">
      <c r="A9" s="390"/>
      <c r="B9" s="457"/>
      <c r="C9" s="135" t="s">
        <v>53</v>
      </c>
      <c r="D9" s="375"/>
      <c r="E9" s="387"/>
      <c r="F9" s="378"/>
      <c r="G9" s="484"/>
      <c r="H9" s="477"/>
      <c r="I9" s="136"/>
      <c r="J9" s="137"/>
      <c r="K9" s="138"/>
      <c r="L9" s="139"/>
      <c r="M9" s="140"/>
      <c r="N9" s="407"/>
      <c r="O9" s="141" t="str">
        <f>IF(OR(AE7="",AE8=""),"",IF(L9&gt;0,ROUND(IF(M9&gt;0,M9,IF(M7&gt;0,ROUND((M7*AE9)/AE7,IF(N7=0,2,IF(N7=0.1,1,0))),IF(M8&gt;0,ROUND((M8*AE9)/AE8,IF(N7=0,2,IF(N7=0.1,1,0))),IF(M9&gt;0,M9,0)))),2),""))</f>
        <v/>
      </c>
      <c r="P9" s="142" t="str">
        <f>IF(I8="Lay",O8*(L8/(L8-1))-O8,IF(I7="Lay",O7*(L7/(L7-1))-O7,IF(OR(L9="",O9=""),"",IF($C9="1/2W",O9/2+O9/2*L9,IF($C9="1/2L",O9/2,(O9*L9-O9)*(1-_xlfn.XLOOKUP(K9,'Fevereiro 2023 - Valor Real'!A3:A15,'Fevereiro 2023 - Valor Real'!C3:C15,0))+O9)))))</f>
        <v/>
      </c>
      <c r="Q9" s="143" t="str">
        <f>IF(K9="","",IF(_xlfn.XLOOKUP(K9,K$4:K8,$DJ$4:DJ8,0,,-1)=DJ9,_xlfn.XLOOKUP(K9,K$4:K8,Q$4:Q8,1,,-1)+1,1))</f>
        <v/>
      </c>
      <c r="R9" s="144" t="str">
        <f>IF(K9="","",_xlfn.XLOOKUP(K9,K$4:K8,R$4:R8,0,,-1)+IF($C9=" ",1,0))</f>
        <v/>
      </c>
      <c r="S9" s="404"/>
      <c r="T9" s="378"/>
      <c r="U9" s="378"/>
      <c r="V9" s="404"/>
      <c r="W9" s="378"/>
      <c r="X9" s="453"/>
      <c r="Y9" s="383"/>
      <c r="Z9" s="384"/>
      <c r="AA9" s="384"/>
      <c r="AB9" s="384"/>
      <c r="AC9" s="384"/>
      <c r="AD9" s="145">
        <f>((L8/(L8-1)-1))</f>
        <v>1</v>
      </c>
      <c r="AE9" s="146" t="str">
        <f>IF(L9="","",(SUM(((L7-1)*(1-_xlfn.XLOOKUP(K7,'Fevereiro 2023 - Valor Real'!A3:A15,'Fevereiro 2023 - Valor Real'!C3:C15,0))+1),((L8-1)*(1-_xlfn.XLOOKUP(K8,'Fevereiro 2023 - Valor Real'!A3:A15,'Fevereiro 2023 - Valor Real'!C3:C15,0))+1),((L9-1)*(1-_xlfn.XLOOKUP(K9,'Fevereiro 2023 - Valor Real'!A3:A15,'Fevereiro 2023 - Valor Real'!C3:C15,0))+1))/((L9-1)*(1-_xlfn.XLOOKUP(K9,'Fevereiro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Real'!C3:C15,0))+1))/((L7-1)*(1-_xlfn.XLOOKUP(K7,'Fevereiro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Real'!C3:C15,0))+1))/((L8-1)*(1-_xlfn.XLOOKUP(K8,'Fevereiro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Real'!C3:C15,0))+1))/((L9-1)*(1-_xlfn.XLOOKUP(K9,'Fevereiro 2023 - Valor Real'!A3:A15,'Fevereiro 2023 - Valor Real'!C3:C15,0))+1)))</f>
        <v/>
      </c>
      <c r="AF9" s="105">
        <f t="shared" si="0"/>
        <v>0</v>
      </c>
      <c r="AG9" s="106">
        <f t="shared" si="0"/>
        <v>0</v>
      </c>
      <c r="AH9" s="106">
        <f t="shared" si="0"/>
        <v>0</v>
      </c>
      <c r="AI9" s="106">
        <f t="shared" si="0"/>
        <v>0</v>
      </c>
      <c r="AJ9" s="106">
        <f t="shared" si="0"/>
        <v>0</v>
      </c>
      <c r="AK9" s="106">
        <f t="shared" si="0"/>
        <v>0</v>
      </c>
      <c r="AL9" s="106">
        <f t="shared" si="0"/>
        <v>0</v>
      </c>
      <c r="AM9" s="106">
        <f t="shared" si="0"/>
        <v>0</v>
      </c>
      <c r="AN9" s="106">
        <f t="shared" si="0"/>
        <v>0</v>
      </c>
      <c r="AO9" s="106">
        <f t="shared" si="0"/>
        <v>0</v>
      </c>
      <c r="AP9" s="106">
        <f t="shared" si="0"/>
        <v>0</v>
      </c>
      <c r="AQ9" s="106">
        <f t="shared" si="0"/>
        <v>0</v>
      </c>
      <c r="AR9" s="107">
        <f t="shared" si="0"/>
        <v>0</v>
      </c>
      <c r="AS9" s="105">
        <f>IF(AND($B7=" ",$K9=AS$3),$O9,0)</f>
        <v>0</v>
      </c>
      <c r="AT9" s="106">
        <f>IF(AND($B7=" ",K9=AT$3),$O9,0)</f>
        <v>0</v>
      </c>
      <c r="AU9" s="106">
        <f t="shared" ref="AU9:BE9" si="39">IF(AND($B7=" ",$K9=AU$3),$O9,0)</f>
        <v>0</v>
      </c>
      <c r="AV9" s="106">
        <f t="shared" si="39"/>
        <v>0</v>
      </c>
      <c r="AW9" s="106">
        <f t="shared" si="39"/>
        <v>0</v>
      </c>
      <c r="AX9" s="106">
        <f t="shared" si="39"/>
        <v>0</v>
      </c>
      <c r="AY9" s="108">
        <f t="shared" si="39"/>
        <v>0</v>
      </c>
      <c r="AZ9" s="109">
        <f t="shared" si="39"/>
        <v>0</v>
      </c>
      <c r="BA9" s="109">
        <f t="shared" si="39"/>
        <v>0</v>
      </c>
      <c r="BB9" s="109">
        <f t="shared" si="39"/>
        <v>0</v>
      </c>
      <c r="BC9" s="110">
        <f t="shared" si="39"/>
        <v>0</v>
      </c>
      <c r="BD9" s="106">
        <f t="shared" si="39"/>
        <v>0</v>
      </c>
      <c r="BE9" s="107">
        <f t="shared" si="39"/>
        <v>0</v>
      </c>
      <c r="BF9" s="105">
        <f t="shared" si="2"/>
        <v>0</v>
      </c>
      <c r="BG9" s="106">
        <f t="shared" si="2"/>
        <v>0</v>
      </c>
      <c r="BH9" s="106">
        <f t="shared" si="2"/>
        <v>0</v>
      </c>
      <c r="BI9" s="106">
        <f t="shared" si="2"/>
        <v>0</v>
      </c>
      <c r="BJ9" s="106">
        <f t="shared" si="2"/>
        <v>0</v>
      </c>
      <c r="BK9" s="106">
        <f t="shared" si="2"/>
        <v>0</v>
      </c>
      <c r="BL9" s="106">
        <f t="shared" si="2"/>
        <v>0</v>
      </c>
      <c r="BM9" s="108">
        <f t="shared" si="2"/>
        <v>0</v>
      </c>
      <c r="BN9" s="109">
        <f t="shared" si="2"/>
        <v>0</v>
      </c>
      <c r="BO9" s="109">
        <f t="shared" si="2"/>
        <v>0</v>
      </c>
      <c r="BP9" s="109">
        <f t="shared" si="2"/>
        <v>0</v>
      </c>
      <c r="BQ9" s="110">
        <f t="shared" si="2"/>
        <v>0</v>
      </c>
      <c r="BR9" s="107">
        <f t="shared" si="2"/>
        <v>0</v>
      </c>
      <c r="BS9" s="464"/>
      <c r="BT9" s="461"/>
      <c r="BU9" s="392"/>
      <c r="BV9" s="461"/>
      <c r="BW9" s="392"/>
      <c r="BX9" s="392"/>
      <c r="BY9" s="392"/>
      <c r="BZ9" s="461"/>
      <c r="CA9" s="392"/>
      <c r="CB9" s="392"/>
      <c r="CC9" s="392"/>
      <c r="CD9" s="401"/>
      <c r="CE9" s="409"/>
      <c r="CF9" s="133">
        <f t="shared" si="4"/>
        <v>0</v>
      </c>
      <c r="CG9" s="134">
        <f t="shared" si="5"/>
        <v>0</v>
      </c>
      <c r="CH9" s="134">
        <f t="shared" si="6"/>
        <v>0</v>
      </c>
      <c r="CI9" s="134">
        <f t="shared" si="7"/>
        <v>0</v>
      </c>
      <c r="CJ9" s="134">
        <f t="shared" si="8"/>
        <v>0</v>
      </c>
      <c r="CK9" s="134">
        <f t="shared" si="9"/>
        <v>0</v>
      </c>
      <c r="CL9" s="134">
        <f t="shared" si="10"/>
        <v>0</v>
      </c>
      <c r="CM9" s="134">
        <f t="shared" si="11"/>
        <v>0</v>
      </c>
      <c r="CN9" s="134">
        <f t="shared" si="12"/>
        <v>0</v>
      </c>
      <c r="CO9" s="134">
        <f t="shared" si="13"/>
        <v>0</v>
      </c>
      <c r="CP9" s="134">
        <f t="shared" si="14"/>
        <v>0</v>
      </c>
      <c r="CQ9" s="134">
        <f t="shared" si="15"/>
        <v>0</v>
      </c>
      <c r="CR9" s="134">
        <f t="shared" si="16"/>
        <v>0</v>
      </c>
      <c r="CS9" s="134">
        <f t="shared" si="17"/>
        <v>0</v>
      </c>
      <c r="CT9" s="115">
        <f t="shared" si="18"/>
        <v>0</v>
      </c>
      <c r="CU9" s="116">
        <f t="shared" si="19"/>
        <v>0</v>
      </c>
      <c r="CV9" s="116">
        <f t="shared" si="20"/>
        <v>0</v>
      </c>
      <c r="CW9" s="116">
        <f t="shared" si="21"/>
        <v>0</v>
      </c>
      <c r="CX9" s="116">
        <f t="shared" si="22"/>
        <v>0</v>
      </c>
      <c r="CY9" s="116">
        <f t="shared" si="23"/>
        <v>0</v>
      </c>
      <c r="CZ9" s="116">
        <f t="shared" si="24"/>
        <v>0</v>
      </c>
      <c r="DA9" s="116">
        <f t="shared" si="25"/>
        <v>0</v>
      </c>
      <c r="DB9" s="116">
        <f t="shared" si="26"/>
        <v>0</v>
      </c>
      <c r="DC9" s="116">
        <f t="shared" si="27"/>
        <v>0</v>
      </c>
      <c r="DD9" s="116">
        <f t="shared" si="28"/>
        <v>0</v>
      </c>
      <c r="DE9" s="117">
        <f t="shared" si="29"/>
        <v>0</v>
      </c>
      <c r="DF9" s="118">
        <f t="shared" si="31"/>
        <v>0</v>
      </c>
      <c r="DG9" s="106">
        <f t="shared" si="32"/>
        <v>0</v>
      </c>
      <c r="DH9" s="116">
        <f t="shared" si="33"/>
        <v>0</v>
      </c>
      <c r="DI9" s="106">
        <f t="shared" si="34"/>
        <v>0</v>
      </c>
      <c r="DJ9" s="116">
        <f>IF($D7="","",$D7)</f>
        <v>1</v>
      </c>
      <c r="DK9" s="466"/>
    </row>
    <row r="10" spans="1:115" ht="14.5" customHeight="1" x14ac:dyDescent="0.2">
      <c r="A10" s="487">
        <f>$A7+1</f>
        <v>3</v>
      </c>
      <c r="B10" s="506" t="str">
        <f>IF(OR(C10="W",C11="W",C12="W",C10="1/2W",C11="1/2W",C12="1/2W",C10="1/2L",C11="1/2L",C12="1/2L"),"OK",IF(OR(C10="L",C11="L",C12="L"),"LOSS",IF(OR(C10="X",C11="X",C12="X"),"Anulado"," ")))</f>
        <v>OK</v>
      </c>
      <c r="C10" s="147" t="s">
        <v>54</v>
      </c>
      <c r="D10" s="495">
        <f>IF(G10="","",$D7)</f>
        <v>1</v>
      </c>
      <c r="E10" s="511" t="str">
        <f>IF(G10=""," ","– "&amp;COUNTIF(D$4:D12,$D10))</f>
        <v>– 3</v>
      </c>
      <c r="F10" s="510" t="str">
        <f ca="1">IF(G10="","",IF(OR(AND($C10&lt;&gt;" ",$C11=" "),AND($C11&lt;&gt;" ",$C10=" "),AND(L12&gt;0,OR(AND($C12&lt;&gt;" ",OR($C10=" ",$C11=" ")),AND($C12=" ",OR($C10&lt;&gt;" ",$C11&lt;&gt;" "))))),IF(SUM(F$4:F9)=0,1,LARGE(F$4:F9,1)+1),IF(MONTH(G10)=MONTH(TODAY()),IF(AND(DAY(G10)&lt;DAY(TODAY()),$B10=" "),IF(SUM(F$4:F9)=0,1,LARGE(F$4:F9,1)+1),IF($B10=" ",IF(AND(DAY(G10)=DAY(TODAY()),HOUR(G10)&lt;=HOUR(NOW())+1),IF(AND(HOUR(G10)+2&lt;=HOUR(NOW()),DAY(G10)&lt;=DAY(TODAY()),MINUTE(G10)&lt;=MINUTE(NOW())),IF(SUM(F$4:F9)=0,1,LARGE(F$4:F9,1)+1),IF(OR(MINUTE(G10)&lt;=MINUTE(NOW()),HOUR(G10)&lt;=HOUR(NOW())),"!!!","")),""),"")),"")))</f>
        <v/>
      </c>
      <c r="G10" s="508">
        <v>44986.541666666664</v>
      </c>
      <c r="H10" s="502" t="s">
        <v>50</v>
      </c>
      <c r="I10" s="148">
        <v>1</v>
      </c>
      <c r="J10" s="149"/>
      <c r="K10" s="150" t="s">
        <v>40</v>
      </c>
      <c r="L10" s="151">
        <v>2.0699999999999998</v>
      </c>
      <c r="M10" s="152"/>
      <c r="N10" s="503">
        <v>0.1</v>
      </c>
      <c r="O10" s="153">
        <f>IF(OR(AE10="",AE11=""),"",ROUND(IF(L12&gt;0,IF(M10&gt;0,M10,IF(M11&gt;0,ROUND((M11*AE10)/AE11,IF(N10=0,2,IF(N10=0.1,1,0))),ROUND((M12*AE10)/AE12,IF(N10=0,2,IF(N10=0.1,1,0))))),IF(M10&gt;0,M10,ROUND((M11*AE10)/AE11,IF(N10=0,2,IF(N10=0.1,1,0))))),2))</f>
        <v>19.399999999999999</v>
      </c>
      <c r="P10" s="154">
        <f>IF(OR(L10="",O10=""),"",IF($C10="1/2W",O10/2+O10/2*L10,IF($C10="1/2L",O10/2,IF(I10="Lay",(O10*(L10/(L10-1))-O10)*(1-_xlfn.XLOOKUP(K10,'Fevereiro 2023 - Valor Real'!A3:A15,'Fevereiro 2023 - Valor Real'!C3:C15,0))+O10,(O10*L10-O10)*(1-_xlfn.XLOOKUP(K10,'Fevereiro 2023 - Valor Real'!A3:A15,'Fevereiro 2023 - Valor Real'!C3:C15,0))+O10))))</f>
        <v>40.157999999999994</v>
      </c>
      <c r="Q10" s="155">
        <f>IF(K10="","",IF(_xlfn.XLOOKUP(K10,K$4:K9,$DJ$4:DJ9,0,,-1)=DJ10,_xlfn.XLOOKUP(K10,K$4:K9,Q$4:Q9,1,,-1)+1,1))</f>
        <v>2</v>
      </c>
      <c r="R10" s="156">
        <f>IF(K10="","",_xlfn.XLOOKUP(K10,K$4:K9,R$4:R9,0,,-1)+IF($C10=" ",1,0))</f>
        <v>0</v>
      </c>
      <c r="S10" s="501">
        <f>IF($B10="Anulado",0,ROUND(IF(OR($B10="LOSS",$B10="OK"),IF(OR($C10="W",$C10="1/2W",$C10="1/2L"),P10-O10,IF($C10="L",-O10,0))+IF(OR($C11="W",$C11="1/2W",$C11="1/2L"),P11-O11,IF($C11="L",-O11,0))+IF(OR($C12="W",$C12="1/2W",$C12="1/2L"),P12-O12,IF($C12="L",-O12,0)),IF(AND(OR($C10="W",$C10="1/2W",$C10="1/2L"),C11="W"),P10+P11-SUM(O10:O12)+_xlfn.XLOOKUP("X",C10:C12,O10:O12,0),IF(AND(C10=TRUE,C12="W"),P10+P12-SUM(O10:O12),IF(AND(C11="W",C12="W"),P11+P12-SUM(O10:O12)+_xlfn.XLOOKUP("X",C10:C12,O10:O12,0),IF(L12&gt;0,IF(OR($C10="W",$C10="1/2W",$C10="1/2L"),P10-SUM(O10:O12)+_xlfn.XLOOKUP("X",C10:C12,O10:O12,0),IF(OR($C10="W",$C10="1/2W",$C10="1/2L"),P11-SUM(O10:O12)+_xlfn.XLOOKUP("X",C10:C12,O10:O12,0),IF(OR($C10="W",$C10="1/2W",$C10="1/2L"),P12-SUM(O10:O12)+_xlfn.XLOOKUP("X",C10:C12,O10:O12,0),IF(SUM(P10:P12)/3-SUM(O10:O12)+_xlfn.XLOOKUP("X",C10:C12,O10:O12,0)&gt;0,SUM(P10:P12)/3-SUM(O10:O12)+_xlfn.XLOOKUP("X",C10:C12,O10:O12,0),LARGE(P10:P12,1)-SUM(O10:O12))))),IF(OR($C10="W",$C10="1/2W",$C10="1/2L"),P10-SUM(O10:O11)+_xlfn.XLOOKUP("X",C10:C12,O10:O12,0),IF(OR($C10="W",$C10="1/2W",$C10="1/2L"),P11-SUM(O10:O11)+_xlfn.XLOOKUP("X",C10:C12,O10:O12,0),SUM(P10:P11)/2-SUM(O10:O11)+_xlfn.XLOOKUP("X",C10:C12,O10:O12,0)))))))),2))</f>
        <v>1.67</v>
      </c>
      <c r="T10" s="486">
        <f>IF(S10=0,0,S10/SUM(O10:O12))</f>
        <v>4.3387892959210188E-2</v>
      </c>
      <c r="U10" s="496">
        <f>IF($D10=$D7,IF(OR($B10="LOSS",$B10="OK",$B10="Anulada"),S10,0)+U7,IF(OR($B10="LOSS",$B10="OK",$B10="Anulada"),S10,0))</f>
        <v>1.67</v>
      </c>
      <c r="V10" s="496">
        <f>IF($D10="",0,IF($D10=$D7,IF($B10=" ",IF(I12="",IF(OR(AND(I10="DNB1",I11="DNB2"),AND(OR(I10="DNB1",I10="DNB2"),J11=0),AND(OR(I11="DNB1",I11="DNB2"),J10=0),AND(I10="DNB2",I11="DNB1"),AND(IF(J10=0,(J10+1)/ROUND(J10+1,0),J10/ROUND(J10,0))=1,IF(J11=0,(J11+1)/ROUND(IF(J11="",0,J11)+1,0),IF(J11="",0,J11)/ROUND(IF(J11="",1,J11),0))=1,OR(J10&lt;&gt;""),J11&lt;&gt;"")),0,IF(S10&lt;0,IF(I12="",SMALL(P10:P11,1)-SUM(O10:O11),0),SMALL(P10:P11,1)-SUM(O10:O11))),IF(S10&lt;0,IF(I12="",SMALL(P10:P12,1)-SUM(O10:O12),0),LARGE(P10:P12,1)-SUM(O10:O12))),S10)+V7,IF(I12="",IF(OR(AND(I10="DNB1",I11="DNB2"),AND(OR(I10="DNB1",I10="DNB2"),J11=0),AND(OR(I11="DNB1",I11="DNB2"),J10=0),AND(I10="DNB2",I11="DNB1"),AND(IF(J10=0,(J10+1)/ROUND(J10+1,0),J10/ROUND(J10,0))=1,IF(J11=0,(IF(J11="",0,J11)+1)/ROUND(IF(J11="",0,J11)+1,0),IF(J11="",0,J11)/ROUND(IF(J11="",0,J11)+1,0))=1,OR(J10&lt;&gt;""),J11&lt;&gt;"")),0,IF(S10&lt;0,IF(I12="",SMALL(P10:P11,1)-SUM(O10:O11),0),SMALL(P10:P12,1)-SUM(O10:O12))),IF(S10&lt;0,IF(I12="",SMALL(P10:P12,1)-SUM(O10:O12),0),LARGE(P10:P12,1)-SUM(O10:O12)))))</f>
        <v>1.67</v>
      </c>
      <c r="W10" s="496">
        <f>IF($D10=$D7,IF(S10&lt;0,IF(I12="",S10,0),S10)+W7,S10)</f>
        <v>1.67</v>
      </c>
      <c r="X10" s="505" t="str">
        <f>IF(OR(SUM(R10:R12)=0,V10=W10),ROUND(IF(W10=0,0,W10/Y10)*100,2)&amp;"%",ROUND(IF(V10=0,0,V10/Y10)*100,2)&amp;"% a "&amp;ROUND(IF(W10=0,0,W10/Y10)*100,2)&amp;"%")</f>
        <v>2,36%</v>
      </c>
      <c r="Y10" s="497">
        <f>IF($D10=$D7,Y7+SUM(O10:O12),SUM(O10:O12))</f>
        <v>70.819999999999993</v>
      </c>
      <c r="Z10" s="496">
        <f>IF($B10=" ",SUM(O10:O12),0)+Z7</f>
        <v>0</v>
      </c>
      <c r="AA10" s="496">
        <f>IF(G10="","",IF($B10="Anulado",LARGE(P10:P12,1)-SUM(O10:O12)+AA7,AA7))</f>
        <v>0.45899999999999785</v>
      </c>
      <c r="AB10" s="496">
        <f>IF($D10="","",AB7+S10)</f>
        <v>1.67</v>
      </c>
      <c r="AC10" s="499">
        <f ca="1">IF($D10="","",IF($B10=" ",IF(DAY(G10)=DAY(TODAY()),1+AC7,0+AC7),0+AC7))</f>
        <v>0</v>
      </c>
      <c r="AD10" s="157">
        <f>(1-_xlfn.XLOOKUP(K8,'Fevereiro 2023 - Valor Real'!A3:A15,'Fevereiro 2023 - Valor Real'!C3:C15,0))+1</f>
        <v>2</v>
      </c>
      <c r="AE10" s="158">
        <f>IF(L10="","",IF(L12&gt;0,(SUM(((L10-1)*(1-_xlfn.XLOOKUP(K10,'Fevereiro 2023 - Valor Real'!A3:A15,'Fevereiro 2023 - Valor Real'!C3:C15,0))+1),((L11-1)*(1-_xlfn.XLOOKUP(K11,'Fevereiro 2023 - Valor Real'!A3:A15,'Fevereiro 2023 - Valor Real'!C3:C15,0))+1),((L12-1)*(1-_xlfn.XLOOKUP(K12,'Fevereiro 2023 - Valor Real'!A3:A15,'Fevereiro 2023 - Valor Real'!C3:C15,0))+1))/((L10-1)*(1-_xlfn.XLOOKUP(K10,'Fevereiro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Real'!C3:C15,0))+1))/((L10-1)*(1-_xlfn.XLOOKUP(K10,'Fevereiro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Real'!C3:C15,0))+1))/((L11-1)*(1-_xlfn.XLOOKUP(K11,'Fevereiro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Real'!C3:C15,0))+1))/((L12-1)*(1-_xlfn.XLOOKUP(K12,'Fevereiro 2023 - Valor Real'!A3:A15,'Fevereiro 2023 - Valor Real'!C3:C15,0))+1)),IF(I10="Lay",IF(I11="Lay",((L11/(L11-1)-1)*(1-_xlfn.XLOOKUP(K11,'Fevereiro 2023 - Valor Real'!A3:A15,'Fevereiro 2023 - Valor Real'!C3:C15,0))+1)/(((L11/(L11-1)-1)*(1-_xlfn.XLOOKUP(K11,'Fevereiro 2023 - Valor Real'!A3:A15,'Fevereiro 2023 - Valor Real'!C3:C15,0))+1)+((L10/(L10-1)-1)*(1-_xlfn.XLOOKUP(K10,'Fevereiro 2023 - Valor Real'!A3:A15,'Fevereiro 2023 - Valor Real'!C3:C15,0))+1)),((L11-1)*(1-_xlfn.XLOOKUP(K11,'Fevereiro 2023 - Valor Real'!A3:A15,'Fevereiro 2023 - Valor Real'!C3:C15,0))+1)/(((L11-1)*(1-_xlfn.XLOOKUP(K11,'Fevereiro 2023 - Valor Real'!A3:A15,'Fevereiro 2023 - Valor Real'!C3:C15,0))+1)+((L10/(L10-1)-1)*(1-_xlfn.XLOOKUP(K10,'Fevereiro 2023 - Valor Real'!A3:A15,'Fevereiro 2023 - Valor Real'!C3:C15,0))+1))),IF(I11="Lay",(((L11/(L11-1)-1)*(1-_xlfn.XLOOKUP(K11,'Fevereiro 2023 - Valor Real'!A3:A15,'Fevereiro 2023 - Valor Real'!C3:C15,0))+1))/(((L10-1)*(1-_xlfn.XLOOKUP(K10,'Fevereiro 2023 - Valor Real'!A3:A15,'Fevereiro 2023 - Valor Real'!C3:C15,0))+1)+((L11/(L11-1)-1)*(1-_xlfn.XLOOKUP(K11,'Fevereiro 2023 - Valor Real'!A3:A15,'Fevereiro 2023 - Valor Real'!C3:C15,0))+1)),((L11-1)*(1-_xlfn.XLOOKUP(K11,'Fevereiro 2023 - Valor Real'!A3:A15,'Fevereiro 2023 - Valor Real'!C3:C15,0))+1)/(((L11-1)*(1-_xlfn.XLOOKUP(K11,'Fevereiro 2023 - Valor Real'!A3:A15,'Fevereiro 2023 - Valor Real'!C3:C15,0))+1)+((L10-1)*(1-_xlfn.XLOOKUP(K10,'Fevereiro 2023 - Valor Real'!A3:A15,'Fevereiro 2023 - Valor Real'!C3:C15,0))+1))))))</f>
        <v>0.50359712230215825</v>
      </c>
      <c r="AF10" s="66">
        <f t="shared" si="0"/>
        <v>0</v>
      </c>
      <c r="AG10" s="67">
        <f t="shared" si="0"/>
        <v>0</v>
      </c>
      <c r="AH10" s="67">
        <f t="shared" si="0"/>
        <v>0</v>
      </c>
      <c r="AI10" s="67">
        <f t="shared" si="0"/>
        <v>0</v>
      </c>
      <c r="AJ10" s="67">
        <f t="shared" si="0"/>
        <v>20.76</v>
      </c>
      <c r="AK10" s="67">
        <f t="shared" si="0"/>
        <v>0</v>
      </c>
      <c r="AL10" s="67">
        <f t="shared" si="0"/>
        <v>0</v>
      </c>
      <c r="AM10" s="67">
        <f t="shared" si="0"/>
        <v>0</v>
      </c>
      <c r="AN10" s="67">
        <f t="shared" si="0"/>
        <v>0</v>
      </c>
      <c r="AO10" s="67">
        <f t="shared" si="0"/>
        <v>0</v>
      </c>
      <c r="AP10" s="67">
        <f t="shared" si="0"/>
        <v>0</v>
      </c>
      <c r="AQ10" s="67">
        <f t="shared" si="0"/>
        <v>0</v>
      </c>
      <c r="AR10" s="68">
        <f t="shared" si="0"/>
        <v>0</v>
      </c>
      <c r="AS10" s="66">
        <f t="shared" ref="AS10:BE10" si="40">IF(AND($B10=" ",$K10=AS$3),$O10,0)</f>
        <v>0</v>
      </c>
      <c r="AT10" s="67">
        <f t="shared" si="40"/>
        <v>0</v>
      </c>
      <c r="AU10" s="67">
        <f t="shared" si="40"/>
        <v>0</v>
      </c>
      <c r="AV10" s="67">
        <f t="shared" si="40"/>
        <v>0</v>
      </c>
      <c r="AW10" s="67">
        <f t="shared" si="40"/>
        <v>0</v>
      </c>
      <c r="AX10" s="67">
        <f t="shared" si="40"/>
        <v>0</v>
      </c>
      <c r="AY10" s="69">
        <f t="shared" si="40"/>
        <v>0</v>
      </c>
      <c r="AZ10" s="70">
        <f t="shared" si="40"/>
        <v>0</v>
      </c>
      <c r="BA10" s="70">
        <f t="shared" si="40"/>
        <v>0</v>
      </c>
      <c r="BB10" s="70">
        <f t="shared" si="40"/>
        <v>0</v>
      </c>
      <c r="BC10" s="71">
        <f t="shared" si="40"/>
        <v>0</v>
      </c>
      <c r="BD10" s="67">
        <f t="shared" si="40"/>
        <v>0</v>
      </c>
      <c r="BE10" s="68">
        <f t="shared" si="40"/>
        <v>0</v>
      </c>
      <c r="BF10" s="66">
        <f t="shared" si="2"/>
        <v>0</v>
      </c>
      <c r="BG10" s="67">
        <f t="shared" si="2"/>
        <v>0</v>
      </c>
      <c r="BH10" s="67">
        <f t="shared" si="2"/>
        <v>0</v>
      </c>
      <c r="BI10" s="67">
        <f t="shared" si="2"/>
        <v>0</v>
      </c>
      <c r="BJ10" s="67">
        <f t="shared" si="2"/>
        <v>19.399999999999999</v>
      </c>
      <c r="BK10" s="67">
        <f t="shared" si="2"/>
        <v>0</v>
      </c>
      <c r="BL10" s="67">
        <f t="shared" si="2"/>
        <v>0</v>
      </c>
      <c r="BM10" s="69">
        <f t="shared" si="2"/>
        <v>0</v>
      </c>
      <c r="BN10" s="70">
        <f t="shared" si="2"/>
        <v>0</v>
      </c>
      <c r="BO10" s="70">
        <f t="shared" si="2"/>
        <v>0</v>
      </c>
      <c r="BP10" s="70">
        <f t="shared" si="2"/>
        <v>0</v>
      </c>
      <c r="BQ10" s="71">
        <f t="shared" si="2"/>
        <v>0</v>
      </c>
      <c r="BR10" s="68">
        <f t="shared" si="2"/>
        <v>0</v>
      </c>
      <c r="BS10" s="490">
        <f>IF($B10="LOSS",IF(AND($K10=BS$3,$C10="L"),-$O10,0)+IF(AND($K11=BS$3,$C11="L"),-$O11,0)+IF(AND($K12=BS$3,$C12="L"),-$O12,0),IF(OR(AND($K10=BS$3,OR($C10="W",$C10="1/2W")),AND($K11=BS$3,OR($C11="W",$C11="1/2W")),AND($K12=BS$3,OR($C12="W",$C12="1/2W"))),$S10,0))</f>
        <v>0</v>
      </c>
      <c r="BT10" s="498">
        <f>IF($B10="LOSS",IF(AND($K10=BT$3,$C10="L"),-$O10,0)+IF(AND($K11=BT$3,$C11="L"),-$O11,0)+IF(AND($K11=BT$3,$C12="L"),-$O12,0),IF(OR(AND($K11=BT$3,OR($C10="W",$C10="1/2W")),AND($K11=BT$3,OR($C11="W",$C11="1/2W")),AND($K11=BT$3,OR($C12="W",$C12="1/2W"))),$S10,0))</f>
        <v>0</v>
      </c>
      <c r="BU10" s="488">
        <f>IF($B10="LOSS",IF(AND($K10=BU$3,$C10="L"),-$O10,0)+IF(AND($K11=BU$3,$C11="L"),-$O11,0)+IF(AND($K11=BU$3,$C12="L"),-$O12,0),IF(OR(AND($K11=BU$3,OR($C10="W",$C10="1/2W")),AND($K11=BU$3,OR($C11="W",$C11="1/2W")),AND($K11=BU$3,OR($C12="W",$C12="1/2W"))),$S10,0))</f>
        <v>0</v>
      </c>
      <c r="BV10" s="488">
        <f t="shared" ref="BV10:CE10" si="41">IF($B10="LOSS",IF(AND($K10=BV$3,$C10="L"),-$O10,0)+IF(AND($K11=BV$3,$C11="L"),-$O11,0)+IF(AND($K12=BV$3,$C12="L"),-$O12,0),IF(OR(AND($K10=BV$3,OR($C10="W",$C10="1/2W")),AND($K11=BV$3,OR($C11="W",$C11="1/2W")),AND($K12=BV$3,OR($C12="W",$C12="1/2W"))),$S10,0))</f>
        <v>0</v>
      </c>
      <c r="BW10" s="488">
        <f t="shared" si="41"/>
        <v>1.67</v>
      </c>
      <c r="BX10" s="488">
        <f t="shared" si="41"/>
        <v>0</v>
      </c>
      <c r="BY10" s="488">
        <f t="shared" si="41"/>
        <v>0</v>
      </c>
      <c r="BZ10" s="488">
        <f t="shared" si="41"/>
        <v>0</v>
      </c>
      <c r="CA10" s="488">
        <f t="shared" si="41"/>
        <v>0</v>
      </c>
      <c r="CB10" s="488">
        <f t="shared" si="41"/>
        <v>0</v>
      </c>
      <c r="CC10" s="488">
        <f t="shared" si="41"/>
        <v>0</v>
      </c>
      <c r="CD10" s="500">
        <f t="shared" si="41"/>
        <v>0</v>
      </c>
      <c r="CE10" s="504">
        <f t="shared" si="41"/>
        <v>0</v>
      </c>
      <c r="CF10" s="160">
        <f t="shared" si="4"/>
        <v>0</v>
      </c>
      <c r="CG10" s="161">
        <f t="shared" si="5"/>
        <v>0</v>
      </c>
      <c r="CH10" s="161">
        <f t="shared" si="6"/>
        <v>0</v>
      </c>
      <c r="CI10" s="161">
        <f t="shared" si="7"/>
        <v>0</v>
      </c>
      <c r="CJ10" s="161">
        <f t="shared" si="8"/>
        <v>0</v>
      </c>
      <c r="CK10" s="161">
        <f t="shared" si="9"/>
        <v>0</v>
      </c>
      <c r="CL10" s="161">
        <f t="shared" si="10"/>
        <v>0</v>
      </c>
      <c r="CM10" s="161">
        <f t="shared" si="11"/>
        <v>0</v>
      </c>
      <c r="CN10" s="161">
        <f t="shared" si="12"/>
        <v>1</v>
      </c>
      <c r="CO10" s="161">
        <f t="shared" si="13"/>
        <v>0</v>
      </c>
      <c r="CP10" s="161">
        <f t="shared" si="14"/>
        <v>0</v>
      </c>
      <c r="CQ10" s="161">
        <f t="shared" si="15"/>
        <v>0</v>
      </c>
      <c r="CR10" s="161">
        <f t="shared" si="16"/>
        <v>0</v>
      </c>
      <c r="CS10" s="161">
        <f t="shared" si="17"/>
        <v>0</v>
      </c>
      <c r="CT10" s="75">
        <f t="shared" si="18"/>
        <v>0</v>
      </c>
      <c r="CU10" s="76">
        <f t="shared" si="19"/>
        <v>0</v>
      </c>
      <c r="CV10" s="76">
        <f t="shared" si="20"/>
        <v>0</v>
      </c>
      <c r="CW10" s="76">
        <f t="shared" si="21"/>
        <v>0</v>
      </c>
      <c r="CX10" s="76">
        <f t="shared" si="22"/>
        <v>0</v>
      </c>
      <c r="CY10" s="76">
        <f t="shared" si="23"/>
        <v>0</v>
      </c>
      <c r="CZ10" s="76">
        <f t="shared" si="24"/>
        <v>0</v>
      </c>
      <c r="DA10" s="76">
        <f t="shared" si="25"/>
        <v>0</v>
      </c>
      <c r="DB10" s="76">
        <f t="shared" si="26"/>
        <v>0</v>
      </c>
      <c r="DC10" s="76">
        <f t="shared" si="27"/>
        <v>0</v>
      </c>
      <c r="DD10" s="76">
        <f t="shared" si="28"/>
        <v>0</v>
      </c>
      <c r="DE10" s="77">
        <f t="shared" si="29"/>
        <v>0</v>
      </c>
      <c r="DF10" s="73">
        <f t="shared" si="31"/>
        <v>0</v>
      </c>
      <c r="DG10" s="67">
        <f t="shared" si="32"/>
        <v>0</v>
      </c>
      <c r="DH10" s="76">
        <f t="shared" si="33"/>
        <v>0</v>
      </c>
      <c r="DI10" s="67">
        <f t="shared" si="34"/>
        <v>0</v>
      </c>
      <c r="DJ10" s="76">
        <f>IF($D10="","",$D10)</f>
        <v>1</v>
      </c>
      <c r="DK10" s="492">
        <f>IF(AND($B10=" ",$D10&lt;&gt;""),1,0)</f>
        <v>0</v>
      </c>
    </row>
    <row r="11" spans="1:115" ht="14.5" customHeight="1" x14ac:dyDescent="0.2">
      <c r="A11" s="389"/>
      <c r="B11" s="456"/>
      <c r="C11" s="53" t="s">
        <v>55</v>
      </c>
      <c r="D11" s="374"/>
      <c r="E11" s="386"/>
      <c r="F11" s="377"/>
      <c r="G11" s="508"/>
      <c r="H11" s="476"/>
      <c r="I11" s="162">
        <v>2</v>
      </c>
      <c r="J11" s="163" t="str">
        <f>IF(OR(I10="TO",I10="TU",I10="TO1",I10="TU1",I10="TO2",I10="TU2"),J10,IF(OR(I10="AH1",I10="AH2"),IF(OR(I11="AH1",I11="AH2"),-J10,IF(OR(I11="EH1",I11="EH2"),-J10+0.5,"")),IF(OR(I10="EH1",I10="EH2"),IF(OR(I11="AH1",I11="AH2"),-J10+0.5,IF(OR(I11="EH1",I11="EH2"),-J10+1,"")),IF(AND(OR(I10="DNB1",I10="DNB2"),OR(I11="AH1",I11="AH2")),0,IF(AND(I10="Not ScoreBoth",OR(I11="TO1",I11="TO2")),0.5,"")))))</f>
        <v/>
      </c>
      <c r="K11" s="57" t="s">
        <v>36</v>
      </c>
      <c r="L11" s="164">
        <v>2.1</v>
      </c>
      <c r="M11" s="165">
        <v>19.09</v>
      </c>
      <c r="N11" s="406"/>
      <c r="O11" s="60">
        <f>IF(OR(AE10="",AE11=""),"",ROUND(IF(L12&gt;0,IF(M11&gt;0,M11,IF(M10&gt;0,IF(N10=TRUE,ROUND((M10*AE11)/AE10,0),(M10*AE11)/AE10),IF(M11&gt;0,ROUND(M11,IF(N10=0,2,IF(N10=0.1,1,0))),IF(M12&gt;0,ROUND(O12*AE11/AE12,IF(N10=0,2,IF(N10=0.1,1,0))),0)))),IF(M11&gt;0,M11,ROUND((M10*AE11)/AE10,IF(N10=0,2,IF(N10=0.1,1,0))))),2))</f>
        <v>19.09</v>
      </c>
      <c r="P11" s="61">
        <f>IF(OR(L11="",O11=""),"",IF($C11="1/2W",O11/2+O11/2*L11,IF($C11="1/2L",O11/2,IF(I11="Lay",((O11*(L11/(L11-1)))-O11)*(1-_xlfn.XLOOKUP(K11,'Fevereiro 2023 - Valor Real'!A3:A15,'Fevereiro 2023 - Valor Real'!C3:C15,0))+O11,(O11*L11-O11)*(1-_xlfn.XLOOKUP(K11,'Fevereiro 2023 - Valor Real'!A3:A15,'Fevereiro 2023 - Valor Real'!C3:C15,0))+O11))))</f>
        <v>40.088999999999999</v>
      </c>
      <c r="Q11" s="166">
        <f>IF(K11="","",IF(_xlfn.XLOOKUP(K11,K$4:K10,$DJ$4:DJ10,0,,-1)=DJ11,_xlfn.XLOOKUP(K11,K$4:K10,Q$4:Q10,1,,-1)+1,1))</f>
        <v>1</v>
      </c>
      <c r="R11" s="167">
        <f>IF(K11="","",_xlfn.XLOOKUP(K11,K$4:K10,R$4:R10,0,,-1)+IF($C11=" ",1,0))</f>
        <v>0</v>
      </c>
      <c r="S11" s="403"/>
      <c r="T11" s="380"/>
      <c r="U11" s="380"/>
      <c r="V11" s="481"/>
      <c r="W11" s="380"/>
      <c r="X11" s="452"/>
      <c r="Y11" s="383"/>
      <c r="Z11" s="384"/>
      <c r="AA11" s="384"/>
      <c r="AB11" s="384"/>
      <c r="AC11" s="384"/>
      <c r="AD11" s="64"/>
      <c r="AE11" s="65">
        <f>IF(L11="","",IF(L12&gt;0,(SUM(((L10-1)*(1-_xlfn.XLOOKUP(K10,'Fevereiro 2023 - Valor Real'!A3:A15,'Fevereiro 2023 - Valor Real'!C3:C15,0))+1),((L11-1)*(1-_xlfn.XLOOKUP(K11,'Fevereiro 2023 - Valor Real'!A3:A15,'Fevereiro 2023 - Valor Real'!C3:C15,0))+1),((L12-1)*(1-_xlfn.XLOOKUP(K12,'Fevereiro 2023 - Valor Real'!A3:A15,'Fevereiro 2023 - Valor Real'!C3:C15,0))+1))/((L11-1)*(1-_xlfn.XLOOKUP(K11,'Fevereiro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Real'!C3:C15,0))+1))/((L10-1)*(1-_xlfn.XLOOKUP(K10,'Fevereiro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Real'!C3:C15,0))+1))/((L11-1)*(1-_xlfn.XLOOKUP(K11,'Fevereiro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Real'!C3:C15,0))+1))/((L12-1)*(1-_xlfn.XLOOKUP(K12,'Fevereiro 2023 - Valor Real'!A3:A15,'Fevereiro 2023 - Valor Real'!C3:C15,0))+1)),IF(I11="Lay",IF(I10="Lay",((L10/(L10-1)-1)*(1-_xlfn.XLOOKUP(K10,'Fevereiro 2023 - Valor Real'!A3:A15,'Fevereiro 2023 - Valor Real'!C3:C15,0))+1)/(((L10/(L10-1)-1)*(1-_xlfn.XLOOKUP(K10,'Fevereiro 2023 - Valor Real'!A3:A15,'Fevereiro 2023 - Valor Real'!C3:C15,0))+1)+((L11/(L11-1)-1)*(1-_xlfn.XLOOKUP(K11,'Fevereiro 2023 - Valor Real'!A3:A15,'Fevereiro 2023 - Valor Real'!C3:C15,0))+1)),((L10-1)*(1-_xlfn.XLOOKUP(K10,'Fevereiro 2023 - Valor Real'!A3:A15,'Fevereiro 2023 - Valor Real'!C3:C15,0))+1)/(((L10-1)*(1-_xlfn.XLOOKUP(K10,'Fevereiro 2023 - Valor Real'!A3:A15,'Fevereiro 2023 - Valor Real'!C3:C15,0))+1)+((L11/(L11-1)-1)*(1-_xlfn.XLOOKUP(K11,'Fevereiro 2023 - Valor Real'!A3:A15,'Fevereiro 2023 - Valor Real'!C3:C15,0))+1))),IF(I10="Lay",((L10/(L10-1)-1)*(1-_xlfn.XLOOKUP(K10,'Fevereiro 2023 - Valor Real'!A3:A15,'Fevereiro 2023 - Valor Real'!C3:C15,0))+1)/((((L10/(L10-1)-1)*(1-_xlfn.XLOOKUP(K10,'Fevereiro 2023 - Valor Real'!A3:A15,'Fevereiro 2023 - Valor Real'!C3:C15,0))+1))+((L11-1)*(1-_xlfn.XLOOKUP(K11,'Fevereiro 2023 - Valor Real'!A3:A15,'Fevereiro 2023 - Valor Real'!C3:C15,0))+1)),((L10-1)*(1-_xlfn.XLOOKUP(K10,'Fevereiro 2023 - Valor Real'!A3:A15,'Fevereiro 2023 - Valor Real'!C3:C15,0))+1)/(((L10-1)*(1-_xlfn.XLOOKUP(K10,'Fevereiro 2023 - Valor Real'!A3:A15,'Fevereiro 2023 - Valor Real'!C3:C15,0))+1)+((L11-1)*(1-_xlfn.XLOOKUP(K11,'Fevereiro 2023 - Valor Real'!A3:A15,'Fevereiro 2023 - Valor Real'!C3:C15,0))+1))))))</f>
        <v>0.49640287769784169</v>
      </c>
      <c r="AF11" s="66">
        <f t="shared" si="0"/>
        <v>-19.09</v>
      </c>
      <c r="AG11" s="67">
        <f t="shared" si="0"/>
        <v>0</v>
      </c>
      <c r="AH11" s="67">
        <f t="shared" si="0"/>
        <v>0</v>
      </c>
      <c r="AI11" s="67">
        <f t="shared" si="0"/>
        <v>0</v>
      </c>
      <c r="AJ11" s="67">
        <f t="shared" si="0"/>
        <v>0</v>
      </c>
      <c r="AK11" s="67">
        <f t="shared" si="0"/>
        <v>0</v>
      </c>
      <c r="AL11" s="67">
        <f t="shared" si="0"/>
        <v>0</v>
      </c>
      <c r="AM11" s="67">
        <f t="shared" si="0"/>
        <v>0</v>
      </c>
      <c r="AN11" s="67">
        <f t="shared" si="0"/>
        <v>0</v>
      </c>
      <c r="AO11" s="67">
        <f t="shared" si="0"/>
        <v>0</v>
      </c>
      <c r="AP11" s="67">
        <f t="shared" si="0"/>
        <v>0</v>
      </c>
      <c r="AQ11" s="67">
        <f t="shared" si="0"/>
        <v>0</v>
      </c>
      <c r="AR11" s="68">
        <f t="shared" si="0"/>
        <v>0</v>
      </c>
      <c r="AS11" s="66">
        <f>IF(AND($B10=" ",$K11=AS$3),$O11,0)</f>
        <v>0</v>
      </c>
      <c r="AT11" s="67">
        <f>IF(AND($B10=" ",K11=AT$3),$O11,0)</f>
        <v>0</v>
      </c>
      <c r="AU11" s="67">
        <f t="shared" ref="AU11:BE11" si="42">IF(AND($B10=" ",$K11=AU$3),$O11,0)</f>
        <v>0</v>
      </c>
      <c r="AV11" s="67">
        <f t="shared" si="42"/>
        <v>0</v>
      </c>
      <c r="AW11" s="67">
        <f t="shared" si="42"/>
        <v>0</v>
      </c>
      <c r="AX11" s="67">
        <f t="shared" si="42"/>
        <v>0</v>
      </c>
      <c r="AY11" s="69">
        <f t="shared" si="42"/>
        <v>0</v>
      </c>
      <c r="AZ11" s="70">
        <f t="shared" si="42"/>
        <v>0</v>
      </c>
      <c r="BA11" s="70">
        <f t="shared" si="42"/>
        <v>0</v>
      </c>
      <c r="BB11" s="70">
        <f t="shared" si="42"/>
        <v>0</v>
      </c>
      <c r="BC11" s="71">
        <f t="shared" si="42"/>
        <v>0</v>
      </c>
      <c r="BD11" s="67">
        <f t="shared" si="42"/>
        <v>0</v>
      </c>
      <c r="BE11" s="68">
        <f t="shared" si="42"/>
        <v>0</v>
      </c>
      <c r="BF11" s="66">
        <f t="shared" si="2"/>
        <v>19.09</v>
      </c>
      <c r="BG11" s="168">
        <f t="shared" si="2"/>
        <v>0</v>
      </c>
      <c r="BH11" s="67">
        <f t="shared" si="2"/>
        <v>0</v>
      </c>
      <c r="BI11" s="67">
        <f t="shared" si="2"/>
        <v>0</v>
      </c>
      <c r="BJ11" s="67">
        <f t="shared" si="2"/>
        <v>0</v>
      </c>
      <c r="BK11" s="67">
        <f t="shared" si="2"/>
        <v>0</v>
      </c>
      <c r="BL11" s="67">
        <f t="shared" si="2"/>
        <v>0</v>
      </c>
      <c r="BM11" s="69">
        <f t="shared" si="2"/>
        <v>0</v>
      </c>
      <c r="BN11" s="70">
        <f t="shared" si="2"/>
        <v>0</v>
      </c>
      <c r="BO11" s="70">
        <f t="shared" si="2"/>
        <v>0</v>
      </c>
      <c r="BP11" s="70">
        <f t="shared" si="2"/>
        <v>0</v>
      </c>
      <c r="BQ11" s="71">
        <f t="shared" si="2"/>
        <v>0</v>
      </c>
      <c r="BR11" s="68">
        <f t="shared" si="2"/>
        <v>0</v>
      </c>
      <c r="BS11" s="491"/>
      <c r="BT11" s="489"/>
      <c r="BU11" s="392"/>
      <c r="BV11" s="489"/>
      <c r="BW11" s="392"/>
      <c r="BX11" s="392"/>
      <c r="BY11" s="392"/>
      <c r="BZ11" s="489"/>
      <c r="CA11" s="392"/>
      <c r="CB11" s="392"/>
      <c r="CC11" s="392"/>
      <c r="CD11" s="401"/>
      <c r="CE11" s="409"/>
      <c r="CF11" s="169">
        <f t="shared" si="4"/>
        <v>0</v>
      </c>
      <c r="CG11" s="170">
        <f t="shared" si="5"/>
        <v>1</v>
      </c>
      <c r="CH11" s="170">
        <f t="shared" si="6"/>
        <v>0</v>
      </c>
      <c r="CI11" s="170">
        <f t="shared" si="7"/>
        <v>0</v>
      </c>
      <c r="CJ11" s="170">
        <f t="shared" si="8"/>
        <v>0</v>
      </c>
      <c r="CK11" s="170">
        <f t="shared" si="9"/>
        <v>0</v>
      </c>
      <c r="CL11" s="170">
        <f t="shared" si="10"/>
        <v>0</v>
      </c>
      <c r="CM11" s="170">
        <f t="shared" si="11"/>
        <v>0</v>
      </c>
      <c r="CN11" s="170">
        <f t="shared" si="12"/>
        <v>0</v>
      </c>
      <c r="CO11" s="170">
        <f t="shared" si="13"/>
        <v>0</v>
      </c>
      <c r="CP11" s="170">
        <f t="shared" si="14"/>
        <v>0</v>
      </c>
      <c r="CQ11" s="170">
        <f t="shared" si="15"/>
        <v>0</v>
      </c>
      <c r="CR11" s="170">
        <f t="shared" si="16"/>
        <v>0</v>
      </c>
      <c r="CS11" s="170">
        <f t="shared" si="17"/>
        <v>0</v>
      </c>
      <c r="CT11" s="75">
        <f t="shared" si="18"/>
        <v>0</v>
      </c>
      <c r="CU11" s="76">
        <f t="shared" si="19"/>
        <v>0</v>
      </c>
      <c r="CV11" s="76">
        <f t="shared" si="20"/>
        <v>0</v>
      </c>
      <c r="CW11" s="76">
        <f t="shared" si="21"/>
        <v>0</v>
      </c>
      <c r="CX11" s="76">
        <f t="shared" si="22"/>
        <v>0</v>
      </c>
      <c r="CY11" s="76">
        <f t="shared" si="23"/>
        <v>0</v>
      </c>
      <c r="CZ11" s="76">
        <f t="shared" si="24"/>
        <v>0</v>
      </c>
      <c r="DA11" s="76">
        <f t="shared" si="25"/>
        <v>0</v>
      </c>
      <c r="DB11" s="76">
        <f t="shared" si="26"/>
        <v>0</v>
      </c>
      <c r="DC11" s="76">
        <f t="shared" si="27"/>
        <v>0</v>
      </c>
      <c r="DD11" s="76">
        <f t="shared" si="28"/>
        <v>0</v>
      </c>
      <c r="DE11" s="77">
        <f t="shared" si="29"/>
        <v>0</v>
      </c>
      <c r="DF11" s="73">
        <f t="shared" si="31"/>
        <v>0</v>
      </c>
      <c r="DG11" s="67">
        <f t="shared" si="32"/>
        <v>0</v>
      </c>
      <c r="DH11" s="76">
        <f t="shared" si="33"/>
        <v>0</v>
      </c>
      <c r="DI11" s="67">
        <f t="shared" si="34"/>
        <v>0</v>
      </c>
      <c r="DJ11" s="76">
        <f>IF($D10="","",$D10)</f>
        <v>1</v>
      </c>
      <c r="DK11" s="493"/>
    </row>
    <row r="12" spans="1:115" ht="14.5" customHeight="1" x14ac:dyDescent="0.2">
      <c r="A12" s="390"/>
      <c r="B12" s="457"/>
      <c r="C12" s="79" t="s">
        <v>53</v>
      </c>
      <c r="D12" s="375"/>
      <c r="E12" s="387"/>
      <c r="F12" s="378"/>
      <c r="G12" s="508"/>
      <c r="H12" s="477"/>
      <c r="I12" s="171"/>
      <c r="J12" s="172"/>
      <c r="K12" s="81"/>
      <c r="L12" s="173"/>
      <c r="M12" s="174"/>
      <c r="N12" s="407"/>
      <c r="O12" s="86" t="str">
        <f>IF(OR(AE10="",AE11=""),"",IF(L12&gt;0,ROUND(IF(M12&gt;0,M12,IF(M10&gt;0,ROUND((M10*AE12)/AE10,IF(N10=0,2,IF(N10=0.1,1,0))),IF(M11&gt;0,ROUND((M11*AE12)/AE11,IF(N10=0,2,IF(N10=0.1,1,0))),IF(M12&gt;0,M12,0)))),2),""))</f>
        <v/>
      </c>
      <c r="P12" s="87" t="str">
        <f>IF(I11="Lay",O11*(L11/(L11-1))-O11,IF(I10="Lay",O10*(L10/(L10-1))-O10,IF(OR(L12="",O12=""),"",IF($C12="1/2W",O12/2+O12/2*L12,IF($C12="1/2L",O12/2,(O12*L12-O12)*(1-_xlfn.XLOOKUP(K12,'Fevereiro 2023 - Valor Real'!A3:A15,'Fevereiro 2023 - Valor Real'!C3:C15,0))+O12)))))</f>
        <v/>
      </c>
      <c r="Q12" s="80" t="str">
        <f>IF(K12="","",IF(_xlfn.XLOOKUP(K12,K$4:K11,$DJ$4:DJ11,0,,-1)=DJ12,_xlfn.XLOOKUP(K12,K$4:K11,Q$4:Q11,1,,-1)+1,1))</f>
        <v/>
      </c>
      <c r="R12" s="87" t="str">
        <f>IF(K12="","",_xlfn.XLOOKUP(K12,K$4:K11,R$4:R11,0,,-1)+IF($C12=" ",1,0))</f>
        <v/>
      </c>
      <c r="S12" s="404"/>
      <c r="T12" s="378"/>
      <c r="U12" s="378"/>
      <c r="V12" s="404"/>
      <c r="W12" s="378"/>
      <c r="X12" s="453"/>
      <c r="Y12" s="383"/>
      <c r="Z12" s="384"/>
      <c r="AA12" s="384"/>
      <c r="AB12" s="384"/>
      <c r="AC12" s="384"/>
      <c r="AD12" s="90"/>
      <c r="AE12" s="91" t="str">
        <f>IF(L12="","",(SUM(((L10-1)*(1-_xlfn.XLOOKUP(K10,'Fevereiro 2023 - Valor Real'!A3:A15,'Fevereiro 2023 - Valor Real'!C3:C15,0))+1),((L11-1)*(1-_xlfn.XLOOKUP(K11,'Fevereiro 2023 - Valor Real'!A3:A15,'Fevereiro 2023 - Valor Real'!C3:C15,0))+1),((L12-1)*(1-_xlfn.XLOOKUP(K12,'Fevereiro 2023 - Valor Real'!A3:A15,'Fevereiro 2023 - Valor Real'!C3:C15,0))+1))/((L12-1)*(1-_xlfn.XLOOKUP(K12,'Fevereiro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Real'!C3:C15,0))+1))/((L10-1)*(1-_xlfn.XLOOKUP(K10,'Fevereiro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Real'!C3:C15,0))+1))/((L11-1)*(1-_xlfn.XLOOKUP(K11,'Fevereiro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Real'!C3:C15,0))+1))/((L12-1)*(1-_xlfn.XLOOKUP(K12,'Fevereiro 2023 - Valor Real'!A3:A15,'Fevereiro 2023 - Valor Real'!C3:C15,0))+1)))</f>
        <v/>
      </c>
      <c r="AF12" s="66">
        <f t="shared" si="0"/>
        <v>0</v>
      </c>
      <c r="AG12" s="67">
        <f t="shared" si="0"/>
        <v>0</v>
      </c>
      <c r="AH12" s="67">
        <f t="shared" si="0"/>
        <v>0</v>
      </c>
      <c r="AI12" s="67">
        <f t="shared" si="0"/>
        <v>0</v>
      </c>
      <c r="AJ12" s="67">
        <f t="shared" si="0"/>
        <v>0</v>
      </c>
      <c r="AK12" s="67">
        <f t="shared" si="0"/>
        <v>0</v>
      </c>
      <c r="AL12" s="67">
        <f t="shared" si="0"/>
        <v>0</v>
      </c>
      <c r="AM12" s="67">
        <f t="shared" si="0"/>
        <v>0</v>
      </c>
      <c r="AN12" s="67">
        <f t="shared" si="0"/>
        <v>0</v>
      </c>
      <c r="AO12" s="67">
        <f t="shared" si="0"/>
        <v>0</v>
      </c>
      <c r="AP12" s="67">
        <f t="shared" si="0"/>
        <v>0</v>
      </c>
      <c r="AQ12" s="67">
        <f t="shared" si="0"/>
        <v>0</v>
      </c>
      <c r="AR12" s="68">
        <f t="shared" si="0"/>
        <v>0</v>
      </c>
      <c r="AS12" s="66">
        <f>IF(AND($B10=" ",$K12=AS$3),$O12,0)</f>
        <v>0</v>
      </c>
      <c r="AT12" s="67">
        <f>IF(AND($B10=" ",K12=AT$3),$O12,0)</f>
        <v>0</v>
      </c>
      <c r="AU12" s="67">
        <f t="shared" ref="AU12:BE12" si="43">IF(AND($B10=" ",$K12=AU$3),$O12,0)</f>
        <v>0</v>
      </c>
      <c r="AV12" s="67">
        <f t="shared" si="43"/>
        <v>0</v>
      </c>
      <c r="AW12" s="67">
        <f t="shared" si="43"/>
        <v>0</v>
      </c>
      <c r="AX12" s="67">
        <f t="shared" si="43"/>
        <v>0</v>
      </c>
      <c r="AY12" s="69">
        <f t="shared" si="43"/>
        <v>0</v>
      </c>
      <c r="AZ12" s="70">
        <f t="shared" si="43"/>
        <v>0</v>
      </c>
      <c r="BA12" s="70">
        <f t="shared" si="43"/>
        <v>0</v>
      </c>
      <c r="BB12" s="70">
        <f t="shared" si="43"/>
        <v>0</v>
      </c>
      <c r="BC12" s="71">
        <f t="shared" si="43"/>
        <v>0</v>
      </c>
      <c r="BD12" s="67">
        <f t="shared" si="43"/>
        <v>0</v>
      </c>
      <c r="BE12" s="68">
        <f t="shared" si="43"/>
        <v>0</v>
      </c>
      <c r="BF12" s="66">
        <f t="shared" si="2"/>
        <v>0</v>
      </c>
      <c r="BG12" s="168">
        <f t="shared" si="2"/>
        <v>0</v>
      </c>
      <c r="BH12" s="67">
        <f t="shared" si="2"/>
        <v>0</v>
      </c>
      <c r="BI12" s="67">
        <f t="shared" si="2"/>
        <v>0</v>
      </c>
      <c r="BJ12" s="67">
        <f t="shared" si="2"/>
        <v>0</v>
      </c>
      <c r="BK12" s="67">
        <f t="shared" si="2"/>
        <v>0</v>
      </c>
      <c r="BL12" s="67">
        <f t="shared" si="2"/>
        <v>0</v>
      </c>
      <c r="BM12" s="69">
        <f t="shared" si="2"/>
        <v>0</v>
      </c>
      <c r="BN12" s="70">
        <f t="shared" si="2"/>
        <v>0</v>
      </c>
      <c r="BO12" s="70">
        <f t="shared" si="2"/>
        <v>0</v>
      </c>
      <c r="BP12" s="70">
        <f t="shared" si="2"/>
        <v>0</v>
      </c>
      <c r="BQ12" s="71">
        <f t="shared" si="2"/>
        <v>0</v>
      </c>
      <c r="BR12" s="68">
        <f t="shared" si="2"/>
        <v>0</v>
      </c>
      <c r="BS12" s="491"/>
      <c r="BT12" s="489"/>
      <c r="BU12" s="392"/>
      <c r="BV12" s="489"/>
      <c r="BW12" s="392"/>
      <c r="BX12" s="392"/>
      <c r="BY12" s="392"/>
      <c r="BZ12" s="489"/>
      <c r="CA12" s="392"/>
      <c r="CB12" s="392"/>
      <c r="CC12" s="392"/>
      <c r="CD12" s="401"/>
      <c r="CE12" s="409"/>
      <c r="CF12" s="169">
        <f t="shared" si="4"/>
        <v>0</v>
      </c>
      <c r="CG12" s="170">
        <f t="shared" si="5"/>
        <v>0</v>
      </c>
      <c r="CH12" s="170">
        <f t="shared" si="6"/>
        <v>0</v>
      </c>
      <c r="CI12" s="170">
        <f t="shared" si="7"/>
        <v>0</v>
      </c>
      <c r="CJ12" s="170">
        <f t="shared" si="8"/>
        <v>0</v>
      </c>
      <c r="CK12" s="170">
        <f t="shared" si="9"/>
        <v>0</v>
      </c>
      <c r="CL12" s="170">
        <f t="shared" si="10"/>
        <v>0</v>
      </c>
      <c r="CM12" s="170">
        <f t="shared" si="11"/>
        <v>0</v>
      </c>
      <c r="CN12" s="170">
        <f t="shared" si="12"/>
        <v>0</v>
      </c>
      <c r="CO12" s="170">
        <f t="shared" si="13"/>
        <v>0</v>
      </c>
      <c r="CP12" s="170">
        <f t="shared" si="14"/>
        <v>0</v>
      </c>
      <c r="CQ12" s="170">
        <f t="shared" si="15"/>
        <v>0</v>
      </c>
      <c r="CR12" s="170">
        <f t="shared" si="16"/>
        <v>0</v>
      </c>
      <c r="CS12" s="170">
        <f t="shared" si="17"/>
        <v>0</v>
      </c>
      <c r="CT12" s="75">
        <f t="shared" si="18"/>
        <v>0</v>
      </c>
      <c r="CU12" s="76">
        <f t="shared" si="19"/>
        <v>0</v>
      </c>
      <c r="CV12" s="76">
        <f t="shared" si="20"/>
        <v>0</v>
      </c>
      <c r="CW12" s="76">
        <f t="shared" si="21"/>
        <v>0</v>
      </c>
      <c r="CX12" s="76">
        <f t="shared" si="22"/>
        <v>0</v>
      </c>
      <c r="CY12" s="76">
        <f t="shared" si="23"/>
        <v>0</v>
      </c>
      <c r="CZ12" s="76">
        <f t="shared" si="24"/>
        <v>0</v>
      </c>
      <c r="DA12" s="76">
        <f t="shared" si="25"/>
        <v>0</v>
      </c>
      <c r="DB12" s="76">
        <f t="shared" si="26"/>
        <v>0</v>
      </c>
      <c r="DC12" s="76">
        <f t="shared" si="27"/>
        <v>0</v>
      </c>
      <c r="DD12" s="76">
        <f t="shared" si="28"/>
        <v>0</v>
      </c>
      <c r="DE12" s="77">
        <f t="shared" si="29"/>
        <v>0</v>
      </c>
      <c r="DF12" s="73">
        <f t="shared" si="31"/>
        <v>0</v>
      </c>
      <c r="DG12" s="67">
        <f t="shared" si="32"/>
        <v>0</v>
      </c>
      <c r="DH12" s="76">
        <f t="shared" si="33"/>
        <v>0</v>
      </c>
      <c r="DI12" s="67">
        <f t="shared" si="34"/>
        <v>0</v>
      </c>
      <c r="DJ12" s="76">
        <f>IF($D10="","",$D10)</f>
        <v>1</v>
      </c>
      <c r="DK12" s="493"/>
    </row>
    <row r="13" spans="1:115" ht="14.5" customHeight="1" x14ac:dyDescent="0.2">
      <c r="A13" s="459">
        <f>$A10+1</f>
        <v>4</v>
      </c>
      <c r="B13" s="507" t="str">
        <f>IF(OR(C13="W",C14="W",C15="W",C13="1/2W",C14="1/2W",C15="1/2W",C13="1/2L",C14="1/2L",C15="1/2L"),"OK",IF(OR(C13="L",C14="L",C15="L"),"LOSS",IF(OR(C13="X",C14="X",C15="X"),"Anulado"," ")))</f>
        <v>OK</v>
      </c>
      <c r="C13" s="93" t="s">
        <v>54</v>
      </c>
      <c r="D13" s="469">
        <f>IF(G13="","",$D10)</f>
        <v>1</v>
      </c>
      <c r="E13" s="485" t="str">
        <f>IF(G13=""," ","– "&amp;COUNTIF(D$4:D15,$D13))</f>
        <v>– 4</v>
      </c>
      <c r="F13" s="509" t="str">
        <f ca="1">IF(G13="","",IF(OR(AND($C13&lt;&gt;" ",$C14=" "),AND($C14&lt;&gt;" ",$C13=" "),AND(L15&gt;0,OR(AND($C15&lt;&gt;" ",OR($C13=" ",$C14=" ")),AND($C15=" ",OR($C13&lt;&gt;" ",$C14&lt;&gt;" "))))),IF(SUM(F$4:F12)=0,1,LARGE(F$4:F12,1)+1),IF(MONTH(G13)=MONTH(TODAY()),IF(AND(DAY(G13)&lt;DAY(TODAY()),$B13=" "),IF(SUM(F$4:F12)=0,1,LARGE(F$4:F12,1)+1),IF($B13=" ",IF(AND(DAY(G13)=DAY(TODAY()),HOUR(G13)&lt;=HOUR(NOW())+1),IF(AND(HOUR(G13)+2&lt;=HOUR(NOW()),DAY(G13)&lt;=DAY(TODAY()),MINUTE(G13)&lt;=MINUTE(NOW())),IF(SUM(F$4:F12)=0,1,LARGE(F$4:F12,1)+1),IF(OR(MINUTE(G13)&lt;=MINUTE(NOW()),HOUR(G13)&lt;=HOUR(NOW())),"!!!","")),""),"")),"")))</f>
        <v/>
      </c>
      <c r="G13" s="482">
        <v>44986.541666666664</v>
      </c>
      <c r="H13" s="475" t="s">
        <v>50</v>
      </c>
      <c r="I13" s="175">
        <v>1</v>
      </c>
      <c r="J13" s="176"/>
      <c r="K13" s="96" t="s">
        <v>40</v>
      </c>
      <c r="L13" s="97">
        <v>2.0699999999999998</v>
      </c>
      <c r="M13" s="98"/>
      <c r="N13" s="478">
        <v>0.1</v>
      </c>
      <c r="O13" s="99">
        <f>IF(OR(AE13="",AE14=""),"",ROUND(IF(L15&gt;0,IF(M13&gt;0,M13,IF(M14&gt;0,ROUND((M14*AE13)/AE14,IF(N13=0,2,IF(N13=0.1,1,0))),ROUND((M15*AE13)/AE15,IF(N13=0,2,IF(N13=0.1,1,0))))),IF(M13&gt;0,M13,ROUND((M14*AE13)/AE14,IF(N13=0,2,IF(N13=0.1,1,0))))),2))</f>
        <v>19.399999999999999</v>
      </c>
      <c r="P13" s="100">
        <f>IF(OR(L13="",O13=""),"",IF($C13="1/2W",O13/2+O13/2*L13,IF($C13="1/2L",O13/2,IF(I13="Lay",(O13*(L13/(L13-1))-O13)*(1-_xlfn.XLOOKUP(K13,'Fevereiro 2023 - Valor Real'!A3:A15,'Fevereiro 2023 - Valor Real'!C3:C15,0))+O13,(O13*L13-O13)*(1-_xlfn.XLOOKUP(K13,'Fevereiro 2023 - Valor Real'!A3:A15,'Fevereiro 2023 - Valor Real'!C3:C15,0))+O13))))</f>
        <v>40.157999999999994</v>
      </c>
      <c r="Q13" s="177">
        <f>IF(K13="","",IF(_xlfn.XLOOKUP(K13,K$4:K12,$DJ$4:DJ12,0,,-1)=DJ13,_xlfn.XLOOKUP(K13,K$4:K12,Q$4:Q12,1,,-1)+1,1))</f>
        <v>3</v>
      </c>
      <c r="R13" s="102">
        <f>IF(K13="","",_xlfn.XLOOKUP(K13,K$4:K12,R$4:R12,0,,-1)+IF($C13=" ",1,0))</f>
        <v>0</v>
      </c>
      <c r="S13" s="474">
        <f>IF($B13="Anulado",0,ROUND(IF(OR($B13="LOSS",$B13="OK"),IF(OR($C13="W",$C13="1/2W",$C13="1/2L"),P13-O13,IF($C13="L",-O13,0))+IF(OR($C14="W",$C14="1/2W",$C14="1/2L"),P14-O14,IF($C14="L",-O14,0))+IF(OR($C15="W",$C15="1/2W",$C15="1/2L"),P15-O15,IF($C15="L",-O15,0)),IF(AND(OR($C13="W",$C13="1/2W",$C13="1/2L"),C14="W"),P13+P14-SUM(O13:O15)+_xlfn.XLOOKUP("X",C13:C15,O13:O15,0),IF(AND(C13=TRUE,C15="W"),P13+P15-SUM(O13:O15),IF(AND(C14="W",C15="W"),P14+P15-SUM(O13:O15)+_xlfn.XLOOKUP("X",C13:C15,O13:O15,0),IF(L15&gt;0,IF(OR($C13="W",$C13="1/2W",$C13="1/2L"),P13-SUM(O13:O15)+_xlfn.XLOOKUP("X",C13:C15,O13:O15,0),IF(OR($C13="W",$C13="1/2W",$C13="1/2L"),P14-SUM(O13:O15)+_xlfn.XLOOKUP("X",C13:C15,O13:O15,0),IF(OR($C13="W",$C13="1/2W",$C13="1/2L"),P15-SUM(O13:O15)+_xlfn.XLOOKUP("X",C13:C15,O13:O15,0),IF(SUM(P13:P15)/3-SUM(O13:O15)+_xlfn.XLOOKUP("X",C13:C15,O13:O15,0)&gt;0,SUM(P13:P15)/3-SUM(O13:O15)+_xlfn.XLOOKUP("X",C13:C15,O13:O15,0),LARGE(P13:P15,1)-SUM(O13:O15))))),IF(OR($C13="W",$C13="1/2W",$C13="1/2L"),P13-SUM(O13:O14)+_xlfn.XLOOKUP("X",C13:C15,O13:O15,0),IF(OR($C13="W",$C13="1/2W",$C13="1/2L"),P14-SUM(O13:O14)+_xlfn.XLOOKUP("X",C13:C15,O13:O15,0),SUM(P13:P14)/2-SUM(O13:O14)+_xlfn.XLOOKUP("X",C13:C15,O13:O15,0)))))))),2))</f>
        <v>1.67</v>
      </c>
      <c r="T13" s="458">
        <f>IF(S13=0,0,S13/SUM(O13:O15))</f>
        <v>4.3387892959210188E-2</v>
      </c>
      <c r="U13" s="470">
        <f>IF($D13=$D10,IF(OR($B13="LOSS",$B13="OK",$B13="Anulada"),S13,0)+U10,IF(OR($B13="LOSS",$B13="OK",$B13="Anulada"),S13,0))</f>
        <v>3.34</v>
      </c>
      <c r="V13" s="470">
        <f>IF($D13="",0,IF($D13=$D10,IF($B13=" ",IF(I15="",IF(OR(AND(I13="DNB1",I14="DNB2"),AND(OR(I13="DNB1",I13="DNB2"),J14=0),AND(OR(I14="DNB1",I14="DNB2"),J13=0),AND(I13="DNB2",I14="DNB1"),AND(IF(J13=0,(J13+1)/ROUND(J13+1,0),J13/ROUND(J13,0))=1,IF(J14=0,(J14+1)/ROUND(IF(J14="",0,J14)+1,0),IF(J14="",0,J14)/ROUND(IF(J14="",1,J14),0))=1,OR(J13&lt;&gt;""),J14&lt;&gt;"")),0,IF(S13&lt;0,IF(I15="",SMALL(P13:P14,1)-SUM(O13:O14),0),SMALL(P13:P14,1)-SUM(O13:O14))),IF(S13&lt;0,IF(I15="",SMALL(P13:P15,1)-SUM(O13:O15),0),LARGE(P13:P15,1)-SUM(O13:O15))),S13)+V10,IF(I15="",IF(OR(AND(I13="DNB1",I14="DNB2"),AND(OR(I13="DNB1",I13="DNB2"),J14=0),AND(OR(I14="DNB1",I14="DNB2"),J13=0),AND(I13="DNB2",I14="DNB1"),AND(IF(J13=0,(J13+1)/ROUND(J13+1,0),J13/ROUND(J13,0))=1,IF(J14=0,(IF(J14="",0,J14)+1)/ROUND(IF(J14="",0,J14)+1,0),IF(J14="",0,J14)/ROUND(IF(J14="",0,J14)+1,0))=1,OR(J13&lt;&gt;""),J14&lt;&gt;"")),0,IF(S13&lt;0,IF(I15="",SMALL(P13:P14,1)-SUM(O13:O14),0),SMALL(P13:P15,1)-SUM(O13:O15))),IF(S13&lt;0,IF(I15="",SMALL(P13:P15,1)-SUM(O13:O15),0),LARGE(P13:P15,1)-SUM(O13:O15)))))</f>
        <v>3.34</v>
      </c>
      <c r="W13" s="470">
        <f>IF($D13=$D10,IF(S13&lt;0,IF(I15="",S13,0),S13)+W10,S13)</f>
        <v>3.34</v>
      </c>
      <c r="X13" s="480" t="str">
        <f>IF(OR(SUM(R13:R15)=0,V13=W13),ROUND(IF(W13=0,0,W13/Y13)*100,2)&amp;"%",ROUND(IF(V13=0,0,V13/Y13)*100,2)&amp;"% a "&amp;ROUND(IF(W13=0,0,W13/Y13)*100,2)&amp;"%")</f>
        <v>3,06%</v>
      </c>
      <c r="Y13" s="471">
        <f>IF($D13=$D10,Y10+SUM(O13:O15),SUM(O13:O15))</f>
        <v>109.30999999999999</v>
      </c>
      <c r="Z13" s="470">
        <f>IF($B13=" ",SUM(O13:O15),0)+Z10</f>
        <v>0</v>
      </c>
      <c r="AA13" s="470">
        <f>IF(G13="","",IF($B13="Anulado",LARGE(P13:P15,1)-SUM(O13:O15)+AA10,AA10))</f>
        <v>0.45899999999999785</v>
      </c>
      <c r="AB13" s="470">
        <f>IF($D13="","",AB10+S13)</f>
        <v>3.34</v>
      </c>
      <c r="AC13" s="472">
        <f ca="1">IF($D13="","",IF($B13=" ",IF(DAY(G13)=DAY(TODAY()),1+AC10,0+AC10),0+AC10))</f>
        <v>0</v>
      </c>
      <c r="AD13" s="103">
        <f>(((L14/(L14-1)-1)*(1-_xlfn.XLOOKUP(K14,'Fevereiro 2023 - Valor Real'!A3:A15,'Fevereiro 2023 - Valor Real'!C3:C15,0))+1))/(((L13-1)*(1-_xlfn.XLOOKUP(K13,'Fevereiro 2023 - Valor Real'!A3:A15,'Fevereiro 2023 - Valor Real'!C3:C15,0))+1)+((L14/(L14-1)-1)*(1-_xlfn.XLOOKUP(K14,'Fevereiro 2023 - Valor Real'!A3:A15,'Fevereiro 2023 - Valor Real'!C3:C15,0))+1))</f>
        <v>0.47978067169294042</v>
      </c>
      <c r="AE13" s="104">
        <f>IF(L13="","",IF(L15&gt;0,(SUM(((L13-1)*(1-_xlfn.XLOOKUP(K13,'Fevereiro 2023 - Valor Real'!A3:A15,'Fevereiro 2023 - Valor Real'!C3:C15,0))+1),((L14-1)*(1-_xlfn.XLOOKUP(K14,'Fevereiro 2023 - Valor Real'!A3:A15,'Fevereiro 2023 - Valor Real'!C3:C15,0))+1),((L15-1)*(1-_xlfn.XLOOKUP(K15,'Fevereiro 2023 - Valor Real'!A3:A15,'Fevereiro 2023 - Valor Real'!C3:C15,0))+1))/((L13-1)*(1-_xlfn.XLOOKUP(K13,'Fevereiro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Real'!C3:C15,0))+1))/((L13-1)*(1-_xlfn.XLOOKUP(K13,'Fevereiro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Real'!C3:C15,0))+1))/((L14-1)*(1-_xlfn.XLOOKUP(K14,'Fevereiro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Real'!C3:C15,0))+1))/((L15-1)*(1-_xlfn.XLOOKUP(K15,'Fevereiro 2023 - Valor Real'!A3:A15,'Fevereiro 2023 - Valor Real'!C3:C15,0))+1)),IF(I13="Lay",IF(I14="Lay",((L14/(L14-1)-1)*(1-_xlfn.XLOOKUP(K14,'Fevereiro 2023 - Valor Real'!A3:A15,'Fevereiro 2023 - Valor Real'!C3:C15,0))+1)/(((L14/(L14-1)-1)*(1-_xlfn.XLOOKUP(K14,'Fevereiro 2023 - Valor Real'!A3:A15,'Fevereiro 2023 - Valor Real'!C3:C15,0))+1)+((L13/(L13-1)-1)*(1-_xlfn.XLOOKUP(K13,'Fevereiro 2023 - Valor Real'!A3:A15,'Fevereiro 2023 - Valor Real'!C3:C15,0))+1)),((L14-1)*(1-_xlfn.XLOOKUP(K14,'Fevereiro 2023 - Valor Real'!A3:A15,'Fevereiro 2023 - Valor Real'!C3:C15,0))+1)/(((L14-1)*(1-_xlfn.XLOOKUP(K14,'Fevereiro 2023 - Valor Real'!A3:A15,'Fevereiro 2023 - Valor Real'!C3:C15,0))+1)+((L13/(L13-1)-1)*(1-_xlfn.XLOOKUP(K13,'Fevereiro 2023 - Valor Real'!A3:A15,'Fevereiro 2023 - Valor Real'!C3:C15,0))+1))),IF(I14="Lay",(((L14/(L14-1)-1)*(1-_xlfn.XLOOKUP(K14,'Fevereiro 2023 - Valor Real'!A3:A15,'Fevereiro 2023 - Valor Real'!C3:C15,0))+1))/(((L13-1)*(1-_xlfn.XLOOKUP(K13,'Fevereiro 2023 - Valor Real'!A3:A15,'Fevereiro 2023 - Valor Real'!C3:C15,0))+1)+((L14/(L14-1)-1)*(1-_xlfn.XLOOKUP(K14,'Fevereiro 2023 - Valor Real'!A3:A15,'Fevereiro 2023 - Valor Real'!C3:C15,0))+1)),((L14-1)*(1-_xlfn.XLOOKUP(K14,'Fevereiro 2023 - Valor Real'!A3:A15,'Fevereiro 2023 - Valor Real'!C3:C15,0))+1)/(((L14-1)*(1-_xlfn.XLOOKUP(K14,'Fevereiro 2023 - Valor Real'!A3:A15,'Fevereiro 2023 - Valor Real'!C3:C15,0))+1)+((L13-1)*(1-_xlfn.XLOOKUP(K13,'Fevereiro 2023 - Valor Real'!A3:A15,'Fevereiro 2023 - Valor Real'!C3:C15,0))+1))))))</f>
        <v>0.50359712230215825</v>
      </c>
      <c r="AF13" s="105">
        <f t="shared" si="0"/>
        <v>0</v>
      </c>
      <c r="AG13" s="106">
        <f t="shared" si="0"/>
        <v>0</v>
      </c>
      <c r="AH13" s="106">
        <f t="shared" si="0"/>
        <v>0</v>
      </c>
      <c r="AI13" s="106">
        <f t="shared" si="0"/>
        <v>0</v>
      </c>
      <c r="AJ13" s="106">
        <f t="shared" si="0"/>
        <v>20.76</v>
      </c>
      <c r="AK13" s="106">
        <f t="shared" si="0"/>
        <v>0</v>
      </c>
      <c r="AL13" s="106">
        <f t="shared" si="0"/>
        <v>0</v>
      </c>
      <c r="AM13" s="106">
        <f t="shared" si="0"/>
        <v>0</v>
      </c>
      <c r="AN13" s="106">
        <f t="shared" si="0"/>
        <v>0</v>
      </c>
      <c r="AO13" s="106">
        <f t="shared" si="0"/>
        <v>0</v>
      </c>
      <c r="AP13" s="106">
        <f t="shared" si="0"/>
        <v>0</v>
      </c>
      <c r="AQ13" s="106">
        <f t="shared" si="0"/>
        <v>0</v>
      </c>
      <c r="AR13" s="107">
        <f t="shared" si="0"/>
        <v>0</v>
      </c>
      <c r="AS13" s="105">
        <f t="shared" ref="AS13:BE13" si="44">IF(AND($B13=" ",$K13=AS$3),$O13,0)</f>
        <v>0</v>
      </c>
      <c r="AT13" s="106">
        <f t="shared" si="44"/>
        <v>0</v>
      </c>
      <c r="AU13" s="106">
        <f t="shared" si="44"/>
        <v>0</v>
      </c>
      <c r="AV13" s="106">
        <f t="shared" si="44"/>
        <v>0</v>
      </c>
      <c r="AW13" s="106">
        <f t="shared" si="44"/>
        <v>0</v>
      </c>
      <c r="AX13" s="106">
        <f t="shared" si="44"/>
        <v>0</v>
      </c>
      <c r="AY13" s="108">
        <f t="shared" si="44"/>
        <v>0</v>
      </c>
      <c r="AZ13" s="109">
        <f t="shared" si="44"/>
        <v>0</v>
      </c>
      <c r="BA13" s="109">
        <f t="shared" si="44"/>
        <v>0</v>
      </c>
      <c r="BB13" s="109">
        <f t="shared" si="44"/>
        <v>0</v>
      </c>
      <c r="BC13" s="110">
        <f t="shared" si="44"/>
        <v>0</v>
      </c>
      <c r="BD13" s="106">
        <f t="shared" si="44"/>
        <v>0</v>
      </c>
      <c r="BE13" s="107">
        <f t="shared" si="44"/>
        <v>0</v>
      </c>
      <c r="BF13" s="111">
        <f t="shared" si="2"/>
        <v>0</v>
      </c>
      <c r="BG13" s="106">
        <f t="shared" si="2"/>
        <v>0</v>
      </c>
      <c r="BH13" s="106">
        <f t="shared" si="2"/>
        <v>0</v>
      </c>
      <c r="BI13" s="106">
        <f t="shared" si="2"/>
        <v>0</v>
      </c>
      <c r="BJ13" s="106">
        <f t="shared" si="2"/>
        <v>19.399999999999999</v>
      </c>
      <c r="BK13" s="106">
        <f t="shared" si="2"/>
        <v>0</v>
      </c>
      <c r="BL13" s="106">
        <f t="shared" si="2"/>
        <v>0</v>
      </c>
      <c r="BM13" s="108">
        <f t="shared" si="2"/>
        <v>0</v>
      </c>
      <c r="BN13" s="109">
        <f t="shared" si="2"/>
        <v>0</v>
      </c>
      <c r="BO13" s="109">
        <f t="shared" si="2"/>
        <v>0</v>
      </c>
      <c r="BP13" s="109">
        <f t="shared" si="2"/>
        <v>0</v>
      </c>
      <c r="BQ13" s="110">
        <f t="shared" si="2"/>
        <v>0</v>
      </c>
      <c r="BR13" s="107">
        <f t="shared" si="2"/>
        <v>0</v>
      </c>
      <c r="BS13" s="463">
        <f>IF($B13="LOSS",IF(AND($K13=BS$3,$C13="L"),-$O13,0)+IF(AND($K14=BS$3,$C14="L"),-$O14,0)+IF(AND($K15=BS$3,$C15="L"),-$O15,0),IF(OR(AND($K13=BS$3,OR($C13="W",$C13="1/2W")),AND($K14=BS$3,OR($C14="W",$C14="1/2W")),AND($K15=BS$3,OR($C15="W",$C15="1/2W"))),$S13,0))</f>
        <v>0</v>
      </c>
      <c r="BT13" s="462">
        <f>IF($B13="LOSS",IF(AND($K13=BT$3,$C13="L"),-$O13,0)+IF(AND($K14=BT$3,$C14="L"),-$O14,0)+IF(AND($K14=BT$3,$C15="L"),-$O15,0),IF(OR(AND($K14=BT$3,OR($C13="W",$C13="1/2W")),AND($K14=BT$3,OR($C14="W",$C14="1/2W")),AND($K14=BT$3,OR($C15="W",$C15="1/2W"))),$S13,0))</f>
        <v>0</v>
      </c>
      <c r="BU13" s="462">
        <f>IF($B13="LOSS",IF(AND($K13=BU$3,$C13="L"),-$O13,0)+IF(AND($K14=BU$3,$C14="L"),-$O14,0)+IF(AND($K14=BU$3,$C15="L"),-$O15,0),IF(OR(AND($K14=BU$3,OR($C13="W",$C13="1/2W")),AND($K14=BU$3,OR($C14="W",$C14="1/2W")),AND($K14=BU$3,OR($C15="W",$C15="1/2W"))),$S13,0))</f>
        <v>0</v>
      </c>
      <c r="BV13" s="462">
        <f t="shared" ref="BV13:CE13" si="45">IF($B13="LOSS",IF(AND($K13=BV$3,$C13="L"),-$O13,0)+IF(AND($K14=BV$3,$C14="L"),-$O14,0)+IF(AND($K15=BV$3,$C15="L"),-$O15,0),IF(OR(AND($K13=BV$3,OR($C13="W",$C13="1/2W")),AND($K14=BV$3,OR($C14="W",$C14="1/2W")),AND($K15=BV$3,OR($C15="W",$C15="1/2W"))),$S13,0))</f>
        <v>0</v>
      </c>
      <c r="BW13" s="462">
        <f t="shared" si="45"/>
        <v>1.67</v>
      </c>
      <c r="BX13" s="462">
        <f t="shared" si="45"/>
        <v>0</v>
      </c>
      <c r="BY13" s="462">
        <f t="shared" si="45"/>
        <v>0</v>
      </c>
      <c r="BZ13" s="460">
        <f t="shared" si="45"/>
        <v>0</v>
      </c>
      <c r="CA13" s="460">
        <f t="shared" si="45"/>
        <v>0</v>
      </c>
      <c r="CB13" s="460">
        <f t="shared" si="45"/>
        <v>0</v>
      </c>
      <c r="CC13" s="460">
        <f t="shared" si="45"/>
        <v>0</v>
      </c>
      <c r="CD13" s="473">
        <f t="shared" si="45"/>
        <v>0</v>
      </c>
      <c r="CE13" s="479">
        <f t="shared" si="45"/>
        <v>0</v>
      </c>
      <c r="CF13" s="113">
        <f t="shared" si="4"/>
        <v>0</v>
      </c>
      <c r="CG13" s="114">
        <f t="shared" si="5"/>
        <v>0</v>
      </c>
      <c r="CH13" s="114">
        <f t="shared" si="6"/>
        <v>0</v>
      </c>
      <c r="CI13" s="114">
        <f t="shared" si="7"/>
        <v>0</v>
      </c>
      <c r="CJ13" s="114">
        <f t="shared" si="8"/>
        <v>0</v>
      </c>
      <c r="CK13" s="114">
        <f t="shared" si="9"/>
        <v>0</v>
      </c>
      <c r="CL13" s="114">
        <f t="shared" si="10"/>
        <v>0</v>
      </c>
      <c r="CM13" s="114">
        <f t="shared" si="11"/>
        <v>0</v>
      </c>
      <c r="CN13" s="114">
        <f t="shared" si="12"/>
        <v>1</v>
      </c>
      <c r="CO13" s="114">
        <f t="shared" si="13"/>
        <v>0</v>
      </c>
      <c r="CP13" s="114">
        <f t="shared" si="14"/>
        <v>0</v>
      </c>
      <c r="CQ13" s="114">
        <f t="shared" si="15"/>
        <v>0</v>
      </c>
      <c r="CR13" s="114">
        <f t="shared" si="16"/>
        <v>0</v>
      </c>
      <c r="CS13" s="114">
        <f t="shared" si="17"/>
        <v>0</v>
      </c>
      <c r="CT13" s="115">
        <f t="shared" si="18"/>
        <v>0</v>
      </c>
      <c r="CU13" s="116">
        <f t="shared" si="19"/>
        <v>0</v>
      </c>
      <c r="CV13" s="116">
        <f t="shared" si="20"/>
        <v>0</v>
      </c>
      <c r="CW13" s="116">
        <f t="shared" si="21"/>
        <v>0</v>
      </c>
      <c r="CX13" s="116">
        <f t="shared" si="22"/>
        <v>0</v>
      </c>
      <c r="CY13" s="116">
        <f t="shared" si="23"/>
        <v>0</v>
      </c>
      <c r="CZ13" s="116">
        <f t="shared" si="24"/>
        <v>0</v>
      </c>
      <c r="DA13" s="116">
        <f t="shared" si="25"/>
        <v>0</v>
      </c>
      <c r="DB13" s="116">
        <f t="shared" si="26"/>
        <v>0</v>
      </c>
      <c r="DC13" s="116">
        <f t="shared" si="27"/>
        <v>0</v>
      </c>
      <c r="DD13" s="116">
        <f t="shared" si="28"/>
        <v>0</v>
      </c>
      <c r="DE13" s="117">
        <f t="shared" si="29"/>
        <v>0</v>
      </c>
      <c r="DF13" s="118">
        <f t="shared" si="31"/>
        <v>0</v>
      </c>
      <c r="DG13" s="106">
        <f t="shared" si="32"/>
        <v>0</v>
      </c>
      <c r="DH13" s="116">
        <f t="shared" si="33"/>
        <v>0</v>
      </c>
      <c r="DI13" s="106">
        <f t="shared" si="34"/>
        <v>0</v>
      </c>
      <c r="DJ13" s="116">
        <f>IF($D13="","",$D13)</f>
        <v>1</v>
      </c>
      <c r="DK13" s="465">
        <f>IF(AND($B13=" ",$D13&lt;&gt;""),1,0)</f>
        <v>0</v>
      </c>
    </row>
    <row r="14" spans="1:115" ht="14.5" customHeight="1" x14ac:dyDescent="0.2">
      <c r="A14" s="389"/>
      <c r="B14" s="456"/>
      <c r="C14" s="120" t="s">
        <v>55</v>
      </c>
      <c r="D14" s="374"/>
      <c r="E14" s="386"/>
      <c r="F14" s="377"/>
      <c r="G14" s="483"/>
      <c r="H14" s="476"/>
      <c r="I14" s="178">
        <v>2</v>
      </c>
      <c r="J14" s="179" t="str">
        <f>IF(OR(I13="TO",I13="TU",I13="TO1",I13="TU1",I13="TO2",I13="TU2"),J13,IF(OR(I13="AH1",I13="AH2"),IF(OR(I14="AH1",I14="AH2"),-J13,IF(OR(I14="EH1",I14="EH2"),-J13+0.5,"")),IF(OR(I13="EH1",I13="EH2"),IF(OR(I14="AH1",I14="AH2"),-J13+0.5,IF(OR(I14="EH1",I14="EH2"),-J13+1,"")),IF(AND(OR(I13="DNB1",I13="DNB2"),OR(I14="AH1",I14="AH2")),0,IF(AND(I13="Not ScoreBoth",OR(I14="TO1",I14="TO2")),0.5,"")))))</f>
        <v/>
      </c>
      <c r="K14" s="123" t="s">
        <v>36</v>
      </c>
      <c r="L14" s="124">
        <v>2.1</v>
      </c>
      <c r="M14" s="125">
        <v>19.09</v>
      </c>
      <c r="N14" s="406"/>
      <c r="O14" s="126">
        <f>IF(OR(AE13="",AE14=""),"",ROUND(IF(L15&gt;0,IF(M14&gt;0,M14,IF(M13&gt;0,IF(N13=TRUE,ROUND((M13*AE14)/AE13,0),(M13*AE14)/AE13),IF(M14&gt;0,ROUND(M14,IF(N13=0,2,IF(N13=0.1,1,0))),IF(M15&gt;0,ROUND(O15*AE14/AE15,IF(N13=0,2,IF(N13=0.1,1,0))),0)))),IF(M14&gt;0,M14,ROUND((M13*AE14)/AE13,IF(N13=0,2,IF(N13=0.1,1,0))))),2))</f>
        <v>19.09</v>
      </c>
      <c r="P14" s="127">
        <f>IF(OR(L14="",O14=""),"",IF($C14="1/2W",O14/2+O14/2*L14,IF($C14="1/2L",O14/2,IF(I14="Lay",((O14*(L14/(L14-1)))-O14)*(1-_xlfn.XLOOKUP(K14,'Fevereiro 2023 - Valor Real'!A3:A15,'Fevereiro 2023 - Valor Real'!C3:C15,0))+O14,(O14*L14-O14)*(1-_xlfn.XLOOKUP(K14,'Fevereiro 2023 - Valor Real'!A3:A15,'Fevereiro 2023 - Valor Real'!C3:C15,0))+O14))))</f>
        <v>40.088999999999999</v>
      </c>
      <c r="Q14" s="128">
        <f>IF(K14="","",IF(_xlfn.XLOOKUP(K14,K$4:K13,$DJ$4:DJ13,0,,-1)=DJ14,_xlfn.XLOOKUP(K14,K$4:K13,Q$4:Q13,1,,-1)+1,1))</f>
        <v>2</v>
      </c>
      <c r="R14" s="129">
        <f>IF(K14="","",_xlfn.XLOOKUP(K14,K$4:K13,R$4:R13,0,,-1)+IF($C14=" ",1,0))</f>
        <v>0</v>
      </c>
      <c r="S14" s="403"/>
      <c r="T14" s="380"/>
      <c r="U14" s="380"/>
      <c r="V14" s="481"/>
      <c r="W14" s="380"/>
      <c r="X14" s="452"/>
      <c r="Y14" s="383"/>
      <c r="Z14" s="384"/>
      <c r="AA14" s="384"/>
      <c r="AB14" s="384"/>
      <c r="AC14" s="384"/>
      <c r="AD14" s="130">
        <f>(((L14/(L14-1)-1)*(1-_xlfn.XLOOKUP(K14,'Fevereiro 2023 - Valor Real'!A3:A15,'Fevereiro 2023 - Valor Real'!C3:C15,0))+1))</f>
        <v>1.9090909090909089</v>
      </c>
      <c r="AE14" s="131">
        <f>IF(L14="","",IF(L15&gt;0,(SUM(((L13-1)*(1-_xlfn.XLOOKUP(K13,'Fevereiro 2023 - Valor Real'!A3:A15,'Fevereiro 2023 - Valor Real'!C3:C15,0))+1),((L14-1)*(1-_xlfn.XLOOKUP(K14,'Fevereiro 2023 - Valor Real'!A3:A15,'Fevereiro 2023 - Valor Real'!C3:C15,0))+1),((L15-1)*(1-_xlfn.XLOOKUP(K15,'Fevereiro 2023 - Valor Real'!A3:A15,'Fevereiro 2023 - Valor Real'!C3:C15,0))+1))/((L14-1)*(1-_xlfn.XLOOKUP(K14,'Fevereiro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Real'!C3:C15,0))+1))/((L13-1)*(1-_xlfn.XLOOKUP(K13,'Fevereiro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Real'!C3:C15,0))+1))/((L14-1)*(1-_xlfn.XLOOKUP(K14,'Fevereiro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Real'!C3:C15,0))+1))/((L15-1)*(1-_xlfn.XLOOKUP(K15,'Fevereiro 2023 - Valor Real'!A3:A15,'Fevereiro 2023 - Valor Real'!C3:C15,0))+1)),IF(I14="Lay",IF(I13="Lay",((L13/(L13-1)-1)*(1-_xlfn.XLOOKUP(K13,'Fevereiro 2023 - Valor Real'!A3:A15,'Fevereiro 2023 - Valor Real'!C3:C15,0))+1)/(((L13/(L13-1)-1)*(1-_xlfn.XLOOKUP(K13,'Fevereiro 2023 - Valor Real'!A3:A15,'Fevereiro 2023 - Valor Real'!C3:C15,0))+1)+((L14/(L14-1)-1)*(1-_xlfn.XLOOKUP(K14,'Fevereiro 2023 - Valor Real'!A3:A15,'Fevereiro 2023 - Valor Real'!C3:C15,0))+1)),((L13-1)*(1-_xlfn.XLOOKUP(K13,'Fevereiro 2023 - Valor Real'!A3:A15,'Fevereiro 2023 - Valor Real'!C3:C15,0))+1)/(((L13-1)*(1-_xlfn.XLOOKUP(K13,'Fevereiro 2023 - Valor Real'!A3:A15,'Fevereiro 2023 - Valor Real'!C3:C15,0))+1)+((L14/(L14-1)-1)*(1-_xlfn.XLOOKUP(K14,'Fevereiro 2023 - Valor Real'!A3:A15,'Fevereiro 2023 - Valor Real'!C3:C15,0))+1))),IF(I13="Lay",((L13/(L13-1)-1)*(1-_xlfn.XLOOKUP(K13,'Fevereiro 2023 - Valor Real'!A3:A15,'Fevereiro 2023 - Valor Real'!C3:C15,0))+1)/((((L13/(L13-1)-1)*(1-_xlfn.XLOOKUP(K13,'Fevereiro 2023 - Valor Real'!A3:A15,'Fevereiro 2023 - Valor Real'!C3:C15,0))+1))+((L14-1)*(1-_xlfn.XLOOKUP(K14,'Fevereiro 2023 - Valor Real'!A3:A15,'Fevereiro 2023 - Valor Real'!C3:C15,0))+1)),((L13-1)*(1-_xlfn.XLOOKUP(K13,'Fevereiro 2023 - Valor Real'!A3:A15,'Fevereiro 2023 - Valor Real'!C3:C15,0))+1)/(((L13-1)*(1-_xlfn.XLOOKUP(K13,'Fevereiro 2023 - Valor Real'!A3:A15,'Fevereiro 2023 - Valor Real'!C3:C15,0))+1)+((L14-1)*(1-_xlfn.XLOOKUP(K14,'Fevereiro 2023 - Valor Real'!A3:A15,'Fevereiro 2023 - Valor Real'!C3:C15,0))+1))))))</f>
        <v>0.49640287769784169</v>
      </c>
      <c r="AF14" s="105">
        <f t="shared" ref="AF14:AR23" si="46">IF($K14=AF$3,ROUND(IF(OR($C14="W",$C14="1/2W",$C14="1/2L"),$P14-$O14,IF($C14="X",0,-$O14)),2),0)</f>
        <v>-19.09</v>
      </c>
      <c r="AG14" s="106">
        <f t="shared" si="46"/>
        <v>0</v>
      </c>
      <c r="AH14" s="106">
        <f t="shared" si="46"/>
        <v>0</v>
      </c>
      <c r="AI14" s="106">
        <f t="shared" si="46"/>
        <v>0</v>
      </c>
      <c r="AJ14" s="106">
        <f t="shared" si="46"/>
        <v>0</v>
      </c>
      <c r="AK14" s="106">
        <f t="shared" si="46"/>
        <v>0</v>
      </c>
      <c r="AL14" s="106">
        <f t="shared" si="46"/>
        <v>0</v>
      </c>
      <c r="AM14" s="106">
        <f t="shared" si="46"/>
        <v>0</v>
      </c>
      <c r="AN14" s="106">
        <f t="shared" si="46"/>
        <v>0</v>
      </c>
      <c r="AO14" s="106">
        <f t="shared" si="46"/>
        <v>0</v>
      </c>
      <c r="AP14" s="106">
        <f t="shared" si="46"/>
        <v>0</v>
      </c>
      <c r="AQ14" s="106">
        <f t="shared" si="46"/>
        <v>0</v>
      </c>
      <c r="AR14" s="107">
        <f t="shared" si="46"/>
        <v>0</v>
      </c>
      <c r="AS14" s="105">
        <f>IF(AND($B13=" ",$K14=AS$3),$O14,0)</f>
        <v>0</v>
      </c>
      <c r="AT14" s="106">
        <f>IF(AND($B13=" ",K14=AT$3),$O14,0)</f>
        <v>0</v>
      </c>
      <c r="AU14" s="106">
        <f t="shared" ref="AU14:BE14" si="47">IF(AND($B13=" ",$K14=AU$3),$O14,0)</f>
        <v>0</v>
      </c>
      <c r="AV14" s="106">
        <f t="shared" si="47"/>
        <v>0</v>
      </c>
      <c r="AW14" s="106">
        <f t="shared" si="47"/>
        <v>0</v>
      </c>
      <c r="AX14" s="106">
        <f t="shared" si="47"/>
        <v>0</v>
      </c>
      <c r="AY14" s="108">
        <f t="shared" si="47"/>
        <v>0</v>
      </c>
      <c r="AZ14" s="109">
        <f t="shared" si="47"/>
        <v>0</v>
      </c>
      <c r="BA14" s="109">
        <f t="shared" si="47"/>
        <v>0</v>
      </c>
      <c r="BB14" s="109">
        <f t="shared" si="47"/>
        <v>0</v>
      </c>
      <c r="BC14" s="110">
        <f t="shared" si="47"/>
        <v>0</v>
      </c>
      <c r="BD14" s="106">
        <f t="shared" si="47"/>
        <v>0</v>
      </c>
      <c r="BE14" s="107">
        <f t="shared" si="47"/>
        <v>0</v>
      </c>
      <c r="BF14" s="105">
        <f t="shared" ref="BF14:BR23" si="48">IF($K14=BF$3,IF($C14="X",0,$O14),0)</f>
        <v>19.09</v>
      </c>
      <c r="BG14" s="106">
        <f t="shared" si="48"/>
        <v>0</v>
      </c>
      <c r="BH14" s="106">
        <f t="shared" si="48"/>
        <v>0</v>
      </c>
      <c r="BI14" s="106">
        <f t="shared" si="48"/>
        <v>0</v>
      </c>
      <c r="BJ14" s="106">
        <f t="shared" si="48"/>
        <v>0</v>
      </c>
      <c r="BK14" s="106">
        <f t="shared" si="48"/>
        <v>0</v>
      </c>
      <c r="BL14" s="106">
        <f t="shared" si="48"/>
        <v>0</v>
      </c>
      <c r="BM14" s="132">
        <f t="shared" si="48"/>
        <v>0</v>
      </c>
      <c r="BN14" s="112">
        <f t="shared" si="48"/>
        <v>0</v>
      </c>
      <c r="BO14" s="112">
        <f t="shared" si="48"/>
        <v>0</v>
      </c>
      <c r="BP14" s="112">
        <f t="shared" si="48"/>
        <v>0</v>
      </c>
      <c r="BQ14" s="110">
        <f t="shared" si="48"/>
        <v>0</v>
      </c>
      <c r="BR14" s="107">
        <f t="shared" si="48"/>
        <v>0</v>
      </c>
      <c r="BS14" s="464"/>
      <c r="BT14" s="461"/>
      <c r="BU14" s="392"/>
      <c r="BV14" s="461"/>
      <c r="BW14" s="392"/>
      <c r="BX14" s="392"/>
      <c r="BY14" s="392"/>
      <c r="BZ14" s="461"/>
      <c r="CA14" s="392"/>
      <c r="CB14" s="392"/>
      <c r="CC14" s="392"/>
      <c r="CD14" s="401"/>
      <c r="CE14" s="409"/>
      <c r="CF14" s="133">
        <f t="shared" si="4"/>
        <v>0</v>
      </c>
      <c r="CG14" s="134">
        <f t="shared" si="5"/>
        <v>1</v>
      </c>
      <c r="CH14" s="134">
        <f t="shared" si="6"/>
        <v>0</v>
      </c>
      <c r="CI14" s="134">
        <f t="shared" si="7"/>
        <v>0</v>
      </c>
      <c r="CJ14" s="134">
        <f t="shared" si="8"/>
        <v>0</v>
      </c>
      <c r="CK14" s="134">
        <f t="shared" si="9"/>
        <v>0</v>
      </c>
      <c r="CL14" s="134">
        <f t="shared" si="10"/>
        <v>0</v>
      </c>
      <c r="CM14" s="134">
        <f t="shared" si="11"/>
        <v>0</v>
      </c>
      <c r="CN14" s="134">
        <f t="shared" si="12"/>
        <v>0</v>
      </c>
      <c r="CO14" s="134">
        <f t="shared" si="13"/>
        <v>0</v>
      </c>
      <c r="CP14" s="134">
        <f t="shared" si="14"/>
        <v>0</v>
      </c>
      <c r="CQ14" s="134">
        <f t="shared" si="15"/>
        <v>0</v>
      </c>
      <c r="CR14" s="134">
        <f t="shared" si="16"/>
        <v>0</v>
      </c>
      <c r="CS14" s="134">
        <f t="shared" si="17"/>
        <v>0</v>
      </c>
      <c r="CT14" s="115">
        <f t="shared" si="18"/>
        <v>0</v>
      </c>
      <c r="CU14" s="116">
        <f t="shared" si="19"/>
        <v>0</v>
      </c>
      <c r="CV14" s="116">
        <f t="shared" si="20"/>
        <v>0</v>
      </c>
      <c r="CW14" s="116">
        <f t="shared" si="21"/>
        <v>0</v>
      </c>
      <c r="CX14" s="116">
        <f t="shared" si="22"/>
        <v>0</v>
      </c>
      <c r="CY14" s="116">
        <f t="shared" si="23"/>
        <v>0</v>
      </c>
      <c r="CZ14" s="116">
        <f t="shared" si="24"/>
        <v>0</v>
      </c>
      <c r="DA14" s="116">
        <f t="shared" si="25"/>
        <v>0</v>
      </c>
      <c r="DB14" s="116">
        <f t="shared" si="26"/>
        <v>0</v>
      </c>
      <c r="DC14" s="116">
        <f t="shared" si="27"/>
        <v>0</v>
      </c>
      <c r="DD14" s="116">
        <f t="shared" si="28"/>
        <v>0</v>
      </c>
      <c r="DE14" s="117">
        <f t="shared" si="29"/>
        <v>0</v>
      </c>
      <c r="DF14" s="118">
        <f t="shared" si="31"/>
        <v>0</v>
      </c>
      <c r="DG14" s="106">
        <f t="shared" si="32"/>
        <v>0</v>
      </c>
      <c r="DH14" s="116">
        <f t="shared" si="33"/>
        <v>0</v>
      </c>
      <c r="DI14" s="106">
        <f t="shared" si="34"/>
        <v>0</v>
      </c>
      <c r="DJ14" s="116">
        <f>IF($D13="","",$D13)</f>
        <v>1</v>
      </c>
      <c r="DK14" s="466"/>
    </row>
    <row r="15" spans="1:115" ht="14.5" customHeight="1" x14ac:dyDescent="0.2">
      <c r="A15" s="390"/>
      <c r="B15" s="457"/>
      <c r="C15" s="135" t="s">
        <v>53</v>
      </c>
      <c r="D15" s="375"/>
      <c r="E15" s="387"/>
      <c r="F15" s="378"/>
      <c r="G15" s="484"/>
      <c r="H15" s="477"/>
      <c r="I15" s="136"/>
      <c r="J15" s="137"/>
      <c r="K15" s="138"/>
      <c r="L15" s="139"/>
      <c r="M15" s="140"/>
      <c r="N15" s="407"/>
      <c r="O15" s="141" t="str">
        <f>IF(OR(AE13="",AE14=""),"",IF(L15&gt;0,ROUND(IF(M15&gt;0,M15,IF(M13&gt;0,ROUND((M13*AE15)/AE13,IF(N13=0,2,IF(N13=0.1,1,0))),IF(M14&gt;0,ROUND((M14*AE15)/AE14,IF(N13=0,2,IF(N13=0.1,1,0))),IF(M15&gt;0,M15,0)))),2),""))</f>
        <v/>
      </c>
      <c r="P15" s="142" t="str">
        <f>IF(I14="Lay",O14*(L14/(L14-1))-O14,IF(I13="Lay",O13*(L13/(L13-1))-O13,IF(OR(L15="",O15=""),"",IF($C15="1/2W",O15/2+O15/2*L15,IF($C15="1/2L",O15/2,(O15*L15-O15)*(1-_xlfn.XLOOKUP(K15,'Fevereiro 2023 - Valor Real'!A3:A15,'Fevereiro 2023 - Valor Real'!C3:C15,0))+O15)))))</f>
        <v/>
      </c>
      <c r="Q15" s="143" t="str">
        <f>IF(K15="","",IF(_xlfn.XLOOKUP(K15,K$4:K14,$DJ$4:DJ14,0,,-1)=DJ15,_xlfn.XLOOKUP(K15,K$4:K14,Q$4:Q14,1,,-1)+1,1))</f>
        <v/>
      </c>
      <c r="R15" s="144" t="str">
        <f>IF(K15="","",_xlfn.XLOOKUP(K15,K$4:K14,R$4:R14,0,,-1)+IF($C15=" ",1,0))</f>
        <v/>
      </c>
      <c r="S15" s="404"/>
      <c r="T15" s="378"/>
      <c r="U15" s="378"/>
      <c r="V15" s="404"/>
      <c r="W15" s="378"/>
      <c r="X15" s="453"/>
      <c r="Y15" s="383"/>
      <c r="Z15" s="384"/>
      <c r="AA15" s="384"/>
      <c r="AB15" s="384"/>
      <c r="AC15" s="384"/>
      <c r="AD15" s="145">
        <f>((L14/(L14-1)-1))</f>
        <v>0.90909090909090895</v>
      </c>
      <c r="AE15" s="146" t="str">
        <f>IF(L15="","",(SUM(((L13-1)*(1-_xlfn.XLOOKUP(K13,'Fevereiro 2023 - Valor Real'!A3:A15,'Fevereiro 2023 - Valor Real'!C3:C15,0))+1),((L14-1)*(1-_xlfn.XLOOKUP(K14,'Fevereiro 2023 - Valor Real'!A3:A15,'Fevereiro 2023 - Valor Real'!C3:C15,0))+1),((L15-1)*(1-_xlfn.XLOOKUP(K15,'Fevereiro 2023 - Valor Real'!A3:A15,'Fevereiro 2023 - Valor Real'!C3:C15,0))+1))/((L15-1)*(1-_xlfn.XLOOKUP(K15,'Fevereiro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Real'!C3:C15,0))+1))/((L13-1)*(1-_xlfn.XLOOKUP(K13,'Fevereiro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Real'!C3:C15,0))+1))/((L14-1)*(1-_xlfn.XLOOKUP(K14,'Fevereiro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Real'!C3:C15,0))+1))/((L15-1)*(1-_xlfn.XLOOKUP(K15,'Fevereiro 2023 - Valor Real'!A3:A15,'Fevereiro 2023 - Valor Real'!C3:C15,0))+1)))</f>
        <v/>
      </c>
      <c r="AF15" s="105">
        <f t="shared" si="46"/>
        <v>0</v>
      </c>
      <c r="AG15" s="106">
        <f t="shared" si="46"/>
        <v>0</v>
      </c>
      <c r="AH15" s="106">
        <f t="shared" si="46"/>
        <v>0</v>
      </c>
      <c r="AI15" s="106">
        <f t="shared" si="46"/>
        <v>0</v>
      </c>
      <c r="AJ15" s="106">
        <f t="shared" si="46"/>
        <v>0</v>
      </c>
      <c r="AK15" s="106">
        <f t="shared" si="46"/>
        <v>0</v>
      </c>
      <c r="AL15" s="106">
        <f t="shared" si="46"/>
        <v>0</v>
      </c>
      <c r="AM15" s="106">
        <f t="shared" si="46"/>
        <v>0</v>
      </c>
      <c r="AN15" s="106">
        <f t="shared" si="46"/>
        <v>0</v>
      </c>
      <c r="AO15" s="106">
        <f t="shared" si="46"/>
        <v>0</v>
      </c>
      <c r="AP15" s="106">
        <f t="shared" si="46"/>
        <v>0</v>
      </c>
      <c r="AQ15" s="106">
        <f t="shared" si="46"/>
        <v>0</v>
      </c>
      <c r="AR15" s="107">
        <f t="shared" si="46"/>
        <v>0</v>
      </c>
      <c r="AS15" s="105">
        <f>IF(AND($B13=" ",$K15=AS$3),$O15,0)</f>
        <v>0</v>
      </c>
      <c r="AT15" s="106">
        <f>IF(AND($B13=" ",K15=AT$3),$O15,0)</f>
        <v>0</v>
      </c>
      <c r="AU15" s="106">
        <f t="shared" ref="AU15:BE15" si="49">IF(AND($B13=" ",$K15=AU$3),$O15,0)</f>
        <v>0</v>
      </c>
      <c r="AV15" s="106">
        <f t="shared" si="49"/>
        <v>0</v>
      </c>
      <c r="AW15" s="106">
        <f t="shared" si="49"/>
        <v>0</v>
      </c>
      <c r="AX15" s="106">
        <f t="shared" si="49"/>
        <v>0</v>
      </c>
      <c r="AY15" s="108">
        <f t="shared" si="49"/>
        <v>0</v>
      </c>
      <c r="AZ15" s="109">
        <f t="shared" si="49"/>
        <v>0</v>
      </c>
      <c r="BA15" s="109">
        <f t="shared" si="49"/>
        <v>0</v>
      </c>
      <c r="BB15" s="109">
        <f t="shared" si="49"/>
        <v>0</v>
      </c>
      <c r="BC15" s="110">
        <f t="shared" si="49"/>
        <v>0</v>
      </c>
      <c r="BD15" s="106">
        <f t="shared" si="49"/>
        <v>0</v>
      </c>
      <c r="BE15" s="107">
        <f t="shared" si="49"/>
        <v>0</v>
      </c>
      <c r="BF15" s="105">
        <f t="shared" si="48"/>
        <v>0</v>
      </c>
      <c r="BG15" s="106">
        <f t="shared" si="48"/>
        <v>0</v>
      </c>
      <c r="BH15" s="106">
        <f t="shared" si="48"/>
        <v>0</v>
      </c>
      <c r="BI15" s="106">
        <f t="shared" si="48"/>
        <v>0</v>
      </c>
      <c r="BJ15" s="106">
        <f t="shared" si="48"/>
        <v>0</v>
      </c>
      <c r="BK15" s="106">
        <f t="shared" si="48"/>
        <v>0</v>
      </c>
      <c r="BL15" s="106">
        <f t="shared" si="48"/>
        <v>0</v>
      </c>
      <c r="BM15" s="108">
        <f t="shared" si="48"/>
        <v>0</v>
      </c>
      <c r="BN15" s="109">
        <f t="shared" si="48"/>
        <v>0</v>
      </c>
      <c r="BO15" s="109">
        <f t="shared" si="48"/>
        <v>0</v>
      </c>
      <c r="BP15" s="109">
        <f t="shared" si="48"/>
        <v>0</v>
      </c>
      <c r="BQ15" s="110">
        <f t="shared" si="48"/>
        <v>0</v>
      </c>
      <c r="BR15" s="107">
        <f t="shared" si="48"/>
        <v>0</v>
      </c>
      <c r="BS15" s="464"/>
      <c r="BT15" s="461"/>
      <c r="BU15" s="392"/>
      <c r="BV15" s="461"/>
      <c r="BW15" s="392"/>
      <c r="BX15" s="392"/>
      <c r="BY15" s="392"/>
      <c r="BZ15" s="461"/>
      <c r="CA15" s="392"/>
      <c r="CB15" s="392"/>
      <c r="CC15" s="392"/>
      <c r="CD15" s="401"/>
      <c r="CE15" s="409"/>
      <c r="CF15" s="133">
        <f t="shared" si="4"/>
        <v>0</v>
      </c>
      <c r="CG15" s="134">
        <f t="shared" si="5"/>
        <v>0</v>
      </c>
      <c r="CH15" s="134">
        <f t="shared" si="6"/>
        <v>0</v>
      </c>
      <c r="CI15" s="134">
        <f t="shared" si="7"/>
        <v>0</v>
      </c>
      <c r="CJ15" s="134">
        <f t="shared" si="8"/>
        <v>0</v>
      </c>
      <c r="CK15" s="134">
        <f t="shared" si="9"/>
        <v>0</v>
      </c>
      <c r="CL15" s="134">
        <f t="shared" si="10"/>
        <v>0</v>
      </c>
      <c r="CM15" s="134">
        <f t="shared" si="11"/>
        <v>0</v>
      </c>
      <c r="CN15" s="134">
        <f t="shared" si="12"/>
        <v>0</v>
      </c>
      <c r="CO15" s="134">
        <f t="shared" si="13"/>
        <v>0</v>
      </c>
      <c r="CP15" s="134">
        <f t="shared" si="14"/>
        <v>0</v>
      </c>
      <c r="CQ15" s="134">
        <f t="shared" si="15"/>
        <v>0</v>
      </c>
      <c r="CR15" s="134">
        <f t="shared" si="16"/>
        <v>0</v>
      </c>
      <c r="CS15" s="134">
        <f t="shared" si="17"/>
        <v>0</v>
      </c>
      <c r="CT15" s="115">
        <f t="shared" si="18"/>
        <v>0</v>
      </c>
      <c r="CU15" s="116">
        <f t="shared" si="19"/>
        <v>0</v>
      </c>
      <c r="CV15" s="116">
        <f t="shared" si="20"/>
        <v>0</v>
      </c>
      <c r="CW15" s="116">
        <f t="shared" si="21"/>
        <v>0</v>
      </c>
      <c r="CX15" s="116">
        <f t="shared" si="22"/>
        <v>0</v>
      </c>
      <c r="CY15" s="116">
        <f t="shared" si="23"/>
        <v>0</v>
      </c>
      <c r="CZ15" s="116">
        <f t="shared" si="24"/>
        <v>0</v>
      </c>
      <c r="DA15" s="116">
        <f t="shared" si="25"/>
        <v>0</v>
      </c>
      <c r="DB15" s="116">
        <f t="shared" si="26"/>
        <v>0</v>
      </c>
      <c r="DC15" s="116">
        <f t="shared" si="27"/>
        <v>0</v>
      </c>
      <c r="DD15" s="116">
        <f t="shared" si="28"/>
        <v>0</v>
      </c>
      <c r="DE15" s="117">
        <f t="shared" si="29"/>
        <v>0</v>
      </c>
      <c r="DF15" s="118">
        <f t="shared" si="31"/>
        <v>0</v>
      </c>
      <c r="DG15" s="106">
        <f t="shared" si="32"/>
        <v>0</v>
      </c>
      <c r="DH15" s="116">
        <f t="shared" si="33"/>
        <v>0</v>
      </c>
      <c r="DI15" s="106">
        <f t="shared" si="34"/>
        <v>0</v>
      </c>
      <c r="DJ15" s="116">
        <f>IF($D13="","",$D13)</f>
        <v>1</v>
      </c>
      <c r="DK15" s="466"/>
    </row>
    <row r="16" spans="1:115" ht="14.5" customHeight="1" x14ac:dyDescent="0.2">
      <c r="A16" s="487">
        <f>$A13+1</f>
        <v>5</v>
      </c>
      <c r="B16" s="506" t="str">
        <f>IF(OR(C16="W",C17="W",C18="W",C16="1/2W",C17="1/2W",C18="1/2W",C16="1/2L",C17="1/2L",C18="1/2L"),"OK",IF(OR(C16="L",C17="L",C18="L"),"LOSS",IF(OR(C16="X",C17="X",C18="X"),"Anulado"," ")))</f>
        <v>OK</v>
      </c>
      <c r="C16" s="147" t="s">
        <v>49</v>
      </c>
      <c r="D16" s="495">
        <f>IF(G16="","",$D13)</f>
        <v>1</v>
      </c>
      <c r="E16" s="511" t="str">
        <f>IF(G16=""," ","– "&amp;COUNTIF(D$4:D18,$D16))</f>
        <v>– 5</v>
      </c>
      <c r="F16" s="510" t="str">
        <f ca="1">IF(G16="","",IF(OR(AND($C16&lt;&gt;" ",$C17=" "),AND($C17&lt;&gt;" ",$C16=" "),AND(L18&gt;0,OR(AND($C18&lt;&gt;" ",OR($C16=" ",$C17=" ")),AND($C18=" ",OR($C16&lt;&gt;" ",$C17&lt;&gt;" "))))),IF(SUM(F$4:F15)=0,1,LARGE(F$4:F15,1)+1),IF(MONTH(G16)=MONTH(TODAY()),IF(AND(DAY(G16)&lt;DAY(TODAY()),$B16=" "),IF(SUM(F$4:F15)=0,1,LARGE(F$4:F15,1)+1),IF($B16=" ",IF(AND(DAY(G16)=DAY(TODAY()),HOUR(G16)&lt;=HOUR(NOW())+1),IF(AND(HOUR(G16)+2&lt;=HOUR(NOW()),DAY(G16)&lt;=DAY(TODAY()),MINUTE(G16)&lt;=MINUTE(NOW())),IF(SUM(F$4:F15)=0,1,LARGE(F$4:F15,1)+1),IF(OR(MINUTE(G16)&lt;=MINUTE(NOW()),HOUR(G16)&lt;=HOUR(NOW())),"!!!","")),""),"")),"")))</f>
        <v/>
      </c>
      <c r="G16" s="508">
        <v>44986.895833333336</v>
      </c>
      <c r="H16" s="502" t="s">
        <v>56</v>
      </c>
      <c r="I16" s="180" t="s">
        <v>52</v>
      </c>
      <c r="J16" s="181">
        <v>6</v>
      </c>
      <c r="K16" s="150" t="s">
        <v>47</v>
      </c>
      <c r="L16" s="151">
        <v>2.02</v>
      </c>
      <c r="M16" s="152">
        <v>24.98</v>
      </c>
      <c r="N16" s="503">
        <v>0</v>
      </c>
      <c r="O16" s="153">
        <f>IF(OR(AE16="",AE17=""),"",ROUND(IF(L18&gt;0,IF(M16&gt;0,M16,IF(M17&gt;0,ROUND((M17*AE16)/AE17,IF(N16=0,2,IF(N16=0.1,1,0))),ROUND((M18*AE16)/AE18,IF(N16=0,2,IF(N16=0.1,1,0))))),IF(M16&gt;0,M16,ROUND((M17*AE16)/AE17,IF(N16=0,2,IF(N16=0.1,1,0))))),2))</f>
        <v>24.98</v>
      </c>
      <c r="P16" s="154">
        <f>IF(OR(L16="",O16=""),"",IF($C16="1/2W",O16/2+O16/2*L16,IF($C16="1/2L",O16/2,IF(I16="Lay",(O16*(L16/(L16-1))-O16)*(1-_xlfn.XLOOKUP(K16,'Fevereiro 2023 - Valor Real'!A3:A15,'Fevereiro 2023 - Valor Real'!C3:C15,0))+O16,(O16*L16-O16)*(1-_xlfn.XLOOKUP(K16,'Fevereiro 2023 - Valor Real'!A3:A15,'Fevereiro 2023 - Valor Real'!C3:C15,0))+O16))))</f>
        <v>50.459600000000002</v>
      </c>
      <c r="Q16" s="155">
        <f>IF(K16="","",IF(_xlfn.XLOOKUP(K16,K$4:K15,$DJ$4:DJ15,0,,-1)=DJ16,_xlfn.XLOOKUP(K16,K$4:K15,Q$4:Q15,1,,-1)+1,1))</f>
        <v>1</v>
      </c>
      <c r="R16" s="156">
        <f>IF(K16="","",_xlfn.XLOOKUP(K16,K$4:K15,R$4:R15,0,,-1)+IF($C16=" ",1,0))</f>
        <v>0</v>
      </c>
      <c r="S16" s="501">
        <f>IF($B16="Anulado",0,ROUND(IF(OR($B16="LOSS",$B16="OK"),IF(OR($C16="W",$C16="1/2W",$C16="1/2L"),P16-O16,IF($C16="L",-O16,0))+IF(OR($C17="W",$C17="1/2W",$C17="1/2L"),P17-O17,IF($C17="L",-O17,0))+IF(OR($C18="W",$C18="1/2W",$C18="1/2L"),P18-O18,IF($C18="L",-O18,0)),IF(AND(OR($C16="W",$C16="1/2W",$C16="1/2L"),C17="W"),P16+P17-SUM(O16:O18)+_xlfn.XLOOKUP("X",C16:C18,O16:O18,0),IF(AND(C16=TRUE,C18="W"),P16+P18-SUM(O16:O18),IF(AND(C17="W",C18="W"),P17+P18-SUM(O16:O18)+_xlfn.XLOOKUP("X",C16:C18,O16:O18,0),IF(L18&gt;0,IF(OR($C16="W",$C16="1/2W",$C16="1/2L"),P16-SUM(O16:O18)+_xlfn.XLOOKUP("X",C16:C18,O16:O18,0),IF(OR($C16="W",$C16="1/2W",$C16="1/2L"),P17-SUM(O16:O18)+_xlfn.XLOOKUP("X",C16:C18,O16:O18,0),IF(OR($C16="W",$C16="1/2W",$C16="1/2L"),P18-SUM(O16:O18)+_xlfn.XLOOKUP("X",C16:C18,O16:O18,0),IF(SUM(P16:P18)/3-SUM(O16:O18)+_xlfn.XLOOKUP("X",C16:C18,O16:O18,0)&gt;0,SUM(P16:P18)/3-SUM(O16:O18)+_xlfn.XLOOKUP("X",C16:C18,O16:O18,0),LARGE(P16:P18,1)-SUM(O16:O18))))),IF(OR($C16="W",$C16="1/2W",$C16="1/2L"),P16-SUM(O16:O17)+_xlfn.XLOOKUP("X",C16:C18,O16:O18,0),IF(OR($C16="W",$C16="1/2W",$C16="1/2L"),P17-SUM(O16:O17)+_xlfn.XLOOKUP("X",C16:C18,O16:O18,0),SUM(P16:P17)/2-SUM(O16:O17)+_xlfn.XLOOKUP("X",C16:C18,O16:O18,0)))))))),2))</f>
        <v>3.17</v>
      </c>
      <c r="T16" s="486">
        <f>IF(S16=0,0,S16/SUM(O16:O18))</f>
        <v>6.7019027484143762E-2</v>
      </c>
      <c r="U16" s="496">
        <f>IF($D16=$D13,IF(OR($B16="LOSS",$B16="OK",$B16="Anulada"),S16,0)+U13,IF(OR($B16="LOSS",$B16="OK",$B16="Anulada"),S16,0))</f>
        <v>6.51</v>
      </c>
      <c r="V16" s="496">
        <f>IF($D16="",0,IF($D16=$D13,IF($B16=" ",IF(I18="",IF(OR(AND(I16="DNB1",I17="DNB2"),AND(OR(I16="DNB1",I16="DNB2"),J17=0),AND(OR(I17="DNB1",I17="DNB2"),J16=0),AND(I16="DNB2",I17="DNB1"),AND(IF(J16=0,(J16+1)/ROUND(J16+1,0),J16/ROUND(J16,0))=1,IF(J17=0,(J17+1)/ROUND(IF(J17="",0,J17)+1,0),IF(J17="",0,J17)/ROUND(IF(J17="",1,J17),0))=1,OR(J16&lt;&gt;""),J17&lt;&gt;"")),0,IF(S16&lt;0,IF(I18="",SMALL(P16:P17,1)-SUM(O16:O17),0),SMALL(P16:P17,1)-SUM(O16:O17))),IF(S16&lt;0,IF(I18="",SMALL(P16:P18,1)-SUM(O16:O18),0),LARGE(P16:P18,1)-SUM(O16:O18))),S16)+V13,IF(I18="",IF(OR(AND(I16="DNB1",I17="DNB2"),AND(OR(I16="DNB1",I16="DNB2"),J17=0),AND(OR(I17="DNB1",I17="DNB2"),J16=0),AND(I16="DNB2",I17="DNB1"),AND(IF(J16=0,(J16+1)/ROUND(J16+1,0),J16/ROUND(J16,0))=1,IF(J17=0,(IF(J17="",0,J17)+1)/ROUND(IF(J17="",0,J17)+1,0),IF(J17="",0,J17)/ROUND(IF(J17="",0,J17)+1,0))=1,OR(J16&lt;&gt;""),J17&lt;&gt;"")),0,IF(S16&lt;0,IF(I18="",SMALL(P16:P17,1)-SUM(O16:O17),0),SMALL(P16:P18,1)-SUM(O16:O18))),IF(S16&lt;0,IF(I18="",SMALL(P16:P18,1)-SUM(O16:O18),0),LARGE(P16:P18,1)-SUM(O16:O18)))))</f>
        <v>6.51</v>
      </c>
      <c r="W16" s="496">
        <f>IF($D16=$D13,IF(S16&lt;0,IF(I18="",S16,0),S16)+W13,S16)</f>
        <v>6.51</v>
      </c>
      <c r="X16" s="505" t="str">
        <f>IF(OR(SUM(R16:R18)=0,V16=W16),ROUND(IF(W16=0,0,W16/Y16)*100,2)&amp;"%",ROUND(IF(V16=0,0,V16/Y16)*100,2)&amp;"% a "&amp;ROUND(IF(W16=0,0,W16/Y16)*100,2)&amp;"%")</f>
        <v>4,16%</v>
      </c>
      <c r="Y16" s="497">
        <f>IF($D16=$D13,Y13+SUM(O16:O18),SUM(O16:O18))</f>
        <v>156.60999999999999</v>
      </c>
      <c r="Z16" s="496">
        <f>IF($B16=" ",SUM(O16:O18),0)+Z13</f>
        <v>0</v>
      </c>
      <c r="AA16" s="496">
        <f>IF(G16="","",IF($B16="Anulado",LARGE(P16:P18,1)-SUM(O16:O18)+AA13,AA13))</f>
        <v>0.45899999999999785</v>
      </c>
      <c r="AB16" s="496">
        <f>IF($D16="","",AB13+S16)</f>
        <v>6.51</v>
      </c>
      <c r="AC16" s="499">
        <f ca="1">IF($D16="","",IF($B16=" ",IF(DAY(G16)=DAY(TODAY()),1+AC13,0+AC13),0+AC13))</f>
        <v>0</v>
      </c>
      <c r="AD16" s="157">
        <f>(1-_xlfn.XLOOKUP(K14,'Fevereiro 2023 - Valor Real'!A3:A15,'Fevereiro 2023 - Valor Real'!C3:C15,0))+1</f>
        <v>2</v>
      </c>
      <c r="AE16" s="158">
        <f>IF(L16="","",IF(L18&gt;0,(SUM(((L16-1)*(1-_xlfn.XLOOKUP(K16,'Fevereiro 2023 - Valor Real'!A3:A15,'Fevereiro 2023 - Valor Real'!C3:C15,0))+1),((L17-1)*(1-_xlfn.XLOOKUP(K17,'Fevereiro 2023 - Valor Real'!A3:A15,'Fevereiro 2023 - Valor Real'!C3:C15,0))+1),((L18-1)*(1-_xlfn.XLOOKUP(K18,'Fevereiro 2023 - Valor Real'!A3:A15,'Fevereiro 2023 - Valor Real'!C3:C15,0))+1))/((L16-1)*(1-_xlfn.XLOOKUP(K16,'Fevereiro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Real'!C3:C15,0))+1))/((L16-1)*(1-_xlfn.XLOOKUP(K16,'Fevereiro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Real'!C3:C15,0))+1))/((L17-1)*(1-_xlfn.XLOOKUP(K17,'Fevereiro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Real'!C3:C15,0))+1))/((L18-1)*(1-_xlfn.XLOOKUP(K18,'Fevereiro 2023 - Valor Real'!A3:A15,'Fevereiro 2023 - Valor Real'!C3:C15,0))+1)),IF(I16="Lay",IF(I17="Lay",((L17/(L17-1)-1)*(1-_xlfn.XLOOKUP(K17,'Fevereiro 2023 - Valor Real'!A3:A15,'Fevereiro 2023 - Valor Real'!C3:C15,0))+1)/(((L17/(L17-1)-1)*(1-_xlfn.XLOOKUP(K17,'Fevereiro 2023 - Valor Real'!A3:A15,'Fevereiro 2023 - Valor Real'!C3:C15,0))+1)+((L16/(L16-1)-1)*(1-_xlfn.XLOOKUP(K16,'Fevereiro 2023 - Valor Real'!A3:A15,'Fevereiro 2023 - Valor Real'!C3:C15,0))+1)),((L17-1)*(1-_xlfn.XLOOKUP(K17,'Fevereiro 2023 - Valor Real'!A3:A15,'Fevereiro 2023 - Valor Real'!C3:C15,0))+1)/(((L17-1)*(1-_xlfn.XLOOKUP(K17,'Fevereiro 2023 - Valor Real'!A3:A15,'Fevereiro 2023 - Valor Real'!C3:C15,0))+1)+((L16/(L16-1)-1)*(1-_xlfn.XLOOKUP(K16,'Fevereiro 2023 - Valor Real'!A3:A15,'Fevereiro 2023 - Valor Real'!C3:C15,0))+1))),IF(I17="Lay",(((L17/(L17-1)-1)*(1-_xlfn.XLOOKUP(K17,'Fevereiro 2023 - Valor Real'!A3:A15,'Fevereiro 2023 - Valor Real'!C3:C15,0))+1))/(((L16-1)*(1-_xlfn.XLOOKUP(K16,'Fevereiro 2023 - Valor Real'!A3:A15,'Fevereiro 2023 - Valor Real'!C3:C15,0))+1)+((L17/(L17-1)-1)*(1-_xlfn.XLOOKUP(K17,'Fevereiro 2023 - Valor Real'!A3:A15,'Fevereiro 2023 - Valor Real'!C3:C15,0))+1)),((L17-1)*(1-_xlfn.XLOOKUP(K17,'Fevereiro 2023 - Valor Real'!A3:A15,'Fevereiro 2023 - Valor Real'!C3:C15,0))+1)/(((L17-1)*(1-_xlfn.XLOOKUP(K17,'Fevereiro 2023 - Valor Real'!A3:A15,'Fevereiro 2023 - Valor Real'!C3:C15,0))+1)+((L16-1)*(1-_xlfn.XLOOKUP(K16,'Fevereiro 2023 - Valor Real'!A3:A15,'Fevereiro 2023 - Valor Real'!C3:C15,0))+1))))))</f>
        <v>0.35918952108063856</v>
      </c>
      <c r="AF16" s="66">
        <f t="shared" si="46"/>
        <v>0</v>
      </c>
      <c r="AG16" s="67">
        <f t="shared" si="46"/>
        <v>0</v>
      </c>
      <c r="AH16" s="67">
        <f t="shared" si="46"/>
        <v>0</v>
      </c>
      <c r="AI16" s="67">
        <f t="shared" si="46"/>
        <v>0</v>
      </c>
      <c r="AJ16" s="67">
        <f t="shared" si="46"/>
        <v>0</v>
      </c>
      <c r="AK16" s="67">
        <f t="shared" si="46"/>
        <v>0</v>
      </c>
      <c r="AL16" s="67">
        <f t="shared" si="46"/>
        <v>0</v>
      </c>
      <c r="AM16" s="67">
        <f t="shared" si="46"/>
        <v>0</v>
      </c>
      <c r="AN16" s="67">
        <f t="shared" si="46"/>
        <v>0</v>
      </c>
      <c r="AO16" s="67">
        <f t="shared" si="46"/>
        <v>0</v>
      </c>
      <c r="AP16" s="67">
        <f t="shared" si="46"/>
        <v>0</v>
      </c>
      <c r="AQ16" s="67">
        <f t="shared" si="46"/>
        <v>0</v>
      </c>
      <c r="AR16" s="68">
        <f t="shared" si="46"/>
        <v>0</v>
      </c>
      <c r="AS16" s="66">
        <f t="shared" ref="AS16:BE16" si="50">IF(AND($B16=" ",$K16=AS$3),$O16,0)</f>
        <v>0</v>
      </c>
      <c r="AT16" s="67">
        <f t="shared" si="50"/>
        <v>0</v>
      </c>
      <c r="AU16" s="67">
        <f t="shared" si="50"/>
        <v>0</v>
      </c>
      <c r="AV16" s="67">
        <f t="shared" si="50"/>
        <v>0</v>
      </c>
      <c r="AW16" s="67">
        <f t="shared" si="50"/>
        <v>0</v>
      </c>
      <c r="AX16" s="67">
        <f t="shared" si="50"/>
        <v>0</v>
      </c>
      <c r="AY16" s="69">
        <f t="shared" si="50"/>
        <v>0</v>
      </c>
      <c r="AZ16" s="70">
        <f t="shared" si="50"/>
        <v>0</v>
      </c>
      <c r="BA16" s="70">
        <f t="shared" si="50"/>
        <v>0</v>
      </c>
      <c r="BB16" s="70">
        <f t="shared" si="50"/>
        <v>0</v>
      </c>
      <c r="BC16" s="71">
        <f t="shared" si="50"/>
        <v>0</v>
      </c>
      <c r="BD16" s="67">
        <f t="shared" si="50"/>
        <v>0</v>
      </c>
      <c r="BE16" s="68">
        <f t="shared" si="50"/>
        <v>0</v>
      </c>
      <c r="BF16" s="66">
        <f t="shared" si="48"/>
        <v>0</v>
      </c>
      <c r="BG16" s="67">
        <f t="shared" si="48"/>
        <v>0</v>
      </c>
      <c r="BH16" s="67">
        <f t="shared" si="48"/>
        <v>0</v>
      </c>
      <c r="BI16" s="67">
        <f t="shared" si="48"/>
        <v>0</v>
      </c>
      <c r="BJ16" s="67">
        <f t="shared" si="48"/>
        <v>0</v>
      </c>
      <c r="BK16" s="67">
        <f t="shared" si="48"/>
        <v>0</v>
      </c>
      <c r="BL16" s="67">
        <f t="shared" si="48"/>
        <v>0</v>
      </c>
      <c r="BM16" s="69">
        <f t="shared" si="48"/>
        <v>0</v>
      </c>
      <c r="BN16" s="70">
        <f t="shared" si="48"/>
        <v>0</v>
      </c>
      <c r="BO16" s="70">
        <f t="shared" si="48"/>
        <v>0</v>
      </c>
      <c r="BP16" s="70">
        <f t="shared" si="48"/>
        <v>0</v>
      </c>
      <c r="BQ16" s="71">
        <f t="shared" si="48"/>
        <v>0</v>
      </c>
      <c r="BR16" s="68">
        <f t="shared" si="48"/>
        <v>0</v>
      </c>
      <c r="BS16" s="490">
        <f>IF($B16="LOSS",IF(AND($K16=BS$3,$C16="L"),-$O16,0)+IF(AND($K17=BS$3,$C17="L"),-$O17,0)+IF(AND($K18=BS$3,$C18="L"),-$O18,0),IF(OR(AND($K16=BS$3,OR($C16="W",$C16="1/2W")),AND($K17=BS$3,OR($C17="W",$C17="1/2W")),AND($K18=BS$3,OR($C18="W",$C18="1/2W"))),$S16,0))</f>
        <v>0</v>
      </c>
      <c r="BT16" s="498">
        <f>IF($B16="LOSS",IF(AND($K16=BT$3,$C16="L"),-$O16,0)+IF(AND($K17=BT$3,$C17="L"),-$O17,0)+IF(AND($K17=BT$3,$C18="L"),-$O18,0),IF(OR(AND($K17=BT$3,OR($C16="W",$C16="1/2W")),AND($K17=BT$3,OR($C17="W",$C17="1/2W")),AND($K17=BT$3,OR($C18="W",$C18="1/2W"))),$S16,0))</f>
        <v>3.17</v>
      </c>
      <c r="BU16" s="488">
        <f>IF($B16="LOSS",IF(AND($K16=BU$3,$C16="L"),-$O16,0)+IF(AND($K17=BU$3,$C17="L"),-$O17,0)+IF(AND($K17=BU$3,$C18="L"),-$O18,0),IF(OR(AND($K17=BU$3,OR($C16="W",$C16="1/2W")),AND($K17=BU$3,OR($C17="W",$C17="1/2W")),AND($K17=BU$3,OR($C18="W",$C18="1/2W"))),$S16,0))</f>
        <v>0</v>
      </c>
      <c r="BV16" s="488">
        <f t="shared" ref="BV16:CE16" si="51">IF($B16="LOSS",IF(AND($K16=BV$3,$C16="L"),-$O16,0)+IF(AND($K17=BV$3,$C17="L"),-$O17,0)+IF(AND($K18=BV$3,$C18="L"),-$O18,0),IF(OR(AND($K16=BV$3,OR($C16="W",$C16="1/2W")),AND($K17=BV$3,OR($C17="W",$C17="1/2W")),AND($K18=BV$3,OR($C18="W",$C18="1/2W"))),$S16,0))</f>
        <v>0</v>
      </c>
      <c r="BW16" s="488">
        <f t="shared" si="51"/>
        <v>0</v>
      </c>
      <c r="BX16" s="488">
        <f t="shared" si="51"/>
        <v>0</v>
      </c>
      <c r="BY16" s="488">
        <f t="shared" si="51"/>
        <v>0</v>
      </c>
      <c r="BZ16" s="488">
        <f t="shared" si="51"/>
        <v>0</v>
      </c>
      <c r="CA16" s="488">
        <f t="shared" si="51"/>
        <v>0</v>
      </c>
      <c r="CB16" s="488">
        <f t="shared" si="51"/>
        <v>0</v>
      </c>
      <c r="CC16" s="488">
        <f t="shared" si="51"/>
        <v>0</v>
      </c>
      <c r="CD16" s="500">
        <f t="shared" si="51"/>
        <v>0</v>
      </c>
      <c r="CE16" s="504">
        <f t="shared" si="51"/>
        <v>0</v>
      </c>
      <c r="CF16" s="160">
        <f t="shared" si="4"/>
        <v>0</v>
      </c>
      <c r="CG16" s="161">
        <f t="shared" si="5"/>
        <v>0</v>
      </c>
      <c r="CH16" s="161">
        <f t="shared" si="6"/>
        <v>0</v>
      </c>
      <c r="CI16" s="161">
        <f t="shared" si="7"/>
        <v>0</v>
      </c>
      <c r="CJ16" s="161">
        <f t="shared" si="8"/>
        <v>0</v>
      </c>
      <c r="CK16" s="161">
        <f t="shared" si="9"/>
        <v>0</v>
      </c>
      <c r="CL16" s="161">
        <f t="shared" si="10"/>
        <v>0</v>
      </c>
      <c r="CM16" s="161">
        <f t="shared" si="11"/>
        <v>0</v>
      </c>
      <c r="CN16" s="161">
        <f t="shared" si="12"/>
        <v>0</v>
      </c>
      <c r="CO16" s="161">
        <f t="shared" si="13"/>
        <v>0</v>
      </c>
      <c r="CP16" s="161">
        <f t="shared" si="14"/>
        <v>0</v>
      </c>
      <c r="CQ16" s="161">
        <f t="shared" si="15"/>
        <v>0</v>
      </c>
      <c r="CR16" s="161">
        <f t="shared" si="16"/>
        <v>0</v>
      </c>
      <c r="CS16" s="161">
        <f t="shared" si="17"/>
        <v>0</v>
      </c>
      <c r="CT16" s="75">
        <f t="shared" si="18"/>
        <v>0</v>
      </c>
      <c r="CU16" s="76">
        <f t="shared" si="19"/>
        <v>0</v>
      </c>
      <c r="CV16" s="76">
        <f t="shared" si="20"/>
        <v>0</v>
      </c>
      <c r="CW16" s="76">
        <f t="shared" si="21"/>
        <v>0</v>
      </c>
      <c r="CX16" s="76">
        <f t="shared" si="22"/>
        <v>0</v>
      </c>
      <c r="CY16" s="76">
        <f t="shared" si="23"/>
        <v>0</v>
      </c>
      <c r="CZ16" s="76">
        <f t="shared" si="24"/>
        <v>0</v>
      </c>
      <c r="DA16" s="76">
        <f t="shared" si="25"/>
        <v>0</v>
      </c>
      <c r="DB16" s="76">
        <f t="shared" si="26"/>
        <v>0</v>
      </c>
      <c r="DC16" s="76">
        <f t="shared" si="27"/>
        <v>0</v>
      </c>
      <c r="DD16" s="76">
        <f t="shared" si="28"/>
        <v>0</v>
      </c>
      <c r="DE16" s="77">
        <f t="shared" si="29"/>
        <v>0</v>
      </c>
      <c r="DF16" s="73">
        <f t="shared" si="31"/>
        <v>0</v>
      </c>
      <c r="DG16" s="67">
        <f t="shared" si="32"/>
        <v>0</v>
      </c>
      <c r="DH16" s="76">
        <f t="shared" si="33"/>
        <v>0</v>
      </c>
      <c r="DI16" s="67">
        <f t="shared" si="34"/>
        <v>0</v>
      </c>
      <c r="DJ16" s="76">
        <f>IF($D16="","",$D16)</f>
        <v>1</v>
      </c>
      <c r="DK16" s="492">
        <f>IF(AND($B16=" ",$D16&lt;&gt;""),1,0)</f>
        <v>0</v>
      </c>
    </row>
    <row r="17" spans="1:115" ht="14.5" customHeight="1" x14ac:dyDescent="0.2">
      <c r="A17" s="389"/>
      <c r="B17" s="456"/>
      <c r="C17" s="53" t="s">
        <v>54</v>
      </c>
      <c r="D17" s="374"/>
      <c r="E17" s="386"/>
      <c r="F17" s="377"/>
      <c r="G17" s="508"/>
      <c r="H17" s="476"/>
      <c r="I17" s="182" t="s">
        <v>51</v>
      </c>
      <c r="J17" s="56">
        <v>5.5</v>
      </c>
      <c r="K17" s="57" t="s">
        <v>37</v>
      </c>
      <c r="L17" s="164">
        <v>1.95</v>
      </c>
      <c r="M17" s="165">
        <v>13.07</v>
      </c>
      <c r="N17" s="406"/>
      <c r="O17" s="60">
        <f>IF(OR(AE16="",AE17=""),"",ROUND(IF(L18&gt;0,IF(M17&gt;0,M17,IF(M16&gt;0,IF(N16=TRUE,ROUND((M16*AE17)/AE16,0),(M16*AE17)/AE16),IF(M17&gt;0,ROUND(M17,IF(N16=0,2,IF(N16=0.1,1,0))),IF(M18&gt;0,ROUND(O18*AE17/AE18,IF(N16=0,2,IF(N16=0.1,1,0))),0)))),IF(M17&gt;0,M17,ROUND((M16*AE17)/AE16,IF(N16=0,2,IF(N16=0.1,1,0))))),2))</f>
        <v>13.07</v>
      </c>
      <c r="P17" s="61">
        <f>IF(OR(L17="",O17=""),"",IF($C17="1/2W",O17/2+O17/2*L17,IF($C17="1/2L",O17/2,IF(I17="Lay",((O17*(L17/(L17-1)))-O17)*(1-_xlfn.XLOOKUP(K17,'Fevereiro 2023 - Valor Real'!A3:A15,'Fevereiro 2023 - Valor Real'!C3:C15,0))+O17,(O17*L17-O17)*(1-_xlfn.XLOOKUP(K17,'Fevereiro 2023 - Valor Real'!A3:A15,'Fevereiro 2023 - Valor Real'!C3:C15,0))+O17))))</f>
        <v>25.486499999999999</v>
      </c>
      <c r="Q17" s="166">
        <f>IF(K17="","",IF(_xlfn.XLOOKUP(K17,K$4:K16,$DJ$4:DJ16,0,,-1)=DJ17,_xlfn.XLOOKUP(K17,K$4:K16,Q$4:Q16,1,,-1)+1,1))</f>
        <v>1</v>
      </c>
      <c r="R17" s="167">
        <f>IF(K17="","",_xlfn.XLOOKUP(K17,K$4:K16,R$4:R16,0,,-1)+IF($C17=" ",1,0))</f>
        <v>0</v>
      </c>
      <c r="S17" s="403"/>
      <c r="T17" s="380"/>
      <c r="U17" s="380"/>
      <c r="V17" s="481"/>
      <c r="W17" s="380"/>
      <c r="X17" s="452"/>
      <c r="Y17" s="383"/>
      <c r="Z17" s="384"/>
      <c r="AA17" s="384"/>
      <c r="AB17" s="384"/>
      <c r="AC17" s="384"/>
      <c r="AD17" s="64"/>
      <c r="AE17" s="65">
        <f>IF(L17="","",IF(L18&gt;0,(SUM(((L16-1)*(1-_xlfn.XLOOKUP(K16,'Fevereiro 2023 - Valor Real'!A3:A15,'Fevereiro 2023 - Valor Real'!C3:C15,0))+1),((L17-1)*(1-_xlfn.XLOOKUP(K17,'Fevereiro 2023 - Valor Real'!A3:A15,'Fevereiro 2023 - Valor Real'!C3:C15,0))+1),((L18-1)*(1-_xlfn.XLOOKUP(K18,'Fevereiro 2023 - Valor Real'!A3:A15,'Fevereiro 2023 - Valor Real'!C3:C15,0))+1))/((L17-1)*(1-_xlfn.XLOOKUP(K17,'Fevereiro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Real'!C3:C15,0))+1))/((L16-1)*(1-_xlfn.XLOOKUP(K16,'Fevereiro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Real'!C3:C15,0))+1))/((L17-1)*(1-_xlfn.XLOOKUP(K17,'Fevereiro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Real'!C3:C15,0))+1))/((L18-1)*(1-_xlfn.XLOOKUP(K18,'Fevereiro 2023 - Valor Real'!A3:A15,'Fevereiro 2023 - Valor Real'!C3:C15,0))+1)),IF(I17="Lay",IF(I16="Lay",((L16/(L16-1)-1)*(1-_xlfn.XLOOKUP(K16,'Fevereiro 2023 - Valor Real'!A3:A15,'Fevereiro 2023 - Valor Real'!C3:C15,0))+1)/(((L16/(L16-1)-1)*(1-_xlfn.XLOOKUP(K16,'Fevereiro 2023 - Valor Real'!A3:A15,'Fevereiro 2023 - Valor Real'!C3:C15,0))+1)+((L17/(L17-1)-1)*(1-_xlfn.XLOOKUP(K17,'Fevereiro 2023 - Valor Real'!A3:A15,'Fevereiro 2023 - Valor Real'!C3:C15,0))+1)),((L16-1)*(1-_xlfn.XLOOKUP(K16,'Fevereiro 2023 - Valor Real'!A3:A15,'Fevereiro 2023 - Valor Real'!C3:C15,0))+1)/(((L16-1)*(1-_xlfn.XLOOKUP(K16,'Fevereiro 2023 - Valor Real'!A3:A15,'Fevereiro 2023 - Valor Real'!C3:C15,0))+1)+((L17/(L17-1)-1)*(1-_xlfn.XLOOKUP(K17,'Fevereiro 2023 - Valor Real'!A3:A15,'Fevereiro 2023 - Valor Real'!C3:C15,0))+1))),IF(I16="Lay",((L16/(L16-1)-1)*(1-_xlfn.XLOOKUP(K16,'Fevereiro 2023 - Valor Real'!A3:A15,'Fevereiro 2023 - Valor Real'!C3:C15,0))+1)/((((L16/(L16-1)-1)*(1-_xlfn.XLOOKUP(K16,'Fevereiro 2023 - Valor Real'!A3:A15,'Fevereiro 2023 - Valor Real'!C3:C15,0))+1))+((L17-1)*(1-_xlfn.XLOOKUP(K17,'Fevereiro 2023 - Valor Real'!A3:A15,'Fevereiro 2023 - Valor Real'!C3:C15,0))+1)),((L16-1)*(1-_xlfn.XLOOKUP(K16,'Fevereiro 2023 - Valor Real'!A3:A15,'Fevereiro 2023 - Valor Real'!C3:C15,0))+1)/(((L16-1)*(1-_xlfn.XLOOKUP(K16,'Fevereiro 2023 - Valor Real'!A3:A15,'Fevereiro 2023 - Valor Real'!C3:C15,0))+1)+((L17-1)*(1-_xlfn.XLOOKUP(K17,'Fevereiro 2023 - Valor Real'!A3:A15,'Fevereiro 2023 - Valor Real'!C3:C15,0))+1))))))</f>
        <v>0.37208350388866146</v>
      </c>
      <c r="AF17" s="66">
        <f t="shared" si="46"/>
        <v>0</v>
      </c>
      <c r="AG17" s="67">
        <f t="shared" si="46"/>
        <v>12.42</v>
      </c>
      <c r="AH17" s="67">
        <f t="shared" si="46"/>
        <v>0</v>
      </c>
      <c r="AI17" s="67">
        <f t="shared" si="46"/>
        <v>0</v>
      </c>
      <c r="AJ17" s="67">
        <f t="shared" si="46"/>
        <v>0</v>
      </c>
      <c r="AK17" s="67">
        <f t="shared" si="46"/>
        <v>0</v>
      </c>
      <c r="AL17" s="67">
        <f t="shared" si="46"/>
        <v>0</v>
      </c>
      <c r="AM17" s="67">
        <f t="shared" si="46"/>
        <v>0</v>
      </c>
      <c r="AN17" s="67">
        <f t="shared" si="46"/>
        <v>0</v>
      </c>
      <c r="AO17" s="67">
        <f t="shared" si="46"/>
        <v>0</v>
      </c>
      <c r="AP17" s="67">
        <f t="shared" si="46"/>
        <v>0</v>
      </c>
      <c r="AQ17" s="67">
        <f t="shared" si="46"/>
        <v>0</v>
      </c>
      <c r="AR17" s="68">
        <f t="shared" si="46"/>
        <v>0</v>
      </c>
      <c r="AS17" s="66">
        <f>IF(AND($B16=" ",$K17=AS$3),$O17,0)</f>
        <v>0</v>
      </c>
      <c r="AT17" s="67">
        <f>IF(AND($B16=" ",K17=AT$3),$O17,0)</f>
        <v>0</v>
      </c>
      <c r="AU17" s="67">
        <f t="shared" ref="AU17:BE17" si="52">IF(AND($B16=" ",$K17=AU$3),$O17,0)</f>
        <v>0</v>
      </c>
      <c r="AV17" s="67">
        <f t="shared" si="52"/>
        <v>0</v>
      </c>
      <c r="AW17" s="67">
        <f t="shared" si="52"/>
        <v>0</v>
      </c>
      <c r="AX17" s="67">
        <f t="shared" si="52"/>
        <v>0</v>
      </c>
      <c r="AY17" s="69">
        <f t="shared" si="52"/>
        <v>0</v>
      </c>
      <c r="AZ17" s="70">
        <f t="shared" si="52"/>
        <v>0</v>
      </c>
      <c r="BA17" s="70">
        <f t="shared" si="52"/>
        <v>0</v>
      </c>
      <c r="BB17" s="70">
        <f t="shared" si="52"/>
        <v>0</v>
      </c>
      <c r="BC17" s="71">
        <f t="shared" si="52"/>
        <v>0</v>
      </c>
      <c r="BD17" s="67">
        <f t="shared" si="52"/>
        <v>0</v>
      </c>
      <c r="BE17" s="68">
        <f t="shared" si="52"/>
        <v>0</v>
      </c>
      <c r="BF17" s="66">
        <f t="shared" si="48"/>
        <v>0</v>
      </c>
      <c r="BG17" s="168">
        <f t="shared" si="48"/>
        <v>13.07</v>
      </c>
      <c r="BH17" s="67">
        <f t="shared" si="48"/>
        <v>0</v>
      </c>
      <c r="BI17" s="67">
        <f t="shared" si="48"/>
        <v>0</v>
      </c>
      <c r="BJ17" s="67">
        <f t="shared" si="48"/>
        <v>0</v>
      </c>
      <c r="BK17" s="67">
        <f t="shared" si="48"/>
        <v>0</v>
      </c>
      <c r="BL17" s="67">
        <f t="shared" si="48"/>
        <v>0</v>
      </c>
      <c r="BM17" s="69">
        <f t="shared" si="48"/>
        <v>0</v>
      </c>
      <c r="BN17" s="70">
        <f t="shared" si="48"/>
        <v>0</v>
      </c>
      <c r="BO17" s="70">
        <f t="shared" si="48"/>
        <v>0</v>
      </c>
      <c r="BP17" s="70">
        <f t="shared" si="48"/>
        <v>0</v>
      </c>
      <c r="BQ17" s="71">
        <f t="shared" si="48"/>
        <v>0</v>
      </c>
      <c r="BR17" s="68">
        <f t="shared" si="48"/>
        <v>0</v>
      </c>
      <c r="BS17" s="491"/>
      <c r="BT17" s="489"/>
      <c r="BU17" s="392"/>
      <c r="BV17" s="489"/>
      <c r="BW17" s="392"/>
      <c r="BX17" s="392"/>
      <c r="BY17" s="392"/>
      <c r="BZ17" s="489"/>
      <c r="CA17" s="392"/>
      <c r="CB17" s="392"/>
      <c r="CC17" s="392"/>
      <c r="CD17" s="401"/>
      <c r="CE17" s="409"/>
      <c r="CF17" s="169">
        <f t="shared" si="4"/>
        <v>0</v>
      </c>
      <c r="CG17" s="170">
        <f t="shared" si="5"/>
        <v>0</v>
      </c>
      <c r="CH17" s="170">
        <f t="shared" si="6"/>
        <v>1</v>
      </c>
      <c r="CI17" s="170">
        <f t="shared" si="7"/>
        <v>0</v>
      </c>
      <c r="CJ17" s="170">
        <f t="shared" si="8"/>
        <v>0</v>
      </c>
      <c r="CK17" s="170">
        <f t="shared" si="9"/>
        <v>0</v>
      </c>
      <c r="CL17" s="170">
        <f t="shared" si="10"/>
        <v>0</v>
      </c>
      <c r="CM17" s="170">
        <f t="shared" si="11"/>
        <v>0</v>
      </c>
      <c r="CN17" s="170">
        <f t="shared" si="12"/>
        <v>0</v>
      </c>
      <c r="CO17" s="170">
        <f t="shared" si="13"/>
        <v>0</v>
      </c>
      <c r="CP17" s="170">
        <f t="shared" si="14"/>
        <v>0</v>
      </c>
      <c r="CQ17" s="170">
        <f t="shared" si="15"/>
        <v>0</v>
      </c>
      <c r="CR17" s="170">
        <f t="shared" si="16"/>
        <v>0</v>
      </c>
      <c r="CS17" s="170">
        <f t="shared" si="17"/>
        <v>0</v>
      </c>
      <c r="CT17" s="75">
        <f t="shared" si="18"/>
        <v>0</v>
      </c>
      <c r="CU17" s="76">
        <f t="shared" si="19"/>
        <v>0</v>
      </c>
      <c r="CV17" s="76">
        <f t="shared" si="20"/>
        <v>0</v>
      </c>
      <c r="CW17" s="76">
        <f t="shared" si="21"/>
        <v>0</v>
      </c>
      <c r="CX17" s="76">
        <f t="shared" si="22"/>
        <v>0</v>
      </c>
      <c r="CY17" s="76">
        <f t="shared" si="23"/>
        <v>0</v>
      </c>
      <c r="CZ17" s="76">
        <f t="shared" si="24"/>
        <v>0</v>
      </c>
      <c r="DA17" s="76">
        <f t="shared" si="25"/>
        <v>0</v>
      </c>
      <c r="DB17" s="76">
        <f t="shared" si="26"/>
        <v>0</v>
      </c>
      <c r="DC17" s="76">
        <f t="shared" si="27"/>
        <v>0</v>
      </c>
      <c r="DD17" s="76">
        <f t="shared" si="28"/>
        <v>0</v>
      </c>
      <c r="DE17" s="77">
        <f t="shared" si="29"/>
        <v>0</v>
      </c>
      <c r="DF17" s="73">
        <f t="shared" si="31"/>
        <v>0</v>
      </c>
      <c r="DG17" s="67">
        <f t="shared" si="32"/>
        <v>0</v>
      </c>
      <c r="DH17" s="76">
        <f t="shared" si="33"/>
        <v>0</v>
      </c>
      <c r="DI17" s="67">
        <f t="shared" si="34"/>
        <v>0</v>
      </c>
      <c r="DJ17" s="76">
        <f>IF($D16="","",$D16)</f>
        <v>1</v>
      </c>
      <c r="DK17" s="493"/>
    </row>
    <row r="18" spans="1:115" ht="14.5" customHeight="1" x14ac:dyDescent="0.2">
      <c r="A18" s="390"/>
      <c r="B18" s="457"/>
      <c r="C18" s="79" t="s">
        <v>55</v>
      </c>
      <c r="D18" s="375"/>
      <c r="E18" s="387"/>
      <c r="F18" s="378"/>
      <c r="G18" s="508"/>
      <c r="H18" s="477"/>
      <c r="I18" s="183" t="s">
        <v>51</v>
      </c>
      <c r="J18" s="184">
        <v>6.5</v>
      </c>
      <c r="K18" s="185" t="s">
        <v>37</v>
      </c>
      <c r="L18" s="186">
        <v>2.7</v>
      </c>
      <c r="M18" s="174">
        <v>9.25</v>
      </c>
      <c r="N18" s="407"/>
      <c r="O18" s="187">
        <f>IF(OR(AE16="",AE17=""),"",IF(L18&gt;0,ROUND(IF(M18&gt;0,M18,IF(M16&gt;0,ROUND((M16*AE18)/AE16,IF(N16=0,2,IF(N16=0.1,1,0))),IF(M17&gt;0,ROUND((M17*AE18)/AE17,IF(N16=0,2,IF(N16=0.1,1,0))),IF(M18&gt;0,M18,0)))),2),""))</f>
        <v>9.25</v>
      </c>
      <c r="P18" s="188">
        <f>IF(I17="Lay",O17*(L17/(L17-1))-O17,IF(I16="Lay",O16*(L16/(L16-1))-O16,IF(OR(L18="",O18=""),"",IF($C18="1/2W",O18/2+O18/2*L18,IF($C18="1/2L",O18/2,(O18*L18-O18)*(1-_xlfn.XLOOKUP(K18,'Fevereiro 2023 - Valor Real'!A3:A15,'Fevereiro 2023 - Valor Real'!C3:C15,0))+O18)))))</f>
        <v>24.975000000000001</v>
      </c>
      <c r="Q18" s="166">
        <f>IF(K18="","",IF(_xlfn.XLOOKUP(K18,K$4:K17,$DJ$4:DJ17,0,,-1)=DJ18,_xlfn.XLOOKUP(K18,K$4:K17,Q$4:Q17,1,,-1)+1,1))</f>
        <v>2</v>
      </c>
      <c r="R18" s="189">
        <f>IF(K18="","",_xlfn.XLOOKUP(K18,K$4:K17,R$4:R17,0,,-1)+IF($C18=" ",1,0))</f>
        <v>0</v>
      </c>
      <c r="S18" s="404"/>
      <c r="T18" s="378"/>
      <c r="U18" s="378"/>
      <c r="V18" s="404"/>
      <c r="W18" s="378"/>
      <c r="X18" s="453"/>
      <c r="Y18" s="383"/>
      <c r="Z18" s="384"/>
      <c r="AA18" s="384"/>
      <c r="AB18" s="384"/>
      <c r="AC18" s="384"/>
      <c r="AD18" s="90"/>
      <c r="AE18" s="190">
        <f>IF(L18="","",(SUM(((L16-1)*(1-_xlfn.XLOOKUP(K16,'Fevereiro 2023 - Valor Real'!A3:A15,'Fevereiro 2023 - Valor Real'!C3:C15,0))+1),((L17-1)*(1-_xlfn.XLOOKUP(K17,'Fevereiro 2023 - Valor Real'!A3:A15,'Fevereiro 2023 - Valor Real'!C3:C15,0))+1),((L18-1)*(1-_xlfn.XLOOKUP(K18,'Fevereiro 2023 - Valor Real'!A3:A15,'Fevereiro 2023 - Valor Real'!C3:C15,0))+1))/((L18-1)*(1-_xlfn.XLOOKUP(K18,'Fevereiro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Real'!C3:C15,0))+1))/((L16-1)*(1-_xlfn.XLOOKUP(K16,'Fevereiro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Real'!C3:C15,0))+1))/((L17-1)*(1-_xlfn.XLOOKUP(K17,'Fevereiro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Real'!C3:C15,0))+1))/((L18-1)*(1-_xlfn.XLOOKUP(K18,'Fevereiro 2023 - Valor Real'!A3:A15,'Fevereiro 2023 - Valor Real'!C3:C15,0))+1)))</f>
        <v>0.26872697503069998</v>
      </c>
      <c r="AF18" s="66">
        <f t="shared" si="46"/>
        <v>0</v>
      </c>
      <c r="AG18" s="67">
        <f t="shared" si="46"/>
        <v>-9.25</v>
      </c>
      <c r="AH18" s="67">
        <f t="shared" si="46"/>
        <v>0</v>
      </c>
      <c r="AI18" s="67">
        <f t="shared" si="46"/>
        <v>0</v>
      </c>
      <c r="AJ18" s="67">
        <f t="shared" si="46"/>
        <v>0</v>
      </c>
      <c r="AK18" s="67">
        <f t="shared" si="46"/>
        <v>0</v>
      </c>
      <c r="AL18" s="67">
        <f t="shared" si="46"/>
        <v>0</v>
      </c>
      <c r="AM18" s="67">
        <f t="shared" si="46"/>
        <v>0</v>
      </c>
      <c r="AN18" s="67">
        <f t="shared" si="46"/>
        <v>0</v>
      </c>
      <c r="AO18" s="67">
        <f t="shared" si="46"/>
        <v>0</v>
      </c>
      <c r="AP18" s="67">
        <f t="shared" si="46"/>
        <v>0</v>
      </c>
      <c r="AQ18" s="67">
        <f t="shared" si="46"/>
        <v>0</v>
      </c>
      <c r="AR18" s="68">
        <f t="shared" si="46"/>
        <v>0</v>
      </c>
      <c r="AS18" s="66">
        <f>IF(AND($B16=" ",$K18=AS$3),$O18,0)</f>
        <v>0</v>
      </c>
      <c r="AT18" s="67">
        <f>IF(AND($B16=" ",K18=AT$3),$O18,0)</f>
        <v>0</v>
      </c>
      <c r="AU18" s="67">
        <f t="shared" ref="AU18:BE18" si="53">IF(AND($B16=" ",$K18=AU$3),$O18,0)</f>
        <v>0</v>
      </c>
      <c r="AV18" s="67">
        <f t="shared" si="53"/>
        <v>0</v>
      </c>
      <c r="AW18" s="67">
        <f t="shared" si="53"/>
        <v>0</v>
      </c>
      <c r="AX18" s="67">
        <f t="shared" si="53"/>
        <v>0</v>
      </c>
      <c r="AY18" s="69">
        <f t="shared" si="53"/>
        <v>0</v>
      </c>
      <c r="AZ18" s="70">
        <f t="shared" si="53"/>
        <v>0</v>
      </c>
      <c r="BA18" s="70">
        <f t="shared" si="53"/>
        <v>0</v>
      </c>
      <c r="BB18" s="70">
        <f t="shared" si="53"/>
        <v>0</v>
      </c>
      <c r="BC18" s="71">
        <f t="shared" si="53"/>
        <v>0</v>
      </c>
      <c r="BD18" s="67">
        <f t="shared" si="53"/>
        <v>0</v>
      </c>
      <c r="BE18" s="68">
        <f t="shared" si="53"/>
        <v>0</v>
      </c>
      <c r="BF18" s="66">
        <f t="shared" si="48"/>
        <v>0</v>
      </c>
      <c r="BG18" s="168">
        <f t="shared" si="48"/>
        <v>9.25</v>
      </c>
      <c r="BH18" s="67">
        <f t="shared" si="48"/>
        <v>0</v>
      </c>
      <c r="BI18" s="67">
        <f t="shared" si="48"/>
        <v>0</v>
      </c>
      <c r="BJ18" s="67">
        <f t="shared" si="48"/>
        <v>0</v>
      </c>
      <c r="BK18" s="67">
        <f t="shared" si="48"/>
        <v>0</v>
      </c>
      <c r="BL18" s="67">
        <f t="shared" si="48"/>
        <v>0</v>
      </c>
      <c r="BM18" s="69">
        <f t="shared" si="48"/>
        <v>0</v>
      </c>
      <c r="BN18" s="70">
        <f t="shared" si="48"/>
        <v>0</v>
      </c>
      <c r="BO18" s="70">
        <f t="shared" si="48"/>
        <v>0</v>
      </c>
      <c r="BP18" s="70">
        <f t="shared" si="48"/>
        <v>0</v>
      </c>
      <c r="BQ18" s="71">
        <f t="shared" si="48"/>
        <v>0</v>
      </c>
      <c r="BR18" s="68">
        <f t="shared" si="48"/>
        <v>0</v>
      </c>
      <c r="BS18" s="491"/>
      <c r="BT18" s="489"/>
      <c r="BU18" s="392"/>
      <c r="BV18" s="489"/>
      <c r="BW18" s="392"/>
      <c r="BX18" s="392"/>
      <c r="BY18" s="392"/>
      <c r="BZ18" s="489"/>
      <c r="CA18" s="392"/>
      <c r="CB18" s="392"/>
      <c r="CC18" s="392"/>
      <c r="CD18" s="401"/>
      <c r="CE18" s="409"/>
      <c r="CF18" s="169">
        <f t="shared" si="4"/>
        <v>0</v>
      </c>
      <c r="CG18" s="170">
        <f t="shared" si="5"/>
        <v>0</v>
      </c>
      <c r="CH18" s="170">
        <f t="shared" si="6"/>
        <v>0</v>
      </c>
      <c r="CI18" s="170">
        <f t="shared" si="7"/>
        <v>1</v>
      </c>
      <c r="CJ18" s="170">
        <f t="shared" si="8"/>
        <v>0</v>
      </c>
      <c r="CK18" s="170">
        <f t="shared" si="9"/>
        <v>0</v>
      </c>
      <c r="CL18" s="170">
        <f t="shared" si="10"/>
        <v>0</v>
      </c>
      <c r="CM18" s="170">
        <f t="shared" si="11"/>
        <v>0</v>
      </c>
      <c r="CN18" s="170">
        <f t="shared" si="12"/>
        <v>0</v>
      </c>
      <c r="CO18" s="170">
        <f t="shared" si="13"/>
        <v>0</v>
      </c>
      <c r="CP18" s="170">
        <f t="shared" si="14"/>
        <v>0</v>
      </c>
      <c r="CQ18" s="170">
        <f t="shared" si="15"/>
        <v>0</v>
      </c>
      <c r="CR18" s="170">
        <f t="shared" si="16"/>
        <v>0</v>
      </c>
      <c r="CS18" s="170">
        <f t="shared" si="17"/>
        <v>0</v>
      </c>
      <c r="CT18" s="75">
        <f t="shared" si="18"/>
        <v>0</v>
      </c>
      <c r="CU18" s="76">
        <f t="shared" si="19"/>
        <v>0</v>
      </c>
      <c r="CV18" s="76">
        <f t="shared" si="20"/>
        <v>0</v>
      </c>
      <c r="CW18" s="76">
        <f t="shared" si="21"/>
        <v>0</v>
      </c>
      <c r="CX18" s="76">
        <f t="shared" si="22"/>
        <v>0</v>
      </c>
      <c r="CY18" s="76">
        <f t="shared" si="23"/>
        <v>0</v>
      </c>
      <c r="CZ18" s="76">
        <f t="shared" si="24"/>
        <v>0</v>
      </c>
      <c r="DA18" s="76">
        <f t="shared" si="25"/>
        <v>0</v>
      </c>
      <c r="DB18" s="76">
        <f t="shared" si="26"/>
        <v>0</v>
      </c>
      <c r="DC18" s="76">
        <f t="shared" si="27"/>
        <v>0</v>
      </c>
      <c r="DD18" s="76">
        <f t="shared" si="28"/>
        <v>0</v>
      </c>
      <c r="DE18" s="77">
        <f t="shared" si="29"/>
        <v>0</v>
      </c>
      <c r="DF18" s="73">
        <f t="shared" si="31"/>
        <v>0</v>
      </c>
      <c r="DG18" s="67">
        <f t="shared" si="32"/>
        <v>0</v>
      </c>
      <c r="DH18" s="76">
        <f t="shared" si="33"/>
        <v>0</v>
      </c>
      <c r="DI18" s="67">
        <f t="shared" si="34"/>
        <v>0</v>
      </c>
      <c r="DJ18" s="76">
        <f>IF($D16="","",$D16)</f>
        <v>1</v>
      </c>
      <c r="DK18" s="493"/>
    </row>
    <row r="19" spans="1:115" ht="14.5" customHeight="1" x14ac:dyDescent="0.2">
      <c r="A19" s="459">
        <f>$A16+1</f>
        <v>6</v>
      </c>
      <c r="B19" s="507" t="str">
        <f>IF(OR(C19="W",C20="W",C21="W",C19="1/2W",C20="1/2W",C21="1/2W",C19="1/2L",C20="1/2L",C21="1/2L"),"OK",IF(OR(C19="L",C20="L",C21="L"),"LOSS",IF(OR(C19="X",C20="X",C21="X"),"Anulado"," ")))</f>
        <v>OK</v>
      </c>
      <c r="C19" s="93" t="s">
        <v>55</v>
      </c>
      <c r="D19" s="469">
        <f>IF(G19="","",$D16)</f>
        <v>1</v>
      </c>
      <c r="E19" s="485" t="str">
        <f>IF(G19=""," ","– "&amp;COUNTIF(D$4:D21,$D19))</f>
        <v>– 6</v>
      </c>
      <c r="F19" s="509" t="str">
        <f ca="1">IF(G19="","",IF(OR(AND($C19&lt;&gt;" ",$C20=" "),AND($C20&lt;&gt;" ",$C19=" "),AND(L21&gt;0,OR(AND($C21&lt;&gt;" ",OR($C19=" ",$C20=" ")),AND($C21=" ",OR($C19&lt;&gt;" ",$C20&lt;&gt;" "))))),IF(SUM(F$4:F18)=0,1,LARGE(F$4:F18,1)+1),IF(MONTH(G19)=MONTH(TODAY()),IF(AND(DAY(G19)&lt;DAY(TODAY()),$B19=" "),IF(SUM(F$4:F18)=0,1,LARGE(F$4:F18,1)+1),IF($B19=" ",IF(AND(DAY(G19)=DAY(TODAY()),HOUR(G19)&lt;=HOUR(NOW())+1),IF(AND(HOUR(G19)+2&lt;=HOUR(NOW()),DAY(G19)&lt;=DAY(TODAY()),MINUTE(G19)&lt;=MINUTE(NOW())),IF(SUM(F$4:F18)=0,1,LARGE(F$4:F18,1)+1),IF(OR(MINUTE(G19)&lt;=MINUTE(NOW()),HOUR(G19)&lt;=HOUR(NOW())),"!!!","")),""),"")),"")))</f>
        <v/>
      </c>
      <c r="G19" s="482">
        <f>IF(H19="","",_xlfn.XLOOKUP(H19,$H$4:H18,$G$4:G18,""))</f>
        <v>44986.895833333336</v>
      </c>
      <c r="H19" s="475" t="s">
        <v>56</v>
      </c>
      <c r="I19" s="94" t="s">
        <v>51</v>
      </c>
      <c r="J19" s="95">
        <v>6.5</v>
      </c>
      <c r="K19" s="96" t="s">
        <v>37</v>
      </c>
      <c r="L19" s="97">
        <v>2.7</v>
      </c>
      <c r="M19" s="98">
        <v>11.19</v>
      </c>
      <c r="N19" s="478">
        <v>0.1</v>
      </c>
      <c r="O19" s="99">
        <f>IF(OR(AE19="",AE20=""),"",ROUND(IF(L21&gt;0,IF(M19&gt;0,M19,IF(M20&gt;0,ROUND((M20*AE19)/AE20,IF(N19=0,2,IF(N19=0.1,1,0))),ROUND((M21*AE19)/AE21,IF(N19=0,2,IF(N19=0.1,1,0))))),IF(M19&gt;0,M19,ROUND((M20*AE19)/AE20,IF(N19=0,2,IF(N19=0.1,1,0))))),2))</f>
        <v>11.19</v>
      </c>
      <c r="P19" s="100">
        <f>IF(OR(L19="",O19=""),"",IF($C19="1/2W",O19/2+O19/2*L19,IF($C19="1/2L",O19/2,IF(I19="Lay",(O19*(L19/(L19-1))-O19)*(1-_xlfn.XLOOKUP(K19,'Fevereiro 2023 - Valor Real'!A3:A15,'Fevereiro 2023 - Valor Real'!C3:C15,0))+O19,(O19*L19-O19)*(1-_xlfn.XLOOKUP(K19,'Fevereiro 2023 - Valor Real'!A3:A15,'Fevereiro 2023 - Valor Real'!C3:C15,0))+O19))))</f>
        <v>30.213000000000001</v>
      </c>
      <c r="Q19" s="101">
        <f>IF(K19="","",IF(_xlfn.XLOOKUP(K19,K$4:K18,$DJ$4:DJ18,0,,-1)=DJ19,_xlfn.XLOOKUP(K19,K$4:K18,Q$4:Q18,1,,-1)+1,1))</f>
        <v>3</v>
      </c>
      <c r="R19" s="102">
        <f>IF(K19="","",_xlfn.XLOOKUP(K19,K$4:K18,R$4:R18,0,,-1)+IF($C19=" ",1,0))</f>
        <v>0</v>
      </c>
      <c r="S19" s="474">
        <f>IF($B19="Anulado",0,ROUND(IF(OR($B19="LOSS",$B19="OK"),IF(OR($C19="W",$C19="1/2W",$C19="1/2L"),P19-O19,IF($C19="L",-O19,0))+IF(OR($C20="W",$C20="1/2W",$C20="1/2L"),P20-O20,IF($C20="L",-O20,0))+IF(OR($C21="W",$C21="1/2W",$C21="1/2L"),P21-O21,IF($C21="L",-O21,0)),IF(AND(OR($C19="W",$C19="1/2W",$C19="1/2L"),C20="W"),P19+P20-SUM(O19:O21)+_xlfn.XLOOKUP("X",C19:C21,O19:O21,0),IF(AND(C19=TRUE,C21="W"),P19+P21-SUM(O19:O21),IF(AND(C20="W",C21="W"),P20+P21-SUM(O19:O21)+_xlfn.XLOOKUP("X",C19:C21,O19:O21,0),IF(L21&gt;0,IF(OR($C19="W",$C19="1/2W",$C19="1/2L"),P19-SUM(O19:O21)+_xlfn.XLOOKUP("X",C19:C21,O19:O21,0),IF(OR($C19="W",$C19="1/2W",$C19="1/2L"),P20-SUM(O19:O21)+_xlfn.XLOOKUP("X",C19:C21,O19:O21,0),IF(OR($C19="W",$C19="1/2W",$C19="1/2L"),P21-SUM(O19:O21)+_xlfn.XLOOKUP("X",C19:C21,O19:O21,0),IF(SUM(P19:P21)/3-SUM(O19:O21)+_xlfn.XLOOKUP("X",C19:C21,O19:O21,0)&gt;0,SUM(P19:P21)/3-SUM(O19:O21)+_xlfn.XLOOKUP("X",C19:C21,O19:O21,0),LARGE(P19:P21,1)-SUM(O19:O21))))),IF(OR($C19="W",$C19="1/2W",$C19="1/2L"),P19-SUM(O19:O20)+_xlfn.XLOOKUP("X",C19:C21,O19:O21,0),IF(OR($C19="W",$C19="1/2W",$C19="1/2L"),P20-SUM(O19:O20)+_xlfn.XLOOKUP("X",C19:C21,O19:O21,0),SUM(P19:P20)/2-SUM(O19:O20)+_xlfn.XLOOKUP("X",C19:C21,O19:O21,0)))))))),2))</f>
        <v>1.48</v>
      </c>
      <c r="T19" s="458">
        <f>IF(S19=0,0,S19/SUM(O19:O21))</f>
        <v>5.1406738450850989E-2</v>
      </c>
      <c r="U19" s="470">
        <f>IF($D19=$D16,IF(OR($B19="LOSS",$B19="OK",$B19="Anulada"),S19,0)+U16,IF(OR($B19="LOSS",$B19="OK",$B19="Anulada"),S19,0))</f>
        <v>7.99</v>
      </c>
      <c r="V19" s="470">
        <f>IF($D19="",0,IF($D19=$D16,IF($B19=" ",IF(I21="",IF(OR(AND(I19="DNB1",I20="DNB2"),AND(OR(I19="DNB1",I19="DNB2"),J20=0),AND(OR(I20="DNB1",I20="DNB2"),J19=0),AND(I19="DNB2",I20="DNB1"),AND(IF(J19=0,(J19+1)/ROUND(J19+1,0),J19/ROUND(J19,0))=1,IF(J20=0,(J20+1)/ROUND(IF(J20="",0,J20)+1,0),IF(J20="",0,J20)/ROUND(IF(J20="",1,J20),0))=1,OR(J19&lt;&gt;""),J20&lt;&gt;"")),0,IF(S19&lt;0,IF(I21="",SMALL(P19:P20,1)-SUM(O19:O20),0),SMALL(P19:P20,1)-SUM(O19:O20))),IF(S19&lt;0,IF(I21="",SMALL(P19:P21,1)-SUM(O19:O21),0),LARGE(P19:P21,1)-SUM(O19:O21))),S19)+V16,IF(I21="",IF(OR(AND(I19="DNB1",I20="DNB2"),AND(OR(I19="DNB1",I19="DNB2"),J20=0),AND(OR(I20="DNB1",I20="DNB2"),J19=0),AND(I19="DNB2",I20="DNB1"),AND(IF(J19=0,(J19+1)/ROUND(J19+1,0),J19/ROUND(J19,0))=1,IF(J20=0,(IF(J20="",0,J20)+1)/ROUND(IF(J20="",0,J20)+1,0),IF(J20="",0,J20)/ROUND(IF(J20="",0,J20)+1,0))=1,OR(J19&lt;&gt;""),J20&lt;&gt;"")),0,IF(S19&lt;0,IF(I21="",SMALL(P19:P20,1)-SUM(O19:O20),0),SMALL(P19:P21,1)-SUM(O19:O21))),IF(S19&lt;0,IF(I21="",SMALL(P19:P21,1)-SUM(O19:O21),0),LARGE(P19:P21,1)-SUM(O19:O21)))))</f>
        <v>7.99</v>
      </c>
      <c r="W19" s="470">
        <f>IF($D19=$D16,IF(S19&lt;0,IF(I21="",S19,0),S19)+W16,S19)</f>
        <v>7.99</v>
      </c>
      <c r="X19" s="480" t="str">
        <f>IF(OR(SUM(R19:R21)=0,V19=W19),ROUND(IF(W19=0,0,W19/Y19)*100,2)&amp;"%",ROUND(IF(V19=0,0,V19/Y19)*100,2)&amp;"% a "&amp;ROUND(IF(W19=0,0,W19/Y19)*100,2)&amp;"%")</f>
        <v>4,31%</v>
      </c>
      <c r="Y19" s="471">
        <f>IF($D19=$D16,Y16+SUM(O19:O21),SUM(O19:O21))</f>
        <v>185.39999999999998</v>
      </c>
      <c r="Z19" s="470">
        <f>IF($B19=" ",SUM(O19:O21),0)+Z16</f>
        <v>0</v>
      </c>
      <c r="AA19" s="470">
        <f>IF(G19="","",IF($B19="Anulado",LARGE(P19:P21,1)-SUM(O19:O21)+AA16,AA16))</f>
        <v>0.45899999999999785</v>
      </c>
      <c r="AB19" s="470">
        <f>IF($D19="","",AB16+S19)</f>
        <v>7.99</v>
      </c>
      <c r="AC19" s="472">
        <f ca="1">IF($D19="","",IF($B19=" ",IF(DAY(G19)=DAY(TODAY()),1+AC16,0+AC16),0+AC16))</f>
        <v>0</v>
      </c>
      <c r="AD19" s="103">
        <f>(((L20/(L20-1)-1)*(1-_xlfn.XLOOKUP(K20,'Fevereiro 2023 - Valor Real'!A3:A15,'Fevereiro 2023 - Valor Real'!C3:C15,0))+1))/(((L19-1)*(1-_xlfn.XLOOKUP(K19,'Fevereiro 2023 - Valor Real'!A3:A15,'Fevereiro 2023 - Valor Real'!C3:C15,0))+1)+((L20/(L20-1)-1)*(1-_xlfn.XLOOKUP(K20,'Fevereiro 2023 - Valor Real'!A3:A15,'Fevereiro 2023 - Valor Real'!C3:C15,0))+1))</f>
        <v>0.46943231441048039</v>
      </c>
      <c r="AE19" s="104">
        <f>IF(L19="","",IF(L21&gt;0,(SUM(((L19-1)*(1-_xlfn.XLOOKUP(K19,'Fevereiro 2023 - Valor Real'!A3:A15,'Fevereiro 2023 - Valor Real'!C3:C15,0))+1),((L20-1)*(1-_xlfn.XLOOKUP(K20,'Fevereiro 2023 - Valor Real'!A3:A15,'Fevereiro 2023 - Valor Real'!C3:C15,0))+1),((L21-1)*(1-_xlfn.XLOOKUP(K21,'Fevereiro 2023 - Valor Real'!A3:A15,'Fevereiro 2023 - Valor Real'!C3:C15,0))+1))/((L19-1)*(1-_xlfn.XLOOKUP(K19,'Fevereiro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Real'!C3:C15,0))+1))/((L19-1)*(1-_xlfn.XLOOKUP(K19,'Fevereiro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Real'!C3:C15,0))+1))/((L20-1)*(1-_xlfn.XLOOKUP(K20,'Fevereiro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Real'!C3:C15,0))+1))/((L21-1)*(1-_xlfn.XLOOKUP(K21,'Fevereiro 2023 - Valor Real'!A3:A15,'Fevereiro 2023 - Valor Real'!C3:C15,0))+1)),IF(I19="Lay",IF(I20="Lay",((L20/(L20-1)-1)*(1-_xlfn.XLOOKUP(K20,'Fevereiro 2023 - Valor Real'!A3:A15,'Fevereiro 2023 - Valor Real'!C3:C15,0))+1)/(((L20/(L20-1)-1)*(1-_xlfn.XLOOKUP(K20,'Fevereiro 2023 - Valor Real'!A3:A15,'Fevereiro 2023 - Valor Real'!C3:C15,0))+1)+((L19/(L19-1)-1)*(1-_xlfn.XLOOKUP(K19,'Fevereiro 2023 - Valor Real'!A3:A15,'Fevereiro 2023 - Valor Real'!C3:C15,0))+1)),((L20-1)*(1-_xlfn.XLOOKUP(K20,'Fevereiro 2023 - Valor Real'!A3:A15,'Fevereiro 2023 - Valor Real'!C3:C15,0))+1)/(((L20-1)*(1-_xlfn.XLOOKUP(K20,'Fevereiro 2023 - Valor Real'!A3:A15,'Fevereiro 2023 - Valor Real'!C3:C15,0))+1)+((L19/(L19-1)-1)*(1-_xlfn.XLOOKUP(K19,'Fevereiro 2023 - Valor Real'!A3:A15,'Fevereiro 2023 - Valor Real'!C3:C15,0))+1))),IF(I20="Lay",(((L20/(L20-1)-1)*(1-_xlfn.XLOOKUP(K20,'Fevereiro 2023 - Valor Real'!A3:A15,'Fevereiro 2023 - Valor Real'!C3:C15,0))+1))/(((L19-1)*(1-_xlfn.XLOOKUP(K19,'Fevereiro 2023 - Valor Real'!A3:A15,'Fevereiro 2023 - Valor Real'!C3:C15,0))+1)+((L20/(L20-1)-1)*(1-_xlfn.XLOOKUP(K20,'Fevereiro 2023 - Valor Real'!A3:A15,'Fevereiro 2023 - Valor Real'!C3:C15,0))+1)),((L20-1)*(1-_xlfn.XLOOKUP(K20,'Fevereiro 2023 - Valor Real'!A3:A15,'Fevereiro 2023 - Valor Real'!C3:C15,0))+1)/(((L20-1)*(1-_xlfn.XLOOKUP(K20,'Fevereiro 2023 - Valor Real'!A3:A15,'Fevereiro 2023 - Valor Real'!C3:C15,0))+1)+((L19-1)*(1-_xlfn.XLOOKUP(K19,'Fevereiro 2023 - Valor Real'!A3:A15,'Fevereiro 2023 - Valor Real'!C3:C15,0))+1))))))</f>
        <v>0.38914027149321267</v>
      </c>
      <c r="AF19" s="105">
        <f t="shared" si="46"/>
        <v>0</v>
      </c>
      <c r="AG19" s="106">
        <f t="shared" si="46"/>
        <v>-11.19</v>
      </c>
      <c r="AH19" s="106">
        <f t="shared" si="46"/>
        <v>0</v>
      </c>
      <c r="AI19" s="106">
        <f t="shared" si="46"/>
        <v>0</v>
      </c>
      <c r="AJ19" s="106">
        <f t="shared" si="46"/>
        <v>0</v>
      </c>
      <c r="AK19" s="106">
        <f t="shared" si="46"/>
        <v>0</v>
      </c>
      <c r="AL19" s="106">
        <f t="shared" si="46"/>
        <v>0</v>
      </c>
      <c r="AM19" s="106">
        <f t="shared" si="46"/>
        <v>0</v>
      </c>
      <c r="AN19" s="106">
        <f t="shared" si="46"/>
        <v>0</v>
      </c>
      <c r="AO19" s="106">
        <f t="shared" si="46"/>
        <v>0</v>
      </c>
      <c r="AP19" s="106">
        <f t="shared" si="46"/>
        <v>0</v>
      </c>
      <c r="AQ19" s="106">
        <f t="shared" si="46"/>
        <v>0</v>
      </c>
      <c r="AR19" s="107">
        <f t="shared" si="46"/>
        <v>0</v>
      </c>
      <c r="AS19" s="105">
        <f t="shared" ref="AS19:BE19" si="54">IF(AND($B19=" ",$K19=AS$3),$O19,0)</f>
        <v>0</v>
      </c>
      <c r="AT19" s="106">
        <f t="shared" si="54"/>
        <v>0</v>
      </c>
      <c r="AU19" s="106">
        <f t="shared" si="54"/>
        <v>0</v>
      </c>
      <c r="AV19" s="106">
        <f t="shared" si="54"/>
        <v>0</v>
      </c>
      <c r="AW19" s="106">
        <f t="shared" si="54"/>
        <v>0</v>
      </c>
      <c r="AX19" s="106">
        <f t="shared" si="54"/>
        <v>0</v>
      </c>
      <c r="AY19" s="108">
        <f t="shared" si="54"/>
        <v>0</v>
      </c>
      <c r="AZ19" s="109">
        <f t="shared" si="54"/>
        <v>0</v>
      </c>
      <c r="BA19" s="109">
        <f t="shared" si="54"/>
        <v>0</v>
      </c>
      <c r="BB19" s="109">
        <f t="shared" si="54"/>
        <v>0</v>
      </c>
      <c r="BC19" s="110">
        <f t="shared" si="54"/>
        <v>0</v>
      </c>
      <c r="BD19" s="106">
        <f t="shared" si="54"/>
        <v>0</v>
      </c>
      <c r="BE19" s="107">
        <f t="shared" si="54"/>
        <v>0</v>
      </c>
      <c r="BF19" s="111">
        <f t="shared" si="48"/>
        <v>0</v>
      </c>
      <c r="BG19" s="106">
        <f t="shared" si="48"/>
        <v>11.19</v>
      </c>
      <c r="BH19" s="106">
        <f t="shared" si="48"/>
        <v>0</v>
      </c>
      <c r="BI19" s="106">
        <f t="shared" si="48"/>
        <v>0</v>
      </c>
      <c r="BJ19" s="106">
        <f t="shared" si="48"/>
        <v>0</v>
      </c>
      <c r="BK19" s="106">
        <f t="shared" si="48"/>
        <v>0</v>
      </c>
      <c r="BL19" s="106">
        <f t="shared" si="48"/>
        <v>0</v>
      </c>
      <c r="BM19" s="108">
        <f t="shared" si="48"/>
        <v>0</v>
      </c>
      <c r="BN19" s="109">
        <f t="shared" si="48"/>
        <v>0</v>
      </c>
      <c r="BO19" s="109">
        <f t="shared" si="48"/>
        <v>0</v>
      </c>
      <c r="BP19" s="109">
        <f t="shared" si="48"/>
        <v>0</v>
      </c>
      <c r="BQ19" s="110">
        <f t="shared" si="48"/>
        <v>0</v>
      </c>
      <c r="BR19" s="107">
        <f t="shared" si="48"/>
        <v>0</v>
      </c>
      <c r="BS19" s="463">
        <f>IF($B19="LOSS",IF(AND($K19=BS$3,$C19="L"),-$O19,0)+IF(AND($K20=BS$3,$C20="L"),-$O20,0)+IF(AND($K21=BS$3,$C21="L"),-$O21,0),IF(OR(AND($K19=BS$3,OR($C19="W",$C19="1/2W")),AND($K20=BS$3,OR($C20="W",$C20="1/2W")),AND($K21=BS$3,OR($C21="W",$C21="1/2W"))),$S19,0))</f>
        <v>0</v>
      </c>
      <c r="BT19" s="462">
        <f>IF($B19="LOSS",IF(AND($K19=BT$3,$C19="L"),-$O19,0)+IF(AND($K20=BT$3,$C20="L"),-$O20,0)+IF(AND($K20=BT$3,$C21="L"),-$O21,0),IF(OR(AND($K20=BT$3,OR($C19="W",$C19="1/2W")),AND($K20=BT$3,OR($C20="W",$C20="1/2W")),AND($K20=BT$3,OR($C21="W",$C21="1/2W"))),$S19,0))</f>
        <v>0</v>
      </c>
      <c r="BU19" s="462">
        <f>IF($B19="LOSS",IF(AND($K19=BU$3,$C19="L"),-$O19,0)+IF(AND($K20=BU$3,$C20="L"),-$O20,0)+IF(AND($K20=BU$3,$C21="L"),-$O21,0),IF(OR(AND($K20=BU$3,OR($C19="W",$C19="1/2W")),AND($K20=BU$3,OR($C20="W",$C20="1/2W")),AND($K20=BU$3,OR($C21="W",$C21="1/2W"))),$S19,0))</f>
        <v>0</v>
      </c>
      <c r="BV19" s="462">
        <f t="shared" ref="BV19:CE19" si="55">IF($B19="LOSS",IF(AND($K19=BV$3,$C19="L"),-$O19,0)+IF(AND($K20=BV$3,$C20="L"),-$O20,0)+IF(AND($K21=BV$3,$C21="L"),-$O21,0),IF(OR(AND($K19=BV$3,OR($C19="W",$C19="1/2W")),AND($K20=BV$3,OR($C20="W",$C20="1/2W")),AND($K21=BV$3,OR($C21="W",$C21="1/2W"))),$S19,0))</f>
        <v>0</v>
      </c>
      <c r="BW19" s="462">
        <f t="shared" si="55"/>
        <v>0</v>
      </c>
      <c r="BX19" s="462">
        <f t="shared" si="55"/>
        <v>0</v>
      </c>
      <c r="BY19" s="462">
        <f t="shared" si="55"/>
        <v>0</v>
      </c>
      <c r="BZ19" s="460">
        <f t="shared" si="55"/>
        <v>0</v>
      </c>
      <c r="CA19" s="460">
        <f t="shared" si="55"/>
        <v>0</v>
      </c>
      <c r="CB19" s="460">
        <f t="shared" si="55"/>
        <v>0</v>
      </c>
      <c r="CC19" s="460">
        <f t="shared" si="55"/>
        <v>0</v>
      </c>
      <c r="CD19" s="473">
        <f t="shared" si="55"/>
        <v>1.48</v>
      </c>
      <c r="CE19" s="479">
        <f t="shared" si="55"/>
        <v>0</v>
      </c>
      <c r="CF19" s="113">
        <f t="shared" si="4"/>
        <v>0</v>
      </c>
      <c r="CG19" s="114">
        <f t="shared" si="5"/>
        <v>0</v>
      </c>
      <c r="CH19" s="114">
        <f t="shared" si="6"/>
        <v>0</v>
      </c>
      <c r="CI19" s="114">
        <f t="shared" si="7"/>
        <v>1</v>
      </c>
      <c r="CJ19" s="114">
        <f t="shared" si="8"/>
        <v>0</v>
      </c>
      <c r="CK19" s="114">
        <f t="shared" si="9"/>
        <v>0</v>
      </c>
      <c r="CL19" s="114">
        <f t="shared" si="10"/>
        <v>0</v>
      </c>
      <c r="CM19" s="114">
        <f t="shared" si="11"/>
        <v>0</v>
      </c>
      <c r="CN19" s="114">
        <f t="shared" si="12"/>
        <v>0</v>
      </c>
      <c r="CO19" s="114">
        <f t="shared" si="13"/>
        <v>0</v>
      </c>
      <c r="CP19" s="114">
        <f t="shared" si="14"/>
        <v>0</v>
      </c>
      <c r="CQ19" s="114">
        <f t="shared" si="15"/>
        <v>0</v>
      </c>
      <c r="CR19" s="114">
        <f t="shared" si="16"/>
        <v>0</v>
      </c>
      <c r="CS19" s="114">
        <f t="shared" si="17"/>
        <v>0</v>
      </c>
      <c r="CT19" s="115">
        <f t="shared" si="18"/>
        <v>0</v>
      </c>
      <c r="CU19" s="116">
        <f t="shared" si="19"/>
        <v>0</v>
      </c>
      <c r="CV19" s="116">
        <f t="shared" si="20"/>
        <v>0</v>
      </c>
      <c r="CW19" s="116">
        <f t="shared" si="21"/>
        <v>0</v>
      </c>
      <c r="CX19" s="116">
        <f t="shared" si="22"/>
        <v>0</v>
      </c>
      <c r="CY19" s="116">
        <f t="shared" si="23"/>
        <v>0</v>
      </c>
      <c r="CZ19" s="116">
        <f t="shared" si="24"/>
        <v>0</v>
      </c>
      <c r="DA19" s="116">
        <f t="shared" si="25"/>
        <v>0</v>
      </c>
      <c r="DB19" s="116">
        <f t="shared" si="26"/>
        <v>0</v>
      </c>
      <c r="DC19" s="116">
        <f t="shared" si="27"/>
        <v>0</v>
      </c>
      <c r="DD19" s="116">
        <f t="shared" si="28"/>
        <v>0</v>
      </c>
      <c r="DE19" s="117">
        <f t="shared" si="29"/>
        <v>0</v>
      </c>
      <c r="DF19" s="118">
        <f t="shared" si="31"/>
        <v>0</v>
      </c>
      <c r="DG19" s="106">
        <f t="shared" si="32"/>
        <v>0</v>
      </c>
      <c r="DH19" s="116">
        <f t="shared" si="33"/>
        <v>0</v>
      </c>
      <c r="DI19" s="106">
        <f t="shared" si="34"/>
        <v>0</v>
      </c>
      <c r="DJ19" s="116">
        <f>IF($D19="","",$D19)</f>
        <v>1</v>
      </c>
      <c r="DK19" s="465">
        <f>IF(AND($B19=" ",$D19&lt;&gt;""),1,0)</f>
        <v>0</v>
      </c>
    </row>
    <row r="20" spans="1:115" ht="14.5" customHeight="1" x14ac:dyDescent="0.2">
      <c r="A20" s="389"/>
      <c r="B20" s="456"/>
      <c r="C20" s="120" t="s">
        <v>54</v>
      </c>
      <c r="D20" s="374"/>
      <c r="E20" s="386"/>
      <c r="F20" s="377"/>
      <c r="G20" s="483"/>
      <c r="H20" s="476"/>
      <c r="I20" s="121" t="s">
        <v>52</v>
      </c>
      <c r="J20" s="122">
        <f>IF(OR(I19="TO",I19="TU",I19="TO1",I19="TU1",I19="TO2",I19="TU2"),J19,IF(OR(I19="AH1",I19="AH2"),IF(OR(I20="AH1",I20="AH2"),-J19,IF(OR(I20="EH1",I20="EH2"),-J19+0.5,"")),IF(OR(I19="EH1",I19="EH2"),IF(OR(I20="AH1",I20="AH2"),-J19+0.5,IF(OR(I20="EH1",I20="EH2"),-J19+1,"")),IF(AND(OR(I19="DNB1",I19="DNB2"),OR(I20="AH1",I20="AH2")),0,IF(AND(I19="Not ScoreBoth",OR(I20="TO1",I20="TO2")),0.5,"")))))</f>
        <v>6.5</v>
      </c>
      <c r="K20" s="123" t="s">
        <v>47</v>
      </c>
      <c r="L20" s="124">
        <v>1.72</v>
      </c>
      <c r="M20" s="125"/>
      <c r="N20" s="406"/>
      <c r="O20" s="126">
        <f>IF(OR(AE19="",AE20=""),"",ROUND(IF(L21&gt;0,IF(M20&gt;0,M20,IF(M19&gt;0,IF(N19=TRUE,ROUND((M19*AE20)/AE19,0),(M19*AE20)/AE19),IF(M20&gt;0,ROUND(M20,IF(N19=0,2,IF(N19=0.1,1,0))),IF(M21&gt;0,ROUND(O21*AE20/AE21,IF(N19=0,2,IF(N19=0.1,1,0))),0)))),IF(M20&gt;0,M20,ROUND((M19*AE20)/AE19,IF(N19=0,2,IF(N19=0.1,1,0))))),2))</f>
        <v>17.600000000000001</v>
      </c>
      <c r="P20" s="127">
        <f>IF(OR(L20="",O20=""),"",IF($C20="1/2W",O20/2+O20/2*L20,IF($C20="1/2L",O20/2,IF(I20="Lay",((O20*(L20/(L20-1)))-O20)*(1-_xlfn.XLOOKUP(K20,'Fevereiro 2023 - Valor Real'!A3:A15,'Fevereiro 2023 - Valor Real'!C3:C15,0))+O20,(O20*L20-O20)*(1-_xlfn.XLOOKUP(K20,'Fevereiro 2023 - Valor Real'!A3:A15,'Fevereiro 2023 - Valor Real'!C3:C15,0))+O20))))</f>
        <v>30.272000000000002</v>
      </c>
      <c r="Q20" s="128">
        <f>IF(K20="","",IF(_xlfn.XLOOKUP(K20,K$4:K19,$DJ$4:DJ19,0,,-1)=DJ20,_xlfn.XLOOKUP(K20,K$4:K19,Q$4:Q19,1,,-1)+1,1))</f>
        <v>2</v>
      </c>
      <c r="R20" s="129">
        <f>IF(K20="","",_xlfn.XLOOKUP(K20,K$4:K19,R$4:R19,0,,-1)+IF($C20=" ",1,0))</f>
        <v>0</v>
      </c>
      <c r="S20" s="403"/>
      <c r="T20" s="380"/>
      <c r="U20" s="380"/>
      <c r="V20" s="481"/>
      <c r="W20" s="380"/>
      <c r="X20" s="452"/>
      <c r="Y20" s="383"/>
      <c r="Z20" s="384"/>
      <c r="AA20" s="384"/>
      <c r="AB20" s="384"/>
      <c r="AC20" s="384"/>
      <c r="AD20" s="130">
        <f>(((L20/(L20-1)-1)*(1-_xlfn.XLOOKUP(K20,'Fevereiro 2023 - Valor Real'!A3:A15,'Fevereiro 2023 - Valor Real'!C3:C15,0))+1))</f>
        <v>2.3888888888888888</v>
      </c>
      <c r="AE20" s="131">
        <f>IF(L20="","",IF(L21&gt;0,(SUM(((L19-1)*(1-_xlfn.XLOOKUP(K19,'Fevereiro 2023 - Valor Real'!A3:A15,'Fevereiro 2023 - Valor Real'!C3:C15,0))+1),((L20-1)*(1-_xlfn.XLOOKUP(K20,'Fevereiro 2023 - Valor Real'!A3:A15,'Fevereiro 2023 - Valor Real'!C3:C15,0))+1),((L21-1)*(1-_xlfn.XLOOKUP(K21,'Fevereiro 2023 - Valor Real'!A3:A15,'Fevereiro 2023 - Valor Real'!C3:C15,0))+1))/((L20-1)*(1-_xlfn.XLOOKUP(K20,'Fevereiro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Real'!C3:C15,0))+1))/((L19-1)*(1-_xlfn.XLOOKUP(K19,'Fevereiro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Real'!C3:C15,0))+1))/((L20-1)*(1-_xlfn.XLOOKUP(K20,'Fevereiro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Real'!C3:C15,0))+1))/((L21-1)*(1-_xlfn.XLOOKUP(K21,'Fevereiro 2023 - Valor Real'!A3:A15,'Fevereiro 2023 - Valor Real'!C3:C15,0))+1)),IF(I20="Lay",IF(I19="Lay",((L19/(L19-1)-1)*(1-_xlfn.XLOOKUP(K19,'Fevereiro 2023 - Valor Real'!A3:A15,'Fevereiro 2023 - Valor Real'!C3:C15,0))+1)/(((L19/(L19-1)-1)*(1-_xlfn.XLOOKUP(K19,'Fevereiro 2023 - Valor Real'!A3:A15,'Fevereiro 2023 - Valor Real'!C3:C15,0))+1)+((L20/(L20-1)-1)*(1-_xlfn.XLOOKUP(K20,'Fevereiro 2023 - Valor Real'!A3:A15,'Fevereiro 2023 - Valor Real'!C3:C15,0))+1)),((L19-1)*(1-_xlfn.XLOOKUP(K19,'Fevereiro 2023 - Valor Real'!A3:A15,'Fevereiro 2023 - Valor Real'!C3:C15,0))+1)/(((L19-1)*(1-_xlfn.XLOOKUP(K19,'Fevereiro 2023 - Valor Real'!A3:A15,'Fevereiro 2023 - Valor Real'!C3:C15,0))+1)+((L20/(L20-1)-1)*(1-_xlfn.XLOOKUP(K20,'Fevereiro 2023 - Valor Real'!A3:A15,'Fevereiro 2023 - Valor Real'!C3:C15,0))+1))),IF(I19="Lay",((L19/(L19-1)-1)*(1-_xlfn.XLOOKUP(K19,'Fevereiro 2023 - Valor Real'!A3:A15,'Fevereiro 2023 - Valor Real'!C3:C15,0))+1)/((((L19/(L19-1)-1)*(1-_xlfn.XLOOKUP(K19,'Fevereiro 2023 - Valor Real'!A3:A15,'Fevereiro 2023 - Valor Real'!C3:C15,0))+1))+((L20-1)*(1-_xlfn.XLOOKUP(K20,'Fevereiro 2023 - Valor Real'!A3:A15,'Fevereiro 2023 - Valor Real'!C3:C15,0))+1)),((L19-1)*(1-_xlfn.XLOOKUP(K19,'Fevereiro 2023 - Valor Real'!A3:A15,'Fevereiro 2023 - Valor Real'!C3:C15,0))+1)/(((L19-1)*(1-_xlfn.XLOOKUP(K19,'Fevereiro 2023 - Valor Real'!A3:A15,'Fevereiro 2023 - Valor Real'!C3:C15,0))+1)+((L20-1)*(1-_xlfn.XLOOKUP(K20,'Fevereiro 2023 - Valor Real'!A3:A15,'Fevereiro 2023 - Valor Real'!C3:C15,0))+1))))))</f>
        <v>0.61085972850678738</v>
      </c>
      <c r="AF20" s="105">
        <f t="shared" si="46"/>
        <v>0</v>
      </c>
      <c r="AG20" s="106">
        <f t="shared" si="46"/>
        <v>0</v>
      </c>
      <c r="AH20" s="106">
        <f t="shared" si="46"/>
        <v>0</v>
      </c>
      <c r="AI20" s="106">
        <f t="shared" si="46"/>
        <v>0</v>
      </c>
      <c r="AJ20" s="106">
        <f t="shared" si="46"/>
        <v>0</v>
      </c>
      <c r="AK20" s="106">
        <f t="shared" si="46"/>
        <v>0</v>
      </c>
      <c r="AL20" s="106">
        <f t="shared" si="46"/>
        <v>0</v>
      </c>
      <c r="AM20" s="106">
        <f t="shared" si="46"/>
        <v>0</v>
      </c>
      <c r="AN20" s="106">
        <f t="shared" si="46"/>
        <v>0</v>
      </c>
      <c r="AO20" s="106">
        <f t="shared" si="46"/>
        <v>0</v>
      </c>
      <c r="AP20" s="106">
        <f t="shared" si="46"/>
        <v>0</v>
      </c>
      <c r="AQ20" s="106">
        <f t="shared" si="46"/>
        <v>12.67</v>
      </c>
      <c r="AR20" s="107">
        <f t="shared" si="46"/>
        <v>0</v>
      </c>
      <c r="AS20" s="105">
        <f>IF(AND($B19=" ",$K20=AS$3),$O20,0)</f>
        <v>0</v>
      </c>
      <c r="AT20" s="106">
        <f>IF(AND($B19=" ",K20=AT$3),$O20,0)</f>
        <v>0</v>
      </c>
      <c r="AU20" s="106">
        <f t="shared" ref="AU20:BE20" si="56">IF(AND($B19=" ",$K20=AU$3),$O20,0)</f>
        <v>0</v>
      </c>
      <c r="AV20" s="106">
        <f t="shared" si="56"/>
        <v>0</v>
      </c>
      <c r="AW20" s="106">
        <f t="shared" si="56"/>
        <v>0</v>
      </c>
      <c r="AX20" s="106">
        <f t="shared" si="56"/>
        <v>0</v>
      </c>
      <c r="AY20" s="108">
        <f t="shared" si="56"/>
        <v>0</v>
      </c>
      <c r="AZ20" s="109">
        <f t="shared" si="56"/>
        <v>0</v>
      </c>
      <c r="BA20" s="109">
        <f t="shared" si="56"/>
        <v>0</v>
      </c>
      <c r="BB20" s="109">
        <f t="shared" si="56"/>
        <v>0</v>
      </c>
      <c r="BC20" s="110">
        <f t="shared" si="56"/>
        <v>0</v>
      </c>
      <c r="BD20" s="106">
        <f t="shared" si="56"/>
        <v>0</v>
      </c>
      <c r="BE20" s="107">
        <f t="shared" si="56"/>
        <v>0</v>
      </c>
      <c r="BF20" s="105">
        <f t="shared" si="48"/>
        <v>0</v>
      </c>
      <c r="BG20" s="106">
        <f t="shared" si="48"/>
        <v>0</v>
      </c>
      <c r="BH20" s="106">
        <f t="shared" si="48"/>
        <v>0</v>
      </c>
      <c r="BI20" s="106">
        <f t="shared" si="48"/>
        <v>0</v>
      </c>
      <c r="BJ20" s="106">
        <f t="shared" si="48"/>
        <v>0</v>
      </c>
      <c r="BK20" s="106">
        <f t="shared" si="48"/>
        <v>0</v>
      </c>
      <c r="BL20" s="106">
        <f t="shared" si="48"/>
        <v>0</v>
      </c>
      <c r="BM20" s="132">
        <f t="shared" si="48"/>
        <v>0</v>
      </c>
      <c r="BN20" s="112">
        <f t="shared" si="48"/>
        <v>0</v>
      </c>
      <c r="BO20" s="112">
        <f t="shared" si="48"/>
        <v>0</v>
      </c>
      <c r="BP20" s="112">
        <f t="shared" si="48"/>
        <v>0</v>
      </c>
      <c r="BQ20" s="110">
        <f t="shared" si="48"/>
        <v>17.600000000000001</v>
      </c>
      <c r="BR20" s="107">
        <f t="shared" si="48"/>
        <v>0</v>
      </c>
      <c r="BS20" s="464"/>
      <c r="BT20" s="461"/>
      <c r="BU20" s="392"/>
      <c r="BV20" s="461"/>
      <c r="BW20" s="392"/>
      <c r="BX20" s="392"/>
      <c r="BY20" s="392"/>
      <c r="BZ20" s="461"/>
      <c r="CA20" s="392"/>
      <c r="CB20" s="392"/>
      <c r="CC20" s="392"/>
      <c r="CD20" s="401"/>
      <c r="CE20" s="409"/>
      <c r="CF20" s="133">
        <f t="shared" si="4"/>
        <v>0</v>
      </c>
      <c r="CG20" s="134">
        <f t="shared" si="5"/>
        <v>0</v>
      </c>
      <c r="CH20" s="134">
        <f t="shared" si="6"/>
        <v>0</v>
      </c>
      <c r="CI20" s="134">
        <f t="shared" si="7"/>
        <v>0</v>
      </c>
      <c r="CJ20" s="134">
        <f t="shared" si="8"/>
        <v>0</v>
      </c>
      <c r="CK20" s="134">
        <f t="shared" si="9"/>
        <v>0</v>
      </c>
      <c r="CL20" s="134">
        <f t="shared" si="10"/>
        <v>0</v>
      </c>
      <c r="CM20" s="134">
        <f t="shared" si="11"/>
        <v>0</v>
      </c>
      <c r="CN20" s="134">
        <f t="shared" si="12"/>
        <v>0</v>
      </c>
      <c r="CO20" s="134">
        <f t="shared" si="13"/>
        <v>0</v>
      </c>
      <c r="CP20" s="134">
        <f t="shared" si="14"/>
        <v>0</v>
      </c>
      <c r="CQ20" s="134">
        <f t="shared" si="15"/>
        <v>0</v>
      </c>
      <c r="CR20" s="134">
        <f t="shared" si="16"/>
        <v>0</v>
      </c>
      <c r="CS20" s="134">
        <f t="shared" si="17"/>
        <v>0</v>
      </c>
      <c r="CT20" s="115">
        <f t="shared" si="18"/>
        <v>0</v>
      </c>
      <c r="CU20" s="116">
        <f t="shared" si="19"/>
        <v>0</v>
      </c>
      <c r="CV20" s="116">
        <f t="shared" si="20"/>
        <v>0</v>
      </c>
      <c r="CW20" s="116">
        <f t="shared" si="21"/>
        <v>0</v>
      </c>
      <c r="CX20" s="116">
        <f t="shared" si="22"/>
        <v>0</v>
      </c>
      <c r="CY20" s="116">
        <f t="shared" si="23"/>
        <v>0</v>
      </c>
      <c r="CZ20" s="116">
        <f t="shared" si="24"/>
        <v>0</v>
      </c>
      <c r="DA20" s="116">
        <f t="shared" si="25"/>
        <v>0</v>
      </c>
      <c r="DB20" s="116">
        <f t="shared" si="26"/>
        <v>1</v>
      </c>
      <c r="DC20" s="116">
        <f t="shared" si="27"/>
        <v>0</v>
      </c>
      <c r="DD20" s="116">
        <f t="shared" si="28"/>
        <v>0</v>
      </c>
      <c r="DE20" s="117">
        <f t="shared" si="29"/>
        <v>0</v>
      </c>
      <c r="DF20" s="118">
        <f t="shared" si="31"/>
        <v>0</v>
      </c>
      <c r="DG20" s="106">
        <f t="shared" si="32"/>
        <v>0</v>
      </c>
      <c r="DH20" s="116">
        <f t="shared" si="33"/>
        <v>0</v>
      </c>
      <c r="DI20" s="106">
        <f t="shared" si="34"/>
        <v>0</v>
      </c>
      <c r="DJ20" s="116">
        <f>IF($D19="","",$D19)</f>
        <v>1</v>
      </c>
      <c r="DK20" s="466"/>
    </row>
    <row r="21" spans="1:115" ht="14.5" customHeight="1" x14ac:dyDescent="0.2">
      <c r="A21" s="390"/>
      <c r="B21" s="457"/>
      <c r="C21" s="135" t="s">
        <v>53</v>
      </c>
      <c r="D21" s="375"/>
      <c r="E21" s="387"/>
      <c r="F21" s="378"/>
      <c r="G21" s="484"/>
      <c r="H21" s="477"/>
      <c r="I21" s="136"/>
      <c r="J21" s="137"/>
      <c r="K21" s="138"/>
      <c r="L21" s="139"/>
      <c r="M21" s="140"/>
      <c r="N21" s="407"/>
      <c r="O21" s="141" t="str">
        <f>IF(OR(AE19="",AE20=""),"",IF(L21&gt;0,ROUND(IF(M21&gt;0,M21,IF(M19&gt;0,ROUND((M19*AE21)/AE19,IF(N19=0,2,IF(N19=0.1,1,0))),IF(M20&gt;0,ROUND((M20*AE21)/AE20,IF(N19=0,2,IF(N19=0.1,1,0))),IF(M21&gt;0,M21,0)))),2),""))</f>
        <v/>
      </c>
      <c r="P21" s="142" t="str">
        <f>IF(I20="Lay",O20*(L20/(L20-1))-O20,IF(I19="Lay",O19*(L19/(L19-1))-O19,IF(OR(L21="",O21=""),"",IF($C21="1/2W",O21/2+O21/2*L21,IF($C21="1/2L",O21/2,(O21*L21-O21)*(1-_xlfn.XLOOKUP(K21,'Fevereiro 2023 - Valor Real'!A3:A15,'Fevereiro 2023 - Valor Real'!C3:C15,0))+O21)))))</f>
        <v/>
      </c>
      <c r="Q21" s="143" t="str">
        <f>IF(K21="","",IF(_xlfn.XLOOKUP(K21,K$4:K20,$DJ$4:DJ20,0,,-1)=DJ21,_xlfn.XLOOKUP(K21,K$4:K20,Q$4:Q20,1,,-1)+1,1))</f>
        <v/>
      </c>
      <c r="R21" s="144" t="str">
        <f>IF(K21="","",_xlfn.XLOOKUP(K21,K$4:K20,R$4:R20,0,,-1)+IF($C21=" ",1,0))</f>
        <v/>
      </c>
      <c r="S21" s="404"/>
      <c r="T21" s="378"/>
      <c r="U21" s="378"/>
      <c r="V21" s="404"/>
      <c r="W21" s="378"/>
      <c r="X21" s="453"/>
      <c r="Y21" s="383"/>
      <c r="Z21" s="384"/>
      <c r="AA21" s="384"/>
      <c r="AB21" s="384"/>
      <c r="AC21" s="384"/>
      <c r="AD21" s="145">
        <f>((L20/(L20-1)-1))</f>
        <v>1.3888888888888888</v>
      </c>
      <c r="AE21" s="146" t="str">
        <f>IF(L21="","",(SUM(((L19-1)*(1-_xlfn.XLOOKUP(K19,'Fevereiro 2023 - Valor Real'!A3:A15,'Fevereiro 2023 - Valor Real'!C3:C15,0))+1),((L20-1)*(1-_xlfn.XLOOKUP(K20,'Fevereiro 2023 - Valor Real'!A3:A15,'Fevereiro 2023 - Valor Real'!C3:C15,0))+1),((L21-1)*(1-_xlfn.XLOOKUP(K21,'Fevereiro 2023 - Valor Real'!A3:A15,'Fevereiro 2023 - Valor Real'!C3:C15,0))+1))/((L21-1)*(1-_xlfn.XLOOKUP(K21,'Fevereiro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Real'!C3:C15,0))+1))/((L19-1)*(1-_xlfn.XLOOKUP(K19,'Fevereiro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Real'!C3:C15,0))+1))/((L20-1)*(1-_xlfn.XLOOKUP(K20,'Fevereiro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Real'!C3:C15,0))+1))/((L21-1)*(1-_xlfn.XLOOKUP(K21,'Fevereiro 2023 - Valor Real'!A3:A15,'Fevereiro 2023 - Valor Real'!C3:C15,0))+1)))</f>
        <v/>
      </c>
      <c r="AF21" s="105">
        <f t="shared" si="46"/>
        <v>0</v>
      </c>
      <c r="AG21" s="106">
        <f t="shared" si="46"/>
        <v>0</v>
      </c>
      <c r="AH21" s="106">
        <f t="shared" si="46"/>
        <v>0</v>
      </c>
      <c r="AI21" s="106">
        <f t="shared" si="46"/>
        <v>0</v>
      </c>
      <c r="AJ21" s="106">
        <f t="shared" si="46"/>
        <v>0</v>
      </c>
      <c r="AK21" s="106">
        <f t="shared" si="46"/>
        <v>0</v>
      </c>
      <c r="AL21" s="106">
        <f t="shared" si="46"/>
        <v>0</v>
      </c>
      <c r="AM21" s="106">
        <f t="shared" si="46"/>
        <v>0</v>
      </c>
      <c r="AN21" s="106">
        <f t="shared" si="46"/>
        <v>0</v>
      </c>
      <c r="AO21" s="106">
        <f t="shared" si="46"/>
        <v>0</v>
      </c>
      <c r="AP21" s="106">
        <f t="shared" si="46"/>
        <v>0</v>
      </c>
      <c r="AQ21" s="106">
        <f t="shared" si="46"/>
        <v>0</v>
      </c>
      <c r="AR21" s="107">
        <f t="shared" si="46"/>
        <v>0</v>
      </c>
      <c r="AS21" s="105">
        <f>IF(AND($B19=" ",$K21=AS$3),$O21,0)</f>
        <v>0</v>
      </c>
      <c r="AT21" s="106">
        <f>IF(AND($B19=" ",K21=AT$3),$O21,0)</f>
        <v>0</v>
      </c>
      <c r="AU21" s="106">
        <f t="shared" ref="AU21:BE21" si="57">IF(AND($B19=" ",$K21=AU$3),$O21,0)</f>
        <v>0</v>
      </c>
      <c r="AV21" s="106">
        <f t="shared" si="57"/>
        <v>0</v>
      </c>
      <c r="AW21" s="106">
        <f t="shared" si="57"/>
        <v>0</v>
      </c>
      <c r="AX21" s="106">
        <f t="shared" si="57"/>
        <v>0</v>
      </c>
      <c r="AY21" s="108">
        <f t="shared" si="57"/>
        <v>0</v>
      </c>
      <c r="AZ21" s="109">
        <f t="shared" si="57"/>
        <v>0</v>
      </c>
      <c r="BA21" s="109">
        <f t="shared" si="57"/>
        <v>0</v>
      </c>
      <c r="BB21" s="109">
        <f t="shared" si="57"/>
        <v>0</v>
      </c>
      <c r="BC21" s="110">
        <f t="shared" si="57"/>
        <v>0</v>
      </c>
      <c r="BD21" s="106">
        <f t="shared" si="57"/>
        <v>0</v>
      </c>
      <c r="BE21" s="107">
        <f t="shared" si="57"/>
        <v>0</v>
      </c>
      <c r="BF21" s="105">
        <f t="shared" si="48"/>
        <v>0</v>
      </c>
      <c r="BG21" s="106">
        <f t="shared" si="48"/>
        <v>0</v>
      </c>
      <c r="BH21" s="106">
        <f t="shared" si="48"/>
        <v>0</v>
      </c>
      <c r="BI21" s="106">
        <f t="shared" si="48"/>
        <v>0</v>
      </c>
      <c r="BJ21" s="106">
        <f t="shared" si="48"/>
        <v>0</v>
      </c>
      <c r="BK21" s="106">
        <f t="shared" si="48"/>
        <v>0</v>
      </c>
      <c r="BL21" s="106">
        <f t="shared" si="48"/>
        <v>0</v>
      </c>
      <c r="BM21" s="108">
        <f t="shared" si="48"/>
        <v>0</v>
      </c>
      <c r="BN21" s="109">
        <f t="shared" si="48"/>
        <v>0</v>
      </c>
      <c r="BO21" s="109">
        <f t="shared" si="48"/>
        <v>0</v>
      </c>
      <c r="BP21" s="109">
        <f t="shared" si="48"/>
        <v>0</v>
      </c>
      <c r="BQ21" s="110">
        <f t="shared" si="48"/>
        <v>0</v>
      </c>
      <c r="BR21" s="107">
        <f t="shared" si="48"/>
        <v>0</v>
      </c>
      <c r="BS21" s="464"/>
      <c r="BT21" s="461"/>
      <c r="BU21" s="392"/>
      <c r="BV21" s="461"/>
      <c r="BW21" s="392"/>
      <c r="BX21" s="392"/>
      <c r="BY21" s="392"/>
      <c r="BZ21" s="461"/>
      <c r="CA21" s="392"/>
      <c r="CB21" s="392"/>
      <c r="CC21" s="392"/>
      <c r="CD21" s="401"/>
      <c r="CE21" s="409"/>
      <c r="CF21" s="133">
        <f t="shared" si="4"/>
        <v>0</v>
      </c>
      <c r="CG21" s="134">
        <f t="shared" si="5"/>
        <v>0</v>
      </c>
      <c r="CH21" s="134">
        <f t="shared" si="6"/>
        <v>0</v>
      </c>
      <c r="CI21" s="134">
        <f t="shared" si="7"/>
        <v>0</v>
      </c>
      <c r="CJ21" s="134">
        <f t="shared" si="8"/>
        <v>0</v>
      </c>
      <c r="CK21" s="134">
        <f t="shared" si="9"/>
        <v>0</v>
      </c>
      <c r="CL21" s="134">
        <f t="shared" si="10"/>
        <v>0</v>
      </c>
      <c r="CM21" s="134">
        <f t="shared" si="11"/>
        <v>0</v>
      </c>
      <c r="CN21" s="134">
        <f t="shared" si="12"/>
        <v>0</v>
      </c>
      <c r="CO21" s="134">
        <f t="shared" si="13"/>
        <v>0</v>
      </c>
      <c r="CP21" s="134">
        <f t="shared" si="14"/>
        <v>0</v>
      </c>
      <c r="CQ21" s="134">
        <f t="shared" si="15"/>
        <v>0</v>
      </c>
      <c r="CR21" s="134">
        <f t="shared" si="16"/>
        <v>0</v>
      </c>
      <c r="CS21" s="134">
        <f t="shared" si="17"/>
        <v>0</v>
      </c>
      <c r="CT21" s="115">
        <f t="shared" si="18"/>
        <v>0</v>
      </c>
      <c r="CU21" s="116">
        <f t="shared" si="19"/>
        <v>0</v>
      </c>
      <c r="CV21" s="116">
        <f t="shared" si="20"/>
        <v>0</v>
      </c>
      <c r="CW21" s="116">
        <f t="shared" si="21"/>
        <v>0</v>
      </c>
      <c r="CX21" s="116">
        <f t="shared" si="22"/>
        <v>0</v>
      </c>
      <c r="CY21" s="116">
        <f t="shared" si="23"/>
        <v>0</v>
      </c>
      <c r="CZ21" s="116">
        <f t="shared" si="24"/>
        <v>0</v>
      </c>
      <c r="DA21" s="116">
        <f t="shared" si="25"/>
        <v>0</v>
      </c>
      <c r="DB21" s="116">
        <f t="shared" si="26"/>
        <v>0</v>
      </c>
      <c r="DC21" s="116">
        <f t="shared" si="27"/>
        <v>0</v>
      </c>
      <c r="DD21" s="116">
        <f t="shared" si="28"/>
        <v>0</v>
      </c>
      <c r="DE21" s="117">
        <f t="shared" si="29"/>
        <v>0</v>
      </c>
      <c r="DF21" s="118">
        <f t="shared" si="31"/>
        <v>0</v>
      </c>
      <c r="DG21" s="106">
        <f t="shared" si="32"/>
        <v>0</v>
      </c>
      <c r="DH21" s="116">
        <f t="shared" si="33"/>
        <v>0</v>
      </c>
      <c r="DI21" s="106">
        <f t="shared" si="34"/>
        <v>0</v>
      </c>
      <c r="DJ21" s="116">
        <f>IF($D19="","",$D19)</f>
        <v>1</v>
      </c>
      <c r="DK21" s="466"/>
    </row>
    <row r="22" spans="1:115" ht="14.5" customHeight="1" x14ac:dyDescent="0.2">
      <c r="A22" s="487">
        <f>$A19+1</f>
        <v>7</v>
      </c>
      <c r="B22" s="506" t="str">
        <f>IF(OR(C22="W",C23="W",C24="W",C22="1/2W",C23="1/2W",C24="1/2W",C22="1/2L",C23="1/2L",C24="1/2L"),"OK",IF(OR(C22="L",C23="L",C24="L"),"LOSS",IF(OR(C22="X",C23="X",C24="X"),"Anulado"," ")))</f>
        <v>OK</v>
      </c>
      <c r="C22" s="147" t="s">
        <v>55</v>
      </c>
      <c r="D22" s="495">
        <f>IF(G22="","",$D19)</f>
        <v>1</v>
      </c>
      <c r="E22" s="511" t="str">
        <f>IF(G22=""," ","– "&amp;COUNTIF(D$4:D24,$D22))</f>
        <v>– 7</v>
      </c>
      <c r="F22" s="510" t="str">
        <f ca="1">IF(G22="","",IF(OR(AND($C22&lt;&gt;" ",$C23=" "),AND($C23&lt;&gt;" ",$C22=" "),AND(L24&gt;0,OR(AND($C24&lt;&gt;" ",OR($C22=" ",$C23=" ")),AND($C24=" ",OR($C22&lt;&gt;" ",$C23&lt;&gt;" "))))),IF(SUM(F$4:F21)=0,1,LARGE(F$4:F21,1)+1),IF(MONTH(G22)=MONTH(TODAY()),IF(AND(DAY(G22)&lt;DAY(TODAY()),$B22=" "),IF(SUM(F$4:F21)=0,1,LARGE(F$4:F21,1)+1),IF($B22=" ",IF(AND(DAY(G22)=DAY(TODAY()),HOUR(G22)&lt;=HOUR(NOW())+1),IF(AND(HOUR(G22)+2&lt;=HOUR(NOW()),DAY(G22)&lt;=DAY(TODAY()),MINUTE(G22)&lt;=MINUTE(NOW())),IF(SUM(F$4:F21)=0,1,LARGE(F$4:F21,1)+1),IF(OR(MINUTE(G22)&lt;=MINUTE(NOW()),HOUR(G22)&lt;=HOUR(NOW())),"!!!","")),""),"")),"")))</f>
        <v/>
      </c>
      <c r="G22" s="508">
        <v>44988.333333333336</v>
      </c>
      <c r="H22" s="502" t="s">
        <v>57</v>
      </c>
      <c r="I22" s="180" t="s">
        <v>51</v>
      </c>
      <c r="J22" s="181">
        <v>2.5</v>
      </c>
      <c r="K22" s="150" t="s">
        <v>47</v>
      </c>
      <c r="L22" s="151">
        <v>2.2799999999999998</v>
      </c>
      <c r="M22" s="152">
        <v>29.85</v>
      </c>
      <c r="N22" s="503">
        <v>0</v>
      </c>
      <c r="O22" s="153">
        <f>IF(OR(AE22="",AE23=""),"",ROUND(IF(L24&gt;0,IF(M22&gt;0,M22,IF(M23&gt;0,ROUND((M23*AE22)/AE23,IF(N22=0,2,IF(N22=0.1,1,0))),ROUND((M24*AE22)/AE24,IF(N22=0,2,IF(N22=0.1,1,0))))),IF(M22&gt;0,M22,ROUND((M23*AE22)/AE23,IF(N22=0,2,IF(N22=0.1,1,0))))),2))</f>
        <v>29.85</v>
      </c>
      <c r="P22" s="154">
        <f>IF(OR(L22="",O22=""),"",IF($C22="1/2W",O22/2+O22/2*L22,IF($C22="1/2L",O22/2,IF(I22="Lay",(O22*(L22/(L22-1))-O22)*(1-_xlfn.XLOOKUP(K22,'Fevereiro 2023 - Valor Real'!A3:A15,'Fevereiro 2023 - Valor Real'!C3:C15,0))+O22,(O22*L22-O22)*(1-_xlfn.XLOOKUP(K22,'Fevereiro 2023 - Valor Real'!A3:A15,'Fevereiro 2023 - Valor Real'!C3:C15,0))+O22))))</f>
        <v>68.057999999999993</v>
      </c>
      <c r="Q22" s="155">
        <f>IF(K22="","",IF(_xlfn.XLOOKUP(K22,K$4:K21,$DJ$4:DJ21,0,,-1)=DJ22,_xlfn.XLOOKUP(K22,K$4:K21,Q$4:Q21,1,,-1)+1,1))</f>
        <v>3</v>
      </c>
      <c r="R22" s="156">
        <f>IF(K22="","",_xlfn.XLOOKUP(K22,K$4:K21,R$4:R21,0,,-1)+IF($C22=" ",1,0))</f>
        <v>0</v>
      </c>
      <c r="S22" s="501">
        <f>IF($B22="Anulado",0,ROUND(IF(OR($B22="LOSS",$B22="OK"),IF(OR($C22="W",$C22="1/2W",$C22="1/2L"),P22-O22,IF($C22="L",-O22,0))+IF(OR($C23="W",$C23="1/2W",$C23="1/2L"),P23-O23,IF($C23="L",-O23,0))+IF(OR($C24="W",$C24="1/2W",$C24="1/2L"),P24-O24,IF($C24="L",-O24,0)),IF(AND(OR($C22="W",$C22="1/2W",$C22="1/2L"),C23="W"),P22+P23-SUM(O22:O24)+_xlfn.XLOOKUP("X",C22:C24,O22:O24,0),IF(AND(C22=TRUE,C24="W"),P22+P24-SUM(O22:O24),IF(AND(C23="W",C24="W"),P23+P24-SUM(O22:O24)+_xlfn.XLOOKUP("X",C22:C24,O22:O24,0),IF(L24&gt;0,IF(OR($C22="W",$C22="1/2W",$C22="1/2L"),P22-SUM(O22:O24)+_xlfn.XLOOKUP("X",C22:C24,O22:O24,0),IF(OR($C22="W",$C22="1/2W",$C22="1/2L"),P23-SUM(O22:O24)+_xlfn.XLOOKUP("X",C22:C24,O22:O24,0),IF(OR($C22="W",$C22="1/2W",$C22="1/2L"),P24-SUM(O22:O24)+_xlfn.XLOOKUP("X",C22:C24,O22:O24,0),IF(SUM(P22:P24)/3-SUM(O22:O24)+_xlfn.XLOOKUP("X",C22:C24,O22:O24,0)&gt;0,SUM(P22:P24)/3-SUM(O22:O24)+_xlfn.XLOOKUP("X",C22:C24,O22:O24,0),LARGE(P22:P24,1)-SUM(O22:O24))))),IF(OR($C22="W",$C22="1/2W",$C22="1/2L"),P22-SUM(O22:O23)+_xlfn.XLOOKUP("X",C22:C24,O22:O24,0),IF(OR($C22="W",$C22="1/2W",$C22="1/2L"),P23-SUM(O22:O23)+_xlfn.XLOOKUP("X",C22:C24,O22:O24,0),SUM(P22:P23)/2-SUM(O22:O23)+_xlfn.XLOOKUP("X",C22:C24,O22:O24,0)))))))),2))</f>
        <v>3.51</v>
      </c>
      <c r="T22" s="486">
        <f>IF(S22=0,0,S22/SUM(O22:O24))</f>
        <v>5.4334365325077398E-2</v>
      </c>
      <c r="U22" s="496">
        <f>IF($D22=$D19,IF(OR($B22="LOSS",$B22="OK",$B22="Anulada"),S22,0)+U19,IF(OR($B22="LOSS",$B22="OK",$B22="Anulada"),S22,0))</f>
        <v>11.5</v>
      </c>
      <c r="V22" s="496">
        <f>IF($D22="",0,IF($D22=$D19,IF($B22=" ",IF(I24="",IF(OR(AND(I22="DNB1",I23="DNB2"),AND(OR(I22="DNB1",I22="DNB2"),J23=0),AND(OR(I23="DNB1",I23="DNB2"),J22=0),AND(I22="DNB2",I23="DNB1"),AND(IF(J22=0,(J22+1)/ROUND(J22+1,0),J22/ROUND(J22,0))=1,IF(J23=0,(J23+1)/ROUND(IF(J23="",0,J23)+1,0),IF(J23="",0,J23)/ROUND(IF(J23="",1,J23),0))=1,OR(J22&lt;&gt;""),J23&lt;&gt;"")),0,IF(S22&lt;0,IF(I24="",SMALL(P22:P23,1)-SUM(O22:O23),0),SMALL(P22:P23,1)-SUM(O22:O23))),IF(S22&lt;0,IF(I24="",SMALL(P22:P24,1)-SUM(O22:O24),0),LARGE(P22:P24,1)-SUM(O22:O24))),S22)+V19,IF(I24="",IF(OR(AND(I22="DNB1",I23="DNB2"),AND(OR(I22="DNB1",I22="DNB2"),J23=0),AND(OR(I23="DNB1",I23="DNB2"),J22=0),AND(I22="DNB2",I23="DNB1"),AND(IF(J22=0,(J22+1)/ROUND(J22+1,0),J22/ROUND(J22,0))=1,IF(J23=0,(IF(J23="",0,J23)+1)/ROUND(IF(J23="",0,J23)+1,0),IF(J23="",0,J23)/ROUND(IF(J23="",0,J23)+1,0))=1,OR(J22&lt;&gt;""),J23&lt;&gt;"")),0,IF(S22&lt;0,IF(I24="",SMALL(P22:P23,1)-SUM(O22:O23),0),SMALL(P22:P24,1)-SUM(O22:O24))),IF(S22&lt;0,IF(I24="",SMALL(P22:P24,1)-SUM(O22:O24),0),LARGE(P22:P24,1)-SUM(O22:O24)))))</f>
        <v>11.5</v>
      </c>
      <c r="W22" s="496">
        <f>IF($D22=$D19,IF(S22&lt;0,IF(I24="",S22,0),S22)+W19,S22)</f>
        <v>11.5</v>
      </c>
      <c r="X22" s="505" t="str">
        <f>IF(OR(SUM(R22:R24)=0,V22=W22),ROUND(IF(W22=0,0,W22/Y22)*100,2)&amp;"%",ROUND(IF(V22=0,0,V22/Y22)*100,2)&amp;"% a "&amp;ROUND(IF(W22=0,0,W22/Y22)*100,2)&amp;"%")</f>
        <v>4,6%</v>
      </c>
      <c r="Y22" s="497">
        <f>IF($D22=$D19,Y19+SUM(O22:O24),SUM(O22:O24))</f>
        <v>249.99999999999997</v>
      </c>
      <c r="Z22" s="496">
        <f>IF($B22=" ",SUM(O22:O24),0)+Z19</f>
        <v>0</v>
      </c>
      <c r="AA22" s="496">
        <f>IF(G22="","",IF($B22="Anulado",LARGE(P22:P24,1)-SUM(O22:O24)+AA19,AA19))</f>
        <v>0.45899999999999785</v>
      </c>
      <c r="AB22" s="496">
        <f>IF($D22="","",AB19+S22)</f>
        <v>11.5</v>
      </c>
      <c r="AC22" s="499">
        <f ca="1">IF($D22="","",IF($B22=" ",IF(DAY(G22)=DAY(TODAY()),1+AC19,0+AC19),0+AC19))</f>
        <v>0</v>
      </c>
      <c r="AD22" s="157">
        <f>(1-_xlfn.XLOOKUP(K20,'Fevereiro 2023 - Valor Real'!A3:A15,'Fevereiro 2023 - Valor Real'!C3:C15,0))+1</f>
        <v>2</v>
      </c>
      <c r="AE22" s="158">
        <f>IF(L22="","",IF(L24&gt;0,(SUM(((L22-1)*(1-_xlfn.XLOOKUP(K22,'Fevereiro 2023 - Valor Real'!A3:A15,'Fevereiro 2023 - Valor Real'!C3:C15,0))+1),((L23-1)*(1-_xlfn.XLOOKUP(K23,'Fevereiro 2023 - Valor Real'!A3:A15,'Fevereiro 2023 - Valor Real'!C3:C15,0))+1),((L24-1)*(1-_xlfn.XLOOKUP(K24,'Fevereiro 2023 - Valor Real'!A3:A15,'Fevereiro 2023 - Valor Real'!C3:C15,0))+1))/((L22-1)*(1-_xlfn.XLOOKUP(K22,'Fevereiro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Real'!C3:C15,0))+1))/((L22-1)*(1-_xlfn.XLOOKUP(K22,'Fevereiro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Real'!C3:C15,0))+1))/((L23-1)*(1-_xlfn.XLOOKUP(K23,'Fevereiro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Real'!C3:C15,0))+1))/((L24-1)*(1-_xlfn.XLOOKUP(K24,'Fevereiro 2023 - Valor Real'!A3:A15,'Fevereiro 2023 - Valor Real'!C3:C15,0))+1)),IF(I22="Lay",IF(I23="Lay",((L23/(L23-1)-1)*(1-_xlfn.XLOOKUP(K23,'Fevereiro 2023 - Valor Real'!A3:A15,'Fevereiro 2023 - Valor Real'!C3:C15,0))+1)/(((L23/(L23-1)-1)*(1-_xlfn.XLOOKUP(K23,'Fevereiro 2023 - Valor Real'!A3:A15,'Fevereiro 2023 - Valor Real'!C3:C15,0))+1)+((L22/(L22-1)-1)*(1-_xlfn.XLOOKUP(K22,'Fevereiro 2023 - Valor Real'!A3:A15,'Fevereiro 2023 - Valor Real'!C3:C15,0))+1)),((L23-1)*(1-_xlfn.XLOOKUP(K23,'Fevereiro 2023 - Valor Real'!A3:A15,'Fevereiro 2023 - Valor Real'!C3:C15,0))+1)/(((L23-1)*(1-_xlfn.XLOOKUP(K23,'Fevereiro 2023 - Valor Real'!A3:A15,'Fevereiro 2023 - Valor Real'!C3:C15,0))+1)+((L22/(L22-1)-1)*(1-_xlfn.XLOOKUP(K22,'Fevereiro 2023 - Valor Real'!A3:A15,'Fevereiro 2023 - Valor Real'!C3:C15,0))+1))),IF(I23="Lay",(((L23/(L23-1)-1)*(1-_xlfn.XLOOKUP(K23,'Fevereiro 2023 - Valor Real'!A3:A15,'Fevereiro 2023 - Valor Real'!C3:C15,0))+1))/(((L22-1)*(1-_xlfn.XLOOKUP(K22,'Fevereiro 2023 - Valor Real'!A3:A15,'Fevereiro 2023 - Valor Real'!C3:C15,0))+1)+((L23/(L23-1)-1)*(1-_xlfn.XLOOKUP(K23,'Fevereiro 2023 - Valor Real'!A3:A15,'Fevereiro 2023 - Valor Real'!C3:C15,0))+1)),((L23-1)*(1-_xlfn.XLOOKUP(K23,'Fevereiro 2023 - Valor Real'!A3:A15,'Fevereiro 2023 - Valor Real'!C3:C15,0))+1)/(((L23-1)*(1-_xlfn.XLOOKUP(K23,'Fevereiro 2023 - Valor Real'!A3:A15,'Fevereiro 2023 - Valor Real'!C3:C15,0))+1)+((L22-1)*(1-_xlfn.XLOOKUP(K22,'Fevereiro 2023 - Valor Real'!A3:A15,'Fevereiro 2023 - Valor Real'!C3:C15,0))+1))))))</f>
        <v>0.46226415094339618</v>
      </c>
      <c r="AF22" s="66">
        <f t="shared" si="46"/>
        <v>0</v>
      </c>
      <c r="AG22" s="67">
        <f t="shared" si="46"/>
        <v>0</v>
      </c>
      <c r="AH22" s="67">
        <f t="shared" si="46"/>
        <v>0</v>
      </c>
      <c r="AI22" s="67">
        <f t="shared" si="46"/>
        <v>0</v>
      </c>
      <c r="AJ22" s="67">
        <f t="shared" si="46"/>
        <v>0</v>
      </c>
      <c r="AK22" s="67">
        <f t="shared" si="46"/>
        <v>0</v>
      </c>
      <c r="AL22" s="67">
        <f t="shared" si="46"/>
        <v>0</v>
      </c>
      <c r="AM22" s="67">
        <f t="shared" si="46"/>
        <v>0</v>
      </c>
      <c r="AN22" s="67">
        <f t="shared" si="46"/>
        <v>0</v>
      </c>
      <c r="AO22" s="67">
        <f t="shared" si="46"/>
        <v>0</v>
      </c>
      <c r="AP22" s="67">
        <f t="shared" si="46"/>
        <v>0</v>
      </c>
      <c r="AQ22" s="67">
        <f t="shared" si="46"/>
        <v>-29.85</v>
      </c>
      <c r="AR22" s="68">
        <f t="shared" si="46"/>
        <v>0</v>
      </c>
      <c r="AS22" s="66">
        <f t="shared" ref="AS22:BE22" si="58">IF(AND($B22=" ",$K22=AS$3),$O22,0)</f>
        <v>0</v>
      </c>
      <c r="AT22" s="67">
        <f t="shared" si="58"/>
        <v>0</v>
      </c>
      <c r="AU22" s="67">
        <f t="shared" si="58"/>
        <v>0</v>
      </c>
      <c r="AV22" s="67">
        <f t="shared" si="58"/>
        <v>0</v>
      </c>
      <c r="AW22" s="67">
        <f t="shared" si="58"/>
        <v>0</v>
      </c>
      <c r="AX22" s="67">
        <f t="shared" si="58"/>
        <v>0</v>
      </c>
      <c r="AY22" s="69">
        <f t="shared" si="58"/>
        <v>0</v>
      </c>
      <c r="AZ22" s="70">
        <f t="shared" si="58"/>
        <v>0</v>
      </c>
      <c r="BA22" s="70">
        <f t="shared" si="58"/>
        <v>0</v>
      </c>
      <c r="BB22" s="70">
        <f t="shared" si="58"/>
        <v>0</v>
      </c>
      <c r="BC22" s="71">
        <f t="shared" si="58"/>
        <v>0</v>
      </c>
      <c r="BD22" s="67">
        <f t="shared" si="58"/>
        <v>0</v>
      </c>
      <c r="BE22" s="68">
        <f t="shared" si="58"/>
        <v>0</v>
      </c>
      <c r="BF22" s="66">
        <f t="shared" si="48"/>
        <v>0</v>
      </c>
      <c r="BG22" s="67">
        <f t="shared" si="48"/>
        <v>0</v>
      </c>
      <c r="BH22" s="67">
        <f t="shared" si="48"/>
        <v>0</v>
      </c>
      <c r="BI22" s="67">
        <f t="shared" si="48"/>
        <v>0</v>
      </c>
      <c r="BJ22" s="67">
        <f t="shared" si="48"/>
        <v>0</v>
      </c>
      <c r="BK22" s="67">
        <f t="shared" si="48"/>
        <v>0</v>
      </c>
      <c r="BL22" s="67">
        <f t="shared" si="48"/>
        <v>0</v>
      </c>
      <c r="BM22" s="69">
        <f t="shared" si="48"/>
        <v>0</v>
      </c>
      <c r="BN22" s="70">
        <f t="shared" si="48"/>
        <v>0</v>
      </c>
      <c r="BO22" s="70">
        <f t="shared" si="48"/>
        <v>0</v>
      </c>
      <c r="BP22" s="70">
        <f t="shared" si="48"/>
        <v>0</v>
      </c>
      <c r="BQ22" s="71">
        <f t="shared" si="48"/>
        <v>29.85</v>
      </c>
      <c r="BR22" s="68">
        <f t="shared" si="48"/>
        <v>0</v>
      </c>
      <c r="BS22" s="490">
        <f>IF($B22="LOSS",IF(AND($K22=BS$3,$C22="L"),-$O22,0)+IF(AND($K23=BS$3,$C23="L"),-$O23,0)+IF(AND($K24=BS$3,$C24="L"),-$O24,0),IF(OR(AND($K22=BS$3,OR($C22="W",$C22="1/2W")),AND($K23=BS$3,OR($C23="W",$C23="1/2W")),AND($K24=BS$3,OR($C24="W",$C24="1/2W"))),$S22,0))</f>
        <v>0</v>
      </c>
      <c r="BT22" s="498">
        <f>IF($B22="LOSS",IF(AND($K22=BT$3,$C22="L"),-$O22,0)+IF(AND($K23=BT$3,$C23="L"),-$O23,0)+IF(AND($K23=BT$3,$C24="L"),-$O24,0),IF(OR(AND($K23=BT$3,OR($C22="W",$C22="1/2W")),AND($K23=BT$3,OR($C23="W",$C23="1/2W")),AND($K23=BT$3,OR($C24="W",$C24="1/2W"))),$S22,0))</f>
        <v>0</v>
      </c>
      <c r="BU22" s="488">
        <f>IF($B22="LOSS",IF(AND($K22=BU$3,$C22="L"),-$O22,0)+IF(AND($K23=BU$3,$C23="L"),-$O23,0)+IF(AND($K23=BU$3,$C24="L"),-$O24,0),IF(OR(AND($K23=BU$3,OR($C22="W",$C22="1/2W")),AND($K23=BU$3,OR($C23="W",$C23="1/2W")),AND($K23=BU$3,OR($C24="W",$C24="1/2W"))),$S22,0))</f>
        <v>0</v>
      </c>
      <c r="BV22" s="488">
        <f t="shared" ref="BV22:CE22" si="59">IF($B22="LOSS",IF(AND($K22=BV$3,$C22="L"),-$O22,0)+IF(AND($K23=BV$3,$C23="L"),-$O23,0)+IF(AND($K24=BV$3,$C24="L"),-$O24,0),IF(OR(AND($K22=BV$3,OR($C22="W",$C22="1/2W")),AND($K23=BV$3,OR($C23="W",$C23="1/2W")),AND($K24=BV$3,OR($C24="W",$C24="1/2W"))),$S22,0))</f>
        <v>0</v>
      </c>
      <c r="BW22" s="488">
        <f t="shared" si="59"/>
        <v>3.51</v>
      </c>
      <c r="BX22" s="488">
        <f t="shared" si="59"/>
        <v>0</v>
      </c>
      <c r="BY22" s="488">
        <f t="shared" si="59"/>
        <v>0</v>
      </c>
      <c r="BZ22" s="488">
        <f t="shared" si="59"/>
        <v>0</v>
      </c>
      <c r="CA22" s="488">
        <f t="shared" si="59"/>
        <v>0</v>
      </c>
      <c r="CB22" s="488">
        <f t="shared" si="59"/>
        <v>0</v>
      </c>
      <c r="CC22" s="488">
        <f t="shared" si="59"/>
        <v>0</v>
      </c>
      <c r="CD22" s="500">
        <f t="shared" si="59"/>
        <v>0</v>
      </c>
      <c r="CE22" s="504">
        <f t="shared" si="59"/>
        <v>0</v>
      </c>
      <c r="CF22" s="160">
        <f t="shared" si="4"/>
        <v>0</v>
      </c>
      <c r="CG22" s="161">
        <f t="shared" si="5"/>
        <v>0</v>
      </c>
      <c r="CH22" s="161">
        <f t="shared" si="6"/>
        <v>0</v>
      </c>
      <c r="CI22" s="161">
        <f t="shared" si="7"/>
        <v>0</v>
      </c>
      <c r="CJ22" s="161">
        <f t="shared" si="8"/>
        <v>0</v>
      </c>
      <c r="CK22" s="161">
        <f t="shared" si="9"/>
        <v>0</v>
      </c>
      <c r="CL22" s="161">
        <f t="shared" si="10"/>
        <v>0</v>
      </c>
      <c r="CM22" s="161">
        <f t="shared" si="11"/>
        <v>0</v>
      </c>
      <c r="CN22" s="161">
        <f t="shared" si="12"/>
        <v>0</v>
      </c>
      <c r="CO22" s="161">
        <f t="shared" si="13"/>
        <v>0</v>
      </c>
      <c r="CP22" s="161">
        <f t="shared" si="14"/>
        <v>0</v>
      </c>
      <c r="CQ22" s="161">
        <f t="shared" si="15"/>
        <v>0</v>
      </c>
      <c r="CR22" s="161">
        <f t="shared" si="16"/>
        <v>0</v>
      </c>
      <c r="CS22" s="161">
        <f t="shared" si="17"/>
        <v>0</v>
      </c>
      <c r="CT22" s="75">
        <f t="shared" si="18"/>
        <v>0</v>
      </c>
      <c r="CU22" s="76">
        <f t="shared" si="19"/>
        <v>0</v>
      </c>
      <c r="CV22" s="76">
        <f t="shared" si="20"/>
        <v>0</v>
      </c>
      <c r="CW22" s="76">
        <f t="shared" si="21"/>
        <v>0</v>
      </c>
      <c r="CX22" s="76">
        <f t="shared" si="22"/>
        <v>0</v>
      </c>
      <c r="CY22" s="76">
        <f t="shared" si="23"/>
        <v>0</v>
      </c>
      <c r="CZ22" s="76">
        <f t="shared" si="24"/>
        <v>0</v>
      </c>
      <c r="DA22" s="76">
        <f t="shared" si="25"/>
        <v>0</v>
      </c>
      <c r="DB22" s="76">
        <f t="shared" si="26"/>
        <v>0</v>
      </c>
      <c r="DC22" s="76">
        <f t="shared" si="27"/>
        <v>1</v>
      </c>
      <c r="DD22" s="76">
        <f t="shared" si="28"/>
        <v>0</v>
      </c>
      <c r="DE22" s="77">
        <f t="shared" si="29"/>
        <v>0</v>
      </c>
      <c r="DF22" s="73">
        <f t="shared" si="31"/>
        <v>0</v>
      </c>
      <c r="DG22" s="67">
        <f t="shared" si="32"/>
        <v>0</v>
      </c>
      <c r="DH22" s="76">
        <f t="shared" si="33"/>
        <v>0</v>
      </c>
      <c r="DI22" s="67">
        <f t="shared" si="34"/>
        <v>0</v>
      </c>
      <c r="DJ22" s="76">
        <f>IF($D22="","",$D22)</f>
        <v>1</v>
      </c>
      <c r="DK22" s="492">
        <f>IF(AND($B22=" ",$D22&lt;&gt;""),1,0)</f>
        <v>0</v>
      </c>
    </row>
    <row r="23" spans="1:115" ht="14.5" customHeight="1" x14ac:dyDescent="0.2">
      <c r="A23" s="389"/>
      <c r="B23" s="456"/>
      <c r="C23" s="53" t="s">
        <v>54</v>
      </c>
      <c r="D23" s="374"/>
      <c r="E23" s="386"/>
      <c r="F23" s="377"/>
      <c r="G23" s="508"/>
      <c r="H23" s="476"/>
      <c r="I23" s="182" t="s">
        <v>52</v>
      </c>
      <c r="J23" s="56">
        <f>IF(OR(I22="TO",I22="TU",I22="TO1",I22="TU1",I22="TO2",I22="TU2"),J22,IF(OR(I22="AH1",I22="AH2"),IF(OR(I23="AH1",I23="AH2"),-J22,IF(OR(I23="EH1",I23="EH2"),-J22+0.5,"")),IF(OR(I22="EH1",I22="EH2"),IF(OR(I23="AH1",I23="AH2"),-J22+0.5,IF(OR(I23="EH1",I23="EH2"),-J22+1,"")),IF(AND(OR(I22="DNB1",I22="DNB2"),OR(I23="AH1",I23="AH2")),0,IF(AND(I22="Not ScoreBoth",OR(I23="TO1",I23="TO2")),0.5,"")))))</f>
        <v>2.5</v>
      </c>
      <c r="K23" s="57" t="s">
        <v>40</v>
      </c>
      <c r="L23" s="164">
        <v>1.96</v>
      </c>
      <c r="M23" s="165">
        <v>34.75</v>
      </c>
      <c r="N23" s="406"/>
      <c r="O23" s="60">
        <f>IF(OR(AE22="",AE23=""),"",ROUND(IF(L24&gt;0,IF(M23&gt;0,M23,IF(M22&gt;0,IF(N22=TRUE,ROUND((M22*AE23)/AE22,0),(M22*AE23)/AE22),IF(M23&gt;0,ROUND(M23,IF(N22=0,2,IF(N22=0.1,1,0))),IF(M24&gt;0,ROUND(O24*AE23/AE24,IF(N22=0,2,IF(N22=0.1,1,0))),0)))),IF(M23&gt;0,M23,ROUND((M22*AE23)/AE22,IF(N22=0,2,IF(N22=0.1,1,0))))),2))</f>
        <v>34.75</v>
      </c>
      <c r="P23" s="61">
        <f>IF(OR(L23="",O23=""),"",IF($C23="1/2W",O23/2+O23/2*L23,IF($C23="1/2L",O23/2,IF(I23="Lay",((O23*(L23/(L23-1)))-O23)*(1-_xlfn.XLOOKUP(K23,'Fevereiro 2023 - Valor Real'!A3:A15,'Fevereiro 2023 - Valor Real'!C3:C15,0))+O23,(O23*L23-O23)*(1-_xlfn.XLOOKUP(K23,'Fevereiro 2023 - Valor Real'!A3:A15,'Fevereiro 2023 - Valor Real'!C3:C15,0))+O23))))</f>
        <v>68.11</v>
      </c>
      <c r="Q23" s="166">
        <f>IF(K23="","",IF(_xlfn.XLOOKUP(K23,K$4:K22,$DJ$4:DJ22,0,,-1)=DJ23,_xlfn.XLOOKUP(K23,K$4:K22,Q$4:Q22,1,,-1)+1,1))</f>
        <v>4</v>
      </c>
      <c r="R23" s="167">
        <f>IF(K23="","",_xlfn.XLOOKUP(K23,K$4:K22,R$4:R22,0,,-1)+IF($C23=" ",1,0))</f>
        <v>0</v>
      </c>
      <c r="S23" s="403"/>
      <c r="T23" s="380"/>
      <c r="U23" s="380"/>
      <c r="V23" s="481"/>
      <c r="W23" s="380"/>
      <c r="X23" s="452"/>
      <c r="Y23" s="383"/>
      <c r="Z23" s="384"/>
      <c r="AA23" s="384"/>
      <c r="AB23" s="384"/>
      <c r="AC23" s="384"/>
      <c r="AD23" s="64"/>
      <c r="AE23" s="65">
        <f>IF(L23="","",IF(L24&gt;0,(SUM(((L22-1)*(1-_xlfn.XLOOKUP(K22,'Fevereiro 2023 - Valor Real'!A3:A15,'Fevereiro 2023 - Valor Real'!C3:C15,0))+1),((L23-1)*(1-_xlfn.XLOOKUP(K23,'Fevereiro 2023 - Valor Real'!A3:A15,'Fevereiro 2023 - Valor Real'!C3:C15,0))+1),((L24-1)*(1-_xlfn.XLOOKUP(K24,'Fevereiro 2023 - Valor Real'!A3:A15,'Fevereiro 2023 - Valor Real'!C3:C15,0))+1))/((L23-1)*(1-_xlfn.XLOOKUP(K23,'Fevereiro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Real'!C3:C15,0))+1))/((L22-1)*(1-_xlfn.XLOOKUP(K22,'Fevereiro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Real'!C3:C15,0))+1))/((L23-1)*(1-_xlfn.XLOOKUP(K23,'Fevereiro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Real'!C3:C15,0))+1))/((L24-1)*(1-_xlfn.XLOOKUP(K24,'Fevereiro 2023 - Valor Real'!A3:A15,'Fevereiro 2023 - Valor Real'!C3:C15,0))+1)),IF(I23="Lay",IF(I22="Lay",((L22/(L22-1)-1)*(1-_xlfn.XLOOKUP(K22,'Fevereiro 2023 - Valor Real'!A3:A15,'Fevereiro 2023 - Valor Real'!C3:C15,0))+1)/(((L22/(L22-1)-1)*(1-_xlfn.XLOOKUP(K22,'Fevereiro 2023 - Valor Real'!A3:A15,'Fevereiro 2023 - Valor Real'!C3:C15,0))+1)+((L23/(L23-1)-1)*(1-_xlfn.XLOOKUP(K23,'Fevereiro 2023 - Valor Real'!A3:A15,'Fevereiro 2023 - Valor Real'!C3:C15,0))+1)),((L22-1)*(1-_xlfn.XLOOKUP(K22,'Fevereiro 2023 - Valor Real'!A3:A15,'Fevereiro 2023 - Valor Real'!C3:C15,0))+1)/(((L22-1)*(1-_xlfn.XLOOKUP(K22,'Fevereiro 2023 - Valor Real'!A3:A15,'Fevereiro 2023 - Valor Real'!C3:C15,0))+1)+((L23/(L23-1)-1)*(1-_xlfn.XLOOKUP(K23,'Fevereiro 2023 - Valor Real'!A3:A15,'Fevereiro 2023 - Valor Real'!C3:C15,0))+1))),IF(I22="Lay",((L22/(L22-1)-1)*(1-_xlfn.XLOOKUP(K22,'Fevereiro 2023 - Valor Real'!A3:A15,'Fevereiro 2023 - Valor Real'!C3:C15,0))+1)/((((L22/(L22-1)-1)*(1-_xlfn.XLOOKUP(K22,'Fevereiro 2023 - Valor Real'!A3:A15,'Fevereiro 2023 - Valor Real'!C3:C15,0))+1))+((L23-1)*(1-_xlfn.XLOOKUP(K23,'Fevereiro 2023 - Valor Real'!A3:A15,'Fevereiro 2023 - Valor Real'!C3:C15,0))+1)),((L22-1)*(1-_xlfn.XLOOKUP(K22,'Fevereiro 2023 - Valor Real'!A3:A15,'Fevereiro 2023 - Valor Real'!C3:C15,0))+1)/(((L22-1)*(1-_xlfn.XLOOKUP(K22,'Fevereiro 2023 - Valor Real'!A3:A15,'Fevereiro 2023 - Valor Real'!C3:C15,0))+1)+((L23-1)*(1-_xlfn.XLOOKUP(K23,'Fevereiro 2023 - Valor Real'!A3:A15,'Fevereiro 2023 - Valor Real'!C3:C15,0))+1))))))</f>
        <v>0.53773584905660365</v>
      </c>
      <c r="AF23" s="66">
        <f t="shared" si="46"/>
        <v>0</v>
      </c>
      <c r="AG23" s="67">
        <f t="shared" si="46"/>
        <v>0</v>
      </c>
      <c r="AH23" s="67">
        <f t="shared" si="46"/>
        <v>0</v>
      </c>
      <c r="AI23" s="67">
        <f t="shared" si="46"/>
        <v>0</v>
      </c>
      <c r="AJ23" s="67">
        <f t="shared" si="46"/>
        <v>33.36</v>
      </c>
      <c r="AK23" s="67">
        <f t="shared" si="46"/>
        <v>0</v>
      </c>
      <c r="AL23" s="67">
        <f t="shared" si="46"/>
        <v>0</v>
      </c>
      <c r="AM23" s="67">
        <f t="shared" si="46"/>
        <v>0</v>
      </c>
      <c r="AN23" s="67">
        <f t="shared" si="46"/>
        <v>0</v>
      </c>
      <c r="AO23" s="67">
        <f t="shared" si="46"/>
        <v>0</v>
      </c>
      <c r="AP23" s="67">
        <f t="shared" si="46"/>
        <v>0</v>
      </c>
      <c r="AQ23" s="67">
        <f t="shared" si="46"/>
        <v>0</v>
      </c>
      <c r="AR23" s="68">
        <f t="shared" si="46"/>
        <v>0</v>
      </c>
      <c r="AS23" s="66">
        <f>IF(AND($B22=" ",$K23=AS$3),$O23,0)</f>
        <v>0</v>
      </c>
      <c r="AT23" s="67">
        <f>IF(AND($B22=" ",K23=AT$3),$O23,0)</f>
        <v>0</v>
      </c>
      <c r="AU23" s="67">
        <f t="shared" ref="AU23:BE23" si="60">IF(AND($B22=" ",$K23=AU$3),$O23,0)</f>
        <v>0</v>
      </c>
      <c r="AV23" s="67">
        <f t="shared" si="60"/>
        <v>0</v>
      </c>
      <c r="AW23" s="67">
        <f t="shared" si="60"/>
        <v>0</v>
      </c>
      <c r="AX23" s="67">
        <f t="shared" si="60"/>
        <v>0</v>
      </c>
      <c r="AY23" s="69">
        <f t="shared" si="60"/>
        <v>0</v>
      </c>
      <c r="AZ23" s="70">
        <f t="shared" si="60"/>
        <v>0</v>
      </c>
      <c r="BA23" s="70">
        <f t="shared" si="60"/>
        <v>0</v>
      </c>
      <c r="BB23" s="70">
        <f t="shared" si="60"/>
        <v>0</v>
      </c>
      <c r="BC23" s="71">
        <f t="shared" si="60"/>
        <v>0</v>
      </c>
      <c r="BD23" s="67">
        <f t="shared" si="60"/>
        <v>0</v>
      </c>
      <c r="BE23" s="68">
        <f t="shared" si="60"/>
        <v>0</v>
      </c>
      <c r="BF23" s="66">
        <f t="shared" si="48"/>
        <v>0</v>
      </c>
      <c r="BG23" s="168">
        <f t="shared" si="48"/>
        <v>0</v>
      </c>
      <c r="BH23" s="67">
        <f t="shared" si="48"/>
        <v>0</v>
      </c>
      <c r="BI23" s="67">
        <f t="shared" si="48"/>
        <v>0</v>
      </c>
      <c r="BJ23" s="67">
        <f t="shared" si="48"/>
        <v>34.75</v>
      </c>
      <c r="BK23" s="67">
        <f t="shared" si="48"/>
        <v>0</v>
      </c>
      <c r="BL23" s="67">
        <f t="shared" si="48"/>
        <v>0</v>
      </c>
      <c r="BM23" s="69">
        <f t="shared" si="48"/>
        <v>0</v>
      </c>
      <c r="BN23" s="70">
        <f t="shared" si="48"/>
        <v>0</v>
      </c>
      <c r="BO23" s="70">
        <f t="shared" si="48"/>
        <v>0</v>
      </c>
      <c r="BP23" s="70">
        <f t="shared" si="48"/>
        <v>0</v>
      </c>
      <c r="BQ23" s="71">
        <f t="shared" si="48"/>
        <v>0</v>
      </c>
      <c r="BR23" s="68">
        <f t="shared" si="48"/>
        <v>0</v>
      </c>
      <c r="BS23" s="491"/>
      <c r="BT23" s="489"/>
      <c r="BU23" s="392"/>
      <c r="BV23" s="489"/>
      <c r="BW23" s="392"/>
      <c r="BX23" s="392"/>
      <c r="BY23" s="392"/>
      <c r="BZ23" s="489"/>
      <c r="CA23" s="392"/>
      <c r="CB23" s="392"/>
      <c r="CC23" s="392"/>
      <c r="CD23" s="401"/>
      <c r="CE23" s="409"/>
      <c r="CF23" s="169">
        <f t="shared" si="4"/>
        <v>0</v>
      </c>
      <c r="CG23" s="170">
        <f t="shared" si="5"/>
        <v>0</v>
      </c>
      <c r="CH23" s="170">
        <f t="shared" si="6"/>
        <v>0</v>
      </c>
      <c r="CI23" s="170">
        <f t="shared" si="7"/>
        <v>0</v>
      </c>
      <c r="CJ23" s="170">
        <f t="shared" si="8"/>
        <v>0</v>
      </c>
      <c r="CK23" s="170">
        <f t="shared" si="9"/>
        <v>0</v>
      </c>
      <c r="CL23" s="170">
        <f t="shared" si="10"/>
        <v>0</v>
      </c>
      <c r="CM23" s="170">
        <f t="shared" si="11"/>
        <v>0</v>
      </c>
      <c r="CN23" s="170">
        <f t="shared" si="12"/>
        <v>1</v>
      </c>
      <c r="CO23" s="170">
        <f t="shared" si="13"/>
        <v>0</v>
      </c>
      <c r="CP23" s="170">
        <f t="shared" si="14"/>
        <v>0</v>
      </c>
      <c r="CQ23" s="170">
        <f t="shared" si="15"/>
        <v>0</v>
      </c>
      <c r="CR23" s="170">
        <f t="shared" si="16"/>
        <v>0</v>
      </c>
      <c r="CS23" s="170">
        <f t="shared" si="17"/>
        <v>0</v>
      </c>
      <c r="CT23" s="75">
        <f t="shared" si="18"/>
        <v>0</v>
      </c>
      <c r="CU23" s="76">
        <f t="shared" si="19"/>
        <v>0</v>
      </c>
      <c r="CV23" s="76">
        <f t="shared" si="20"/>
        <v>0</v>
      </c>
      <c r="CW23" s="76">
        <f t="shared" si="21"/>
        <v>0</v>
      </c>
      <c r="CX23" s="76">
        <f t="shared" si="22"/>
        <v>0</v>
      </c>
      <c r="CY23" s="76">
        <f t="shared" si="23"/>
        <v>0</v>
      </c>
      <c r="CZ23" s="76">
        <f t="shared" si="24"/>
        <v>0</v>
      </c>
      <c r="DA23" s="76">
        <f t="shared" si="25"/>
        <v>0</v>
      </c>
      <c r="DB23" s="76">
        <f t="shared" si="26"/>
        <v>0</v>
      </c>
      <c r="DC23" s="76">
        <f t="shared" si="27"/>
        <v>0</v>
      </c>
      <c r="DD23" s="76">
        <f t="shared" si="28"/>
        <v>0</v>
      </c>
      <c r="DE23" s="77">
        <f t="shared" si="29"/>
        <v>0</v>
      </c>
      <c r="DF23" s="73">
        <f t="shared" si="31"/>
        <v>0</v>
      </c>
      <c r="DG23" s="67">
        <f t="shared" si="32"/>
        <v>0</v>
      </c>
      <c r="DH23" s="76">
        <f t="shared" si="33"/>
        <v>0</v>
      </c>
      <c r="DI23" s="67">
        <f t="shared" si="34"/>
        <v>0</v>
      </c>
      <c r="DJ23" s="76">
        <f>IF($D22="","",$D22)</f>
        <v>1</v>
      </c>
      <c r="DK23" s="493"/>
    </row>
    <row r="24" spans="1:115" ht="14.5" customHeight="1" x14ac:dyDescent="0.2">
      <c r="A24" s="390"/>
      <c r="B24" s="457"/>
      <c r="C24" s="79" t="s">
        <v>53</v>
      </c>
      <c r="D24" s="375"/>
      <c r="E24" s="387"/>
      <c r="F24" s="378"/>
      <c r="G24" s="508"/>
      <c r="H24" s="477"/>
      <c r="I24" s="171"/>
      <c r="J24" s="172"/>
      <c r="K24" s="81"/>
      <c r="L24" s="173"/>
      <c r="M24" s="174"/>
      <c r="N24" s="407"/>
      <c r="O24" s="86" t="str">
        <f>IF(OR(AE22="",AE23=""),"",IF(L24&gt;0,ROUND(IF(M24&gt;0,M24,IF(M22&gt;0,ROUND((M22*AE24)/AE22,IF(N22=0,2,IF(N22=0.1,1,0))),IF(M23&gt;0,ROUND((M23*AE24)/AE23,IF(N22=0,2,IF(N22=0.1,1,0))),IF(M24&gt;0,M24,0)))),2),""))</f>
        <v/>
      </c>
      <c r="P24" s="87" t="str">
        <f>IF(I23="Lay",O23*(L23/(L23-1))-O23,IF(I22="Lay",O22*(L22/(L22-1))-O22,IF(OR(L24="",O24=""),"",IF($C24="1/2W",O24/2+O24/2*L24,IF($C24="1/2L",O24/2,(O24*L24-O24)*(1-_xlfn.XLOOKUP(K24,'Fevereiro 2023 - Valor Real'!A3:A15,'Fevereiro 2023 - Valor Real'!C3:C15,0))+O24)))))</f>
        <v/>
      </c>
      <c r="Q24" s="54" t="str">
        <f>IF(K24="","",IF(_xlfn.XLOOKUP(K24,K$4:K23,$DJ$4:DJ23,0,,-1)=DJ24,_xlfn.XLOOKUP(K24,K$4:K23,Q$4:Q23,1,,-1)+1,1))</f>
        <v/>
      </c>
      <c r="R24" s="87" t="str">
        <f>IF(K24="","",_xlfn.XLOOKUP(K24,K$4:K23,R$4:R23,0,,-1)+IF($C24=" ",1,0))</f>
        <v/>
      </c>
      <c r="S24" s="404"/>
      <c r="T24" s="378"/>
      <c r="U24" s="378"/>
      <c r="V24" s="404"/>
      <c r="W24" s="378"/>
      <c r="X24" s="453"/>
      <c r="Y24" s="383"/>
      <c r="Z24" s="384"/>
      <c r="AA24" s="384"/>
      <c r="AB24" s="384"/>
      <c r="AC24" s="384"/>
      <c r="AD24" s="90"/>
      <c r="AE24" s="91" t="str">
        <f>IF(L24="","",(SUM(((L22-1)*(1-_xlfn.XLOOKUP(K22,'Fevereiro 2023 - Valor Real'!A3:A15,'Fevereiro 2023 - Valor Real'!C3:C15,0))+1),((L23-1)*(1-_xlfn.XLOOKUP(K23,'Fevereiro 2023 - Valor Real'!A3:A15,'Fevereiro 2023 - Valor Real'!C3:C15,0))+1),((L24-1)*(1-_xlfn.XLOOKUP(K24,'Fevereiro 2023 - Valor Real'!A3:A15,'Fevereiro 2023 - Valor Real'!C3:C15,0))+1))/((L24-1)*(1-_xlfn.XLOOKUP(K24,'Fevereiro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Real'!C3:C15,0))+1))/((L22-1)*(1-_xlfn.XLOOKUP(K22,'Fevereiro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Real'!C3:C15,0))+1))/((L23-1)*(1-_xlfn.XLOOKUP(K23,'Fevereiro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Real'!C3:C15,0))+1))/((L24-1)*(1-_xlfn.XLOOKUP(K24,'Fevereiro 2023 - Valor Real'!A3:A15,'Fevereiro 2023 - Valor Real'!C3:C15,0))+1)))</f>
        <v/>
      </c>
      <c r="AF24" s="66">
        <f t="shared" ref="AF24:AR33" si="61">IF($K24=AF$3,ROUND(IF(OR($C24="W",$C24="1/2W",$C24="1/2L"),$P24-$O24,IF($C24="X",0,-$O24)),2),0)</f>
        <v>0</v>
      </c>
      <c r="AG24" s="67">
        <f t="shared" si="61"/>
        <v>0</v>
      </c>
      <c r="AH24" s="67">
        <f t="shared" si="61"/>
        <v>0</v>
      </c>
      <c r="AI24" s="67">
        <f t="shared" si="61"/>
        <v>0</v>
      </c>
      <c r="AJ24" s="67">
        <f t="shared" si="61"/>
        <v>0</v>
      </c>
      <c r="AK24" s="67">
        <f t="shared" si="61"/>
        <v>0</v>
      </c>
      <c r="AL24" s="67">
        <f t="shared" si="61"/>
        <v>0</v>
      </c>
      <c r="AM24" s="67">
        <f t="shared" si="61"/>
        <v>0</v>
      </c>
      <c r="AN24" s="67">
        <f t="shared" si="61"/>
        <v>0</v>
      </c>
      <c r="AO24" s="67">
        <f t="shared" si="61"/>
        <v>0</v>
      </c>
      <c r="AP24" s="67">
        <f t="shared" si="61"/>
        <v>0</v>
      </c>
      <c r="AQ24" s="67">
        <f t="shared" si="61"/>
        <v>0</v>
      </c>
      <c r="AR24" s="68">
        <f t="shared" si="61"/>
        <v>0</v>
      </c>
      <c r="AS24" s="66">
        <f>IF(AND($B22=" ",$K24=AS$3),$O24,0)</f>
        <v>0</v>
      </c>
      <c r="AT24" s="67">
        <f>IF(AND($B22=" ",K24=AT$3),$O24,0)</f>
        <v>0</v>
      </c>
      <c r="AU24" s="67">
        <f t="shared" ref="AU24:BE24" si="62">IF(AND($B22=" ",$K24=AU$3),$O24,0)</f>
        <v>0</v>
      </c>
      <c r="AV24" s="67">
        <f t="shared" si="62"/>
        <v>0</v>
      </c>
      <c r="AW24" s="67">
        <f t="shared" si="62"/>
        <v>0</v>
      </c>
      <c r="AX24" s="67">
        <f t="shared" si="62"/>
        <v>0</v>
      </c>
      <c r="AY24" s="69">
        <f t="shared" si="62"/>
        <v>0</v>
      </c>
      <c r="AZ24" s="70">
        <f t="shared" si="62"/>
        <v>0</v>
      </c>
      <c r="BA24" s="70">
        <f t="shared" si="62"/>
        <v>0</v>
      </c>
      <c r="BB24" s="70">
        <f t="shared" si="62"/>
        <v>0</v>
      </c>
      <c r="BC24" s="71">
        <f t="shared" si="62"/>
        <v>0</v>
      </c>
      <c r="BD24" s="67">
        <f t="shared" si="62"/>
        <v>0</v>
      </c>
      <c r="BE24" s="68">
        <f t="shared" si="62"/>
        <v>0</v>
      </c>
      <c r="BF24" s="66">
        <f t="shared" ref="BF24:BR33" si="63">IF($K24=BF$3,IF($C24="X",0,$O24),0)</f>
        <v>0</v>
      </c>
      <c r="BG24" s="168">
        <f t="shared" si="63"/>
        <v>0</v>
      </c>
      <c r="BH24" s="67">
        <f t="shared" si="63"/>
        <v>0</v>
      </c>
      <c r="BI24" s="67">
        <f t="shared" si="63"/>
        <v>0</v>
      </c>
      <c r="BJ24" s="67">
        <f t="shared" si="63"/>
        <v>0</v>
      </c>
      <c r="BK24" s="67">
        <f t="shared" si="63"/>
        <v>0</v>
      </c>
      <c r="BL24" s="67">
        <f t="shared" si="63"/>
        <v>0</v>
      </c>
      <c r="BM24" s="69">
        <f t="shared" si="63"/>
        <v>0</v>
      </c>
      <c r="BN24" s="70">
        <f t="shared" si="63"/>
        <v>0</v>
      </c>
      <c r="BO24" s="70">
        <f t="shared" si="63"/>
        <v>0</v>
      </c>
      <c r="BP24" s="70">
        <f t="shared" si="63"/>
        <v>0</v>
      </c>
      <c r="BQ24" s="71">
        <f t="shared" si="63"/>
        <v>0</v>
      </c>
      <c r="BR24" s="68">
        <f t="shared" si="63"/>
        <v>0</v>
      </c>
      <c r="BS24" s="491"/>
      <c r="BT24" s="489"/>
      <c r="BU24" s="392"/>
      <c r="BV24" s="489"/>
      <c r="BW24" s="392"/>
      <c r="BX24" s="392"/>
      <c r="BY24" s="392"/>
      <c r="BZ24" s="489"/>
      <c r="CA24" s="392"/>
      <c r="CB24" s="392"/>
      <c r="CC24" s="392"/>
      <c r="CD24" s="401"/>
      <c r="CE24" s="409"/>
      <c r="CF24" s="169">
        <f t="shared" si="4"/>
        <v>0</v>
      </c>
      <c r="CG24" s="170">
        <f t="shared" si="5"/>
        <v>0</v>
      </c>
      <c r="CH24" s="170">
        <f t="shared" si="6"/>
        <v>0</v>
      </c>
      <c r="CI24" s="170">
        <f t="shared" si="7"/>
        <v>0</v>
      </c>
      <c r="CJ24" s="170">
        <f t="shared" si="8"/>
        <v>0</v>
      </c>
      <c r="CK24" s="170">
        <f t="shared" si="9"/>
        <v>0</v>
      </c>
      <c r="CL24" s="170">
        <f t="shared" si="10"/>
        <v>0</v>
      </c>
      <c r="CM24" s="170">
        <f t="shared" si="11"/>
        <v>0</v>
      </c>
      <c r="CN24" s="170">
        <f t="shared" si="12"/>
        <v>0</v>
      </c>
      <c r="CO24" s="170">
        <f t="shared" si="13"/>
        <v>0</v>
      </c>
      <c r="CP24" s="170">
        <f t="shared" si="14"/>
        <v>0</v>
      </c>
      <c r="CQ24" s="170">
        <f t="shared" si="15"/>
        <v>0</v>
      </c>
      <c r="CR24" s="170">
        <f t="shared" si="16"/>
        <v>0</v>
      </c>
      <c r="CS24" s="170">
        <f t="shared" si="17"/>
        <v>0</v>
      </c>
      <c r="CT24" s="75">
        <f t="shared" si="18"/>
        <v>0</v>
      </c>
      <c r="CU24" s="76">
        <f t="shared" si="19"/>
        <v>0</v>
      </c>
      <c r="CV24" s="76">
        <f t="shared" si="20"/>
        <v>0</v>
      </c>
      <c r="CW24" s="76">
        <f t="shared" si="21"/>
        <v>0</v>
      </c>
      <c r="CX24" s="76">
        <f t="shared" si="22"/>
        <v>0</v>
      </c>
      <c r="CY24" s="76">
        <f t="shared" si="23"/>
        <v>0</v>
      </c>
      <c r="CZ24" s="76">
        <f t="shared" si="24"/>
        <v>0</v>
      </c>
      <c r="DA24" s="76">
        <f t="shared" si="25"/>
        <v>0</v>
      </c>
      <c r="DB24" s="76">
        <f t="shared" si="26"/>
        <v>0</v>
      </c>
      <c r="DC24" s="76">
        <f t="shared" si="27"/>
        <v>0</v>
      </c>
      <c r="DD24" s="76">
        <f t="shared" si="28"/>
        <v>0</v>
      </c>
      <c r="DE24" s="77">
        <f t="shared" si="29"/>
        <v>0</v>
      </c>
      <c r="DF24" s="73">
        <f t="shared" si="31"/>
        <v>0</v>
      </c>
      <c r="DG24" s="67">
        <f t="shared" si="32"/>
        <v>0</v>
      </c>
      <c r="DH24" s="76">
        <f t="shared" si="33"/>
        <v>0</v>
      </c>
      <c r="DI24" s="67">
        <f t="shared" si="34"/>
        <v>0</v>
      </c>
      <c r="DJ24" s="76">
        <f>IF($D22="","",$D22)</f>
        <v>1</v>
      </c>
      <c r="DK24" s="493"/>
    </row>
    <row r="25" spans="1:115" ht="14.5" customHeight="1" x14ac:dyDescent="0.2">
      <c r="A25" s="459">
        <f>$A22+1</f>
        <v>8</v>
      </c>
      <c r="B25" s="507" t="str">
        <f>IF(OR(C25="W",C26="W",C27="W",C25="1/2W",C26="1/2W",C27="1/2W",C25="1/2L",C26="1/2L",C27="1/2L"),"OK",IF(OR(C25="L",C26="L",C27="L"),"LOSS",IF(OR(C25="X",C26="X",C27="X"),"Anulado"," ")))</f>
        <v>OK</v>
      </c>
      <c r="C25" s="93" t="s">
        <v>55</v>
      </c>
      <c r="D25" s="469">
        <f>IF(G25="","",$D22)</f>
        <v>1</v>
      </c>
      <c r="E25" s="485" t="str">
        <f>IF(G25=""," ","– "&amp;COUNTIF(D$4:D27,$D25))</f>
        <v>– 8</v>
      </c>
      <c r="F25" s="509" t="str">
        <f ca="1">IF(G25="","",IF(OR(AND($C25&lt;&gt;" ",$C26=" "),AND($C26&lt;&gt;" ",$C25=" "),AND(L27&gt;0,OR(AND($C27&lt;&gt;" ",OR($C25=" ",$C26=" ")),AND($C27=" ",OR($C25&lt;&gt;" ",$C26&lt;&gt;" "))))),IF(SUM(F$4:F24)=0,1,LARGE(F$4:F24,1)+1),IF(MONTH(G25)=MONTH(TODAY()),IF(AND(DAY(G25)&lt;DAY(TODAY()),$B25=" "),IF(SUM(F$4:F24)=0,1,LARGE(F$4:F24,1)+1),IF($B25=" ",IF(AND(DAY(G25)=DAY(TODAY()),HOUR(G25)&lt;=HOUR(NOW())+1),IF(AND(HOUR(G25)+2&lt;=HOUR(NOW()),DAY(G25)&lt;=DAY(TODAY()),MINUTE(G25)&lt;=MINUTE(NOW())),IF(SUM(F$4:F24)=0,1,LARGE(F$4:F24,1)+1),IF(OR(MINUTE(G25)&lt;=MINUTE(NOW()),HOUR(G25)&lt;=HOUR(NOW())),"!!!","")),""),"")),"")))</f>
        <v/>
      </c>
      <c r="G25" s="482">
        <v>44989.5</v>
      </c>
      <c r="H25" s="475" t="s">
        <v>58</v>
      </c>
      <c r="I25" s="94" t="s">
        <v>59</v>
      </c>
      <c r="J25" s="176"/>
      <c r="K25" s="96" t="s">
        <v>40</v>
      </c>
      <c r="L25" s="97">
        <v>4.4000000000000004</v>
      </c>
      <c r="M25" s="98">
        <v>6.62</v>
      </c>
      <c r="N25" s="478">
        <v>0.1</v>
      </c>
      <c r="O25" s="99">
        <f>IF(OR(AE25="",AE26=""),"",ROUND(IF(L27&gt;0,IF(M25&gt;0,M25,IF(M26&gt;0,ROUND((M26*AE25)/AE26,IF(N25=0,2,IF(N25=0.1,1,0))),ROUND((M27*AE25)/AE27,IF(N25=0,2,IF(N25=0.1,1,0))))),IF(M25&gt;0,M25,ROUND((M26*AE25)/AE26,IF(N25=0,2,IF(N25=0.1,1,0))))),2))</f>
        <v>6.62</v>
      </c>
      <c r="P25" s="100">
        <f>IF(OR(L25="",O25=""),"",IF($C25="1/2W",O25/2+O25/2*L25,IF($C25="1/2L",O25/2,IF(I25="Lay",(O25*(L25/(L25-1))-O25)*(1-_xlfn.XLOOKUP(K25,'Fevereiro 2023 - Valor Real'!A3:A15,'Fevereiro 2023 - Valor Real'!C3:C15,0))+O25,(O25*L25-O25)*(1-_xlfn.XLOOKUP(K25,'Fevereiro 2023 - Valor Real'!A3:A15,'Fevereiro 2023 - Valor Real'!C3:C15,0))+O25))))</f>
        <v>29.128000000000004</v>
      </c>
      <c r="Q25" s="101">
        <f>IF(K25="","",IF(_xlfn.XLOOKUP(K25,K$4:K24,$DJ$4:DJ24,0,,-1)=DJ25,_xlfn.XLOOKUP(K25,K$4:K24,Q$4:Q24,1,,-1)+1,1))</f>
        <v>5</v>
      </c>
      <c r="R25" s="102">
        <f>IF(K25="","",_xlfn.XLOOKUP(K25,K$4:K24,R$4:R24,0,,-1)+IF($C25=" ",1,0))</f>
        <v>0</v>
      </c>
      <c r="S25" s="474">
        <f>IF($B25="Anulado",0,ROUND(IF(OR($B25="LOSS",$B25="OK"),IF(OR($C25="W",$C25="1/2W",$C25="1/2L"),P25-O25,IF($C25="L",-O25,0))+IF(OR($C26="W",$C26="1/2W",$C26="1/2L"),P26-O26,IF($C26="L",-O26,0))+IF(OR($C27="W",$C27="1/2W",$C27="1/2L"),P27-O27,IF($C27="L",-O27,0)),IF(AND(OR($C25="W",$C25="1/2W",$C25="1/2L"),C26="W"),P25+P26-SUM(O25:O27)+_xlfn.XLOOKUP("X",C25:C27,O25:O27,0),IF(AND(C25=TRUE,C27="W"),P25+P27-SUM(O25:O27),IF(AND(C26="W",C27="W"),P26+P27-SUM(O25:O27)+_xlfn.XLOOKUP("X",C25:C27,O25:O27,0),IF(L27&gt;0,IF(OR($C25="W",$C25="1/2W",$C25="1/2L"),P25-SUM(O25:O27)+_xlfn.XLOOKUP("X",C25:C27,O25:O27,0),IF(OR($C25="W",$C25="1/2W",$C25="1/2L"),P26-SUM(O25:O27)+_xlfn.XLOOKUP("X",C25:C27,O25:O27,0),IF(OR($C25="W",$C25="1/2W",$C25="1/2L"),P27-SUM(O25:O27)+_xlfn.XLOOKUP("X",C25:C27,O25:O27,0),IF(SUM(P25:P27)/3-SUM(O25:O27)+_xlfn.XLOOKUP("X",C25:C27,O25:O27,0)&gt;0,SUM(P25:P27)/3-SUM(O25:O27)+_xlfn.XLOOKUP("X",C25:C27,O25:O27,0),LARGE(P25:P27,1)-SUM(O25:O27))))),IF(OR($C25="W",$C25="1/2W",$C25="1/2L"),P25-SUM(O25:O26)+_xlfn.XLOOKUP("X",C25:C27,O25:O27,0),IF(OR($C25="W",$C25="1/2W",$C25="1/2L"),P26-SUM(O25:O26)+_xlfn.XLOOKUP("X",C25:C27,O25:O27,0),SUM(P25:P26)/2-SUM(O25:O26)+_xlfn.XLOOKUP("X",C25:C27,O25:O27,0)))))))),2))</f>
        <v>2.15</v>
      </c>
      <c r="T25" s="458">
        <f>IF(S25=0,0,S25/SUM(O25:O27))</f>
        <v>7.957068837897853E-2</v>
      </c>
      <c r="U25" s="470">
        <f>IF($D25=$D22,IF(OR($B25="LOSS",$B25="OK",$B25="Anulada"),S25,0)+U22,IF(OR($B25="LOSS",$B25="OK",$B25="Anulada"),S25,0))</f>
        <v>13.65</v>
      </c>
      <c r="V25" s="470">
        <f>IF($D25="",0,IF($D25=$D22,IF($B25=" ",IF(I27="",IF(OR(AND(I25="DNB1",I26="DNB2"),AND(OR(I25="DNB1",I25="DNB2"),J26=0),AND(OR(I26="DNB1",I26="DNB2"),J25=0),AND(I25="DNB2",I26="DNB1"),AND(IF(J25=0,(J25+1)/ROUND(J25+1,0),J25/ROUND(J25,0))=1,IF(J26=0,(J26+1)/ROUND(IF(J26="",0,J26)+1,0),IF(J26="",0,J26)/ROUND(IF(J26="",1,J26),0))=1,OR(J25&lt;&gt;""),J26&lt;&gt;"")),0,IF(S25&lt;0,IF(I27="",SMALL(P25:P26,1)-SUM(O25:O26),0),SMALL(P25:P26,1)-SUM(O25:O26))),IF(S25&lt;0,IF(I27="",SMALL(P25:P27,1)-SUM(O25:O27),0),LARGE(P25:P27,1)-SUM(O25:O27))),S25)+V22,IF(I27="",IF(OR(AND(I25="DNB1",I26="DNB2"),AND(OR(I25="DNB1",I25="DNB2"),J26=0),AND(OR(I26="DNB1",I26="DNB2"),J25=0),AND(I25="DNB2",I26="DNB1"),AND(IF(J25=0,(J25+1)/ROUND(J25+1,0),J25/ROUND(J25,0))=1,IF(J26=0,(IF(J26="",0,J26)+1)/ROUND(IF(J26="",0,J26)+1,0),IF(J26="",0,J26)/ROUND(IF(J26="",0,J26)+1,0))=1,OR(J25&lt;&gt;""),J26&lt;&gt;"")),0,IF(S25&lt;0,IF(I27="",SMALL(P25:P26,1)-SUM(O25:O26),0),SMALL(P25:P27,1)-SUM(O25:O27))),IF(S25&lt;0,IF(I27="",SMALL(P25:P27,1)-SUM(O25:O27),0),LARGE(P25:P27,1)-SUM(O25:O27)))))</f>
        <v>13.65</v>
      </c>
      <c r="W25" s="470">
        <f>IF($D25=$D22,IF(S25&lt;0,IF(I27="",S25,0),S25)+W22,S25)</f>
        <v>13.65</v>
      </c>
      <c r="X25" s="480" t="str">
        <f>IF(OR(SUM(R25:R27)=0,V25=W25),ROUND(IF(W25=0,0,W25/Y25)*100,2)&amp;"%",ROUND(IF(V25=0,0,V25/Y25)*100,2)&amp;"% a "&amp;ROUND(IF(W25=0,0,W25/Y25)*100,2)&amp;"%")</f>
        <v>4,93%</v>
      </c>
      <c r="Y25" s="471">
        <f>IF($D25=$D22,Y22+SUM(O25:O27),SUM(O25:O27))</f>
        <v>277.02</v>
      </c>
      <c r="Z25" s="470">
        <f>IF($B25=" ",SUM(O25:O27),0)+Z22</f>
        <v>0</v>
      </c>
      <c r="AA25" s="470">
        <f>IF(G25="","",IF($B25="Anulado",LARGE(P25:P27,1)-SUM(O25:O27)+AA22,AA22))</f>
        <v>0.45899999999999785</v>
      </c>
      <c r="AB25" s="470">
        <f>IF($D25="","",AB22+S25)</f>
        <v>13.65</v>
      </c>
      <c r="AC25" s="472">
        <f ca="1">IF($D25="","",IF($B25=" ",IF(DAY(G25)=DAY(TODAY()),1+AC22,0+AC22),0+AC22))</f>
        <v>0</v>
      </c>
      <c r="AD25" s="103">
        <f>(((L26/(L26-1)-1)*(1-_xlfn.XLOOKUP(K26,'Fevereiro 2023 - Valor Real'!A3:A15,'Fevereiro 2023 - Valor Real'!C3:C15,0))+1))/(((L25-1)*(1-_xlfn.XLOOKUP(K25,'Fevereiro 2023 - Valor Real'!A3:A15,'Fevereiro 2023 - Valor Real'!C3:C15,0))+1)+((L26/(L26-1)-1)*(1-_xlfn.XLOOKUP(K26,'Fevereiro 2023 - Valor Real'!A3:A15,'Fevereiro 2023 - Valor Real'!C3:C15,0))+1))</f>
        <v>0.43046357615894038</v>
      </c>
      <c r="AE25" s="104">
        <f>IF(L25="","",IF(L27&gt;0,(SUM(((L25-1)*(1-_xlfn.XLOOKUP(K25,'Fevereiro 2023 - Valor Real'!A3:A15,'Fevereiro 2023 - Valor Real'!C3:C15,0))+1),((L26-1)*(1-_xlfn.XLOOKUP(K26,'Fevereiro 2023 - Valor Real'!A3:A15,'Fevereiro 2023 - Valor Real'!C3:C15,0))+1),((L27-1)*(1-_xlfn.XLOOKUP(K27,'Fevereiro 2023 - Valor Real'!A3:A15,'Fevereiro 2023 - Valor Real'!C3:C15,0))+1))/((L25-1)*(1-_xlfn.XLOOKUP(K25,'Fevereiro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Real'!C3:C15,0))+1))/((L25-1)*(1-_xlfn.XLOOKUP(K25,'Fevereiro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Real'!C3:C15,0))+1))/((L26-1)*(1-_xlfn.XLOOKUP(K26,'Fevereiro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Real'!C3:C15,0))+1))/((L27-1)*(1-_xlfn.XLOOKUP(K27,'Fevereiro 2023 - Valor Real'!A3:A15,'Fevereiro 2023 - Valor Real'!C3:C15,0))+1)),IF(I25="Lay",IF(I26="Lay",((L26/(L26-1)-1)*(1-_xlfn.XLOOKUP(K26,'Fevereiro 2023 - Valor Real'!A3:A15,'Fevereiro 2023 - Valor Real'!C3:C15,0))+1)/(((L26/(L26-1)-1)*(1-_xlfn.XLOOKUP(K26,'Fevereiro 2023 - Valor Real'!A3:A15,'Fevereiro 2023 - Valor Real'!C3:C15,0))+1)+((L25/(L25-1)-1)*(1-_xlfn.XLOOKUP(K25,'Fevereiro 2023 - Valor Real'!A3:A15,'Fevereiro 2023 - Valor Real'!C3:C15,0))+1)),((L26-1)*(1-_xlfn.XLOOKUP(K26,'Fevereiro 2023 - Valor Real'!A3:A15,'Fevereiro 2023 - Valor Real'!C3:C15,0))+1)/(((L26-1)*(1-_xlfn.XLOOKUP(K26,'Fevereiro 2023 - Valor Real'!A3:A15,'Fevereiro 2023 - Valor Real'!C3:C15,0))+1)+((L25/(L25-1)-1)*(1-_xlfn.XLOOKUP(K25,'Fevereiro 2023 - Valor Real'!A3:A15,'Fevereiro 2023 - Valor Real'!C3:C15,0))+1))),IF(I26="Lay",(((L26/(L26-1)-1)*(1-_xlfn.XLOOKUP(K26,'Fevereiro 2023 - Valor Real'!A3:A15,'Fevereiro 2023 - Valor Real'!C3:C15,0))+1))/(((L25-1)*(1-_xlfn.XLOOKUP(K25,'Fevereiro 2023 - Valor Real'!A3:A15,'Fevereiro 2023 - Valor Real'!C3:C15,0))+1)+((L26/(L26-1)-1)*(1-_xlfn.XLOOKUP(K26,'Fevereiro 2023 - Valor Real'!A3:A15,'Fevereiro 2023 - Valor Real'!C3:C15,0))+1)),((L26-1)*(1-_xlfn.XLOOKUP(K26,'Fevereiro 2023 - Valor Real'!A3:A15,'Fevereiro 2023 - Valor Real'!C3:C15,0))+1)/(((L26-1)*(1-_xlfn.XLOOKUP(K26,'Fevereiro 2023 - Valor Real'!A3:A15,'Fevereiro 2023 - Valor Real'!C3:C15,0))+1)+((L25-1)*(1-_xlfn.XLOOKUP(K25,'Fevereiro 2023 - Valor Real'!A3:A15,'Fevereiro 2023 - Valor Real'!C3:C15,0))+1))))))</f>
        <v>0.2452830188679245</v>
      </c>
      <c r="AF25" s="105">
        <f t="shared" si="61"/>
        <v>0</v>
      </c>
      <c r="AG25" s="106">
        <f t="shared" si="61"/>
        <v>0</v>
      </c>
      <c r="AH25" s="106">
        <f t="shared" si="61"/>
        <v>0</v>
      </c>
      <c r="AI25" s="106">
        <f t="shared" si="61"/>
        <v>0</v>
      </c>
      <c r="AJ25" s="106">
        <f t="shared" si="61"/>
        <v>-6.62</v>
      </c>
      <c r="AK25" s="106">
        <f t="shared" si="61"/>
        <v>0</v>
      </c>
      <c r="AL25" s="106">
        <f t="shared" si="61"/>
        <v>0</v>
      </c>
      <c r="AM25" s="106">
        <f t="shared" si="61"/>
        <v>0</v>
      </c>
      <c r="AN25" s="106">
        <f t="shared" si="61"/>
        <v>0</v>
      </c>
      <c r="AO25" s="106">
        <f t="shared" si="61"/>
        <v>0</v>
      </c>
      <c r="AP25" s="106">
        <f t="shared" si="61"/>
        <v>0</v>
      </c>
      <c r="AQ25" s="106">
        <f t="shared" si="61"/>
        <v>0</v>
      </c>
      <c r="AR25" s="107">
        <f t="shared" si="61"/>
        <v>0</v>
      </c>
      <c r="AS25" s="105">
        <f t="shared" ref="AS25:BE25" si="64">IF(AND($B25=" ",$K25=AS$3),$O25,0)</f>
        <v>0</v>
      </c>
      <c r="AT25" s="106">
        <f t="shared" si="64"/>
        <v>0</v>
      </c>
      <c r="AU25" s="106">
        <f t="shared" si="64"/>
        <v>0</v>
      </c>
      <c r="AV25" s="106">
        <f t="shared" si="64"/>
        <v>0</v>
      </c>
      <c r="AW25" s="106">
        <f t="shared" si="64"/>
        <v>0</v>
      </c>
      <c r="AX25" s="106">
        <f t="shared" si="64"/>
        <v>0</v>
      </c>
      <c r="AY25" s="108">
        <f t="shared" si="64"/>
        <v>0</v>
      </c>
      <c r="AZ25" s="109">
        <f t="shared" si="64"/>
        <v>0</v>
      </c>
      <c r="BA25" s="109">
        <f t="shared" si="64"/>
        <v>0</v>
      </c>
      <c r="BB25" s="109">
        <f t="shared" si="64"/>
        <v>0</v>
      </c>
      <c r="BC25" s="110">
        <f t="shared" si="64"/>
        <v>0</v>
      </c>
      <c r="BD25" s="106">
        <f t="shared" si="64"/>
        <v>0</v>
      </c>
      <c r="BE25" s="107">
        <f t="shared" si="64"/>
        <v>0</v>
      </c>
      <c r="BF25" s="111">
        <f t="shared" si="63"/>
        <v>0</v>
      </c>
      <c r="BG25" s="106">
        <f t="shared" si="63"/>
        <v>0</v>
      </c>
      <c r="BH25" s="106">
        <f t="shared" si="63"/>
        <v>0</v>
      </c>
      <c r="BI25" s="106">
        <f t="shared" si="63"/>
        <v>0</v>
      </c>
      <c r="BJ25" s="106">
        <f t="shared" si="63"/>
        <v>6.62</v>
      </c>
      <c r="BK25" s="106">
        <f t="shared" si="63"/>
        <v>0</v>
      </c>
      <c r="BL25" s="106">
        <f t="shared" si="63"/>
        <v>0</v>
      </c>
      <c r="BM25" s="108">
        <f t="shared" si="63"/>
        <v>0</v>
      </c>
      <c r="BN25" s="109">
        <f t="shared" si="63"/>
        <v>0</v>
      </c>
      <c r="BO25" s="109">
        <f t="shared" si="63"/>
        <v>0</v>
      </c>
      <c r="BP25" s="109">
        <f t="shared" si="63"/>
        <v>0</v>
      </c>
      <c r="BQ25" s="110">
        <f t="shared" si="63"/>
        <v>0</v>
      </c>
      <c r="BR25" s="107">
        <f t="shared" si="63"/>
        <v>0</v>
      </c>
      <c r="BS25" s="463">
        <f>IF($B25="LOSS",IF(AND($K25=BS$3,$C25="L"),-$O25,0)+IF(AND($K26=BS$3,$C26="L"),-$O26,0)+IF(AND($K27=BS$3,$C27="L"),-$O27,0),IF(OR(AND($K25=BS$3,OR($C25="W",$C25="1/2W")),AND($K26=BS$3,OR($C26="W",$C26="1/2W")),AND($K27=BS$3,OR($C27="W",$C27="1/2W"))),$S25,0))</f>
        <v>0</v>
      </c>
      <c r="BT25" s="462">
        <f>IF($B25="LOSS",IF(AND($K25=BT$3,$C25="L"),-$O25,0)+IF(AND($K26=BT$3,$C26="L"),-$O26,0)+IF(AND($K26=BT$3,$C27="L"),-$O27,0),IF(OR(AND($K26=BT$3,OR($C25="W",$C25="1/2W")),AND($K26=BT$3,OR($C26="W",$C26="1/2W")),AND($K26=BT$3,OR($C27="W",$C27="1/2W"))),$S25,0))</f>
        <v>0</v>
      </c>
      <c r="BU25" s="462">
        <f>IF($B25="LOSS",IF(AND($K25=BU$3,$C25="L"),-$O25,0)+IF(AND($K26=BU$3,$C26="L"),-$O26,0)+IF(AND($K26=BU$3,$C27="L"),-$O27,0),IF(OR(AND($K26=BU$3,OR($C25="W",$C25="1/2W")),AND($K26=BU$3,OR($C26="W",$C26="1/2W")),AND($K26=BU$3,OR($C27="W",$C27="1/2W"))),$S25,0))</f>
        <v>0</v>
      </c>
      <c r="BV25" s="462">
        <f t="shared" ref="BV25:CE25" si="65">IF($B25="LOSS",IF(AND($K25=BV$3,$C25="L"),-$O25,0)+IF(AND($K26=BV$3,$C26="L"),-$O26,0)+IF(AND($K27=BV$3,$C27="L"),-$O27,0),IF(OR(AND($K25=BV$3,OR($C25="W",$C25="1/2W")),AND($K26=BV$3,OR($C26="W",$C26="1/2W")),AND($K27=BV$3,OR($C27="W",$C27="1/2W"))),$S25,0))</f>
        <v>0</v>
      </c>
      <c r="BW25" s="462">
        <f t="shared" si="65"/>
        <v>0</v>
      </c>
      <c r="BX25" s="462">
        <f t="shared" si="65"/>
        <v>0</v>
      </c>
      <c r="BY25" s="462">
        <f t="shared" si="65"/>
        <v>0</v>
      </c>
      <c r="BZ25" s="460">
        <f t="shared" si="65"/>
        <v>0</v>
      </c>
      <c r="CA25" s="460">
        <f t="shared" si="65"/>
        <v>0</v>
      </c>
      <c r="CB25" s="460">
        <f t="shared" si="65"/>
        <v>0</v>
      </c>
      <c r="CC25" s="460">
        <f t="shared" si="65"/>
        <v>0</v>
      </c>
      <c r="CD25" s="473">
        <f t="shared" si="65"/>
        <v>2.15</v>
      </c>
      <c r="CE25" s="479">
        <f t="shared" si="65"/>
        <v>0</v>
      </c>
      <c r="CF25" s="113">
        <f t="shared" si="4"/>
        <v>0</v>
      </c>
      <c r="CG25" s="114">
        <f t="shared" si="5"/>
        <v>0</v>
      </c>
      <c r="CH25" s="114">
        <f t="shared" si="6"/>
        <v>0</v>
      </c>
      <c r="CI25" s="114">
        <f t="shared" si="7"/>
        <v>0</v>
      </c>
      <c r="CJ25" s="114">
        <f t="shared" si="8"/>
        <v>0</v>
      </c>
      <c r="CK25" s="114">
        <f t="shared" si="9"/>
        <v>0</v>
      </c>
      <c r="CL25" s="114">
        <f t="shared" si="10"/>
        <v>0</v>
      </c>
      <c r="CM25" s="114">
        <f t="shared" si="11"/>
        <v>0</v>
      </c>
      <c r="CN25" s="114">
        <f t="shared" si="12"/>
        <v>0</v>
      </c>
      <c r="CO25" s="114">
        <f t="shared" si="13"/>
        <v>1</v>
      </c>
      <c r="CP25" s="114">
        <f t="shared" si="14"/>
        <v>0</v>
      </c>
      <c r="CQ25" s="114">
        <f t="shared" si="15"/>
        <v>0</v>
      </c>
      <c r="CR25" s="114">
        <f t="shared" si="16"/>
        <v>0</v>
      </c>
      <c r="CS25" s="114">
        <f t="shared" si="17"/>
        <v>0</v>
      </c>
      <c r="CT25" s="115">
        <f t="shared" si="18"/>
        <v>0</v>
      </c>
      <c r="CU25" s="116">
        <f t="shared" si="19"/>
        <v>0</v>
      </c>
      <c r="CV25" s="116">
        <f t="shared" si="20"/>
        <v>0</v>
      </c>
      <c r="CW25" s="116">
        <f t="shared" si="21"/>
        <v>0</v>
      </c>
      <c r="CX25" s="116">
        <f t="shared" si="22"/>
        <v>0</v>
      </c>
      <c r="CY25" s="116">
        <f t="shared" si="23"/>
        <v>0</v>
      </c>
      <c r="CZ25" s="116">
        <f t="shared" si="24"/>
        <v>0</v>
      </c>
      <c r="DA25" s="116">
        <f t="shared" si="25"/>
        <v>0</v>
      </c>
      <c r="DB25" s="116">
        <f t="shared" si="26"/>
        <v>0</v>
      </c>
      <c r="DC25" s="116">
        <f t="shared" si="27"/>
        <v>0</v>
      </c>
      <c r="DD25" s="116">
        <f t="shared" si="28"/>
        <v>0</v>
      </c>
      <c r="DE25" s="117">
        <f t="shared" si="29"/>
        <v>0</v>
      </c>
      <c r="DF25" s="118">
        <f t="shared" si="31"/>
        <v>0</v>
      </c>
      <c r="DG25" s="106">
        <f t="shared" si="32"/>
        <v>0</v>
      </c>
      <c r="DH25" s="116">
        <f t="shared" si="33"/>
        <v>0</v>
      </c>
      <c r="DI25" s="106">
        <f t="shared" si="34"/>
        <v>0</v>
      </c>
      <c r="DJ25" s="116">
        <f>IF($D25="","",$D25)</f>
        <v>1</v>
      </c>
      <c r="DK25" s="465">
        <f>IF(AND($B25=" ",$D25&lt;&gt;""),1,0)</f>
        <v>0</v>
      </c>
    </row>
    <row r="26" spans="1:115" ht="14.5" customHeight="1" x14ac:dyDescent="0.2">
      <c r="A26" s="389"/>
      <c r="B26" s="456"/>
      <c r="C26" s="120" t="s">
        <v>54</v>
      </c>
      <c r="D26" s="374"/>
      <c r="E26" s="386"/>
      <c r="F26" s="377"/>
      <c r="G26" s="483"/>
      <c r="H26" s="476"/>
      <c r="I26" s="178">
        <v>2</v>
      </c>
      <c r="J26" s="179" t="str">
        <f>IF(OR(I25="TO",I25="TU",I25="TO1",I25="TU1",I25="TO2",I25="TU2"),J25,IF(OR(I25="AH1",I25="AH2"),IF(OR(I26="AH1",I26="AH2"),-J25,IF(OR(I26="EH1",I26="EH2"),-J25+0.5,"")),IF(OR(I25="EH1",I25="EH2"),IF(OR(I26="AH1",I26="AH2"),-J25+0.5,IF(OR(I26="EH1",I26="EH2"),-J25+1,"")),IF(AND(OR(I25="DNB1",I25="DNB2"),OR(I26="AH1",I26="AH2")),0,IF(AND(I25="Not ScoreBoth",OR(I26="TO1",I26="TO2")),0.5,"")))))</f>
        <v/>
      </c>
      <c r="K26" s="123" t="s">
        <v>47</v>
      </c>
      <c r="L26" s="124">
        <v>1.43</v>
      </c>
      <c r="M26" s="125"/>
      <c r="N26" s="406"/>
      <c r="O26" s="126">
        <f>IF(OR(AE25="",AE26=""),"",ROUND(IF(L27&gt;0,IF(M26&gt;0,M26,IF(M25&gt;0,IF(N25=TRUE,ROUND((M25*AE26)/AE25,0),(M25*AE26)/AE25),IF(M26&gt;0,ROUND(M26,IF(N25=0,2,IF(N25=0.1,1,0))),IF(M27&gt;0,ROUND(O27*AE26/AE27,IF(N25=0,2,IF(N25=0.1,1,0))),0)))),IF(M26&gt;0,M26,ROUND((M25*AE26)/AE25,IF(N25=0,2,IF(N25=0.1,1,0))))),2))</f>
        <v>20.399999999999999</v>
      </c>
      <c r="P26" s="127">
        <f>IF(OR(L26="",O26=""),"",IF($C26="1/2W",O26/2+O26/2*L26,IF($C26="1/2L",O26/2,IF(I26="Lay",((O26*(L26/(L26-1)))-O26)*(1-_xlfn.XLOOKUP(K26,'Fevereiro 2023 - Valor Real'!A3:A15,'Fevereiro 2023 - Valor Real'!C3:C15,0))+O26,(O26*L26-O26)*(1-_xlfn.XLOOKUP(K26,'Fevereiro 2023 - Valor Real'!A3:A15,'Fevereiro 2023 - Valor Real'!C3:C15,0))+O26))))</f>
        <v>29.171999999999997</v>
      </c>
      <c r="Q26" s="128">
        <f>IF(K26="","",IF(_xlfn.XLOOKUP(K26,K$4:K25,$DJ$4:DJ25,0,,-1)=DJ26,_xlfn.XLOOKUP(K26,K$4:K25,Q$4:Q25,1,,-1)+1,1))</f>
        <v>4</v>
      </c>
      <c r="R26" s="129">
        <f>IF(K26="","",_xlfn.XLOOKUP(K26,K$4:K25,R$4:R25,0,,-1)+IF($C26=" ",1,0))</f>
        <v>0</v>
      </c>
      <c r="S26" s="403"/>
      <c r="T26" s="380"/>
      <c r="U26" s="380"/>
      <c r="V26" s="481"/>
      <c r="W26" s="380"/>
      <c r="X26" s="452"/>
      <c r="Y26" s="383"/>
      <c r="Z26" s="384"/>
      <c r="AA26" s="384"/>
      <c r="AB26" s="384"/>
      <c r="AC26" s="384"/>
      <c r="AD26" s="130">
        <f>(((L26/(L26-1)-1)*(1-_xlfn.XLOOKUP(K26,'Fevereiro 2023 - Valor Real'!A3:A15,'Fevereiro 2023 - Valor Real'!C3:C15,0))+1))</f>
        <v>3.3255813953488373</v>
      </c>
      <c r="AE26" s="131">
        <f>IF(L26="","",IF(L27&gt;0,(SUM(((L25-1)*(1-_xlfn.XLOOKUP(K25,'Fevereiro 2023 - Valor Real'!A3:A15,'Fevereiro 2023 - Valor Real'!C3:C15,0))+1),((L26-1)*(1-_xlfn.XLOOKUP(K26,'Fevereiro 2023 - Valor Real'!A3:A15,'Fevereiro 2023 - Valor Real'!C3:C15,0))+1),((L27-1)*(1-_xlfn.XLOOKUP(K27,'Fevereiro 2023 - Valor Real'!A3:A15,'Fevereiro 2023 - Valor Real'!C3:C15,0))+1))/((L26-1)*(1-_xlfn.XLOOKUP(K26,'Fevereiro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Real'!C3:C15,0))+1))/((L25-1)*(1-_xlfn.XLOOKUP(K25,'Fevereiro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Real'!C3:C15,0))+1))/((L26-1)*(1-_xlfn.XLOOKUP(K26,'Fevereiro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Real'!C3:C15,0))+1))/((L27-1)*(1-_xlfn.XLOOKUP(K27,'Fevereiro 2023 - Valor Real'!A3:A15,'Fevereiro 2023 - Valor Real'!C3:C15,0))+1)),IF(I26="Lay",IF(I25="Lay",((L25/(L25-1)-1)*(1-_xlfn.XLOOKUP(K25,'Fevereiro 2023 - Valor Real'!A3:A15,'Fevereiro 2023 - Valor Real'!C3:C15,0))+1)/(((L25/(L25-1)-1)*(1-_xlfn.XLOOKUP(K25,'Fevereiro 2023 - Valor Real'!A3:A15,'Fevereiro 2023 - Valor Real'!C3:C15,0))+1)+((L26/(L26-1)-1)*(1-_xlfn.XLOOKUP(K26,'Fevereiro 2023 - Valor Real'!A3:A15,'Fevereiro 2023 - Valor Real'!C3:C15,0))+1)),((L25-1)*(1-_xlfn.XLOOKUP(K25,'Fevereiro 2023 - Valor Real'!A3:A15,'Fevereiro 2023 - Valor Real'!C3:C15,0))+1)/(((L25-1)*(1-_xlfn.XLOOKUP(K25,'Fevereiro 2023 - Valor Real'!A3:A15,'Fevereiro 2023 - Valor Real'!C3:C15,0))+1)+((L26/(L26-1)-1)*(1-_xlfn.XLOOKUP(K26,'Fevereiro 2023 - Valor Real'!A3:A15,'Fevereiro 2023 - Valor Real'!C3:C15,0))+1))),IF(I25="Lay",((L25/(L25-1)-1)*(1-_xlfn.XLOOKUP(K25,'Fevereiro 2023 - Valor Real'!A3:A15,'Fevereiro 2023 - Valor Real'!C3:C15,0))+1)/((((L25/(L25-1)-1)*(1-_xlfn.XLOOKUP(K25,'Fevereiro 2023 - Valor Real'!A3:A15,'Fevereiro 2023 - Valor Real'!C3:C15,0))+1))+((L26-1)*(1-_xlfn.XLOOKUP(K26,'Fevereiro 2023 - Valor Real'!A3:A15,'Fevereiro 2023 - Valor Real'!C3:C15,0))+1)),((L25-1)*(1-_xlfn.XLOOKUP(K25,'Fevereiro 2023 - Valor Real'!A3:A15,'Fevereiro 2023 - Valor Real'!C3:C15,0))+1)/(((L25-1)*(1-_xlfn.XLOOKUP(K25,'Fevereiro 2023 - Valor Real'!A3:A15,'Fevereiro 2023 - Valor Real'!C3:C15,0))+1)+((L26-1)*(1-_xlfn.XLOOKUP(K26,'Fevereiro 2023 - Valor Real'!A3:A15,'Fevereiro 2023 - Valor Real'!C3:C15,0))+1))))))</f>
        <v>0.75471698113207553</v>
      </c>
      <c r="AF26" s="105">
        <f t="shared" si="61"/>
        <v>0</v>
      </c>
      <c r="AG26" s="106">
        <f t="shared" si="61"/>
        <v>0</v>
      </c>
      <c r="AH26" s="106">
        <f t="shared" si="61"/>
        <v>0</v>
      </c>
      <c r="AI26" s="106">
        <f t="shared" si="61"/>
        <v>0</v>
      </c>
      <c r="AJ26" s="106">
        <f t="shared" si="61"/>
        <v>0</v>
      </c>
      <c r="AK26" s="106">
        <f t="shared" si="61"/>
        <v>0</v>
      </c>
      <c r="AL26" s="106">
        <f t="shared" si="61"/>
        <v>0</v>
      </c>
      <c r="AM26" s="106">
        <f t="shared" si="61"/>
        <v>0</v>
      </c>
      <c r="AN26" s="106">
        <f t="shared" si="61"/>
        <v>0</v>
      </c>
      <c r="AO26" s="106">
        <f t="shared" si="61"/>
        <v>0</v>
      </c>
      <c r="AP26" s="106">
        <f t="shared" si="61"/>
        <v>0</v>
      </c>
      <c r="AQ26" s="106">
        <f t="shared" si="61"/>
        <v>8.77</v>
      </c>
      <c r="AR26" s="107">
        <f t="shared" si="61"/>
        <v>0</v>
      </c>
      <c r="AS26" s="105">
        <f>IF(AND($B25=" ",$K26=AS$3),$O26,0)</f>
        <v>0</v>
      </c>
      <c r="AT26" s="106">
        <f>IF(AND($B25=" ",K26=AT$3),$O26,0)</f>
        <v>0</v>
      </c>
      <c r="AU26" s="106">
        <f t="shared" ref="AU26:BE26" si="66">IF(AND($B25=" ",$K26=AU$3),$O26,0)</f>
        <v>0</v>
      </c>
      <c r="AV26" s="106">
        <f t="shared" si="66"/>
        <v>0</v>
      </c>
      <c r="AW26" s="106">
        <f t="shared" si="66"/>
        <v>0</v>
      </c>
      <c r="AX26" s="106">
        <f t="shared" si="66"/>
        <v>0</v>
      </c>
      <c r="AY26" s="108">
        <f t="shared" si="66"/>
        <v>0</v>
      </c>
      <c r="AZ26" s="109">
        <f t="shared" si="66"/>
        <v>0</v>
      </c>
      <c r="BA26" s="109">
        <f t="shared" si="66"/>
        <v>0</v>
      </c>
      <c r="BB26" s="109">
        <f t="shared" si="66"/>
        <v>0</v>
      </c>
      <c r="BC26" s="110">
        <f t="shared" si="66"/>
        <v>0</v>
      </c>
      <c r="BD26" s="106">
        <f t="shared" si="66"/>
        <v>0</v>
      </c>
      <c r="BE26" s="107">
        <f t="shared" si="66"/>
        <v>0</v>
      </c>
      <c r="BF26" s="105">
        <f t="shared" si="63"/>
        <v>0</v>
      </c>
      <c r="BG26" s="106">
        <f t="shared" si="63"/>
        <v>0</v>
      </c>
      <c r="BH26" s="106">
        <f t="shared" si="63"/>
        <v>0</v>
      </c>
      <c r="BI26" s="106">
        <f t="shared" si="63"/>
        <v>0</v>
      </c>
      <c r="BJ26" s="106">
        <f t="shared" si="63"/>
        <v>0</v>
      </c>
      <c r="BK26" s="106">
        <f t="shared" si="63"/>
        <v>0</v>
      </c>
      <c r="BL26" s="106">
        <f t="shared" si="63"/>
        <v>0</v>
      </c>
      <c r="BM26" s="132">
        <f t="shared" si="63"/>
        <v>0</v>
      </c>
      <c r="BN26" s="112">
        <f t="shared" si="63"/>
        <v>0</v>
      </c>
      <c r="BO26" s="112">
        <f t="shared" si="63"/>
        <v>0</v>
      </c>
      <c r="BP26" s="112">
        <f t="shared" si="63"/>
        <v>0</v>
      </c>
      <c r="BQ26" s="110">
        <f t="shared" si="63"/>
        <v>20.399999999999999</v>
      </c>
      <c r="BR26" s="107">
        <f t="shared" si="63"/>
        <v>0</v>
      </c>
      <c r="BS26" s="464"/>
      <c r="BT26" s="461"/>
      <c r="BU26" s="392"/>
      <c r="BV26" s="461"/>
      <c r="BW26" s="392"/>
      <c r="BX26" s="392"/>
      <c r="BY26" s="392"/>
      <c r="BZ26" s="461"/>
      <c r="CA26" s="392"/>
      <c r="CB26" s="392"/>
      <c r="CC26" s="392"/>
      <c r="CD26" s="401"/>
      <c r="CE26" s="409"/>
      <c r="CF26" s="133">
        <f t="shared" si="4"/>
        <v>0</v>
      </c>
      <c r="CG26" s="134">
        <f t="shared" si="5"/>
        <v>0</v>
      </c>
      <c r="CH26" s="134">
        <f t="shared" si="6"/>
        <v>0</v>
      </c>
      <c r="CI26" s="134">
        <f t="shared" si="7"/>
        <v>0</v>
      </c>
      <c r="CJ26" s="134">
        <f t="shared" si="8"/>
        <v>0</v>
      </c>
      <c r="CK26" s="134">
        <f t="shared" si="9"/>
        <v>0</v>
      </c>
      <c r="CL26" s="134">
        <f t="shared" si="10"/>
        <v>0</v>
      </c>
      <c r="CM26" s="134">
        <f t="shared" si="11"/>
        <v>0</v>
      </c>
      <c r="CN26" s="134">
        <f t="shared" si="12"/>
        <v>0</v>
      </c>
      <c r="CO26" s="134">
        <f t="shared" si="13"/>
        <v>0</v>
      </c>
      <c r="CP26" s="134">
        <f t="shared" si="14"/>
        <v>0</v>
      </c>
      <c r="CQ26" s="134">
        <f t="shared" si="15"/>
        <v>0</v>
      </c>
      <c r="CR26" s="134">
        <f t="shared" si="16"/>
        <v>0</v>
      </c>
      <c r="CS26" s="134">
        <f t="shared" si="17"/>
        <v>0</v>
      </c>
      <c r="CT26" s="115">
        <f t="shared" si="18"/>
        <v>0</v>
      </c>
      <c r="CU26" s="116">
        <f t="shared" si="19"/>
        <v>0</v>
      </c>
      <c r="CV26" s="116">
        <f t="shared" si="20"/>
        <v>0</v>
      </c>
      <c r="CW26" s="116">
        <f t="shared" si="21"/>
        <v>0</v>
      </c>
      <c r="CX26" s="116">
        <f t="shared" si="22"/>
        <v>0</v>
      </c>
      <c r="CY26" s="116">
        <f t="shared" si="23"/>
        <v>0</v>
      </c>
      <c r="CZ26" s="116">
        <f t="shared" si="24"/>
        <v>0</v>
      </c>
      <c r="DA26" s="116">
        <f t="shared" si="25"/>
        <v>0</v>
      </c>
      <c r="DB26" s="116">
        <f t="shared" si="26"/>
        <v>1</v>
      </c>
      <c r="DC26" s="116">
        <f t="shared" si="27"/>
        <v>0</v>
      </c>
      <c r="DD26" s="116">
        <f t="shared" si="28"/>
        <v>0</v>
      </c>
      <c r="DE26" s="117">
        <f t="shared" si="29"/>
        <v>0</v>
      </c>
      <c r="DF26" s="118">
        <f t="shared" si="31"/>
        <v>1</v>
      </c>
      <c r="DG26" s="106">
        <f t="shared" si="32"/>
        <v>1.43</v>
      </c>
      <c r="DH26" s="116">
        <f t="shared" si="33"/>
        <v>0</v>
      </c>
      <c r="DI26" s="106">
        <f t="shared" si="34"/>
        <v>0</v>
      </c>
      <c r="DJ26" s="116">
        <f>IF($D25="","",$D25)</f>
        <v>1</v>
      </c>
      <c r="DK26" s="466"/>
    </row>
    <row r="27" spans="1:115" ht="14.5" customHeight="1" x14ac:dyDescent="0.2">
      <c r="A27" s="390"/>
      <c r="B27" s="457"/>
      <c r="C27" s="135" t="s">
        <v>53</v>
      </c>
      <c r="D27" s="375"/>
      <c r="E27" s="387"/>
      <c r="F27" s="378"/>
      <c r="G27" s="484"/>
      <c r="H27" s="477"/>
      <c r="I27" s="136"/>
      <c r="J27" s="137"/>
      <c r="K27" s="138"/>
      <c r="L27" s="139"/>
      <c r="M27" s="140"/>
      <c r="N27" s="407"/>
      <c r="O27" s="141" t="str">
        <f>IF(OR(AE25="",AE26=""),"",IF(L27&gt;0,ROUND(IF(M27&gt;0,M27,IF(M25&gt;0,ROUND((M25*AE27)/AE25,IF(N25=0,2,IF(N25=0.1,1,0))),IF(M26&gt;0,ROUND((M26*AE27)/AE26,IF(N25=0,2,IF(N25=0.1,1,0))),IF(M27&gt;0,M27,0)))),2),""))</f>
        <v/>
      </c>
      <c r="P27" s="142" t="str">
        <f>IF(I26="Lay",O26*(L26/(L26-1))-O26,IF(I25="Lay",O25*(L25/(L25-1))-O25,IF(OR(L27="",O27=""),"",IF($C27="1/2W",O27/2+O27/2*L27,IF($C27="1/2L",O27/2,(O27*L27-O27)*(1-_xlfn.XLOOKUP(K27,'Fevereiro 2023 - Valor Real'!A3:A15,'Fevereiro 2023 - Valor Real'!C3:C15,0))+O27)))))</f>
        <v/>
      </c>
      <c r="Q27" s="143" t="str">
        <f>IF(K27="","",IF(_xlfn.XLOOKUP(K27,K$4:K26,$DJ$4:DJ26,0,,-1)=DJ27,_xlfn.XLOOKUP(K27,K$4:K26,Q$4:Q26,1,,-1)+1,1))</f>
        <v/>
      </c>
      <c r="R27" s="144" t="str">
        <f>IF(K27="","",_xlfn.XLOOKUP(K27,K$4:K26,R$4:R26,0,,-1)+IF($C27=" ",1,0))</f>
        <v/>
      </c>
      <c r="S27" s="404"/>
      <c r="T27" s="378"/>
      <c r="U27" s="378"/>
      <c r="V27" s="404"/>
      <c r="W27" s="378"/>
      <c r="X27" s="453"/>
      <c r="Y27" s="383"/>
      <c r="Z27" s="384"/>
      <c r="AA27" s="384"/>
      <c r="AB27" s="384"/>
      <c r="AC27" s="384"/>
      <c r="AD27" s="145">
        <f>((L26/(L26-1)-1))</f>
        <v>2.3255813953488373</v>
      </c>
      <c r="AE27" s="146" t="str">
        <f>IF(L27="","",(SUM(((L25-1)*(1-_xlfn.XLOOKUP(K25,'Fevereiro 2023 - Valor Real'!A3:A15,'Fevereiro 2023 - Valor Real'!C3:C15,0))+1),((L26-1)*(1-_xlfn.XLOOKUP(K26,'Fevereiro 2023 - Valor Real'!A3:A15,'Fevereiro 2023 - Valor Real'!C3:C15,0))+1),((L27-1)*(1-_xlfn.XLOOKUP(K27,'Fevereiro 2023 - Valor Real'!A3:A15,'Fevereiro 2023 - Valor Real'!C3:C15,0))+1))/((L27-1)*(1-_xlfn.XLOOKUP(K27,'Fevereiro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Real'!C3:C15,0))+1))/((L25-1)*(1-_xlfn.XLOOKUP(K25,'Fevereiro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Real'!C3:C15,0))+1))/((L26-1)*(1-_xlfn.XLOOKUP(K26,'Fevereiro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Real'!C3:C15,0))+1))/((L27-1)*(1-_xlfn.XLOOKUP(K27,'Fevereiro 2023 - Valor Real'!A3:A15,'Fevereiro 2023 - Valor Real'!C3:C15,0))+1)))</f>
        <v/>
      </c>
      <c r="AF27" s="105">
        <f t="shared" si="61"/>
        <v>0</v>
      </c>
      <c r="AG27" s="106">
        <f t="shared" si="61"/>
        <v>0</v>
      </c>
      <c r="AH27" s="106">
        <f t="shared" si="61"/>
        <v>0</v>
      </c>
      <c r="AI27" s="106">
        <f t="shared" si="61"/>
        <v>0</v>
      </c>
      <c r="AJ27" s="106">
        <f t="shared" si="61"/>
        <v>0</v>
      </c>
      <c r="AK27" s="106">
        <f t="shared" si="61"/>
        <v>0</v>
      </c>
      <c r="AL27" s="106">
        <f t="shared" si="61"/>
        <v>0</v>
      </c>
      <c r="AM27" s="106">
        <f t="shared" si="61"/>
        <v>0</v>
      </c>
      <c r="AN27" s="106">
        <f t="shared" si="61"/>
        <v>0</v>
      </c>
      <c r="AO27" s="106">
        <f t="shared" si="61"/>
        <v>0</v>
      </c>
      <c r="AP27" s="106">
        <f t="shared" si="61"/>
        <v>0</v>
      </c>
      <c r="AQ27" s="106">
        <f t="shared" si="61"/>
        <v>0</v>
      </c>
      <c r="AR27" s="107">
        <f t="shared" si="61"/>
        <v>0</v>
      </c>
      <c r="AS27" s="105">
        <f>IF(AND($B25=" ",$K27=AS$3),$O27,0)</f>
        <v>0</v>
      </c>
      <c r="AT27" s="106">
        <f>IF(AND($B25=" ",K27=AT$3),$O27,0)</f>
        <v>0</v>
      </c>
      <c r="AU27" s="106">
        <f t="shared" ref="AU27:BE27" si="67">IF(AND($B25=" ",$K27=AU$3),$O27,0)</f>
        <v>0</v>
      </c>
      <c r="AV27" s="106">
        <f t="shared" si="67"/>
        <v>0</v>
      </c>
      <c r="AW27" s="106">
        <f t="shared" si="67"/>
        <v>0</v>
      </c>
      <c r="AX27" s="106">
        <f t="shared" si="67"/>
        <v>0</v>
      </c>
      <c r="AY27" s="108">
        <f t="shared" si="67"/>
        <v>0</v>
      </c>
      <c r="AZ27" s="109">
        <f t="shared" si="67"/>
        <v>0</v>
      </c>
      <c r="BA27" s="109">
        <f t="shared" si="67"/>
        <v>0</v>
      </c>
      <c r="BB27" s="109">
        <f t="shared" si="67"/>
        <v>0</v>
      </c>
      <c r="BC27" s="110">
        <f t="shared" si="67"/>
        <v>0</v>
      </c>
      <c r="BD27" s="106">
        <f t="shared" si="67"/>
        <v>0</v>
      </c>
      <c r="BE27" s="107">
        <f t="shared" si="67"/>
        <v>0</v>
      </c>
      <c r="BF27" s="105">
        <f t="shared" si="63"/>
        <v>0</v>
      </c>
      <c r="BG27" s="106">
        <f t="shared" si="63"/>
        <v>0</v>
      </c>
      <c r="BH27" s="106">
        <f t="shared" si="63"/>
        <v>0</v>
      </c>
      <c r="BI27" s="106">
        <f t="shared" si="63"/>
        <v>0</v>
      </c>
      <c r="BJ27" s="106">
        <f t="shared" si="63"/>
        <v>0</v>
      </c>
      <c r="BK27" s="106">
        <f t="shared" si="63"/>
        <v>0</v>
      </c>
      <c r="BL27" s="106">
        <f t="shared" si="63"/>
        <v>0</v>
      </c>
      <c r="BM27" s="108">
        <f t="shared" si="63"/>
        <v>0</v>
      </c>
      <c r="BN27" s="109">
        <f t="shared" si="63"/>
        <v>0</v>
      </c>
      <c r="BO27" s="109">
        <f t="shared" si="63"/>
        <v>0</v>
      </c>
      <c r="BP27" s="109">
        <f t="shared" si="63"/>
        <v>0</v>
      </c>
      <c r="BQ27" s="110">
        <f t="shared" si="63"/>
        <v>0</v>
      </c>
      <c r="BR27" s="107">
        <f t="shared" si="63"/>
        <v>0</v>
      </c>
      <c r="BS27" s="464"/>
      <c r="BT27" s="461"/>
      <c r="BU27" s="392"/>
      <c r="BV27" s="461"/>
      <c r="BW27" s="392"/>
      <c r="BX27" s="392"/>
      <c r="BY27" s="392"/>
      <c r="BZ27" s="461"/>
      <c r="CA27" s="392"/>
      <c r="CB27" s="392"/>
      <c r="CC27" s="392"/>
      <c r="CD27" s="401"/>
      <c r="CE27" s="409"/>
      <c r="CF27" s="133">
        <f t="shared" si="4"/>
        <v>0</v>
      </c>
      <c r="CG27" s="134">
        <f t="shared" si="5"/>
        <v>0</v>
      </c>
      <c r="CH27" s="134">
        <f t="shared" si="6"/>
        <v>0</v>
      </c>
      <c r="CI27" s="134">
        <f t="shared" si="7"/>
        <v>0</v>
      </c>
      <c r="CJ27" s="134">
        <f t="shared" si="8"/>
        <v>0</v>
      </c>
      <c r="CK27" s="134">
        <f t="shared" si="9"/>
        <v>0</v>
      </c>
      <c r="CL27" s="134">
        <f t="shared" si="10"/>
        <v>0</v>
      </c>
      <c r="CM27" s="134">
        <f t="shared" si="11"/>
        <v>0</v>
      </c>
      <c r="CN27" s="134">
        <f t="shared" si="12"/>
        <v>0</v>
      </c>
      <c r="CO27" s="134">
        <f t="shared" si="13"/>
        <v>0</v>
      </c>
      <c r="CP27" s="134">
        <f t="shared" si="14"/>
        <v>0</v>
      </c>
      <c r="CQ27" s="134">
        <f t="shared" si="15"/>
        <v>0</v>
      </c>
      <c r="CR27" s="134">
        <f t="shared" si="16"/>
        <v>0</v>
      </c>
      <c r="CS27" s="134">
        <f t="shared" si="17"/>
        <v>0</v>
      </c>
      <c r="CT27" s="115">
        <f t="shared" si="18"/>
        <v>0</v>
      </c>
      <c r="CU27" s="116">
        <f t="shared" si="19"/>
        <v>0</v>
      </c>
      <c r="CV27" s="116">
        <f t="shared" si="20"/>
        <v>0</v>
      </c>
      <c r="CW27" s="116">
        <f t="shared" si="21"/>
        <v>0</v>
      </c>
      <c r="CX27" s="116">
        <f t="shared" si="22"/>
        <v>0</v>
      </c>
      <c r="CY27" s="116">
        <f t="shared" si="23"/>
        <v>0</v>
      </c>
      <c r="CZ27" s="116">
        <f t="shared" si="24"/>
        <v>0</v>
      </c>
      <c r="DA27" s="116">
        <f t="shared" si="25"/>
        <v>0</v>
      </c>
      <c r="DB27" s="116">
        <f t="shared" si="26"/>
        <v>0</v>
      </c>
      <c r="DC27" s="116">
        <f t="shared" si="27"/>
        <v>0</v>
      </c>
      <c r="DD27" s="116">
        <f t="shared" si="28"/>
        <v>0</v>
      </c>
      <c r="DE27" s="117">
        <f t="shared" si="29"/>
        <v>0</v>
      </c>
      <c r="DF27" s="118">
        <f t="shared" si="31"/>
        <v>1</v>
      </c>
      <c r="DG27" s="106">
        <f t="shared" si="32"/>
        <v>1.43</v>
      </c>
      <c r="DH27" s="116">
        <f t="shared" si="33"/>
        <v>0</v>
      </c>
      <c r="DI27" s="106">
        <f t="shared" si="34"/>
        <v>0</v>
      </c>
      <c r="DJ27" s="116">
        <f>IF($D25="","",$D25)</f>
        <v>1</v>
      </c>
      <c r="DK27" s="466"/>
    </row>
    <row r="28" spans="1:115" ht="14.5" customHeight="1" x14ac:dyDescent="0.2">
      <c r="A28" s="487">
        <f>$A25+1</f>
        <v>9</v>
      </c>
      <c r="B28" s="506" t="str">
        <f>IF(OR(C28="W",C29="W",C30="W",C28="1/2W",C29="1/2W",C30="1/2W",C28="1/2L",C29="1/2L",C30="1/2L"),"OK",IF(OR(C28="L",C29="L",C30="L"),"LOSS",IF(OR(C28="X",C29="X",C30="X"),"Anulado"," ")))</f>
        <v>OK</v>
      </c>
      <c r="C28" s="147" t="s">
        <v>55</v>
      </c>
      <c r="D28" s="495">
        <f>IF(G28="","",$D25)</f>
        <v>1</v>
      </c>
      <c r="E28" s="511" t="str">
        <f>IF(G28=""," ","– "&amp;COUNTIF(D$4:D30,$D28))</f>
        <v>– 9</v>
      </c>
      <c r="F28" s="510" t="str">
        <f ca="1">IF(G28="","",IF(OR(AND($C28&lt;&gt;" ",$C29=" "),AND($C29&lt;&gt;" ",$C28=" "),AND(L30&gt;0,OR(AND($C30&lt;&gt;" ",OR($C28=" ",$C29=" ")),AND($C30=" ",OR($C28&lt;&gt;" ",$C29&lt;&gt;" "))))),IF(SUM(F$4:F27)=0,1,LARGE(F$4:F27,1)+1),IF(MONTH(G28)=MONTH(TODAY()),IF(AND(DAY(G28)&lt;DAY(TODAY()),$B28=" "),IF(SUM(F$4:F27)=0,1,LARGE(F$4:F27,1)+1),IF($B28=" ",IF(AND(DAY(G28)=DAY(TODAY()),HOUR(G28)&lt;=HOUR(NOW())+1),IF(AND(HOUR(G28)+2&lt;=HOUR(NOW()),DAY(G28)&lt;=DAY(TODAY()),MINUTE(G28)&lt;=MINUTE(NOW())),IF(SUM(F$4:F27)=0,1,LARGE(F$4:F27,1)+1),IF(OR(MINUTE(G28)&lt;=MINUTE(NOW()),HOUR(G28)&lt;=HOUR(NOW())),"!!!","")),""),"")),"")))</f>
        <v/>
      </c>
      <c r="G28" s="508">
        <f>IF(H28="","",_xlfn.XLOOKUP(H28,$H$4:H27,$G$4:G27,""))</f>
        <v>44989.5</v>
      </c>
      <c r="H28" s="502" t="s">
        <v>58</v>
      </c>
      <c r="I28" s="148">
        <v>1</v>
      </c>
      <c r="J28" s="149"/>
      <c r="K28" s="150" t="s">
        <v>40</v>
      </c>
      <c r="L28" s="151">
        <v>15</v>
      </c>
      <c r="M28" s="152">
        <v>1.61</v>
      </c>
      <c r="N28" s="503">
        <v>0</v>
      </c>
      <c r="O28" s="153">
        <f>IF(OR(AE28="",AE29=""),"",ROUND(IF(L30&gt;0,IF(M28&gt;0,M28,IF(M29&gt;0,ROUND((M29*AE28)/AE29,IF(N28=0,2,IF(N28=0.1,1,0))),ROUND((M30*AE28)/AE30,IF(N28=0,2,IF(N28=0.1,1,0))))),IF(M28&gt;0,M28,ROUND((M29*AE28)/AE29,IF(N28=0,2,IF(N28=0.1,1,0))))),2))</f>
        <v>1.61</v>
      </c>
      <c r="P28" s="154">
        <f>IF(OR(L28="",O28=""),"",IF($C28="1/2W",O28/2+O28/2*L28,IF($C28="1/2L",O28/2,IF(I28="Lay",(O28*(L28/(L28-1))-O28)*(1-_xlfn.XLOOKUP(K28,'Fevereiro 2023 - Valor Real'!A3:A15,'Fevereiro 2023 - Valor Real'!C3:C15,0))+O28,(O28*L28-O28)*(1-_xlfn.XLOOKUP(K28,'Fevereiro 2023 - Valor Real'!A3:A15,'Fevereiro 2023 - Valor Real'!C3:C15,0))+O28))))</f>
        <v>24.150000000000002</v>
      </c>
      <c r="Q28" s="155">
        <f>IF(K28="","",IF(_xlfn.XLOOKUP(K28,K$4:K27,$DJ$4:DJ27,0,,-1)=DJ28,_xlfn.XLOOKUP(K28,K$4:K27,Q$4:Q27,1,,-1)+1,1))</f>
        <v>6</v>
      </c>
      <c r="R28" s="156">
        <f>IF(K28="","",_xlfn.XLOOKUP(K28,K$4:K27,R$4:R27,0,,-1)+IF($C28=" ",1,0))</f>
        <v>0</v>
      </c>
      <c r="S28" s="501">
        <f>IF($B28="Anulado",0,ROUND(IF(OR($B28="LOSS",$B28="OK"),IF(OR($C28="W",$C28="1/2W",$C28="1/2L"),P28-O28,IF($C28="L",-O28,0))+IF(OR($C29="W",$C29="1/2W",$C29="1/2L"),P29-O29,IF($C29="L",-O29,0))+IF(OR($C30="W",$C30="1/2W",$C30="1/2L"),P30-O30,IF($C30="L",-O30,0)),IF(AND(OR($C28="W",$C28="1/2W",$C28="1/2L"),C29="W"),P28+P29-SUM(O28:O30)+_xlfn.XLOOKUP("X",C28:C30,O28:O30,0),IF(AND(C28=TRUE,C30="W"),P28+P30-SUM(O28:O30),IF(AND(C29="W",C30="W"),P29+P30-SUM(O28:O30)+_xlfn.XLOOKUP("X",C28:C30,O28:O30,0),IF(L30&gt;0,IF(OR($C28="W",$C28="1/2W",$C28="1/2L"),P28-SUM(O28:O30)+_xlfn.XLOOKUP("X",C28:C30,O28:O30,0),IF(OR($C28="W",$C28="1/2W",$C28="1/2L"),P29-SUM(O28:O30)+_xlfn.XLOOKUP("X",C28:C30,O28:O30,0),IF(OR($C28="W",$C28="1/2W",$C28="1/2L"),P30-SUM(O28:O30)+_xlfn.XLOOKUP("X",C28:C30,O28:O30,0),IF(SUM(P28:P30)/3-SUM(O28:O30)+_xlfn.XLOOKUP("X",C28:C30,O28:O30,0)&gt;0,SUM(P28:P30)/3-SUM(O28:O30)+_xlfn.XLOOKUP("X",C28:C30,O28:O30,0),LARGE(P28:P30,1)-SUM(O28:O30))))),IF(OR($C28="W",$C28="1/2W",$C28="1/2L"),P28-SUM(O28:O29)+_xlfn.XLOOKUP("X",C28:C30,O28:O30,0),IF(OR($C28="W",$C28="1/2W",$C28="1/2L"),P29-SUM(O28:O29)+_xlfn.XLOOKUP("X",C28:C30,O28:O30,0),SUM(P28:P29)/2-SUM(O28:O29)+_xlfn.XLOOKUP("X",C28:C30,O28:O30,0)))))))),2))</f>
        <v>1.8</v>
      </c>
      <c r="T28" s="486">
        <f>IF(S28=0,0,S28/SUM(O28:O30))</f>
        <v>7.9964460239893384E-2</v>
      </c>
      <c r="U28" s="496">
        <f>IF($D28=$D25,IF(OR($B28="LOSS",$B28="OK",$B28="Anulada"),S28,0)+U25,IF(OR($B28="LOSS",$B28="OK",$B28="Anulada"),S28,0))</f>
        <v>15.450000000000001</v>
      </c>
      <c r="V28" s="496">
        <f>IF($D28="",0,IF($D28=$D25,IF($B28=" ",IF(I30="",IF(OR(AND(I28="DNB1",I29="DNB2"),AND(OR(I28="DNB1",I28="DNB2"),J29=0),AND(OR(I29="DNB1",I29="DNB2"),J28=0),AND(I28="DNB2",I29="DNB1"),AND(IF(J28=0,(J28+1)/ROUND(J28+1,0),J28/ROUND(J28,0))=1,IF(J29=0,(J29+1)/ROUND(IF(J29="",0,J29)+1,0),IF(J29="",0,J29)/ROUND(IF(J29="",1,J29),0))=1,OR(J28&lt;&gt;""),J29&lt;&gt;"")),0,IF(S28&lt;0,IF(I30="",SMALL(P28:P29,1)-SUM(O28:O29),0),SMALL(P28:P29,1)-SUM(O28:O29))),IF(S28&lt;0,IF(I30="",SMALL(P28:P30,1)-SUM(O28:O30),0),LARGE(P28:P30,1)-SUM(O28:O30))),S28)+V25,IF(I30="",IF(OR(AND(I28="DNB1",I29="DNB2"),AND(OR(I28="DNB1",I28="DNB2"),J29=0),AND(OR(I29="DNB1",I29="DNB2"),J28=0),AND(I28="DNB2",I29="DNB1"),AND(IF(J28=0,(J28+1)/ROUND(J28+1,0),J28/ROUND(J28,0))=1,IF(J29=0,(IF(J29="",0,J29)+1)/ROUND(IF(J29="",0,J29)+1,0),IF(J29="",0,J29)/ROUND(IF(J29="",0,J29)+1,0))=1,OR(J28&lt;&gt;""),J29&lt;&gt;"")),0,IF(S28&lt;0,IF(I30="",SMALL(P28:P29,1)-SUM(O28:O29),0),SMALL(P28:P30,1)-SUM(O28:O30))),IF(S28&lt;0,IF(I30="",SMALL(P28:P30,1)-SUM(O28:O30),0),LARGE(P28:P30,1)-SUM(O28:O30)))))</f>
        <v>15.450000000000001</v>
      </c>
      <c r="W28" s="496">
        <f>IF($D28=$D25,IF(S28&lt;0,IF(I30="",S28,0),S28)+W25,S28)</f>
        <v>15.450000000000001</v>
      </c>
      <c r="X28" s="505" t="str">
        <f>IF(OR(SUM(R28:R30)=0,V28=W28),ROUND(IF(W28=0,0,W28/Y28)*100,2)&amp;"%",ROUND(IF(V28=0,0,V28/Y28)*100,2)&amp;"% a "&amp;ROUND(IF(W28=0,0,W28/Y28)*100,2)&amp;"%")</f>
        <v>5,16%</v>
      </c>
      <c r="Y28" s="497">
        <f>IF($D28=$D25,Y25+SUM(O28:O30),SUM(O28:O30))</f>
        <v>299.52999999999997</v>
      </c>
      <c r="Z28" s="496">
        <f>IF($B28=" ",SUM(O28:O30),0)+Z25</f>
        <v>0</v>
      </c>
      <c r="AA28" s="496">
        <f>IF(G28="","",IF($B28="Anulado",LARGE(P28:P30,1)-SUM(O28:O30)+AA25,AA25))</f>
        <v>0.45899999999999785</v>
      </c>
      <c r="AB28" s="496">
        <f>IF($D28="","",AB25+S28)</f>
        <v>15.450000000000001</v>
      </c>
      <c r="AC28" s="499">
        <f ca="1">IF($D28="","",IF($B28=" ",IF(DAY(G28)=DAY(TODAY()),1+AC25,0+AC25),0+AC25))</f>
        <v>0</v>
      </c>
      <c r="AD28" s="157">
        <f>(1-_xlfn.XLOOKUP(K26,'Fevereiro 2023 - Valor Real'!A3:A15,'Fevereiro 2023 - Valor Real'!C3:C15,0))+1</f>
        <v>2</v>
      </c>
      <c r="AE28" s="158">
        <f>IF(L28="","",IF(L30&gt;0,(SUM(((L28-1)*(1-_xlfn.XLOOKUP(K28,'Fevereiro 2023 - Valor Real'!A3:A15,'Fevereiro 2023 - Valor Real'!C3:C15,0))+1),((L29-1)*(1-_xlfn.XLOOKUP(K29,'Fevereiro 2023 - Valor Real'!A3:A15,'Fevereiro 2023 - Valor Real'!C3:C15,0))+1),((L30-1)*(1-_xlfn.XLOOKUP(K30,'Fevereiro 2023 - Valor Real'!A3:A15,'Fevereiro 2023 - Valor Real'!C3:C15,0))+1))/((L28-1)*(1-_xlfn.XLOOKUP(K28,'Fevereiro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Real'!C3:C15,0))+1))/((L28-1)*(1-_xlfn.XLOOKUP(K28,'Fevereiro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Real'!C3:C15,0))+1))/((L29-1)*(1-_xlfn.XLOOKUP(K29,'Fevereiro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Real'!C3:C15,0))+1))/((L30-1)*(1-_xlfn.XLOOKUP(K30,'Fevereiro 2023 - Valor Real'!A3:A15,'Fevereiro 2023 - Valor Real'!C3:C15,0))+1)),IF(I28="Lay",IF(I29="Lay",((L29/(L29-1)-1)*(1-_xlfn.XLOOKUP(K29,'Fevereiro 2023 - Valor Real'!A3:A15,'Fevereiro 2023 - Valor Real'!C3:C15,0))+1)/(((L29/(L29-1)-1)*(1-_xlfn.XLOOKUP(K29,'Fevereiro 2023 - Valor Real'!A3:A15,'Fevereiro 2023 - Valor Real'!C3:C15,0))+1)+((L28/(L28-1)-1)*(1-_xlfn.XLOOKUP(K28,'Fevereiro 2023 - Valor Real'!A3:A15,'Fevereiro 2023 - Valor Real'!C3:C15,0))+1)),((L29-1)*(1-_xlfn.XLOOKUP(K29,'Fevereiro 2023 - Valor Real'!A3:A15,'Fevereiro 2023 - Valor Real'!C3:C15,0))+1)/(((L29-1)*(1-_xlfn.XLOOKUP(K29,'Fevereiro 2023 - Valor Real'!A3:A15,'Fevereiro 2023 - Valor Real'!C3:C15,0))+1)+((L28/(L28-1)-1)*(1-_xlfn.XLOOKUP(K28,'Fevereiro 2023 - Valor Real'!A3:A15,'Fevereiro 2023 - Valor Real'!C3:C15,0))+1))),IF(I29="Lay",(((L29/(L29-1)-1)*(1-_xlfn.XLOOKUP(K29,'Fevereiro 2023 - Valor Real'!A3:A15,'Fevereiro 2023 - Valor Real'!C3:C15,0))+1))/(((L28-1)*(1-_xlfn.XLOOKUP(K28,'Fevereiro 2023 - Valor Real'!A3:A15,'Fevereiro 2023 - Valor Real'!C3:C15,0))+1)+((L29/(L29-1)-1)*(1-_xlfn.XLOOKUP(K29,'Fevereiro 2023 - Valor Real'!A3:A15,'Fevereiro 2023 - Valor Real'!C3:C15,0))+1)),((L29-1)*(1-_xlfn.XLOOKUP(K29,'Fevereiro 2023 - Valor Real'!A3:A15,'Fevereiro 2023 - Valor Real'!C3:C15,0))+1)/(((L29-1)*(1-_xlfn.XLOOKUP(K29,'Fevereiro 2023 - Valor Real'!A3:A15,'Fevereiro 2023 - Valor Real'!C3:C15,0))+1)+((L28-1)*(1-_xlfn.XLOOKUP(K28,'Fevereiro 2023 - Valor Real'!A3:A15,'Fevereiro 2023 - Valor Real'!C3:C15,0))+1))))))</f>
        <v>7.1896590872230687E-2</v>
      </c>
      <c r="AF28" s="66">
        <f t="shared" si="61"/>
        <v>0</v>
      </c>
      <c r="AG28" s="67">
        <f t="shared" si="61"/>
        <v>0</v>
      </c>
      <c r="AH28" s="67">
        <f t="shared" si="61"/>
        <v>0</v>
      </c>
      <c r="AI28" s="67">
        <f t="shared" si="61"/>
        <v>0</v>
      </c>
      <c r="AJ28" s="67">
        <f t="shared" si="61"/>
        <v>-1.61</v>
      </c>
      <c r="AK28" s="67">
        <f t="shared" si="61"/>
        <v>0</v>
      </c>
      <c r="AL28" s="67">
        <f t="shared" si="61"/>
        <v>0</v>
      </c>
      <c r="AM28" s="67">
        <f t="shared" si="61"/>
        <v>0</v>
      </c>
      <c r="AN28" s="67">
        <f t="shared" si="61"/>
        <v>0</v>
      </c>
      <c r="AO28" s="67">
        <f t="shared" si="61"/>
        <v>0</v>
      </c>
      <c r="AP28" s="67">
        <f t="shared" si="61"/>
        <v>0</v>
      </c>
      <c r="AQ28" s="67">
        <f t="shared" si="61"/>
        <v>0</v>
      </c>
      <c r="AR28" s="68">
        <f t="shared" si="61"/>
        <v>0</v>
      </c>
      <c r="AS28" s="66">
        <f t="shared" ref="AS28:BE28" si="68">IF(AND($B28=" ",$K28=AS$3),$O28,0)</f>
        <v>0</v>
      </c>
      <c r="AT28" s="67">
        <f t="shared" si="68"/>
        <v>0</v>
      </c>
      <c r="AU28" s="67">
        <f t="shared" si="68"/>
        <v>0</v>
      </c>
      <c r="AV28" s="67">
        <f t="shared" si="68"/>
        <v>0</v>
      </c>
      <c r="AW28" s="67">
        <f t="shared" si="68"/>
        <v>0</v>
      </c>
      <c r="AX28" s="67">
        <f t="shared" si="68"/>
        <v>0</v>
      </c>
      <c r="AY28" s="69">
        <f t="shared" si="68"/>
        <v>0</v>
      </c>
      <c r="AZ28" s="70">
        <f t="shared" si="68"/>
        <v>0</v>
      </c>
      <c r="BA28" s="70">
        <f t="shared" si="68"/>
        <v>0</v>
      </c>
      <c r="BB28" s="70">
        <f t="shared" si="68"/>
        <v>0</v>
      </c>
      <c r="BC28" s="71">
        <f t="shared" si="68"/>
        <v>0</v>
      </c>
      <c r="BD28" s="67">
        <f t="shared" si="68"/>
        <v>0</v>
      </c>
      <c r="BE28" s="68">
        <f t="shared" si="68"/>
        <v>0</v>
      </c>
      <c r="BF28" s="66">
        <f t="shared" si="63"/>
        <v>0</v>
      </c>
      <c r="BG28" s="67">
        <f t="shared" si="63"/>
        <v>0</v>
      </c>
      <c r="BH28" s="67">
        <f t="shared" si="63"/>
        <v>0</v>
      </c>
      <c r="BI28" s="67">
        <f t="shared" si="63"/>
        <v>0</v>
      </c>
      <c r="BJ28" s="67">
        <f t="shared" si="63"/>
        <v>1.61</v>
      </c>
      <c r="BK28" s="67">
        <f t="shared" si="63"/>
        <v>0</v>
      </c>
      <c r="BL28" s="67">
        <f t="shared" si="63"/>
        <v>0</v>
      </c>
      <c r="BM28" s="69">
        <f t="shared" si="63"/>
        <v>0</v>
      </c>
      <c r="BN28" s="70">
        <f t="shared" si="63"/>
        <v>0</v>
      </c>
      <c r="BO28" s="70">
        <f t="shared" si="63"/>
        <v>0</v>
      </c>
      <c r="BP28" s="70">
        <f t="shared" si="63"/>
        <v>0</v>
      </c>
      <c r="BQ28" s="71">
        <f t="shared" si="63"/>
        <v>0</v>
      </c>
      <c r="BR28" s="68">
        <f t="shared" si="63"/>
        <v>0</v>
      </c>
      <c r="BS28" s="490">
        <f>IF($B28="LOSS",IF(AND($K28=BS$3,$C28="L"),-$O28,0)+IF(AND($K29=BS$3,$C29="L"),-$O29,0)+IF(AND($K30=BS$3,$C30="L"),-$O30,0),IF(OR(AND($K28=BS$3,OR($C28="W",$C28="1/2W")),AND($K29=BS$3,OR($C29="W",$C29="1/2W")),AND($K30=BS$3,OR($C30="W",$C30="1/2W"))),$S28,0))</f>
        <v>0</v>
      </c>
      <c r="BT28" s="498">
        <f>IF($B28="LOSS",IF(AND($K28=BT$3,$C28="L"),-$O28,0)+IF(AND($K29=BT$3,$C29="L"),-$O29,0)+IF(AND($K29=BT$3,$C30="L"),-$O30,0),IF(OR(AND($K29=BT$3,OR($C28="W",$C28="1/2W")),AND($K29=BT$3,OR($C29="W",$C29="1/2W")),AND($K29=BT$3,OR($C30="W",$C30="1/2W"))),$S28,0))</f>
        <v>0</v>
      </c>
      <c r="BU28" s="488">
        <f>IF($B28="LOSS",IF(AND($K28=BU$3,$C28="L"),-$O28,0)+IF(AND($K29=BU$3,$C29="L"),-$O29,0)+IF(AND($K29=BU$3,$C30="L"),-$O30,0),IF(OR(AND($K29=BU$3,OR($C28="W",$C28="1/2W")),AND($K29=BU$3,OR($C29="W",$C29="1/2W")),AND($K29=BU$3,OR($C30="W",$C30="1/2W"))),$S28,0))</f>
        <v>0</v>
      </c>
      <c r="BV28" s="488">
        <f t="shared" ref="BV28:CE28" si="69">IF($B28="LOSS",IF(AND($K28=BV$3,$C28="L"),-$O28,0)+IF(AND($K29=BV$3,$C29="L"),-$O29,0)+IF(AND($K30=BV$3,$C30="L"),-$O30,0),IF(OR(AND($K28=BV$3,OR($C28="W",$C28="1/2W")),AND($K29=BV$3,OR($C29="W",$C29="1/2W")),AND($K30=BV$3,OR($C30="W",$C30="1/2W"))),$S28,0))</f>
        <v>0</v>
      </c>
      <c r="BW28" s="488">
        <f t="shared" si="69"/>
        <v>0</v>
      </c>
      <c r="BX28" s="488">
        <f t="shared" si="69"/>
        <v>0</v>
      </c>
      <c r="BY28" s="488">
        <f t="shared" si="69"/>
        <v>0</v>
      </c>
      <c r="BZ28" s="488">
        <f t="shared" si="69"/>
        <v>0</v>
      </c>
      <c r="CA28" s="488">
        <f t="shared" si="69"/>
        <v>0</v>
      </c>
      <c r="CB28" s="488">
        <f t="shared" si="69"/>
        <v>0</v>
      </c>
      <c r="CC28" s="488">
        <f t="shared" si="69"/>
        <v>0</v>
      </c>
      <c r="CD28" s="500">
        <f t="shared" si="69"/>
        <v>1.8</v>
      </c>
      <c r="CE28" s="504">
        <f t="shared" si="69"/>
        <v>0</v>
      </c>
      <c r="CF28" s="160">
        <f t="shared" si="4"/>
        <v>0</v>
      </c>
      <c r="CG28" s="161">
        <f t="shared" si="5"/>
        <v>0</v>
      </c>
      <c r="CH28" s="161">
        <f t="shared" si="6"/>
        <v>0</v>
      </c>
      <c r="CI28" s="161">
        <f t="shared" si="7"/>
        <v>0</v>
      </c>
      <c r="CJ28" s="161">
        <f t="shared" si="8"/>
        <v>0</v>
      </c>
      <c r="CK28" s="161">
        <f t="shared" si="9"/>
        <v>0</v>
      </c>
      <c r="CL28" s="161">
        <f t="shared" si="10"/>
        <v>0</v>
      </c>
      <c r="CM28" s="161">
        <f t="shared" si="11"/>
        <v>0</v>
      </c>
      <c r="CN28" s="161">
        <f t="shared" si="12"/>
        <v>0</v>
      </c>
      <c r="CO28" s="161">
        <f t="shared" si="13"/>
        <v>1</v>
      </c>
      <c r="CP28" s="161">
        <f t="shared" si="14"/>
        <v>0</v>
      </c>
      <c r="CQ28" s="161">
        <f t="shared" si="15"/>
        <v>0</v>
      </c>
      <c r="CR28" s="161">
        <f t="shared" si="16"/>
        <v>0</v>
      </c>
      <c r="CS28" s="161">
        <f t="shared" si="17"/>
        <v>0</v>
      </c>
      <c r="CT28" s="75">
        <f t="shared" si="18"/>
        <v>0</v>
      </c>
      <c r="CU28" s="76">
        <f t="shared" si="19"/>
        <v>0</v>
      </c>
      <c r="CV28" s="76">
        <f t="shared" si="20"/>
        <v>0</v>
      </c>
      <c r="CW28" s="76">
        <f t="shared" si="21"/>
        <v>0</v>
      </c>
      <c r="CX28" s="76">
        <f t="shared" si="22"/>
        <v>0</v>
      </c>
      <c r="CY28" s="76">
        <f t="shared" si="23"/>
        <v>0</v>
      </c>
      <c r="CZ28" s="76">
        <f t="shared" si="24"/>
        <v>0</v>
      </c>
      <c r="DA28" s="76">
        <f t="shared" si="25"/>
        <v>0</v>
      </c>
      <c r="DB28" s="76">
        <f t="shared" si="26"/>
        <v>0</v>
      </c>
      <c r="DC28" s="76">
        <f t="shared" si="27"/>
        <v>0</v>
      </c>
      <c r="DD28" s="76">
        <f t="shared" si="28"/>
        <v>0</v>
      </c>
      <c r="DE28" s="77">
        <f t="shared" si="29"/>
        <v>0</v>
      </c>
      <c r="DF28" s="73">
        <f t="shared" si="31"/>
        <v>1</v>
      </c>
      <c r="DG28" s="67">
        <f t="shared" si="32"/>
        <v>1.43</v>
      </c>
      <c r="DH28" s="76">
        <f t="shared" si="33"/>
        <v>0</v>
      </c>
      <c r="DI28" s="67">
        <f t="shared" si="34"/>
        <v>0</v>
      </c>
      <c r="DJ28" s="76">
        <f>IF($D28="","",$D28)</f>
        <v>1</v>
      </c>
      <c r="DK28" s="492">
        <f>IF(AND($B28=" ",$D28&lt;&gt;""),1,0)</f>
        <v>0</v>
      </c>
    </row>
    <row r="29" spans="1:115" ht="14.5" customHeight="1" x14ac:dyDescent="0.2">
      <c r="A29" s="389"/>
      <c r="B29" s="456"/>
      <c r="C29" s="53" t="s">
        <v>55</v>
      </c>
      <c r="D29" s="374"/>
      <c r="E29" s="386"/>
      <c r="F29" s="377"/>
      <c r="G29" s="508"/>
      <c r="H29" s="476"/>
      <c r="I29" s="182" t="s">
        <v>49</v>
      </c>
      <c r="J29" s="163" t="str">
        <f>IF(OR(I28="TO",I28="TU",I28="TO1",I28="TU1",I28="TO2",I28="TU2"),J28,IF(OR(I28="AH1",I28="AH2"),IF(OR(I29="AH1",I29="AH2"),-J28,IF(OR(I29="EH1",I29="EH2"),-J28+0.5,"")),IF(OR(I28="EH1",I28="EH2"),IF(OR(I29="AH1",I29="AH2"),-J28+0.5,IF(OR(I29="EH1",I29="EH2"),-J28+1,"")),IF(AND(OR(I28="DNB1",I28="DNB2"),OR(I29="AH1",I29="AH2")),0,IF(AND(I28="Not ScoreBoth",OR(I29="TO1",I29="TO2")),0.5,"")))))</f>
        <v/>
      </c>
      <c r="K29" s="57" t="s">
        <v>40</v>
      </c>
      <c r="L29" s="164">
        <v>6.2</v>
      </c>
      <c r="M29" s="165"/>
      <c r="N29" s="406"/>
      <c r="O29" s="60">
        <f>IF(OR(AE28="",AE29=""),"",ROUND(IF(L30&gt;0,IF(M29&gt;0,M29,IF(M28&gt;0,IF(N28=TRUE,ROUND((M28*AE29)/AE28,0),(M28*AE29)/AE28),IF(M29&gt;0,ROUND(M29,IF(N28=0,2,IF(N28=0.1,1,0))),IF(M30&gt;0,ROUND(O30*AE29/AE30,IF(N28=0,2,IF(N28=0.1,1,0))),0)))),IF(M29&gt;0,M29,ROUND((M28*AE29)/AE28,IF(N28=0,2,IF(N28=0.1,1,0))))),2))</f>
        <v>3.9</v>
      </c>
      <c r="P29" s="61">
        <f>IF(OR(L29="",O29=""),"",IF($C29="1/2W",O29/2+O29/2*L29,IF($C29="1/2L",O29/2,IF(I29="Lay",((O29*(L29/(L29-1)))-O29)*(1-_xlfn.XLOOKUP(K29,'Fevereiro 2023 - Valor Real'!A3:A15,'Fevereiro 2023 - Valor Real'!C3:C15,0))+O29,(O29*L29-O29)*(1-_xlfn.XLOOKUP(K29,'Fevereiro 2023 - Valor Real'!A3:A15,'Fevereiro 2023 - Valor Real'!C3:C15,0))+O29))))</f>
        <v>24.18</v>
      </c>
      <c r="Q29" s="166">
        <f>IF(K29="","",IF(_xlfn.XLOOKUP(K29,K$4:K28,$DJ$4:DJ28,0,,-1)=DJ29,_xlfn.XLOOKUP(K29,K$4:K28,Q$4:Q28,1,,-1)+1,1))</f>
        <v>7</v>
      </c>
      <c r="R29" s="167">
        <f>IF(K29="","",_xlfn.XLOOKUP(K29,K$4:K28,R$4:R28,0,,-1)+IF($C29=" ",1,0))</f>
        <v>0</v>
      </c>
      <c r="S29" s="403"/>
      <c r="T29" s="380"/>
      <c r="U29" s="380"/>
      <c r="V29" s="481"/>
      <c r="W29" s="380"/>
      <c r="X29" s="452"/>
      <c r="Y29" s="383"/>
      <c r="Z29" s="384"/>
      <c r="AA29" s="384"/>
      <c r="AB29" s="384"/>
      <c r="AC29" s="384"/>
      <c r="AD29" s="64"/>
      <c r="AE29" s="65">
        <f>IF(L29="","",IF(L30&gt;0,(SUM(((L28-1)*(1-_xlfn.XLOOKUP(K28,'Fevereiro 2023 - Valor Real'!A3:A15,'Fevereiro 2023 - Valor Real'!C3:C15,0))+1),((L29-1)*(1-_xlfn.XLOOKUP(K29,'Fevereiro 2023 - Valor Real'!A3:A15,'Fevereiro 2023 - Valor Real'!C3:C15,0))+1),((L30-1)*(1-_xlfn.XLOOKUP(K30,'Fevereiro 2023 - Valor Real'!A3:A15,'Fevereiro 2023 - Valor Real'!C3:C15,0))+1))/((L29-1)*(1-_xlfn.XLOOKUP(K29,'Fevereiro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Real'!C3:C15,0))+1))/((L28-1)*(1-_xlfn.XLOOKUP(K28,'Fevereiro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Real'!C3:C15,0))+1))/((L29-1)*(1-_xlfn.XLOOKUP(K29,'Fevereiro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Real'!C3:C15,0))+1))/((L30-1)*(1-_xlfn.XLOOKUP(K30,'Fevereiro 2023 - Valor Real'!A3:A15,'Fevereiro 2023 - Valor Real'!C3:C15,0))+1)),IF(I29="Lay",IF(I28="Lay",((L28/(L28-1)-1)*(1-_xlfn.XLOOKUP(K28,'Fevereiro 2023 - Valor Real'!A3:A15,'Fevereiro 2023 - Valor Real'!C3:C15,0))+1)/(((L28/(L28-1)-1)*(1-_xlfn.XLOOKUP(K28,'Fevereiro 2023 - Valor Real'!A3:A15,'Fevereiro 2023 - Valor Real'!C3:C15,0))+1)+((L29/(L29-1)-1)*(1-_xlfn.XLOOKUP(K29,'Fevereiro 2023 - Valor Real'!A3:A15,'Fevereiro 2023 - Valor Real'!C3:C15,0))+1)),((L28-1)*(1-_xlfn.XLOOKUP(K28,'Fevereiro 2023 - Valor Real'!A3:A15,'Fevereiro 2023 - Valor Real'!C3:C15,0))+1)/(((L28-1)*(1-_xlfn.XLOOKUP(K28,'Fevereiro 2023 - Valor Real'!A3:A15,'Fevereiro 2023 - Valor Real'!C3:C15,0))+1)+((L29/(L29-1)-1)*(1-_xlfn.XLOOKUP(K29,'Fevereiro 2023 - Valor Real'!A3:A15,'Fevereiro 2023 - Valor Real'!C3:C15,0))+1))),IF(I28="Lay",((L28/(L28-1)-1)*(1-_xlfn.XLOOKUP(K28,'Fevereiro 2023 - Valor Real'!A3:A15,'Fevereiro 2023 - Valor Real'!C3:C15,0))+1)/((((L28/(L28-1)-1)*(1-_xlfn.XLOOKUP(K28,'Fevereiro 2023 - Valor Real'!A3:A15,'Fevereiro 2023 - Valor Real'!C3:C15,0))+1))+((L29-1)*(1-_xlfn.XLOOKUP(K29,'Fevereiro 2023 - Valor Real'!A3:A15,'Fevereiro 2023 - Valor Real'!C3:C15,0))+1)),((L28-1)*(1-_xlfn.XLOOKUP(K28,'Fevereiro 2023 - Valor Real'!A3:A15,'Fevereiro 2023 - Valor Real'!C3:C15,0))+1)/(((L28-1)*(1-_xlfn.XLOOKUP(K28,'Fevereiro 2023 - Valor Real'!A3:A15,'Fevereiro 2023 - Valor Real'!C3:C15,0))+1)+((L29-1)*(1-_xlfn.XLOOKUP(K29,'Fevereiro 2023 - Valor Real'!A3:A15,'Fevereiro 2023 - Valor Real'!C3:C15,0))+1))))))</f>
        <v>0.17394336501346136</v>
      </c>
      <c r="AF29" s="66">
        <f t="shared" si="61"/>
        <v>0</v>
      </c>
      <c r="AG29" s="67">
        <f t="shared" si="61"/>
        <v>0</v>
      </c>
      <c r="AH29" s="67">
        <f t="shared" si="61"/>
        <v>0</v>
      </c>
      <c r="AI29" s="67">
        <f t="shared" si="61"/>
        <v>0</v>
      </c>
      <c r="AJ29" s="67">
        <f t="shared" si="61"/>
        <v>-3.9</v>
      </c>
      <c r="AK29" s="67">
        <f t="shared" si="61"/>
        <v>0</v>
      </c>
      <c r="AL29" s="67">
        <f t="shared" si="61"/>
        <v>0</v>
      </c>
      <c r="AM29" s="67">
        <f t="shared" si="61"/>
        <v>0</v>
      </c>
      <c r="AN29" s="67">
        <f t="shared" si="61"/>
        <v>0</v>
      </c>
      <c r="AO29" s="67">
        <f t="shared" si="61"/>
        <v>0</v>
      </c>
      <c r="AP29" s="67">
        <f t="shared" si="61"/>
        <v>0</v>
      </c>
      <c r="AQ29" s="67">
        <f t="shared" si="61"/>
        <v>0</v>
      </c>
      <c r="AR29" s="68">
        <f t="shared" si="61"/>
        <v>0</v>
      </c>
      <c r="AS29" s="66">
        <f>IF(AND($B28=" ",$K29=AS$3),$O29,0)</f>
        <v>0</v>
      </c>
      <c r="AT29" s="67">
        <f>IF(AND($B28=" ",K29=AT$3),$O29,0)</f>
        <v>0</v>
      </c>
      <c r="AU29" s="67">
        <f t="shared" ref="AU29:BE29" si="70">IF(AND($B28=" ",$K29=AU$3),$O29,0)</f>
        <v>0</v>
      </c>
      <c r="AV29" s="67">
        <f t="shared" si="70"/>
        <v>0</v>
      </c>
      <c r="AW29" s="67">
        <f t="shared" si="70"/>
        <v>0</v>
      </c>
      <c r="AX29" s="67">
        <f t="shared" si="70"/>
        <v>0</v>
      </c>
      <c r="AY29" s="69">
        <f t="shared" si="70"/>
        <v>0</v>
      </c>
      <c r="AZ29" s="70">
        <f t="shared" si="70"/>
        <v>0</v>
      </c>
      <c r="BA29" s="70">
        <f t="shared" si="70"/>
        <v>0</v>
      </c>
      <c r="BB29" s="70">
        <f t="shared" si="70"/>
        <v>0</v>
      </c>
      <c r="BC29" s="71">
        <f t="shared" si="70"/>
        <v>0</v>
      </c>
      <c r="BD29" s="67">
        <f t="shared" si="70"/>
        <v>0</v>
      </c>
      <c r="BE29" s="68">
        <f t="shared" si="70"/>
        <v>0</v>
      </c>
      <c r="BF29" s="66">
        <f t="shared" si="63"/>
        <v>0</v>
      </c>
      <c r="BG29" s="168">
        <f t="shared" si="63"/>
        <v>0</v>
      </c>
      <c r="BH29" s="67">
        <f t="shared" si="63"/>
        <v>0</v>
      </c>
      <c r="BI29" s="67">
        <f t="shared" si="63"/>
        <v>0</v>
      </c>
      <c r="BJ29" s="67">
        <f t="shared" si="63"/>
        <v>3.9</v>
      </c>
      <c r="BK29" s="67">
        <f t="shared" si="63"/>
        <v>0</v>
      </c>
      <c r="BL29" s="67">
        <f t="shared" si="63"/>
        <v>0</v>
      </c>
      <c r="BM29" s="69">
        <f t="shared" si="63"/>
        <v>0</v>
      </c>
      <c r="BN29" s="70">
        <f t="shared" si="63"/>
        <v>0</v>
      </c>
      <c r="BO29" s="70">
        <f t="shared" si="63"/>
        <v>0</v>
      </c>
      <c r="BP29" s="70">
        <f t="shared" si="63"/>
        <v>0</v>
      </c>
      <c r="BQ29" s="71">
        <f t="shared" si="63"/>
        <v>0</v>
      </c>
      <c r="BR29" s="68">
        <f t="shared" si="63"/>
        <v>0</v>
      </c>
      <c r="BS29" s="491"/>
      <c r="BT29" s="489"/>
      <c r="BU29" s="392"/>
      <c r="BV29" s="489"/>
      <c r="BW29" s="392"/>
      <c r="BX29" s="392"/>
      <c r="BY29" s="392"/>
      <c r="BZ29" s="489"/>
      <c r="CA29" s="392"/>
      <c r="CB29" s="392"/>
      <c r="CC29" s="392"/>
      <c r="CD29" s="401"/>
      <c r="CE29" s="409"/>
      <c r="CF29" s="169">
        <f t="shared" si="4"/>
        <v>0</v>
      </c>
      <c r="CG29" s="170">
        <f t="shared" si="5"/>
        <v>0</v>
      </c>
      <c r="CH29" s="170">
        <f t="shared" si="6"/>
        <v>0</v>
      </c>
      <c r="CI29" s="170">
        <f t="shared" si="7"/>
        <v>0</v>
      </c>
      <c r="CJ29" s="170">
        <f t="shared" si="8"/>
        <v>0</v>
      </c>
      <c r="CK29" s="170">
        <f t="shared" si="9"/>
        <v>0</v>
      </c>
      <c r="CL29" s="170">
        <f t="shared" si="10"/>
        <v>0</v>
      </c>
      <c r="CM29" s="170">
        <f t="shared" si="11"/>
        <v>0</v>
      </c>
      <c r="CN29" s="170">
        <f t="shared" si="12"/>
        <v>0</v>
      </c>
      <c r="CO29" s="170">
        <f t="shared" si="13"/>
        <v>1</v>
      </c>
      <c r="CP29" s="170">
        <f t="shared" si="14"/>
        <v>0</v>
      </c>
      <c r="CQ29" s="170">
        <f t="shared" si="15"/>
        <v>0</v>
      </c>
      <c r="CR29" s="170">
        <f t="shared" si="16"/>
        <v>0</v>
      </c>
      <c r="CS29" s="170">
        <f t="shared" si="17"/>
        <v>0</v>
      </c>
      <c r="CT29" s="75">
        <f t="shared" si="18"/>
        <v>0</v>
      </c>
      <c r="CU29" s="76">
        <f t="shared" si="19"/>
        <v>0</v>
      </c>
      <c r="CV29" s="76">
        <f t="shared" si="20"/>
        <v>0</v>
      </c>
      <c r="CW29" s="76">
        <f t="shared" si="21"/>
        <v>0</v>
      </c>
      <c r="CX29" s="76">
        <f t="shared" si="22"/>
        <v>0</v>
      </c>
      <c r="CY29" s="76">
        <f t="shared" si="23"/>
        <v>0</v>
      </c>
      <c r="CZ29" s="76">
        <f t="shared" si="24"/>
        <v>0</v>
      </c>
      <c r="DA29" s="76">
        <f t="shared" si="25"/>
        <v>0</v>
      </c>
      <c r="DB29" s="76">
        <f t="shared" si="26"/>
        <v>0</v>
      </c>
      <c r="DC29" s="76">
        <f t="shared" si="27"/>
        <v>0</v>
      </c>
      <c r="DD29" s="76">
        <f t="shared" si="28"/>
        <v>0</v>
      </c>
      <c r="DE29" s="77">
        <f t="shared" si="29"/>
        <v>0</v>
      </c>
      <c r="DF29" s="73">
        <f t="shared" si="31"/>
        <v>1</v>
      </c>
      <c r="DG29" s="67">
        <f t="shared" si="32"/>
        <v>1.43</v>
      </c>
      <c r="DH29" s="76">
        <f t="shared" si="33"/>
        <v>0</v>
      </c>
      <c r="DI29" s="67">
        <f t="shared" si="34"/>
        <v>0</v>
      </c>
      <c r="DJ29" s="76">
        <f>IF($D28="","",$D28)</f>
        <v>1</v>
      </c>
      <c r="DK29" s="493"/>
    </row>
    <row r="30" spans="1:115" ht="14.5" customHeight="1" x14ac:dyDescent="0.2">
      <c r="A30" s="390"/>
      <c r="B30" s="457"/>
      <c r="C30" s="79" t="s">
        <v>54</v>
      </c>
      <c r="D30" s="375"/>
      <c r="E30" s="387"/>
      <c r="F30" s="378"/>
      <c r="G30" s="508"/>
      <c r="H30" s="477"/>
      <c r="I30" s="191">
        <v>2</v>
      </c>
      <c r="J30" s="172"/>
      <c r="K30" s="185" t="s">
        <v>47</v>
      </c>
      <c r="L30" s="186">
        <v>1.43</v>
      </c>
      <c r="M30" s="174">
        <v>17</v>
      </c>
      <c r="N30" s="407"/>
      <c r="O30" s="187">
        <f>IF(OR(AE28="",AE29=""),"",IF(L30&gt;0,ROUND(IF(M30&gt;0,M30,IF(M28&gt;0,ROUND((M28*AE30)/AE28,IF(N28=0,2,IF(N28=0.1,1,0))),IF(M29&gt;0,ROUND((M29*AE30)/AE29,IF(N28=0,2,IF(N28=0.1,1,0))),IF(M30&gt;0,M30,0)))),2),""))</f>
        <v>17</v>
      </c>
      <c r="P30" s="188">
        <f>IF(I29="Lay",O29*(L29/(L29-1))-O29,IF(I28="Lay",O28*(L28/(L28-1))-O28,IF(OR(L30="",O30=""),"",IF($C30="1/2W",O30/2+O30/2*L30,IF($C30="1/2L",O30/2,(O30*L30-O30)*(1-_xlfn.XLOOKUP(K30,'Fevereiro 2023 - Valor Real'!A3:A15,'Fevereiro 2023 - Valor Real'!C3:C15,0))+O30)))))</f>
        <v>24.31</v>
      </c>
      <c r="Q30" s="166">
        <f>IF(K30="","",IF(_xlfn.XLOOKUP(K30,K$4:K29,$DJ$4:DJ29,0,,-1)=DJ30,_xlfn.XLOOKUP(K30,K$4:K29,Q$4:Q29,1,,-1)+1,1))</f>
        <v>5</v>
      </c>
      <c r="R30" s="189">
        <f>IF(K30="","",_xlfn.XLOOKUP(K30,K$4:K29,R$4:R29,0,,-1)+IF($C30=" ",1,0))</f>
        <v>0</v>
      </c>
      <c r="S30" s="404"/>
      <c r="T30" s="378"/>
      <c r="U30" s="378"/>
      <c r="V30" s="404"/>
      <c r="W30" s="378"/>
      <c r="X30" s="453"/>
      <c r="Y30" s="383"/>
      <c r="Z30" s="384"/>
      <c r="AA30" s="384"/>
      <c r="AB30" s="384"/>
      <c r="AC30" s="384"/>
      <c r="AD30" s="90"/>
      <c r="AE30" s="190">
        <f>IF(L30="","",(SUM(((L28-1)*(1-_xlfn.XLOOKUP(K28,'Fevereiro 2023 - Valor Real'!A3:A15,'Fevereiro 2023 - Valor Real'!C3:C15,0))+1),((L29-1)*(1-_xlfn.XLOOKUP(K29,'Fevereiro 2023 - Valor Real'!A3:A15,'Fevereiro 2023 - Valor Real'!C3:C15,0))+1),((L30-1)*(1-_xlfn.XLOOKUP(K30,'Fevereiro 2023 - Valor Real'!A3:A15,'Fevereiro 2023 - Valor Real'!C3:C15,0))+1))/((L30-1)*(1-_xlfn.XLOOKUP(K30,'Fevereiro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Real'!C3:C15,0))+1))/((L28-1)*(1-_xlfn.XLOOKUP(K28,'Fevereiro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Real'!C3:C15,0))+1))/((L29-1)*(1-_xlfn.XLOOKUP(K29,'Fevereiro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Real'!C3:C15,0))+1))/((L30-1)*(1-_xlfn.XLOOKUP(K30,'Fevereiro 2023 - Valor Real'!A3:A15,'Fevereiro 2023 - Valor Real'!C3:C15,0))+1)))</f>
        <v>0.75416004411430793</v>
      </c>
      <c r="AF30" s="66">
        <f t="shared" si="61"/>
        <v>0</v>
      </c>
      <c r="AG30" s="67">
        <f t="shared" si="61"/>
        <v>0</v>
      </c>
      <c r="AH30" s="67">
        <f t="shared" si="61"/>
        <v>0</v>
      </c>
      <c r="AI30" s="67">
        <f t="shared" si="61"/>
        <v>0</v>
      </c>
      <c r="AJ30" s="67">
        <f t="shared" si="61"/>
        <v>0</v>
      </c>
      <c r="AK30" s="67">
        <f t="shared" si="61"/>
        <v>0</v>
      </c>
      <c r="AL30" s="67">
        <f t="shared" si="61"/>
        <v>0</v>
      </c>
      <c r="AM30" s="67">
        <f t="shared" si="61"/>
        <v>0</v>
      </c>
      <c r="AN30" s="67">
        <f t="shared" si="61"/>
        <v>0</v>
      </c>
      <c r="AO30" s="67">
        <f t="shared" si="61"/>
        <v>0</v>
      </c>
      <c r="AP30" s="67">
        <f t="shared" si="61"/>
        <v>0</v>
      </c>
      <c r="AQ30" s="67">
        <f t="shared" si="61"/>
        <v>7.31</v>
      </c>
      <c r="AR30" s="68">
        <f t="shared" si="61"/>
        <v>0</v>
      </c>
      <c r="AS30" s="66">
        <f>IF(AND($B28=" ",$K30=AS$3),$O30,0)</f>
        <v>0</v>
      </c>
      <c r="AT30" s="67">
        <f>IF(AND($B28=" ",K30=AT$3),$O30,0)</f>
        <v>0</v>
      </c>
      <c r="AU30" s="67">
        <f t="shared" ref="AU30:BE30" si="71">IF(AND($B28=" ",$K30=AU$3),$O30,0)</f>
        <v>0</v>
      </c>
      <c r="AV30" s="67">
        <f t="shared" si="71"/>
        <v>0</v>
      </c>
      <c r="AW30" s="67">
        <f t="shared" si="71"/>
        <v>0</v>
      </c>
      <c r="AX30" s="67">
        <f t="shared" si="71"/>
        <v>0</v>
      </c>
      <c r="AY30" s="69">
        <f t="shared" si="71"/>
        <v>0</v>
      </c>
      <c r="AZ30" s="70">
        <f t="shared" si="71"/>
        <v>0</v>
      </c>
      <c r="BA30" s="70">
        <f t="shared" si="71"/>
        <v>0</v>
      </c>
      <c r="BB30" s="70">
        <f t="shared" si="71"/>
        <v>0</v>
      </c>
      <c r="BC30" s="71">
        <f t="shared" si="71"/>
        <v>0</v>
      </c>
      <c r="BD30" s="67">
        <f t="shared" si="71"/>
        <v>0</v>
      </c>
      <c r="BE30" s="68">
        <f t="shared" si="71"/>
        <v>0</v>
      </c>
      <c r="BF30" s="66">
        <f t="shared" si="63"/>
        <v>0</v>
      </c>
      <c r="BG30" s="168">
        <f t="shared" si="63"/>
        <v>0</v>
      </c>
      <c r="BH30" s="67">
        <f t="shared" si="63"/>
        <v>0</v>
      </c>
      <c r="BI30" s="67">
        <f t="shared" si="63"/>
        <v>0</v>
      </c>
      <c r="BJ30" s="67">
        <f t="shared" si="63"/>
        <v>0</v>
      </c>
      <c r="BK30" s="67">
        <f t="shared" si="63"/>
        <v>0</v>
      </c>
      <c r="BL30" s="67">
        <f t="shared" si="63"/>
        <v>0</v>
      </c>
      <c r="BM30" s="69">
        <f t="shared" si="63"/>
        <v>0</v>
      </c>
      <c r="BN30" s="70">
        <f t="shared" si="63"/>
        <v>0</v>
      </c>
      <c r="BO30" s="70">
        <f t="shared" si="63"/>
        <v>0</v>
      </c>
      <c r="BP30" s="70">
        <f t="shared" si="63"/>
        <v>0</v>
      </c>
      <c r="BQ30" s="71">
        <f t="shared" si="63"/>
        <v>17</v>
      </c>
      <c r="BR30" s="68">
        <f t="shared" si="63"/>
        <v>0</v>
      </c>
      <c r="BS30" s="491"/>
      <c r="BT30" s="489"/>
      <c r="BU30" s="392"/>
      <c r="BV30" s="489"/>
      <c r="BW30" s="392"/>
      <c r="BX30" s="392"/>
      <c r="BY30" s="392"/>
      <c r="BZ30" s="489"/>
      <c r="CA30" s="392"/>
      <c r="CB30" s="392"/>
      <c r="CC30" s="392"/>
      <c r="CD30" s="401"/>
      <c r="CE30" s="409"/>
      <c r="CF30" s="169">
        <f t="shared" si="4"/>
        <v>0</v>
      </c>
      <c r="CG30" s="170">
        <f t="shared" si="5"/>
        <v>0</v>
      </c>
      <c r="CH30" s="170">
        <f t="shared" si="6"/>
        <v>0</v>
      </c>
      <c r="CI30" s="170">
        <f t="shared" si="7"/>
        <v>0</v>
      </c>
      <c r="CJ30" s="170">
        <f t="shared" si="8"/>
        <v>0</v>
      </c>
      <c r="CK30" s="170">
        <f t="shared" si="9"/>
        <v>0</v>
      </c>
      <c r="CL30" s="170">
        <f t="shared" si="10"/>
        <v>0</v>
      </c>
      <c r="CM30" s="170">
        <f t="shared" si="11"/>
        <v>0</v>
      </c>
      <c r="CN30" s="170">
        <f t="shared" si="12"/>
        <v>0</v>
      </c>
      <c r="CO30" s="170">
        <f t="shared" si="13"/>
        <v>0</v>
      </c>
      <c r="CP30" s="170">
        <f t="shared" si="14"/>
        <v>0</v>
      </c>
      <c r="CQ30" s="170">
        <f t="shared" si="15"/>
        <v>0</v>
      </c>
      <c r="CR30" s="170">
        <f t="shared" si="16"/>
        <v>0</v>
      </c>
      <c r="CS30" s="170">
        <f t="shared" si="17"/>
        <v>0</v>
      </c>
      <c r="CT30" s="75">
        <f t="shared" si="18"/>
        <v>0</v>
      </c>
      <c r="CU30" s="76">
        <f t="shared" si="19"/>
        <v>0</v>
      </c>
      <c r="CV30" s="76">
        <f t="shared" si="20"/>
        <v>0</v>
      </c>
      <c r="CW30" s="76">
        <f t="shared" si="21"/>
        <v>0</v>
      </c>
      <c r="CX30" s="76">
        <f t="shared" si="22"/>
        <v>0</v>
      </c>
      <c r="CY30" s="76">
        <f t="shared" si="23"/>
        <v>0</v>
      </c>
      <c r="CZ30" s="76">
        <f t="shared" si="24"/>
        <v>0</v>
      </c>
      <c r="DA30" s="76">
        <f t="shared" si="25"/>
        <v>0</v>
      </c>
      <c r="DB30" s="76">
        <f t="shared" si="26"/>
        <v>1</v>
      </c>
      <c r="DC30" s="76">
        <f t="shared" si="27"/>
        <v>0</v>
      </c>
      <c r="DD30" s="76">
        <f t="shared" si="28"/>
        <v>0</v>
      </c>
      <c r="DE30" s="77">
        <f t="shared" si="29"/>
        <v>0</v>
      </c>
      <c r="DF30" s="73">
        <f t="shared" si="31"/>
        <v>2</v>
      </c>
      <c r="DG30" s="67">
        <f t="shared" si="32"/>
        <v>2.86</v>
      </c>
      <c r="DH30" s="76">
        <f t="shared" si="33"/>
        <v>0</v>
      </c>
      <c r="DI30" s="67">
        <f t="shared" si="34"/>
        <v>0</v>
      </c>
      <c r="DJ30" s="76">
        <f>IF($D28="","",$D28)</f>
        <v>1</v>
      </c>
      <c r="DK30" s="493"/>
    </row>
    <row r="31" spans="1:115" ht="14.5" customHeight="1" x14ac:dyDescent="0.2">
      <c r="A31" s="459">
        <f>$A28+1</f>
        <v>10</v>
      </c>
      <c r="B31" s="507" t="str">
        <f>IF(OR(C31="W",C32="W",C33="W",C31="1/2W",C32="1/2W",C33="1/2W",C31="1/2L",C32="1/2L",C33="1/2L"),"OK",IF(OR(C31="L",C32="L",C33="L"),"LOSS",IF(OR(C31="X",C32="X",C33="X"),"Anulado"," ")))</f>
        <v>OK</v>
      </c>
      <c r="C31" s="93" t="s">
        <v>55</v>
      </c>
      <c r="D31" s="469">
        <f>IF(G31="","",$D28)</f>
        <v>1</v>
      </c>
      <c r="E31" s="485" t="str">
        <f>IF(G31=""," ","– "&amp;COUNTIF(D$4:D33,$D31))</f>
        <v>– 10</v>
      </c>
      <c r="F31" s="509" t="str">
        <f ca="1">IF(G31="","",IF(OR(AND($C31&lt;&gt;" ",$C32=" "),AND($C32&lt;&gt;" ",$C31=" "),AND(L33&gt;0,OR(AND($C33&lt;&gt;" ",OR($C31=" ",$C32=" ")),AND($C33=" ",OR($C31&lt;&gt;" ",$C32&lt;&gt;" "))))),IF(SUM(F$4:F30)=0,1,LARGE(F$4:F30,1)+1),IF(MONTH(G31)=MONTH(TODAY()),IF(AND(DAY(G31)&lt;DAY(TODAY()),$B31=" "),IF(SUM(F$4:F30)=0,1,LARGE(F$4:F30,1)+1),IF($B31=" ",IF(AND(DAY(G31)=DAY(TODAY()),HOUR(G31)&lt;=HOUR(NOW())+1),IF(AND(HOUR(G31)+2&lt;=HOUR(NOW()),DAY(G31)&lt;=DAY(TODAY()),MINUTE(G31)&lt;=MINUTE(NOW())),IF(SUM(F$4:F30)=0,1,LARGE(F$4:F30,1)+1),IF(OR(MINUTE(G31)&lt;=MINUTE(NOW()),HOUR(G31)&lt;=HOUR(NOW())),"!!!","")),""),"")),"")))</f>
        <v/>
      </c>
      <c r="G31" s="482">
        <f>IF(H31="","",_xlfn.XLOOKUP(H31,$H$4:H30,$G$4:G30,""))</f>
        <v>44989.5</v>
      </c>
      <c r="H31" s="475" t="s">
        <v>58</v>
      </c>
      <c r="I31" s="175">
        <v>1</v>
      </c>
      <c r="J31" s="176"/>
      <c r="K31" s="96" t="s">
        <v>37</v>
      </c>
      <c r="L31" s="97">
        <v>14</v>
      </c>
      <c r="M31" s="98">
        <v>1.79</v>
      </c>
      <c r="N31" s="478">
        <v>0</v>
      </c>
      <c r="O31" s="99">
        <f>IF(OR(AE31="",AE32=""),"",ROUND(IF(L33&gt;0,IF(M31&gt;0,M31,IF(M32&gt;0,ROUND((M32*AE31)/AE32,IF(N31=0,2,IF(N31=0.1,1,0))),ROUND((M33*AE31)/AE33,IF(N31=0,2,IF(N31=0.1,1,0))))),IF(M31&gt;0,M31,ROUND((M32*AE31)/AE32,IF(N31=0,2,IF(N31=0.1,1,0))))),2))</f>
        <v>1.79</v>
      </c>
      <c r="P31" s="100">
        <f>IF(OR(L31="",O31=""),"",IF($C31="1/2W",O31/2+O31/2*L31,IF($C31="1/2L",O31/2,IF(I31="Lay",(O31*(L31/(L31-1))-O31)*(1-_xlfn.XLOOKUP(K31,'Fevereiro 2023 - Valor Real'!A3:A15,'Fevereiro 2023 - Valor Real'!C3:C15,0))+O31,(O31*L31-O31)*(1-_xlfn.XLOOKUP(K31,'Fevereiro 2023 - Valor Real'!A3:A15,'Fevereiro 2023 - Valor Real'!C3:C15,0))+O31))))</f>
        <v>25.060000000000002</v>
      </c>
      <c r="Q31" s="101">
        <f>IF(K31="","",IF(_xlfn.XLOOKUP(K31,K$4:K30,$DJ$4:DJ30,0,,-1)=DJ31,_xlfn.XLOOKUP(K31,K$4:K30,Q$4:Q30,1,,-1)+1,1))</f>
        <v>4</v>
      </c>
      <c r="R31" s="102">
        <f>IF(K31="","",_xlfn.XLOOKUP(K31,K$4:K30,R$4:R30,0,,-1)+IF($C31=" ",1,0))</f>
        <v>0</v>
      </c>
      <c r="S31" s="474">
        <f>IF($B31="Anulado",0,ROUND(IF(OR($B31="LOSS",$B31="OK"),IF(OR($C31="W",$C31="1/2W",$C31="1/2L"),P31-O31,IF($C31="L",-O31,0))+IF(OR($C32="W",$C32="1/2W",$C32="1/2L"),P32-O32,IF($C32="L",-O32,0))+IF(OR($C33="W",$C33="1/2W",$C33="1/2L"),P33-O33,IF($C33="L",-O33,0)),IF(AND(OR($C31="W",$C31="1/2W",$C31="1/2L"),C32="W"),P31+P32-SUM(O31:O33)+_xlfn.XLOOKUP("X",C31:C33,O31:O33,0),IF(AND(C31=TRUE,C33="W"),P31+P33-SUM(O31:O33),IF(AND(C32="W",C33="W"),P32+P33-SUM(O31:O33)+_xlfn.XLOOKUP("X",C31:C33,O31:O33,0),IF(L33&gt;0,IF(OR($C31="W",$C31="1/2W",$C31="1/2L"),P31-SUM(O31:O33)+_xlfn.XLOOKUP("X",C31:C33,O31:O33,0),IF(OR($C31="W",$C31="1/2W",$C31="1/2L"),P32-SUM(O31:O33)+_xlfn.XLOOKUP("X",C31:C33,O31:O33,0),IF(OR($C31="W",$C31="1/2W",$C31="1/2L"),P33-SUM(O31:O33)+_xlfn.XLOOKUP("X",C31:C33,O31:O33,0),IF(SUM(P31:P33)/3-SUM(O31:O33)+_xlfn.XLOOKUP("X",C31:C33,O31:O33,0)&gt;0,SUM(P31:P33)/3-SUM(O31:O33)+_xlfn.XLOOKUP("X",C31:C33,O31:O33,0),LARGE(P31:P33,1)-SUM(O31:O33))))),IF(OR($C31="W",$C31="1/2W",$C31="1/2L"),P31-SUM(O31:O32)+_xlfn.XLOOKUP("X",C31:C33,O31:O33,0),IF(OR($C31="W",$C31="1/2W",$C31="1/2L"),P32-SUM(O31:O32)+_xlfn.XLOOKUP("X",C31:C33,O31:O33,0),SUM(P31:P32)/2-SUM(O31:O32)+_xlfn.XLOOKUP("X",C31:C33,O31:O33,0)))))))),2))</f>
        <v>1.6</v>
      </c>
      <c r="T31" s="458">
        <f>IF(S31=0,0,S31/SUM(O31:O33))</f>
        <v>6.7882901994060246E-2</v>
      </c>
      <c r="U31" s="470">
        <f>IF($D31=$D28,IF(OR($B31="LOSS",$B31="OK",$B31="Anulada"),S31,0)+U28,IF(OR($B31="LOSS",$B31="OK",$B31="Anulada"),S31,0))</f>
        <v>17.05</v>
      </c>
      <c r="V31" s="470">
        <f>IF($D31="",0,IF($D31=$D28,IF($B31=" ",IF(I33="",IF(OR(AND(I31="DNB1",I32="DNB2"),AND(OR(I31="DNB1",I31="DNB2"),J32=0),AND(OR(I32="DNB1",I32="DNB2"),J31=0),AND(I31="DNB2",I32="DNB1"),AND(IF(J31=0,(J31+1)/ROUND(J31+1,0),J31/ROUND(J31,0))=1,IF(J32=0,(J32+1)/ROUND(IF(J32="",0,J32)+1,0),IF(J32="",0,J32)/ROUND(IF(J32="",1,J32),0))=1,OR(J31&lt;&gt;""),J32&lt;&gt;"")),0,IF(S31&lt;0,IF(I33="",SMALL(P31:P32,1)-SUM(O31:O32),0),SMALL(P31:P32,1)-SUM(O31:O32))),IF(S31&lt;0,IF(I33="",SMALL(P31:P33,1)-SUM(O31:O33),0),LARGE(P31:P33,1)-SUM(O31:O33))),S31)+V28,IF(I33="",IF(OR(AND(I31="DNB1",I32="DNB2"),AND(OR(I31="DNB1",I31="DNB2"),J32=0),AND(OR(I32="DNB1",I32="DNB2"),J31=0),AND(I31="DNB2",I32="DNB1"),AND(IF(J31=0,(J31+1)/ROUND(J31+1,0),J31/ROUND(J31,0))=1,IF(J32=0,(IF(J32="",0,J32)+1)/ROUND(IF(J32="",0,J32)+1,0),IF(J32="",0,J32)/ROUND(IF(J32="",0,J32)+1,0))=1,OR(J31&lt;&gt;""),J32&lt;&gt;"")),0,IF(S31&lt;0,IF(I33="",SMALL(P31:P32,1)-SUM(O31:O32),0),SMALL(P31:P33,1)-SUM(O31:O33))),IF(S31&lt;0,IF(I33="",SMALL(P31:P33,1)-SUM(O31:O33),0),LARGE(P31:P33,1)-SUM(O31:O33)))))</f>
        <v>17.05</v>
      </c>
      <c r="W31" s="470">
        <f>IF($D31=$D28,IF(S31&lt;0,IF(I33="",S31,0),S31)+W28,S31)</f>
        <v>17.05</v>
      </c>
      <c r="X31" s="480" t="str">
        <f>IF(OR(SUM(R31:R33)=0,V31=W31),ROUND(IF(W31=0,0,W31/Y31)*100,2)&amp;"%",ROUND(IF(V31=0,0,V31/Y31)*100,2)&amp;"% a "&amp;ROUND(IF(W31=0,0,W31/Y31)*100,2)&amp;"%")</f>
        <v>5,28%</v>
      </c>
      <c r="Y31" s="471">
        <f>IF($D31=$D28,Y28+SUM(O31:O33),SUM(O31:O33))</f>
        <v>323.09999999999997</v>
      </c>
      <c r="Z31" s="470">
        <f>IF($B31=" ",SUM(O31:O33),0)+Z28</f>
        <v>0</v>
      </c>
      <c r="AA31" s="470">
        <f>IF(G31="","",IF($B31="Anulado",LARGE(P31:P33,1)-SUM(O31:O33)+AA28,AA28))</f>
        <v>0.45899999999999785</v>
      </c>
      <c r="AB31" s="470">
        <f>IF($D31="","",AB28+S31)</f>
        <v>17.05</v>
      </c>
      <c r="AC31" s="472">
        <f ca="1">IF($D31="","",IF($B31=" ",IF(DAY(G31)=DAY(TODAY()),1+AC28,0+AC28),0+AC28))</f>
        <v>0</v>
      </c>
      <c r="AD31" s="103">
        <f>(((L32/(L32-1)-1)*(1-_xlfn.XLOOKUP(K32,'Fevereiro 2023 - Valor Real'!A3:A15,'Fevereiro 2023 - Valor Real'!C3:C15,0))+1))/(((L31-1)*(1-_xlfn.XLOOKUP(K31,'Fevereiro 2023 - Valor Real'!A3:A15,'Fevereiro 2023 - Valor Real'!C3:C15,0))+1)+((L32/(L32-1)-1)*(1-_xlfn.XLOOKUP(K32,'Fevereiro 2023 - Valor Real'!A3:A15,'Fevereiro 2023 - Valor Real'!C3:C15,0))+1))</f>
        <v>7.8947368421052627E-2</v>
      </c>
      <c r="AE31" s="104">
        <f>IF(L31="","",IF(L33&gt;0,(SUM(((L31-1)*(1-_xlfn.XLOOKUP(K31,'Fevereiro 2023 - Valor Real'!A3:A15,'Fevereiro 2023 - Valor Real'!C3:C15,0))+1),((L32-1)*(1-_xlfn.XLOOKUP(K32,'Fevereiro 2023 - Valor Real'!A3:A15,'Fevereiro 2023 - Valor Real'!C3:C15,0))+1),((L33-1)*(1-_xlfn.XLOOKUP(K33,'Fevereiro 2023 - Valor Real'!A3:A15,'Fevereiro 2023 - Valor Real'!C3:C15,0))+1))/((L31-1)*(1-_xlfn.XLOOKUP(K31,'Fevereiro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Real'!C3:C15,0))+1))/((L31-1)*(1-_xlfn.XLOOKUP(K31,'Fevereiro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Real'!C3:C15,0))+1))/((L32-1)*(1-_xlfn.XLOOKUP(K32,'Fevereiro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Real'!C3:C15,0))+1))/((L33-1)*(1-_xlfn.XLOOKUP(K33,'Fevereiro 2023 - Valor Real'!A3:A15,'Fevereiro 2023 - Valor Real'!C3:C15,0))+1)),IF(I31="Lay",IF(I32="Lay",((L32/(L32-1)-1)*(1-_xlfn.XLOOKUP(K32,'Fevereiro 2023 - Valor Real'!A3:A15,'Fevereiro 2023 - Valor Real'!C3:C15,0))+1)/(((L32/(L32-1)-1)*(1-_xlfn.XLOOKUP(K32,'Fevereiro 2023 - Valor Real'!A3:A15,'Fevereiro 2023 - Valor Real'!C3:C15,0))+1)+((L31/(L31-1)-1)*(1-_xlfn.XLOOKUP(K31,'Fevereiro 2023 - Valor Real'!A3:A15,'Fevereiro 2023 - Valor Real'!C3:C15,0))+1)),((L32-1)*(1-_xlfn.XLOOKUP(K32,'Fevereiro 2023 - Valor Real'!A3:A15,'Fevereiro 2023 - Valor Real'!C3:C15,0))+1)/(((L32-1)*(1-_xlfn.XLOOKUP(K32,'Fevereiro 2023 - Valor Real'!A3:A15,'Fevereiro 2023 - Valor Real'!C3:C15,0))+1)+((L31/(L31-1)-1)*(1-_xlfn.XLOOKUP(K31,'Fevereiro 2023 - Valor Real'!A3:A15,'Fevereiro 2023 - Valor Real'!C3:C15,0))+1))),IF(I32="Lay",(((L32/(L32-1)-1)*(1-_xlfn.XLOOKUP(K32,'Fevereiro 2023 - Valor Real'!A3:A15,'Fevereiro 2023 - Valor Real'!C3:C15,0))+1))/(((L31-1)*(1-_xlfn.XLOOKUP(K31,'Fevereiro 2023 - Valor Real'!A3:A15,'Fevereiro 2023 - Valor Real'!C3:C15,0))+1)+((L32/(L32-1)-1)*(1-_xlfn.XLOOKUP(K32,'Fevereiro 2023 - Valor Real'!A3:A15,'Fevereiro 2023 - Valor Real'!C3:C15,0))+1)),((L32-1)*(1-_xlfn.XLOOKUP(K32,'Fevereiro 2023 - Valor Real'!A3:A15,'Fevereiro 2023 - Valor Real'!C3:C15,0))+1)/(((L32-1)*(1-_xlfn.XLOOKUP(K32,'Fevereiro 2023 - Valor Real'!A3:A15,'Fevereiro 2023 - Valor Real'!C3:C15,0))+1)+((L31-1)*(1-_xlfn.XLOOKUP(K31,'Fevereiro 2023 - Valor Real'!A3:A15,'Fevereiro 2023 - Valor Real'!C3:C15,0))+1))))))</f>
        <v>7.6198934280639424E-2</v>
      </c>
      <c r="AF31" s="105">
        <f t="shared" si="61"/>
        <v>0</v>
      </c>
      <c r="AG31" s="106">
        <f t="shared" si="61"/>
        <v>-1.79</v>
      </c>
      <c r="AH31" s="106">
        <f t="shared" si="61"/>
        <v>0</v>
      </c>
      <c r="AI31" s="106">
        <f t="shared" si="61"/>
        <v>0</v>
      </c>
      <c r="AJ31" s="106">
        <f t="shared" si="61"/>
        <v>0</v>
      </c>
      <c r="AK31" s="106">
        <f t="shared" si="61"/>
        <v>0</v>
      </c>
      <c r="AL31" s="106">
        <f t="shared" si="61"/>
        <v>0</v>
      </c>
      <c r="AM31" s="106">
        <f t="shared" si="61"/>
        <v>0</v>
      </c>
      <c r="AN31" s="106">
        <f t="shared" si="61"/>
        <v>0</v>
      </c>
      <c r="AO31" s="106">
        <f t="shared" si="61"/>
        <v>0</v>
      </c>
      <c r="AP31" s="106">
        <f t="shared" si="61"/>
        <v>0</v>
      </c>
      <c r="AQ31" s="106">
        <f t="shared" si="61"/>
        <v>0</v>
      </c>
      <c r="AR31" s="107">
        <f t="shared" si="61"/>
        <v>0</v>
      </c>
      <c r="AS31" s="105">
        <f t="shared" ref="AS31:BE31" si="72">IF(AND($B31=" ",$K31=AS$3),$O31,0)</f>
        <v>0</v>
      </c>
      <c r="AT31" s="106">
        <f t="shared" si="72"/>
        <v>0</v>
      </c>
      <c r="AU31" s="106">
        <f t="shared" si="72"/>
        <v>0</v>
      </c>
      <c r="AV31" s="106">
        <f t="shared" si="72"/>
        <v>0</v>
      </c>
      <c r="AW31" s="106">
        <f t="shared" si="72"/>
        <v>0</v>
      </c>
      <c r="AX31" s="106">
        <f t="shared" si="72"/>
        <v>0</v>
      </c>
      <c r="AY31" s="108">
        <f t="shared" si="72"/>
        <v>0</v>
      </c>
      <c r="AZ31" s="109">
        <f t="shared" si="72"/>
        <v>0</v>
      </c>
      <c r="BA31" s="109">
        <f t="shared" si="72"/>
        <v>0</v>
      </c>
      <c r="BB31" s="109">
        <f t="shared" si="72"/>
        <v>0</v>
      </c>
      <c r="BC31" s="110">
        <f t="shared" si="72"/>
        <v>0</v>
      </c>
      <c r="BD31" s="106">
        <f t="shared" si="72"/>
        <v>0</v>
      </c>
      <c r="BE31" s="107">
        <f t="shared" si="72"/>
        <v>0</v>
      </c>
      <c r="BF31" s="111">
        <f t="shared" si="63"/>
        <v>0</v>
      </c>
      <c r="BG31" s="106">
        <f t="shared" si="63"/>
        <v>1.79</v>
      </c>
      <c r="BH31" s="106">
        <f t="shared" si="63"/>
        <v>0</v>
      </c>
      <c r="BI31" s="106">
        <f t="shared" si="63"/>
        <v>0</v>
      </c>
      <c r="BJ31" s="106">
        <f t="shared" si="63"/>
        <v>0</v>
      </c>
      <c r="BK31" s="106">
        <f t="shared" si="63"/>
        <v>0</v>
      </c>
      <c r="BL31" s="106">
        <f t="shared" si="63"/>
        <v>0</v>
      </c>
      <c r="BM31" s="108">
        <f t="shared" si="63"/>
        <v>0</v>
      </c>
      <c r="BN31" s="109">
        <f t="shared" si="63"/>
        <v>0</v>
      </c>
      <c r="BO31" s="109">
        <f t="shared" si="63"/>
        <v>0</v>
      </c>
      <c r="BP31" s="109">
        <f t="shared" si="63"/>
        <v>0</v>
      </c>
      <c r="BQ31" s="110">
        <f t="shared" si="63"/>
        <v>0</v>
      </c>
      <c r="BR31" s="107">
        <f t="shared" si="63"/>
        <v>0</v>
      </c>
      <c r="BS31" s="463">
        <f>IF($B31="LOSS",IF(AND($K31=BS$3,$C31="L"),-$O31,0)+IF(AND($K32=BS$3,$C32="L"),-$O32,0)+IF(AND($K33=BS$3,$C33="L"),-$O33,0),IF(OR(AND($K31=BS$3,OR($C31="W",$C31="1/2W")),AND($K32=BS$3,OR($C32="W",$C32="1/2W")),AND($K33=BS$3,OR($C33="W",$C33="1/2W"))),$S31,0))</f>
        <v>0</v>
      </c>
      <c r="BT31" s="462">
        <f>IF($B31="LOSS",IF(AND($K31=BT$3,$C31="L"),-$O31,0)+IF(AND($K32=BT$3,$C32="L"),-$O32,0)+IF(AND($K32=BT$3,$C33="L"),-$O33,0),IF(OR(AND($K32=BT$3,OR($C31="W",$C31="1/2W")),AND($K32=BT$3,OR($C32="W",$C32="1/2W")),AND($K32=BT$3,OR($C33="W",$C33="1/2W"))),$S31,0))</f>
        <v>1.6</v>
      </c>
      <c r="BU31" s="462">
        <f>IF($B31="LOSS",IF(AND($K31=BU$3,$C31="L"),-$O31,0)+IF(AND($K32=BU$3,$C32="L"),-$O32,0)+IF(AND($K32=BU$3,$C33="L"),-$O33,0),IF(OR(AND($K32=BU$3,OR($C31="W",$C31="1/2W")),AND($K32=BU$3,OR($C32="W",$C32="1/2W")),AND($K32=BU$3,OR($C33="W",$C33="1/2W"))),$S31,0))</f>
        <v>0</v>
      </c>
      <c r="BV31" s="462">
        <f t="shared" ref="BV31:CE31" si="73">IF($B31="LOSS",IF(AND($K31=BV$3,$C31="L"),-$O31,0)+IF(AND($K32=BV$3,$C32="L"),-$O32,0)+IF(AND($K33=BV$3,$C33="L"),-$O33,0),IF(OR(AND($K31=BV$3,OR($C31="W",$C31="1/2W")),AND($K32=BV$3,OR($C32="W",$C32="1/2W")),AND($K33=BV$3,OR($C33="W",$C33="1/2W"))),$S31,0))</f>
        <v>0</v>
      </c>
      <c r="BW31" s="462">
        <f t="shared" si="73"/>
        <v>0</v>
      </c>
      <c r="BX31" s="462">
        <f t="shared" si="73"/>
        <v>0</v>
      </c>
      <c r="BY31" s="462">
        <f t="shared" si="73"/>
        <v>0</v>
      </c>
      <c r="BZ31" s="460">
        <f t="shared" si="73"/>
        <v>0</v>
      </c>
      <c r="CA31" s="460">
        <f t="shared" si="73"/>
        <v>0</v>
      </c>
      <c r="CB31" s="460">
        <f t="shared" si="73"/>
        <v>0</v>
      </c>
      <c r="CC31" s="460">
        <f t="shared" si="73"/>
        <v>0</v>
      </c>
      <c r="CD31" s="473">
        <f t="shared" si="73"/>
        <v>1.6</v>
      </c>
      <c r="CE31" s="479">
        <f t="shared" si="73"/>
        <v>0</v>
      </c>
      <c r="CF31" s="113">
        <f t="shared" si="4"/>
        <v>0</v>
      </c>
      <c r="CG31" s="114">
        <f t="shared" si="5"/>
        <v>0</v>
      </c>
      <c r="CH31" s="114">
        <f t="shared" si="6"/>
        <v>0</v>
      </c>
      <c r="CI31" s="114">
        <f t="shared" si="7"/>
        <v>1</v>
      </c>
      <c r="CJ31" s="114">
        <f t="shared" si="8"/>
        <v>0</v>
      </c>
      <c r="CK31" s="114">
        <f t="shared" si="9"/>
        <v>0</v>
      </c>
      <c r="CL31" s="114">
        <f t="shared" si="10"/>
        <v>0</v>
      </c>
      <c r="CM31" s="114">
        <f t="shared" si="11"/>
        <v>0</v>
      </c>
      <c r="CN31" s="114">
        <f t="shared" si="12"/>
        <v>0</v>
      </c>
      <c r="CO31" s="114">
        <f t="shared" si="13"/>
        <v>0</v>
      </c>
      <c r="CP31" s="114">
        <f t="shared" si="14"/>
        <v>0</v>
      </c>
      <c r="CQ31" s="114">
        <f t="shared" si="15"/>
        <v>0</v>
      </c>
      <c r="CR31" s="114">
        <f t="shared" si="16"/>
        <v>0</v>
      </c>
      <c r="CS31" s="114">
        <f t="shared" si="17"/>
        <v>0</v>
      </c>
      <c r="CT31" s="115">
        <f t="shared" si="18"/>
        <v>0</v>
      </c>
      <c r="CU31" s="116">
        <f t="shared" si="19"/>
        <v>0</v>
      </c>
      <c r="CV31" s="116">
        <f t="shared" si="20"/>
        <v>0</v>
      </c>
      <c r="CW31" s="116">
        <f t="shared" si="21"/>
        <v>0</v>
      </c>
      <c r="CX31" s="116">
        <f t="shared" si="22"/>
        <v>0</v>
      </c>
      <c r="CY31" s="116">
        <f t="shared" si="23"/>
        <v>0</v>
      </c>
      <c r="CZ31" s="116">
        <f t="shared" si="24"/>
        <v>0</v>
      </c>
      <c r="DA31" s="116">
        <f t="shared" si="25"/>
        <v>0</v>
      </c>
      <c r="DB31" s="116">
        <f t="shared" si="26"/>
        <v>0</v>
      </c>
      <c r="DC31" s="116">
        <f t="shared" si="27"/>
        <v>0</v>
      </c>
      <c r="DD31" s="116">
        <f t="shared" si="28"/>
        <v>0</v>
      </c>
      <c r="DE31" s="117">
        <f t="shared" si="29"/>
        <v>0</v>
      </c>
      <c r="DF31" s="118">
        <f t="shared" si="31"/>
        <v>2</v>
      </c>
      <c r="DG31" s="106">
        <f t="shared" si="32"/>
        <v>2.86</v>
      </c>
      <c r="DH31" s="116">
        <f t="shared" si="33"/>
        <v>0</v>
      </c>
      <c r="DI31" s="106">
        <f t="shared" si="34"/>
        <v>0</v>
      </c>
      <c r="DJ31" s="116">
        <f>IF($D31="","",$D31)</f>
        <v>1</v>
      </c>
      <c r="DK31" s="465">
        <f>IF(AND($B31=" ",$D31&lt;&gt;""),1,0)</f>
        <v>0</v>
      </c>
    </row>
    <row r="32" spans="1:115" ht="14.5" customHeight="1" x14ac:dyDescent="0.2">
      <c r="A32" s="389"/>
      <c r="B32" s="456"/>
      <c r="C32" s="120" t="s">
        <v>55</v>
      </c>
      <c r="D32" s="374"/>
      <c r="E32" s="386"/>
      <c r="F32" s="377"/>
      <c r="G32" s="483"/>
      <c r="H32" s="476"/>
      <c r="I32" s="121" t="s">
        <v>49</v>
      </c>
      <c r="J32" s="179" t="str">
        <f>IF(OR(I31="TO",I31="TU",I31="TO1",I31="TU1",I31="TO2",I31="TU2"),J31,IF(OR(I31="AH1",I31="AH2"),IF(OR(I32="AH1",I32="AH2"),-J31,IF(OR(I32="EH1",I32="EH2"),-J31+0.5,"")),IF(OR(I31="EH1",I31="EH2"),IF(OR(I32="AH1",I32="AH2"),-J31+0.5,IF(OR(I32="EH1",I32="EH2"),-J31+1,"")),IF(AND(OR(I31="DNB1",I31="DNB2"),OR(I32="AH1",I32="AH2")),0,IF(AND(I31="Not ScoreBoth",OR(I32="TO1",I32="TO2")),0.5,"")))))</f>
        <v/>
      </c>
      <c r="K32" s="123" t="s">
        <v>37</v>
      </c>
      <c r="L32" s="124">
        <v>6</v>
      </c>
      <c r="M32" s="125"/>
      <c r="N32" s="406"/>
      <c r="O32" s="126">
        <f>IF(OR(AE31="",AE32=""),"",ROUND(IF(L33&gt;0,IF(M32&gt;0,M32,IF(M31&gt;0,IF(N31=TRUE,ROUND((M31*AE32)/AE31,0),(M31*AE32)/AE31),IF(M32&gt;0,ROUND(M32,IF(N31=0,2,IF(N31=0.1,1,0))),IF(M33&gt;0,ROUND(O33*AE32/AE33,IF(N31=0,2,IF(N31=0.1,1,0))),0)))),IF(M32&gt;0,M32,ROUND((M31*AE32)/AE31,IF(N31=0,2,IF(N31=0.1,1,0))))),2))</f>
        <v>4.18</v>
      </c>
      <c r="P32" s="127">
        <f>IF(OR(L32="",O32=""),"",IF($C32="1/2W",O32/2+O32/2*L32,IF($C32="1/2L",O32/2,IF(I32="Lay",((O32*(L32/(L32-1)))-O32)*(1-_xlfn.XLOOKUP(K32,'Fevereiro 2023 - Valor Real'!A3:A15,'Fevereiro 2023 - Valor Real'!C3:C15,0))+O32,(O32*L32-O32)*(1-_xlfn.XLOOKUP(K32,'Fevereiro 2023 - Valor Real'!A3:A15,'Fevereiro 2023 - Valor Real'!C3:C15,0))+O32))))</f>
        <v>25.08</v>
      </c>
      <c r="Q32" s="128">
        <f>IF(K32="","",IF(_xlfn.XLOOKUP(K32,K$4:K31,$DJ$4:DJ31,0,,-1)=DJ32,_xlfn.XLOOKUP(K32,K$4:K31,Q$4:Q31,1,,-1)+1,1))</f>
        <v>5</v>
      </c>
      <c r="R32" s="129">
        <f>IF(K32="","",_xlfn.XLOOKUP(K32,K$4:K31,R$4:R31,0,,-1)+IF($C32=" ",1,0))</f>
        <v>0</v>
      </c>
      <c r="S32" s="403"/>
      <c r="T32" s="380"/>
      <c r="U32" s="380"/>
      <c r="V32" s="481"/>
      <c r="W32" s="380"/>
      <c r="X32" s="452"/>
      <c r="Y32" s="383"/>
      <c r="Z32" s="384"/>
      <c r="AA32" s="384"/>
      <c r="AB32" s="384"/>
      <c r="AC32" s="384"/>
      <c r="AD32" s="130">
        <f>(((L32/(L32-1)-1)*(1-_xlfn.XLOOKUP(K32,'Fevereiro 2023 - Valor Real'!A3:A15,'Fevereiro 2023 - Valor Real'!C3:C15,0))+1))</f>
        <v>1.2</v>
      </c>
      <c r="AE32" s="131">
        <f>IF(L32="","",IF(L33&gt;0,(SUM(((L31-1)*(1-_xlfn.XLOOKUP(K31,'Fevereiro 2023 - Valor Real'!A3:A15,'Fevereiro 2023 - Valor Real'!C3:C15,0))+1),((L32-1)*(1-_xlfn.XLOOKUP(K32,'Fevereiro 2023 - Valor Real'!A3:A15,'Fevereiro 2023 - Valor Real'!C3:C15,0))+1),((L33-1)*(1-_xlfn.XLOOKUP(K33,'Fevereiro 2023 - Valor Real'!A3:A15,'Fevereiro 2023 - Valor Real'!C3:C15,0))+1))/((L32-1)*(1-_xlfn.XLOOKUP(K32,'Fevereiro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Real'!C3:C15,0))+1))/((L31-1)*(1-_xlfn.XLOOKUP(K31,'Fevereiro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Real'!C3:C15,0))+1))/((L32-1)*(1-_xlfn.XLOOKUP(K32,'Fevereiro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Real'!C3:C15,0))+1))/((L33-1)*(1-_xlfn.XLOOKUP(K33,'Fevereiro 2023 - Valor Real'!A3:A15,'Fevereiro 2023 - Valor Real'!C3:C15,0))+1)),IF(I32="Lay",IF(I31="Lay",((L31/(L31-1)-1)*(1-_xlfn.XLOOKUP(K31,'Fevereiro 2023 - Valor Real'!A3:A15,'Fevereiro 2023 - Valor Real'!C3:C15,0))+1)/(((L31/(L31-1)-1)*(1-_xlfn.XLOOKUP(K31,'Fevereiro 2023 - Valor Real'!A3:A15,'Fevereiro 2023 - Valor Real'!C3:C15,0))+1)+((L32/(L32-1)-1)*(1-_xlfn.XLOOKUP(K32,'Fevereiro 2023 - Valor Real'!A3:A15,'Fevereiro 2023 - Valor Real'!C3:C15,0))+1)),((L31-1)*(1-_xlfn.XLOOKUP(K31,'Fevereiro 2023 - Valor Real'!A3:A15,'Fevereiro 2023 - Valor Real'!C3:C15,0))+1)/(((L31-1)*(1-_xlfn.XLOOKUP(K31,'Fevereiro 2023 - Valor Real'!A3:A15,'Fevereiro 2023 - Valor Real'!C3:C15,0))+1)+((L32/(L32-1)-1)*(1-_xlfn.XLOOKUP(K32,'Fevereiro 2023 - Valor Real'!A3:A15,'Fevereiro 2023 - Valor Real'!C3:C15,0))+1))),IF(I31="Lay",((L31/(L31-1)-1)*(1-_xlfn.XLOOKUP(K31,'Fevereiro 2023 - Valor Real'!A3:A15,'Fevereiro 2023 - Valor Real'!C3:C15,0))+1)/((((L31/(L31-1)-1)*(1-_xlfn.XLOOKUP(K31,'Fevereiro 2023 - Valor Real'!A3:A15,'Fevereiro 2023 - Valor Real'!C3:C15,0))+1))+((L32-1)*(1-_xlfn.XLOOKUP(K32,'Fevereiro 2023 - Valor Real'!A3:A15,'Fevereiro 2023 - Valor Real'!C3:C15,0))+1)),((L31-1)*(1-_xlfn.XLOOKUP(K31,'Fevereiro 2023 - Valor Real'!A3:A15,'Fevereiro 2023 - Valor Real'!C3:C15,0))+1)/(((L31-1)*(1-_xlfn.XLOOKUP(K31,'Fevereiro 2023 - Valor Real'!A3:A15,'Fevereiro 2023 - Valor Real'!C3:C15,0))+1)+((L32-1)*(1-_xlfn.XLOOKUP(K32,'Fevereiro 2023 - Valor Real'!A3:A15,'Fevereiro 2023 - Valor Real'!C3:C15,0))+1))))))</f>
        <v>0.17779751332149199</v>
      </c>
      <c r="AF32" s="105">
        <f t="shared" si="61"/>
        <v>0</v>
      </c>
      <c r="AG32" s="106">
        <f t="shared" si="61"/>
        <v>-4.18</v>
      </c>
      <c r="AH32" s="106">
        <f t="shared" si="61"/>
        <v>0</v>
      </c>
      <c r="AI32" s="106">
        <f t="shared" si="61"/>
        <v>0</v>
      </c>
      <c r="AJ32" s="106">
        <f t="shared" si="61"/>
        <v>0</v>
      </c>
      <c r="AK32" s="106">
        <f t="shared" si="61"/>
        <v>0</v>
      </c>
      <c r="AL32" s="106">
        <f t="shared" si="61"/>
        <v>0</v>
      </c>
      <c r="AM32" s="106">
        <f t="shared" si="61"/>
        <v>0</v>
      </c>
      <c r="AN32" s="106">
        <f t="shared" si="61"/>
        <v>0</v>
      </c>
      <c r="AO32" s="106">
        <f t="shared" si="61"/>
        <v>0</v>
      </c>
      <c r="AP32" s="106">
        <f t="shared" si="61"/>
        <v>0</v>
      </c>
      <c r="AQ32" s="106">
        <f t="shared" si="61"/>
        <v>0</v>
      </c>
      <c r="AR32" s="107">
        <f t="shared" si="61"/>
        <v>0</v>
      </c>
      <c r="AS32" s="105">
        <f>IF(AND($B31=" ",$K32=AS$3),$O32,0)</f>
        <v>0</v>
      </c>
      <c r="AT32" s="106">
        <f>IF(AND($B31=" ",K32=AT$3),$O32,0)</f>
        <v>0</v>
      </c>
      <c r="AU32" s="106">
        <f t="shared" ref="AU32:BE32" si="74">IF(AND($B31=" ",$K32=AU$3),$O32,0)</f>
        <v>0</v>
      </c>
      <c r="AV32" s="106">
        <f t="shared" si="74"/>
        <v>0</v>
      </c>
      <c r="AW32" s="106">
        <f t="shared" si="74"/>
        <v>0</v>
      </c>
      <c r="AX32" s="106">
        <f t="shared" si="74"/>
        <v>0</v>
      </c>
      <c r="AY32" s="108">
        <f t="shared" si="74"/>
        <v>0</v>
      </c>
      <c r="AZ32" s="109">
        <f t="shared" si="74"/>
        <v>0</v>
      </c>
      <c r="BA32" s="109">
        <f t="shared" si="74"/>
        <v>0</v>
      </c>
      <c r="BB32" s="109">
        <f t="shared" si="74"/>
        <v>0</v>
      </c>
      <c r="BC32" s="110">
        <f t="shared" si="74"/>
        <v>0</v>
      </c>
      <c r="BD32" s="106">
        <f t="shared" si="74"/>
        <v>0</v>
      </c>
      <c r="BE32" s="107">
        <f t="shared" si="74"/>
        <v>0</v>
      </c>
      <c r="BF32" s="105">
        <f t="shared" si="63"/>
        <v>0</v>
      </c>
      <c r="BG32" s="106">
        <f t="shared" si="63"/>
        <v>4.18</v>
      </c>
      <c r="BH32" s="106">
        <f t="shared" si="63"/>
        <v>0</v>
      </c>
      <c r="BI32" s="106">
        <f t="shared" si="63"/>
        <v>0</v>
      </c>
      <c r="BJ32" s="106">
        <f t="shared" si="63"/>
        <v>0</v>
      </c>
      <c r="BK32" s="106">
        <f t="shared" si="63"/>
        <v>0</v>
      </c>
      <c r="BL32" s="106">
        <f t="shared" si="63"/>
        <v>0</v>
      </c>
      <c r="BM32" s="132">
        <f t="shared" si="63"/>
        <v>0</v>
      </c>
      <c r="BN32" s="112">
        <f t="shared" si="63"/>
        <v>0</v>
      </c>
      <c r="BO32" s="112">
        <f t="shared" si="63"/>
        <v>0</v>
      </c>
      <c r="BP32" s="112">
        <f t="shared" si="63"/>
        <v>0</v>
      </c>
      <c r="BQ32" s="110">
        <f t="shared" si="63"/>
        <v>0</v>
      </c>
      <c r="BR32" s="107">
        <f t="shared" si="63"/>
        <v>0</v>
      </c>
      <c r="BS32" s="464"/>
      <c r="BT32" s="461"/>
      <c r="BU32" s="392"/>
      <c r="BV32" s="461"/>
      <c r="BW32" s="392"/>
      <c r="BX32" s="392"/>
      <c r="BY32" s="392"/>
      <c r="BZ32" s="461"/>
      <c r="CA32" s="392"/>
      <c r="CB32" s="392"/>
      <c r="CC32" s="392"/>
      <c r="CD32" s="401"/>
      <c r="CE32" s="409"/>
      <c r="CF32" s="133">
        <f t="shared" si="4"/>
        <v>0</v>
      </c>
      <c r="CG32" s="134">
        <f t="shared" si="5"/>
        <v>0</v>
      </c>
      <c r="CH32" s="134">
        <f t="shared" si="6"/>
        <v>0</v>
      </c>
      <c r="CI32" s="134">
        <f t="shared" si="7"/>
        <v>1</v>
      </c>
      <c r="CJ32" s="134">
        <f t="shared" si="8"/>
        <v>0</v>
      </c>
      <c r="CK32" s="134">
        <f t="shared" si="9"/>
        <v>0</v>
      </c>
      <c r="CL32" s="134">
        <f t="shared" si="10"/>
        <v>0</v>
      </c>
      <c r="CM32" s="134">
        <f t="shared" si="11"/>
        <v>0</v>
      </c>
      <c r="CN32" s="134">
        <f t="shared" si="12"/>
        <v>0</v>
      </c>
      <c r="CO32" s="134">
        <f t="shared" si="13"/>
        <v>0</v>
      </c>
      <c r="CP32" s="134">
        <f t="shared" si="14"/>
        <v>0</v>
      </c>
      <c r="CQ32" s="134">
        <f t="shared" si="15"/>
        <v>0</v>
      </c>
      <c r="CR32" s="134">
        <f t="shared" si="16"/>
        <v>0</v>
      </c>
      <c r="CS32" s="134">
        <f t="shared" si="17"/>
        <v>0</v>
      </c>
      <c r="CT32" s="115">
        <f t="shared" si="18"/>
        <v>0</v>
      </c>
      <c r="CU32" s="116">
        <f t="shared" si="19"/>
        <v>0</v>
      </c>
      <c r="CV32" s="116">
        <f t="shared" si="20"/>
        <v>0</v>
      </c>
      <c r="CW32" s="116">
        <f t="shared" si="21"/>
        <v>0</v>
      </c>
      <c r="CX32" s="116">
        <f t="shared" si="22"/>
        <v>0</v>
      </c>
      <c r="CY32" s="116">
        <f t="shared" si="23"/>
        <v>0</v>
      </c>
      <c r="CZ32" s="116">
        <f t="shared" si="24"/>
        <v>0</v>
      </c>
      <c r="DA32" s="116">
        <f t="shared" si="25"/>
        <v>0</v>
      </c>
      <c r="DB32" s="116">
        <f t="shared" si="26"/>
        <v>0</v>
      </c>
      <c r="DC32" s="116">
        <f t="shared" si="27"/>
        <v>0</v>
      </c>
      <c r="DD32" s="116">
        <f t="shared" si="28"/>
        <v>0</v>
      </c>
      <c r="DE32" s="117">
        <f t="shared" si="29"/>
        <v>0</v>
      </c>
      <c r="DF32" s="118">
        <f t="shared" si="31"/>
        <v>2</v>
      </c>
      <c r="DG32" s="106">
        <f t="shared" si="32"/>
        <v>2.86</v>
      </c>
      <c r="DH32" s="116">
        <f t="shared" si="33"/>
        <v>0</v>
      </c>
      <c r="DI32" s="106">
        <f t="shared" si="34"/>
        <v>0</v>
      </c>
      <c r="DJ32" s="116">
        <f>IF($D31="","",$D31)</f>
        <v>1</v>
      </c>
      <c r="DK32" s="466"/>
    </row>
    <row r="33" spans="1:115" ht="14.5" customHeight="1" x14ac:dyDescent="0.2">
      <c r="A33" s="390"/>
      <c r="B33" s="457"/>
      <c r="C33" s="135" t="s">
        <v>54</v>
      </c>
      <c r="D33" s="375"/>
      <c r="E33" s="387"/>
      <c r="F33" s="378"/>
      <c r="G33" s="484"/>
      <c r="H33" s="477"/>
      <c r="I33" s="192">
        <v>2</v>
      </c>
      <c r="J33" s="137"/>
      <c r="K33" s="193" t="s">
        <v>47</v>
      </c>
      <c r="L33" s="194">
        <v>1.43</v>
      </c>
      <c r="M33" s="140">
        <v>17.600000000000001</v>
      </c>
      <c r="N33" s="407"/>
      <c r="O33" s="195">
        <f>IF(OR(AE31="",AE32=""),"",IF(L33&gt;0,ROUND(IF(M33&gt;0,M33,IF(M31&gt;0,ROUND((M31*AE33)/AE31,IF(N31=0,2,IF(N31=0.1,1,0))),IF(M32&gt;0,ROUND((M32*AE33)/AE32,IF(N31=0,2,IF(N31=0.1,1,0))),IF(M33&gt;0,M33,0)))),2),""))</f>
        <v>17.600000000000001</v>
      </c>
      <c r="P33" s="196">
        <f>IF(I32="Lay",O32*(L32/(L32-1))-O32,IF(I31="Lay",O31*(L31/(L31-1))-O31,IF(OR(L33="",O33=""),"",IF($C33="1/2W",O33/2+O33/2*L33,IF($C33="1/2L",O33/2,(O33*L33-O33)*(1-_xlfn.XLOOKUP(K33,'Fevereiro 2023 - Valor Real'!A3:A15,'Fevereiro 2023 - Valor Real'!C3:C15,0))+O33)))))</f>
        <v>25.167999999999999</v>
      </c>
      <c r="Q33" s="197">
        <f>IF(K33="","",IF(_xlfn.XLOOKUP(K33,K$4:K32,$DJ$4:DJ32,0,,-1)=DJ33,_xlfn.XLOOKUP(K33,K$4:K32,Q$4:Q32,1,,-1)+1,1))</f>
        <v>6</v>
      </c>
      <c r="R33" s="198">
        <f>IF(K33="","",_xlfn.XLOOKUP(K33,K$4:K32,R$4:R32,0,,-1)+IF($C33=" ",1,0))</f>
        <v>0</v>
      </c>
      <c r="S33" s="404"/>
      <c r="T33" s="378"/>
      <c r="U33" s="378"/>
      <c r="V33" s="404"/>
      <c r="W33" s="378"/>
      <c r="X33" s="453"/>
      <c r="Y33" s="383"/>
      <c r="Z33" s="384"/>
      <c r="AA33" s="384"/>
      <c r="AB33" s="384"/>
      <c r="AC33" s="384"/>
      <c r="AD33" s="145">
        <f>((L32/(L32-1)-1))</f>
        <v>0.19999999999999996</v>
      </c>
      <c r="AE33" s="199">
        <f>IF(L33="","",(SUM(((L31-1)*(1-_xlfn.XLOOKUP(K31,'Fevereiro 2023 - Valor Real'!A3:A15,'Fevereiro 2023 - Valor Real'!C3:C15,0))+1),((L32-1)*(1-_xlfn.XLOOKUP(K32,'Fevereiro 2023 - Valor Real'!A3:A15,'Fevereiro 2023 - Valor Real'!C3:C15,0))+1),((L33-1)*(1-_xlfn.XLOOKUP(K33,'Fevereiro 2023 - Valor Real'!A3:A15,'Fevereiro 2023 - Valor Real'!C3:C15,0))+1))/((L33-1)*(1-_xlfn.XLOOKUP(K33,'Fevereiro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Real'!C3:C15,0))+1))/((L31-1)*(1-_xlfn.XLOOKUP(K31,'Fevereiro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Real'!C3:C15,0))+1))/((L32-1)*(1-_xlfn.XLOOKUP(K32,'Fevereiro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Real'!C3:C15,0))+1))/((L33-1)*(1-_xlfn.XLOOKUP(K33,'Fevereiro 2023 - Valor Real'!A3:A15,'Fevereiro 2023 - Valor Real'!C3:C15,0))+1)))</f>
        <v>0.74600355239786853</v>
      </c>
      <c r="AF33" s="105">
        <f t="shared" si="61"/>
        <v>0</v>
      </c>
      <c r="AG33" s="106">
        <f t="shared" si="61"/>
        <v>0</v>
      </c>
      <c r="AH33" s="106">
        <f t="shared" si="61"/>
        <v>0</v>
      </c>
      <c r="AI33" s="106">
        <f t="shared" si="61"/>
        <v>0</v>
      </c>
      <c r="AJ33" s="106">
        <f t="shared" si="61"/>
        <v>0</v>
      </c>
      <c r="AK33" s="106">
        <f t="shared" si="61"/>
        <v>0</v>
      </c>
      <c r="AL33" s="106">
        <f t="shared" si="61"/>
        <v>0</v>
      </c>
      <c r="AM33" s="106">
        <f t="shared" si="61"/>
        <v>0</v>
      </c>
      <c r="AN33" s="106">
        <f t="shared" si="61"/>
        <v>0</v>
      </c>
      <c r="AO33" s="106">
        <f t="shared" si="61"/>
        <v>0</v>
      </c>
      <c r="AP33" s="106">
        <f t="shared" si="61"/>
        <v>0</v>
      </c>
      <c r="AQ33" s="106">
        <f t="shared" si="61"/>
        <v>7.57</v>
      </c>
      <c r="AR33" s="107">
        <f t="shared" si="61"/>
        <v>0</v>
      </c>
      <c r="AS33" s="105">
        <f>IF(AND($B31=" ",$K33=AS$3),$O33,0)</f>
        <v>0</v>
      </c>
      <c r="AT33" s="106">
        <f>IF(AND($B31=" ",K33=AT$3),$O33,0)</f>
        <v>0</v>
      </c>
      <c r="AU33" s="106">
        <f t="shared" ref="AU33:BE33" si="75">IF(AND($B31=" ",$K33=AU$3),$O33,0)</f>
        <v>0</v>
      </c>
      <c r="AV33" s="106">
        <f t="shared" si="75"/>
        <v>0</v>
      </c>
      <c r="AW33" s="106">
        <f t="shared" si="75"/>
        <v>0</v>
      </c>
      <c r="AX33" s="106">
        <f t="shared" si="75"/>
        <v>0</v>
      </c>
      <c r="AY33" s="108">
        <f t="shared" si="75"/>
        <v>0</v>
      </c>
      <c r="AZ33" s="109">
        <f t="shared" si="75"/>
        <v>0</v>
      </c>
      <c r="BA33" s="109">
        <f t="shared" si="75"/>
        <v>0</v>
      </c>
      <c r="BB33" s="109">
        <f t="shared" si="75"/>
        <v>0</v>
      </c>
      <c r="BC33" s="110">
        <f t="shared" si="75"/>
        <v>0</v>
      </c>
      <c r="BD33" s="106">
        <f t="shared" si="75"/>
        <v>0</v>
      </c>
      <c r="BE33" s="107">
        <f t="shared" si="75"/>
        <v>0</v>
      </c>
      <c r="BF33" s="105">
        <f t="shared" si="63"/>
        <v>0</v>
      </c>
      <c r="BG33" s="106">
        <f t="shared" si="63"/>
        <v>0</v>
      </c>
      <c r="BH33" s="106">
        <f t="shared" si="63"/>
        <v>0</v>
      </c>
      <c r="BI33" s="106">
        <f t="shared" si="63"/>
        <v>0</v>
      </c>
      <c r="BJ33" s="106">
        <f t="shared" si="63"/>
        <v>0</v>
      </c>
      <c r="BK33" s="106">
        <f t="shared" si="63"/>
        <v>0</v>
      </c>
      <c r="BL33" s="106">
        <f t="shared" si="63"/>
        <v>0</v>
      </c>
      <c r="BM33" s="108">
        <f t="shared" si="63"/>
        <v>0</v>
      </c>
      <c r="BN33" s="109">
        <f t="shared" si="63"/>
        <v>0</v>
      </c>
      <c r="BO33" s="109">
        <f t="shared" si="63"/>
        <v>0</v>
      </c>
      <c r="BP33" s="109">
        <f t="shared" si="63"/>
        <v>0</v>
      </c>
      <c r="BQ33" s="110">
        <f t="shared" si="63"/>
        <v>17.600000000000001</v>
      </c>
      <c r="BR33" s="107">
        <f t="shared" si="63"/>
        <v>0</v>
      </c>
      <c r="BS33" s="464"/>
      <c r="BT33" s="461"/>
      <c r="BU33" s="392"/>
      <c r="BV33" s="461"/>
      <c r="BW33" s="392"/>
      <c r="BX33" s="392"/>
      <c r="BY33" s="392"/>
      <c r="BZ33" s="461"/>
      <c r="CA33" s="392"/>
      <c r="CB33" s="392"/>
      <c r="CC33" s="392"/>
      <c r="CD33" s="401"/>
      <c r="CE33" s="409"/>
      <c r="CF33" s="133">
        <f t="shared" si="4"/>
        <v>0</v>
      </c>
      <c r="CG33" s="134">
        <f t="shared" si="5"/>
        <v>0</v>
      </c>
      <c r="CH33" s="134">
        <f t="shared" si="6"/>
        <v>0</v>
      </c>
      <c r="CI33" s="134">
        <f t="shared" si="7"/>
        <v>0</v>
      </c>
      <c r="CJ33" s="134">
        <f t="shared" si="8"/>
        <v>0</v>
      </c>
      <c r="CK33" s="134">
        <f t="shared" si="9"/>
        <v>0</v>
      </c>
      <c r="CL33" s="134">
        <f t="shared" si="10"/>
        <v>0</v>
      </c>
      <c r="CM33" s="134">
        <f t="shared" si="11"/>
        <v>0</v>
      </c>
      <c r="CN33" s="134">
        <f t="shared" si="12"/>
        <v>0</v>
      </c>
      <c r="CO33" s="134">
        <f t="shared" si="13"/>
        <v>0</v>
      </c>
      <c r="CP33" s="134">
        <f t="shared" si="14"/>
        <v>0</v>
      </c>
      <c r="CQ33" s="134">
        <f t="shared" si="15"/>
        <v>0</v>
      </c>
      <c r="CR33" s="134">
        <f t="shared" si="16"/>
        <v>0</v>
      </c>
      <c r="CS33" s="134">
        <f t="shared" si="17"/>
        <v>0</v>
      </c>
      <c r="CT33" s="115">
        <f t="shared" si="18"/>
        <v>0</v>
      </c>
      <c r="CU33" s="116">
        <f t="shared" si="19"/>
        <v>0</v>
      </c>
      <c r="CV33" s="116">
        <f t="shared" si="20"/>
        <v>0</v>
      </c>
      <c r="CW33" s="116">
        <f t="shared" si="21"/>
        <v>0</v>
      </c>
      <c r="CX33" s="116">
        <f t="shared" si="22"/>
        <v>0</v>
      </c>
      <c r="CY33" s="116">
        <f t="shared" si="23"/>
        <v>0</v>
      </c>
      <c r="CZ33" s="116">
        <f t="shared" si="24"/>
        <v>0</v>
      </c>
      <c r="DA33" s="116">
        <f t="shared" si="25"/>
        <v>0</v>
      </c>
      <c r="DB33" s="116">
        <f t="shared" si="26"/>
        <v>1</v>
      </c>
      <c r="DC33" s="116">
        <f t="shared" si="27"/>
        <v>0</v>
      </c>
      <c r="DD33" s="116">
        <f t="shared" si="28"/>
        <v>0</v>
      </c>
      <c r="DE33" s="117">
        <f t="shared" si="29"/>
        <v>0</v>
      </c>
      <c r="DF33" s="118">
        <f t="shared" si="31"/>
        <v>3</v>
      </c>
      <c r="DG33" s="106">
        <f t="shared" si="32"/>
        <v>4.29</v>
      </c>
      <c r="DH33" s="116">
        <f t="shared" si="33"/>
        <v>0</v>
      </c>
      <c r="DI33" s="106">
        <f t="shared" si="34"/>
        <v>0</v>
      </c>
      <c r="DJ33" s="116">
        <f>IF($D31="","",$D31)</f>
        <v>1</v>
      </c>
      <c r="DK33" s="466"/>
    </row>
    <row r="34" spans="1:115" ht="14.5" customHeight="1" x14ac:dyDescent="0.2">
      <c r="A34" s="487">
        <f>$A31+1</f>
        <v>11</v>
      </c>
      <c r="B34" s="506" t="str">
        <f>IF(OR(C34="W",C35="W",C36="W",C34="1/2W",C35="1/2W",C36="1/2W",C34="1/2L",C35="1/2L",C36="1/2L"),"OK",IF(OR(C34="L",C35="L",C36="L"),"LOSS",IF(OR(C34="X",C35="X",C36="X"),"Anulado"," ")))</f>
        <v>OK</v>
      </c>
      <c r="C34" s="147" t="s">
        <v>55</v>
      </c>
      <c r="D34" s="495">
        <f>IF(G34="","",$D31)</f>
        <v>1</v>
      </c>
      <c r="E34" s="511" t="str">
        <f>IF(G34=""," ","– "&amp;COUNTIF(D$4:D36,$D34))</f>
        <v>– 11</v>
      </c>
      <c r="F34" s="510" t="str">
        <f ca="1">IF(G34="","",IF(OR(AND($C34&lt;&gt;" ",$C35=" "),AND($C35&lt;&gt;" ",$C34=" "),AND(L36&gt;0,OR(AND($C36&lt;&gt;" ",OR($C34=" ",$C35=" ")),AND($C36=" ",OR($C34&lt;&gt;" ",$C35&lt;&gt;" "))))),IF(SUM(F$4:F33)=0,1,LARGE(F$4:F33,1)+1),IF(MONTH(G34)=MONTH(TODAY()),IF(AND(DAY(G34)&lt;DAY(TODAY()),$B34=" "),IF(SUM(F$4:F33)=0,1,LARGE(F$4:F33,1)+1),IF($B34=" ",IF(AND(DAY(G34)=DAY(TODAY()),HOUR(G34)&lt;=HOUR(NOW())+1),IF(AND(HOUR(G34)+2&lt;=HOUR(NOW()),DAY(G34)&lt;=DAY(TODAY()),MINUTE(G34)&lt;=MINUTE(NOW())),IF(SUM(F$4:F33)=0,1,LARGE(F$4:F33,1)+1),IF(OR(MINUTE(G34)&lt;=MINUTE(NOW()),HOUR(G34)&lt;=HOUR(NOW())),"!!!","")),""),"")),"")))</f>
        <v/>
      </c>
      <c r="G34" s="508">
        <v>44987.628472222219</v>
      </c>
      <c r="H34" s="502" t="s">
        <v>60</v>
      </c>
      <c r="I34" s="180" t="s">
        <v>61</v>
      </c>
      <c r="J34" s="149"/>
      <c r="K34" s="150" t="s">
        <v>47</v>
      </c>
      <c r="L34" s="151">
        <v>8.5</v>
      </c>
      <c r="M34" s="152">
        <v>10.19</v>
      </c>
      <c r="N34" s="503">
        <v>0</v>
      </c>
      <c r="O34" s="153">
        <f>IF(OR(AE34="",AE35=""),"",ROUND(IF(L36&gt;0,IF(M34&gt;0,M34,IF(M35&gt;0,ROUND((M35*AE34)/AE35,IF(N34=0,2,IF(N34=0.1,1,0))),ROUND((M36*AE34)/AE36,IF(N34=0,2,IF(N34=0.1,1,0))))),IF(M34&gt;0,M34,ROUND((M35*AE34)/AE35,IF(N34=0,2,IF(N34=0.1,1,0))))),2))</f>
        <v>10.19</v>
      </c>
      <c r="P34" s="154">
        <f>IF(OR(L34="",O34=""),"",IF($C34="1/2W",O34/2+O34/2*L34,IF($C34="1/2L",O34/2,IF(I34="Lay",(O34*(L34/(L34-1))-O34)*(1-_xlfn.XLOOKUP(K34,'Fevereiro 2023 - Valor Real'!A3:A15,'Fevereiro 2023 - Valor Real'!C3:C15,0))+O34,(O34*L34-O34)*(1-_xlfn.XLOOKUP(K34,'Fevereiro 2023 - Valor Real'!A3:A15,'Fevereiro 2023 - Valor Real'!C3:C15,0))+O34))))</f>
        <v>86.614999999999995</v>
      </c>
      <c r="Q34" s="155">
        <f>IF(K34="","",IF(_xlfn.XLOOKUP(K34,K$4:K33,$DJ$4:DJ33,0,,-1)=DJ34,_xlfn.XLOOKUP(K34,K$4:K33,Q$4:Q33,1,,-1)+1,1))</f>
        <v>7</v>
      </c>
      <c r="R34" s="156">
        <f>IF(K34="","",_xlfn.XLOOKUP(K34,K$4:K33,R$4:R33,0,,-1)+IF($C34=" ",1,0))</f>
        <v>0</v>
      </c>
      <c r="S34" s="501">
        <f>IF($B34="Anulado",0,ROUND(IF(OR($B34="LOSS",$B34="OK"),IF(OR($C34="W",$C34="1/2W",$C34="1/2L"),P34-O34,IF($C34="L",-O34,0))+IF(OR($C35="W",$C35="1/2W",$C35="1/2L"),P35-O35,IF($C35="L",-O35,0))+IF(OR($C36="W",$C36="1/2W",$C36="1/2L"),P36-O36,IF($C36="L",-O36,0)),IF(AND(OR($C34="W",$C34="1/2W",$C34="1/2L"),C35="W"),P34+P35-SUM(O34:O36)+_xlfn.XLOOKUP("X",C34:C36,O34:O36,0),IF(AND(C34=TRUE,C36="W"),P34+P36-SUM(O34:O36),IF(AND(C35="W",C36="W"),P35+P36-SUM(O34:O36)+_xlfn.XLOOKUP("X",C34:C36,O34:O36,0),IF(L36&gt;0,IF(OR($C34="W",$C34="1/2W",$C34="1/2L"),P34-SUM(O34:O36)+_xlfn.XLOOKUP("X",C34:C36,O34:O36,0),IF(OR($C34="W",$C34="1/2W",$C34="1/2L"),P35-SUM(O34:O36)+_xlfn.XLOOKUP("X",C34:C36,O34:O36,0),IF(OR($C34="W",$C34="1/2W",$C34="1/2L"),P36-SUM(O34:O36)+_xlfn.XLOOKUP("X",C34:C36,O34:O36,0),IF(SUM(P34:P36)/3-SUM(O34:O36)+_xlfn.XLOOKUP("X",C34:C36,O34:O36,0)&gt;0,SUM(P34:P36)/3-SUM(O34:O36)+_xlfn.XLOOKUP("X",C34:C36,O34:O36,0),LARGE(P34:P36,1)-SUM(O34:O36))))),IF(OR($C34="W",$C34="1/2W",$C34="1/2L"),P34-SUM(O34:O35)+_xlfn.XLOOKUP("X",C34:C36,O34:O36,0),IF(OR($C34="W",$C34="1/2W",$C34="1/2L"),P35-SUM(O34:O35)+_xlfn.XLOOKUP("X",C34:C36,O34:O36,0),SUM(P34:P35)/2-SUM(O34:O35)+_xlfn.XLOOKUP("X",C34:C36,O34:O36,0)))))))),2))</f>
        <v>3.97</v>
      </c>
      <c r="T34" s="486">
        <f>IF(S34=0,0,S34/SUM(O34:O36))</f>
        <v>4.7952651286387253E-2</v>
      </c>
      <c r="U34" s="496">
        <f>IF($D34=$D31,IF(OR($B34="LOSS",$B34="OK",$B34="Anulada"),S34,0)+U31,IF(OR($B34="LOSS",$B34="OK",$B34="Anulada"),S34,0))</f>
        <v>21.02</v>
      </c>
      <c r="V34" s="496">
        <f>IF($D34="",0,IF($D34=$D31,IF($B34=" ",IF(I36="",IF(OR(AND(I34="DNB1",I35="DNB2"),AND(OR(I34="DNB1",I34="DNB2"),J35=0),AND(OR(I35="DNB1",I35="DNB2"),J34=0),AND(I34="DNB2",I35="DNB1"),AND(IF(J34=0,(J34+1)/ROUND(J34+1,0),J34/ROUND(J34,0))=1,IF(J35=0,(J35+1)/ROUND(IF(J35="",0,J35)+1,0),IF(J35="",0,J35)/ROUND(IF(J35="",1,J35),0))=1,OR(J34&lt;&gt;""),J35&lt;&gt;"")),0,IF(S34&lt;0,IF(I36="",SMALL(P34:P35,1)-SUM(O34:O35),0),SMALL(P34:P35,1)-SUM(O34:O35))),IF(S34&lt;0,IF(I36="",SMALL(P34:P36,1)-SUM(O34:O36),0),LARGE(P34:P36,1)-SUM(O34:O36))),S34)+V31,IF(I36="",IF(OR(AND(I34="DNB1",I35="DNB2"),AND(OR(I34="DNB1",I34="DNB2"),J35=0),AND(OR(I35="DNB1",I35="DNB2"),J34=0),AND(I34="DNB2",I35="DNB1"),AND(IF(J34=0,(J34+1)/ROUND(J34+1,0),J34/ROUND(J34,0))=1,IF(J35=0,(IF(J35="",0,J35)+1)/ROUND(IF(J35="",0,J35)+1,0),IF(J35="",0,J35)/ROUND(IF(J35="",0,J35)+1,0))=1,OR(J34&lt;&gt;""),J35&lt;&gt;"")),0,IF(S34&lt;0,IF(I36="",SMALL(P34:P35,1)-SUM(O34:O35),0),SMALL(P34:P36,1)-SUM(O34:O36))),IF(S34&lt;0,IF(I36="",SMALL(P34:P36,1)-SUM(O34:O36),0),LARGE(P34:P36,1)-SUM(O34:O36)))))</f>
        <v>21.02</v>
      </c>
      <c r="W34" s="496">
        <f>IF($D34=$D31,IF(S34&lt;0,IF(I36="",S34,0),S34)+W31,S34)</f>
        <v>21.02</v>
      </c>
      <c r="X34" s="505" t="str">
        <f>IF(OR(SUM(R34:R36)=0,V34=W34),ROUND(IF(W34=0,0,W34/Y34)*100,2)&amp;"%",ROUND(IF(V34=0,0,V34/Y34)*100,2)&amp;"% a "&amp;ROUND(IF(W34=0,0,W34/Y34)*100,2)&amp;"%")</f>
        <v>5,18%</v>
      </c>
      <c r="Y34" s="497">
        <f>IF($D34=$D31,Y31+SUM(O34:O36),SUM(O34:O36))</f>
        <v>405.89</v>
      </c>
      <c r="Z34" s="496">
        <f>IF($B34=" ",SUM(O34:O36),0)+Z31</f>
        <v>0</v>
      </c>
      <c r="AA34" s="496">
        <f>IF(G34="","",IF($B34="Anulado",LARGE(P34:P36,1)-SUM(O34:O36)+AA31,AA31))</f>
        <v>0.45899999999999785</v>
      </c>
      <c r="AB34" s="496">
        <f>IF($D34="","",AB31+S34)</f>
        <v>21.02</v>
      </c>
      <c r="AC34" s="499">
        <f ca="1">IF($D34="","",IF($B34=" ",IF(DAY(G34)=DAY(TODAY()),1+AC31,0+AC31),0+AC31))</f>
        <v>0</v>
      </c>
      <c r="AD34" s="157">
        <f>(1-_xlfn.XLOOKUP(K32,'Fevereiro 2023 - Valor Real'!A3:A15,'Fevereiro 2023 - Valor Real'!C3:C15,0))+1</f>
        <v>2</v>
      </c>
      <c r="AE34" s="158">
        <f>IF(L34="","",IF(L36&gt;0,(SUM(((L34-1)*(1-_xlfn.XLOOKUP(K34,'Fevereiro 2023 - Valor Real'!A3:A15,'Fevereiro 2023 - Valor Real'!C3:C15,0))+1),((L35-1)*(1-_xlfn.XLOOKUP(K35,'Fevereiro 2023 - Valor Real'!A3:A15,'Fevereiro 2023 - Valor Real'!C3:C15,0))+1),((L36-1)*(1-_xlfn.XLOOKUP(K36,'Fevereiro 2023 - Valor Real'!A3:A15,'Fevereiro 2023 - Valor Real'!C3:C15,0))+1))/((L34-1)*(1-_xlfn.XLOOKUP(K34,'Fevereiro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Real'!C3:C15,0))+1))/((L34-1)*(1-_xlfn.XLOOKUP(K34,'Fevereiro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Real'!C3:C15,0))+1))/((L35-1)*(1-_xlfn.XLOOKUP(K35,'Fevereiro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Real'!C3:C15,0))+1))/((L36-1)*(1-_xlfn.XLOOKUP(K36,'Fevereiro 2023 - Valor Real'!A3:A15,'Fevereiro 2023 - Valor Real'!C3:C15,0))+1)),IF(I34="Lay",IF(I35="Lay",((L35/(L35-1)-1)*(1-_xlfn.XLOOKUP(K35,'Fevereiro 2023 - Valor Real'!A3:A15,'Fevereiro 2023 - Valor Real'!C3:C15,0))+1)/(((L35/(L35-1)-1)*(1-_xlfn.XLOOKUP(K35,'Fevereiro 2023 - Valor Real'!A3:A15,'Fevereiro 2023 - Valor Real'!C3:C15,0))+1)+((L34/(L34-1)-1)*(1-_xlfn.XLOOKUP(K34,'Fevereiro 2023 - Valor Real'!A3:A15,'Fevereiro 2023 - Valor Real'!C3:C15,0))+1)),((L35-1)*(1-_xlfn.XLOOKUP(K35,'Fevereiro 2023 - Valor Real'!A3:A15,'Fevereiro 2023 - Valor Real'!C3:C15,0))+1)/(((L35-1)*(1-_xlfn.XLOOKUP(K35,'Fevereiro 2023 - Valor Real'!A3:A15,'Fevereiro 2023 - Valor Real'!C3:C15,0))+1)+((L34/(L34-1)-1)*(1-_xlfn.XLOOKUP(K34,'Fevereiro 2023 - Valor Real'!A3:A15,'Fevereiro 2023 - Valor Real'!C3:C15,0))+1))),IF(I35="Lay",(((L35/(L35-1)-1)*(1-_xlfn.XLOOKUP(K35,'Fevereiro 2023 - Valor Real'!A3:A15,'Fevereiro 2023 - Valor Real'!C3:C15,0))+1))/(((L34-1)*(1-_xlfn.XLOOKUP(K34,'Fevereiro 2023 - Valor Real'!A3:A15,'Fevereiro 2023 - Valor Real'!C3:C15,0))+1)+((L35/(L35-1)-1)*(1-_xlfn.XLOOKUP(K35,'Fevereiro 2023 - Valor Real'!A3:A15,'Fevereiro 2023 - Valor Real'!C3:C15,0))+1)),((L35-1)*(1-_xlfn.XLOOKUP(K35,'Fevereiro 2023 - Valor Real'!A3:A15,'Fevereiro 2023 - Valor Real'!C3:C15,0))+1)/(((L35-1)*(1-_xlfn.XLOOKUP(K35,'Fevereiro 2023 - Valor Real'!A3:A15,'Fevereiro 2023 - Valor Real'!C3:C15,0))+1)+((L34-1)*(1-_xlfn.XLOOKUP(K34,'Fevereiro 2023 - Valor Real'!A3:A15,'Fevereiro 2023 - Valor Real'!C3:C15,0))+1))))))</f>
        <v>6.8293025131973564E-2</v>
      </c>
      <c r="AF34" s="66">
        <f t="shared" ref="AF34:AR43" si="76">IF($K34=AF$3,ROUND(IF(OR($C34="W",$C34="1/2W",$C34="1/2L"),$P34-$O34,IF($C34="X",0,-$O34)),2),0)</f>
        <v>0</v>
      </c>
      <c r="AG34" s="67">
        <f t="shared" si="76"/>
        <v>0</v>
      </c>
      <c r="AH34" s="67">
        <f t="shared" si="76"/>
        <v>0</v>
      </c>
      <c r="AI34" s="67">
        <f t="shared" si="76"/>
        <v>0</v>
      </c>
      <c r="AJ34" s="67">
        <f t="shared" si="76"/>
        <v>0</v>
      </c>
      <c r="AK34" s="67">
        <f t="shared" si="76"/>
        <v>0</v>
      </c>
      <c r="AL34" s="67">
        <f t="shared" si="76"/>
        <v>0</v>
      </c>
      <c r="AM34" s="67">
        <f t="shared" si="76"/>
        <v>0</v>
      </c>
      <c r="AN34" s="67">
        <f t="shared" si="76"/>
        <v>0</v>
      </c>
      <c r="AO34" s="67">
        <f t="shared" si="76"/>
        <v>0</v>
      </c>
      <c r="AP34" s="67">
        <f t="shared" si="76"/>
        <v>0</v>
      </c>
      <c r="AQ34" s="67">
        <f t="shared" si="76"/>
        <v>-10.19</v>
      </c>
      <c r="AR34" s="68">
        <f t="shared" si="76"/>
        <v>0</v>
      </c>
      <c r="AS34" s="66">
        <f t="shared" ref="AS34:BE34" si="77">IF(AND($B34=" ",$K34=AS$3),$O34,0)</f>
        <v>0</v>
      </c>
      <c r="AT34" s="67">
        <f t="shared" si="77"/>
        <v>0</v>
      </c>
      <c r="AU34" s="67">
        <f t="shared" si="77"/>
        <v>0</v>
      </c>
      <c r="AV34" s="67">
        <f t="shared" si="77"/>
        <v>0</v>
      </c>
      <c r="AW34" s="67">
        <f t="shared" si="77"/>
        <v>0</v>
      </c>
      <c r="AX34" s="67">
        <f t="shared" si="77"/>
        <v>0</v>
      </c>
      <c r="AY34" s="69">
        <f t="shared" si="77"/>
        <v>0</v>
      </c>
      <c r="AZ34" s="70">
        <f t="shared" si="77"/>
        <v>0</v>
      </c>
      <c r="BA34" s="70">
        <f t="shared" si="77"/>
        <v>0</v>
      </c>
      <c r="BB34" s="70">
        <f t="shared" si="77"/>
        <v>0</v>
      </c>
      <c r="BC34" s="71">
        <f t="shared" si="77"/>
        <v>0</v>
      </c>
      <c r="BD34" s="67">
        <f t="shared" si="77"/>
        <v>0</v>
      </c>
      <c r="BE34" s="68">
        <f t="shared" si="77"/>
        <v>0</v>
      </c>
      <c r="BF34" s="66">
        <f t="shared" ref="BF34:BR43" si="78">IF($K34=BF$3,IF($C34="X",0,$O34),0)</f>
        <v>0</v>
      </c>
      <c r="BG34" s="67">
        <f t="shared" si="78"/>
        <v>0</v>
      </c>
      <c r="BH34" s="67">
        <f t="shared" si="78"/>
        <v>0</v>
      </c>
      <c r="BI34" s="67">
        <f t="shared" si="78"/>
        <v>0</v>
      </c>
      <c r="BJ34" s="67">
        <f t="shared" si="78"/>
        <v>0</v>
      </c>
      <c r="BK34" s="67">
        <f t="shared" si="78"/>
        <v>0</v>
      </c>
      <c r="BL34" s="67">
        <f t="shared" si="78"/>
        <v>0</v>
      </c>
      <c r="BM34" s="69">
        <f t="shared" si="78"/>
        <v>0</v>
      </c>
      <c r="BN34" s="70">
        <f t="shared" si="78"/>
        <v>0</v>
      </c>
      <c r="BO34" s="70">
        <f t="shared" si="78"/>
        <v>0</v>
      </c>
      <c r="BP34" s="70">
        <f t="shared" si="78"/>
        <v>0</v>
      </c>
      <c r="BQ34" s="71">
        <f t="shared" si="78"/>
        <v>10.19</v>
      </c>
      <c r="BR34" s="68">
        <f t="shared" si="78"/>
        <v>0</v>
      </c>
      <c r="BS34" s="490">
        <f>IF($B34="LOSS",IF(AND($K34=BS$3,$C34="L"),-$O34,0)+IF(AND($K35=BS$3,$C35="L"),-$O35,0)+IF(AND($K36=BS$3,$C36="L"),-$O36,0),IF(OR(AND($K34=BS$3,OR($C34="W",$C34="1/2W")),AND($K35=BS$3,OR($C35="W",$C35="1/2W")),AND($K36=BS$3,OR($C36="W",$C36="1/2W"))),$S34,0))</f>
        <v>0</v>
      </c>
      <c r="BT34" s="498">
        <f>IF($B34="LOSS",IF(AND($K34=BT$3,$C34="L"),-$O34,0)+IF(AND($K35=BT$3,$C35="L"),-$O35,0)+IF(AND($K35=BT$3,$C36="L"),-$O36,0),IF(OR(AND($K35=BT$3,OR($C34="W",$C34="1/2W")),AND($K35=BT$3,OR($C35="W",$C35="1/2W")),AND($K35=BT$3,OR($C36="W",$C36="1/2W"))),$S34,0))</f>
        <v>0</v>
      </c>
      <c r="BU34" s="488">
        <f>IF($B34="LOSS",IF(AND($K34=BU$3,$C34="L"),-$O34,0)+IF(AND($K35=BU$3,$C35="L"),-$O35,0)+IF(AND($K35=BU$3,$C36="L"),-$O36,0),IF(OR(AND($K35=BU$3,OR($C34="W",$C34="1/2W")),AND($K35=BU$3,OR($C35="W",$C35="1/2W")),AND($K35=BU$3,OR($C36="W",$C36="1/2W"))),$S34,0))</f>
        <v>0</v>
      </c>
      <c r="BV34" s="488">
        <f t="shared" ref="BV34:CE34" si="79">IF($B34="LOSS",IF(AND($K34=BV$3,$C34="L"),-$O34,0)+IF(AND($K35=BV$3,$C35="L"),-$O35,0)+IF(AND($K36=BV$3,$C36="L"),-$O36,0),IF(OR(AND($K34=BV$3,OR($C34="W",$C34="1/2W")),AND($K35=BV$3,OR($C35="W",$C35="1/2W")),AND($K36=BV$3,OR($C36="W",$C36="1/2W"))),$S34,0))</f>
        <v>0</v>
      </c>
      <c r="BW34" s="488">
        <f t="shared" si="79"/>
        <v>3.97</v>
      </c>
      <c r="BX34" s="488">
        <f t="shared" si="79"/>
        <v>0</v>
      </c>
      <c r="BY34" s="488">
        <f t="shared" si="79"/>
        <v>0</v>
      </c>
      <c r="BZ34" s="488">
        <f t="shared" si="79"/>
        <v>0</v>
      </c>
      <c r="CA34" s="488">
        <f t="shared" si="79"/>
        <v>0</v>
      </c>
      <c r="CB34" s="488">
        <f t="shared" si="79"/>
        <v>0</v>
      </c>
      <c r="CC34" s="488">
        <f t="shared" si="79"/>
        <v>0</v>
      </c>
      <c r="CD34" s="500">
        <f t="shared" si="79"/>
        <v>0</v>
      </c>
      <c r="CE34" s="504">
        <f t="shared" si="79"/>
        <v>0</v>
      </c>
      <c r="CF34" s="160">
        <f t="shared" si="4"/>
        <v>0</v>
      </c>
      <c r="CG34" s="161">
        <f t="shared" si="5"/>
        <v>0</v>
      </c>
      <c r="CH34" s="161">
        <f t="shared" si="6"/>
        <v>0</v>
      </c>
      <c r="CI34" s="161">
        <f t="shared" si="7"/>
        <v>0</v>
      </c>
      <c r="CJ34" s="161">
        <f t="shared" si="8"/>
        <v>0</v>
      </c>
      <c r="CK34" s="161">
        <f t="shared" si="9"/>
        <v>0</v>
      </c>
      <c r="CL34" s="161">
        <f t="shared" si="10"/>
        <v>0</v>
      </c>
      <c r="CM34" s="161">
        <f t="shared" si="11"/>
        <v>0</v>
      </c>
      <c r="CN34" s="161">
        <f t="shared" si="12"/>
        <v>0</v>
      </c>
      <c r="CO34" s="161">
        <f t="shared" si="13"/>
        <v>0</v>
      </c>
      <c r="CP34" s="161">
        <f t="shared" si="14"/>
        <v>0</v>
      </c>
      <c r="CQ34" s="161">
        <f t="shared" si="15"/>
        <v>0</v>
      </c>
      <c r="CR34" s="161">
        <f t="shared" si="16"/>
        <v>0</v>
      </c>
      <c r="CS34" s="161">
        <f t="shared" si="17"/>
        <v>0</v>
      </c>
      <c r="CT34" s="75">
        <f t="shared" si="18"/>
        <v>0</v>
      </c>
      <c r="CU34" s="76">
        <f t="shared" si="19"/>
        <v>0</v>
      </c>
      <c r="CV34" s="76">
        <f t="shared" si="20"/>
        <v>0</v>
      </c>
      <c r="CW34" s="76">
        <f t="shared" si="21"/>
        <v>0</v>
      </c>
      <c r="CX34" s="76">
        <f t="shared" si="22"/>
        <v>0</v>
      </c>
      <c r="CY34" s="76">
        <f t="shared" si="23"/>
        <v>0</v>
      </c>
      <c r="CZ34" s="76">
        <f t="shared" si="24"/>
        <v>0</v>
      </c>
      <c r="DA34" s="76">
        <f t="shared" si="25"/>
        <v>0</v>
      </c>
      <c r="DB34" s="76">
        <f t="shared" si="26"/>
        <v>0</v>
      </c>
      <c r="DC34" s="76">
        <f t="shared" si="27"/>
        <v>1</v>
      </c>
      <c r="DD34" s="76">
        <f t="shared" si="28"/>
        <v>0</v>
      </c>
      <c r="DE34" s="77">
        <f t="shared" si="29"/>
        <v>0</v>
      </c>
      <c r="DF34" s="73">
        <f t="shared" si="31"/>
        <v>3</v>
      </c>
      <c r="DG34" s="67">
        <f t="shared" si="32"/>
        <v>4.29</v>
      </c>
      <c r="DH34" s="76">
        <f t="shared" si="33"/>
        <v>0</v>
      </c>
      <c r="DI34" s="67">
        <f t="shared" si="34"/>
        <v>0</v>
      </c>
      <c r="DJ34" s="76">
        <f>IF($D34="","",$D34)</f>
        <v>1</v>
      </c>
      <c r="DK34" s="492">
        <f>IF(AND($B34=" ",$D34&lt;&gt;""),1,0)</f>
        <v>0</v>
      </c>
    </row>
    <row r="35" spans="1:115" ht="14.5" customHeight="1" x14ac:dyDescent="0.2">
      <c r="A35" s="389"/>
      <c r="B35" s="456"/>
      <c r="C35" s="53" t="s">
        <v>54</v>
      </c>
      <c r="D35" s="374"/>
      <c r="E35" s="386"/>
      <c r="F35" s="377"/>
      <c r="G35" s="508"/>
      <c r="H35" s="476"/>
      <c r="I35" s="182" t="s">
        <v>59</v>
      </c>
      <c r="J35" s="163" t="str">
        <f>IF(OR(I34="TO",I34="TU",I34="TO1",I34="TU1",I34="TO2",I34="TU2"),J34,IF(OR(I34="AH1",I34="AH2"),IF(OR(I35="AH1",I35="AH2"),-J34,IF(OR(I35="EH1",I35="EH2"),-J34+0.5,"")),IF(OR(I34="EH1",I34="EH2"),IF(OR(I35="AH1",I35="AH2"),-J34+0.5,IF(OR(I35="EH1",I35="EH2"),-J34+1,"")),IF(AND(OR(I34="DNB1",I34="DNB2"),OR(I35="AH1",I35="AH2")),0,IF(AND(I34="Not ScoreBoth",OR(I35="TO1",I35="TO2")),0.5,"")))))</f>
        <v/>
      </c>
      <c r="K35" s="57" t="s">
        <v>40</v>
      </c>
      <c r="L35" s="164">
        <v>1.18</v>
      </c>
      <c r="M35" s="165">
        <v>64.8</v>
      </c>
      <c r="N35" s="406"/>
      <c r="O35" s="60">
        <f>IF(OR(AE34="",AE35=""),"",ROUND(IF(L36&gt;0,IF(M35&gt;0,M35,IF(M34&gt;0,IF(N34=TRUE,ROUND((M34*AE35)/AE34,0),(M34*AE35)/AE34),IF(M35&gt;0,ROUND(M35,IF(N34=0,2,IF(N34=0.1,1,0))),IF(M36&gt;0,ROUND(O36*AE35/AE36,IF(N34=0,2,IF(N34=0.1,1,0))),0)))),IF(M35&gt;0,M35,ROUND((M34*AE35)/AE34,IF(N34=0,2,IF(N34=0.1,1,0))))),2))</f>
        <v>64.8</v>
      </c>
      <c r="P35" s="61">
        <f>IF(OR(L35="",O35=""),"",IF($C35="1/2W",O35/2+O35/2*L35,IF($C35="1/2L",O35/2,IF(I35="Lay",((O35*(L35/(L35-1)))-O35)*(1-_xlfn.XLOOKUP(K35,'Fevereiro 2023 - Valor Real'!A3:A15,'Fevereiro 2023 - Valor Real'!C3:C15,0))+O35,(O35*L35-O35)*(1-_xlfn.XLOOKUP(K35,'Fevereiro 2023 - Valor Real'!A3:A15,'Fevereiro 2023 - Valor Real'!C3:C15,0))+O35))))</f>
        <v>76.463999999999999</v>
      </c>
      <c r="Q35" s="166">
        <f>IF(K35="","",IF(_xlfn.XLOOKUP(K35,K$4:K34,$DJ$4:DJ34,0,,-1)=DJ35,_xlfn.XLOOKUP(K35,K$4:K34,Q$4:Q34,1,,-1)+1,1))</f>
        <v>8</v>
      </c>
      <c r="R35" s="167">
        <f>IF(K35="","",_xlfn.XLOOKUP(K35,K$4:K34,R$4:R34,0,,-1)+IF($C35=" ",1,0))</f>
        <v>0</v>
      </c>
      <c r="S35" s="403"/>
      <c r="T35" s="380"/>
      <c r="U35" s="380"/>
      <c r="V35" s="481"/>
      <c r="W35" s="380"/>
      <c r="X35" s="452"/>
      <c r="Y35" s="383"/>
      <c r="Z35" s="384"/>
      <c r="AA35" s="384"/>
      <c r="AB35" s="384"/>
      <c r="AC35" s="384"/>
      <c r="AD35" s="64"/>
      <c r="AE35" s="65">
        <f>IF(L35="","",IF(L36&gt;0,(SUM(((L34-1)*(1-_xlfn.XLOOKUP(K34,'Fevereiro 2023 - Valor Real'!A3:A15,'Fevereiro 2023 - Valor Real'!C3:C15,0))+1),((L35-1)*(1-_xlfn.XLOOKUP(K35,'Fevereiro 2023 - Valor Real'!A3:A15,'Fevereiro 2023 - Valor Real'!C3:C15,0))+1),((L36-1)*(1-_xlfn.XLOOKUP(K36,'Fevereiro 2023 - Valor Real'!A3:A15,'Fevereiro 2023 - Valor Real'!C3:C15,0))+1))/((L35-1)*(1-_xlfn.XLOOKUP(K35,'Fevereiro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Real'!C3:C15,0))+1))/((L34-1)*(1-_xlfn.XLOOKUP(K34,'Fevereiro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Real'!C3:C15,0))+1))/((L35-1)*(1-_xlfn.XLOOKUP(K35,'Fevereiro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Real'!C3:C15,0))+1))/((L36-1)*(1-_xlfn.XLOOKUP(K36,'Fevereiro 2023 - Valor Real'!A3:A15,'Fevereiro 2023 - Valor Real'!C3:C15,0))+1)),IF(I35="Lay",IF(I34="Lay",((L34/(L34-1)-1)*(1-_xlfn.XLOOKUP(K34,'Fevereiro 2023 - Valor Real'!A3:A15,'Fevereiro 2023 - Valor Real'!C3:C15,0))+1)/(((L34/(L34-1)-1)*(1-_xlfn.XLOOKUP(K34,'Fevereiro 2023 - Valor Real'!A3:A15,'Fevereiro 2023 - Valor Real'!C3:C15,0))+1)+((L35/(L35-1)-1)*(1-_xlfn.XLOOKUP(K35,'Fevereiro 2023 - Valor Real'!A3:A15,'Fevereiro 2023 - Valor Real'!C3:C15,0))+1)),((L34-1)*(1-_xlfn.XLOOKUP(K34,'Fevereiro 2023 - Valor Real'!A3:A15,'Fevereiro 2023 - Valor Real'!C3:C15,0))+1)/(((L34-1)*(1-_xlfn.XLOOKUP(K34,'Fevereiro 2023 - Valor Real'!A3:A15,'Fevereiro 2023 - Valor Real'!C3:C15,0))+1)+((L35/(L35-1)-1)*(1-_xlfn.XLOOKUP(K35,'Fevereiro 2023 - Valor Real'!A3:A15,'Fevereiro 2023 - Valor Real'!C3:C15,0))+1))),IF(I34="Lay",((L34/(L34-1)-1)*(1-_xlfn.XLOOKUP(K34,'Fevereiro 2023 - Valor Real'!A3:A15,'Fevereiro 2023 - Valor Real'!C3:C15,0))+1)/((((L34/(L34-1)-1)*(1-_xlfn.XLOOKUP(K34,'Fevereiro 2023 - Valor Real'!A3:A15,'Fevereiro 2023 - Valor Real'!C3:C15,0))+1))+((L35-1)*(1-_xlfn.XLOOKUP(K35,'Fevereiro 2023 - Valor Real'!A3:A15,'Fevereiro 2023 - Valor Real'!C3:C15,0))+1)),((L34-1)*(1-_xlfn.XLOOKUP(K34,'Fevereiro 2023 - Valor Real'!A3:A15,'Fevereiro 2023 - Valor Real'!C3:C15,0))+1)/(((L34-1)*(1-_xlfn.XLOOKUP(K34,'Fevereiro 2023 - Valor Real'!A3:A15,'Fevereiro 2023 - Valor Real'!C3:C15,0))+1)+((L35-1)*(1-_xlfn.XLOOKUP(K35,'Fevereiro 2023 - Valor Real'!A3:A15,'Fevereiro 2023 - Valor Real'!C3:C15,0))+1))))))</f>
        <v>0.49194128273031795</v>
      </c>
      <c r="AF35" s="66">
        <f t="shared" si="76"/>
        <v>0</v>
      </c>
      <c r="AG35" s="67">
        <f t="shared" si="76"/>
        <v>0</v>
      </c>
      <c r="AH35" s="67">
        <f t="shared" si="76"/>
        <v>0</v>
      </c>
      <c r="AI35" s="67">
        <f t="shared" si="76"/>
        <v>0</v>
      </c>
      <c r="AJ35" s="67">
        <f t="shared" si="76"/>
        <v>11.66</v>
      </c>
      <c r="AK35" s="67">
        <f t="shared" si="76"/>
        <v>0</v>
      </c>
      <c r="AL35" s="67">
        <f t="shared" si="76"/>
        <v>0</v>
      </c>
      <c r="AM35" s="67">
        <f t="shared" si="76"/>
        <v>0</v>
      </c>
      <c r="AN35" s="67">
        <f t="shared" si="76"/>
        <v>0</v>
      </c>
      <c r="AO35" s="67">
        <f t="shared" si="76"/>
        <v>0</v>
      </c>
      <c r="AP35" s="67">
        <f t="shared" si="76"/>
        <v>0</v>
      </c>
      <c r="AQ35" s="67">
        <f t="shared" si="76"/>
        <v>0</v>
      </c>
      <c r="AR35" s="68">
        <f t="shared" si="76"/>
        <v>0</v>
      </c>
      <c r="AS35" s="66">
        <f>IF(AND($B34=" ",$K35=AS$3),$O35,0)</f>
        <v>0</v>
      </c>
      <c r="AT35" s="67">
        <f>IF(AND($B34=" ",K35=AT$3),$O35,0)</f>
        <v>0</v>
      </c>
      <c r="AU35" s="67">
        <f t="shared" ref="AU35:BE35" si="80">IF(AND($B34=" ",$K35=AU$3),$O35,0)</f>
        <v>0</v>
      </c>
      <c r="AV35" s="67">
        <f t="shared" si="80"/>
        <v>0</v>
      </c>
      <c r="AW35" s="67">
        <f t="shared" si="80"/>
        <v>0</v>
      </c>
      <c r="AX35" s="67">
        <f t="shared" si="80"/>
        <v>0</v>
      </c>
      <c r="AY35" s="69">
        <f t="shared" si="80"/>
        <v>0</v>
      </c>
      <c r="AZ35" s="70">
        <f t="shared" si="80"/>
        <v>0</v>
      </c>
      <c r="BA35" s="70">
        <f t="shared" si="80"/>
        <v>0</v>
      </c>
      <c r="BB35" s="70">
        <f t="shared" si="80"/>
        <v>0</v>
      </c>
      <c r="BC35" s="71">
        <f t="shared" si="80"/>
        <v>0</v>
      </c>
      <c r="BD35" s="67">
        <f t="shared" si="80"/>
        <v>0</v>
      </c>
      <c r="BE35" s="68">
        <f t="shared" si="80"/>
        <v>0</v>
      </c>
      <c r="BF35" s="66">
        <f t="shared" si="78"/>
        <v>0</v>
      </c>
      <c r="BG35" s="168">
        <f t="shared" si="78"/>
        <v>0</v>
      </c>
      <c r="BH35" s="67">
        <f t="shared" si="78"/>
        <v>0</v>
      </c>
      <c r="BI35" s="67">
        <f t="shared" si="78"/>
        <v>0</v>
      </c>
      <c r="BJ35" s="67">
        <f t="shared" si="78"/>
        <v>64.8</v>
      </c>
      <c r="BK35" s="67">
        <f t="shared" si="78"/>
        <v>0</v>
      </c>
      <c r="BL35" s="67">
        <f t="shared" si="78"/>
        <v>0</v>
      </c>
      <c r="BM35" s="69">
        <f t="shared" si="78"/>
        <v>0</v>
      </c>
      <c r="BN35" s="70">
        <f t="shared" si="78"/>
        <v>0</v>
      </c>
      <c r="BO35" s="70">
        <f t="shared" si="78"/>
        <v>0</v>
      </c>
      <c r="BP35" s="70">
        <f t="shared" si="78"/>
        <v>0</v>
      </c>
      <c r="BQ35" s="71">
        <f t="shared" si="78"/>
        <v>0</v>
      </c>
      <c r="BR35" s="68">
        <f t="shared" si="78"/>
        <v>0</v>
      </c>
      <c r="BS35" s="491"/>
      <c r="BT35" s="489"/>
      <c r="BU35" s="392"/>
      <c r="BV35" s="489"/>
      <c r="BW35" s="392"/>
      <c r="BX35" s="392"/>
      <c r="BY35" s="392"/>
      <c r="BZ35" s="489"/>
      <c r="CA35" s="392"/>
      <c r="CB35" s="392"/>
      <c r="CC35" s="392"/>
      <c r="CD35" s="401"/>
      <c r="CE35" s="409"/>
      <c r="CF35" s="169">
        <f t="shared" si="4"/>
        <v>0</v>
      </c>
      <c r="CG35" s="170">
        <f t="shared" si="5"/>
        <v>0</v>
      </c>
      <c r="CH35" s="170">
        <f t="shared" si="6"/>
        <v>0</v>
      </c>
      <c r="CI35" s="170">
        <f t="shared" si="7"/>
        <v>0</v>
      </c>
      <c r="CJ35" s="170">
        <f t="shared" si="8"/>
        <v>0</v>
      </c>
      <c r="CK35" s="170">
        <f t="shared" si="9"/>
        <v>0</v>
      </c>
      <c r="CL35" s="170">
        <f t="shared" si="10"/>
        <v>0</v>
      </c>
      <c r="CM35" s="170">
        <f t="shared" si="11"/>
        <v>0</v>
      </c>
      <c r="CN35" s="170">
        <f t="shared" si="12"/>
        <v>1</v>
      </c>
      <c r="CO35" s="170">
        <f t="shared" si="13"/>
        <v>0</v>
      </c>
      <c r="CP35" s="170">
        <f t="shared" si="14"/>
        <v>0</v>
      </c>
      <c r="CQ35" s="170">
        <f t="shared" si="15"/>
        <v>0</v>
      </c>
      <c r="CR35" s="170">
        <f t="shared" si="16"/>
        <v>0</v>
      </c>
      <c r="CS35" s="170">
        <f t="shared" si="17"/>
        <v>0</v>
      </c>
      <c r="CT35" s="75">
        <f t="shared" si="18"/>
        <v>0</v>
      </c>
      <c r="CU35" s="76">
        <f t="shared" si="19"/>
        <v>0</v>
      </c>
      <c r="CV35" s="76">
        <f t="shared" si="20"/>
        <v>0</v>
      </c>
      <c r="CW35" s="76">
        <f t="shared" si="21"/>
        <v>0</v>
      </c>
      <c r="CX35" s="76">
        <f t="shared" si="22"/>
        <v>0</v>
      </c>
      <c r="CY35" s="76">
        <f t="shared" si="23"/>
        <v>0</v>
      </c>
      <c r="CZ35" s="76">
        <f t="shared" si="24"/>
        <v>0</v>
      </c>
      <c r="DA35" s="76">
        <f t="shared" si="25"/>
        <v>0</v>
      </c>
      <c r="DB35" s="76">
        <f t="shared" si="26"/>
        <v>0</v>
      </c>
      <c r="DC35" s="76">
        <f t="shared" si="27"/>
        <v>0</v>
      </c>
      <c r="DD35" s="76">
        <f t="shared" si="28"/>
        <v>0</v>
      </c>
      <c r="DE35" s="77">
        <f t="shared" si="29"/>
        <v>0</v>
      </c>
      <c r="DF35" s="73">
        <f t="shared" si="31"/>
        <v>4</v>
      </c>
      <c r="DG35" s="67">
        <f t="shared" si="32"/>
        <v>5.47</v>
      </c>
      <c r="DH35" s="76">
        <f t="shared" si="33"/>
        <v>0</v>
      </c>
      <c r="DI35" s="67">
        <f t="shared" si="34"/>
        <v>0</v>
      </c>
      <c r="DJ35" s="76">
        <f>IF($D34="","",$D34)</f>
        <v>1</v>
      </c>
      <c r="DK35" s="493"/>
    </row>
    <row r="36" spans="1:115" ht="14.5" customHeight="1" x14ac:dyDescent="0.2">
      <c r="A36" s="390"/>
      <c r="B36" s="457"/>
      <c r="C36" s="79" t="s">
        <v>54</v>
      </c>
      <c r="D36" s="375"/>
      <c r="E36" s="387"/>
      <c r="F36" s="378"/>
      <c r="G36" s="508"/>
      <c r="H36" s="477"/>
      <c r="I36" s="191">
        <v>1</v>
      </c>
      <c r="J36" s="172"/>
      <c r="K36" s="185" t="s">
        <v>40</v>
      </c>
      <c r="L36" s="186">
        <v>1.32</v>
      </c>
      <c r="M36" s="174">
        <v>7.8</v>
      </c>
      <c r="N36" s="407"/>
      <c r="O36" s="187">
        <f>IF(OR(AE34="",AE35=""),"",IF(L36&gt;0,ROUND(IF(M36&gt;0,M36,IF(M34&gt;0,ROUND((M34*AE36)/AE34,IF(N34=0,2,IF(N34=0.1,1,0))),IF(M35&gt;0,ROUND((M35*AE36)/AE35,IF(N34=0,2,IF(N34=0.1,1,0))),IF(M36&gt;0,M36,0)))),2),""))</f>
        <v>7.8</v>
      </c>
      <c r="P36" s="188">
        <f>IF(I35="Lay",O35*(L35/(L35-1))-O35,IF(I34="Lay",O34*(L34/(L34-1))-O34,IF(OR(L36="",O36=""),"",IF($C36="1/2W",O36/2+O36/2*L36,IF($C36="1/2L",O36/2,(O36*L36-O36)*(1-_xlfn.XLOOKUP(K36,'Fevereiro 2023 - Valor Real'!A3:A15,'Fevereiro 2023 - Valor Real'!C3:C15,0))+O36)))))</f>
        <v>10.295999999999999</v>
      </c>
      <c r="Q36" s="166">
        <f>IF(K36="","",IF(_xlfn.XLOOKUP(K36,K$4:K35,$DJ$4:DJ35,0,,-1)=DJ36,_xlfn.XLOOKUP(K36,K$4:K35,Q$4:Q35,1,,-1)+1,1))</f>
        <v>9</v>
      </c>
      <c r="R36" s="189">
        <f>IF(K36="","",_xlfn.XLOOKUP(K36,K$4:K35,R$4:R35,0,,-1)+IF($C36=" ",1,0))</f>
        <v>0</v>
      </c>
      <c r="S36" s="404"/>
      <c r="T36" s="378"/>
      <c r="U36" s="378"/>
      <c r="V36" s="404"/>
      <c r="W36" s="378"/>
      <c r="X36" s="453"/>
      <c r="Y36" s="383"/>
      <c r="Z36" s="384"/>
      <c r="AA36" s="384"/>
      <c r="AB36" s="384"/>
      <c r="AC36" s="384"/>
      <c r="AD36" s="90"/>
      <c r="AE36" s="190">
        <f>IF(L36="","",(SUM(((L34-1)*(1-_xlfn.XLOOKUP(K34,'Fevereiro 2023 - Valor Real'!A3:A15,'Fevereiro 2023 - Valor Real'!C3:C15,0))+1),((L35-1)*(1-_xlfn.XLOOKUP(K35,'Fevereiro 2023 - Valor Real'!A3:A15,'Fevereiro 2023 - Valor Real'!C3:C15,0))+1),((L36-1)*(1-_xlfn.XLOOKUP(K36,'Fevereiro 2023 - Valor Real'!A3:A15,'Fevereiro 2023 - Valor Real'!C3:C15,0))+1))/((L36-1)*(1-_xlfn.XLOOKUP(K36,'Fevereiro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Real'!C3:C15,0))+1))/((L34-1)*(1-_xlfn.XLOOKUP(K34,'Fevereiro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Real'!C3:C15,0))+1))/((L35-1)*(1-_xlfn.XLOOKUP(K35,'Fevereiro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Real'!C3:C15,0))+1))/((L36-1)*(1-_xlfn.XLOOKUP(K36,'Fevereiro 2023 - Valor Real'!A3:A15,'Fevereiro 2023 - Valor Real'!C3:C15,0))+1)))</f>
        <v>0.43976569213770844</v>
      </c>
      <c r="AF36" s="66">
        <f t="shared" si="76"/>
        <v>0</v>
      </c>
      <c r="AG36" s="67">
        <f t="shared" si="76"/>
        <v>0</v>
      </c>
      <c r="AH36" s="67">
        <f t="shared" si="76"/>
        <v>0</v>
      </c>
      <c r="AI36" s="67">
        <f t="shared" si="76"/>
        <v>0</v>
      </c>
      <c r="AJ36" s="67">
        <f t="shared" si="76"/>
        <v>2.5</v>
      </c>
      <c r="AK36" s="67">
        <f t="shared" si="76"/>
        <v>0</v>
      </c>
      <c r="AL36" s="67">
        <f t="shared" si="76"/>
        <v>0</v>
      </c>
      <c r="AM36" s="67">
        <f t="shared" si="76"/>
        <v>0</v>
      </c>
      <c r="AN36" s="67">
        <f t="shared" si="76"/>
        <v>0</v>
      </c>
      <c r="AO36" s="67">
        <f t="shared" si="76"/>
        <v>0</v>
      </c>
      <c r="AP36" s="67">
        <f t="shared" si="76"/>
        <v>0</v>
      </c>
      <c r="AQ36" s="67">
        <f t="shared" si="76"/>
        <v>0</v>
      </c>
      <c r="AR36" s="68">
        <f t="shared" si="76"/>
        <v>0</v>
      </c>
      <c r="AS36" s="66">
        <f>IF(AND($B34=" ",$K36=AS$3),$O36,0)</f>
        <v>0</v>
      </c>
      <c r="AT36" s="67">
        <f>IF(AND($B34=" ",K36=AT$3),$O36,0)</f>
        <v>0</v>
      </c>
      <c r="AU36" s="67">
        <f t="shared" ref="AU36:BE36" si="81">IF(AND($B34=" ",$K36=AU$3),$O36,0)</f>
        <v>0</v>
      </c>
      <c r="AV36" s="67">
        <f t="shared" si="81"/>
        <v>0</v>
      </c>
      <c r="AW36" s="67">
        <f t="shared" si="81"/>
        <v>0</v>
      </c>
      <c r="AX36" s="67">
        <f t="shared" si="81"/>
        <v>0</v>
      </c>
      <c r="AY36" s="69">
        <f t="shared" si="81"/>
        <v>0</v>
      </c>
      <c r="AZ36" s="70">
        <f t="shared" si="81"/>
        <v>0</v>
      </c>
      <c r="BA36" s="70">
        <f t="shared" si="81"/>
        <v>0</v>
      </c>
      <c r="BB36" s="70">
        <f t="shared" si="81"/>
        <v>0</v>
      </c>
      <c r="BC36" s="71">
        <f t="shared" si="81"/>
        <v>0</v>
      </c>
      <c r="BD36" s="67">
        <f t="shared" si="81"/>
        <v>0</v>
      </c>
      <c r="BE36" s="68">
        <f t="shared" si="81"/>
        <v>0</v>
      </c>
      <c r="BF36" s="66">
        <f t="shared" si="78"/>
        <v>0</v>
      </c>
      <c r="BG36" s="168">
        <f t="shared" si="78"/>
        <v>0</v>
      </c>
      <c r="BH36" s="67">
        <f t="shared" si="78"/>
        <v>0</v>
      </c>
      <c r="BI36" s="67">
        <f t="shared" si="78"/>
        <v>0</v>
      </c>
      <c r="BJ36" s="67">
        <f t="shared" si="78"/>
        <v>7.8</v>
      </c>
      <c r="BK36" s="67">
        <f t="shared" si="78"/>
        <v>0</v>
      </c>
      <c r="BL36" s="67">
        <f t="shared" si="78"/>
        <v>0</v>
      </c>
      <c r="BM36" s="69">
        <f t="shared" si="78"/>
        <v>0</v>
      </c>
      <c r="BN36" s="70">
        <f t="shared" si="78"/>
        <v>0</v>
      </c>
      <c r="BO36" s="70">
        <f t="shared" si="78"/>
        <v>0</v>
      </c>
      <c r="BP36" s="70">
        <f t="shared" si="78"/>
        <v>0</v>
      </c>
      <c r="BQ36" s="71">
        <f t="shared" si="78"/>
        <v>0</v>
      </c>
      <c r="BR36" s="68">
        <f t="shared" si="78"/>
        <v>0</v>
      </c>
      <c r="BS36" s="491"/>
      <c r="BT36" s="489"/>
      <c r="BU36" s="392"/>
      <c r="BV36" s="489"/>
      <c r="BW36" s="392"/>
      <c r="BX36" s="392"/>
      <c r="BY36" s="392"/>
      <c r="BZ36" s="489"/>
      <c r="CA36" s="392"/>
      <c r="CB36" s="392"/>
      <c r="CC36" s="392"/>
      <c r="CD36" s="401"/>
      <c r="CE36" s="409"/>
      <c r="CF36" s="169">
        <f t="shared" si="4"/>
        <v>0</v>
      </c>
      <c r="CG36" s="170">
        <f t="shared" si="5"/>
        <v>0</v>
      </c>
      <c r="CH36" s="170">
        <f t="shared" si="6"/>
        <v>0</v>
      </c>
      <c r="CI36" s="170">
        <f t="shared" si="7"/>
        <v>0</v>
      </c>
      <c r="CJ36" s="170">
        <f t="shared" si="8"/>
        <v>0</v>
      </c>
      <c r="CK36" s="170">
        <f t="shared" si="9"/>
        <v>0</v>
      </c>
      <c r="CL36" s="170">
        <f t="shared" si="10"/>
        <v>0</v>
      </c>
      <c r="CM36" s="170">
        <f t="shared" si="11"/>
        <v>0</v>
      </c>
      <c r="CN36" s="170">
        <f t="shared" si="12"/>
        <v>1</v>
      </c>
      <c r="CO36" s="170">
        <f t="shared" si="13"/>
        <v>0</v>
      </c>
      <c r="CP36" s="170">
        <f t="shared" si="14"/>
        <v>0</v>
      </c>
      <c r="CQ36" s="170">
        <f t="shared" si="15"/>
        <v>0</v>
      </c>
      <c r="CR36" s="170">
        <f t="shared" si="16"/>
        <v>0</v>
      </c>
      <c r="CS36" s="170">
        <f t="shared" si="17"/>
        <v>0</v>
      </c>
      <c r="CT36" s="75">
        <f t="shared" si="18"/>
        <v>0</v>
      </c>
      <c r="CU36" s="76">
        <f t="shared" si="19"/>
        <v>0</v>
      </c>
      <c r="CV36" s="76">
        <f t="shared" si="20"/>
        <v>0</v>
      </c>
      <c r="CW36" s="76">
        <f t="shared" si="21"/>
        <v>0</v>
      </c>
      <c r="CX36" s="76">
        <f t="shared" si="22"/>
        <v>0</v>
      </c>
      <c r="CY36" s="76">
        <f t="shared" si="23"/>
        <v>0</v>
      </c>
      <c r="CZ36" s="76">
        <f t="shared" si="24"/>
        <v>0</v>
      </c>
      <c r="DA36" s="76">
        <f t="shared" si="25"/>
        <v>0</v>
      </c>
      <c r="DB36" s="76">
        <f t="shared" si="26"/>
        <v>0</v>
      </c>
      <c r="DC36" s="76">
        <f t="shared" si="27"/>
        <v>0</v>
      </c>
      <c r="DD36" s="76">
        <f t="shared" si="28"/>
        <v>0</v>
      </c>
      <c r="DE36" s="77">
        <f t="shared" si="29"/>
        <v>0</v>
      </c>
      <c r="DF36" s="73">
        <f t="shared" si="31"/>
        <v>5</v>
      </c>
      <c r="DG36" s="67">
        <f t="shared" si="32"/>
        <v>6.79</v>
      </c>
      <c r="DH36" s="76">
        <f t="shared" si="33"/>
        <v>0</v>
      </c>
      <c r="DI36" s="67">
        <f t="shared" si="34"/>
        <v>0</v>
      </c>
      <c r="DJ36" s="76">
        <f>IF($D34="","",$D34)</f>
        <v>1</v>
      </c>
      <c r="DK36" s="493"/>
    </row>
    <row r="37" spans="1:115" ht="14.5" customHeight="1" x14ac:dyDescent="0.2">
      <c r="A37" s="459">
        <f>$A34+1</f>
        <v>12</v>
      </c>
      <c r="B37" s="507" t="str">
        <f>IF(OR(C37="W",C38="W",C39="W",C37="1/2W",C38="1/2W",C39="1/2W",C37="1/2L",C38="1/2L",C39="1/2L"),"OK",IF(OR(C37="L",C38="L",C39="L"),"LOSS",IF(OR(C37="X",C38="X",C39="X"),"Anulado"," ")))</f>
        <v>OK</v>
      </c>
      <c r="C37" s="93" t="s">
        <v>55</v>
      </c>
      <c r="D37" s="469">
        <f>IF(G37="","",$D34)</f>
        <v>1</v>
      </c>
      <c r="E37" s="485" t="str">
        <f>IF(G37=""," ","– "&amp;COUNTIF(D$4:D39,$D37))</f>
        <v>– 12</v>
      </c>
      <c r="F37" s="509" t="str">
        <f ca="1">IF(G37="","",IF(OR(AND($C37&lt;&gt;" ",$C38=" "),AND($C38&lt;&gt;" ",$C37=" "),AND(L39&gt;0,OR(AND($C39&lt;&gt;" ",OR($C37=" ",$C38=" ")),AND($C39=" ",OR($C37&lt;&gt;" ",$C38&lt;&gt;" "))))),IF(SUM(F$4:F36)=0,1,LARGE(F$4:F36,1)+1),IF(MONTH(G37)=MONTH(TODAY()),IF(AND(DAY(G37)&lt;DAY(TODAY()),$B37=" "),IF(SUM(F$4:F36)=0,1,LARGE(F$4:F36,1)+1),IF($B37=" ",IF(AND(DAY(G37)=DAY(TODAY()),HOUR(G37)&lt;=HOUR(NOW())+1),IF(AND(HOUR(G37)+2&lt;=HOUR(NOW()),DAY(G37)&lt;=DAY(TODAY()),MINUTE(G37)&lt;=MINUTE(NOW())),IF(SUM(F$4:F36)=0,1,LARGE(F$4:F36,1)+1),IF(OR(MINUTE(G37)&lt;=MINUTE(NOW()),HOUR(G37)&lt;=HOUR(NOW())),"!!!","")),""),"")),"")))</f>
        <v/>
      </c>
      <c r="G37" s="482">
        <v>44987.625</v>
      </c>
      <c r="H37" s="475" t="s">
        <v>62</v>
      </c>
      <c r="I37" s="94" t="s">
        <v>63</v>
      </c>
      <c r="J37" s="176"/>
      <c r="K37" s="96" t="s">
        <v>47</v>
      </c>
      <c r="L37" s="97">
        <v>4.75</v>
      </c>
      <c r="M37" s="98">
        <v>6.79</v>
      </c>
      <c r="N37" s="478">
        <v>0</v>
      </c>
      <c r="O37" s="99">
        <f>IF(OR(AE37="",AE38=""),"",ROUND(IF(L39&gt;0,IF(M37&gt;0,M37,IF(M38&gt;0,ROUND((M38*AE37)/AE38,IF(N37=0,2,IF(N37=0.1,1,0))),ROUND((M39*AE37)/AE39,IF(N37=0,2,IF(N37=0.1,1,0))))),IF(M37&gt;0,M37,ROUND((M38*AE37)/AE38,IF(N37=0,2,IF(N37=0.1,1,0))))),2))</f>
        <v>6.79</v>
      </c>
      <c r="P37" s="100">
        <f>IF(OR(L37="",O37=""),"",IF($C37="1/2W",O37/2+O37/2*L37,IF($C37="1/2L",O37/2,IF(I37="Lay",(O37*(L37/(L37-1))-O37)*(1-_xlfn.XLOOKUP(K37,'Fevereiro 2023 - Valor Real'!A3:A15,'Fevereiro 2023 - Valor Real'!C3:C15,0))+O37,(O37*L37-O37)*(1-_xlfn.XLOOKUP(K37,'Fevereiro 2023 - Valor Real'!A3:A15,'Fevereiro 2023 - Valor Real'!C3:C15,0))+O37))))</f>
        <v>32.252499999999998</v>
      </c>
      <c r="Q37" s="101">
        <f>IF(K37="","",IF(_xlfn.XLOOKUP(K37,K$4:K36,$DJ$4:DJ36,0,,-1)=DJ37,_xlfn.XLOOKUP(K37,K$4:K36,Q$4:Q36,1,,-1)+1,1))</f>
        <v>8</v>
      </c>
      <c r="R37" s="102">
        <f>IF(K37="","",_xlfn.XLOOKUP(K37,K$4:K36,R$4:R36,0,,-1)+IF($C37=" ",1,0))</f>
        <v>0</v>
      </c>
      <c r="S37" s="474">
        <f>IF($B37="Anulado",0,ROUND(IF(OR($B37="LOSS",$B37="OK"),IF(OR($C37="W",$C37="1/2W",$C37="1/2L"),P37-O37,IF($C37="L",-O37,0))+IF(OR($C38="W",$C38="1/2W",$C38="1/2L"),P38-O38,IF($C38="L",-O38,0))+IF(OR($C39="W",$C39="1/2W",$C39="1/2L"),P39-O39,IF($C39="L",-O39,0)),IF(AND(OR($C37="W",$C37="1/2W",$C37="1/2L"),C38="W"),P37+P38-SUM(O37:O39)+_xlfn.XLOOKUP("X",C37:C39,O37:O39,0),IF(AND(C37=TRUE,C39="W"),P37+P39-SUM(O37:O39),IF(AND(C38="W",C39="W"),P38+P39-SUM(O37:O39)+_xlfn.XLOOKUP("X",C37:C39,O37:O39,0),IF(L39&gt;0,IF(OR($C37="W",$C37="1/2W",$C37="1/2L"),P37-SUM(O37:O39)+_xlfn.XLOOKUP("X",C37:C39,O37:O39,0),IF(OR($C37="W",$C37="1/2W",$C37="1/2L"),P38-SUM(O37:O39)+_xlfn.XLOOKUP("X",C37:C39,O37:O39,0),IF(OR($C37="W",$C37="1/2W",$C37="1/2L"),P39-SUM(O37:O39)+_xlfn.XLOOKUP("X",C37:C39,O37:O39,0),IF(SUM(P37:P39)/3-SUM(O37:O39)+_xlfn.XLOOKUP("X",C37:C39,O37:O39,0)&gt;0,SUM(P37:P39)/3-SUM(O37:O39)+_xlfn.XLOOKUP("X",C37:C39,O37:O39,0),LARGE(P37:P39,1)-SUM(O37:O39))))),IF(OR($C37="W",$C37="1/2W",$C37="1/2L"),P37-SUM(O37:O38)+_xlfn.XLOOKUP("X",C37:C39,O37:O39,0),IF(OR($C37="W",$C37="1/2W",$C37="1/2L"),P38-SUM(O37:O38)+_xlfn.XLOOKUP("X",C37:C39,O37:O39,0),SUM(P37:P38)/2-SUM(O37:O38)+_xlfn.XLOOKUP("X",C37:C39,O37:O39,0)))))))),2))</f>
        <v>1.39</v>
      </c>
      <c r="T37" s="458">
        <f>IF(S37=0,0,S37/SUM(O37:O39))</f>
        <v>4.4998381353188732E-2</v>
      </c>
      <c r="U37" s="470">
        <f>IF($D37=$D34,IF(OR($B37="LOSS",$B37="OK",$B37="Anulada"),S37,0)+U34,IF(OR($B37="LOSS",$B37="OK",$B37="Anulada"),S37,0))</f>
        <v>22.41</v>
      </c>
      <c r="V37" s="470">
        <f>IF($D37="",0,IF($D37=$D34,IF($B37=" ",IF(I39="",IF(OR(AND(I37="DNB1",I38="DNB2"),AND(OR(I37="DNB1",I37="DNB2"),J38=0),AND(OR(I38="DNB1",I38="DNB2"),J37=0),AND(I37="DNB2",I38="DNB1"),AND(IF(J37=0,(J37+1)/ROUND(J37+1,0),J37/ROUND(J37,0))=1,IF(J38=0,(J38+1)/ROUND(IF(J38="",0,J38)+1,0),IF(J38="",0,J38)/ROUND(IF(J38="",1,J38),0))=1,OR(J37&lt;&gt;""),J38&lt;&gt;"")),0,IF(S37&lt;0,IF(I39="",SMALL(P37:P38,1)-SUM(O37:O38),0),SMALL(P37:P38,1)-SUM(O37:O38))),IF(S37&lt;0,IF(I39="",SMALL(P37:P39,1)-SUM(O37:O39),0),LARGE(P37:P39,1)-SUM(O37:O39))),S37)+V34,IF(I39="",IF(OR(AND(I37="DNB1",I38="DNB2"),AND(OR(I37="DNB1",I37="DNB2"),J38=0),AND(OR(I38="DNB1",I38="DNB2"),J37=0),AND(I37="DNB2",I38="DNB1"),AND(IF(J37=0,(J37+1)/ROUND(J37+1,0),J37/ROUND(J37,0))=1,IF(J38=0,(IF(J38="",0,J38)+1)/ROUND(IF(J38="",0,J38)+1,0),IF(J38="",0,J38)/ROUND(IF(J38="",0,J38)+1,0))=1,OR(J37&lt;&gt;""),J38&lt;&gt;"")),0,IF(S37&lt;0,IF(I39="",SMALL(P37:P38,1)-SUM(O37:O38),0),SMALL(P37:P39,1)-SUM(O37:O39))),IF(S37&lt;0,IF(I39="",SMALL(P37:P39,1)-SUM(O37:O39),0),LARGE(P37:P39,1)-SUM(O37:O39)))))</f>
        <v>22.41</v>
      </c>
      <c r="W37" s="470">
        <f>IF($D37=$D34,IF(S37&lt;0,IF(I39="",S37,0),S37)+W34,S37)</f>
        <v>22.41</v>
      </c>
      <c r="X37" s="480" t="str">
        <f>IF(OR(SUM(R37:R39)=0,V37=W37),ROUND(IF(W37=0,0,W37/Y37)*100,2)&amp;"%",ROUND(IF(V37=0,0,V37/Y37)*100,2)&amp;"% a "&amp;ROUND(IF(W37=0,0,W37/Y37)*100,2)&amp;"%")</f>
        <v>5,13%</v>
      </c>
      <c r="Y37" s="471">
        <f>IF($D37=$D34,Y34+SUM(O37:O39),SUM(O37:O39))</f>
        <v>436.78</v>
      </c>
      <c r="Z37" s="470">
        <f>IF($B37=" ",SUM(O37:O39),0)+Z34</f>
        <v>0</v>
      </c>
      <c r="AA37" s="470">
        <f>IF(G37="","",IF($B37="Anulado",LARGE(P37:P39,1)-SUM(O37:O39)+AA34,AA34))</f>
        <v>0.45899999999999785</v>
      </c>
      <c r="AB37" s="470">
        <f>IF($D37="","",AB34+S37)</f>
        <v>22.41</v>
      </c>
      <c r="AC37" s="472">
        <f ca="1">IF($D37="","",IF($B37=" ",IF(DAY(G37)=DAY(TODAY()),1+AC34,0+AC34),0+AC34))</f>
        <v>0</v>
      </c>
      <c r="AD37" s="103">
        <f>(((L38/(L38-1)-1)*(1-_xlfn.XLOOKUP(K38,'Fevereiro 2023 - Valor Real'!A3:A15,'Fevereiro 2023 - Valor Real'!C3:C15,0))+1))/(((L37-1)*(1-_xlfn.XLOOKUP(K37,'Fevereiro 2023 - Valor Real'!A3:A15,'Fevereiro 2023 - Valor Real'!C3:C15,0))+1)+((L38/(L38-1)-1)*(1-_xlfn.XLOOKUP(K38,'Fevereiro 2023 - Valor Real'!A3:A15,'Fevereiro 2023 - Valor Real'!C3:C15,0))+1))</f>
        <v>0.47706422018348627</v>
      </c>
      <c r="AE37" s="104">
        <f>IF(L37="","",IF(L39&gt;0,(SUM(((L37-1)*(1-_xlfn.XLOOKUP(K37,'Fevereiro 2023 - Valor Real'!A3:A15,'Fevereiro 2023 - Valor Real'!C3:C15,0))+1),((L38-1)*(1-_xlfn.XLOOKUP(K38,'Fevereiro 2023 - Valor Real'!A3:A15,'Fevereiro 2023 - Valor Real'!C3:C15,0))+1),((L39-1)*(1-_xlfn.XLOOKUP(K39,'Fevereiro 2023 - Valor Real'!A3:A15,'Fevereiro 2023 - Valor Real'!C3:C15,0))+1))/((L37-1)*(1-_xlfn.XLOOKUP(K37,'Fevereiro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Real'!C3:C15,0))+1))/((L37-1)*(1-_xlfn.XLOOKUP(K37,'Fevereiro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Real'!C3:C15,0))+1))/((L38-1)*(1-_xlfn.XLOOKUP(K38,'Fevereiro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Real'!C3:C15,0))+1))/((L39-1)*(1-_xlfn.XLOOKUP(K39,'Fevereiro 2023 - Valor Real'!A3:A15,'Fevereiro 2023 - Valor Real'!C3:C15,0))+1)),IF(I37="Lay",IF(I38="Lay",((L38/(L38-1)-1)*(1-_xlfn.XLOOKUP(K38,'Fevereiro 2023 - Valor Real'!A3:A15,'Fevereiro 2023 - Valor Real'!C3:C15,0))+1)/(((L38/(L38-1)-1)*(1-_xlfn.XLOOKUP(K38,'Fevereiro 2023 - Valor Real'!A3:A15,'Fevereiro 2023 - Valor Real'!C3:C15,0))+1)+((L37/(L37-1)-1)*(1-_xlfn.XLOOKUP(K37,'Fevereiro 2023 - Valor Real'!A3:A15,'Fevereiro 2023 - Valor Real'!C3:C15,0))+1)),((L38-1)*(1-_xlfn.XLOOKUP(K38,'Fevereiro 2023 - Valor Real'!A3:A15,'Fevereiro 2023 - Valor Real'!C3:C15,0))+1)/(((L38-1)*(1-_xlfn.XLOOKUP(K38,'Fevereiro 2023 - Valor Real'!A3:A15,'Fevereiro 2023 - Valor Real'!C3:C15,0))+1)+((L37/(L37-1)-1)*(1-_xlfn.XLOOKUP(K37,'Fevereiro 2023 - Valor Real'!A3:A15,'Fevereiro 2023 - Valor Real'!C3:C15,0))+1))),IF(I38="Lay",(((L38/(L38-1)-1)*(1-_xlfn.XLOOKUP(K38,'Fevereiro 2023 - Valor Real'!A3:A15,'Fevereiro 2023 - Valor Real'!C3:C15,0))+1))/(((L37-1)*(1-_xlfn.XLOOKUP(K37,'Fevereiro 2023 - Valor Real'!A3:A15,'Fevereiro 2023 - Valor Real'!C3:C15,0))+1)+((L38/(L38-1)-1)*(1-_xlfn.XLOOKUP(K38,'Fevereiro 2023 - Valor Real'!A3:A15,'Fevereiro 2023 - Valor Real'!C3:C15,0))+1)),((L38-1)*(1-_xlfn.XLOOKUP(K38,'Fevereiro 2023 - Valor Real'!A3:A15,'Fevereiro 2023 - Valor Real'!C3:C15,0))+1)/(((L38-1)*(1-_xlfn.XLOOKUP(K38,'Fevereiro 2023 - Valor Real'!A3:A15,'Fevereiro 2023 - Valor Real'!C3:C15,0))+1)+((L37-1)*(1-_xlfn.XLOOKUP(K37,'Fevereiro 2023 - Valor Real'!A3:A15,'Fevereiro 2023 - Valor Real'!C3:C15,0))+1))))))</f>
        <v>0.1282126645112831</v>
      </c>
      <c r="AF37" s="105">
        <f t="shared" si="76"/>
        <v>0</v>
      </c>
      <c r="AG37" s="106">
        <f t="shared" si="76"/>
        <v>0</v>
      </c>
      <c r="AH37" s="106">
        <f t="shared" si="76"/>
        <v>0</v>
      </c>
      <c r="AI37" s="106">
        <f t="shared" si="76"/>
        <v>0</v>
      </c>
      <c r="AJ37" s="106">
        <f t="shared" si="76"/>
        <v>0</v>
      </c>
      <c r="AK37" s="106">
        <f t="shared" si="76"/>
        <v>0</v>
      </c>
      <c r="AL37" s="106">
        <f t="shared" si="76"/>
        <v>0</v>
      </c>
      <c r="AM37" s="106">
        <f t="shared" si="76"/>
        <v>0</v>
      </c>
      <c r="AN37" s="106">
        <f t="shared" si="76"/>
        <v>0</v>
      </c>
      <c r="AO37" s="106">
        <f t="shared" si="76"/>
        <v>0</v>
      </c>
      <c r="AP37" s="106">
        <f t="shared" si="76"/>
        <v>0</v>
      </c>
      <c r="AQ37" s="106">
        <f t="shared" si="76"/>
        <v>-6.79</v>
      </c>
      <c r="AR37" s="107">
        <f t="shared" si="76"/>
        <v>0</v>
      </c>
      <c r="AS37" s="105">
        <f t="shared" ref="AS37:BE37" si="82">IF(AND($B37=" ",$K37=AS$3),$O37,0)</f>
        <v>0</v>
      </c>
      <c r="AT37" s="106">
        <f t="shared" si="82"/>
        <v>0</v>
      </c>
      <c r="AU37" s="106">
        <f t="shared" si="82"/>
        <v>0</v>
      </c>
      <c r="AV37" s="106">
        <f t="shared" si="82"/>
        <v>0</v>
      </c>
      <c r="AW37" s="106">
        <f t="shared" si="82"/>
        <v>0</v>
      </c>
      <c r="AX37" s="106">
        <f t="shared" si="82"/>
        <v>0</v>
      </c>
      <c r="AY37" s="108">
        <f t="shared" si="82"/>
        <v>0</v>
      </c>
      <c r="AZ37" s="109">
        <f t="shared" si="82"/>
        <v>0</v>
      </c>
      <c r="BA37" s="109">
        <f t="shared" si="82"/>
        <v>0</v>
      </c>
      <c r="BB37" s="109">
        <f t="shared" si="82"/>
        <v>0</v>
      </c>
      <c r="BC37" s="110">
        <f t="shared" si="82"/>
        <v>0</v>
      </c>
      <c r="BD37" s="106">
        <f t="shared" si="82"/>
        <v>0</v>
      </c>
      <c r="BE37" s="107">
        <f t="shared" si="82"/>
        <v>0</v>
      </c>
      <c r="BF37" s="111">
        <f t="shared" si="78"/>
        <v>0</v>
      </c>
      <c r="BG37" s="106">
        <f t="shared" si="78"/>
        <v>0</v>
      </c>
      <c r="BH37" s="106">
        <f t="shared" si="78"/>
        <v>0</v>
      </c>
      <c r="BI37" s="106">
        <f t="shared" si="78"/>
        <v>0</v>
      </c>
      <c r="BJ37" s="106">
        <f t="shared" si="78"/>
        <v>0</v>
      </c>
      <c r="BK37" s="106">
        <f t="shared" si="78"/>
        <v>0</v>
      </c>
      <c r="BL37" s="106">
        <f t="shared" si="78"/>
        <v>0</v>
      </c>
      <c r="BM37" s="108">
        <f t="shared" si="78"/>
        <v>0</v>
      </c>
      <c r="BN37" s="109">
        <f t="shared" si="78"/>
        <v>0</v>
      </c>
      <c r="BO37" s="109">
        <f t="shared" si="78"/>
        <v>0</v>
      </c>
      <c r="BP37" s="109">
        <f t="shared" si="78"/>
        <v>0</v>
      </c>
      <c r="BQ37" s="110">
        <f t="shared" si="78"/>
        <v>6.79</v>
      </c>
      <c r="BR37" s="107">
        <f t="shared" si="78"/>
        <v>0</v>
      </c>
      <c r="BS37" s="463">
        <f>IF($B37="LOSS",IF(AND($K37=BS$3,$C37="L"),-$O37,0)+IF(AND($K38=BS$3,$C38="L"),-$O38,0)+IF(AND($K39=BS$3,$C39="L"),-$O39,0),IF(OR(AND($K37=BS$3,OR($C37="W",$C37="1/2W")),AND($K38=BS$3,OR($C38="W",$C38="1/2W")),AND($K39=BS$3,OR($C39="W",$C39="1/2W"))),$S37,0))</f>
        <v>0</v>
      </c>
      <c r="BT37" s="462">
        <f>IF($B37="LOSS",IF(AND($K37=BT$3,$C37="L"),-$O37,0)+IF(AND($K38=BT$3,$C38="L"),-$O38,0)+IF(AND($K38=BT$3,$C39="L"),-$O39,0),IF(OR(AND($K38=BT$3,OR($C37="W",$C37="1/2W")),AND($K38=BT$3,OR($C38="W",$C38="1/2W")),AND($K38=BT$3,OR($C39="W",$C39="1/2W"))),$S37,0))</f>
        <v>0</v>
      </c>
      <c r="BU37" s="462">
        <f>IF($B37="LOSS",IF(AND($K37=BU$3,$C37="L"),-$O37,0)+IF(AND($K38=BU$3,$C38="L"),-$O38,0)+IF(AND($K38=BU$3,$C39="L"),-$O39,0),IF(OR(AND($K38=BU$3,OR($C37="W",$C37="1/2W")),AND($K38=BU$3,OR($C38="W",$C38="1/2W")),AND($K38=BU$3,OR($C39="W",$C39="1/2W"))),$S37,0))</f>
        <v>0</v>
      </c>
      <c r="BV37" s="462">
        <f t="shared" ref="BV37:CE37" si="83">IF($B37="LOSS",IF(AND($K37=BV$3,$C37="L"),-$O37,0)+IF(AND($K38=BV$3,$C38="L"),-$O38,0)+IF(AND($K39=BV$3,$C39="L"),-$O39,0),IF(OR(AND($K37=BV$3,OR($C37="W",$C37="1/2W")),AND($K38=BV$3,OR($C38="W",$C38="1/2W")),AND($K39=BV$3,OR($C39="W",$C39="1/2W"))),$S37,0))</f>
        <v>0</v>
      </c>
      <c r="BW37" s="462">
        <f t="shared" si="83"/>
        <v>1.39</v>
      </c>
      <c r="BX37" s="462">
        <f t="shared" si="83"/>
        <v>0</v>
      </c>
      <c r="BY37" s="462">
        <f t="shared" si="83"/>
        <v>0</v>
      </c>
      <c r="BZ37" s="460">
        <f t="shared" si="83"/>
        <v>0</v>
      </c>
      <c r="CA37" s="460">
        <f t="shared" si="83"/>
        <v>0</v>
      </c>
      <c r="CB37" s="460">
        <f t="shared" si="83"/>
        <v>0</v>
      </c>
      <c r="CC37" s="460">
        <f t="shared" si="83"/>
        <v>0</v>
      </c>
      <c r="CD37" s="473">
        <f t="shared" si="83"/>
        <v>0</v>
      </c>
      <c r="CE37" s="479">
        <f t="shared" si="83"/>
        <v>0</v>
      </c>
      <c r="CF37" s="113">
        <f t="shared" si="4"/>
        <v>0</v>
      </c>
      <c r="CG37" s="114">
        <f t="shared" si="5"/>
        <v>0</v>
      </c>
      <c r="CH37" s="114">
        <f t="shared" si="6"/>
        <v>0</v>
      </c>
      <c r="CI37" s="114">
        <f t="shared" si="7"/>
        <v>0</v>
      </c>
      <c r="CJ37" s="114">
        <f t="shared" si="8"/>
        <v>0</v>
      </c>
      <c r="CK37" s="114">
        <f t="shared" si="9"/>
        <v>0</v>
      </c>
      <c r="CL37" s="114">
        <f t="shared" si="10"/>
        <v>0</v>
      </c>
      <c r="CM37" s="114">
        <f t="shared" si="11"/>
        <v>0</v>
      </c>
      <c r="CN37" s="114">
        <f t="shared" si="12"/>
        <v>0</v>
      </c>
      <c r="CO37" s="114">
        <f t="shared" si="13"/>
        <v>0</v>
      </c>
      <c r="CP37" s="114">
        <f t="shared" si="14"/>
        <v>0</v>
      </c>
      <c r="CQ37" s="114">
        <f t="shared" si="15"/>
        <v>0</v>
      </c>
      <c r="CR37" s="114">
        <f t="shared" si="16"/>
        <v>0</v>
      </c>
      <c r="CS37" s="114">
        <f t="shared" si="17"/>
        <v>0</v>
      </c>
      <c r="CT37" s="115">
        <f t="shared" si="18"/>
        <v>0</v>
      </c>
      <c r="CU37" s="116">
        <f t="shared" si="19"/>
        <v>0</v>
      </c>
      <c r="CV37" s="116">
        <f t="shared" si="20"/>
        <v>0</v>
      </c>
      <c r="CW37" s="116">
        <f t="shared" si="21"/>
        <v>0</v>
      </c>
      <c r="CX37" s="116">
        <f t="shared" si="22"/>
        <v>0</v>
      </c>
      <c r="CY37" s="116">
        <f t="shared" si="23"/>
        <v>0</v>
      </c>
      <c r="CZ37" s="116">
        <f t="shared" si="24"/>
        <v>0</v>
      </c>
      <c r="DA37" s="116">
        <f t="shared" si="25"/>
        <v>0</v>
      </c>
      <c r="DB37" s="116">
        <f t="shared" si="26"/>
        <v>0</v>
      </c>
      <c r="DC37" s="116">
        <f t="shared" si="27"/>
        <v>1</v>
      </c>
      <c r="DD37" s="116">
        <f t="shared" si="28"/>
        <v>0</v>
      </c>
      <c r="DE37" s="117">
        <f t="shared" si="29"/>
        <v>0</v>
      </c>
      <c r="DF37" s="118">
        <f t="shared" si="31"/>
        <v>5</v>
      </c>
      <c r="DG37" s="106">
        <f t="shared" si="32"/>
        <v>6.79</v>
      </c>
      <c r="DH37" s="116">
        <f t="shared" si="33"/>
        <v>0</v>
      </c>
      <c r="DI37" s="106">
        <f t="shared" si="34"/>
        <v>0</v>
      </c>
      <c r="DJ37" s="116">
        <f>IF($D37="","",$D37)</f>
        <v>1</v>
      </c>
      <c r="DK37" s="465">
        <f>IF(AND($B37=" ",$D37&lt;&gt;""),1,0)</f>
        <v>0</v>
      </c>
    </row>
    <row r="38" spans="1:115" ht="14.5" customHeight="1" x14ac:dyDescent="0.2">
      <c r="A38" s="389"/>
      <c r="B38" s="456"/>
      <c r="C38" s="120" t="s">
        <v>54</v>
      </c>
      <c r="D38" s="374"/>
      <c r="E38" s="386"/>
      <c r="F38" s="377"/>
      <c r="G38" s="483"/>
      <c r="H38" s="476"/>
      <c r="I38" s="121" t="s">
        <v>64</v>
      </c>
      <c r="J38" s="179" t="str">
        <f>IF(OR(I37="TO",I37="TU",I37="TO1",I37="TU1",I37="TO2",I37="TU2"),J37,IF(OR(I37="AH1",I37="AH2"),IF(OR(I38="AH1",I38="AH2"),-J37,IF(OR(I38="EH1",I38="EH2"),-J37+0.5,"")),IF(OR(I37="EH1",I37="EH2"),IF(OR(I38="AH1",I38="AH2"),-J37+0.5,IF(OR(I38="EH1",I38="EH2"),-J37+1,"")),IF(AND(OR(I37="DNB1",I37="DNB2"),OR(I38="AH1",I38="AH2")),0,IF(AND(I37="Not ScoreBoth",OR(I38="TO1",I38="TO2")),0.5,"")))))</f>
        <v/>
      </c>
      <c r="K38" s="123" t="s">
        <v>40</v>
      </c>
      <c r="L38" s="124">
        <v>1.3</v>
      </c>
      <c r="M38" s="125">
        <v>19.600000000000001</v>
      </c>
      <c r="N38" s="406"/>
      <c r="O38" s="126">
        <f>IF(OR(AE37="",AE38=""),"",ROUND(IF(L39&gt;0,IF(M38&gt;0,M38,IF(M37&gt;0,IF(N37=TRUE,ROUND((M37*AE38)/AE37,0),(M37*AE38)/AE37),IF(M38&gt;0,ROUND(M38,IF(N37=0,2,IF(N37=0.1,1,0))),IF(M39&gt;0,ROUND(O39*AE38/AE39,IF(N37=0,2,IF(N37=0.1,1,0))),0)))),IF(M38&gt;0,M38,ROUND((M37*AE38)/AE37,IF(N37=0,2,IF(N37=0.1,1,0))))),2))</f>
        <v>19.600000000000001</v>
      </c>
      <c r="P38" s="127">
        <f>IF(OR(L38="",O38=""),"",IF($C38="1/2W",O38/2+O38/2*L38,IF($C38="1/2L",O38/2,IF(I38="Lay",((O38*(L38/(L38-1)))-O38)*(1-_xlfn.XLOOKUP(K38,'Fevereiro 2023 - Valor Real'!A3:A15,'Fevereiro 2023 - Valor Real'!C3:C15,0))+O38,(O38*L38-O38)*(1-_xlfn.XLOOKUP(K38,'Fevereiro 2023 - Valor Real'!A3:A15,'Fevereiro 2023 - Valor Real'!C3:C15,0))+O38))))</f>
        <v>25.480000000000004</v>
      </c>
      <c r="Q38" s="128">
        <f>IF(K38="","",IF(_xlfn.XLOOKUP(K38,K$4:K37,$DJ$4:DJ37,0,,-1)=DJ38,_xlfn.XLOOKUP(K38,K$4:K37,Q$4:Q37,1,,-1)+1,1))</f>
        <v>10</v>
      </c>
      <c r="R38" s="129">
        <f>IF(K38="","",_xlfn.XLOOKUP(K38,K$4:K37,R$4:R37,0,,-1)+IF($C38=" ",1,0))</f>
        <v>0</v>
      </c>
      <c r="S38" s="403"/>
      <c r="T38" s="380"/>
      <c r="U38" s="380"/>
      <c r="V38" s="481"/>
      <c r="W38" s="380"/>
      <c r="X38" s="452"/>
      <c r="Y38" s="383"/>
      <c r="Z38" s="384"/>
      <c r="AA38" s="384"/>
      <c r="AB38" s="384"/>
      <c r="AC38" s="384"/>
      <c r="AD38" s="130">
        <f>(((L38/(L38-1)-1)*(1-_xlfn.XLOOKUP(K38,'Fevereiro 2023 - Valor Real'!A3:A15,'Fevereiro 2023 - Valor Real'!C3:C15,0))+1))</f>
        <v>4.333333333333333</v>
      </c>
      <c r="AE38" s="131">
        <f>IF(L38="","",IF(L39&gt;0,(SUM(((L37-1)*(1-_xlfn.XLOOKUP(K37,'Fevereiro 2023 - Valor Real'!A3:A15,'Fevereiro 2023 - Valor Real'!C3:C15,0))+1),((L38-1)*(1-_xlfn.XLOOKUP(K38,'Fevereiro 2023 - Valor Real'!A3:A15,'Fevereiro 2023 - Valor Real'!C3:C15,0))+1),((L39-1)*(1-_xlfn.XLOOKUP(K39,'Fevereiro 2023 - Valor Real'!A3:A15,'Fevereiro 2023 - Valor Real'!C3:C15,0))+1))/((L38-1)*(1-_xlfn.XLOOKUP(K38,'Fevereiro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Real'!C3:C15,0))+1))/((L37-1)*(1-_xlfn.XLOOKUP(K37,'Fevereiro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Real'!C3:C15,0))+1))/((L38-1)*(1-_xlfn.XLOOKUP(K38,'Fevereiro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Real'!C3:C15,0))+1))/((L39-1)*(1-_xlfn.XLOOKUP(K39,'Fevereiro 2023 - Valor Real'!A3:A15,'Fevereiro 2023 - Valor Real'!C3:C15,0))+1)),IF(I38="Lay",IF(I37="Lay",((L37/(L37-1)-1)*(1-_xlfn.XLOOKUP(K37,'Fevereiro 2023 - Valor Real'!A3:A15,'Fevereiro 2023 - Valor Real'!C3:C15,0))+1)/(((L37/(L37-1)-1)*(1-_xlfn.XLOOKUP(K37,'Fevereiro 2023 - Valor Real'!A3:A15,'Fevereiro 2023 - Valor Real'!C3:C15,0))+1)+((L38/(L38-1)-1)*(1-_xlfn.XLOOKUP(K38,'Fevereiro 2023 - Valor Real'!A3:A15,'Fevereiro 2023 - Valor Real'!C3:C15,0))+1)),((L37-1)*(1-_xlfn.XLOOKUP(K37,'Fevereiro 2023 - Valor Real'!A3:A15,'Fevereiro 2023 - Valor Real'!C3:C15,0))+1)/(((L37-1)*(1-_xlfn.XLOOKUP(K37,'Fevereiro 2023 - Valor Real'!A3:A15,'Fevereiro 2023 - Valor Real'!C3:C15,0))+1)+((L38/(L38-1)-1)*(1-_xlfn.XLOOKUP(K38,'Fevereiro 2023 - Valor Real'!A3:A15,'Fevereiro 2023 - Valor Real'!C3:C15,0))+1))),IF(I37="Lay",((L37/(L37-1)-1)*(1-_xlfn.XLOOKUP(K37,'Fevereiro 2023 - Valor Real'!A3:A15,'Fevereiro 2023 - Valor Real'!C3:C15,0))+1)/((((L37/(L37-1)-1)*(1-_xlfn.XLOOKUP(K37,'Fevereiro 2023 - Valor Real'!A3:A15,'Fevereiro 2023 - Valor Real'!C3:C15,0))+1))+((L38-1)*(1-_xlfn.XLOOKUP(K38,'Fevereiro 2023 - Valor Real'!A3:A15,'Fevereiro 2023 - Valor Real'!C3:C15,0))+1)),((L37-1)*(1-_xlfn.XLOOKUP(K37,'Fevereiro 2023 - Valor Real'!A3:A15,'Fevereiro 2023 - Valor Real'!C3:C15,0))+1)/(((L37-1)*(1-_xlfn.XLOOKUP(K37,'Fevereiro 2023 - Valor Real'!A3:A15,'Fevereiro 2023 - Valor Real'!C3:C15,0))+1)+((L38-1)*(1-_xlfn.XLOOKUP(K38,'Fevereiro 2023 - Valor Real'!A3:A15,'Fevereiro 2023 - Valor Real'!C3:C15,0))+1))))))</f>
        <v>0.46846935109891902</v>
      </c>
      <c r="AF38" s="105">
        <f t="shared" si="76"/>
        <v>0</v>
      </c>
      <c r="AG38" s="106">
        <f t="shared" si="76"/>
        <v>0</v>
      </c>
      <c r="AH38" s="106">
        <f t="shared" si="76"/>
        <v>0</v>
      </c>
      <c r="AI38" s="106">
        <f t="shared" si="76"/>
        <v>0</v>
      </c>
      <c r="AJ38" s="106">
        <f t="shared" si="76"/>
        <v>5.88</v>
      </c>
      <c r="AK38" s="106">
        <f t="shared" si="76"/>
        <v>0</v>
      </c>
      <c r="AL38" s="106">
        <f t="shared" si="76"/>
        <v>0</v>
      </c>
      <c r="AM38" s="106">
        <f t="shared" si="76"/>
        <v>0</v>
      </c>
      <c r="AN38" s="106">
        <f t="shared" si="76"/>
        <v>0</v>
      </c>
      <c r="AO38" s="106">
        <f t="shared" si="76"/>
        <v>0</v>
      </c>
      <c r="AP38" s="106">
        <f t="shared" si="76"/>
        <v>0</v>
      </c>
      <c r="AQ38" s="106">
        <f t="shared" si="76"/>
        <v>0</v>
      </c>
      <c r="AR38" s="107">
        <f t="shared" si="76"/>
        <v>0</v>
      </c>
      <c r="AS38" s="105">
        <f>IF(AND($B37=" ",$K38=AS$3),$O38,0)</f>
        <v>0</v>
      </c>
      <c r="AT38" s="106">
        <f>IF(AND($B37=" ",K38=AT$3),$O38,0)</f>
        <v>0</v>
      </c>
      <c r="AU38" s="106">
        <f t="shared" ref="AU38:BE38" si="84">IF(AND($B37=" ",$K38=AU$3),$O38,0)</f>
        <v>0</v>
      </c>
      <c r="AV38" s="106">
        <f t="shared" si="84"/>
        <v>0</v>
      </c>
      <c r="AW38" s="106">
        <f t="shared" si="84"/>
        <v>0</v>
      </c>
      <c r="AX38" s="106">
        <f t="shared" si="84"/>
        <v>0</v>
      </c>
      <c r="AY38" s="108">
        <f t="shared" si="84"/>
        <v>0</v>
      </c>
      <c r="AZ38" s="109">
        <f t="shared" si="84"/>
        <v>0</v>
      </c>
      <c r="BA38" s="109">
        <f t="shared" si="84"/>
        <v>0</v>
      </c>
      <c r="BB38" s="109">
        <f t="shared" si="84"/>
        <v>0</v>
      </c>
      <c r="BC38" s="110">
        <f t="shared" si="84"/>
        <v>0</v>
      </c>
      <c r="BD38" s="106">
        <f t="shared" si="84"/>
        <v>0</v>
      </c>
      <c r="BE38" s="107">
        <f t="shared" si="84"/>
        <v>0</v>
      </c>
      <c r="BF38" s="105">
        <f t="shared" si="78"/>
        <v>0</v>
      </c>
      <c r="BG38" s="106">
        <f t="shared" si="78"/>
        <v>0</v>
      </c>
      <c r="BH38" s="106">
        <f t="shared" si="78"/>
        <v>0</v>
      </c>
      <c r="BI38" s="106">
        <f t="shared" si="78"/>
        <v>0</v>
      </c>
      <c r="BJ38" s="106">
        <f t="shared" si="78"/>
        <v>19.600000000000001</v>
      </c>
      <c r="BK38" s="106">
        <f t="shared" si="78"/>
        <v>0</v>
      </c>
      <c r="BL38" s="106">
        <f t="shared" si="78"/>
        <v>0</v>
      </c>
      <c r="BM38" s="132">
        <f t="shared" si="78"/>
        <v>0</v>
      </c>
      <c r="BN38" s="112">
        <f t="shared" si="78"/>
        <v>0</v>
      </c>
      <c r="BO38" s="112">
        <f t="shared" si="78"/>
        <v>0</v>
      </c>
      <c r="BP38" s="112">
        <f t="shared" si="78"/>
        <v>0</v>
      </c>
      <c r="BQ38" s="110">
        <f t="shared" si="78"/>
        <v>0</v>
      </c>
      <c r="BR38" s="107">
        <f t="shared" si="78"/>
        <v>0</v>
      </c>
      <c r="BS38" s="464"/>
      <c r="BT38" s="461"/>
      <c r="BU38" s="392"/>
      <c r="BV38" s="461"/>
      <c r="BW38" s="392"/>
      <c r="BX38" s="392"/>
      <c r="BY38" s="392"/>
      <c r="BZ38" s="461"/>
      <c r="CA38" s="392"/>
      <c r="CB38" s="392"/>
      <c r="CC38" s="392"/>
      <c r="CD38" s="401"/>
      <c r="CE38" s="409"/>
      <c r="CF38" s="133">
        <f t="shared" si="4"/>
        <v>0</v>
      </c>
      <c r="CG38" s="134">
        <f t="shared" si="5"/>
        <v>0</v>
      </c>
      <c r="CH38" s="134">
        <f t="shared" si="6"/>
        <v>0</v>
      </c>
      <c r="CI38" s="134">
        <f t="shared" si="7"/>
        <v>0</v>
      </c>
      <c r="CJ38" s="134">
        <f t="shared" si="8"/>
        <v>0</v>
      </c>
      <c r="CK38" s="134">
        <f t="shared" si="9"/>
        <v>0</v>
      </c>
      <c r="CL38" s="134">
        <f t="shared" si="10"/>
        <v>0</v>
      </c>
      <c r="CM38" s="134">
        <f t="shared" si="11"/>
        <v>0</v>
      </c>
      <c r="CN38" s="134">
        <f t="shared" si="12"/>
        <v>1</v>
      </c>
      <c r="CO38" s="134">
        <f t="shared" si="13"/>
        <v>0</v>
      </c>
      <c r="CP38" s="134">
        <f t="shared" si="14"/>
        <v>0</v>
      </c>
      <c r="CQ38" s="134">
        <f t="shared" si="15"/>
        <v>0</v>
      </c>
      <c r="CR38" s="134">
        <f t="shared" si="16"/>
        <v>0</v>
      </c>
      <c r="CS38" s="134">
        <f t="shared" si="17"/>
        <v>0</v>
      </c>
      <c r="CT38" s="115">
        <f t="shared" si="18"/>
        <v>0</v>
      </c>
      <c r="CU38" s="116">
        <f t="shared" si="19"/>
        <v>0</v>
      </c>
      <c r="CV38" s="116">
        <f t="shared" si="20"/>
        <v>0</v>
      </c>
      <c r="CW38" s="116">
        <f t="shared" si="21"/>
        <v>0</v>
      </c>
      <c r="CX38" s="116">
        <f t="shared" si="22"/>
        <v>0</v>
      </c>
      <c r="CY38" s="116">
        <f t="shared" si="23"/>
        <v>0</v>
      </c>
      <c r="CZ38" s="116">
        <f t="shared" si="24"/>
        <v>0</v>
      </c>
      <c r="DA38" s="116">
        <f t="shared" si="25"/>
        <v>0</v>
      </c>
      <c r="DB38" s="116">
        <f t="shared" si="26"/>
        <v>0</v>
      </c>
      <c r="DC38" s="116">
        <f t="shared" si="27"/>
        <v>0</v>
      </c>
      <c r="DD38" s="116">
        <f t="shared" si="28"/>
        <v>0</v>
      </c>
      <c r="DE38" s="117">
        <f t="shared" si="29"/>
        <v>0</v>
      </c>
      <c r="DF38" s="118">
        <f t="shared" si="31"/>
        <v>6</v>
      </c>
      <c r="DG38" s="106">
        <f t="shared" si="32"/>
        <v>8.09</v>
      </c>
      <c r="DH38" s="116">
        <f t="shared" si="33"/>
        <v>0</v>
      </c>
      <c r="DI38" s="106">
        <f t="shared" si="34"/>
        <v>0</v>
      </c>
      <c r="DJ38" s="116">
        <f>IF($D37="","",$D37)</f>
        <v>1</v>
      </c>
      <c r="DK38" s="466"/>
    </row>
    <row r="39" spans="1:115" ht="14.5" customHeight="1" x14ac:dyDescent="0.2">
      <c r="A39" s="390"/>
      <c r="B39" s="457"/>
      <c r="C39" s="135" t="s">
        <v>54</v>
      </c>
      <c r="D39" s="375"/>
      <c r="E39" s="387"/>
      <c r="F39" s="378"/>
      <c r="G39" s="484"/>
      <c r="H39" s="477"/>
      <c r="I39" s="192">
        <v>2</v>
      </c>
      <c r="J39" s="137"/>
      <c r="K39" s="193" t="s">
        <v>40</v>
      </c>
      <c r="L39" s="194">
        <v>1.51</v>
      </c>
      <c r="M39" s="140">
        <v>4.5</v>
      </c>
      <c r="N39" s="407"/>
      <c r="O39" s="195">
        <f>IF(OR(AE37="",AE38=""),"",IF(L39&gt;0,ROUND(IF(M39&gt;0,M39,IF(M37&gt;0,ROUND((M37*AE39)/AE37,IF(N37=0,2,IF(N37=0.1,1,0))),IF(M38&gt;0,ROUND((M38*AE39)/AE38,IF(N37=0,2,IF(N37=0.1,1,0))),IF(M39&gt;0,M39,0)))),2),""))</f>
        <v>4.5</v>
      </c>
      <c r="P39" s="196">
        <f>IF(I38="Lay",O38*(L38/(L38-1))-O38,IF(I37="Lay",O37*(L37/(L37-1))-O37,IF(OR(L39="",O39=""),"",IF($C39="1/2W",O39/2+O39/2*L39,IF($C39="1/2L",O39/2,(O39*L39-O39)*(1-_xlfn.XLOOKUP(K39,'Fevereiro 2023 - Valor Real'!A3:A15,'Fevereiro 2023 - Valor Real'!C3:C15,0))+O39)))))</f>
        <v>6.7949999999999999</v>
      </c>
      <c r="Q39" s="197">
        <f>IF(K39="","",IF(_xlfn.XLOOKUP(K39,K$4:K38,$DJ$4:DJ38,0,,-1)=DJ39,_xlfn.XLOOKUP(K39,K$4:K38,Q$4:Q38,1,,-1)+1,1))</f>
        <v>11</v>
      </c>
      <c r="R39" s="198">
        <f>IF(K39="","",_xlfn.XLOOKUP(K39,K$4:K38,R$4:R38,0,,-1)+IF($C39=" ",1,0))</f>
        <v>0</v>
      </c>
      <c r="S39" s="404"/>
      <c r="T39" s="378"/>
      <c r="U39" s="378"/>
      <c r="V39" s="404"/>
      <c r="W39" s="378"/>
      <c r="X39" s="453"/>
      <c r="Y39" s="383"/>
      <c r="Z39" s="384"/>
      <c r="AA39" s="384"/>
      <c r="AB39" s="384"/>
      <c r="AC39" s="384"/>
      <c r="AD39" s="145">
        <f>((L38/(L38-1)-1))</f>
        <v>3.333333333333333</v>
      </c>
      <c r="AE39" s="199">
        <f>IF(L39="","",(SUM(((L37-1)*(1-_xlfn.XLOOKUP(K37,'Fevereiro 2023 - Valor Real'!A3:A15,'Fevereiro 2023 - Valor Real'!C3:C15,0))+1),((L38-1)*(1-_xlfn.XLOOKUP(K38,'Fevereiro 2023 - Valor Real'!A3:A15,'Fevereiro 2023 - Valor Real'!C3:C15,0))+1),((L39-1)*(1-_xlfn.XLOOKUP(K39,'Fevereiro 2023 - Valor Real'!A3:A15,'Fevereiro 2023 - Valor Real'!C3:C15,0))+1))/((L39-1)*(1-_xlfn.XLOOKUP(K39,'Fevereiro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Real'!C3:C15,0))+1))/((L37-1)*(1-_xlfn.XLOOKUP(K37,'Fevereiro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Real'!C3:C15,0))+1))/((L38-1)*(1-_xlfn.XLOOKUP(K38,'Fevereiro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Real'!C3:C15,0))+1))/((L39-1)*(1-_xlfn.XLOOKUP(K39,'Fevereiro 2023 - Valor Real'!A3:A15,'Fevereiro 2023 - Valor Real'!C3:C15,0))+1)))</f>
        <v>0.40331798438979782</v>
      </c>
      <c r="AF39" s="105">
        <f t="shared" si="76"/>
        <v>0</v>
      </c>
      <c r="AG39" s="106">
        <f t="shared" si="76"/>
        <v>0</v>
      </c>
      <c r="AH39" s="106">
        <f t="shared" si="76"/>
        <v>0</v>
      </c>
      <c r="AI39" s="106">
        <f t="shared" si="76"/>
        <v>0</v>
      </c>
      <c r="AJ39" s="106">
        <f t="shared" si="76"/>
        <v>2.2999999999999998</v>
      </c>
      <c r="AK39" s="106">
        <f t="shared" si="76"/>
        <v>0</v>
      </c>
      <c r="AL39" s="106">
        <f t="shared" si="76"/>
        <v>0</v>
      </c>
      <c r="AM39" s="106">
        <f t="shared" si="76"/>
        <v>0</v>
      </c>
      <c r="AN39" s="106">
        <f t="shared" si="76"/>
        <v>0</v>
      </c>
      <c r="AO39" s="106">
        <f t="shared" si="76"/>
        <v>0</v>
      </c>
      <c r="AP39" s="106">
        <f t="shared" si="76"/>
        <v>0</v>
      </c>
      <c r="AQ39" s="106">
        <f t="shared" si="76"/>
        <v>0</v>
      </c>
      <c r="AR39" s="107">
        <f t="shared" si="76"/>
        <v>0</v>
      </c>
      <c r="AS39" s="105">
        <f>IF(AND($B37=" ",$K39=AS$3),$O39,0)</f>
        <v>0</v>
      </c>
      <c r="AT39" s="106">
        <f>IF(AND($B37=" ",K39=AT$3),$O39,0)</f>
        <v>0</v>
      </c>
      <c r="AU39" s="106">
        <f t="shared" ref="AU39:BE39" si="85">IF(AND($B37=" ",$K39=AU$3),$O39,0)</f>
        <v>0</v>
      </c>
      <c r="AV39" s="106">
        <f t="shared" si="85"/>
        <v>0</v>
      </c>
      <c r="AW39" s="106">
        <f t="shared" si="85"/>
        <v>0</v>
      </c>
      <c r="AX39" s="106">
        <f t="shared" si="85"/>
        <v>0</v>
      </c>
      <c r="AY39" s="108">
        <f t="shared" si="85"/>
        <v>0</v>
      </c>
      <c r="AZ39" s="109">
        <f t="shared" si="85"/>
        <v>0</v>
      </c>
      <c r="BA39" s="109">
        <f t="shared" si="85"/>
        <v>0</v>
      </c>
      <c r="BB39" s="109">
        <f t="shared" si="85"/>
        <v>0</v>
      </c>
      <c r="BC39" s="110">
        <f t="shared" si="85"/>
        <v>0</v>
      </c>
      <c r="BD39" s="106">
        <f t="shared" si="85"/>
        <v>0</v>
      </c>
      <c r="BE39" s="107">
        <f t="shared" si="85"/>
        <v>0</v>
      </c>
      <c r="BF39" s="105">
        <f t="shared" si="78"/>
        <v>0</v>
      </c>
      <c r="BG39" s="106">
        <f t="shared" si="78"/>
        <v>0</v>
      </c>
      <c r="BH39" s="106">
        <f t="shared" si="78"/>
        <v>0</v>
      </c>
      <c r="BI39" s="106">
        <f t="shared" si="78"/>
        <v>0</v>
      </c>
      <c r="BJ39" s="106">
        <f t="shared" si="78"/>
        <v>4.5</v>
      </c>
      <c r="BK39" s="106">
        <f t="shared" si="78"/>
        <v>0</v>
      </c>
      <c r="BL39" s="106">
        <f t="shared" si="78"/>
        <v>0</v>
      </c>
      <c r="BM39" s="108">
        <f t="shared" si="78"/>
        <v>0</v>
      </c>
      <c r="BN39" s="109">
        <f t="shared" si="78"/>
        <v>0</v>
      </c>
      <c r="BO39" s="109">
        <f t="shared" si="78"/>
        <v>0</v>
      </c>
      <c r="BP39" s="109">
        <f t="shared" si="78"/>
        <v>0</v>
      </c>
      <c r="BQ39" s="110">
        <f t="shared" si="78"/>
        <v>0</v>
      </c>
      <c r="BR39" s="107">
        <f t="shared" si="78"/>
        <v>0</v>
      </c>
      <c r="BS39" s="464"/>
      <c r="BT39" s="461"/>
      <c r="BU39" s="392"/>
      <c r="BV39" s="461"/>
      <c r="BW39" s="392"/>
      <c r="BX39" s="392"/>
      <c r="BY39" s="392"/>
      <c r="BZ39" s="461"/>
      <c r="CA39" s="392"/>
      <c r="CB39" s="392"/>
      <c r="CC39" s="392"/>
      <c r="CD39" s="401"/>
      <c r="CE39" s="409"/>
      <c r="CF39" s="133">
        <f t="shared" si="4"/>
        <v>0</v>
      </c>
      <c r="CG39" s="134">
        <f t="shared" si="5"/>
        <v>0</v>
      </c>
      <c r="CH39" s="134">
        <f t="shared" si="6"/>
        <v>0</v>
      </c>
      <c r="CI39" s="134">
        <f t="shared" si="7"/>
        <v>0</v>
      </c>
      <c r="CJ39" s="134">
        <f t="shared" si="8"/>
        <v>0</v>
      </c>
      <c r="CK39" s="134">
        <f t="shared" si="9"/>
        <v>0</v>
      </c>
      <c r="CL39" s="134">
        <f t="shared" si="10"/>
        <v>0</v>
      </c>
      <c r="CM39" s="134">
        <f t="shared" si="11"/>
        <v>0</v>
      </c>
      <c r="CN39" s="134">
        <f t="shared" si="12"/>
        <v>1</v>
      </c>
      <c r="CO39" s="134">
        <f t="shared" si="13"/>
        <v>0</v>
      </c>
      <c r="CP39" s="134">
        <f t="shared" si="14"/>
        <v>0</v>
      </c>
      <c r="CQ39" s="134">
        <f t="shared" si="15"/>
        <v>0</v>
      </c>
      <c r="CR39" s="134">
        <f t="shared" si="16"/>
        <v>0</v>
      </c>
      <c r="CS39" s="134">
        <f t="shared" si="17"/>
        <v>0</v>
      </c>
      <c r="CT39" s="115">
        <f t="shared" si="18"/>
        <v>0</v>
      </c>
      <c r="CU39" s="116">
        <f t="shared" si="19"/>
        <v>0</v>
      </c>
      <c r="CV39" s="116">
        <f t="shared" si="20"/>
        <v>0</v>
      </c>
      <c r="CW39" s="116">
        <f t="shared" si="21"/>
        <v>0</v>
      </c>
      <c r="CX39" s="116">
        <f t="shared" si="22"/>
        <v>0</v>
      </c>
      <c r="CY39" s="116">
        <f t="shared" si="23"/>
        <v>0</v>
      </c>
      <c r="CZ39" s="116">
        <f t="shared" si="24"/>
        <v>0</v>
      </c>
      <c r="DA39" s="116">
        <f t="shared" si="25"/>
        <v>0</v>
      </c>
      <c r="DB39" s="116">
        <f t="shared" si="26"/>
        <v>0</v>
      </c>
      <c r="DC39" s="116">
        <f t="shared" si="27"/>
        <v>0</v>
      </c>
      <c r="DD39" s="116">
        <f t="shared" si="28"/>
        <v>0</v>
      </c>
      <c r="DE39" s="117">
        <f t="shared" si="29"/>
        <v>0</v>
      </c>
      <c r="DF39" s="118">
        <f t="shared" si="31"/>
        <v>6</v>
      </c>
      <c r="DG39" s="106">
        <f t="shared" si="32"/>
        <v>8.09</v>
      </c>
      <c r="DH39" s="116">
        <f t="shared" si="33"/>
        <v>0</v>
      </c>
      <c r="DI39" s="106">
        <f t="shared" si="34"/>
        <v>0</v>
      </c>
      <c r="DJ39" s="116">
        <f>IF($D37="","",$D37)</f>
        <v>1</v>
      </c>
      <c r="DK39" s="466"/>
    </row>
    <row r="40" spans="1:115" ht="14.5" customHeight="1" x14ac:dyDescent="0.2">
      <c r="A40" s="487">
        <f>$A37+1</f>
        <v>13</v>
      </c>
      <c r="B40" s="506" t="str">
        <f>IF(OR(C40="W",C41="W",C42="W",C40="1/2W",C41="1/2W",C42="1/2W",C40="1/2L",C41="1/2L",C42="1/2L"),"OK",IF(OR(C40="L",C41="L",C42="L"),"LOSS",IF(OR(C40="X",C41="X",C42="X"),"Anulado"," ")))</f>
        <v>OK</v>
      </c>
      <c r="C40" s="147" t="s">
        <v>55</v>
      </c>
      <c r="D40" s="495">
        <f>IF(G40="","",$D37)</f>
        <v>1</v>
      </c>
      <c r="E40" s="511" t="str">
        <f>IF(G40=""," ","– "&amp;COUNTIF(D$4:D42,$D40))</f>
        <v>– 13</v>
      </c>
      <c r="F40" s="510" t="str">
        <f ca="1">IF(G40="","",IF(OR(AND($C40&lt;&gt;" ",$C41=" "),AND($C41&lt;&gt;" ",$C40=" "),AND(L42&gt;0,OR(AND($C42&lt;&gt;" ",OR($C40=" ",$C41=" ")),AND($C42=" ",OR($C40&lt;&gt;" ",$C41&lt;&gt;" "))))),IF(SUM(F$4:F39)=0,1,LARGE(F$4:F39,1)+1),IF(MONTH(G40)=MONTH(TODAY()),IF(AND(DAY(G40)&lt;DAY(TODAY()),$B40=" "),IF(SUM(F$4:F39)=0,1,LARGE(F$4:F39,1)+1),IF($B40=" ",IF(AND(DAY(G40)=DAY(TODAY()),HOUR(G40)&lt;=HOUR(NOW())+1),IF(AND(HOUR(G40)+2&lt;=HOUR(NOW()),DAY(G40)&lt;=DAY(TODAY()),MINUTE(G40)&lt;=MINUTE(NOW())),IF(SUM(F$4:F39)=0,1,LARGE(F$4:F39,1)+1),IF(OR(MINUTE(G40)&lt;=MINUTE(NOW()),HOUR(G40)&lt;=HOUR(NOW())),"!!!","")),""),"")),"")))</f>
        <v/>
      </c>
      <c r="G40" s="508">
        <v>44986.697916666664</v>
      </c>
      <c r="H40" s="502" t="s">
        <v>65</v>
      </c>
      <c r="I40" s="180" t="s">
        <v>66</v>
      </c>
      <c r="J40" s="181">
        <v>1.25</v>
      </c>
      <c r="K40" s="150" t="s">
        <v>36</v>
      </c>
      <c r="L40" s="151">
        <v>1.95</v>
      </c>
      <c r="M40" s="152">
        <v>16.2</v>
      </c>
      <c r="N40" s="503">
        <v>0</v>
      </c>
      <c r="O40" s="153">
        <f>IF(OR(AE40="",AE41=""),"",ROUND(IF(L42&gt;0,IF(M40&gt;0,M40,IF(M41&gt;0,ROUND((M41*AE40)/AE41,IF(N40=0,2,IF(N40=0.1,1,0))),ROUND((M42*AE40)/AE42,IF(N40=0,2,IF(N40=0.1,1,0))))),IF(M40&gt;0,M40,ROUND((M41*AE40)/AE41,IF(N40=0,2,IF(N40=0.1,1,0))))),2))</f>
        <v>16.2</v>
      </c>
      <c r="P40" s="154">
        <f>IF(OR(L40="",O40=""),"",IF($C40="1/2W",O40/2+O40/2*L40,IF($C40="1/2L",O40/2,IF(I40="Lay",(O40*(L40/(L40-1))-O40)*(1-_xlfn.XLOOKUP(K40,'Fevereiro 2023 - Valor Real'!A3:A15,'Fevereiro 2023 - Valor Real'!C3:C15,0))+O40,(O40*L40-O40)*(1-_xlfn.XLOOKUP(K40,'Fevereiro 2023 - Valor Real'!A3:A15,'Fevereiro 2023 - Valor Real'!C3:C15,0))+O40))))</f>
        <v>31.589999999999996</v>
      </c>
      <c r="Q40" s="155">
        <f>IF(K40="","",IF(_xlfn.XLOOKUP(K40,K$4:K39,$DJ$4:DJ39,0,,-1)=DJ40,_xlfn.XLOOKUP(K40,K$4:K39,Q$4:Q39,1,,-1)+1,1))</f>
        <v>3</v>
      </c>
      <c r="R40" s="156">
        <f>IF(K40="","",_xlfn.XLOOKUP(K40,K$4:K39,R$4:R39,0,,-1)+IF($C40=" ",1,0))</f>
        <v>0</v>
      </c>
      <c r="S40" s="501">
        <f>IF($B40="Anulado",0,ROUND(IF(OR($B40="LOSS",$B40="OK"),IF(OR($C40="W",$C40="1/2W",$C40="1/2L"),P40-O40,IF($C40="L",-O40,0))+IF(OR($C41="W",$C41="1/2W",$C41="1/2L"),P41-O41,IF($C41="L",-O41,0))+IF(OR($C42="W",$C42="1/2W",$C42="1/2L"),P42-O42,IF($C42="L",-O42,0)),IF(AND(OR($C40="W",$C40="1/2W",$C40="1/2L"),C41="W"),P40+P41-SUM(O40:O42)+_xlfn.XLOOKUP("X",C40:C42,O40:O42,0),IF(AND(C40=TRUE,C42="W"),P40+P42-SUM(O40:O42),IF(AND(C41="W",C42="W"),P41+P42-SUM(O40:O42)+_xlfn.XLOOKUP("X",C40:C42,O40:O42,0),IF(L42&gt;0,IF(OR($C40="W",$C40="1/2W",$C40="1/2L"),P40-SUM(O40:O42)+_xlfn.XLOOKUP("X",C40:C42,O40:O42,0),IF(OR($C40="W",$C40="1/2W",$C40="1/2L"),P41-SUM(O40:O42)+_xlfn.XLOOKUP("X",C40:C42,O40:O42,0),IF(OR($C40="W",$C40="1/2W",$C40="1/2L"),P42-SUM(O40:O42)+_xlfn.XLOOKUP("X",C40:C42,O40:O42,0),IF(SUM(P40:P42)/3-SUM(O40:O42)+_xlfn.XLOOKUP("X",C40:C42,O40:O42,0)&gt;0,SUM(P40:P42)/3-SUM(O40:O42)+_xlfn.XLOOKUP("X",C40:C42,O40:O42,0),LARGE(P40:P42,1)-SUM(O40:O42))))),IF(OR($C40="W",$C40="1/2W",$C40="1/2L"),P40-SUM(O40:O41)+_xlfn.XLOOKUP("X",C40:C42,O40:O42,0),IF(OR($C40="W",$C40="1/2W",$C40="1/2L"),P41-SUM(O40:O41)+_xlfn.XLOOKUP("X",C40:C42,O40:O42,0),SUM(P40:P41)/2-SUM(O40:O41)+_xlfn.XLOOKUP("X",C40:C42,O40:O42,0)))))))),2))</f>
        <v>1.1599999999999999</v>
      </c>
      <c r="T40" s="486">
        <f>IF(S40=0,0,S40/SUM(O40:O42))</f>
        <v>3.8170450806186244E-2</v>
      </c>
      <c r="U40" s="496">
        <f>IF($D40=$D37,IF(OR($B40="LOSS",$B40="OK",$B40="Anulada"),S40,0)+U37,IF(OR($B40="LOSS",$B40="OK",$B40="Anulada"),S40,0))</f>
        <v>23.57</v>
      </c>
      <c r="V40" s="496">
        <f>IF($D40="",0,IF($D40=$D37,IF($B40=" ",IF(I42="",IF(OR(AND(I40="DNB1",I41="DNB2"),AND(OR(I40="DNB1",I40="DNB2"),J41=0),AND(OR(I41="DNB1",I41="DNB2"),J40=0),AND(I40="DNB2",I41="DNB1"),AND(IF(J40=0,(J40+1)/ROUND(J40+1,0),J40/ROUND(J40,0))=1,IF(J41=0,(J41+1)/ROUND(IF(J41="",0,J41)+1,0),IF(J41="",0,J41)/ROUND(IF(J41="",1,J41),0))=1,OR(J40&lt;&gt;""),J41&lt;&gt;"")),0,IF(S40&lt;0,IF(I42="",SMALL(P40:P41,1)-SUM(O40:O41),0),SMALL(P40:P41,1)-SUM(O40:O41))),IF(S40&lt;0,IF(I42="",SMALL(P40:P42,1)-SUM(O40:O42),0),LARGE(P40:P42,1)-SUM(O40:O42))),S40)+V37,IF(I42="",IF(OR(AND(I40="DNB1",I41="DNB2"),AND(OR(I40="DNB1",I40="DNB2"),J41=0),AND(OR(I41="DNB1",I41="DNB2"),J40=0),AND(I40="DNB2",I41="DNB1"),AND(IF(J40=0,(J40+1)/ROUND(J40+1,0),J40/ROUND(J40,0))=1,IF(J41=0,(IF(J41="",0,J41)+1)/ROUND(IF(J41="",0,J41)+1,0),IF(J41="",0,J41)/ROUND(IF(J41="",0,J41)+1,0))=1,OR(J40&lt;&gt;""),J41&lt;&gt;"")),0,IF(S40&lt;0,IF(I42="",SMALL(P40:P41,1)-SUM(O40:O41),0),SMALL(P40:P42,1)-SUM(O40:O42))),IF(S40&lt;0,IF(I42="",SMALL(P40:P42,1)-SUM(O40:O42),0),LARGE(P40:P42,1)-SUM(O40:O42)))))</f>
        <v>23.57</v>
      </c>
      <c r="W40" s="496">
        <f>IF($D40=$D37,IF(S40&lt;0,IF(I42="",S40,0),S40)+W37,S40)</f>
        <v>23.57</v>
      </c>
      <c r="X40" s="505" t="str">
        <f>IF(OR(SUM(R40:R42)=0,V40=W40),ROUND(IF(W40=0,0,W40/Y40)*100,2)&amp;"%",ROUND(IF(V40=0,0,V40/Y40)*100,2)&amp;"% a "&amp;ROUND(IF(W40=0,0,W40/Y40)*100,2)&amp;"%")</f>
        <v>5,05%</v>
      </c>
      <c r="Y40" s="497">
        <f>IF($D40=$D37,Y37+SUM(O40:O42),SUM(O40:O42))</f>
        <v>467.16999999999996</v>
      </c>
      <c r="Z40" s="496">
        <f>IF($B40=" ",SUM(O40:O42),0)+Z37</f>
        <v>0</v>
      </c>
      <c r="AA40" s="496">
        <f>IF(G40="","",IF($B40="Anulado",LARGE(P40:P42,1)-SUM(O40:O42)+AA37,AA37))</f>
        <v>0.45899999999999785</v>
      </c>
      <c r="AB40" s="496">
        <f>IF($D40="","",AB37+S40)</f>
        <v>23.57</v>
      </c>
      <c r="AC40" s="499">
        <f ca="1">IF($D40="","",IF($B40=" ",IF(DAY(G40)=DAY(TODAY()),1+AC37,0+AC37),0+AC37))</f>
        <v>0</v>
      </c>
      <c r="AD40" s="157">
        <f>(1-_xlfn.XLOOKUP(K38,'Fevereiro 2023 - Valor Real'!A3:A15,'Fevereiro 2023 - Valor Real'!C3:C15,0))+1</f>
        <v>2</v>
      </c>
      <c r="AE40" s="158">
        <f>IF(L40="","",IF(L42&gt;0,(SUM(((L40-1)*(1-_xlfn.XLOOKUP(K40,'Fevereiro 2023 - Valor Real'!A3:A15,'Fevereiro 2023 - Valor Real'!C3:C15,0))+1),((L41-1)*(1-_xlfn.XLOOKUP(K41,'Fevereiro 2023 - Valor Real'!A3:A15,'Fevereiro 2023 - Valor Real'!C3:C15,0))+1),((L42-1)*(1-_xlfn.XLOOKUP(K42,'Fevereiro 2023 - Valor Real'!A3:A15,'Fevereiro 2023 - Valor Real'!C3:C15,0))+1))/((L40-1)*(1-_xlfn.XLOOKUP(K40,'Fevereiro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Real'!C3:C15,0))+1))/((L40-1)*(1-_xlfn.XLOOKUP(K40,'Fevereiro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Real'!C3:C15,0))+1))/((L41-1)*(1-_xlfn.XLOOKUP(K41,'Fevereiro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Real'!C3:C15,0))+1))/((L42-1)*(1-_xlfn.XLOOKUP(K42,'Fevereiro 2023 - Valor Real'!A3:A15,'Fevereiro 2023 - Valor Real'!C3:C15,0))+1)),IF(I40="Lay",IF(I41="Lay",((L41/(L41-1)-1)*(1-_xlfn.XLOOKUP(K41,'Fevereiro 2023 - Valor Real'!A3:A15,'Fevereiro 2023 - Valor Real'!C3:C15,0))+1)/(((L41/(L41-1)-1)*(1-_xlfn.XLOOKUP(K41,'Fevereiro 2023 - Valor Real'!A3:A15,'Fevereiro 2023 - Valor Real'!C3:C15,0))+1)+((L40/(L40-1)-1)*(1-_xlfn.XLOOKUP(K40,'Fevereiro 2023 - Valor Real'!A3:A15,'Fevereiro 2023 - Valor Real'!C3:C15,0))+1)),((L41-1)*(1-_xlfn.XLOOKUP(K41,'Fevereiro 2023 - Valor Real'!A3:A15,'Fevereiro 2023 - Valor Real'!C3:C15,0))+1)/(((L41-1)*(1-_xlfn.XLOOKUP(K41,'Fevereiro 2023 - Valor Real'!A3:A15,'Fevereiro 2023 - Valor Real'!C3:C15,0))+1)+((L40/(L40-1)-1)*(1-_xlfn.XLOOKUP(K40,'Fevereiro 2023 - Valor Real'!A3:A15,'Fevereiro 2023 - Valor Real'!C3:C15,0))+1))),IF(I41="Lay",(((L41/(L41-1)-1)*(1-_xlfn.XLOOKUP(K41,'Fevereiro 2023 - Valor Real'!A3:A15,'Fevereiro 2023 - Valor Real'!C3:C15,0))+1))/(((L40-1)*(1-_xlfn.XLOOKUP(K40,'Fevereiro 2023 - Valor Real'!A3:A15,'Fevereiro 2023 - Valor Real'!C3:C15,0))+1)+((L41/(L41-1)-1)*(1-_xlfn.XLOOKUP(K41,'Fevereiro 2023 - Valor Real'!A3:A15,'Fevereiro 2023 - Valor Real'!C3:C15,0))+1)),((L41-1)*(1-_xlfn.XLOOKUP(K41,'Fevereiro 2023 - Valor Real'!A3:A15,'Fevereiro 2023 - Valor Real'!C3:C15,0))+1)/(((L41-1)*(1-_xlfn.XLOOKUP(K41,'Fevereiro 2023 - Valor Real'!A3:A15,'Fevereiro 2023 - Valor Real'!C3:C15,0))+1)+((L40-1)*(1-_xlfn.XLOOKUP(K40,'Fevereiro 2023 - Valor Real'!A3:A15,'Fevereiro 2023 - Valor Real'!C3:C15,0))+1))))))</f>
        <v>0.33178542834267416</v>
      </c>
      <c r="AF40" s="66">
        <f t="shared" si="76"/>
        <v>-16.2</v>
      </c>
      <c r="AG40" s="67">
        <f t="shared" si="76"/>
        <v>0</v>
      </c>
      <c r="AH40" s="67">
        <f t="shared" si="76"/>
        <v>0</v>
      </c>
      <c r="AI40" s="67">
        <f t="shared" si="76"/>
        <v>0</v>
      </c>
      <c r="AJ40" s="67">
        <f t="shared" si="76"/>
        <v>0</v>
      </c>
      <c r="AK40" s="67">
        <f t="shared" si="76"/>
        <v>0</v>
      </c>
      <c r="AL40" s="67">
        <f t="shared" si="76"/>
        <v>0</v>
      </c>
      <c r="AM40" s="67">
        <f t="shared" si="76"/>
        <v>0</v>
      </c>
      <c r="AN40" s="67">
        <f t="shared" si="76"/>
        <v>0</v>
      </c>
      <c r="AO40" s="67">
        <f t="shared" si="76"/>
        <v>0</v>
      </c>
      <c r="AP40" s="67">
        <f t="shared" si="76"/>
        <v>0</v>
      </c>
      <c r="AQ40" s="67">
        <f t="shared" si="76"/>
        <v>0</v>
      </c>
      <c r="AR40" s="68">
        <f t="shared" si="76"/>
        <v>0</v>
      </c>
      <c r="AS40" s="66">
        <f t="shared" ref="AS40:BE40" si="86">IF(AND($B40=" ",$K40=AS$3),$O40,0)</f>
        <v>0</v>
      </c>
      <c r="AT40" s="67">
        <f t="shared" si="86"/>
        <v>0</v>
      </c>
      <c r="AU40" s="67">
        <f t="shared" si="86"/>
        <v>0</v>
      </c>
      <c r="AV40" s="67">
        <f t="shared" si="86"/>
        <v>0</v>
      </c>
      <c r="AW40" s="67">
        <f t="shared" si="86"/>
        <v>0</v>
      </c>
      <c r="AX40" s="67">
        <f t="shared" si="86"/>
        <v>0</v>
      </c>
      <c r="AY40" s="69">
        <f t="shared" si="86"/>
        <v>0</v>
      </c>
      <c r="AZ40" s="70">
        <f t="shared" si="86"/>
        <v>0</v>
      </c>
      <c r="BA40" s="70">
        <f t="shared" si="86"/>
        <v>0</v>
      </c>
      <c r="BB40" s="70">
        <f t="shared" si="86"/>
        <v>0</v>
      </c>
      <c r="BC40" s="71">
        <f t="shared" si="86"/>
        <v>0</v>
      </c>
      <c r="BD40" s="67">
        <f t="shared" si="86"/>
        <v>0</v>
      </c>
      <c r="BE40" s="68">
        <f t="shared" si="86"/>
        <v>0</v>
      </c>
      <c r="BF40" s="66">
        <f t="shared" si="78"/>
        <v>16.2</v>
      </c>
      <c r="BG40" s="67">
        <f t="shared" si="78"/>
        <v>0</v>
      </c>
      <c r="BH40" s="67">
        <f t="shared" si="78"/>
        <v>0</v>
      </c>
      <c r="BI40" s="67">
        <f t="shared" si="78"/>
        <v>0</v>
      </c>
      <c r="BJ40" s="67">
        <f t="shared" si="78"/>
        <v>0</v>
      </c>
      <c r="BK40" s="67">
        <f t="shared" si="78"/>
        <v>0</v>
      </c>
      <c r="BL40" s="67">
        <f t="shared" si="78"/>
        <v>0</v>
      </c>
      <c r="BM40" s="69">
        <f t="shared" si="78"/>
        <v>0</v>
      </c>
      <c r="BN40" s="70">
        <f t="shared" si="78"/>
        <v>0</v>
      </c>
      <c r="BO40" s="70">
        <f t="shared" si="78"/>
        <v>0</v>
      </c>
      <c r="BP40" s="70">
        <f t="shared" si="78"/>
        <v>0</v>
      </c>
      <c r="BQ40" s="71">
        <f t="shared" si="78"/>
        <v>0</v>
      </c>
      <c r="BR40" s="68">
        <f t="shared" si="78"/>
        <v>0</v>
      </c>
      <c r="BS40" s="490">
        <f>IF($B40="LOSS",IF(AND($K40=BS$3,$C40="L"),-$O40,0)+IF(AND($K41=BS$3,$C41="L"),-$O41,0)+IF(AND($K42=BS$3,$C42="L"),-$O42,0),IF(OR(AND($K40=BS$3,OR($C40="W",$C40="1/2W")),AND($K41=BS$3,OR($C41="W",$C41="1/2W")),AND($K42=BS$3,OR($C42="W",$C42="1/2W"))),$S40,0))</f>
        <v>0</v>
      </c>
      <c r="BT40" s="498">
        <f>IF($B40="LOSS",IF(AND($K40=BT$3,$C40="L"),-$O40,0)+IF(AND($K41=BT$3,$C41="L"),-$O41,0)+IF(AND($K41=BT$3,$C42="L"),-$O42,0),IF(OR(AND($K41=BT$3,OR($C40="W",$C40="1/2W")),AND($K41=BT$3,OR($C41="W",$C41="1/2W")),AND($K41=BT$3,OR($C42="W",$C42="1/2W"))),$S40,0))</f>
        <v>1.1599999999999999</v>
      </c>
      <c r="BU40" s="488">
        <f>IF($B40="LOSS",IF(AND($K40=BU$3,$C40="L"),-$O40,0)+IF(AND($K41=BU$3,$C41="L"),-$O41,0)+IF(AND($K41=BU$3,$C42="L"),-$O42,0),IF(OR(AND($K41=BU$3,OR($C40="W",$C40="1/2W")),AND($K41=BU$3,OR($C41="W",$C41="1/2W")),AND($K41=BU$3,OR($C42="W",$C42="1/2W"))),$S40,0))</f>
        <v>0</v>
      </c>
      <c r="BV40" s="488">
        <f t="shared" ref="BV40:CE40" si="87">IF($B40="LOSS",IF(AND($K40=BV$3,$C40="L"),-$O40,0)+IF(AND($K41=BV$3,$C41="L"),-$O41,0)+IF(AND($K42=BV$3,$C42="L"),-$O42,0),IF(OR(AND($K40=BV$3,OR($C40="W",$C40="1/2W")),AND($K41=BV$3,OR($C41="W",$C41="1/2W")),AND($K42=BV$3,OR($C42="W",$C42="1/2W"))),$S40,0))</f>
        <v>0</v>
      </c>
      <c r="BW40" s="488">
        <f t="shared" si="87"/>
        <v>0</v>
      </c>
      <c r="BX40" s="488">
        <f t="shared" si="87"/>
        <v>0</v>
      </c>
      <c r="BY40" s="488">
        <f t="shared" si="87"/>
        <v>0</v>
      </c>
      <c r="BZ40" s="488">
        <f t="shared" si="87"/>
        <v>0</v>
      </c>
      <c r="CA40" s="488">
        <f t="shared" si="87"/>
        <v>0</v>
      </c>
      <c r="CB40" s="488">
        <f t="shared" si="87"/>
        <v>0</v>
      </c>
      <c r="CC40" s="488">
        <f t="shared" si="87"/>
        <v>0</v>
      </c>
      <c r="CD40" s="500">
        <f t="shared" si="87"/>
        <v>0</v>
      </c>
      <c r="CE40" s="504">
        <f t="shared" si="87"/>
        <v>0</v>
      </c>
      <c r="CF40" s="160">
        <f t="shared" si="4"/>
        <v>0</v>
      </c>
      <c r="CG40" s="161">
        <f t="shared" si="5"/>
        <v>1</v>
      </c>
      <c r="CH40" s="161">
        <f t="shared" si="6"/>
        <v>0</v>
      </c>
      <c r="CI40" s="161">
        <f t="shared" si="7"/>
        <v>0</v>
      </c>
      <c r="CJ40" s="161">
        <f t="shared" si="8"/>
        <v>0</v>
      </c>
      <c r="CK40" s="161">
        <f t="shared" si="9"/>
        <v>0</v>
      </c>
      <c r="CL40" s="161">
        <f t="shared" si="10"/>
        <v>0</v>
      </c>
      <c r="CM40" s="161">
        <f t="shared" si="11"/>
        <v>0</v>
      </c>
      <c r="CN40" s="161">
        <f t="shared" si="12"/>
        <v>0</v>
      </c>
      <c r="CO40" s="161">
        <f t="shared" si="13"/>
        <v>0</v>
      </c>
      <c r="CP40" s="161">
        <f t="shared" si="14"/>
        <v>0</v>
      </c>
      <c r="CQ40" s="161">
        <f t="shared" si="15"/>
        <v>0</v>
      </c>
      <c r="CR40" s="161">
        <f t="shared" si="16"/>
        <v>0</v>
      </c>
      <c r="CS40" s="161">
        <f t="shared" si="17"/>
        <v>0</v>
      </c>
      <c r="CT40" s="75">
        <f t="shared" si="18"/>
        <v>0</v>
      </c>
      <c r="CU40" s="76">
        <f t="shared" si="19"/>
        <v>0</v>
      </c>
      <c r="CV40" s="76">
        <f t="shared" si="20"/>
        <v>0</v>
      </c>
      <c r="CW40" s="76">
        <f t="shared" si="21"/>
        <v>0</v>
      </c>
      <c r="CX40" s="76">
        <f t="shared" si="22"/>
        <v>0</v>
      </c>
      <c r="CY40" s="76">
        <f t="shared" si="23"/>
        <v>0</v>
      </c>
      <c r="CZ40" s="76">
        <f t="shared" si="24"/>
        <v>0</v>
      </c>
      <c r="DA40" s="76">
        <f t="shared" si="25"/>
        <v>0</v>
      </c>
      <c r="DB40" s="76">
        <f t="shared" si="26"/>
        <v>0</v>
      </c>
      <c r="DC40" s="76">
        <f t="shared" si="27"/>
        <v>0</v>
      </c>
      <c r="DD40" s="76">
        <f t="shared" si="28"/>
        <v>0</v>
      </c>
      <c r="DE40" s="77">
        <f t="shared" si="29"/>
        <v>0</v>
      </c>
      <c r="DF40" s="73">
        <f t="shared" si="31"/>
        <v>6</v>
      </c>
      <c r="DG40" s="67">
        <f t="shared" si="32"/>
        <v>8.09</v>
      </c>
      <c r="DH40" s="76">
        <f t="shared" si="33"/>
        <v>0</v>
      </c>
      <c r="DI40" s="67">
        <f t="shared" si="34"/>
        <v>0</v>
      </c>
      <c r="DJ40" s="76">
        <f>IF($D40="","",$D40)</f>
        <v>1</v>
      </c>
      <c r="DK40" s="492">
        <f>IF(AND($B40=" ",$D40&lt;&gt;""),1,0)</f>
        <v>0</v>
      </c>
    </row>
    <row r="41" spans="1:115" ht="14.5" customHeight="1" x14ac:dyDescent="0.2">
      <c r="A41" s="389"/>
      <c r="B41" s="456"/>
      <c r="C41" s="53" t="s">
        <v>54</v>
      </c>
      <c r="D41" s="374"/>
      <c r="E41" s="386"/>
      <c r="F41" s="377"/>
      <c r="G41" s="508"/>
      <c r="H41" s="476"/>
      <c r="I41" s="162">
        <v>2</v>
      </c>
      <c r="J41" s="163" t="str">
        <f>IF(OR(I40="TO",I40="TU",I40="TO1",I40="TU1",I40="TO2",I40="TU2"),J40,IF(OR(I40="AH1",I40="AH2"),IF(OR(I41="AH1",I41="AH2"),-J40,IF(OR(I41="EH1",I41="EH2"),-J40+0.5,"")),IF(OR(I40="EH1",I40="EH2"),IF(OR(I41="AH1",I41="AH2"),-J40+0.5,IF(OR(I41="EH1",I41="EH2"),-J40+1,"")),IF(AND(OR(I40="DNB1",I40="DNB2"),OR(I41="AH1",I41="AH2")),0,IF(AND(I40="Not ScoreBoth",OR(I41="TO1",I41="TO2")),0.5,"")))))</f>
        <v/>
      </c>
      <c r="K41" s="57" t="s">
        <v>37</v>
      </c>
      <c r="L41" s="164">
        <v>1.48</v>
      </c>
      <c r="M41" s="165">
        <v>6.2</v>
      </c>
      <c r="N41" s="406"/>
      <c r="O41" s="60">
        <f>IF(OR(AE40="",AE41=""),"",ROUND(IF(L42&gt;0,IF(M41&gt;0,M41,IF(M40&gt;0,IF(N40=TRUE,ROUND((M40*AE41)/AE40,0),(M40*AE41)/AE40),IF(M41&gt;0,ROUND(M41,IF(N40=0,2,IF(N40=0.1,1,0))),IF(M42&gt;0,ROUND(O42*AE41/AE42,IF(N40=0,2,IF(N40=0.1,1,0))),0)))),IF(M41&gt;0,M41,ROUND((M40*AE41)/AE40,IF(N40=0,2,IF(N40=0.1,1,0))))),2))</f>
        <v>6.2</v>
      </c>
      <c r="P41" s="61">
        <f>IF(OR(L41="",O41=""),"",IF($C41="1/2W",O41/2+O41/2*L41,IF($C41="1/2L",O41/2,IF(I41="Lay",((O41*(L41/(L41-1)))-O41)*(1-_xlfn.XLOOKUP(K41,'Fevereiro 2023 - Valor Real'!A3:A15,'Fevereiro 2023 - Valor Real'!C3:C15,0))+O41,(O41*L41-O41)*(1-_xlfn.XLOOKUP(K41,'Fevereiro 2023 - Valor Real'!A3:A15,'Fevereiro 2023 - Valor Real'!C3:C15,0))+O41))))</f>
        <v>9.1760000000000002</v>
      </c>
      <c r="Q41" s="166">
        <f>IF(K41="","",IF(_xlfn.XLOOKUP(K41,K$4:K40,$DJ$4:DJ40,0,,-1)=DJ41,_xlfn.XLOOKUP(K41,K$4:K40,Q$4:Q40,1,,-1)+1,1))</f>
        <v>6</v>
      </c>
      <c r="R41" s="167">
        <f>IF(K41="","",_xlfn.XLOOKUP(K41,K$4:K40,R$4:R40,0,,-1)+IF($C41=" ",1,0))</f>
        <v>0</v>
      </c>
      <c r="S41" s="403"/>
      <c r="T41" s="380"/>
      <c r="U41" s="380"/>
      <c r="V41" s="481"/>
      <c r="W41" s="380"/>
      <c r="X41" s="452"/>
      <c r="Y41" s="383"/>
      <c r="Z41" s="384"/>
      <c r="AA41" s="384"/>
      <c r="AB41" s="384"/>
      <c r="AC41" s="384"/>
      <c r="AD41" s="64"/>
      <c r="AE41" s="65">
        <f>IF(L41="","",IF(L42&gt;0,(SUM(((L40-1)*(1-_xlfn.XLOOKUP(K40,'Fevereiro 2023 - Valor Real'!A3:A15,'Fevereiro 2023 - Valor Real'!C3:C15,0))+1),((L41-1)*(1-_xlfn.XLOOKUP(K41,'Fevereiro 2023 - Valor Real'!A3:A15,'Fevereiro 2023 - Valor Real'!C3:C15,0))+1),((L42-1)*(1-_xlfn.XLOOKUP(K42,'Fevereiro 2023 - Valor Real'!A3:A15,'Fevereiro 2023 - Valor Real'!C3:C15,0))+1))/((L41-1)*(1-_xlfn.XLOOKUP(K41,'Fevereiro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Real'!C3:C15,0))+1))/((L40-1)*(1-_xlfn.XLOOKUP(K40,'Fevereiro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Real'!C3:C15,0))+1))/((L41-1)*(1-_xlfn.XLOOKUP(K41,'Fevereiro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Real'!C3:C15,0))+1))/((L42-1)*(1-_xlfn.XLOOKUP(K42,'Fevereiro 2023 - Valor Real'!A3:A15,'Fevereiro 2023 - Valor Real'!C3:C15,0))+1)),IF(I41="Lay",IF(I40="Lay",((L40/(L40-1)-1)*(1-_xlfn.XLOOKUP(K40,'Fevereiro 2023 - Valor Real'!A3:A15,'Fevereiro 2023 - Valor Real'!C3:C15,0))+1)/(((L40/(L40-1)-1)*(1-_xlfn.XLOOKUP(K40,'Fevereiro 2023 - Valor Real'!A3:A15,'Fevereiro 2023 - Valor Real'!C3:C15,0))+1)+((L41/(L41-1)-1)*(1-_xlfn.XLOOKUP(K41,'Fevereiro 2023 - Valor Real'!A3:A15,'Fevereiro 2023 - Valor Real'!C3:C15,0))+1)),((L40-1)*(1-_xlfn.XLOOKUP(K40,'Fevereiro 2023 - Valor Real'!A3:A15,'Fevereiro 2023 - Valor Real'!C3:C15,0))+1)/(((L40-1)*(1-_xlfn.XLOOKUP(K40,'Fevereiro 2023 - Valor Real'!A3:A15,'Fevereiro 2023 - Valor Real'!C3:C15,0))+1)+((L41/(L41-1)-1)*(1-_xlfn.XLOOKUP(K41,'Fevereiro 2023 - Valor Real'!A3:A15,'Fevereiro 2023 - Valor Real'!C3:C15,0))+1))),IF(I40="Lay",((L40/(L40-1)-1)*(1-_xlfn.XLOOKUP(K40,'Fevereiro 2023 - Valor Real'!A3:A15,'Fevereiro 2023 - Valor Real'!C3:C15,0))+1)/((((L40/(L40-1)-1)*(1-_xlfn.XLOOKUP(K40,'Fevereiro 2023 - Valor Real'!A3:A15,'Fevereiro 2023 - Valor Real'!C3:C15,0))+1))+((L41-1)*(1-_xlfn.XLOOKUP(K41,'Fevereiro 2023 - Valor Real'!A3:A15,'Fevereiro 2023 - Valor Real'!C3:C15,0))+1)),((L40-1)*(1-_xlfn.XLOOKUP(K40,'Fevereiro 2023 - Valor Real'!A3:A15,'Fevereiro 2023 - Valor Real'!C3:C15,0))+1)/(((L40-1)*(1-_xlfn.XLOOKUP(K40,'Fevereiro 2023 - Valor Real'!A3:A15,'Fevereiro 2023 - Valor Real'!C3:C15,0))+1)+((L41-1)*(1-_xlfn.XLOOKUP(K41,'Fevereiro 2023 - Valor Real'!A3:A15,'Fevereiro 2023 - Valor Real'!C3:C15,0))+1))))))</f>
        <v>0.43714971977582062</v>
      </c>
      <c r="AF41" s="66">
        <f t="shared" si="76"/>
        <v>0</v>
      </c>
      <c r="AG41" s="67">
        <f t="shared" si="76"/>
        <v>2.98</v>
      </c>
      <c r="AH41" s="67">
        <f t="shared" si="76"/>
        <v>0</v>
      </c>
      <c r="AI41" s="67">
        <f t="shared" si="76"/>
        <v>0</v>
      </c>
      <c r="AJ41" s="67">
        <f t="shared" si="76"/>
        <v>0</v>
      </c>
      <c r="AK41" s="67">
        <f t="shared" si="76"/>
        <v>0</v>
      </c>
      <c r="AL41" s="67">
        <f t="shared" si="76"/>
        <v>0</v>
      </c>
      <c r="AM41" s="67">
        <f t="shared" si="76"/>
        <v>0</v>
      </c>
      <c r="AN41" s="67">
        <f t="shared" si="76"/>
        <v>0</v>
      </c>
      <c r="AO41" s="67">
        <f t="shared" si="76"/>
        <v>0</v>
      </c>
      <c r="AP41" s="67">
        <f t="shared" si="76"/>
        <v>0</v>
      </c>
      <c r="AQ41" s="67">
        <f t="shared" si="76"/>
        <v>0</v>
      </c>
      <c r="AR41" s="68">
        <f t="shared" si="76"/>
        <v>0</v>
      </c>
      <c r="AS41" s="66">
        <f>IF(AND($B40=" ",$K41=AS$3),$O41,0)</f>
        <v>0</v>
      </c>
      <c r="AT41" s="67">
        <f>IF(AND($B40=" ",K41=AT$3),$O41,0)</f>
        <v>0</v>
      </c>
      <c r="AU41" s="67">
        <f t="shared" ref="AU41:BE41" si="88">IF(AND($B40=" ",$K41=AU$3),$O41,0)</f>
        <v>0</v>
      </c>
      <c r="AV41" s="67">
        <f t="shared" si="88"/>
        <v>0</v>
      </c>
      <c r="AW41" s="67">
        <f t="shared" si="88"/>
        <v>0</v>
      </c>
      <c r="AX41" s="67">
        <f t="shared" si="88"/>
        <v>0</v>
      </c>
      <c r="AY41" s="69">
        <f t="shared" si="88"/>
        <v>0</v>
      </c>
      <c r="AZ41" s="70">
        <f t="shared" si="88"/>
        <v>0</v>
      </c>
      <c r="BA41" s="70">
        <f t="shared" si="88"/>
        <v>0</v>
      </c>
      <c r="BB41" s="70">
        <f t="shared" si="88"/>
        <v>0</v>
      </c>
      <c r="BC41" s="71">
        <f t="shared" si="88"/>
        <v>0</v>
      </c>
      <c r="BD41" s="67">
        <f t="shared" si="88"/>
        <v>0</v>
      </c>
      <c r="BE41" s="68">
        <f t="shared" si="88"/>
        <v>0</v>
      </c>
      <c r="BF41" s="66">
        <f t="shared" si="78"/>
        <v>0</v>
      </c>
      <c r="BG41" s="168">
        <f t="shared" si="78"/>
        <v>6.2</v>
      </c>
      <c r="BH41" s="67">
        <f t="shared" si="78"/>
        <v>0</v>
      </c>
      <c r="BI41" s="67">
        <f t="shared" si="78"/>
        <v>0</v>
      </c>
      <c r="BJ41" s="67">
        <f t="shared" si="78"/>
        <v>0</v>
      </c>
      <c r="BK41" s="67">
        <f t="shared" si="78"/>
        <v>0</v>
      </c>
      <c r="BL41" s="67">
        <f t="shared" si="78"/>
        <v>0</v>
      </c>
      <c r="BM41" s="69">
        <f t="shared" si="78"/>
        <v>0</v>
      </c>
      <c r="BN41" s="70">
        <f t="shared" si="78"/>
        <v>0</v>
      </c>
      <c r="BO41" s="70">
        <f t="shared" si="78"/>
        <v>0</v>
      </c>
      <c r="BP41" s="70">
        <f t="shared" si="78"/>
        <v>0</v>
      </c>
      <c r="BQ41" s="71">
        <f t="shared" si="78"/>
        <v>0</v>
      </c>
      <c r="BR41" s="68">
        <f t="shared" si="78"/>
        <v>0</v>
      </c>
      <c r="BS41" s="491"/>
      <c r="BT41" s="489"/>
      <c r="BU41" s="392"/>
      <c r="BV41" s="489"/>
      <c r="BW41" s="392"/>
      <c r="BX41" s="392"/>
      <c r="BY41" s="392"/>
      <c r="BZ41" s="489"/>
      <c r="CA41" s="392"/>
      <c r="CB41" s="392"/>
      <c r="CC41" s="392"/>
      <c r="CD41" s="401"/>
      <c r="CE41" s="409"/>
      <c r="CF41" s="169">
        <f t="shared" si="4"/>
        <v>0</v>
      </c>
      <c r="CG41" s="170">
        <f t="shared" si="5"/>
        <v>0</v>
      </c>
      <c r="CH41" s="170">
        <f t="shared" si="6"/>
        <v>1</v>
      </c>
      <c r="CI41" s="170">
        <f t="shared" si="7"/>
        <v>0</v>
      </c>
      <c r="CJ41" s="170">
        <f t="shared" si="8"/>
        <v>0</v>
      </c>
      <c r="CK41" s="170">
        <f t="shared" si="9"/>
        <v>0</v>
      </c>
      <c r="CL41" s="170">
        <f t="shared" si="10"/>
        <v>0</v>
      </c>
      <c r="CM41" s="170">
        <f t="shared" si="11"/>
        <v>0</v>
      </c>
      <c r="CN41" s="170">
        <f t="shared" si="12"/>
        <v>0</v>
      </c>
      <c r="CO41" s="170">
        <f t="shared" si="13"/>
        <v>0</v>
      </c>
      <c r="CP41" s="170">
        <f t="shared" si="14"/>
        <v>0</v>
      </c>
      <c r="CQ41" s="170">
        <f t="shared" si="15"/>
        <v>0</v>
      </c>
      <c r="CR41" s="170">
        <f t="shared" si="16"/>
        <v>0</v>
      </c>
      <c r="CS41" s="170">
        <f t="shared" si="17"/>
        <v>0</v>
      </c>
      <c r="CT41" s="75">
        <f t="shared" si="18"/>
        <v>0</v>
      </c>
      <c r="CU41" s="76">
        <f t="shared" si="19"/>
        <v>0</v>
      </c>
      <c r="CV41" s="76">
        <f t="shared" si="20"/>
        <v>0</v>
      </c>
      <c r="CW41" s="76">
        <f t="shared" si="21"/>
        <v>0</v>
      </c>
      <c r="CX41" s="76">
        <f t="shared" si="22"/>
        <v>0</v>
      </c>
      <c r="CY41" s="76">
        <f t="shared" si="23"/>
        <v>0</v>
      </c>
      <c r="CZ41" s="76">
        <f t="shared" si="24"/>
        <v>0</v>
      </c>
      <c r="DA41" s="76">
        <f t="shared" si="25"/>
        <v>0</v>
      </c>
      <c r="DB41" s="76">
        <f t="shared" si="26"/>
        <v>0</v>
      </c>
      <c r="DC41" s="76">
        <f t="shared" si="27"/>
        <v>0</v>
      </c>
      <c r="DD41" s="76">
        <f t="shared" si="28"/>
        <v>0</v>
      </c>
      <c r="DE41" s="77">
        <f t="shared" si="29"/>
        <v>0</v>
      </c>
      <c r="DF41" s="73">
        <f t="shared" si="31"/>
        <v>7</v>
      </c>
      <c r="DG41" s="67">
        <f t="shared" si="32"/>
        <v>9.57</v>
      </c>
      <c r="DH41" s="76">
        <f t="shared" si="33"/>
        <v>0</v>
      </c>
      <c r="DI41" s="67">
        <f t="shared" si="34"/>
        <v>0</v>
      </c>
      <c r="DJ41" s="76">
        <f>IF($D40="","",$D40)</f>
        <v>1</v>
      </c>
      <c r="DK41" s="493"/>
    </row>
    <row r="42" spans="1:115" ht="14.5" customHeight="1" x14ac:dyDescent="0.2">
      <c r="A42" s="390"/>
      <c r="B42" s="457"/>
      <c r="C42" s="79" t="s">
        <v>54</v>
      </c>
      <c r="D42" s="375"/>
      <c r="E42" s="387"/>
      <c r="F42" s="378"/>
      <c r="G42" s="508"/>
      <c r="H42" s="477"/>
      <c r="I42" s="183" t="s">
        <v>67</v>
      </c>
      <c r="J42" s="184">
        <v>-1</v>
      </c>
      <c r="K42" s="185" t="s">
        <v>37</v>
      </c>
      <c r="L42" s="186">
        <v>2.8</v>
      </c>
      <c r="M42" s="174">
        <v>7.99</v>
      </c>
      <c r="N42" s="407"/>
      <c r="O42" s="187">
        <f>IF(OR(AE40="",AE41=""),"",IF(L42&gt;0,ROUND(IF(M42&gt;0,M42,IF(M40&gt;0,ROUND((M40*AE42)/AE40,IF(N40=0,2,IF(N40=0.1,1,0))),IF(M41&gt;0,ROUND((M41*AE42)/AE41,IF(N40=0,2,IF(N40=0.1,1,0))),IF(M42&gt;0,M42,0)))),2),""))</f>
        <v>7.99</v>
      </c>
      <c r="P42" s="188">
        <f>IF(I41="Lay",O41*(L41/(L41-1))-O41,IF(I40="Lay",O40*(L40/(L40-1))-O40,IF(OR(L42="",O42=""),"",IF($C42="1/2W",O42/2+O42/2*L42,IF($C42="1/2L",O42/2,(O42*L42-O42)*(1-_xlfn.XLOOKUP(K42,'Fevereiro 2023 - Valor Real'!A3:A15,'Fevereiro 2023 - Valor Real'!C3:C15,0))+O42)))))</f>
        <v>22.372</v>
      </c>
      <c r="Q42" s="200">
        <f>IF(K42="","",IF(_xlfn.XLOOKUP(K42,K$4:K41,$DJ$4:DJ41,0,,-1)=DJ42,_xlfn.XLOOKUP(K42,K$4:K41,Q$4:Q41,1,,-1)+1,1))</f>
        <v>7</v>
      </c>
      <c r="R42" s="189">
        <f>IF(K42="","",_xlfn.XLOOKUP(K42,K$4:K41,R$4:R41,0,,-1)+IF($C42=" ",1,0))</f>
        <v>0</v>
      </c>
      <c r="S42" s="404"/>
      <c r="T42" s="378"/>
      <c r="U42" s="378"/>
      <c r="V42" s="404"/>
      <c r="W42" s="378"/>
      <c r="X42" s="453"/>
      <c r="Y42" s="383"/>
      <c r="Z42" s="384"/>
      <c r="AA42" s="384"/>
      <c r="AB42" s="384"/>
      <c r="AC42" s="384"/>
      <c r="AD42" s="90"/>
      <c r="AE42" s="190">
        <f>IF(L42="","",(SUM(((L40-1)*(1-_xlfn.XLOOKUP(K40,'Fevereiro 2023 - Valor Real'!A3:A15,'Fevereiro 2023 - Valor Real'!C3:C15,0))+1),((L41-1)*(1-_xlfn.XLOOKUP(K41,'Fevereiro 2023 - Valor Real'!A3:A15,'Fevereiro 2023 - Valor Real'!C3:C15,0))+1),((L42-1)*(1-_xlfn.XLOOKUP(K42,'Fevereiro 2023 - Valor Real'!A3:A15,'Fevereiro 2023 - Valor Real'!C3:C15,0))+1))/((L42-1)*(1-_xlfn.XLOOKUP(K42,'Fevereiro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Real'!C3:C15,0))+1))/((L40-1)*(1-_xlfn.XLOOKUP(K40,'Fevereiro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Real'!C3:C15,0))+1))/((L41-1)*(1-_xlfn.XLOOKUP(K41,'Fevereiro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Real'!C3:C15,0))+1))/((L42-1)*(1-_xlfn.XLOOKUP(K42,'Fevereiro 2023 - Valor Real'!A3:A15,'Fevereiro 2023 - Valor Real'!C3:C15,0))+1)))</f>
        <v>0.23106485188150525</v>
      </c>
      <c r="AF42" s="66">
        <f t="shared" si="76"/>
        <v>0</v>
      </c>
      <c r="AG42" s="67">
        <f t="shared" si="76"/>
        <v>14.38</v>
      </c>
      <c r="AH42" s="67">
        <f t="shared" si="76"/>
        <v>0</v>
      </c>
      <c r="AI42" s="67">
        <f t="shared" si="76"/>
        <v>0</v>
      </c>
      <c r="AJ42" s="67">
        <f t="shared" si="76"/>
        <v>0</v>
      </c>
      <c r="AK42" s="67">
        <f t="shared" si="76"/>
        <v>0</v>
      </c>
      <c r="AL42" s="67">
        <f t="shared" si="76"/>
        <v>0</v>
      </c>
      <c r="AM42" s="67">
        <f t="shared" si="76"/>
        <v>0</v>
      </c>
      <c r="AN42" s="67">
        <f t="shared" si="76"/>
        <v>0</v>
      </c>
      <c r="AO42" s="67">
        <f t="shared" si="76"/>
        <v>0</v>
      </c>
      <c r="AP42" s="67">
        <f t="shared" si="76"/>
        <v>0</v>
      </c>
      <c r="AQ42" s="67">
        <f t="shared" si="76"/>
        <v>0</v>
      </c>
      <c r="AR42" s="68">
        <f t="shared" si="76"/>
        <v>0</v>
      </c>
      <c r="AS42" s="66">
        <f>IF(AND($B40=" ",$K42=AS$3),$O42,0)</f>
        <v>0</v>
      </c>
      <c r="AT42" s="67">
        <f>IF(AND($B40=" ",K42=AT$3),$O42,0)</f>
        <v>0</v>
      </c>
      <c r="AU42" s="67">
        <f t="shared" ref="AU42:BE42" si="89">IF(AND($B40=" ",$K42=AU$3),$O42,0)</f>
        <v>0</v>
      </c>
      <c r="AV42" s="67">
        <f t="shared" si="89"/>
        <v>0</v>
      </c>
      <c r="AW42" s="67">
        <f t="shared" si="89"/>
        <v>0</v>
      </c>
      <c r="AX42" s="67">
        <f t="shared" si="89"/>
        <v>0</v>
      </c>
      <c r="AY42" s="69">
        <f t="shared" si="89"/>
        <v>0</v>
      </c>
      <c r="AZ42" s="70">
        <f t="shared" si="89"/>
        <v>0</v>
      </c>
      <c r="BA42" s="70">
        <f t="shared" si="89"/>
        <v>0</v>
      </c>
      <c r="BB42" s="70">
        <f t="shared" si="89"/>
        <v>0</v>
      </c>
      <c r="BC42" s="71">
        <f t="shared" si="89"/>
        <v>0</v>
      </c>
      <c r="BD42" s="67">
        <f t="shared" si="89"/>
        <v>0</v>
      </c>
      <c r="BE42" s="68">
        <f t="shared" si="89"/>
        <v>0</v>
      </c>
      <c r="BF42" s="66">
        <f t="shared" si="78"/>
        <v>0</v>
      </c>
      <c r="BG42" s="168">
        <f t="shared" si="78"/>
        <v>7.99</v>
      </c>
      <c r="BH42" s="67">
        <f t="shared" si="78"/>
        <v>0</v>
      </c>
      <c r="BI42" s="67">
        <f t="shared" si="78"/>
        <v>0</v>
      </c>
      <c r="BJ42" s="67">
        <f t="shared" si="78"/>
        <v>0</v>
      </c>
      <c r="BK42" s="67">
        <f t="shared" si="78"/>
        <v>0</v>
      </c>
      <c r="BL42" s="67">
        <f t="shared" si="78"/>
        <v>0</v>
      </c>
      <c r="BM42" s="69">
        <f t="shared" si="78"/>
        <v>0</v>
      </c>
      <c r="BN42" s="70">
        <f t="shared" si="78"/>
        <v>0</v>
      </c>
      <c r="BO42" s="70">
        <f t="shared" si="78"/>
        <v>0</v>
      </c>
      <c r="BP42" s="70">
        <f t="shared" si="78"/>
        <v>0</v>
      </c>
      <c r="BQ42" s="71">
        <f t="shared" si="78"/>
        <v>0</v>
      </c>
      <c r="BR42" s="68">
        <f t="shared" si="78"/>
        <v>0</v>
      </c>
      <c r="BS42" s="491"/>
      <c r="BT42" s="489"/>
      <c r="BU42" s="392"/>
      <c r="BV42" s="489"/>
      <c r="BW42" s="392"/>
      <c r="BX42" s="392"/>
      <c r="BY42" s="392"/>
      <c r="BZ42" s="489"/>
      <c r="CA42" s="392"/>
      <c r="CB42" s="392"/>
      <c r="CC42" s="392"/>
      <c r="CD42" s="401"/>
      <c r="CE42" s="409"/>
      <c r="CF42" s="169">
        <f t="shared" si="4"/>
        <v>0</v>
      </c>
      <c r="CG42" s="170">
        <f t="shared" si="5"/>
        <v>0</v>
      </c>
      <c r="CH42" s="170">
        <f t="shared" si="6"/>
        <v>1</v>
      </c>
      <c r="CI42" s="170">
        <f t="shared" si="7"/>
        <v>0</v>
      </c>
      <c r="CJ42" s="170">
        <f t="shared" si="8"/>
        <v>0</v>
      </c>
      <c r="CK42" s="170">
        <f t="shared" si="9"/>
        <v>0</v>
      </c>
      <c r="CL42" s="170">
        <f t="shared" si="10"/>
        <v>0</v>
      </c>
      <c r="CM42" s="170">
        <f t="shared" si="11"/>
        <v>0</v>
      </c>
      <c r="CN42" s="170">
        <f t="shared" si="12"/>
        <v>0</v>
      </c>
      <c r="CO42" s="170">
        <f t="shared" si="13"/>
        <v>0</v>
      </c>
      <c r="CP42" s="170">
        <f t="shared" si="14"/>
        <v>0</v>
      </c>
      <c r="CQ42" s="170">
        <f t="shared" si="15"/>
        <v>0</v>
      </c>
      <c r="CR42" s="170">
        <f t="shared" si="16"/>
        <v>0</v>
      </c>
      <c r="CS42" s="170">
        <f t="shared" si="17"/>
        <v>0</v>
      </c>
      <c r="CT42" s="75">
        <f t="shared" si="18"/>
        <v>0</v>
      </c>
      <c r="CU42" s="76">
        <f t="shared" si="19"/>
        <v>0</v>
      </c>
      <c r="CV42" s="76">
        <f t="shared" si="20"/>
        <v>0</v>
      </c>
      <c r="CW42" s="76">
        <f t="shared" si="21"/>
        <v>0</v>
      </c>
      <c r="CX42" s="76">
        <f t="shared" si="22"/>
        <v>0</v>
      </c>
      <c r="CY42" s="76">
        <f t="shared" si="23"/>
        <v>0</v>
      </c>
      <c r="CZ42" s="76">
        <f t="shared" si="24"/>
        <v>0</v>
      </c>
      <c r="DA42" s="76">
        <f t="shared" si="25"/>
        <v>0</v>
      </c>
      <c r="DB42" s="76">
        <f t="shared" si="26"/>
        <v>0</v>
      </c>
      <c r="DC42" s="76">
        <f t="shared" si="27"/>
        <v>0</v>
      </c>
      <c r="DD42" s="76">
        <f t="shared" si="28"/>
        <v>0</v>
      </c>
      <c r="DE42" s="77">
        <f t="shared" si="29"/>
        <v>0</v>
      </c>
      <c r="DF42" s="73">
        <f t="shared" si="31"/>
        <v>7</v>
      </c>
      <c r="DG42" s="67">
        <f t="shared" si="32"/>
        <v>9.57</v>
      </c>
      <c r="DH42" s="76">
        <f t="shared" si="33"/>
        <v>0</v>
      </c>
      <c r="DI42" s="67">
        <f t="shared" si="34"/>
        <v>0</v>
      </c>
      <c r="DJ42" s="76">
        <f>IF($D40="","",$D40)</f>
        <v>1</v>
      </c>
      <c r="DK42" s="493"/>
    </row>
    <row r="43" spans="1:115" ht="14.5" customHeight="1" x14ac:dyDescent="0.2">
      <c r="A43" s="459">
        <f>$A40+1</f>
        <v>14</v>
      </c>
      <c r="B43" s="507" t="str">
        <f>IF(OR(C43="W",C44="W",C45="W",C43="1/2W",C44="1/2W",C45="1/2W",C43="1/2L",C44="1/2L",C45="1/2L"),"OK",IF(OR(C43="L",C44="L",C45="L"),"LOSS",IF(OR(C43="X",C44="X",C45="X"),"Anulado"," ")))</f>
        <v>OK</v>
      </c>
      <c r="C43" s="93" t="s">
        <v>55</v>
      </c>
      <c r="D43" s="469">
        <f>IF(G43="","",$D40)</f>
        <v>1</v>
      </c>
      <c r="E43" s="485" t="str">
        <f>IF(G43=""," ","– "&amp;COUNTIF(D$4:D45,$D43))</f>
        <v>– 14</v>
      </c>
      <c r="F43" s="509" t="str">
        <f ca="1">IF(G43="","",IF(OR(AND($C43&lt;&gt;" ",$C44=" "),AND($C44&lt;&gt;" ",$C43=" "),AND(L45&gt;0,OR(AND($C45&lt;&gt;" ",OR($C43=" ",$C44=" ")),AND($C45=" ",OR($C43&lt;&gt;" ",$C44&lt;&gt;" "))))),IF(SUM(F$6:F38)=0,1,LARGE(F$6:F38,1)+1),IF(MONTH(G43)=MONTH(TODAY()),IF(AND(DAY(G43)&lt;DAY(TODAY()),$B43=" "),IF(SUM(F$6:F38)=0,1,LARGE(F$6:F38,1)+1),IF($B43=" ",IF(AND(DAY(G43)=DAY(TODAY()),HOUR(G43)&lt;=HOUR(NOW())+1),IF(AND(HOUR(G43)+2&lt;=HOUR(NOW()),DAY(G43)&lt;=DAY(TODAY()),MINUTE(G43)&lt;=MINUTE(NOW())),IF(SUM(F$6:F38)=0,1,LARGE(F$6:F38,1)+1),IF(OR(MINUTE(G43)&lt;=MINUTE(NOW()),HOUR(G43)&lt;=HOUR(NOW())),"!!!","")),""),"")),"")))</f>
        <v/>
      </c>
      <c r="G43" s="482">
        <v>44990</v>
      </c>
      <c r="H43" s="475" t="s">
        <v>68</v>
      </c>
      <c r="I43" s="94" t="s">
        <v>51</v>
      </c>
      <c r="J43" s="95">
        <v>1</v>
      </c>
      <c r="K43" s="96" t="s">
        <v>40</v>
      </c>
      <c r="L43" s="97">
        <v>1.72</v>
      </c>
      <c r="M43" s="98"/>
      <c r="N43" s="478">
        <v>0</v>
      </c>
      <c r="O43" s="99">
        <f>IF(OR(AE43="",AE44=""),"",ROUND(IF(L45&gt;0,IF(M43&gt;0,M43,IF(M44&gt;0,ROUND((M44*AE43)/AE44,IF(N43=0,2,IF(N43=0.1,1,0))),ROUND((M45*AE43)/AE45,IF(N43=0,2,IF(N43=0.1,1,0))))),IF(M43&gt;0,M43,ROUND((M44*AE43)/AE44,IF(N43=0,2,IF(N43=0.1,1,0))))),2))</f>
        <v>11.3</v>
      </c>
      <c r="P43" s="100">
        <f>IF(OR(L43="",O43=""),"",IF($C43="1/2W",O43/2+O43/2*L43,IF($C43="1/2L",O43/2,IF(I43="Lay",(O43*(L43/(L43-1))-O43)*(1-_xlfn.XLOOKUP(K43,'Fevereiro 2023 - Valor Real'!A3:A15,'Fevereiro 2023 - Valor Real'!C3:C15,0))+O43,(O43*L43-O43)*(1-_xlfn.XLOOKUP(K43,'Fevereiro 2023 - Valor Real'!A3:A15,'Fevereiro 2023 - Valor Real'!C3:C15,0))+O43))))</f>
        <v>19.436</v>
      </c>
      <c r="Q43" s="177">
        <f>IF(K43="","",IF(_xlfn.XLOOKUP(K43,K$6:K38,$DJ$6:DJ38,0,,-1)=DJ43,_xlfn.XLOOKUP(K43,K$6:K38,Q$6:Q38,1,,-1)+1,1))</f>
        <v>11</v>
      </c>
      <c r="R43" s="102">
        <f>IF(K43="","",_xlfn.XLOOKUP(K43,K$6:K38,R$6:R38,0,,-1)+IF($C43=" ",1,0))</f>
        <v>0</v>
      </c>
      <c r="S43" s="474">
        <f>IF($B43="Anulado",0,ROUND(IF(OR($B43="LOSS",$B43="OK"),IF(OR($C43="W",$C43="1/2W",$C43="1/2L"),P43-O43,IF($C43="L",-O43,0))+IF(OR($C44="W",$C44="1/2W",$C44="1/2L"),P44-O44,IF($C44="L",-O44,0))+IF(OR($C45="W",$C45="1/2W",$C45="1/2L"),P45-O45,IF($C45="L",-O45,0)),IF(AND(OR($C43="W",$C43="1/2W",$C43="1/2L"),C44="W"),P43+P44-SUM(O43:O45)+_xlfn.XLOOKUP("X",C43:C45,O43:O45,0),IF(AND(C43=TRUE,C45="W"),P43+P45-SUM(O43:O45),IF(AND(C44="W",C45="W"),P44+P45-SUM(O43:O45)+_xlfn.XLOOKUP("X",C43:C45,O43:O45,0),IF(L45&gt;0,IF(OR($C43="W",$C43="1/2W",$C43="1/2L"),P43-SUM(O43:O45)+_xlfn.XLOOKUP("X",C43:C45,O43:O45,0),IF(OR($C43="W",$C43="1/2W",$C43="1/2L"),P44-SUM(O43:O45)+_xlfn.XLOOKUP("X",C43:C45,O43:O45,0),IF(OR($C43="W",$C43="1/2W",$C43="1/2L"),P45-SUM(O43:O45)+_xlfn.XLOOKUP("X",C43:C45,O43:O45,0),IF(SUM(P43:P45)/3-SUM(O43:O45)+_xlfn.XLOOKUP("X",C43:C45,O43:O45,0)&gt;0,SUM(P43:P45)/3-SUM(O43:O45)+_xlfn.XLOOKUP("X",C43:C45,O43:O45,0),LARGE(P43:P45,1)-SUM(O43:O45))))),IF(OR($C43="W",$C43="1/2W",$C43="1/2L"),P43-SUM(O43:O44)+_xlfn.XLOOKUP("X",C43:C45,O43:O45,0),IF(OR($C43="W",$C43="1/2W",$C43="1/2L"),P44-SUM(O43:O44)+_xlfn.XLOOKUP("X",C43:C45,O43:O45,0),SUM(P43:P44)/2-SUM(O43:O44)+_xlfn.XLOOKUP("X",C43:C45,O43:O45,0)))))))),2))</f>
        <v>1.43</v>
      </c>
      <c r="T43" s="458">
        <f>IF(S43=0,0,S43/SUM(O43:O45))</f>
        <v>7.9444444444444443E-2</v>
      </c>
      <c r="U43" s="470">
        <f>IF($D43=$D40,IF(OR($B43="LOSS",$B43="OK",$B43="Anulada"),S43,0)+U40,IF(OR($B43="LOSS",$B43="OK",$B43="Anulada"),S43,0))</f>
        <v>25</v>
      </c>
      <c r="V43" s="470">
        <f>IF($D43="",0,IF($D43=$D40,IF($B43=" ",IF(I45="",IF(OR(AND(I43="DNB1",I44="DNB2"),AND(OR(I43="DNB1",I43="DNB2"),J44=0),AND(OR(I44="DNB1",I44="DNB2"),J43=0),AND(I43="DNB2",I44="DNB1"),AND(IF(J43=0,(J43+1)/ROUND(J43+1,0),J43/ROUND(J43,0))=1,IF(J44=0,(J44+1)/ROUND(IF(J44="",0,J44)+1,0),IF(J44="",0,J44)/ROUND(IF(J44="",1,J44),0))=1,OR(J43&lt;&gt;""),J44&lt;&gt;"")),0,IF(S43&lt;0,IF(I45="",SMALL(P43:P44,1)-SUM(O43:O44),0),SMALL(P43:P44,1)-SUM(O43:O44))),IF(S43&lt;0,IF(I45="",SMALL(P43:P45,1)-SUM(O43:O45),0),LARGE(P43:P45,1)-SUM(O43:O45))),S43)+V40,IF(I45="",IF(OR(AND(I43="DNB1",I44="DNB2"),AND(OR(I43="DNB1",I43="DNB2"),J44=0),AND(OR(I44="DNB1",I44="DNB2"),J43=0),AND(I43="DNB2",I44="DNB1"),AND(IF(J43=0,(J43+1)/ROUND(J43+1,0),J43/ROUND(J43,0))=1,IF(J44=0,(IF(J44="",0,J44)+1)/ROUND(IF(J44="",0,J44)+1,0),IF(J44="",0,J44)/ROUND(IF(J44="",0,J44)+1,0))=1,OR(J43&lt;&gt;""),J44&lt;&gt;"")),0,IF(S43&lt;0,IF(I45="",SMALL(P43:P44,1)-SUM(O43:O44),0),SMALL(P43:P45,1)-SUM(O43:O45))),IF(S43&lt;0,IF(I45="",SMALL(P43:P45,1)-SUM(O43:O45),0),LARGE(P43:P45,1)-SUM(O43:O45)))))</f>
        <v>25</v>
      </c>
      <c r="W43" s="470">
        <f>IF($D43=$D40,IF(S43&lt;0,IF(I45="",S43,0),S43)+W40,S43)</f>
        <v>25</v>
      </c>
      <c r="X43" s="480" t="str">
        <f>IF(OR(SUM(R43:R45)=0,V43=W43),ROUND(IF(W43=0,0,W43/Y43)*100,2)&amp;"%",ROUND(IF(V43=0,0,V43/Y43)*100,2)&amp;"% a "&amp;ROUND(IF(W43=0,0,W43/Y43)*100,2)&amp;"%")</f>
        <v>5,15%</v>
      </c>
      <c r="Y43" s="471">
        <f>IF($D43=$D40,Y40+SUM(O43:O45),SUM(O43:O45))</f>
        <v>485.16999999999996</v>
      </c>
      <c r="Z43" s="470">
        <f>IF($B43=" ",SUM(O43:O45),0)+Z40</f>
        <v>0</v>
      </c>
      <c r="AA43" s="470">
        <f>IF(G43="","",IF($B43="Anulado",LARGE(P43:P45,1)-SUM(O43:O45)+AA40,AA40))</f>
        <v>0.45899999999999785</v>
      </c>
      <c r="AB43" s="470">
        <f>IF($D43="","",AB40+S43)</f>
        <v>25</v>
      </c>
      <c r="AC43" s="472">
        <f ca="1">IF($D43="","",IF($B43=" ",IF(DAY(G43)=DAY(TODAY()),1+AC40,0+AC40),0+AC40))</f>
        <v>0</v>
      </c>
      <c r="AD43" s="103">
        <f>(((L44/(L44-1)-1)*(1-_xlfn.XLOOKUP(K44,'Fevereiro 2023 - Valor Real'!A3:A15,'Fevereiro 2023 - Valor Real'!C3:C15,0))+1))/(((L43-1)*(1-_xlfn.XLOOKUP(K43,'Fevereiro 2023 - Valor Real'!A3:A15,'Fevereiro 2023 - Valor Real'!C3:C15,0))+1)+((L44/(L44-1)-1)*(1-_xlfn.XLOOKUP(K44,'Fevereiro 2023 - Valor Real'!A3:A15,'Fevereiro 2023 - Valor Real'!C3:C15,0))+1))</f>
        <v>0.47016861219195849</v>
      </c>
      <c r="AE43" s="104">
        <f>IF(L43="","",IF(L45&gt;0,(SUM(((L43-1)*(1-_xlfn.XLOOKUP(K43,'Fevereiro 2023 - Valor Real'!A3:A15,'Fevereiro 2023 - Valor Real'!C3:C15,0))+1),((L44-1)*(1-_xlfn.XLOOKUP(K44,'Fevereiro 2023 - Valor Real'!A3:A15,'Fevereiro 2023 - Valor Real'!C3:C15,0))+1),((L45-1)*(1-_xlfn.XLOOKUP(K45,'Fevereiro 2023 - Valor Real'!A3:A15,'Fevereiro 2023 - Valor Real'!C3:C15,0))+1))/((L43-1)*(1-_xlfn.XLOOKUP(K43,'Fevereiro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Real'!C3:C15,0))+1))/((L43-1)*(1-_xlfn.XLOOKUP(K43,'Fevereiro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Real'!C3:C15,0))+1))/((L44-1)*(1-_xlfn.XLOOKUP(K44,'Fevereiro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Real'!C3:C15,0))+1))/((L45-1)*(1-_xlfn.XLOOKUP(K45,'Fevereiro 2023 - Valor Real'!A3:A15,'Fevereiro 2023 - Valor Real'!C3:C15,0))+1)),IF(I43="Lay",IF(I44="Lay",((L44/(L44-1)-1)*(1-_xlfn.XLOOKUP(K44,'Fevereiro 2023 - Valor Real'!A3:A15,'Fevereiro 2023 - Valor Real'!C3:C15,0))+1)/(((L44/(L44-1)-1)*(1-_xlfn.XLOOKUP(K44,'Fevereiro 2023 - Valor Real'!A3:A15,'Fevereiro 2023 - Valor Real'!C3:C15,0))+1)+((L43/(L43-1)-1)*(1-_xlfn.XLOOKUP(K43,'Fevereiro 2023 - Valor Real'!A3:A15,'Fevereiro 2023 - Valor Real'!C3:C15,0))+1)),((L44-1)*(1-_xlfn.XLOOKUP(K44,'Fevereiro 2023 - Valor Real'!A3:A15,'Fevereiro 2023 - Valor Real'!C3:C15,0))+1)/(((L44-1)*(1-_xlfn.XLOOKUP(K44,'Fevereiro 2023 - Valor Real'!A3:A15,'Fevereiro 2023 - Valor Real'!C3:C15,0))+1)+((L43/(L43-1)-1)*(1-_xlfn.XLOOKUP(K43,'Fevereiro 2023 - Valor Real'!A3:A15,'Fevereiro 2023 - Valor Real'!C3:C15,0))+1))),IF(I44="Lay",(((L44/(L44-1)-1)*(1-_xlfn.XLOOKUP(K44,'Fevereiro 2023 - Valor Real'!A3:A15,'Fevereiro 2023 - Valor Real'!C3:C15,0))+1))/(((L43-1)*(1-_xlfn.XLOOKUP(K43,'Fevereiro 2023 - Valor Real'!A3:A15,'Fevereiro 2023 - Valor Real'!C3:C15,0))+1)+((L44/(L44-1)-1)*(1-_xlfn.XLOOKUP(K44,'Fevereiro 2023 - Valor Real'!A3:A15,'Fevereiro 2023 - Valor Real'!C3:C15,0))+1)),((L44-1)*(1-_xlfn.XLOOKUP(K44,'Fevereiro 2023 - Valor Real'!A3:A15,'Fevereiro 2023 - Valor Real'!C3:C15,0))+1)/(((L44-1)*(1-_xlfn.XLOOKUP(K44,'Fevereiro 2023 - Valor Real'!A3:A15,'Fevereiro 2023 - Valor Real'!C3:C15,0))+1)+((L43-1)*(1-_xlfn.XLOOKUP(K43,'Fevereiro 2023 - Valor Real'!A3:A15,'Fevereiro 2023 - Valor Real'!C3:C15,0))+1))))))</f>
        <v>0.62770562770562766</v>
      </c>
      <c r="AF43" s="105">
        <f t="shared" si="76"/>
        <v>0</v>
      </c>
      <c r="AG43" s="106">
        <f t="shared" si="76"/>
        <v>0</v>
      </c>
      <c r="AH43" s="106">
        <f t="shared" si="76"/>
        <v>0</v>
      </c>
      <c r="AI43" s="106">
        <f t="shared" si="76"/>
        <v>0</v>
      </c>
      <c r="AJ43" s="106">
        <f t="shared" si="76"/>
        <v>-11.3</v>
      </c>
      <c r="AK43" s="106">
        <f t="shared" si="76"/>
        <v>0</v>
      </c>
      <c r="AL43" s="106">
        <f t="shared" si="76"/>
        <v>0</v>
      </c>
      <c r="AM43" s="106">
        <f t="shared" si="76"/>
        <v>0</v>
      </c>
      <c r="AN43" s="106">
        <f t="shared" si="76"/>
        <v>0</v>
      </c>
      <c r="AO43" s="106">
        <f t="shared" si="76"/>
        <v>0</v>
      </c>
      <c r="AP43" s="106">
        <f t="shared" si="76"/>
        <v>0</v>
      </c>
      <c r="AQ43" s="106">
        <f t="shared" si="76"/>
        <v>0</v>
      </c>
      <c r="AR43" s="107">
        <f t="shared" si="76"/>
        <v>0</v>
      </c>
      <c r="AS43" s="105">
        <f t="shared" ref="AS43:BE43" si="90">IF(AND($B43=" ",$K43=AS$3),$O43,0)</f>
        <v>0</v>
      </c>
      <c r="AT43" s="106">
        <f t="shared" si="90"/>
        <v>0</v>
      </c>
      <c r="AU43" s="106">
        <f t="shared" si="90"/>
        <v>0</v>
      </c>
      <c r="AV43" s="106">
        <f t="shared" si="90"/>
        <v>0</v>
      </c>
      <c r="AW43" s="106">
        <f t="shared" si="90"/>
        <v>0</v>
      </c>
      <c r="AX43" s="106">
        <f t="shared" si="90"/>
        <v>0</v>
      </c>
      <c r="AY43" s="108">
        <f t="shared" si="90"/>
        <v>0</v>
      </c>
      <c r="AZ43" s="109">
        <f t="shared" si="90"/>
        <v>0</v>
      </c>
      <c r="BA43" s="109">
        <f t="shared" si="90"/>
        <v>0</v>
      </c>
      <c r="BB43" s="109">
        <f t="shared" si="90"/>
        <v>0</v>
      </c>
      <c r="BC43" s="110">
        <f t="shared" si="90"/>
        <v>0</v>
      </c>
      <c r="BD43" s="106">
        <f t="shared" si="90"/>
        <v>0</v>
      </c>
      <c r="BE43" s="107">
        <f t="shared" si="90"/>
        <v>0</v>
      </c>
      <c r="BF43" s="111">
        <f t="shared" si="78"/>
        <v>0</v>
      </c>
      <c r="BG43" s="106">
        <f t="shared" si="78"/>
        <v>0</v>
      </c>
      <c r="BH43" s="106">
        <f t="shared" si="78"/>
        <v>0</v>
      </c>
      <c r="BI43" s="106">
        <f t="shared" si="78"/>
        <v>0</v>
      </c>
      <c r="BJ43" s="106">
        <f t="shared" si="78"/>
        <v>11.3</v>
      </c>
      <c r="BK43" s="106">
        <f t="shared" si="78"/>
        <v>0</v>
      </c>
      <c r="BL43" s="106">
        <f t="shared" si="78"/>
        <v>0</v>
      </c>
      <c r="BM43" s="108">
        <f t="shared" si="78"/>
        <v>0</v>
      </c>
      <c r="BN43" s="109">
        <f t="shared" si="78"/>
        <v>0</v>
      </c>
      <c r="BO43" s="109">
        <f t="shared" si="78"/>
        <v>0</v>
      </c>
      <c r="BP43" s="109">
        <f t="shared" si="78"/>
        <v>0</v>
      </c>
      <c r="BQ43" s="110">
        <f t="shared" si="78"/>
        <v>0</v>
      </c>
      <c r="BR43" s="107">
        <f t="shared" si="78"/>
        <v>0</v>
      </c>
      <c r="BS43" s="463">
        <f>IF($B43="LOSS",IF(AND($K43=BS$3,$C43="L"),-$O43,0)+IF(AND($K44=BS$3,$C44="L"),-$O44,0)+IF(AND($K45=BS$3,$C45="L"),-$O45,0),IF(OR(AND($K43=BS$3,OR($C43="W",$C43="1/2W")),AND($K44=BS$3,OR($C44="W",$C44="1/2W")),AND($K45=BS$3,OR($C45="W",$C45="1/2W"))),$S43,0))</f>
        <v>0</v>
      </c>
      <c r="BT43" s="462">
        <f>IF($B43="LOSS",IF(AND($K43=BT$3,$C43="L"),-$O43,0)+IF(AND($K44=BT$3,$C44="L"),-$O44,0)+IF(AND($K44=BT$3,$C45="L"),-$O45,0),IF(OR(AND($K44=BT$3,OR($C43="W",$C43="1/2W")),AND($K44=BT$3,OR($C44="W",$C44="1/2W")),AND($K44=BT$3,OR($C45="W",$C45="1/2W"))),$S43,0))</f>
        <v>0</v>
      </c>
      <c r="BU43" s="462">
        <f>IF($B43="LOSS",IF(AND($K43=BU$3,$C43="L"),-$O43,0)+IF(AND($K44=BU$3,$C44="L"),-$O44,0)+IF(AND($K44=BU$3,$C45="L"),-$O45,0),IF(OR(AND($K44=BU$3,OR($C43="W",$C43="1/2W")),AND($K44=BU$3,OR($C44="W",$C44="1/2W")),AND($K44=BU$3,OR($C45="W",$C45="1/2W"))),$S43,0))</f>
        <v>0</v>
      </c>
      <c r="BV43" s="462">
        <f t="shared" ref="BV43:CE43" si="91">IF($B43="LOSS",IF(AND($K43=BV$3,$C43="L"),-$O43,0)+IF(AND($K44=BV$3,$C44="L"),-$O44,0)+IF(AND($K45=BV$3,$C45="L"),-$O45,0),IF(OR(AND($K43=BV$3,OR($C43="W",$C43="1/2W")),AND($K44=BV$3,OR($C44="W",$C44="1/2W")),AND($K45=BV$3,OR($C45="W",$C45="1/2W"))),$S43,0))</f>
        <v>0</v>
      </c>
      <c r="BW43" s="462">
        <f t="shared" si="91"/>
        <v>0</v>
      </c>
      <c r="BX43" s="462">
        <f t="shared" si="91"/>
        <v>0</v>
      </c>
      <c r="BY43" s="462">
        <f t="shared" si="91"/>
        <v>0</v>
      </c>
      <c r="BZ43" s="460">
        <f t="shared" si="91"/>
        <v>0</v>
      </c>
      <c r="CA43" s="460">
        <f t="shared" si="91"/>
        <v>0</v>
      </c>
      <c r="CB43" s="460">
        <f t="shared" si="91"/>
        <v>0</v>
      </c>
      <c r="CC43" s="460">
        <f t="shared" si="91"/>
        <v>0</v>
      </c>
      <c r="CD43" s="473">
        <f t="shared" si="91"/>
        <v>1.43</v>
      </c>
      <c r="CE43" s="479">
        <f t="shared" si="91"/>
        <v>0</v>
      </c>
      <c r="CF43" s="113">
        <f t="shared" si="4"/>
        <v>0</v>
      </c>
      <c r="CG43" s="114">
        <f t="shared" si="5"/>
        <v>0</v>
      </c>
      <c r="CH43" s="114">
        <f t="shared" si="6"/>
        <v>0</v>
      </c>
      <c r="CI43" s="114">
        <f t="shared" si="7"/>
        <v>0</v>
      </c>
      <c r="CJ43" s="114">
        <f t="shared" si="8"/>
        <v>0</v>
      </c>
      <c r="CK43" s="114">
        <f t="shared" si="9"/>
        <v>0</v>
      </c>
      <c r="CL43" s="114">
        <f t="shared" si="10"/>
        <v>0</v>
      </c>
      <c r="CM43" s="114">
        <f t="shared" si="11"/>
        <v>0</v>
      </c>
      <c r="CN43" s="114">
        <f t="shared" si="12"/>
        <v>0</v>
      </c>
      <c r="CO43" s="114">
        <f t="shared" si="13"/>
        <v>1</v>
      </c>
      <c r="CP43" s="114">
        <f t="shared" si="14"/>
        <v>0</v>
      </c>
      <c r="CQ43" s="114">
        <f t="shared" si="15"/>
        <v>0</v>
      </c>
      <c r="CR43" s="114">
        <f t="shared" si="16"/>
        <v>0</v>
      </c>
      <c r="CS43" s="114">
        <f t="shared" si="17"/>
        <v>0</v>
      </c>
      <c r="CT43" s="115">
        <f t="shared" si="18"/>
        <v>0</v>
      </c>
      <c r="CU43" s="116">
        <f t="shared" si="19"/>
        <v>0</v>
      </c>
      <c r="CV43" s="116">
        <f t="shared" si="20"/>
        <v>0</v>
      </c>
      <c r="CW43" s="116">
        <f t="shared" si="21"/>
        <v>0</v>
      </c>
      <c r="CX43" s="116">
        <f t="shared" si="22"/>
        <v>0</v>
      </c>
      <c r="CY43" s="116">
        <f t="shared" si="23"/>
        <v>0</v>
      </c>
      <c r="CZ43" s="116">
        <f t="shared" si="24"/>
        <v>0</v>
      </c>
      <c r="DA43" s="116">
        <f t="shared" si="25"/>
        <v>0</v>
      </c>
      <c r="DB43" s="116">
        <f t="shared" si="26"/>
        <v>0</v>
      </c>
      <c r="DC43" s="116">
        <f t="shared" si="27"/>
        <v>0</v>
      </c>
      <c r="DD43" s="116">
        <f t="shared" si="28"/>
        <v>0</v>
      </c>
      <c r="DE43" s="117">
        <f t="shared" si="29"/>
        <v>0</v>
      </c>
      <c r="DF43" s="118">
        <f t="shared" si="31"/>
        <v>7</v>
      </c>
      <c r="DG43" s="106">
        <f t="shared" si="32"/>
        <v>9.57</v>
      </c>
      <c r="DH43" s="116">
        <f t="shared" si="33"/>
        <v>0</v>
      </c>
      <c r="DI43" s="106">
        <f t="shared" si="34"/>
        <v>0</v>
      </c>
      <c r="DJ43" s="116">
        <f>IF($D43="","",$D43)</f>
        <v>1</v>
      </c>
      <c r="DK43" s="465">
        <f>IF(AND($B43=" ",$D43&lt;&gt;""),1,0)</f>
        <v>0</v>
      </c>
    </row>
    <row r="44" spans="1:115" ht="14.5" customHeight="1" x14ac:dyDescent="0.2">
      <c r="A44" s="389"/>
      <c r="B44" s="456"/>
      <c r="C44" s="120" t="s">
        <v>54</v>
      </c>
      <c r="D44" s="374"/>
      <c r="E44" s="386"/>
      <c r="F44" s="377"/>
      <c r="G44" s="483"/>
      <c r="H44" s="476"/>
      <c r="I44" s="121" t="s">
        <v>52</v>
      </c>
      <c r="J44" s="122">
        <f>IF(OR(I43="TO",I43="TU",I43="TO1",I43="TU1",I43="TO2",I43="TU2"),J43,IF(OR(I43="AH1",I43="AH2"),IF(OR(I44="AH1",I44="AH2"),-J43,IF(OR(I44="EH1",I44="EH2"),-J43+0.5,"")),IF(OR(I43="EH1",I43="EH2"),IF(OR(I44="AH1",I44="AH2"),-J43+0.5,IF(OR(I44="EH1",I44="EH2"),-J43+1,"")),IF(AND(OR(I43="DNB1",I43="DNB2"),OR(I44="AH1",I44="AH2")),0,IF(AND(I43="Not ScoreBoth",OR(I44="TO1",I44="TO2")),0.5,"")))))</f>
        <v>1</v>
      </c>
      <c r="K44" s="123" t="s">
        <v>47</v>
      </c>
      <c r="L44" s="124">
        <v>2.9</v>
      </c>
      <c r="M44" s="125">
        <v>6.7</v>
      </c>
      <c r="N44" s="406"/>
      <c r="O44" s="126">
        <f>IF(OR(AE43="",AE44=""),"",ROUND(IF(L45&gt;0,IF(M44&gt;0,M44,IF(M43&gt;0,IF(N43=TRUE,ROUND((M43*AE44)/AE43,0),(M43*AE44)/AE43),IF(M44&gt;0,ROUND(M44,IF(N43=0,2,IF(N43=0.1,1,0))),IF(M45&gt;0,ROUND(O45*AE44/AE45,IF(N43=0,2,IF(N43=0.1,1,0))),0)))),IF(M44&gt;0,M44,ROUND((M43*AE44)/AE43,IF(N43=0,2,IF(N43=0.1,1,0))))),2))</f>
        <v>6.7</v>
      </c>
      <c r="P44" s="127">
        <f>IF(OR(L44="",O44=""),"",IF($C44="1/2W",O44/2+O44/2*L44,IF($C44="1/2L",O44/2,IF(I44="Lay",((O44*(L44/(L44-1)))-O44)*(1-_xlfn.XLOOKUP(K44,'Fevereiro 2023 - Valor Real'!A3:A15,'Fevereiro 2023 - Valor Real'!C3:C15,0))+O44,(O44*L44-O44)*(1-_xlfn.XLOOKUP(K44,'Fevereiro 2023 - Valor Real'!A3:A15,'Fevereiro 2023 - Valor Real'!C3:C15,0))+O44))))</f>
        <v>19.43</v>
      </c>
      <c r="Q44" s="128">
        <f>IF(K44="","",IF(_xlfn.XLOOKUP(K44,K$7:K38,$DJ$7:DJ38,0,,-1)=DJ44,_xlfn.XLOOKUP(K44,K$7:K38,Q$7:Q38,1,,-1)+1,1))</f>
        <v>9</v>
      </c>
      <c r="R44" s="129">
        <f>IF(K44="","",_xlfn.XLOOKUP(K44,K$7:K38,R$7:R38,0,,-1)+IF($C44=" ",1,0))</f>
        <v>0</v>
      </c>
      <c r="S44" s="403"/>
      <c r="T44" s="380"/>
      <c r="U44" s="380"/>
      <c r="V44" s="481"/>
      <c r="W44" s="380"/>
      <c r="X44" s="452"/>
      <c r="Y44" s="383"/>
      <c r="Z44" s="384"/>
      <c r="AA44" s="384"/>
      <c r="AB44" s="384"/>
      <c r="AC44" s="384"/>
      <c r="AD44" s="130">
        <f>(((L44/(L44-1)-1)*(1-_xlfn.XLOOKUP(K44,'Fevereiro 2023 - Valor Real'!A3:A15,'Fevereiro 2023 - Valor Real'!C3:C15,0))+1))</f>
        <v>1.5263157894736843</v>
      </c>
      <c r="AE44" s="131">
        <f>IF(L44="","",IF(L45&gt;0,(SUM(((L43-1)*(1-_xlfn.XLOOKUP(K43,'Fevereiro 2023 - Valor Real'!A3:A15,'Fevereiro 2023 - Valor Real'!C3:C15,0))+1),((L44-1)*(1-_xlfn.XLOOKUP(K44,'Fevereiro 2023 - Valor Real'!A3:A15,'Fevereiro 2023 - Valor Real'!C3:C15,0))+1),((L45-1)*(1-_xlfn.XLOOKUP(K45,'Fevereiro 2023 - Valor Real'!A3:A15,'Fevereiro 2023 - Valor Real'!C3:C15,0))+1))/((L44-1)*(1-_xlfn.XLOOKUP(K44,'Fevereiro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Real'!C3:C15,0))+1))/((L43-1)*(1-_xlfn.XLOOKUP(K43,'Fevereiro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Real'!C3:C15,0))+1))/((L44-1)*(1-_xlfn.XLOOKUP(K44,'Fevereiro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Real'!C3:C15,0))+1))/((L45-1)*(1-_xlfn.XLOOKUP(K45,'Fevereiro 2023 - Valor Real'!A3:A15,'Fevereiro 2023 - Valor Real'!C3:C15,0))+1)),IF(I44="Lay",IF(I43="Lay",((L43/(L43-1)-1)*(1-_xlfn.XLOOKUP(K43,'Fevereiro 2023 - Valor Real'!A3:A15,'Fevereiro 2023 - Valor Real'!C3:C15,0))+1)/(((L43/(L43-1)-1)*(1-_xlfn.XLOOKUP(K43,'Fevereiro 2023 - Valor Real'!A3:A15,'Fevereiro 2023 - Valor Real'!C3:C15,0))+1)+((L44/(L44-1)-1)*(1-_xlfn.XLOOKUP(K44,'Fevereiro 2023 - Valor Real'!A3:A15,'Fevereiro 2023 - Valor Real'!C3:C15,0))+1)),((L43-1)*(1-_xlfn.XLOOKUP(K43,'Fevereiro 2023 - Valor Real'!A3:A15,'Fevereiro 2023 - Valor Real'!C3:C15,0))+1)/(((L43-1)*(1-_xlfn.XLOOKUP(K43,'Fevereiro 2023 - Valor Real'!A3:A15,'Fevereiro 2023 - Valor Real'!C3:C15,0))+1)+((L44/(L44-1)-1)*(1-_xlfn.XLOOKUP(K44,'Fevereiro 2023 - Valor Real'!A3:A15,'Fevereiro 2023 - Valor Real'!C3:C15,0))+1))),IF(I43="Lay",((L43/(L43-1)-1)*(1-_xlfn.XLOOKUP(K43,'Fevereiro 2023 - Valor Real'!A3:A15,'Fevereiro 2023 - Valor Real'!C3:C15,0))+1)/((((L43/(L43-1)-1)*(1-_xlfn.XLOOKUP(K43,'Fevereiro 2023 - Valor Real'!A3:A15,'Fevereiro 2023 - Valor Real'!C3:C15,0))+1))+((L44-1)*(1-_xlfn.XLOOKUP(K44,'Fevereiro 2023 - Valor Real'!A3:A15,'Fevereiro 2023 - Valor Real'!C3:C15,0))+1)),((L43-1)*(1-_xlfn.XLOOKUP(K43,'Fevereiro 2023 - Valor Real'!A3:A15,'Fevereiro 2023 - Valor Real'!C3:C15,0))+1)/(((L43-1)*(1-_xlfn.XLOOKUP(K43,'Fevereiro 2023 - Valor Real'!A3:A15,'Fevereiro 2023 - Valor Real'!C3:C15,0))+1)+((L44-1)*(1-_xlfn.XLOOKUP(K44,'Fevereiro 2023 - Valor Real'!A3:A15,'Fevereiro 2023 - Valor Real'!C3:C15,0))+1))))))</f>
        <v>0.37229437229437229</v>
      </c>
      <c r="AF44" s="105">
        <f t="shared" ref="AF44:AR53" si="92">IF($K44=AF$3,ROUND(IF(OR($C44="W",$C44="1/2W",$C44="1/2L"),$P44-$O44,IF($C44="X",0,-$O44)),2),0)</f>
        <v>0</v>
      </c>
      <c r="AG44" s="106">
        <f t="shared" si="92"/>
        <v>0</v>
      </c>
      <c r="AH44" s="106">
        <f t="shared" si="92"/>
        <v>0</v>
      </c>
      <c r="AI44" s="106">
        <f t="shared" si="92"/>
        <v>0</v>
      </c>
      <c r="AJ44" s="106">
        <f t="shared" si="92"/>
        <v>0</v>
      </c>
      <c r="AK44" s="106">
        <f t="shared" si="92"/>
        <v>0</v>
      </c>
      <c r="AL44" s="106">
        <f t="shared" si="92"/>
        <v>0</v>
      </c>
      <c r="AM44" s="106">
        <f t="shared" si="92"/>
        <v>0</v>
      </c>
      <c r="AN44" s="106">
        <f t="shared" si="92"/>
        <v>0</v>
      </c>
      <c r="AO44" s="106">
        <f t="shared" si="92"/>
        <v>0</v>
      </c>
      <c r="AP44" s="106">
        <f t="shared" si="92"/>
        <v>0</v>
      </c>
      <c r="AQ44" s="106">
        <f t="shared" si="92"/>
        <v>12.73</v>
      </c>
      <c r="AR44" s="107">
        <f t="shared" si="92"/>
        <v>0</v>
      </c>
      <c r="AS44" s="105">
        <f>IF(AND($B43=" ",$K44=AS$3),$O44,0)</f>
        <v>0</v>
      </c>
      <c r="AT44" s="106">
        <f>IF(AND($B43=" ",K44=AT$3),$O44,0)</f>
        <v>0</v>
      </c>
      <c r="AU44" s="106">
        <f t="shared" ref="AU44:BE44" si="93">IF(AND($B43=" ",$K44=AU$3),$O44,0)</f>
        <v>0</v>
      </c>
      <c r="AV44" s="106">
        <f t="shared" si="93"/>
        <v>0</v>
      </c>
      <c r="AW44" s="106">
        <f t="shared" si="93"/>
        <v>0</v>
      </c>
      <c r="AX44" s="106">
        <f t="shared" si="93"/>
        <v>0</v>
      </c>
      <c r="AY44" s="108">
        <f t="shared" si="93"/>
        <v>0</v>
      </c>
      <c r="AZ44" s="109">
        <f t="shared" si="93"/>
        <v>0</v>
      </c>
      <c r="BA44" s="109">
        <f t="shared" si="93"/>
        <v>0</v>
      </c>
      <c r="BB44" s="109">
        <f t="shared" si="93"/>
        <v>0</v>
      </c>
      <c r="BC44" s="110">
        <f t="shared" si="93"/>
        <v>0</v>
      </c>
      <c r="BD44" s="106">
        <f t="shared" si="93"/>
        <v>0</v>
      </c>
      <c r="BE44" s="107">
        <f t="shared" si="93"/>
        <v>0</v>
      </c>
      <c r="BF44" s="105">
        <f t="shared" ref="BF44:BR53" si="94">IF($K44=BF$3,IF($C44="X",0,$O44),0)</f>
        <v>0</v>
      </c>
      <c r="BG44" s="106">
        <f t="shared" si="94"/>
        <v>0</v>
      </c>
      <c r="BH44" s="106">
        <f t="shared" si="94"/>
        <v>0</v>
      </c>
      <c r="BI44" s="106">
        <f t="shared" si="94"/>
        <v>0</v>
      </c>
      <c r="BJ44" s="106">
        <f t="shared" si="94"/>
        <v>0</v>
      </c>
      <c r="BK44" s="106">
        <f t="shared" si="94"/>
        <v>0</v>
      </c>
      <c r="BL44" s="106">
        <f t="shared" si="94"/>
        <v>0</v>
      </c>
      <c r="BM44" s="132">
        <f t="shared" si="94"/>
        <v>0</v>
      </c>
      <c r="BN44" s="112">
        <f t="shared" si="94"/>
        <v>0</v>
      </c>
      <c r="BO44" s="112">
        <f t="shared" si="94"/>
        <v>0</v>
      </c>
      <c r="BP44" s="112">
        <f t="shared" si="94"/>
        <v>0</v>
      </c>
      <c r="BQ44" s="110">
        <f t="shared" si="94"/>
        <v>6.7</v>
      </c>
      <c r="BR44" s="107">
        <f t="shared" si="94"/>
        <v>0</v>
      </c>
      <c r="BS44" s="464"/>
      <c r="BT44" s="461"/>
      <c r="BU44" s="392"/>
      <c r="BV44" s="461"/>
      <c r="BW44" s="392"/>
      <c r="BX44" s="392"/>
      <c r="BY44" s="392"/>
      <c r="BZ44" s="461"/>
      <c r="CA44" s="392"/>
      <c r="CB44" s="392"/>
      <c r="CC44" s="392"/>
      <c r="CD44" s="401"/>
      <c r="CE44" s="409"/>
      <c r="CF44" s="133">
        <f t="shared" si="4"/>
        <v>0</v>
      </c>
      <c r="CG44" s="134">
        <f t="shared" si="5"/>
        <v>0</v>
      </c>
      <c r="CH44" s="134">
        <f t="shared" si="6"/>
        <v>0</v>
      </c>
      <c r="CI44" s="134">
        <f t="shared" si="7"/>
        <v>0</v>
      </c>
      <c r="CJ44" s="134">
        <f t="shared" si="8"/>
        <v>0</v>
      </c>
      <c r="CK44" s="134">
        <f t="shared" si="9"/>
        <v>0</v>
      </c>
      <c r="CL44" s="134">
        <f t="shared" si="10"/>
        <v>0</v>
      </c>
      <c r="CM44" s="134">
        <f t="shared" si="11"/>
        <v>0</v>
      </c>
      <c r="CN44" s="134">
        <f t="shared" si="12"/>
        <v>0</v>
      </c>
      <c r="CO44" s="134">
        <f t="shared" si="13"/>
        <v>0</v>
      </c>
      <c r="CP44" s="134">
        <f t="shared" si="14"/>
        <v>0</v>
      </c>
      <c r="CQ44" s="134">
        <f t="shared" si="15"/>
        <v>0</v>
      </c>
      <c r="CR44" s="134">
        <f t="shared" si="16"/>
        <v>0</v>
      </c>
      <c r="CS44" s="134">
        <f t="shared" si="17"/>
        <v>0</v>
      </c>
      <c r="CT44" s="115">
        <f t="shared" si="18"/>
        <v>0</v>
      </c>
      <c r="CU44" s="116">
        <f t="shared" si="19"/>
        <v>0</v>
      </c>
      <c r="CV44" s="116">
        <f t="shared" si="20"/>
        <v>0</v>
      </c>
      <c r="CW44" s="116">
        <f t="shared" si="21"/>
        <v>0</v>
      </c>
      <c r="CX44" s="116">
        <f t="shared" si="22"/>
        <v>0</v>
      </c>
      <c r="CY44" s="116">
        <f t="shared" si="23"/>
        <v>0</v>
      </c>
      <c r="CZ44" s="116">
        <f t="shared" si="24"/>
        <v>0</v>
      </c>
      <c r="DA44" s="116">
        <f t="shared" si="25"/>
        <v>0</v>
      </c>
      <c r="DB44" s="116">
        <f t="shared" si="26"/>
        <v>1</v>
      </c>
      <c r="DC44" s="116">
        <f t="shared" si="27"/>
        <v>0</v>
      </c>
      <c r="DD44" s="116">
        <f t="shared" si="28"/>
        <v>0</v>
      </c>
      <c r="DE44" s="117">
        <f t="shared" si="29"/>
        <v>0</v>
      </c>
      <c r="DF44" s="118">
        <f t="shared" si="31"/>
        <v>7</v>
      </c>
      <c r="DG44" s="106">
        <f t="shared" si="32"/>
        <v>9.57</v>
      </c>
      <c r="DH44" s="116">
        <f t="shared" si="33"/>
        <v>0</v>
      </c>
      <c r="DI44" s="106">
        <f t="shared" si="34"/>
        <v>0</v>
      </c>
      <c r="DJ44" s="116">
        <f>IF($D43="","",$D43)</f>
        <v>1</v>
      </c>
      <c r="DK44" s="466"/>
    </row>
    <row r="45" spans="1:115" ht="14.5" customHeight="1" x14ac:dyDescent="0.2">
      <c r="A45" s="390"/>
      <c r="B45" s="457"/>
      <c r="C45" s="135" t="s">
        <v>53</v>
      </c>
      <c r="D45" s="375"/>
      <c r="E45" s="387"/>
      <c r="F45" s="378"/>
      <c r="G45" s="484"/>
      <c r="H45" s="477"/>
      <c r="I45" s="136"/>
      <c r="J45" s="137"/>
      <c r="K45" s="138"/>
      <c r="L45" s="139"/>
      <c r="M45" s="140"/>
      <c r="N45" s="407"/>
      <c r="O45" s="141" t="str">
        <f>IF(OR(AE43="",AE44=""),"",IF(L45&gt;0,ROUND(IF(M45&gt;0,M45,IF(M43&gt;0,ROUND((M43*AE45)/AE43,IF(N43=0,2,IF(N43=0.1,1,0))),IF(M44&gt;0,ROUND((M44*AE45)/AE44,IF(N43=0,2,IF(N43=0.1,1,0))),IF(M45&gt;0,M45,0)))),2),""))</f>
        <v/>
      </c>
      <c r="P45" s="142" t="str">
        <f>IF(I44="Lay",O44*(L44/(L44-1))-O44,IF(I43="Lay",O43*(L43/(L43-1))-O43,IF(OR(L45="",O45=""),"",IF($C45="1/2W",O45/2+O45/2*L45,IF($C45="1/2L",O45/2,(O45*L45-O45)*(1-_xlfn.XLOOKUP(K45,'Fevereiro 2023 - Valor Real'!A3:A15,'Fevereiro 2023 - Valor Real'!C3:C15,0))+O45)))))</f>
        <v/>
      </c>
      <c r="Q45" s="143" t="str">
        <f>IF(K45="","",IF(_xlfn.XLOOKUP(K45,K$8:K38,$DJ$8:DJ38,0,,-1)=DJ45,_xlfn.XLOOKUP(K45,K$8:K38,Q$8:Q38,1,,-1)+1,1))</f>
        <v/>
      </c>
      <c r="R45" s="144" t="str">
        <f>IF(K45="","",_xlfn.XLOOKUP(K45,K$8:K38,R$8:R38,0,,-1)+IF($C45=" ",1,0))</f>
        <v/>
      </c>
      <c r="S45" s="404"/>
      <c r="T45" s="378"/>
      <c r="U45" s="378"/>
      <c r="V45" s="404"/>
      <c r="W45" s="378"/>
      <c r="X45" s="453"/>
      <c r="Y45" s="383"/>
      <c r="Z45" s="384"/>
      <c r="AA45" s="384"/>
      <c r="AB45" s="384"/>
      <c r="AC45" s="384"/>
      <c r="AD45" s="145">
        <f>((L44/(L44-1)-1))</f>
        <v>0.52631578947368429</v>
      </c>
      <c r="AE45" s="146" t="str">
        <f>IF(L45="","",(SUM(((L43-1)*(1-_xlfn.XLOOKUP(K43,'Fevereiro 2023 - Valor Real'!A3:A15,'Fevereiro 2023 - Valor Real'!C3:C15,0))+1),((L44-1)*(1-_xlfn.XLOOKUP(K44,'Fevereiro 2023 - Valor Real'!A3:A15,'Fevereiro 2023 - Valor Real'!C3:C15,0))+1),((L45-1)*(1-_xlfn.XLOOKUP(K45,'Fevereiro 2023 - Valor Real'!A3:A15,'Fevereiro 2023 - Valor Real'!C3:C15,0))+1))/((L45-1)*(1-_xlfn.XLOOKUP(K45,'Fevereiro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Real'!C3:C15,0))+1))/((L43-1)*(1-_xlfn.XLOOKUP(K43,'Fevereiro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Real'!C3:C15,0))+1))/((L44-1)*(1-_xlfn.XLOOKUP(K44,'Fevereiro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Real'!C3:C15,0))+1))/((L45-1)*(1-_xlfn.XLOOKUP(K45,'Fevereiro 2023 - Valor Real'!A3:A15,'Fevereiro 2023 - Valor Real'!C3:C15,0))+1)))</f>
        <v/>
      </c>
      <c r="AF45" s="105">
        <f t="shared" si="92"/>
        <v>0</v>
      </c>
      <c r="AG45" s="106">
        <f t="shared" si="92"/>
        <v>0</v>
      </c>
      <c r="AH45" s="106">
        <f t="shared" si="92"/>
        <v>0</v>
      </c>
      <c r="AI45" s="106">
        <f t="shared" si="92"/>
        <v>0</v>
      </c>
      <c r="AJ45" s="106">
        <f t="shared" si="92"/>
        <v>0</v>
      </c>
      <c r="AK45" s="106">
        <f t="shared" si="92"/>
        <v>0</v>
      </c>
      <c r="AL45" s="106">
        <f t="shared" si="92"/>
        <v>0</v>
      </c>
      <c r="AM45" s="106">
        <f t="shared" si="92"/>
        <v>0</v>
      </c>
      <c r="AN45" s="106">
        <f t="shared" si="92"/>
        <v>0</v>
      </c>
      <c r="AO45" s="106">
        <f t="shared" si="92"/>
        <v>0</v>
      </c>
      <c r="AP45" s="106">
        <f t="shared" si="92"/>
        <v>0</v>
      </c>
      <c r="AQ45" s="106">
        <f t="shared" si="92"/>
        <v>0</v>
      </c>
      <c r="AR45" s="107">
        <f t="shared" si="92"/>
        <v>0</v>
      </c>
      <c r="AS45" s="105">
        <f>IF(AND($B43=" ",$K45=AS$3),$O45,0)</f>
        <v>0</v>
      </c>
      <c r="AT45" s="106">
        <f>IF(AND($B43=" ",K45=AT$3),$O45,0)</f>
        <v>0</v>
      </c>
      <c r="AU45" s="106">
        <f t="shared" ref="AU45:BE45" si="95">IF(AND($B43=" ",$K45=AU$3),$O45,0)</f>
        <v>0</v>
      </c>
      <c r="AV45" s="106">
        <f t="shared" si="95"/>
        <v>0</v>
      </c>
      <c r="AW45" s="106">
        <f t="shared" si="95"/>
        <v>0</v>
      </c>
      <c r="AX45" s="106">
        <f t="shared" si="95"/>
        <v>0</v>
      </c>
      <c r="AY45" s="108">
        <f t="shared" si="95"/>
        <v>0</v>
      </c>
      <c r="AZ45" s="109">
        <f t="shared" si="95"/>
        <v>0</v>
      </c>
      <c r="BA45" s="109">
        <f t="shared" si="95"/>
        <v>0</v>
      </c>
      <c r="BB45" s="109">
        <f t="shared" si="95"/>
        <v>0</v>
      </c>
      <c r="BC45" s="110">
        <f t="shared" si="95"/>
        <v>0</v>
      </c>
      <c r="BD45" s="106">
        <f t="shared" si="95"/>
        <v>0</v>
      </c>
      <c r="BE45" s="107">
        <f t="shared" si="95"/>
        <v>0</v>
      </c>
      <c r="BF45" s="105">
        <f t="shared" si="94"/>
        <v>0</v>
      </c>
      <c r="BG45" s="106">
        <f t="shared" si="94"/>
        <v>0</v>
      </c>
      <c r="BH45" s="106">
        <f t="shared" si="94"/>
        <v>0</v>
      </c>
      <c r="BI45" s="106">
        <f t="shared" si="94"/>
        <v>0</v>
      </c>
      <c r="BJ45" s="106">
        <f t="shared" si="94"/>
        <v>0</v>
      </c>
      <c r="BK45" s="106">
        <f t="shared" si="94"/>
        <v>0</v>
      </c>
      <c r="BL45" s="106">
        <f t="shared" si="94"/>
        <v>0</v>
      </c>
      <c r="BM45" s="108">
        <f t="shared" si="94"/>
        <v>0</v>
      </c>
      <c r="BN45" s="109">
        <f t="shared" si="94"/>
        <v>0</v>
      </c>
      <c r="BO45" s="109">
        <f t="shared" si="94"/>
        <v>0</v>
      </c>
      <c r="BP45" s="109">
        <f t="shared" si="94"/>
        <v>0</v>
      </c>
      <c r="BQ45" s="110">
        <f t="shared" si="94"/>
        <v>0</v>
      </c>
      <c r="BR45" s="107">
        <f t="shared" si="94"/>
        <v>0</v>
      </c>
      <c r="BS45" s="464"/>
      <c r="BT45" s="461"/>
      <c r="BU45" s="392"/>
      <c r="BV45" s="461"/>
      <c r="BW45" s="392"/>
      <c r="BX45" s="392"/>
      <c r="BY45" s="392"/>
      <c r="BZ45" s="461"/>
      <c r="CA45" s="392"/>
      <c r="CB45" s="392"/>
      <c r="CC45" s="392"/>
      <c r="CD45" s="401"/>
      <c r="CE45" s="409"/>
      <c r="CF45" s="133">
        <f t="shared" si="4"/>
        <v>0</v>
      </c>
      <c r="CG45" s="134">
        <f t="shared" si="5"/>
        <v>0</v>
      </c>
      <c r="CH45" s="134">
        <f t="shared" si="6"/>
        <v>0</v>
      </c>
      <c r="CI45" s="134">
        <f t="shared" si="7"/>
        <v>0</v>
      </c>
      <c r="CJ45" s="134">
        <f t="shared" si="8"/>
        <v>0</v>
      </c>
      <c r="CK45" s="134">
        <f t="shared" si="9"/>
        <v>0</v>
      </c>
      <c r="CL45" s="134">
        <f t="shared" si="10"/>
        <v>0</v>
      </c>
      <c r="CM45" s="134">
        <f t="shared" si="11"/>
        <v>0</v>
      </c>
      <c r="CN45" s="134">
        <f t="shared" si="12"/>
        <v>0</v>
      </c>
      <c r="CO45" s="134">
        <f t="shared" si="13"/>
        <v>0</v>
      </c>
      <c r="CP45" s="134">
        <f t="shared" si="14"/>
        <v>0</v>
      </c>
      <c r="CQ45" s="134">
        <f t="shared" si="15"/>
        <v>0</v>
      </c>
      <c r="CR45" s="134">
        <f t="shared" si="16"/>
        <v>0</v>
      </c>
      <c r="CS45" s="134">
        <f t="shared" si="17"/>
        <v>0</v>
      </c>
      <c r="CT45" s="115">
        <f t="shared" si="18"/>
        <v>0</v>
      </c>
      <c r="CU45" s="116">
        <f t="shared" si="19"/>
        <v>0</v>
      </c>
      <c r="CV45" s="116">
        <f t="shared" si="20"/>
        <v>0</v>
      </c>
      <c r="CW45" s="116">
        <f t="shared" si="21"/>
        <v>0</v>
      </c>
      <c r="CX45" s="116">
        <f t="shared" si="22"/>
        <v>0</v>
      </c>
      <c r="CY45" s="116">
        <f t="shared" si="23"/>
        <v>0</v>
      </c>
      <c r="CZ45" s="116">
        <f t="shared" si="24"/>
        <v>0</v>
      </c>
      <c r="DA45" s="116">
        <f t="shared" si="25"/>
        <v>0</v>
      </c>
      <c r="DB45" s="116">
        <f t="shared" si="26"/>
        <v>0</v>
      </c>
      <c r="DC45" s="116">
        <f t="shared" si="27"/>
        <v>0</v>
      </c>
      <c r="DD45" s="116">
        <f t="shared" si="28"/>
        <v>0</v>
      </c>
      <c r="DE45" s="117">
        <f t="shared" si="29"/>
        <v>0</v>
      </c>
      <c r="DF45" s="118">
        <f t="shared" si="31"/>
        <v>7</v>
      </c>
      <c r="DG45" s="106">
        <f t="shared" si="32"/>
        <v>9.57</v>
      </c>
      <c r="DH45" s="116">
        <f t="shared" si="33"/>
        <v>0</v>
      </c>
      <c r="DI45" s="106">
        <f t="shared" si="34"/>
        <v>0</v>
      </c>
      <c r="DJ45" s="116">
        <f>IF($D43="","",$D43)</f>
        <v>1</v>
      </c>
      <c r="DK45" s="466"/>
    </row>
    <row r="46" spans="1:115" ht="14.5" customHeight="1" x14ac:dyDescent="0.2">
      <c r="A46" s="487">
        <f>$A43+1</f>
        <v>15</v>
      </c>
      <c r="B46" s="506" t="str">
        <f>IF(OR(C46="W",C47="W",C48="W",C46="1/2W",C47="1/2W",C48="1/2W",C46="1/2L",C47="1/2L",C48="1/2L"),"OK",IF(OR(C46="L",C47="L",C48="L"),"LOSS",IF(OR(C46="X",C47="X",C48="X"),"Anulado"," ")))</f>
        <v>OK</v>
      </c>
      <c r="C46" s="147" t="s">
        <v>55</v>
      </c>
      <c r="D46" s="495">
        <f>IF(G46="","",$D43)</f>
        <v>1</v>
      </c>
      <c r="E46" s="511" t="str">
        <f>IF(G46=""," ","– "&amp;COUNTIF(D$4:D48,$D46))</f>
        <v>– 15</v>
      </c>
      <c r="F46" s="510" t="str">
        <f ca="1">IF(G46="","",IF(OR(AND($C46&lt;&gt;" ",$C47=" "),AND($C47&lt;&gt;" ",$C46=" "),AND(L48&gt;0,OR(AND($C48&lt;&gt;" ",OR($C46=" ",$C47=" ")),AND($C48=" ",OR($C46&lt;&gt;" ",$C47&lt;&gt;" "))))),IF(SUM(F$9:F38)=0,1,LARGE(F$9:F38,1)+1),IF(MONTH(G46)=MONTH(TODAY()),IF(AND(DAY(G46)&lt;DAY(TODAY()),$B46=" "),IF(SUM(F$9:F38)=0,1,LARGE(F$9:F38,1)+1),IF($B46=" ",IF(AND(DAY(G46)=DAY(TODAY()),HOUR(G46)&lt;=HOUR(NOW())+1),IF(AND(HOUR(G46)+2&lt;=HOUR(NOW()),DAY(G46)&lt;=DAY(TODAY()),MINUTE(G46)&lt;=MINUTE(NOW())),IF(SUM(F$9:F38)=0,1,LARGE(F$9:F38,1)+1),IF(OR(MINUTE(G46)&lt;=MINUTE(NOW()),HOUR(G46)&lt;=HOUR(NOW())),"!!!","")),""),"")),"")))</f>
        <v/>
      </c>
      <c r="G46" s="508">
        <f>IF(H46="","",_xlfn.XLOOKUP(H46,$H$4:H45,$G$4:G45,""))</f>
        <v>44990</v>
      </c>
      <c r="H46" s="502" t="s">
        <v>68</v>
      </c>
      <c r="I46" s="180" t="s">
        <v>51</v>
      </c>
      <c r="J46" s="181">
        <v>2</v>
      </c>
      <c r="K46" s="150" t="s">
        <v>40</v>
      </c>
      <c r="L46" s="151">
        <v>1.98</v>
      </c>
      <c r="M46" s="152"/>
      <c r="N46" s="503">
        <v>0</v>
      </c>
      <c r="O46" s="153">
        <f>IF(OR(AE46="",AE47=""),"",ROUND(IF(L48&gt;0,IF(M46&gt;0,M46,IF(M47&gt;0,ROUND((M47*AE46)/AE47,IF(N46=0,2,IF(N46=0.1,1,0))),ROUND((M48*AE46)/AE48,IF(N46=0,2,IF(N46=0.1,1,0))))),IF(M46&gt;0,M46,ROUND((M47*AE46)/AE47,IF(N46=0,2,IF(N46=0.1,1,0))))),2))</f>
        <v>11.5</v>
      </c>
      <c r="P46" s="154">
        <f>IF(OR(L46="",O46=""),"",IF($C46="1/2W",O46/2+O46/2*L46,IF($C46="1/2L",O46/2,IF(I46="Lay",(O46*(L46/(L46-1))-O46)*(1-_xlfn.XLOOKUP(K46,'Fevereiro 2023 - Valor Real'!A3:A15,'Fevereiro 2023 - Valor Real'!C3:C15,0))+O46,(O46*L46-O46)*(1-_xlfn.XLOOKUP(K46,'Fevereiro 2023 - Valor Real'!A3:A15,'Fevereiro 2023 - Valor Real'!C3:C15,0))+O46))))</f>
        <v>22.77</v>
      </c>
      <c r="Q46" s="155">
        <f>IF(K46="","",IF(_xlfn.XLOOKUP(K46,K$9:K38,$DJ$9:DJ38,0,,-1)=DJ46,_xlfn.XLOOKUP(K46,K$9:K38,Q$9:Q38,1,,-1)+1,1))</f>
        <v>11</v>
      </c>
      <c r="R46" s="156">
        <f>IF(K46="","",_xlfn.XLOOKUP(K46,K$9:K38,R$9:R38,0,,-1)+IF($C46=" ",1,0))</f>
        <v>0</v>
      </c>
      <c r="S46" s="501">
        <f>IF($B46="Anulado",0,ROUND(IF(OR($B46="LOSS",$B46="OK"),IF(OR($C46="W",$C46="1/2W",$C46="1/2L"),P46-O46,IF($C46="L",-O46,0))+IF(OR($C47="W",$C47="1/2W",$C47="1/2L"),P47-O47,IF($C47="L",-O47,0))+IF(OR($C48="W",$C48="1/2W",$C48="1/2L"),P48-O48,IF($C48="L",-O48,0)),IF(AND(OR($C46="W",$C46="1/2W",$C46="1/2L"),C47="W"),P46+P47-SUM(O46:O48)+_xlfn.XLOOKUP("X",C46:C48,O46:O48,0),IF(AND(C46=TRUE,C48="W"),P46+P48-SUM(O46:O48),IF(AND(C47="W",C48="W"),P47+P48-SUM(O46:O48)+_xlfn.XLOOKUP("X",C46:C48,O46:O48,0),IF(L48&gt;0,IF(OR($C46="W",$C46="1/2W",$C46="1/2L"),P46-SUM(O46:O48)+_xlfn.XLOOKUP("X",C46:C48,O46:O48,0),IF(OR($C46="W",$C46="1/2W",$C46="1/2L"),P47-SUM(O46:O48)+_xlfn.XLOOKUP("X",C46:C48,O46:O48,0),IF(OR($C46="W",$C46="1/2W",$C46="1/2L"),P48-SUM(O46:O48)+_xlfn.XLOOKUP("X",C46:C48,O46:O48,0),IF(SUM(P46:P48)/3-SUM(O46:O48)+_xlfn.XLOOKUP("X",C46:C48,O46:O48,0)&gt;0,SUM(P46:P48)/3-SUM(O46:O48)+_xlfn.XLOOKUP("X",C46:C48,O46:O48,0),LARGE(P46:P48,1)-SUM(O46:O48))))),IF(OR($C46="W",$C46="1/2W",$C46="1/2L"),P46-SUM(O46:O47)+_xlfn.XLOOKUP("X",C46:C48,O46:O48,0),IF(OR($C46="W",$C46="1/2W",$C46="1/2L"),P47-SUM(O46:O47)+_xlfn.XLOOKUP("X",C46:C48,O46:O48,0),SUM(P46:P47)/2-SUM(O46:O47)+_xlfn.XLOOKUP("X",C46:C48,O46:O48,0)))))))),2))</f>
        <v>1.24</v>
      </c>
      <c r="T46" s="486">
        <f>IF(S46=0,0,S46/SUM(O46:O48))</f>
        <v>5.75940548072457E-2</v>
      </c>
      <c r="U46" s="496">
        <f>IF($D46=$D43,IF(OR($B46="LOSS",$B46="OK",$B46="Anulada"),S46,0)+U43,IF(OR($B46="LOSS",$B46="OK",$B46="Anulada"),S46,0))</f>
        <v>26.24</v>
      </c>
      <c r="V46" s="496">
        <f>IF($D46="",0,IF($D46=$D43,IF($B46=" ",IF(I48="",IF(OR(AND(I46="DNB1",I47="DNB2"),AND(OR(I46="DNB1",I46="DNB2"),J47=0),AND(OR(I47="DNB1",I47="DNB2"),J46=0),AND(I46="DNB2",I47="DNB1"),AND(IF(J46=0,(J46+1)/ROUND(J46+1,0),J46/ROUND(J46,0))=1,IF(J47=0,(J47+1)/ROUND(IF(J47="",0,J47)+1,0),IF(J47="",0,J47)/ROUND(IF(J47="",1,J47),0))=1,OR(J46&lt;&gt;""),J47&lt;&gt;"")),0,IF(S46&lt;0,IF(I48="",SMALL(P46:P47,1)-SUM(O46:O47),0),SMALL(P46:P47,1)-SUM(O46:O47))),IF(S46&lt;0,IF(I48="",SMALL(P46:P48,1)-SUM(O46:O48),0),LARGE(P46:P48,1)-SUM(O46:O48))),S46)+V43,IF(I48="",IF(OR(AND(I46="DNB1",I47="DNB2"),AND(OR(I46="DNB1",I46="DNB2"),J47=0),AND(OR(I47="DNB1",I47="DNB2"),J46=0),AND(I46="DNB2",I47="DNB1"),AND(IF(J46=0,(J46+1)/ROUND(J46+1,0),J46/ROUND(J46,0))=1,IF(J47=0,(IF(J47="",0,J47)+1)/ROUND(IF(J47="",0,J47)+1,0),IF(J47="",0,J47)/ROUND(IF(J47="",0,J47)+1,0))=1,OR(J46&lt;&gt;""),J47&lt;&gt;"")),0,IF(S46&lt;0,IF(I48="",SMALL(P46:P47,1)-SUM(O46:O47),0),SMALL(P46:P48,1)-SUM(O46:O48))),IF(S46&lt;0,IF(I48="",SMALL(P46:P48,1)-SUM(O46:O48),0),LARGE(P46:P48,1)-SUM(O46:O48)))))</f>
        <v>26.24</v>
      </c>
      <c r="W46" s="496">
        <f>IF($D46=$D43,IF(S46&lt;0,IF(I48="",S46,0),S46)+W43,S46)</f>
        <v>26.24</v>
      </c>
      <c r="X46" s="505" t="str">
        <f>IF(OR(SUM(R46:R48)=0,V46=W46),ROUND(IF(W46=0,0,W46/Y46)*100,2)&amp;"%",ROUND(IF(V46=0,0,V46/Y46)*100,2)&amp;"% a "&amp;ROUND(IF(W46=0,0,W46/Y46)*100,2)&amp;"%")</f>
        <v>5,18%</v>
      </c>
      <c r="Y46" s="497">
        <f>IF($D46=$D43,Y43+SUM(O46:O48),SUM(O46:O48))</f>
        <v>506.69999999999993</v>
      </c>
      <c r="Z46" s="496">
        <f>IF($B46=" ",SUM(O46:O48),0)+Z43</f>
        <v>0</v>
      </c>
      <c r="AA46" s="496">
        <f>IF(G46="","",IF($B46="Anulado",LARGE(P46:P48,1)-SUM(O46:O48)+AA43,AA43))</f>
        <v>0.45899999999999785</v>
      </c>
      <c r="AB46" s="496">
        <f>IF($D46="","",AB43+S46)</f>
        <v>26.24</v>
      </c>
      <c r="AC46" s="499">
        <f ca="1">IF($D46="","",IF($B46=" ",IF(DAY(G46)=DAY(TODAY()),1+AC43,0+AC43),0+AC43))</f>
        <v>0</v>
      </c>
      <c r="AD46" s="157">
        <f>(1-_xlfn.XLOOKUP(K44,'Fevereiro 2023 - Valor Real'!A3:A15,'Fevereiro 2023 - Valor Real'!C3:C15,0))+1</f>
        <v>2</v>
      </c>
      <c r="AE46" s="158">
        <f>IF(L46="","",IF(L48&gt;0,(SUM(((L46-1)*(1-_xlfn.XLOOKUP(K46,'Fevereiro 2023 - Valor Real'!A3:A15,'Fevereiro 2023 - Valor Real'!C3:C15,0))+1),((L47-1)*(1-_xlfn.XLOOKUP(K47,'Fevereiro 2023 - Valor Real'!A3:A15,'Fevereiro 2023 - Valor Real'!C3:C15,0))+1),((L48-1)*(1-_xlfn.XLOOKUP(K48,'Fevereiro 2023 - Valor Real'!A3:A15,'Fevereiro 2023 - Valor Real'!C3:C15,0))+1))/((L46-1)*(1-_xlfn.XLOOKUP(K46,'Fevereiro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Real'!C3:C15,0))+1))/((L46-1)*(1-_xlfn.XLOOKUP(K46,'Fevereiro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Real'!C3:C15,0))+1))/((L47-1)*(1-_xlfn.XLOOKUP(K47,'Fevereiro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Real'!C3:C15,0))+1))/((L48-1)*(1-_xlfn.XLOOKUP(K48,'Fevereiro 2023 - Valor Real'!A3:A15,'Fevereiro 2023 - Valor Real'!C3:C15,0))+1)),IF(I46="Lay",IF(I47="Lay",((L47/(L47-1)-1)*(1-_xlfn.XLOOKUP(K47,'Fevereiro 2023 - Valor Real'!A3:A15,'Fevereiro 2023 - Valor Real'!C3:C15,0))+1)/(((L47/(L47-1)-1)*(1-_xlfn.XLOOKUP(K47,'Fevereiro 2023 - Valor Real'!A3:A15,'Fevereiro 2023 - Valor Real'!C3:C15,0))+1)+((L46/(L46-1)-1)*(1-_xlfn.XLOOKUP(K46,'Fevereiro 2023 - Valor Real'!A3:A15,'Fevereiro 2023 - Valor Real'!C3:C15,0))+1)),((L47-1)*(1-_xlfn.XLOOKUP(K47,'Fevereiro 2023 - Valor Real'!A3:A15,'Fevereiro 2023 - Valor Real'!C3:C15,0))+1)/(((L47-1)*(1-_xlfn.XLOOKUP(K47,'Fevereiro 2023 - Valor Real'!A3:A15,'Fevereiro 2023 - Valor Real'!C3:C15,0))+1)+((L46/(L46-1)-1)*(1-_xlfn.XLOOKUP(K46,'Fevereiro 2023 - Valor Real'!A3:A15,'Fevereiro 2023 - Valor Real'!C3:C15,0))+1))),IF(I47="Lay",(((L47/(L47-1)-1)*(1-_xlfn.XLOOKUP(K47,'Fevereiro 2023 - Valor Real'!A3:A15,'Fevereiro 2023 - Valor Real'!C3:C15,0))+1))/(((L46-1)*(1-_xlfn.XLOOKUP(K46,'Fevereiro 2023 - Valor Real'!A3:A15,'Fevereiro 2023 - Valor Real'!C3:C15,0))+1)+((L47/(L47-1)-1)*(1-_xlfn.XLOOKUP(K47,'Fevereiro 2023 - Valor Real'!A3:A15,'Fevereiro 2023 - Valor Real'!C3:C15,0))+1)),((L47-1)*(1-_xlfn.XLOOKUP(K47,'Fevereiro 2023 - Valor Real'!A3:A15,'Fevereiro 2023 - Valor Real'!C3:C15,0))+1)/(((L47-1)*(1-_xlfn.XLOOKUP(K47,'Fevereiro 2023 - Valor Real'!A3:A15,'Fevereiro 2023 - Valor Real'!C3:C15,0))+1)+((L46-1)*(1-_xlfn.XLOOKUP(K46,'Fevereiro 2023 - Valor Real'!A3:A15,'Fevereiro 2023 - Valor Real'!C3:C15,0))+1))))))</f>
        <v>0.53411764705882359</v>
      </c>
      <c r="AF46" s="66">
        <f t="shared" si="92"/>
        <v>0</v>
      </c>
      <c r="AG46" s="67">
        <f t="shared" si="92"/>
        <v>0</v>
      </c>
      <c r="AH46" s="67">
        <f t="shared" si="92"/>
        <v>0</v>
      </c>
      <c r="AI46" s="67">
        <f t="shared" si="92"/>
        <v>0</v>
      </c>
      <c r="AJ46" s="67">
        <f t="shared" si="92"/>
        <v>-11.5</v>
      </c>
      <c r="AK46" s="67">
        <f t="shared" si="92"/>
        <v>0</v>
      </c>
      <c r="AL46" s="67">
        <f t="shared" si="92"/>
        <v>0</v>
      </c>
      <c r="AM46" s="67">
        <f t="shared" si="92"/>
        <v>0</v>
      </c>
      <c r="AN46" s="67">
        <f t="shared" si="92"/>
        <v>0</v>
      </c>
      <c r="AO46" s="67">
        <f t="shared" si="92"/>
        <v>0</v>
      </c>
      <c r="AP46" s="67">
        <f t="shared" si="92"/>
        <v>0</v>
      </c>
      <c r="AQ46" s="67">
        <f t="shared" si="92"/>
        <v>0</v>
      </c>
      <c r="AR46" s="68">
        <f t="shared" si="92"/>
        <v>0</v>
      </c>
      <c r="AS46" s="66">
        <f t="shared" ref="AS46:BE46" si="96">IF(AND($B46=" ",$K46=AS$3),$O46,0)</f>
        <v>0</v>
      </c>
      <c r="AT46" s="67">
        <f t="shared" si="96"/>
        <v>0</v>
      </c>
      <c r="AU46" s="67">
        <f t="shared" si="96"/>
        <v>0</v>
      </c>
      <c r="AV46" s="67">
        <f t="shared" si="96"/>
        <v>0</v>
      </c>
      <c r="AW46" s="67">
        <f t="shared" si="96"/>
        <v>0</v>
      </c>
      <c r="AX46" s="67">
        <f t="shared" si="96"/>
        <v>0</v>
      </c>
      <c r="AY46" s="69">
        <f t="shared" si="96"/>
        <v>0</v>
      </c>
      <c r="AZ46" s="70">
        <f t="shared" si="96"/>
        <v>0</v>
      </c>
      <c r="BA46" s="70">
        <f t="shared" si="96"/>
        <v>0</v>
      </c>
      <c r="BB46" s="70">
        <f t="shared" si="96"/>
        <v>0</v>
      </c>
      <c r="BC46" s="71">
        <f t="shared" si="96"/>
        <v>0</v>
      </c>
      <c r="BD46" s="67">
        <f t="shared" si="96"/>
        <v>0</v>
      </c>
      <c r="BE46" s="68">
        <f t="shared" si="96"/>
        <v>0</v>
      </c>
      <c r="BF46" s="66">
        <f t="shared" si="94"/>
        <v>0</v>
      </c>
      <c r="BG46" s="67">
        <f t="shared" si="94"/>
        <v>0</v>
      </c>
      <c r="BH46" s="67">
        <f t="shared" si="94"/>
        <v>0</v>
      </c>
      <c r="BI46" s="67">
        <f t="shared" si="94"/>
        <v>0</v>
      </c>
      <c r="BJ46" s="67">
        <f t="shared" si="94"/>
        <v>11.5</v>
      </c>
      <c r="BK46" s="67">
        <f t="shared" si="94"/>
        <v>0</v>
      </c>
      <c r="BL46" s="67">
        <f t="shared" si="94"/>
        <v>0</v>
      </c>
      <c r="BM46" s="69">
        <f t="shared" si="94"/>
        <v>0</v>
      </c>
      <c r="BN46" s="70">
        <f t="shared" si="94"/>
        <v>0</v>
      </c>
      <c r="BO46" s="70">
        <f t="shared" si="94"/>
        <v>0</v>
      </c>
      <c r="BP46" s="70">
        <f t="shared" si="94"/>
        <v>0</v>
      </c>
      <c r="BQ46" s="71">
        <f t="shared" si="94"/>
        <v>0</v>
      </c>
      <c r="BR46" s="68">
        <f t="shared" si="94"/>
        <v>0</v>
      </c>
      <c r="BS46" s="490">
        <f>IF($B46="LOSS",IF(AND($K46=BS$3,$C46="L"),-$O46,0)+IF(AND($K47=BS$3,$C47="L"),-$O47,0)+IF(AND($K48=BS$3,$C48="L"),-$O48,0),IF(OR(AND($K46=BS$3,OR($C46="W",$C46="1/2W")),AND($K47=BS$3,OR($C47="W",$C47="1/2W")),AND($K48=BS$3,OR($C48="W",$C48="1/2W"))),$S46,0))</f>
        <v>0</v>
      </c>
      <c r="BT46" s="498">
        <f>IF($B46="LOSS",IF(AND($K46=BT$3,$C46="L"),-$O46,0)+IF(AND($K47=BT$3,$C47="L"),-$O47,0)+IF(AND($K47=BT$3,$C48="L"),-$O48,0),IF(OR(AND($K47=BT$3,OR($C46="W",$C46="1/2W")),AND($K47=BT$3,OR($C47="W",$C47="1/2W")),AND($K47=BT$3,OR($C48="W",$C48="1/2W"))),$S46,0))</f>
        <v>0</v>
      </c>
      <c r="BU46" s="488">
        <f>IF($B46="LOSS",IF(AND($K46=BU$3,$C46="L"),-$O46,0)+IF(AND($K47=BU$3,$C47="L"),-$O47,0)+IF(AND($K47=BU$3,$C48="L"),-$O48,0),IF(OR(AND($K47=BU$3,OR($C46="W",$C46="1/2W")),AND($K47=BU$3,OR($C47="W",$C47="1/2W")),AND($K47=BU$3,OR($C48="W",$C48="1/2W"))),$S46,0))</f>
        <v>0</v>
      </c>
      <c r="BV46" s="488">
        <f t="shared" ref="BV46:CE46" si="97">IF($B46="LOSS",IF(AND($K46=BV$3,$C46="L"),-$O46,0)+IF(AND($K47=BV$3,$C47="L"),-$O47,0)+IF(AND($K48=BV$3,$C48="L"),-$O48,0),IF(OR(AND($K46=BV$3,OR($C46="W",$C46="1/2W")),AND($K47=BV$3,OR($C47="W",$C47="1/2W")),AND($K48=BV$3,OR($C48="W",$C48="1/2W"))),$S46,0))</f>
        <v>0</v>
      </c>
      <c r="BW46" s="488">
        <f t="shared" si="97"/>
        <v>0</v>
      </c>
      <c r="BX46" s="488">
        <f t="shared" si="97"/>
        <v>0</v>
      </c>
      <c r="BY46" s="488">
        <f t="shared" si="97"/>
        <v>0</v>
      </c>
      <c r="BZ46" s="488">
        <f t="shared" si="97"/>
        <v>0</v>
      </c>
      <c r="CA46" s="488">
        <f t="shared" si="97"/>
        <v>0</v>
      </c>
      <c r="CB46" s="488">
        <f t="shared" si="97"/>
        <v>0</v>
      </c>
      <c r="CC46" s="488">
        <f t="shared" si="97"/>
        <v>0</v>
      </c>
      <c r="CD46" s="500">
        <f t="shared" si="97"/>
        <v>1.24</v>
      </c>
      <c r="CE46" s="504">
        <f t="shared" si="97"/>
        <v>0</v>
      </c>
      <c r="CF46" s="160">
        <f t="shared" si="4"/>
        <v>0</v>
      </c>
      <c r="CG46" s="161">
        <f t="shared" si="5"/>
        <v>0</v>
      </c>
      <c r="CH46" s="161">
        <f t="shared" si="6"/>
        <v>0</v>
      </c>
      <c r="CI46" s="161">
        <f t="shared" si="7"/>
        <v>0</v>
      </c>
      <c r="CJ46" s="161">
        <f t="shared" si="8"/>
        <v>0</v>
      </c>
      <c r="CK46" s="161">
        <f t="shared" si="9"/>
        <v>0</v>
      </c>
      <c r="CL46" s="161">
        <f t="shared" si="10"/>
        <v>0</v>
      </c>
      <c r="CM46" s="161">
        <f t="shared" si="11"/>
        <v>0</v>
      </c>
      <c r="CN46" s="161">
        <f t="shared" si="12"/>
        <v>0</v>
      </c>
      <c r="CO46" s="161">
        <f t="shared" si="13"/>
        <v>1</v>
      </c>
      <c r="CP46" s="161">
        <f t="shared" si="14"/>
        <v>0</v>
      </c>
      <c r="CQ46" s="161">
        <f t="shared" si="15"/>
        <v>0</v>
      </c>
      <c r="CR46" s="161">
        <f t="shared" si="16"/>
        <v>0</v>
      </c>
      <c r="CS46" s="161">
        <f t="shared" si="17"/>
        <v>0</v>
      </c>
      <c r="CT46" s="75">
        <f t="shared" si="18"/>
        <v>0</v>
      </c>
      <c r="CU46" s="76">
        <f t="shared" si="19"/>
        <v>0</v>
      </c>
      <c r="CV46" s="76">
        <f t="shared" si="20"/>
        <v>0</v>
      </c>
      <c r="CW46" s="76">
        <f t="shared" si="21"/>
        <v>0</v>
      </c>
      <c r="CX46" s="76">
        <f t="shared" si="22"/>
        <v>0</v>
      </c>
      <c r="CY46" s="76">
        <f t="shared" si="23"/>
        <v>0</v>
      </c>
      <c r="CZ46" s="76">
        <f t="shared" si="24"/>
        <v>0</v>
      </c>
      <c r="DA46" s="76">
        <f t="shared" si="25"/>
        <v>0</v>
      </c>
      <c r="DB46" s="76">
        <f t="shared" si="26"/>
        <v>0</v>
      </c>
      <c r="DC46" s="76">
        <f t="shared" si="27"/>
        <v>0</v>
      </c>
      <c r="DD46" s="76">
        <f t="shared" si="28"/>
        <v>0</v>
      </c>
      <c r="DE46" s="77">
        <f t="shared" si="29"/>
        <v>0</v>
      </c>
      <c r="DF46" s="73">
        <f t="shared" si="31"/>
        <v>7</v>
      </c>
      <c r="DG46" s="67">
        <f t="shared" si="32"/>
        <v>9.57</v>
      </c>
      <c r="DH46" s="76">
        <f t="shared" si="33"/>
        <v>0</v>
      </c>
      <c r="DI46" s="67">
        <f t="shared" si="34"/>
        <v>0</v>
      </c>
      <c r="DJ46" s="76">
        <f>IF($D46="","",$D46)</f>
        <v>1</v>
      </c>
      <c r="DK46" s="492">
        <f>IF(AND($B46=" ",$D46&lt;&gt;""),1,0)</f>
        <v>0</v>
      </c>
    </row>
    <row r="47" spans="1:115" ht="14.5" customHeight="1" x14ac:dyDescent="0.2">
      <c r="A47" s="389"/>
      <c r="B47" s="456"/>
      <c r="C47" s="53" t="s">
        <v>54</v>
      </c>
      <c r="D47" s="374"/>
      <c r="E47" s="386"/>
      <c r="F47" s="377"/>
      <c r="G47" s="508"/>
      <c r="H47" s="476"/>
      <c r="I47" s="182" t="s">
        <v>52</v>
      </c>
      <c r="J47" s="56">
        <f>IF(OR(I46="TO",I46="TU",I46="TO1",I46="TU1",I46="TO2",I46="TU2"),J46,IF(OR(I46="AH1",I46="AH2"),IF(OR(I47="AH1",I47="AH2"),-J46,IF(OR(I47="EH1",I47="EH2"),-J46+0.5,"")),IF(OR(I46="EH1",I46="EH2"),IF(OR(I47="AH1",I47="AH2"),-J46+0.5,IF(OR(I47="EH1",I47="EH2"),-J46+1,"")),IF(AND(OR(I46="DNB1",I46="DNB2"),OR(I47="AH1",I47="AH2")),0,IF(AND(I46="Not ScoreBoth",OR(I47="TO1",I47="TO2")),0.5,"")))))</f>
        <v>2</v>
      </c>
      <c r="K47" s="57" t="s">
        <v>47</v>
      </c>
      <c r="L47" s="164">
        <v>2.27</v>
      </c>
      <c r="M47" s="165">
        <v>10.029999999999999</v>
      </c>
      <c r="N47" s="406"/>
      <c r="O47" s="60">
        <f>IF(OR(AE46="",AE47=""),"",ROUND(IF(L48&gt;0,IF(M47&gt;0,M47,IF(M46&gt;0,IF(N46=TRUE,ROUND((M46*AE47)/AE46,0),(M46*AE47)/AE46),IF(M47&gt;0,ROUND(M47,IF(N46=0,2,IF(N46=0.1,1,0))),IF(M48&gt;0,ROUND(O48*AE47/AE48,IF(N46=0,2,IF(N46=0.1,1,0))),0)))),IF(M47&gt;0,M47,ROUND((M46*AE47)/AE46,IF(N46=0,2,IF(N46=0.1,1,0))))),2))</f>
        <v>10.029999999999999</v>
      </c>
      <c r="P47" s="61">
        <f>IF(OR(L47="",O47=""),"",IF($C47="1/2W",O47/2+O47/2*L47,IF($C47="1/2L",O47/2,IF(I47="Lay",((O47*(L47/(L47-1)))-O47)*(1-_xlfn.XLOOKUP(K47,'Fevereiro 2023 - Valor Real'!A3:A15,'Fevereiro 2023 - Valor Real'!C3:C15,0))+O47,(O47*L47-O47)*(1-_xlfn.XLOOKUP(K47,'Fevereiro 2023 - Valor Real'!A3:A15,'Fevereiro 2023 - Valor Real'!C3:C15,0))+O47))))</f>
        <v>22.7681</v>
      </c>
      <c r="Q47" s="166">
        <f>IF(K47="","",IF(_xlfn.XLOOKUP(K47,K$10:K38,$DJ$10:DJ38,0,,-1)=DJ47,_xlfn.XLOOKUP(K47,K$10:K38,Q$10:Q38,1,,-1)+1,1))</f>
        <v>9</v>
      </c>
      <c r="R47" s="167">
        <f>IF(K47="","",_xlfn.XLOOKUP(K47,K$10:K38,R$10:R38,0,,-1)+IF($C47=" ",1,0))</f>
        <v>0</v>
      </c>
      <c r="S47" s="403"/>
      <c r="T47" s="380"/>
      <c r="U47" s="380"/>
      <c r="V47" s="481"/>
      <c r="W47" s="380"/>
      <c r="X47" s="452"/>
      <c r="Y47" s="383"/>
      <c r="Z47" s="384"/>
      <c r="AA47" s="384"/>
      <c r="AB47" s="384"/>
      <c r="AC47" s="384"/>
      <c r="AD47" s="64"/>
      <c r="AE47" s="65">
        <f>IF(L47="","",IF(L48&gt;0,(SUM(((L46-1)*(1-_xlfn.XLOOKUP(K46,'Fevereiro 2023 - Valor Real'!A3:A15,'Fevereiro 2023 - Valor Real'!C3:C15,0))+1),((L47-1)*(1-_xlfn.XLOOKUP(K47,'Fevereiro 2023 - Valor Real'!A3:A15,'Fevereiro 2023 - Valor Real'!C3:C15,0))+1),((L48-1)*(1-_xlfn.XLOOKUP(K48,'Fevereiro 2023 - Valor Real'!A3:A15,'Fevereiro 2023 - Valor Real'!C3:C15,0))+1))/((L47-1)*(1-_xlfn.XLOOKUP(K47,'Fevereiro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Real'!C3:C15,0))+1))/((L46-1)*(1-_xlfn.XLOOKUP(K46,'Fevereiro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Real'!C3:C15,0))+1))/((L47-1)*(1-_xlfn.XLOOKUP(K47,'Fevereiro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Real'!C3:C15,0))+1))/((L48-1)*(1-_xlfn.XLOOKUP(K48,'Fevereiro 2023 - Valor Real'!A3:A15,'Fevereiro 2023 - Valor Real'!C3:C15,0))+1)),IF(I47="Lay",IF(I46="Lay",((L46/(L46-1)-1)*(1-_xlfn.XLOOKUP(K46,'Fevereiro 2023 - Valor Real'!A3:A15,'Fevereiro 2023 - Valor Real'!C3:C15,0))+1)/(((L46/(L46-1)-1)*(1-_xlfn.XLOOKUP(K46,'Fevereiro 2023 - Valor Real'!A3:A15,'Fevereiro 2023 - Valor Real'!C3:C15,0))+1)+((L47/(L47-1)-1)*(1-_xlfn.XLOOKUP(K47,'Fevereiro 2023 - Valor Real'!A3:A15,'Fevereiro 2023 - Valor Real'!C3:C15,0))+1)),((L46-1)*(1-_xlfn.XLOOKUP(K46,'Fevereiro 2023 - Valor Real'!A3:A15,'Fevereiro 2023 - Valor Real'!C3:C15,0))+1)/(((L46-1)*(1-_xlfn.XLOOKUP(K46,'Fevereiro 2023 - Valor Real'!A3:A15,'Fevereiro 2023 - Valor Real'!C3:C15,0))+1)+((L47/(L47-1)-1)*(1-_xlfn.XLOOKUP(K47,'Fevereiro 2023 - Valor Real'!A3:A15,'Fevereiro 2023 - Valor Real'!C3:C15,0))+1))),IF(I46="Lay",((L46/(L46-1)-1)*(1-_xlfn.XLOOKUP(K46,'Fevereiro 2023 - Valor Real'!A3:A15,'Fevereiro 2023 - Valor Real'!C3:C15,0))+1)/((((L46/(L46-1)-1)*(1-_xlfn.XLOOKUP(K46,'Fevereiro 2023 - Valor Real'!A3:A15,'Fevereiro 2023 - Valor Real'!C3:C15,0))+1))+((L47-1)*(1-_xlfn.XLOOKUP(K47,'Fevereiro 2023 - Valor Real'!A3:A15,'Fevereiro 2023 - Valor Real'!C3:C15,0))+1)),((L46-1)*(1-_xlfn.XLOOKUP(K46,'Fevereiro 2023 - Valor Real'!A3:A15,'Fevereiro 2023 - Valor Real'!C3:C15,0))+1)/(((L46-1)*(1-_xlfn.XLOOKUP(K46,'Fevereiro 2023 - Valor Real'!A3:A15,'Fevereiro 2023 - Valor Real'!C3:C15,0))+1)+((L47-1)*(1-_xlfn.XLOOKUP(K47,'Fevereiro 2023 - Valor Real'!A3:A15,'Fevereiro 2023 - Valor Real'!C3:C15,0))+1))))))</f>
        <v>0.46588235294117647</v>
      </c>
      <c r="AF47" s="66">
        <f t="shared" si="92"/>
        <v>0</v>
      </c>
      <c r="AG47" s="67">
        <f t="shared" si="92"/>
        <v>0</v>
      </c>
      <c r="AH47" s="67">
        <f t="shared" si="92"/>
        <v>0</v>
      </c>
      <c r="AI47" s="67">
        <f t="shared" si="92"/>
        <v>0</v>
      </c>
      <c r="AJ47" s="67">
        <f t="shared" si="92"/>
        <v>0</v>
      </c>
      <c r="AK47" s="67">
        <f t="shared" si="92"/>
        <v>0</v>
      </c>
      <c r="AL47" s="67">
        <f t="shared" si="92"/>
        <v>0</v>
      </c>
      <c r="AM47" s="67">
        <f t="shared" si="92"/>
        <v>0</v>
      </c>
      <c r="AN47" s="67">
        <f t="shared" si="92"/>
        <v>0</v>
      </c>
      <c r="AO47" s="67">
        <f t="shared" si="92"/>
        <v>0</v>
      </c>
      <c r="AP47" s="67">
        <f t="shared" si="92"/>
        <v>0</v>
      </c>
      <c r="AQ47" s="67">
        <f t="shared" si="92"/>
        <v>12.74</v>
      </c>
      <c r="AR47" s="68">
        <f t="shared" si="92"/>
        <v>0</v>
      </c>
      <c r="AS47" s="66">
        <f>IF(AND($B46=" ",$K47=AS$3),$O47,0)</f>
        <v>0</v>
      </c>
      <c r="AT47" s="67">
        <f>IF(AND($B46=" ",K47=AT$3),$O47,0)</f>
        <v>0</v>
      </c>
      <c r="AU47" s="67">
        <f t="shared" ref="AU47:BE47" si="98">IF(AND($B46=" ",$K47=AU$3),$O47,0)</f>
        <v>0</v>
      </c>
      <c r="AV47" s="67">
        <f t="shared" si="98"/>
        <v>0</v>
      </c>
      <c r="AW47" s="67">
        <f t="shared" si="98"/>
        <v>0</v>
      </c>
      <c r="AX47" s="67">
        <f t="shared" si="98"/>
        <v>0</v>
      </c>
      <c r="AY47" s="69">
        <f t="shared" si="98"/>
        <v>0</v>
      </c>
      <c r="AZ47" s="70">
        <f t="shared" si="98"/>
        <v>0</v>
      </c>
      <c r="BA47" s="70">
        <f t="shared" si="98"/>
        <v>0</v>
      </c>
      <c r="BB47" s="70">
        <f t="shared" si="98"/>
        <v>0</v>
      </c>
      <c r="BC47" s="71">
        <f t="shared" si="98"/>
        <v>0</v>
      </c>
      <c r="BD47" s="67">
        <f t="shared" si="98"/>
        <v>0</v>
      </c>
      <c r="BE47" s="68">
        <f t="shared" si="98"/>
        <v>0</v>
      </c>
      <c r="BF47" s="66">
        <f t="shared" si="94"/>
        <v>0</v>
      </c>
      <c r="BG47" s="168">
        <f t="shared" si="94"/>
        <v>0</v>
      </c>
      <c r="BH47" s="67">
        <f t="shared" si="94"/>
        <v>0</v>
      </c>
      <c r="BI47" s="67">
        <f t="shared" si="94"/>
        <v>0</v>
      </c>
      <c r="BJ47" s="67">
        <f t="shared" si="94"/>
        <v>0</v>
      </c>
      <c r="BK47" s="67">
        <f t="shared" si="94"/>
        <v>0</v>
      </c>
      <c r="BL47" s="67">
        <f t="shared" si="94"/>
        <v>0</v>
      </c>
      <c r="BM47" s="69">
        <f t="shared" si="94"/>
        <v>0</v>
      </c>
      <c r="BN47" s="70">
        <f t="shared" si="94"/>
        <v>0</v>
      </c>
      <c r="BO47" s="70">
        <f t="shared" si="94"/>
        <v>0</v>
      </c>
      <c r="BP47" s="70">
        <f t="shared" si="94"/>
        <v>0</v>
      </c>
      <c r="BQ47" s="71">
        <f t="shared" si="94"/>
        <v>10.029999999999999</v>
      </c>
      <c r="BR47" s="68">
        <f t="shared" si="94"/>
        <v>0</v>
      </c>
      <c r="BS47" s="491"/>
      <c r="BT47" s="489"/>
      <c r="BU47" s="392"/>
      <c r="BV47" s="489"/>
      <c r="BW47" s="392"/>
      <c r="BX47" s="392"/>
      <c r="BY47" s="392"/>
      <c r="BZ47" s="489"/>
      <c r="CA47" s="392"/>
      <c r="CB47" s="392"/>
      <c r="CC47" s="392"/>
      <c r="CD47" s="401"/>
      <c r="CE47" s="409"/>
      <c r="CF47" s="169">
        <f t="shared" si="4"/>
        <v>0</v>
      </c>
      <c r="CG47" s="170">
        <f t="shared" si="5"/>
        <v>0</v>
      </c>
      <c r="CH47" s="170">
        <f t="shared" si="6"/>
        <v>0</v>
      </c>
      <c r="CI47" s="170">
        <f t="shared" si="7"/>
        <v>0</v>
      </c>
      <c r="CJ47" s="170">
        <f t="shared" si="8"/>
        <v>0</v>
      </c>
      <c r="CK47" s="170">
        <f t="shared" si="9"/>
        <v>0</v>
      </c>
      <c r="CL47" s="170">
        <f t="shared" si="10"/>
        <v>0</v>
      </c>
      <c r="CM47" s="170">
        <f t="shared" si="11"/>
        <v>0</v>
      </c>
      <c r="CN47" s="170">
        <f t="shared" si="12"/>
        <v>0</v>
      </c>
      <c r="CO47" s="170">
        <f t="shared" si="13"/>
        <v>0</v>
      </c>
      <c r="CP47" s="170">
        <f t="shared" si="14"/>
        <v>0</v>
      </c>
      <c r="CQ47" s="170">
        <f t="shared" si="15"/>
        <v>0</v>
      </c>
      <c r="CR47" s="170">
        <f t="shared" si="16"/>
        <v>0</v>
      </c>
      <c r="CS47" s="170">
        <f t="shared" si="17"/>
        <v>0</v>
      </c>
      <c r="CT47" s="75">
        <f t="shared" si="18"/>
        <v>0</v>
      </c>
      <c r="CU47" s="76">
        <f t="shared" si="19"/>
        <v>0</v>
      </c>
      <c r="CV47" s="76">
        <f t="shared" si="20"/>
        <v>0</v>
      </c>
      <c r="CW47" s="76">
        <f t="shared" si="21"/>
        <v>0</v>
      </c>
      <c r="CX47" s="76">
        <f t="shared" si="22"/>
        <v>0</v>
      </c>
      <c r="CY47" s="76">
        <f t="shared" si="23"/>
        <v>0</v>
      </c>
      <c r="CZ47" s="76">
        <f t="shared" si="24"/>
        <v>0</v>
      </c>
      <c r="DA47" s="76">
        <f t="shared" si="25"/>
        <v>0</v>
      </c>
      <c r="DB47" s="76">
        <f t="shared" si="26"/>
        <v>1</v>
      </c>
      <c r="DC47" s="76">
        <f t="shared" si="27"/>
        <v>0</v>
      </c>
      <c r="DD47" s="76">
        <f t="shared" si="28"/>
        <v>0</v>
      </c>
      <c r="DE47" s="77">
        <f t="shared" si="29"/>
        <v>0</v>
      </c>
      <c r="DF47" s="73">
        <f t="shared" si="31"/>
        <v>7</v>
      </c>
      <c r="DG47" s="67">
        <f t="shared" si="32"/>
        <v>9.57</v>
      </c>
      <c r="DH47" s="76">
        <f t="shared" si="33"/>
        <v>0</v>
      </c>
      <c r="DI47" s="67">
        <f t="shared" si="34"/>
        <v>0</v>
      </c>
      <c r="DJ47" s="76">
        <f>IF($D46="","",$D46)</f>
        <v>1</v>
      </c>
      <c r="DK47" s="493"/>
    </row>
    <row r="48" spans="1:115" ht="14.5" customHeight="1" x14ac:dyDescent="0.2">
      <c r="A48" s="390"/>
      <c r="B48" s="457"/>
      <c r="C48" s="79" t="s">
        <v>53</v>
      </c>
      <c r="D48" s="375"/>
      <c r="E48" s="387"/>
      <c r="F48" s="378"/>
      <c r="G48" s="508"/>
      <c r="H48" s="477"/>
      <c r="I48" s="171"/>
      <c r="J48" s="172"/>
      <c r="K48" s="81"/>
      <c r="L48" s="173"/>
      <c r="M48" s="174"/>
      <c r="N48" s="407"/>
      <c r="O48" s="86" t="str">
        <f>IF(OR(AE46="",AE47=""),"",IF(L48&gt;0,ROUND(IF(M48&gt;0,M48,IF(M46&gt;0,ROUND((M46*AE48)/AE46,IF(N46=0,2,IF(N46=0.1,1,0))),IF(M47&gt;0,ROUND((M47*AE48)/AE47,IF(N46=0,2,IF(N46=0.1,1,0))),IF(M48&gt;0,M48,0)))),2),""))</f>
        <v/>
      </c>
      <c r="P48" s="87" t="str">
        <f>IF(I47="Lay",O47*(L47/(L47-1))-O47,IF(I46="Lay",O46*(L46/(L46-1))-O46,IF(OR(L48="",O48=""),"",IF($C48="1/2W",O48/2+O48/2*L48,IF($C48="1/2L",O48/2,(O48*L48-O48)*(1-_xlfn.XLOOKUP(K48,'Fevereiro 2023 - Valor Real'!A3:A15,'Fevereiro 2023 - Valor Real'!C3:C15,0))+O48)))))</f>
        <v/>
      </c>
      <c r="Q48" s="54" t="str">
        <f>IF(K48="","",IF(_xlfn.XLOOKUP(K48,K$11:K38,$DJ$11:DJ38,0,,-1)=DJ48,_xlfn.XLOOKUP(K48,K$11:K38,Q$11:Q38,1,,-1)+1,1))</f>
        <v/>
      </c>
      <c r="R48" s="87" t="str">
        <f>IF(K48="","",_xlfn.XLOOKUP(K48,K$11:K38,R$11:R38,0,,-1)+IF($C48=" ",1,0))</f>
        <v/>
      </c>
      <c r="S48" s="404"/>
      <c r="T48" s="378"/>
      <c r="U48" s="378"/>
      <c r="V48" s="404"/>
      <c r="W48" s="378"/>
      <c r="X48" s="453"/>
      <c r="Y48" s="383"/>
      <c r="Z48" s="384"/>
      <c r="AA48" s="384"/>
      <c r="AB48" s="384"/>
      <c r="AC48" s="384"/>
      <c r="AD48" s="90"/>
      <c r="AE48" s="91" t="str">
        <f>IF(L48="","",(SUM(((L46-1)*(1-_xlfn.XLOOKUP(K46,'Fevereiro 2023 - Valor Real'!A3:A15,'Fevereiro 2023 - Valor Real'!C3:C15,0))+1),((L47-1)*(1-_xlfn.XLOOKUP(K47,'Fevereiro 2023 - Valor Real'!A3:A15,'Fevereiro 2023 - Valor Real'!C3:C15,0))+1),((L48-1)*(1-_xlfn.XLOOKUP(K48,'Fevereiro 2023 - Valor Real'!A3:A15,'Fevereiro 2023 - Valor Real'!C3:C15,0))+1))/((L48-1)*(1-_xlfn.XLOOKUP(K48,'Fevereiro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Real'!C3:C15,0))+1))/((L46-1)*(1-_xlfn.XLOOKUP(K46,'Fevereiro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Real'!C3:C15,0))+1))/((L47-1)*(1-_xlfn.XLOOKUP(K47,'Fevereiro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Real'!C3:C15,0))+1))/((L48-1)*(1-_xlfn.XLOOKUP(K48,'Fevereiro 2023 - Valor Real'!A3:A15,'Fevereiro 2023 - Valor Real'!C3:C15,0))+1)))</f>
        <v/>
      </c>
      <c r="AF48" s="66">
        <f t="shared" si="92"/>
        <v>0</v>
      </c>
      <c r="AG48" s="67">
        <f t="shared" si="92"/>
        <v>0</v>
      </c>
      <c r="AH48" s="67">
        <f t="shared" si="92"/>
        <v>0</v>
      </c>
      <c r="AI48" s="67">
        <f t="shared" si="92"/>
        <v>0</v>
      </c>
      <c r="AJ48" s="67">
        <f t="shared" si="92"/>
        <v>0</v>
      </c>
      <c r="AK48" s="67">
        <f t="shared" si="92"/>
        <v>0</v>
      </c>
      <c r="AL48" s="67">
        <f t="shared" si="92"/>
        <v>0</v>
      </c>
      <c r="AM48" s="67">
        <f t="shared" si="92"/>
        <v>0</v>
      </c>
      <c r="AN48" s="67">
        <f t="shared" si="92"/>
        <v>0</v>
      </c>
      <c r="AO48" s="67">
        <f t="shared" si="92"/>
        <v>0</v>
      </c>
      <c r="AP48" s="67">
        <f t="shared" si="92"/>
        <v>0</v>
      </c>
      <c r="AQ48" s="67">
        <f t="shared" si="92"/>
        <v>0</v>
      </c>
      <c r="AR48" s="68">
        <f t="shared" si="92"/>
        <v>0</v>
      </c>
      <c r="AS48" s="66">
        <f>IF(AND($B46=" ",$K48=AS$3),$O48,0)</f>
        <v>0</v>
      </c>
      <c r="AT48" s="67">
        <f>IF(AND($B46=" ",K48=AT$3),$O48,0)</f>
        <v>0</v>
      </c>
      <c r="AU48" s="67">
        <f t="shared" ref="AU48:BE48" si="99">IF(AND($B46=" ",$K48=AU$3),$O48,0)</f>
        <v>0</v>
      </c>
      <c r="AV48" s="67">
        <f t="shared" si="99"/>
        <v>0</v>
      </c>
      <c r="AW48" s="67">
        <f t="shared" si="99"/>
        <v>0</v>
      </c>
      <c r="AX48" s="67">
        <f t="shared" si="99"/>
        <v>0</v>
      </c>
      <c r="AY48" s="69">
        <f t="shared" si="99"/>
        <v>0</v>
      </c>
      <c r="AZ48" s="70">
        <f t="shared" si="99"/>
        <v>0</v>
      </c>
      <c r="BA48" s="70">
        <f t="shared" si="99"/>
        <v>0</v>
      </c>
      <c r="BB48" s="70">
        <f t="shared" si="99"/>
        <v>0</v>
      </c>
      <c r="BC48" s="71">
        <f t="shared" si="99"/>
        <v>0</v>
      </c>
      <c r="BD48" s="67">
        <f t="shared" si="99"/>
        <v>0</v>
      </c>
      <c r="BE48" s="68">
        <f t="shared" si="99"/>
        <v>0</v>
      </c>
      <c r="BF48" s="66">
        <f t="shared" si="94"/>
        <v>0</v>
      </c>
      <c r="BG48" s="168">
        <f t="shared" si="94"/>
        <v>0</v>
      </c>
      <c r="BH48" s="67">
        <f t="shared" si="94"/>
        <v>0</v>
      </c>
      <c r="BI48" s="67">
        <f t="shared" si="94"/>
        <v>0</v>
      </c>
      <c r="BJ48" s="67">
        <f t="shared" si="94"/>
        <v>0</v>
      </c>
      <c r="BK48" s="67">
        <f t="shared" si="94"/>
        <v>0</v>
      </c>
      <c r="BL48" s="67">
        <f t="shared" si="94"/>
        <v>0</v>
      </c>
      <c r="BM48" s="69">
        <f t="shared" si="94"/>
        <v>0</v>
      </c>
      <c r="BN48" s="70">
        <f t="shared" si="94"/>
        <v>0</v>
      </c>
      <c r="BO48" s="70">
        <f t="shared" si="94"/>
        <v>0</v>
      </c>
      <c r="BP48" s="70">
        <f t="shared" si="94"/>
        <v>0</v>
      </c>
      <c r="BQ48" s="71">
        <f t="shared" si="94"/>
        <v>0</v>
      </c>
      <c r="BR48" s="68">
        <f t="shared" si="94"/>
        <v>0</v>
      </c>
      <c r="BS48" s="491"/>
      <c r="BT48" s="489"/>
      <c r="BU48" s="392"/>
      <c r="BV48" s="489"/>
      <c r="BW48" s="392"/>
      <c r="BX48" s="392"/>
      <c r="BY48" s="392"/>
      <c r="BZ48" s="489"/>
      <c r="CA48" s="392"/>
      <c r="CB48" s="392"/>
      <c r="CC48" s="392"/>
      <c r="CD48" s="401"/>
      <c r="CE48" s="409"/>
      <c r="CF48" s="169">
        <f t="shared" si="4"/>
        <v>0</v>
      </c>
      <c r="CG48" s="170">
        <f t="shared" si="5"/>
        <v>0</v>
      </c>
      <c r="CH48" s="170">
        <f t="shared" si="6"/>
        <v>0</v>
      </c>
      <c r="CI48" s="170">
        <f t="shared" si="7"/>
        <v>0</v>
      </c>
      <c r="CJ48" s="170">
        <f t="shared" si="8"/>
        <v>0</v>
      </c>
      <c r="CK48" s="170">
        <f t="shared" si="9"/>
        <v>0</v>
      </c>
      <c r="CL48" s="170">
        <f t="shared" si="10"/>
        <v>0</v>
      </c>
      <c r="CM48" s="170">
        <f t="shared" si="11"/>
        <v>0</v>
      </c>
      <c r="CN48" s="170">
        <f t="shared" si="12"/>
        <v>0</v>
      </c>
      <c r="CO48" s="170">
        <f t="shared" si="13"/>
        <v>0</v>
      </c>
      <c r="CP48" s="170">
        <f t="shared" si="14"/>
        <v>0</v>
      </c>
      <c r="CQ48" s="170">
        <f t="shared" si="15"/>
        <v>0</v>
      </c>
      <c r="CR48" s="170">
        <f t="shared" si="16"/>
        <v>0</v>
      </c>
      <c r="CS48" s="170">
        <f t="shared" si="17"/>
        <v>0</v>
      </c>
      <c r="CT48" s="75">
        <f t="shared" si="18"/>
        <v>0</v>
      </c>
      <c r="CU48" s="76">
        <f t="shared" si="19"/>
        <v>0</v>
      </c>
      <c r="CV48" s="76">
        <f t="shared" si="20"/>
        <v>0</v>
      </c>
      <c r="CW48" s="76">
        <f t="shared" si="21"/>
        <v>0</v>
      </c>
      <c r="CX48" s="76">
        <f t="shared" si="22"/>
        <v>0</v>
      </c>
      <c r="CY48" s="76">
        <f t="shared" si="23"/>
        <v>0</v>
      </c>
      <c r="CZ48" s="76">
        <f t="shared" si="24"/>
        <v>0</v>
      </c>
      <c r="DA48" s="76">
        <f t="shared" si="25"/>
        <v>0</v>
      </c>
      <c r="DB48" s="76">
        <f t="shared" si="26"/>
        <v>0</v>
      </c>
      <c r="DC48" s="76">
        <f t="shared" si="27"/>
        <v>0</v>
      </c>
      <c r="DD48" s="76">
        <f t="shared" si="28"/>
        <v>0</v>
      </c>
      <c r="DE48" s="77">
        <f t="shared" si="29"/>
        <v>0</v>
      </c>
      <c r="DF48" s="73">
        <f t="shared" si="31"/>
        <v>7</v>
      </c>
      <c r="DG48" s="67">
        <f t="shared" si="32"/>
        <v>9.57</v>
      </c>
      <c r="DH48" s="76">
        <f t="shared" si="33"/>
        <v>0</v>
      </c>
      <c r="DI48" s="67">
        <f t="shared" si="34"/>
        <v>0</v>
      </c>
      <c r="DJ48" s="76">
        <f>IF($D46="","",$D46)</f>
        <v>1</v>
      </c>
      <c r="DK48" s="493"/>
    </row>
    <row r="49" spans="1:115" ht="14.5" customHeight="1" x14ac:dyDescent="0.2">
      <c r="A49" s="459">
        <f>$A46+1</f>
        <v>16</v>
      </c>
      <c r="B49" s="507" t="str">
        <f>IF(OR(C49="W",C50="W",C51="W",C49="1/2W",C50="1/2W",C51="1/2W",C49="1/2L",C50="1/2L",C51="1/2L"),"OK",IF(OR(C49="L",C50="L",C51="L"),"LOSS",IF(OR(C49="X",C50="X",C51="X"),"Anulado"," ")))</f>
        <v>OK</v>
      </c>
      <c r="C49" s="93" t="s">
        <v>54</v>
      </c>
      <c r="D49" s="469">
        <f>IF(G49="","",$D46)</f>
        <v>1</v>
      </c>
      <c r="E49" s="485" t="str">
        <f>IF(G49=""," ","– "&amp;COUNTIF(D$4:D51,$D49))</f>
        <v>– 16</v>
      </c>
      <c r="F49" s="509" t="str">
        <f ca="1">IF(G49="","",IF(OR(AND($C49&lt;&gt;" ",$C50=" "),AND($C50&lt;&gt;" ",$C49=" "),AND(L51&gt;0,OR(AND($C51&lt;&gt;" ",OR($C49=" ",$C50=" ")),AND($C51=" ",OR($C49&lt;&gt;" ",$C50&lt;&gt;" "))))),IF(SUM(F$6:F44)=0,1,LARGE(F$6:F44,1)+1),IF(MONTH(G49)=MONTH(TODAY()),IF(AND(DAY(G49)&lt;DAY(TODAY()),$B49=" "),IF(SUM(F$6:F44)=0,1,LARGE(F$6:F44,1)+1),IF($B49=" ",IF(AND(DAY(G49)=DAY(TODAY()),HOUR(G49)&lt;=HOUR(NOW())+1),IF(AND(HOUR(G49)+2&lt;=HOUR(NOW()),DAY(G49)&lt;=DAY(TODAY()),MINUTE(G49)&lt;=MINUTE(NOW())),IF(SUM(F$6:F44)=0,1,LARGE(F$6:F44,1)+1),IF(OR(MINUTE(G49)&lt;=MINUTE(NOW()),HOUR(G49)&lt;=HOUR(NOW())),"!!!","")),""),"")),"")))</f>
        <v/>
      </c>
      <c r="G49" s="482">
        <v>44989.541666666664</v>
      </c>
      <c r="H49" s="475" t="s">
        <v>69</v>
      </c>
      <c r="I49" s="94" t="s">
        <v>51</v>
      </c>
      <c r="J49" s="95">
        <v>1</v>
      </c>
      <c r="K49" s="96" t="s">
        <v>40</v>
      </c>
      <c r="L49" s="97">
        <v>2.17</v>
      </c>
      <c r="M49" s="98">
        <v>9.6</v>
      </c>
      <c r="N49" s="478">
        <v>0</v>
      </c>
      <c r="O49" s="99">
        <f>IF(OR(AE49="",AE50=""),"",ROUND(IF(L51&gt;0,IF(M49&gt;0,M49,IF(M50&gt;0,ROUND((M50*AE49)/AE50,IF(N49=0,2,IF(N49=0.1,1,0))),ROUND((M51*AE49)/AE51,IF(N49=0,2,IF(N49=0.1,1,0))))),IF(M49&gt;0,M49,ROUND((M50*AE49)/AE50,IF(N49=0,2,IF(N49=0.1,1,0))))),2))</f>
        <v>9.6</v>
      </c>
      <c r="P49" s="100">
        <f>IF(OR(L49="",O49=""),"",IF($C49="1/2W",O49/2+O49/2*L49,IF($C49="1/2L",O49/2,IF(I49="Lay",(O49*(L49/(L49-1))-O49)*(1-_xlfn.XLOOKUP(K49,'Fevereiro 2023 - Valor Real'!A3:A15,'Fevereiro 2023 - Valor Real'!C3:C15,0))+O49,(O49*L49-O49)*(1-_xlfn.XLOOKUP(K49,'Fevereiro 2023 - Valor Real'!A3:A15,'Fevereiro 2023 - Valor Real'!C3:C15,0))+O49))))</f>
        <v>20.831999999999997</v>
      </c>
      <c r="Q49" s="101">
        <f>IF(K49="","",IF(_xlfn.XLOOKUP(K49,K$6:K44,$DJ$6:DJ44,0,,-1)=DJ49,_xlfn.XLOOKUP(K49,K$6:K44,Q$6:Q44,1,,-1)+1,1))</f>
        <v>12</v>
      </c>
      <c r="R49" s="102">
        <f>IF(K49="","",_xlfn.XLOOKUP(K49,K$6:K44,R$6:R44,0,,-1)+IF($C49=" ",1,0))</f>
        <v>0</v>
      </c>
      <c r="S49" s="474">
        <f>IF($B49="Anulado",0,ROUND(IF(OR($B49="LOSS",$B49="OK"),IF(OR($C49="W",$C49="1/2W",$C49="1/2L"),P49-O49,IF($C49="L",-O49,0))+IF(OR($C50="W",$C50="1/2W",$C50="1/2L"),P50-O50,IF($C50="L",-O50,0))+IF(OR($C51="W",$C51="1/2W",$C51="1/2L"),P51-O51,IF($C51="L",-O51,0)),IF(AND(OR($C49="W",$C49="1/2W",$C49="1/2L"),C50="W"),P49+P50-SUM(O49:O51)+_xlfn.XLOOKUP("X",C49:C51,O49:O51,0),IF(AND(C49=TRUE,C51="W"),P49+P51-SUM(O49:O51),IF(AND(C50="W",C51="W"),P50+P51-SUM(O49:O51)+_xlfn.XLOOKUP("X",C49:C51,O49:O51,0),IF(L51&gt;0,IF(OR($C49="W",$C49="1/2W",$C49="1/2L"),P49-SUM(O49:O51)+_xlfn.XLOOKUP("X",C49:C51,O49:O51,0),IF(OR($C49="W",$C49="1/2W",$C49="1/2L"),P50-SUM(O49:O51)+_xlfn.XLOOKUP("X",C49:C51,O49:O51,0),IF(OR($C49="W",$C49="1/2W",$C49="1/2L"),P51-SUM(O49:O51)+_xlfn.XLOOKUP("X",C49:C51,O49:O51,0),IF(SUM(P49:P51)/3-SUM(O49:O51)+_xlfn.XLOOKUP("X",C49:C51,O49:O51,0)&gt;0,SUM(P49:P51)/3-SUM(O49:O51)+_xlfn.XLOOKUP("X",C49:C51,O49:O51,0),LARGE(P49:P51,1)-SUM(O49:O51))))),IF(OR($C49="W",$C49="1/2W",$C49="1/2L"),P49-SUM(O49:O50)+_xlfn.XLOOKUP("X",C49:C51,O49:O51,0),IF(OR($C49="W",$C49="1/2W",$C49="1/2L"),P50-SUM(O49:O50)+_xlfn.XLOOKUP("X",C49:C51,O49:O51,0),SUM(P49:P50)/2-SUM(O49:O50)+_xlfn.XLOOKUP("X",C49:C51,O49:O51,0)))))))),2))</f>
        <v>1.08</v>
      </c>
      <c r="T49" s="458">
        <f>IF(S49=0,0,S49/SUM(O49:O51))</f>
        <v>5.4683544303797474E-2</v>
      </c>
      <c r="U49" s="470">
        <f>IF($D49=$D46,IF(OR($B49="LOSS",$B49="OK",$B49="Anulada"),S49,0)+U46,IF(OR($B49="LOSS",$B49="OK",$B49="Anulada"),S49,0))</f>
        <v>27.32</v>
      </c>
      <c r="V49" s="470">
        <f>IF($D49="",0,IF($D49=$D46,IF($B49=" ",IF(I51="",IF(OR(AND(I49="DNB1",I50="DNB2"),AND(OR(I49="DNB1",I49="DNB2"),J50=0),AND(OR(I50="DNB1",I50="DNB2"),J49=0),AND(I49="DNB2",I50="DNB1"),AND(IF(J49=0,(J49+1)/ROUND(J49+1,0),J49/ROUND(J49,0))=1,IF(J50=0,(J50+1)/ROUND(IF(J50="",0,J50)+1,0),IF(J50="",0,J50)/ROUND(IF(J50="",1,J50),0))=1,OR(J49&lt;&gt;""),J50&lt;&gt;"")),0,IF(S49&lt;0,IF(I51="",SMALL(P49:P50,1)-SUM(O49:O50),0),SMALL(P49:P50,1)-SUM(O49:O50))),IF(S49&lt;0,IF(I51="",SMALL(P49:P51,1)-SUM(O49:O51),0),LARGE(P49:P51,1)-SUM(O49:O51))),S49)+V46,IF(I51="",IF(OR(AND(I49="DNB1",I50="DNB2"),AND(OR(I49="DNB1",I49="DNB2"),J50=0),AND(OR(I50="DNB1",I50="DNB2"),J49=0),AND(I49="DNB2",I50="DNB1"),AND(IF(J49=0,(J49+1)/ROUND(J49+1,0),J49/ROUND(J49,0))=1,IF(J50=0,(IF(J50="",0,J50)+1)/ROUND(IF(J50="",0,J50)+1,0),IF(J50="",0,J50)/ROUND(IF(J50="",0,J50)+1,0))=1,OR(J49&lt;&gt;""),J50&lt;&gt;"")),0,IF(S49&lt;0,IF(I51="",SMALL(P49:P50,1)-SUM(O49:O50),0),SMALL(P49:P51,1)-SUM(O49:O51))),IF(S49&lt;0,IF(I51="",SMALL(P49:P51,1)-SUM(O49:O51),0),LARGE(P49:P51,1)-SUM(O49:O51)))))</f>
        <v>27.32</v>
      </c>
      <c r="W49" s="470">
        <f>IF($D49=$D46,IF(S49&lt;0,IF(I51="",S49,0),S49)+W46,S49)</f>
        <v>27.32</v>
      </c>
      <c r="X49" s="480" t="str">
        <f>IF(OR(SUM(R49:R51)=0,V49=W49),ROUND(IF(W49=0,0,W49/Y49)*100,2)&amp;"%",ROUND(IF(V49=0,0,V49/Y49)*100,2)&amp;"% a "&amp;ROUND(IF(W49=0,0,W49/Y49)*100,2)&amp;"%")</f>
        <v>5,19%</v>
      </c>
      <c r="Y49" s="471">
        <f>IF($D49=$D46,Y46+SUM(O49:O51),SUM(O49:O51))</f>
        <v>526.44999999999993</v>
      </c>
      <c r="Z49" s="470">
        <f>IF($B49=" ",SUM(O49:O51),0)+Z46</f>
        <v>0</v>
      </c>
      <c r="AA49" s="470">
        <f>IF(G49="","",IF($B49="Anulado",LARGE(P49:P51,1)-SUM(O49:O51)+AA46,AA46))</f>
        <v>0.45899999999999785</v>
      </c>
      <c r="AB49" s="470">
        <f>IF($D49="","",AB46+S49)</f>
        <v>27.32</v>
      </c>
      <c r="AC49" s="472">
        <f ca="1">IF($D49="","",IF($B49=" ",IF(DAY(G49)=DAY(TODAY()),1+AC46,0+AC46),0+AC46))</f>
        <v>0</v>
      </c>
      <c r="AD49" s="103">
        <f>(((L50/(L50-1)-1)*(1-_xlfn.XLOOKUP(K50,'Fevereiro 2023 - Valor Real'!A3:A15,'Fevereiro 2023 - Valor Real'!C3:C15,0))+1))/(((L49-1)*(1-_xlfn.XLOOKUP(K49,'Fevereiro 2023 - Valor Real'!A3:A15,'Fevereiro 2023 - Valor Real'!C3:C15,0))+1)+((L50/(L50-1)-1)*(1-_xlfn.XLOOKUP(K50,'Fevereiro 2023 - Valor Real'!A3:A15,'Fevereiro 2023 - Valor Real'!C3:C15,0))+1))</f>
        <v>0.47360517500288785</v>
      </c>
      <c r="AE49" s="104">
        <f>IF(L49="","",IF(L51&gt;0,(SUM(((L49-1)*(1-_xlfn.XLOOKUP(K49,'Fevereiro 2023 - Valor Real'!A3:A15,'Fevereiro 2023 - Valor Real'!C3:C15,0))+1),((L50-1)*(1-_xlfn.XLOOKUP(K50,'Fevereiro 2023 - Valor Real'!A3:A15,'Fevereiro 2023 - Valor Real'!C3:C15,0))+1),((L51-1)*(1-_xlfn.XLOOKUP(K51,'Fevereiro 2023 - Valor Real'!A3:A15,'Fevereiro 2023 - Valor Real'!C3:C15,0))+1))/((L49-1)*(1-_xlfn.XLOOKUP(K49,'Fevereiro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Real'!C3:C15,0))+1))/((L49-1)*(1-_xlfn.XLOOKUP(K49,'Fevereiro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Real'!C3:C15,0))+1))/((L50-1)*(1-_xlfn.XLOOKUP(K50,'Fevereiro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Real'!C3:C15,0))+1))/((L51-1)*(1-_xlfn.XLOOKUP(K51,'Fevereiro 2023 - Valor Real'!A3:A15,'Fevereiro 2023 - Valor Real'!C3:C15,0))+1)),IF(I49="Lay",IF(I50="Lay",((L50/(L50-1)-1)*(1-_xlfn.XLOOKUP(K50,'Fevereiro 2023 - Valor Real'!A3:A15,'Fevereiro 2023 - Valor Real'!C3:C15,0))+1)/(((L50/(L50-1)-1)*(1-_xlfn.XLOOKUP(K50,'Fevereiro 2023 - Valor Real'!A3:A15,'Fevereiro 2023 - Valor Real'!C3:C15,0))+1)+((L49/(L49-1)-1)*(1-_xlfn.XLOOKUP(K49,'Fevereiro 2023 - Valor Real'!A3:A15,'Fevereiro 2023 - Valor Real'!C3:C15,0))+1)),((L50-1)*(1-_xlfn.XLOOKUP(K50,'Fevereiro 2023 - Valor Real'!A3:A15,'Fevereiro 2023 - Valor Real'!C3:C15,0))+1)/(((L50-1)*(1-_xlfn.XLOOKUP(K50,'Fevereiro 2023 - Valor Real'!A3:A15,'Fevereiro 2023 - Valor Real'!C3:C15,0))+1)+((L49/(L49-1)-1)*(1-_xlfn.XLOOKUP(K49,'Fevereiro 2023 - Valor Real'!A3:A15,'Fevereiro 2023 - Valor Real'!C3:C15,0))+1))),IF(I50="Lay",(((L50/(L50-1)-1)*(1-_xlfn.XLOOKUP(K50,'Fevereiro 2023 - Valor Real'!A3:A15,'Fevereiro 2023 - Valor Real'!C3:C15,0))+1))/(((L49-1)*(1-_xlfn.XLOOKUP(K49,'Fevereiro 2023 - Valor Real'!A3:A15,'Fevereiro 2023 - Valor Real'!C3:C15,0))+1)+((L50/(L50-1)-1)*(1-_xlfn.XLOOKUP(K50,'Fevereiro 2023 - Valor Real'!A3:A15,'Fevereiro 2023 - Valor Real'!C3:C15,0))+1)),((L50-1)*(1-_xlfn.XLOOKUP(K50,'Fevereiro 2023 - Valor Real'!A3:A15,'Fevereiro 2023 - Valor Real'!C3:C15,0))+1)/(((L50-1)*(1-_xlfn.XLOOKUP(K50,'Fevereiro 2023 - Valor Real'!A3:A15,'Fevereiro 2023 - Valor Real'!C3:C15,0))+1)+((L49-1)*(1-_xlfn.XLOOKUP(K49,'Fevereiro 2023 - Valor Real'!A3:A15,'Fevereiro 2023 - Valor Real'!C3:C15,0))+1))))))</f>
        <v>0.48578199052132698</v>
      </c>
      <c r="AF49" s="105">
        <f t="shared" si="92"/>
        <v>0</v>
      </c>
      <c r="AG49" s="106">
        <f t="shared" si="92"/>
        <v>0</v>
      </c>
      <c r="AH49" s="106">
        <f t="shared" si="92"/>
        <v>0</v>
      </c>
      <c r="AI49" s="106">
        <f t="shared" si="92"/>
        <v>0</v>
      </c>
      <c r="AJ49" s="106">
        <f t="shared" si="92"/>
        <v>11.23</v>
      </c>
      <c r="AK49" s="106">
        <f t="shared" si="92"/>
        <v>0</v>
      </c>
      <c r="AL49" s="106">
        <f t="shared" si="92"/>
        <v>0</v>
      </c>
      <c r="AM49" s="106">
        <f t="shared" si="92"/>
        <v>0</v>
      </c>
      <c r="AN49" s="106">
        <f t="shared" si="92"/>
        <v>0</v>
      </c>
      <c r="AO49" s="106">
        <f t="shared" si="92"/>
        <v>0</v>
      </c>
      <c r="AP49" s="106">
        <f t="shared" si="92"/>
        <v>0</v>
      </c>
      <c r="AQ49" s="106">
        <f t="shared" si="92"/>
        <v>0</v>
      </c>
      <c r="AR49" s="107">
        <f t="shared" si="92"/>
        <v>0</v>
      </c>
      <c r="AS49" s="105">
        <f t="shared" ref="AS49:BE49" si="100">IF(AND($B49=" ",$K49=AS$3),$O49,0)</f>
        <v>0</v>
      </c>
      <c r="AT49" s="106">
        <f t="shared" si="100"/>
        <v>0</v>
      </c>
      <c r="AU49" s="106">
        <f t="shared" si="100"/>
        <v>0</v>
      </c>
      <c r="AV49" s="106">
        <f t="shared" si="100"/>
        <v>0</v>
      </c>
      <c r="AW49" s="106">
        <f t="shared" si="100"/>
        <v>0</v>
      </c>
      <c r="AX49" s="106">
        <f t="shared" si="100"/>
        <v>0</v>
      </c>
      <c r="AY49" s="108">
        <f t="shared" si="100"/>
        <v>0</v>
      </c>
      <c r="AZ49" s="109">
        <f t="shared" si="100"/>
        <v>0</v>
      </c>
      <c r="BA49" s="109">
        <f t="shared" si="100"/>
        <v>0</v>
      </c>
      <c r="BB49" s="109">
        <f t="shared" si="100"/>
        <v>0</v>
      </c>
      <c r="BC49" s="110">
        <f t="shared" si="100"/>
        <v>0</v>
      </c>
      <c r="BD49" s="106">
        <f t="shared" si="100"/>
        <v>0</v>
      </c>
      <c r="BE49" s="107">
        <f t="shared" si="100"/>
        <v>0</v>
      </c>
      <c r="BF49" s="111">
        <f t="shared" si="94"/>
        <v>0</v>
      </c>
      <c r="BG49" s="106">
        <f t="shared" si="94"/>
        <v>0</v>
      </c>
      <c r="BH49" s="106">
        <f t="shared" si="94"/>
        <v>0</v>
      </c>
      <c r="BI49" s="106">
        <f t="shared" si="94"/>
        <v>0</v>
      </c>
      <c r="BJ49" s="106">
        <f t="shared" si="94"/>
        <v>9.6</v>
      </c>
      <c r="BK49" s="106">
        <f t="shared" si="94"/>
        <v>0</v>
      </c>
      <c r="BL49" s="106">
        <f t="shared" si="94"/>
        <v>0</v>
      </c>
      <c r="BM49" s="108">
        <f t="shared" si="94"/>
        <v>0</v>
      </c>
      <c r="BN49" s="109">
        <f t="shared" si="94"/>
        <v>0</v>
      </c>
      <c r="BO49" s="109">
        <f t="shared" si="94"/>
        <v>0</v>
      </c>
      <c r="BP49" s="109">
        <f t="shared" si="94"/>
        <v>0</v>
      </c>
      <c r="BQ49" s="110">
        <f t="shared" si="94"/>
        <v>0</v>
      </c>
      <c r="BR49" s="107">
        <f t="shared" si="94"/>
        <v>0</v>
      </c>
      <c r="BS49" s="463">
        <f>IF($B49="LOSS",IF(AND($K49=BS$3,$C49="L"),-$O49,0)+IF(AND($K50=BS$3,$C50="L"),-$O50,0)+IF(AND($K51=BS$3,$C51="L"),-$O51,0),IF(OR(AND($K49=BS$3,OR($C49="W",$C49="1/2W")),AND($K50=BS$3,OR($C50="W",$C50="1/2W")),AND($K51=BS$3,OR($C51="W",$C51="1/2W"))),$S49,0))</f>
        <v>0</v>
      </c>
      <c r="BT49" s="462">
        <f>IF($B49="LOSS",IF(AND($K49=BT$3,$C49="L"),-$O49,0)+IF(AND($K50=BT$3,$C50="L"),-$O50,0)+IF(AND($K50=BT$3,$C51="L"),-$O51,0),IF(OR(AND($K50=BT$3,OR($C49="W",$C49="1/2W")),AND($K50=BT$3,OR($C50="W",$C50="1/2W")),AND($K50=BT$3,OR($C51="W",$C51="1/2W"))),$S49,0))</f>
        <v>0</v>
      </c>
      <c r="BU49" s="462">
        <f>IF($B49="LOSS",IF(AND($K49=BU$3,$C49="L"),-$O49,0)+IF(AND($K50=BU$3,$C50="L"),-$O50,0)+IF(AND($K50=BU$3,$C51="L"),-$O51,0),IF(OR(AND($K50=BU$3,OR($C49="W",$C49="1/2W")),AND($K50=BU$3,OR($C50="W",$C50="1/2W")),AND($K50=BU$3,OR($C51="W",$C51="1/2W"))),$S49,0))</f>
        <v>0</v>
      </c>
      <c r="BV49" s="462">
        <f t="shared" ref="BV49:CE49" si="101">IF($B49="LOSS",IF(AND($K49=BV$3,$C49="L"),-$O49,0)+IF(AND($K50=BV$3,$C50="L"),-$O50,0)+IF(AND($K51=BV$3,$C51="L"),-$O51,0),IF(OR(AND($K49=BV$3,OR($C49="W",$C49="1/2W")),AND($K50=BV$3,OR($C50="W",$C50="1/2W")),AND($K51=BV$3,OR($C51="W",$C51="1/2W"))),$S49,0))</f>
        <v>0</v>
      </c>
      <c r="BW49" s="462">
        <f t="shared" si="101"/>
        <v>1.08</v>
      </c>
      <c r="BX49" s="462">
        <f t="shared" si="101"/>
        <v>0</v>
      </c>
      <c r="BY49" s="462">
        <f t="shared" si="101"/>
        <v>0</v>
      </c>
      <c r="BZ49" s="460">
        <f t="shared" si="101"/>
        <v>0</v>
      </c>
      <c r="CA49" s="460">
        <f t="shared" si="101"/>
        <v>0</v>
      </c>
      <c r="CB49" s="460">
        <f t="shared" si="101"/>
        <v>0</v>
      </c>
      <c r="CC49" s="460">
        <f t="shared" si="101"/>
        <v>0</v>
      </c>
      <c r="CD49" s="473">
        <f t="shared" si="101"/>
        <v>0</v>
      </c>
      <c r="CE49" s="479">
        <f t="shared" si="101"/>
        <v>0</v>
      </c>
      <c r="CF49" s="113">
        <f t="shared" si="4"/>
        <v>0</v>
      </c>
      <c r="CG49" s="114">
        <f t="shared" si="5"/>
        <v>0</v>
      </c>
      <c r="CH49" s="114">
        <f t="shared" si="6"/>
        <v>0</v>
      </c>
      <c r="CI49" s="114">
        <f t="shared" si="7"/>
        <v>0</v>
      </c>
      <c r="CJ49" s="114">
        <f t="shared" si="8"/>
        <v>0</v>
      </c>
      <c r="CK49" s="114">
        <f t="shared" si="9"/>
        <v>0</v>
      </c>
      <c r="CL49" s="114">
        <f t="shared" si="10"/>
        <v>0</v>
      </c>
      <c r="CM49" s="114">
        <f t="shared" si="11"/>
        <v>0</v>
      </c>
      <c r="CN49" s="114">
        <f t="shared" si="12"/>
        <v>1</v>
      </c>
      <c r="CO49" s="114">
        <f t="shared" si="13"/>
        <v>0</v>
      </c>
      <c r="CP49" s="114">
        <f t="shared" si="14"/>
        <v>0</v>
      </c>
      <c r="CQ49" s="114">
        <f t="shared" si="15"/>
        <v>0</v>
      </c>
      <c r="CR49" s="114">
        <f t="shared" si="16"/>
        <v>0</v>
      </c>
      <c r="CS49" s="114">
        <f t="shared" si="17"/>
        <v>0</v>
      </c>
      <c r="CT49" s="115">
        <f t="shared" si="18"/>
        <v>0</v>
      </c>
      <c r="CU49" s="116">
        <f t="shared" si="19"/>
        <v>0</v>
      </c>
      <c r="CV49" s="116">
        <f t="shared" si="20"/>
        <v>0</v>
      </c>
      <c r="CW49" s="116">
        <f t="shared" si="21"/>
        <v>0</v>
      </c>
      <c r="CX49" s="116">
        <f t="shared" si="22"/>
        <v>0</v>
      </c>
      <c r="CY49" s="116">
        <f t="shared" si="23"/>
        <v>0</v>
      </c>
      <c r="CZ49" s="116">
        <f t="shared" si="24"/>
        <v>0</v>
      </c>
      <c r="DA49" s="116">
        <f t="shared" si="25"/>
        <v>0</v>
      </c>
      <c r="DB49" s="116">
        <f t="shared" si="26"/>
        <v>0</v>
      </c>
      <c r="DC49" s="116">
        <f t="shared" si="27"/>
        <v>0</v>
      </c>
      <c r="DD49" s="116">
        <f t="shared" si="28"/>
        <v>0</v>
      </c>
      <c r="DE49" s="117">
        <f t="shared" si="29"/>
        <v>0</v>
      </c>
      <c r="DF49" s="118">
        <f t="shared" si="31"/>
        <v>7</v>
      </c>
      <c r="DG49" s="106">
        <f t="shared" si="32"/>
        <v>9.57</v>
      </c>
      <c r="DH49" s="116">
        <f t="shared" si="33"/>
        <v>0</v>
      </c>
      <c r="DI49" s="106">
        <f t="shared" si="34"/>
        <v>0</v>
      </c>
      <c r="DJ49" s="116">
        <f>IF($D49="","",$D49)</f>
        <v>1</v>
      </c>
      <c r="DK49" s="465">
        <f>IF(AND($B49=" ",$D49&lt;&gt;""),1,0)</f>
        <v>0</v>
      </c>
    </row>
    <row r="50" spans="1:115" ht="14.5" customHeight="1" x14ac:dyDescent="0.2">
      <c r="A50" s="389"/>
      <c r="B50" s="456"/>
      <c r="C50" s="120" t="s">
        <v>55</v>
      </c>
      <c r="D50" s="374"/>
      <c r="E50" s="386"/>
      <c r="F50" s="377"/>
      <c r="G50" s="483"/>
      <c r="H50" s="476"/>
      <c r="I50" s="121" t="s">
        <v>52</v>
      </c>
      <c r="J50" s="122">
        <f>IF(OR(I49="TO",I49="TU",I49="TO1",I49="TU1",I49="TO2",I49="TU2"),J49,IF(OR(I49="AH1",I49="AH2"),IF(OR(I50="AH1",I50="AH2"),-J49,IF(OR(I50="EH1",I50="EH2"),-J49+0.5,"")),IF(OR(I49="EH1",I49="EH2"),IF(OR(I50="AH1",I50="AH2"),-J49+0.5,IF(OR(I50="EH1",I50="EH2"),-J49+1,"")),IF(AND(OR(I49="DNB1",I49="DNB2"),OR(I50="AH1",I50="AH2")),0,IF(AND(I49="Not ScoreBoth",OR(I50="TO1",I50="TO2")),0.5,"")))))</f>
        <v>1</v>
      </c>
      <c r="K50" s="123" t="s">
        <v>47</v>
      </c>
      <c r="L50" s="124">
        <v>2.0499999999999998</v>
      </c>
      <c r="M50" s="125">
        <v>10.15</v>
      </c>
      <c r="N50" s="406"/>
      <c r="O50" s="126">
        <f>IF(OR(AE49="",AE50=""),"",ROUND(IF(L51&gt;0,IF(M50&gt;0,M50,IF(M49&gt;0,IF(N49=TRUE,ROUND((M49*AE50)/AE49,0),(M49*AE50)/AE49),IF(M50&gt;0,ROUND(M50,IF(N49=0,2,IF(N49=0.1,1,0))),IF(M51&gt;0,ROUND(O51*AE50/AE51,IF(N49=0,2,IF(N49=0.1,1,0))),0)))),IF(M50&gt;0,M50,ROUND((M49*AE50)/AE49,IF(N49=0,2,IF(N49=0.1,1,0))))),2))</f>
        <v>10.15</v>
      </c>
      <c r="P50" s="127">
        <f>IF(OR(L50="",O50=""),"",IF($C50="1/2W",O50/2+O50/2*L50,IF($C50="1/2L",O50/2,IF(I50="Lay",((O50*(L50/(L50-1)))-O50)*(1-_xlfn.XLOOKUP(K50,'Fevereiro 2023 - Valor Real'!A3:A15,'Fevereiro 2023 - Valor Real'!C3:C15,0))+O50,(O50*L50-O50)*(1-_xlfn.XLOOKUP(K50,'Fevereiro 2023 - Valor Real'!A3:A15,'Fevereiro 2023 - Valor Real'!C3:C15,0))+O50))))</f>
        <v>20.807499999999997</v>
      </c>
      <c r="Q50" s="128">
        <f>IF(K50="","",IF(_xlfn.XLOOKUP(K50,K$7:K44,$DJ$7:DJ44,0,,-1)=DJ50,_xlfn.XLOOKUP(K50,K$7:K44,Q$7:Q44,1,,-1)+1,1))</f>
        <v>10</v>
      </c>
      <c r="R50" s="129">
        <f>IF(K50="","",_xlfn.XLOOKUP(K50,K$7:K44,R$7:R44,0,,-1)+IF($C50=" ",1,0))</f>
        <v>0</v>
      </c>
      <c r="S50" s="403"/>
      <c r="T50" s="380"/>
      <c r="U50" s="380"/>
      <c r="V50" s="481"/>
      <c r="W50" s="380"/>
      <c r="X50" s="452"/>
      <c r="Y50" s="383"/>
      <c r="Z50" s="384"/>
      <c r="AA50" s="384"/>
      <c r="AB50" s="384"/>
      <c r="AC50" s="384"/>
      <c r="AD50" s="130">
        <f>(((L50/(L50-1)-1)*(1-_xlfn.XLOOKUP(K50,'Fevereiro 2023 - Valor Real'!A3:A15,'Fevereiro 2023 - Valor Real'!C3:C15,0))+1))</f>
        <v>1.9523809523809526</v>
      </c>
      <c r="AE50" s="131">
        <f>IF(L50="","",IF(L51&gt;0,(SUM(((L49-1)*(1-_xlfn.XLOOKUP(K49,'Fevereiro 2023 - Valor Real'!A3:A15,'Fevereiro 2023 - Valor Real'!C3:C15,0))+1),((L50-1)*(1-_xlfn.XLOOKUP(K50,'Fevereiro 2023 - Valor Real'!A3:A15,'Fevereiro 2023 - Valor Real'!C3:C15,0))+1),((L51-1)*(1-_xlfn.XLOOKUP(K51,'Fevereiro 2023 - Valor Real'!A3:A15,'Fevereiro 2023 - Valor Real'!C3:C15,0))+1))/((L50-1)*(1-_xlfn.XLOOKUP(K50,'Fevereiro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Real'!C3:C15,0))+1))/((L49-1)*(1-_xlfn.XLOOKUP(K49,'Fevereiro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Real'!C3:C15,0))+1))/((L50-1)*(1-_xlfn.XLOOKUP(K50,'Fevereiro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Real'!C3:C15,0))+1))/((L51-1)*(1-_xlfn.XLOOKUP(K51,'Fevereiro 2023 - Valor Real'!A3:A15,'Fevereiro 2023 - Valor Real'!C3:C15,0))+1)),IF(I50="Lay",IF(I49="Lay",((L49/(L49-1)-1)*(1-_xlfn.XLOOKUP(K49,'Fevereiro 2023 - Valor Real'!A3:A15,'Fevereiro 2023 - Valor Real'!C3:C15,0))+1)/(((L49/(L49-1)-1)*(1-_xlfn.XLOOKUP(K49,'Fevereiro 2023 - Valor Real'!A3:A15,'Fevereiro 2023 - Valor Real'!C3:C15,0))+1)+((L50/(L50-1)-1)*(1-_xlfn.XLOOKUP(K50,'Fevereiro 2023 - Valor Real'!A3:A15,'Fevereiro 2023 - Valor Real'!C3:C15,0))+1)),((L49-1)*(1-_xlfn.XLOOKUP(K49,'Fevereiro 2023 - Valor Real'!A3:A15,'Fevereiro 2023 - Valor Real'!C3:C15,0))+1)/(((L49-1)*(1-_xlfn.XLOOKUP(K49,'Fevereiro 2023 - Valor Real'!A3:A15,'Fevereiro 2023 - Valor Real'!C3:C15,0))+1)+((L50/(L50-1)-1)*(1-_xlfn.XLOOKUP(K50,'Fevereiro 2023 - Valor Real'!A3:A15,'Fevereiro 2023 - Valor Real'!C3:C15,0))+1))),IF(I49="Lay",((L49/(L49-1)-1)*(1-_xlfn.XLOOKUP(K49,'Fevereiro 2023 - Valor Real'!A3:A15,'Fevereiro 2023 - Valor Real'!C3:C15,0))+1)/((((L49/(L49-1)-1)*(1-_xlfn.XLOOKUP(K49,'Fevereiro 2023 - Valor Real'!A3:A15,'Fevereiro 2023 - Valor Real'!C3:C15,0))+1))+((L50-1)*(1-_xlfn.XLOOKUP(K50,'Fevereiro 2023 - Valor Real'!A3:A15,'Fevereiro 2023 - Valor Real'!C3:C15,0))+1)),((L49-1)*(1-_xlfn.XLOOKUP(K49,'Fevereiro 2023 - Valor Real'!A3:A15,'Fevereiro 2023 - Valor Real'!C3:C15,0))+1)/(((L49-1)*(1-_xlfn.XLOOKUP(K49,'Fevereiro 2023 - Valor Real'!A3:A15,'Fevereiro 2023 - Valor Real'!C3:C15,0))+1)+((L50-1)*(1-_xlfn.XLOOKUP(K50,'Fevereiro 2023 - Valor Real'!A3:A15,'Fevereiro 2023 - Valor Real'!C3:C15,0))+1))))))</f>
        <v>0.51421800947867302</v>
      </c>
      <c r="AF50" s="105">
        <f t="shared" si="92"/>
        <v>0</v>
      </c>
      <c r="AG50" s="106">
        <f t="shared" si="92"/>
        <v>0</v>
      </c>
      <c r="AH50" s="106">
        <f t="shared" si="92"/>
        <v>0</v>
      </c>
      <c r="AI50" s="106">
        <f t="shared" si="92"/>
        <v>0</v>
      </c>
      <c r="AJ50" s="106">
        <f t="shared" si="92"/>
        <v>0</v>
      </c>
      <c r="AK50" s="106">
        <f t="shared" si="92"/>
        <v>0</v>
      </c>
      <c r="AL50" s="106">
        <f t="shared" si="92"/>
        <v>0</v>
      </c>
      <c r="AM50" s="106">
        <f t="shared" si="92"/>
        <v>0</v>
      </c>
      <c r="AN50" s="106">
        <f t="shared" si="92"/>
        <v>0</v>
      </c>
      <c r="AO50" s="106">
        <f t="shared" si="92"/>
        <v>0</v>
      </c>
      <c r="AP50" s="106">
        <f t="shared" si="92"/>
        <v>0</v>
      </c>
      <c r="AQ50" s="106">
        <f t="shared" si="92"/>
        <v>-10.15</v>
      </c>
      <c r="AR50" s="107">
        <f t="shared" si="92"/>
        <v>0</v>
      </c>
      <c r="AS50" s="105">
        <f>IF(AND($B49=" ",$K50=AS$3),$O50,0)</f>
        <v>0</v>
      </c>
      <c r="AT50" s="106">
        <f>IF(AND($B49=" ",K50=AT$3),$O50,0)</f>
        <v>0</v>
      </c>
      <c r="AU50" s="106">
        <f t="shared" ref="AU50:BE50" si="102">IF(AND($B49=" ",$K50=AU$3),$O50,0)</f>
        <v>0</v>
      </c>
      <c r="AV50" s="106">
        <f t="shared" si="102"/>
        <v>0</v>
      </c>
      <c r="AW50" s="106">
        <f t="shared" si="102"/>
        <v>0</v>
      </c>
      <c r="AX50" s="106">
        <f t="shared" si="102"/>
        <v>0</v>
      </c>
      <c r="AY50" s="108">
        <f t="shared" si="102"/>
        <v>0</v>
      </c>
      <c r="AZ50" s="109">
        <f t="shared" si="102"/>
        <v>0</v>
      </c>
      <c r="BA50" s="109">
        <f t="shared" si="102"/>
        <v>0</v>
      </c>
      <c r="BB50" s="109">
        <f t="shared" si="102"/>
        <v>0</v>
      </c>
      <c r="BC50" s="110">
        <f t="shared" si="102"/>
        <v>0</v>
      </c>
      <c r="BD50" s="106">
        <f t="shared" si="102"/>
        <v>0</v>
      </c>
      <c r="BE50" s="107">
        <f t="shared" si="102"/>
        <v>0</v>
      </c>
      <c r="BF50" s="105">
        <f t="shared" si="94"/>
        <v>0</v>
      </c>
      <c r="BG50" s="106">
        <f t="shared" si="94"/>
        <v>0</v>
      </c>
      <c r="BH50" s="106">
        <f t="shared" si="94"/>
        <v>0</v>
      </c>
      <c r="BI50" s="106">
        <f t="shared" si="94"/>
        <v>0</v>
      </c>
      <c r="BJ50" s="106">
        <f t="shared" si="94"/>
        <v>0</v>
      </c>
      <c r="BK50" s="106">
        <f t="shared" si="94"/>
        <v>0</v>
      </c>
      <c r="BL50" s="106">
        <f t="shared" si="94"/>
        <v>0</v>
      </c>
      <c r="BM50" s="132">
        <f t="shared" si="94"/>
        <v>0</v>
      </c>
      <c r="BN50" s="112">
        <f t="shared" si="94"/>
        <v>0</v>
      </c>
      <c r="BO50" s="112">
        <f t="shared" si="94"/>
        <v>0</v>
      </c>
      <c r="BP50" s="112">
        <f t="shared" si="94"/>
        <v>0</v>
      </c>
      <c r="BQ50" s="110">
        <f t="shared" si="94"/>
        <v>10.15</v>
      </c>
      <c r="BR50" s="107">
        <f t="shared" si="94"/>
        <v>0</v>
      </c>
      <c r="BS50" s="464"/>
      <c r="BT50" s="461"/>
      <c r="BU50" s="392"/>
      <c r="BV50" s="461"/>
      <c r="BW50" s="392"/>
      <c r="BX50" s="392"/>
      <c r="BY50" s="392"/>
      <c r="BZ50" s="461"/>
      <c r="CA50" s="392"/>
      <c r="CB50" s="392"/>
      <c r="CC50" s="392"/>
      <c r="CD50" s="401"/>
      <c r="CE50" s="409"/>
      <c r="CF50" s="133">
        <f t="shared" si="4"/>
        <v>0</v>
      </c>
      <c r="CG50" s="134">
        <f t="shared" si="5"/>
        <v>0</v>
      </c>
      <c r="CH50" s="134">
        <f t="shared" si="6"/>
        <v>0</v>
      </c>
      <c r="CI50" s="134">
        <f t="shared" si="7"/>
        <v>0</v>
      </c>
      <c r="CJ50" s="134">
        <f t="shared" si="8"/>
        <v>0</v>
      </c>
      <c r="CK50" s="134">
        <f t="shared" si="9"/>
        <v>0</v>
      </c>
      <c r="CL50" s="134">
        <f t="shared" si="10"/>
        <v>0</v>
      </c>
      <c r="CM50" s="134">
        <f t="shared" si="11"/>
        <v>0</v>
      </c>
      <c r="CN50" s="134">
        <f t="shared" si="12"/>
        <v>0</v>
      </c>
      <c r="CO50" s="134">
        <f t="shared" si="13"/>
        <v>0</v>
      </c>
      <c r="CP50" s="134">
        <f t="shared" si="14"/>
        <v>0</v>
      </c>
      <c r="CQ50" s="134">
        <f t="shared" si="15"/>
        <v>0</v>
      </c>
      <c r="CR50" s="134">
        <f t="shared" si="16"/>
        <v>0</v>
      </c>
      <c r="CS50" s="134">
        <f t="shared" si="17"/>
        <v>0</v>
      </c>
      <c r="CT50" s="115">
        <f t="shared" si="18"/>
        <v>0</v>
      </c>
      <c r="CU50" s="116">
        <f t="shared" si="19"/>
        <v>0</v>
      </c>
      <c r="CV50" s="116">
        <f t="shared" si="20"/>
        <v>0</v>
      </c>
      <c r="CW50" s="116">
        <f t="shared" si="21"/>
        <v>0</v>
      </c>
      <c r="CX50" s="116">
        <f t="shared" si="22"/>
        <v>0</v>
      </c>
      <c r="CY50" s="116">
        <f t="shared" si="23"/>
        <v>0</v>
      </c>
      <c r="CZ50" s="116">
        <f t="shared" si="24"/>
        <v>0</v>
      </c>
      <c r="DA50" s="116">
        <f t="shared" si="25"/>
        <v>0</v>
      </c>
      <c r="DB50" s="116">
        <f t="shared" si="26"/>
        <v>0</v>
      </c>
      <c r="DC50" s="116">
        <f t="shared" si="27"/>
        <v>1</v>
      </c>
      <c r="DD50" s="116">
        <f t="shared" si="28"/>
        <v>0</v>
      </c>
      <c r="DE50" s="117">
        <f t="shared" si="29"/>
        <v>0</v>
      </c>
      <c r="DF50" s="118">
        <f t="shared" si="31"/>
        <v>7</v>
      </c>
      <c r="DG50" s="106">
        <f t="shared" si="32"/>
        <v>9.57</v>
      </c>
      <c r="DH50" s="116">
        <f t="shared" si="33"/>
        <v>0</v>
      </c>
      <c r="DI50" s="106">
        <f t="shared" si="34"/>
        <v>0</v>
      </c>
      <c r="DJ50" s="116">
        <f>IF($D49="","",$D49)</f>
        <v>1</v>
      </c>
      <c r="DK50" s="466"/>
    </row>
    <row r="51" spans="1:115" ht="14.5" customHeight="1" x14ac:dyDescent="0.2">
      <c r="A51" s="390"/>
      <c r="B51" s="457"/>
      <c r="C51" s="135" t="s">
        <v>53</v>
      </c>
      <c r="D51" s="375"/>
      <c r="E51" s="387"/>
      <c r="F51" s="378"/>
      <c r="G51" s="484"/>
      <c r="H51" s="477"/>
      <c r="I51" s="136"/>
      <c r="J51" s="137"/>
      <c r="K51" s="138"/>
      <c r="L51" s="139"/>
      <c r="M51" s="140"/>
      <c r="N51" s="407"/>
      <c r="O51" s="141" t="str">
        <f>IF(OR(AE49="",AE50=""),"",IF(L51&gt;0,ROUND(IF(M51&gt;0,M51,IF(M49&gt;0,ROUND((M49*AE51)/AE49,IF(N49=0,2,IF(N49=0.1,1,0))),IF(M50&gt;0,ROUND((M50*AE51)/AE50,IF(N49=0,2,IF(N49=0.1,1,0))),IF(M51&gt;0,M51,0)))),2),""))</f>
        <v/>
      </c>
      <c r="P51" s="142" t="str">
        <f>IF(I50="Lay",O50*(L50/(L50-1))-O50,IF(I49="Lay",O49*(L49/(L49-1))-O49,IF(OR(L51="",O51=""),"",IF($C51="1/2W",O51/2+O51/2*L51,IF($C51="1/2L",O51/2,(O51*L51-O51)*(1-_xlfn.XLOOKUP(K51,'Fevereiro 2023 - Valor Real'!A3:A15,'Fevereiro 2023 - Valor Real'!C3:C15,0))+O51)))))</f>
        <v/>
      </c>
      <c r="Q51" s="143" t="str">
        <f>IF(K51="","",IF(_xlfn.XLOOKUP(K51,K$8:K44,$DJ$8:DJ44,0,,-1)=DJ51,_xlfn.XLOOKUP(K51,K$8:K44,Q$8:Q44,1,,-1)+1,1))</f>
        <v/>
      </c>
      <c r="R51" s="144" t="str">
        <f>IF(K51="","",_xlfn.XLOOKUP(K51,K$8:K44,R$8:R44,0,,-1)+IF($C51=" ",1,0))</f>
        <v/>
      </c>
      <c r="S51" s="404"/>
      <c r="T51" s="378"/>
      <c r="U51" s="378"/>
      <c r="V51" s="404"/>
      <c r="W51" s="378"/>
      <c r="X51" s="453"/>
      <c r="Y51" s="383"/>
      <c r="Z51" s="384"/>
      <c r="AA51" s="384"/>
      <c r="AB51" s="384"/>
      <c r="AC51" s="384"/>
      <c r="AD51" s="145">
        <f>((L50/(L50-1)-1))</f>
        <v>0.95238095238095255</v>
      </c>
      <c r="AE51" s="146" t="str">
        <f>IF(L51="","",(SUM(((L49-1)*(1-_xlfn.XLOOKUP(K49,'Fevereiro 2023 - Valor Real'!A3:A15,'Fevereiro 2023 - Valor Real'!C3:C15,0))+1),((L50-1)*(1-_xlfn.XLOOKUP(K50,'Fevereiro 2023 - Valor Real'!A3:A15,'Fevereiro 2023 - Valor Real'!C3:C15,0))+1),((L51-1)*(1-_xlfn.XLOOKUP(K51,'Fevereiro 2023 - Valor Real'!A3:A15,'Fevereiro 2023 - Valor Real'!C3:C15,0))+1))/((L51-1)*(1-_xlfn.XLOOKUP(K51,'Fevereiro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Real'!C3:C15,0))+1))/((L49-1)*(1-_xlfn.XLOOKUP(K49,'Fevereiro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Real'!C3:C15,0))+1))/((L50-1)*(1-_xlfn.XLOOKUP(K50,'Fevereiro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Real'!C3:C15,0))+1))/((L51-1)*(1-_xlfn.XLOOKUP(K51,'Fevereiro 2023 - Valor Real'!A3:A15,'Fevereiro 2023 - Valor Real'!C3:C15,0))+1)))</f>
        <v/>
      </c>
      <c r="AF51" s="105">
        <f t="shared" si="92"/>
        <v>0</v>
      </c>
      <c r="AG51" s="106">
        <f t="shared" si="92"/>
        <v>0</v>
      </c>
      <c r="AH51" s="106">
        <f t="shared" si="92"/>
        <v>0</v>
      </c>
      <c r="AI51" s="106">
        <f t="shared" si="92"/>
        <v>0</v>
      </c>
      <c r="AJ51" s="106">
        <f t="shared" si="92"/>
        <v>0</v>
      </c>
      <c r="AK51" s="106">
        <f t="shared" si="92"/>
        <v>0</v>
      </c>
      <c r="AL51" s="106">
        <f t="shared" si="92"/>
        <v>0</v>
      </c>
      <c r="AM51" s="106">
        <f t="shared" si="92"/>
        <v>0</v>
      </c>
      <c r="AN51" s="106">
        <f t="shared" si="92"/>
        <v>0</v>
      </c>
      <c r="AO51" s="106">
        <f t="shared" si="92"/>
        <v>0</v>
      </c>
      <c r="AP51" s="106">
        <f t="shared" si="92"/>
        <v>0</v>
      </c>
      <c r="AQ51" s="106">
        <f t="shared" si="92"/>
        <v>0</v>
      </c>
      <c r="AR51" s="107">
        <f t="shared" si="92"/>
        <v>0</v>
      </c>
      <c r="AS51" s="105">
        <f>IF(AND($B49=" ",$K51=AS$3),$O51,0)</f>
        <v>0</v>
      </c>
      <c r="AT51" s="106">
        <f>IF(AND($B49=" ",K51=AT$3),$O51,0)</f>
        <v>0</v>
      </c>
      <c r="AU51" s="106">
        <f t="shared" ref="AU51:BE51" si="103">IF(AND($B49=" ",$K51=AU$3),$O51,0)</f>
        <v>0</v>
      </c>
      <c r="AV51" s="106">
        <f t="shared" si="103"/>
        <v>0</v>
      </c>
      <c r="AW51" s="106">
        <f t="shared" si="103"/>
        <v>0</v>
      </c>
      <c r="AX51" s="106">
        <f t="shared" si="103"/>
        <v>0</v>
      </c>
      <c r="AY51" s="108">
        <f t="shared" si="103"/>
        <v>0</v>
      </c>
      <c r="AZ51" s="109">
        <f t="shared" si="103"/>
        <v>0</v>
      </c>
      <c r="BA51" s="109">
        <f t="shared" si="103"/>
        <v>0</v>
      </c>
      <c r="BB51" s="109">
        <f t="shared" si="103"/>
        <v>0</v>
      </c>
      <c r="BC51" s="110">
        <f t="shared" si="103"/>
        <v>0</v>
      </c>
      <c r="BD51" s="106">
        <f t="shared" si="103"/>
        <v>0</v>
      </c>
      <c r="BE51" s="107">
        <f t="shared" si="103"/>
        <v>0</v>
      </c>
      <c r="BF51" s="105">
        <f t="shared" si="94"/>
        <v>0</v>
      </c>
      <c r="BG51" s="106">
        <f t="shared" si="94"/>
        <v>0</v>
      </c>
      <c r="BH51" s="106">
        <f t="shared" si="94"/>
        <v>0</v>
      </c>
      <c r="BI51" s="106">
        <f t="shared" si="94"/>
        <v>0</v>
      </c>
      <c r="BJ51" s="106">
        <f t="shared" si="94"/>
        <v>0</v>
      </c>
      <c r="BK51" s="106">
        <f t="shared" si="94"/>
        <v>0</v>
      </c>
      <c r="BL51" s="106">
        <f t="shared" si="94"/>
        <v>0</v>
      </c>
      <c r="BM51" s="108">
        <f t="shared" si="94"/>
        <v>0</v>
      </c>
      <c r="BN51" s="109">
        <f t="shared" si="94"/>
        <v>0</v>
      </c>
      <c r="BO51" s="109">
        <f t="shared" si="94"/>
        <v>0</v>
      </c>
      <c r="BP51" s="109">
        <f t="shared" si="94"/>
        <v>0</v>
      </c>
      <c r="BQ51" s="110">
        <f t="shared" si="94"/>
        <v>0</v>
      </c>
      <c r="BR51" s="107">
        <f t="shared" si="94"/>
        <v>0</v>
      </c>
      <c r="BS51" s="464"/>
      <c r="BT51" s="461"/>
      <c r="BU51" s="392"/>
      <c r="BV51" s="461"/>
      <c r="BW51" s="392"/>
      <c r="BX51" s="392"/>
      <c r="BY51" s="392"/>
      <c r="BZ51" s="461"/>
      <c r="CA51" s="392"/>
      <c r="CB51" s="392"/>
      <c r="CC51" s="392"/>
      <c r="CD51" s="401"/>
      <c r="CE51" s="409"/>
      <c r="CF51" s="133">
        <f t="shared" si="4"/>
        <v>0</v>
      </c>
      <c r="CG51" s="134">
        <f t="shared" si="5"/>
        <v>0</v>
      </c>
      <c r="CH51" s="134">
        <f t="shared" si="6"/>
        <v>0</v>
      </c>
      <c r="CI51" s="134">
        <f t="shared" si="7"/>
        <v>0</v>
      </c>
      <c r="CJ51" s="134">
        <f t="shared" si="8"/>
        <v>0</v>
      </c>
      <c r="CK51" s="134">
        <f t="shared" si="9"/>
        <v>0</v>
      </c>
      <c r="CL51" s="134">
        <f t="shared" si="10"/>
        <v>0</v>
      </c>
      <c r="CM51" s="134">
        <f t="shared" si="11"/>
        <v>0</v>
      </c>
      <c r="CN51" s="134">
        <f t="shared" si="12"/>
        <v>0</v>
      </c>
      <c r="CO51" s="134">
        <f t="shared" si="13"/>
        <v>0</v>
      </c>
      <c r="CP51" s="134">
        <f t="shared" si="14"/>
        <v>0</v>
      </c>
      <c r="CQ51" s="134">
        <f t="shared" si="15"/>
        <v>0</v>
      </c>
      <c r="CR51" s="134">
        <f t="shared" si="16"/>
        <v>0</v>
      </c>
      <c r="CS51" s="134">
        <f t="shared" si="17"/>
        <v>0</v>
      </c>
      <c r="CT51" s="115">
        <f t="shared" si="18"/>
        <v>0</v>
      </c>
      <c r="CU51" s="116">
        <f t="shared" si="19"/>
        <v>0</v>
      </c>
      <c r="CV51" s="116">
        <f t="shared" si="20"/>
        <v>0</v>
      </c>
      <c r="CW51" s="116">
        <f t="shared" si="21"/>
        <v>0</v>
      </c>
      <c r="CX51" s="116">
        <f t="shared" si="22"/>
        <v>0</v>
      </c>
      <c r="CY51" s="116">
        <f t="shared" si="23"/>
        <v>0</v>
      </c>
      <c r="CZ51" s="116">
        <f t="shared" si="24"/>
        <v>0</v>
      </c>
      <c r="DA51" s="116">
        <f t="shared" si="25"/>
        <v>0</v>
      </c>
      <c r="DB51" s="116">
        <f t="shared" si="26"/>
        <v>0</v>
      </c>
      <c r="DC51" s="116">
        <f t="shared" si="27"/>
        <v>0</v>
      </c>
      <c r="DD51" s="116">
        <f t="shared" si="28"/>
        <v>0</v>
      </c>
      <c r="DE51" s="117">
        <f t="shared" si="29"/>
        <v>0</v>
      </c>
      <c r="DF51" s="118">
        <f t="shared" si="31"/>
        <v>7</v>
      </c>
      <c r="DG51" s="106">
        <f t="shared" si="32"/>
        <v>9.57</v>
      </c>
      <c r="DH51" s="116">
        <f t="shared" si="33"/>
        <v>0</v>
      </c>
      <c r="DI51" s="106">
        <f t="shared" si="34"/>
        <v>0</v>
      </c>
      <c r="DJ51" s="116">
        <f>IF($D49="","",$D49)</f>
        <v>1</v>
      </c>
      <c r="DK51" s="466"/>
    </row>
    <row r="52" spans="1:115" ht="14.5" customHeight="1" x14ac:dyDescent="0.2">
      <c r="A52" s="487">
        <f>$A49+1</f>
        <v>17</v>
      </c>
      <c r="B52" s="506" t="str">
        <f>IF(OR(C52="W",C53="W",C54="W",C52="1/2W",C53="1/2W",C54="1/2W",C52="1/2L",C53="1/2L",C54="1/2L"),"OK",IF(OR(C52="L",C53="L",C54="L"),"LOSS",IF(OR(C52="X",C53="X",C54="X"),"Anulado"," ")))</f>
        <v>OK</v>
      </c>
      <c r="C52" s="147" t="s">
        <v>54</v>
      </c>
      <c r="D52" s="495">
        <f>IF(G52="","",$D49)</f>
        <v>1</v>
      </c>
      <c r="E52" s="511" t="str">
        <f>IF(G52=""," ","– "&amp;COUNTIF(D$4:D54,$D52))</f>
        <v>– 17</v>
      </c>
      <c r="F52" s="510" t="str">
        <f ca="1">IF(G52="","",IF(OR(AND($C52&lt;&gt;" ",$C53=" "),AND($C53&lt;&gt;" ",$C52=" "),AND(L54&gt;0,OR(AND($C54&lt;&gt;" ",OR($C52=" ",$C53=" ")),AND($C54=" ",OR($C52&lt;&gt;" ",$C53&lt;&gt;" "))))),IF(SUM(F$9:F44)=0,1,LARGE(F$9:F44,1)+1),IF(MONTH(G52)=MONTH(TODAY()),IF(AND(DAY(G52)&lt;DAY(TODAY()),$B52=" "),IF(SUM(F$9:F44)=0,1,LARGE(F$9:F44,1)+1),IF($B52=" ",IF(AND(DAY(G52)=DAY(TODAY()),HOUR(G52)&lt;=HOUR(NOW())+1),IF(AND(HOUR(G52)+2&lt;=HOUR(NOW()),DAY(G52)&lt;=DAY(TODAY()),MINUTE(G52)&lt;=MINUTE(NOW())),IF(SUM(F$9:F44)=0,1,LARGE(F$9:F44,1)+1),IF(OR(MINUTE(G52)&lt;=MINUTE(NOW()),HOUR(G52)&lt;=HOUR(NOW())),"!!!","")),""),"")),"")))</f>
        <v/>
      </c>
      <c r="G52" s="508">
        <v>44988.604166666664</v>
      </c>
      <c r="H52" s="502" t="s">
        <v>70</v>
      </c>
      <c r="I52" s="180" t="s">
        <v>71</v>
      </c>
      <c r="J52" s="149"/>
      <c r="K52" s="150" t="s">
        <v>37</v>
      </c>
      <c r="L52" s="151">
        <v>2.7</v>
      </c>
      <c r="M52" s="152">
        <v>6.37</v>
      </c>
      <c r="N52" s="503">
        <v>0</v>
      </c>
      <c r="O52" s="153">
        <f>IF(OR(AE52="",AE53=""),"",ROUND(IF(L54&gt;0,IF(M52&gt;0,M52,IF(M53&gt;0,ROUND((M53*AE52)/AE53,IF(N52=0,2,IF(N52=0.1,1,0))),ROUND((M54*AE52)/AE54,IF(N52=0,2,IF(N52=0.1,1,0))))),IF(M52&gt;0,M52,ROUND((M53*AE52)/AE53,IF(N52=0,2,IF(N52=0.1,1,0))))),2))</f>
        <v>6.37</v>
      </c>
      <c r="P52" s="154">
        <f>IF(OR(L52="",O52=""),"",IF($C52="1/2W",O52/2+O52/2*L52,IF($C52="1/2L",O52/2,IF(I52="Lay",(O52*(L52/(L52-1))-O52)*(1-_xlfn.XLOOKUP(K52,'Fevereiro 2023 - Valor Real'!A3:A15,'Fevereiro 2023 - Valor Real'!C3:C15,0))+O52,(O52*L52-O52)*(1-_xlfn.XLOOKUP(K52,'Fevereiro 2023 - Valor Real'!A3:A15,'Fevereiro 2023 - Valor Real'!C3:C15,0))+O52))))</f>
        <v>17.199000000000002</v>
      </c>
      <c r="Q52" s="155">
        <f>IF(K52="","",IF(_xlfn.XLOOKUP(K52,K$9:K44,$DJ$9:DJ44,0,,-1)=DJ52,_xlfn.XLOOKUP(K52,K$9:K44,Q$9:Q44,1,,-1)+1,1))</f>
        <v>8</v>
      </c>
      <c r="R52" s="156">
        <f>IF(K52="","",_xlfn.XLOOKUP(K52,K$9:K44,R$9:R44,0,,-1)+IF($C52=" ",1,0))</f>
        <v>0</v>
      </c>
      <c r="S52" s="501">
        <f>IF($B52="Anulado",0,ROUND(IF(OR($B52="LOSS",$B52="OK"),IF(OR($C52="W",$C52="1/2W",$C52="1/2L"),P52-O52,IF($C52="L",-O52,0))+IF(OR($C53="W",$C53="1/2W",$C53="1/2L"),P53-O53,IF($C53="L",-O53,0))+IF(OR($C54="W",$C54="1/2W",$C54="1/2L"),P54-O54,IF($C54="L",-O54,0)),IF(AND(OR($C52="W",$C52="1/2W",$C52="1/2L"),C53="W"),P52+P53-SUM(O52:O54)+_xlfn.XLOOKUP("X",C52:C54,O52:O54,0),IF(AND(C52=TRUE,C54="W"),P52+P54-SUM(O52:O54),IF(AND(C53="W",C54="W"),P53+P54-SUM(O52:O54)+_xlfn.XLOOKUP("X",C52:C54,O52:O54,0),IF(L54&gt;0,IF(OR($C52="W",$C52="1/2W",$C52="1/2L"),P52-SUM(O52:O54)+_xlfn.XLOOKUP("X",C52:C54,O52:O54,0),IF(OR($C52="W",$C52="1/2W",$C52="1/2L"),P53-SUM(O52:O54)+_xlfn.XLOOKUP("X",C52:C54,O52:O54,0),IF(OR($C52="W",$C52="1/2W",$C52="1/2L"),P54-SUM(O52:O54)+_xlfn.XLOOKUP("X",C52:C54,O52:O54,0),IF(SUM(P52:P54)/3-SUM(O52:O54)+_xlfn.XLOOKUP("X",C52:C54,O52:O54,0)&gt;0,SUM(P52:P54)/3-SUM(O52:O54)+_xlfn.XLOOKUP("X",C52:C54,O52:O54,0),LARGE(P52:P54,1)-SUM(O52:O54))))),IF(OR($C52="W",$C52="1/2W",$C52="1/2L"),P52-SUM(O52:O53)+_xlfn.XLOOKUP("X",C52:C54,O52:O54,0),IF(OR($C52="W",$C52="1/2W",$C52="1/2L"),P53-SUM(O52:O53)+_xlfn.XLOOKUP("X",C52:C54,O52:O54,0),SUM(P52:P53)/2-SUM(O52:O53)+_xlfn.XLOOKUP("X",C52:C54,O52:O54,0)))))))),2))</f>
        <v>1.33</v>
      </c>
      <c r="T52" s="486">
        <f>IF(S52=0,0,S52/SUM(O52:O54))</f>
        <v>8.3805923125393825E-2</v>
      </c>
      <c r="U52" s="496">
        <f>IF($D52=$D49,IF(OR($B52="LOSS",$B52="OK",$B52="Anulada"),S52,0)+U49,IF(OR($B52="LOSS",$B52="OK",$B52="Anulada"),S52,0))</f>
        <v>28.65</v>
      </c>
      <c r="V52" s="496">
        <f>IF($D52="",0,IF($D52=$D49,IF($B52=" ",IF(I54="",IF(OR(AND(I52="DNB1",I53="DNB2"),AND(OR(I52="DNB1",I52="DNB2"),J53=0),AND(OR(I53="DNB1",I53="DNB2"),J52=0),AND(I52="DNB2",I53="DNB1"),AND(IF(J52=0,(J52+1)/ROUND(J52+1,0),J52/ROUND(J52,0))=1,IF(J53=0,(J53+1)/ROUND(IF(J53="",0,J53)+1,0),IF(J53="",0,J53)/ROUND(IF(J53="",1,J53),0))=1,OR(J52&lt;&gt;""),J53&lt;&gt;"")),0,IF(S52&lt;0,IF(I54="",SMALL(P52:P53,1)-SUM(O52:O53),0),SMALL(P52:P53,1)-SUM(O52:O53))),IF(S52&lt;0,IF(I54="",SMALL(P52:P54,1)-SUM(O52:O54),0),LARGE(P52:P54,1)-SUM(O52:O54))),S52)+V49,IF(I54="",IF(OR(AND(I52="DNB1",I53="DNB2"),AND(OR(I52="DNB1",I52="DNB2"),J53=0),AND(OR(I53="DNB1",I53="DNB2"),J52=0),AND(I52="DNB2",I53="DNB1"),AND(IF(J52=0,(J52+1)/ROUND(J52+1,0),J52/ROUND(J52,0))=1,IF(J53=0,(IF(J53="",0,J53)+1)/ROUND(IF(J53="",0,J53)+1,0),IF(J53="",0,J53)/ROUND(IF(J53="",0,J53)+1,0))=1,OR(J52&lt;&gt;""),J53&lt;&gt;"")),0,IF(S52&lt;0,IF(I54="",SMALL(P52:P53,1)-SUM(O52:O53),0),SMALL(P52:P54,1)-SUM(O52:O54))),IF(S52&lt;0,IF(I54="",SMALL(P52:P54,1)-SUM(O52:O54),0),LARGE(P52:P54,1)-SUM(O52:O54)))))</f>
        <v>28.65</v>
      </c>
      <c r="W52" s="496">
        <f>IF($D52=$D49,IF(S52&lt;0,IF(I54="",S52,0),S52)+W49,S52)</f>
        <v>28.65</v>
      </c>
      <c r="X52" s="505" t="str">
        <f>IF(OR(SUM(R52:R54)=0,V52=W52),ROUND(IF(W52=0,0,W52/Y52)*100,2)&amp;"%",ROUND(IF(V52=0,0,V52/Y52)*100,2)&amp;"% a "&amp;ROUND(IF(W52=0,0,W52/Y52)*100,2)&amp;"%")</f>
        <v>5,28%</v>
      </c>
      <c r="Y52" s="497">
        <f>IF($D52=$D49,Y49+SUM(O52:O54),SUM(O52:O54))</f>
        <v>542.31999999999994</v>
      </c>
      <c r="Z52" s="496">
        <f>IF($B52=" ",SUM(O52:O54),0)+Z49</f>
        <v>0</v>
      </c>
      <c r="AA52" s="496">
        <f>IF(G52="","",IF($B52="Anulado",LARGE(P52:P54,1)-SUM(O52:O54)+AA49,AA49))</f>
        <v>0.45899999999999785</v>
      </c>
      <c r="AB52" s="496">
        <f>IF($D52="","",AB49+S52)</f>
        <v>28.65</v>
      </c>
      <c r="AC52" s="499">
        <f ca="1">IF($D52="","",IF($B52=" ",IF(DAY(G52)=DAY(TODAY()),1+AC49,0+AC49),0+AC49))</f>
        <v>0</v>
      </c>
      <c r="AD52" s="157">
        <f>(1-_xlfn.XLOOKUP(K50,'Fevereiro 2023 - Valor Real'!A3:A15,'Fevereiro 2023 - Valor Real'!C3:C15,0))+1</f>
        <v>2</v>
      </c>
      <c r="AE52" s="158">
        <f>IF(L52="","",IF(L54&gt;0,(SUM(((L52-1)*(1-_xlfn.XLOOKUP(K52,'Fevereiro 2023 - Valor Real'!A3:A15,'Fevereiro 2023 - Valor Real'!C3:C15,0))+1),((L53-1)*(1-_xlfn.XLOOKUP(K53,'Fevereiro 2023 - Valor Real'!A3:A15,'Fevereiro 2023 - Valor Real'!C3:C15,0))+1),((L54-1)*(1-_xlfn.XLOOKUP(K54,'Fevereiro 2023 - Valor Real'!A3:A15,'Fevereiro 2023 - Valor Real'!C3:C15,0))+1))/((L52-1)*(1-_xlfn.XLOOKUP(K52,'Fevereiro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Real'!C3:C15,0))+1))/((L52-1)*(1-_xlfn.XLOOKUP(K52,'Fevereiro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Real'!C3:C15,0))+1))/((L53-1)*(1-_xlfn.XLOOKUP(K53,'Fevereiro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Real'!C3:C15,0))+1))/((L54-1)*(1-_xlfn.XLOOKUP(K54,'Fevereiro 2023 - Valor Real'!A3:A15,'Fevereiro 2023 - Valor Real'!C3:C15,0))+1)),IF(I52="Lay",IF(I53="Lay",((L53/(L53-1)-1)*(1-_xlfn.XLOOKUP(K53,'Fevereiro 2023 - Valor Real'!A3:A15,'Fevereiro 2023 - Valor Real'!C3:C15,0))+1)/(((L53/(L53-1)-1)*(1-_xlfn.XLOOKUP(K53,'Fevereiro 2023 - Valor Real'!A3:A15,'Fevereiro 2023 - Valor Real'!C3:C15,0))+1)+((L52/(L52-1)-1)*(1-_xlfn.XLOOKUP(K52,'Fevereiro 2023 - Valor Real'!A3:A15,'Fevereiro 2023 - Valor Real'!C3:C15,0))+1)),((L53-1)*(1-_xlfn.XLOOKUP(K53,'Fevereiro 2023 - Valor Real'!A3:A15,'Fevereiro 2023 - Valor Real'!C3:C15,0))+1)/(((L53-1)*(1-_xlfn.XLOOKUP(K53,'Fevereiro 2023 - Valor Real'!A3:A15,'Fevereiro 2023 - Valor Real'!C3:C15,0))+1)+((L52/(L52-1)-1)*(1-_xlfn.XLOOKUP(K52,'Fevereiro 2023 - Valor Real'!A3:A15,'Fevereiro 2023 - Valor Real'!C3:C15,0))+1))),IF(I53="Lay",(((L53/(L53-1)-1)*(1-_xlfn.XLOOKUP(K53,'Fevereiro 2023 - Valor Real'!A3:A15,'Fevereiro 2023 - Valor Real'!C3:C15,0))+1))/(((L52-1)*(1-_xlfn.XLOOKUP(K52,'Fevereiro 2023 - Valor Real'!A3:A15,'Fevereiro 2023 - Valor Real'!C3:C15,0))+1)+((L53/(L53-1)-1)*(1-_xlfn.XLOOKUP(K53,'Fevereiro 2023 - Valor Real'!A3:A15,'Fevereiro 2023 - Valor Real'!C3:C15,0))+1)),((L53-1)*(1-_xlfn.XLOOKUP(K53,'Fevereiro 2023 - Valor Real'!A3:A15,'Fevereiro 2023 - Valor Real'!C3:C15,0))+1)/(((L53-1)*(1-_xlfn.XLOOKUP(K53,'Fevereiro 2023 - Valor Real'!A3:A15,'Fevereiro 2023 - Valor Real'!C3:C15,0))+1)+((L52-1)*(1-_xlfn.XLOOKUP(K52,'Fevereiro 2023 - Valor Real'!A3:A15,'Fevereiro 2023 - Valor Real'!C3:C15,0))+1))))))</f>
        <v>0.40133037694013307</v>
      </c>
      <c r="AF52" s="66">
        <f t="shared" si="92"/>
        <v>0</v>
      </c>
      <c r="AG52" s="67">
        <f t="shared" si="92"/>
        <v>10.83</v>
      </c>
      <c r="AH52" s="67">
        <f t="shared" si="92"/>
        <v>0</v>
      </c>
      <c r="AI52" s="67">
        <f t="shared" si="92"/>
        <v>0</v>
      </c>
      <c r="AJ52" s="67">
        <f t="shared" si="92"/>
        <v>0</v>
      </c>
      <c r="AK52" s="67">
        <f t="shared" si="92"/>
        <v>0</v>
      </c>
      <c r="AL52" s="67">
        <f t="shared" si="92"/>
        <v>0</v>
      </c>
      <c r="AM52" s="67">
        <f t="shared" si="92"/>
        <v>0</v>
      </c>
      <c r="AN52" s="67">
        <f t="shared" si="92"/>
        <v>0</v>
      </c>
      <c r="AO52" s="67">
        <f t="shared" si="92"/>
        <v>0</v>
      </c>
      <c r="AP52" s="67">
        <f t="shared" si="92"/>
        <v>0</v>
      </c>
      <c r="AQ52" s="67">
        <f t="shared" si="92"/>
        <v>0</v>
      </c>
      <c r="AR52" s="68">
        <f t="shared" si="92"/>
        <v>0</v>
      </c>
      <c r="AS52" s="66">
        <f t="shared" ref="AS52:BE52" si="104">IF(AND($B52=" ",$K52=AS$3),$O52,0)</f>
        <v>0</v>
      </c>
      <c r="AT52" s="67">
        <f t="shared" si="104"/>
        <v>0</v>
      </c>
      <c r="AU52" s="67">
        <f t="shared" si="104"/>
        <v>0</v>
      </c>
      <c r="AV52" s="67">
        <f t="shared" si="104"/>
        <v>0</v>
      </c>
      <c r="AW52" s="67">
        <f t="shared" si="104"/>
        <v>0</v>
      </c>
      <c r="AX52" s="67">
        <f t="shared" si="104"/>
        <v>0</v>
      </c>
      <c r="AY52" s="69">
        <f t="shared" si="104"/>
        <v>0</v>
      </c>
      <c r="AZ52" s="70">
        <f t="shared" si="104"/>
        <v>0</v>
      </c>
      <c r="BA52" s="70">
        <f t="shared" si="104"/>
        <v>0</v>
      </c>
      <c r="BB52" s="70">
        <f t="shared" si="104"/>
        <v>0</v>
      </c>
      <c r="BC52" s="71">
        <f t="shared" si="104"/>
        <v>0</v>
      </c>
      <c r="BD52" s="67">
        <f t="shared" si="104"/>
        <v>0</v>
      </c>
      <c r="BE52" s="68">
        <f t="shared" si="104"/>
        <v>0</v>
      </c>
      <c r="BF52" s="66">
        <f t="shared" si="94"/>
        <v>0</v>
      </c>
      <c r="BG52" s="67">
        <f t="shared" si="94"/>
        <v>6.37</v>
      </c>
      <c r="BH52" s="67">
        <f t="shared" si="94"/>
        <v>0</v>
      </c>
      <c r="BI52" s="67">
        <f t="shared" si="94"/>
        <v>0</v>
      </c>
      <c r="BJ52" s="67">
        <f t="shared" si="94"/>
        <v>0</v>
      </c>
      <c r="BK52" s="67">
        <f t="shared" si="94"/>
        <v>0</v>
      </c>
      <c r="BL52" s="67">
        <f t="shared" si="94"/>
        <v>0</v>
      </c>
      <c r="BM52" s="69">
        <f t="shared" si="94"/>
        <v>0</v>
      </c>
      <c r="BN52" s="70">
        <f t="shared" si="94"/>
        <v>0</v>
      </c>
      <c r="BO52" s="70">
        <f t="shared" si="94"/>
        <v>0</v>
      </c>
      <c r="BP52" s="70">
        <f t="shared" si="94"/>
        <v>0</v>
      </c>
      <c r="BQ52" s="71">
        <f t="shared" si="94"/>
        <v>0</v>
      </c>
      <c r="BR52" s="68">
        <f t="shared" si="94"/>
        <v>0</v>
      </c>
      <c r="BS52" s="490">
        <f>IF($B52="LOSS",IF(AND($K52=BS$3,$C52="L"),-$O52,0)+IF(AND($K53=BS$3,$C53="L"),-$O53,0)+IF(AND($K54=BS$3,$C54="L"),-$O54,0),IF(OR(AND($K52=BS$3,OR($C52="W",$C52="1/2W")),AND($K53=BS$3,OR($C53="W",$C53="1/2W")),AND($K54=BS$3,OR($C54="W",$C54="1/2W"))),$S52,0))</f>
        <v>0</v>
      </c>
      <c r="BT52" s="498">
        <f>IF($B52="LOSS",IF(AND($K52=BT$3,$C52="L"),-$O52,0)+IF(AND($K53=BT$3,$C53="L"),-$O53,0)+IF(AND($K53=BT$3,$C54="L"),-$O54,0),IF(OR(AND($K53=BT$3,OR($C52="W",$C52="1/2W")),AND($K53=BT$3,OR($C53="W",$C53="1/2W")),AND($K53=BT$3,OR($C54="W",$C54="1/2W"))),$S52,0))</f>
        <v>0</v>
      </c>
      <c r="BU52" s="488">
        <f>IF($B52="LOSS",IF(AND($K52=BU$3,$C52="L"),-$O52,0)+IF(AND($K53=BU$3,$C53="L"),-$O53,0)+IF(AND($K53=BU$3,$C54="L"),-$O54,0),IF(OR(AND($K53=BU$3,OR($C52="W",$C52="1/2W")),AND($K53=BU$3,OR($C53="W",$C53="1/2W")),AND($K53=BU$3,OR($C54="W",$C54="1/2W"))),$S52,0))</f>
        <v>0</v>
      </c>
      <c r="BV52" s="488">
        <f t="shared" ref="BV52:CE52" si="105">IF($B52="LOSS",IF(AND($K52=BV$3,$C52="L"),-$O52,0)+IF(AND($K53=BV$3,$C53="L"),-$O53,0)+IF(AND($K54=BV$3,$C54="L"),-$O54,0),IF(OR(AND($K52=BV$3,OR($C52="W",$C52="1/2W")),AND($K53=BV$3,OR($C53="W",$C53="1/2W")),AND($K54=BV$3,OR($C54="W",$C54="1/2W"))),$S52,0))</f>
        <v>0</v>
      </c>
      <c r="BW52" s="488">
        <f t="shared" si="105"/>
        <v>0</v>
      </c>
      <c r="BX52" s="488">
        <f t="shared" si="105"/>
        <v>0</v>
      </c>
      <c r="BY52" s="488">
        <f t="shared" si="105"/>
        <v>0</v>
      </c>
      <c r="BZ52" s="488">
        <f t="shared" si="105"/>
        <v>0</v>
      </c>
      <c r="CA52" s="488">
        <f t="shared" si="105"/>
        <v>0</v>
      </c>
      <c r="CB52" s="488">
        <f t="shared" si="105"/>
        <v>0</v>
      </c>
      <c r="CC52" s="488">
        <f t="shared" si="105"/>
        <v>0</v>
      </c>
      <c r="CD52" s="500">
        <f t="shared" si="105"/>
        <v>0</v>
      </c>
      <c r="CE52" s="504">
        <f t="shared" si="105"/>
        <v>0</v>
      </c>
      <c r="CF52" s="160">
        <f t="shared" si="4"/>
        <v>0</v>
      </c>
      <c r="CG52" s="161">
        <f t="shared" si="5"/>
        <v>0</v>
      </c>
      <c r="CH52" s="161">
        <f t="shared" si="6"/>
        <v>1</v>
      </c>
      <c r="CI52" s="161">
        <f t="shared" si="7"/>
        <v>0</v>
      </c>
      <c r="CJ52" s="161">
        <f t="shared" si="8"/>
        <v>0</v>
      </c>
      <c r="CK52" s="161">
        <f t="shared" si="9"/>
        <v>0</v>
      </c>
      <c r="CL52" s="161">
        <f t="shared" si="10"/>
        <v>0</v>
      </c>
      <c r="CM52" s="161">
        <f t="shared" si="11"/>
        <v>0</v>
      </c>
      <c r="CN52" s="161">
        <f t="shared" si="12"/>
        <v>0</v>
      </c>
      <c r="CO52" s="161">
        <f t="shared" si="13"/>
        <v>0</v>
      </c>
      <c r="CP52" s="161">
        <f t="shared" si="14"/>
        <v>0</v>
      </c>
      <c r="CQ52" s="161">
        <f t="shared" si="15"/>
        <v>0</v>
      </c>
      <c r="CR52" s="161">
        <f t="shared" si="16"/>
        <v>0</v>
      </c>
      <c r="CS52" s="161">
        <f t="shared" si="17"/>
        <v>0</v>
      </c>
      <c r="CT52" s="75">
        <f t="shared" si="18"/>
        <v>0</v>
      </c>
      <c r="CU52" s="76">
        <f t="shared" si="19"/>
        <v>0</v>
      </c>
      <c r="CV52" s="76">
        <f t="shared" si="20"/>
        <v>0</v>
      </c>
      <c r="CW52" s="76">
        <f t="shared" si="21"/>
        <v>0</v>
      </c>
      <c r="CX52" s="76">
        <f t="shared" si="22"/>
        <v>0</v>
      </c>
      <c r="CY52" s="76">
        <f t="shared" si="23"/>
        <v>0</v>
      </c>
      <c r="CZ52" s="76">
        <f t="shared" si="24"/>
        <v>0</v>
      </c>
      <c r="DA52" s="76">
        <f t="shared" si="25"/>
        <v>0</v>
      </c>
      <c r="DB52" s="76">
        <f t="shared" si="26"/>
        <v>0</v>
      </c>
      <c r="DC52" s="76">
        <f t="shared" si="27"/>
        <v>0</v>
      </c>
      <c r="DD52" s="76">
        <f t="shared" si="28"/>
        <v>0</v>
      </c>
      <c r="DE52" s="77">
        <f t="shared" si="29"/>
        <v>0</v>
      </c>
      <c r="DF52" s="73">
        <f t="shared" si="31"/>
        <v>7</v>
      </c>
      <c r="DG52" s="67">
        <f t="shared" si="32"/>
        <v>9.57</v>
      </c>
      <c r="DH52" s="76">
        <f t="shared" si="33"/>
        <v>0</v>
      </c>
      <c r="DI52" s="67">
        <f t="shared" si="34"/>
        <v>0</v>
      </c>
      <c r="DJ52" s="76">
        <f>IF($D52="","",$D52)</f>
        <v>1</v>
      </c>
      <c r="DK52" s="492">
        <f>IF(AND($B52=" ",$D52&lt;&gt;""),1,0)</f>
        <v>0</v>
      </c>
    </row>
    <row r="53" spans="1:115" ht="14.5" customHeight="1" x14ac:dyDescent="0.2">
      <c r="A53" s="389"/>
      <c r="B53" s="456"/>
      <c r="C53" s="53" t="s">
        <v>55</v>
      </c>
      <c r="D53" s="374"/>
      <c r="E53" s="386"/>
      <c r="F53" s="377"/>
      <c r="G53" s="508"/>
      <c r="H53" s="476"/>
      <c r="I53" s="182" t="s">
        <v>72</v>
      </c>
      <c r="J53" s="163" t="str">
        <f>IF(OR(I52="TO",I52="TU",I52="TO1",I52="TU1",I52="TO2",I52="TU2"),J52,IF(OR(I52="AH1",I52="AH2"),IF(OR(I53="AH1",I53="AH2"),-J52,IF(OR(I53="EH1",I53="EH2"),-J52+0.5,"")),IF(OR(I52="EH1",I52="EH2"),IF(OR(I53="AH1",I53="AH2"),-J52+0.5,IF(OR(I53="EH1",I53="EH2"),-J52+1,"")),IF(AND(OR(I52="DNB1",I52="DNB2"),OR(I53="AH1",I53="AH2")),0,IF(AND(I52="Not ScoreBoth",OR(I53="TO1",I53="TO2")),0.5,"")))))</f>
        <v/>
      </c>
      <c r="K53" s="57" t="s">
        <v>40</v>
      </c>
      <c r="L53" s="164">
        <v>1.81</v>
      </c>
      <c r="M53" s="165"/>
      <c r="N53" s="406"/>
      <c r="O53" s="60">
        <f>IF(OR(AE52="",AE53=""),"",ROUND(IF(L54&gt;0,IF(M53&gt;0,M53,IF(M52&gt;0,IF(N52=TRUE,ROUND((M52*AE53)/AE52,0),(M52*AE53)/AE52),IF(M53&gt;0,ROUND(M53,IF(N52=0,2,IF(N52=0.1,1,0))),IF(M54&gt;0,ROUND(O54*AE53/AE54,IF(N52=0,2,IF(N52=0.1,1,0))),0)))),IF(M53&gt;0,M53,ROUND((M52*AE53)/AE52,IF(N52=0,2,IF(N52=0.1,1,0))))),2))</f>
        <v>9.5</v>
      </c>
      <c r="P53" s="61">
        <f>IF(OR(L53="",O53=""),"",IF($C53="1/2W",O53/2+O53/2*L53,IF($C53="1/2L",O53/2,IF(I53="Lay",((O53*(L53/(L53-1)))-O53)*(1-_xlfn.XLOOKUP(K53,'Fevereiro 2023 - Valor Real'!A3:A15,'Fevereiro 2023 - Valor Real'!C3:C15,0))+O53,(O53*L53-O53)*(1-_xlfn.XLOOKUP(K53,'Fevereiro 2023 - Valor Real'!A3:A15,'Fevereiro 2023 - Valor Real'!C3:C15,0))+O53))))</f>
        <v>17.195</v>
      </c>
      <c r="Q53" s="166">
        <f>IF(K53="","",IF(_xlfn.XLOOKUP(K53,K$10:K44,$DJ$10:DJ44,0,,-1)=DJ53,_xlfn.XLOOKUP(K53,K$10:K44,Q$10:Q44,1,,-1)+1,1))</f>
        <v>12</v>
      </c>
      <c r="R53" s="167">
        <f>IF(K53="","",_xlfn.XLOOKUP(K53,K$10:K44,R$10:R44,0,,-1)+IF($C53=" ",1,0))</f>
        <v>0</v>
      </c>
      <c r="S53" s="403"/>
      <c r="T53" s="380"/>
      <c r="U53" s="380"/>
      <c r="V53" s="481"/>
      <c r="W53" s="380"/>
      <c r="X53" s="452"/>
      <c r="Y53" s="383"/>
      <c r="Z53" s="384"/>
      <c r="AA53" s="384"/>
      <c r="AB53" s="384"/>
      <c r="AC53" s="384"/>
      <c r="AD53" s="64"/>
      <c r="AE53" s="65">
        <f>IF(L53="","",IF(L54&gt;0,(SUM(((L52-1)*(1-_xlfn.XLOOKUP(K52,'Fevereiro 2023 - Valor Real'!A3:A15,'Fevereiro 2023 - Valor Real'!C3:C15,0))+1),((L53-1)*(1-_xlfn.XLOOKUP(K53,'Fevereiro 2023 - Valor Real'!A3:A15,'Fevereiro 2023 - Valor Real'!C3:C15,0))+1),((L54-1)*(1-_xlfn.XLOOKUP(K54,'Fevereiro 2023 - Valor Real'!A3:A15,'Fevereiro 2023 - Valor Real'!C3:C15,0))+1))/((L53-1)*(1-_xlfn.XLOOKUP(K53,'Fevereiro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Real'!C3:C15,0))+1))/((L52-1)*(1-_xlfn.XLOOKUP(K52,'Fevereiro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Real'!C3:C15,0))+1))/((L53-1)*(1-_xlfn.XLOOKUP(K53,'Fevereiro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Real'!C3:C15,0))+1))/((L54-1)*(1-_xlfn.XLOOKUP(K54,'Fevereiro 2023 - Valor Real'!A3:A15,'Fevereiro 2023 - Valor Real'!C3:C15,0))+1)),IF(I53="Lay",IF(I52="Lay",((L52/(L52-1)-1)*(1-_xlfn.XLOOKUP(K52,'Fevereiro 2023 - Valor Real'!A3:A15,'Fevereiro 2023 - Valor Real'!C3:C15,0))+1)/(((L52/(L52-1)-1)*(1-_xlfn.XLOOKUP(K52,'Fevereiro 2023 - Valor Real'!A3:A15,'Fevereiro 2023 - Valor Real'!C3:C15,0))+1)+((L53/(L53-1)-1)*(1-_xlfn.XLOOKUP(K53,'Fevereiro 2023 - Valor Real'!A3:A15,'Fevereiro 2023 - Valor Real'!C3:C15,0))+1)),((L52-1)*(1-_xlfn.XLOOKUP(K52,'Fevereiro 2023 - Valor Real'!A3:A15,'Fevereiro 2023 - Valor Real'!C3:C15,0))+1)/(((L52-1)*(1-_xlfn.XLOOKUP(K52,'Fevereiro 2023 - Valor Real'!A3:A15,'Fevereiro 2023 - Valor Real'!C3:C15,0))+1)+((L53/(L53-1)-1)*(1-_xlfn.XLOOKUP(K53,'Fevereiro 2023 - Valor Real'!A3:A15,'Fevereiro 2023 - Valor Real'!C3:C15,0))+1))),IF(I52="Lay",((L52/(L52-1)-1)*(1-_xlfn.XLOOKUP(K52,'Fevereiro 2023 - Valor Real'!A3:A15,'Fevereiro 2023 - Valor Real'!C3:C15,0))+1)/((((L52/(L52-1)-1)*(1-_xlfn.XLOOKUP(K52,'Fevereiro 2023 - Valor Real'!A3:A15,'Fevereiro 2023 - Valor Real'!C3:C15,0))+1))+((L53-1)*(1-_xlfn.XLOOKUP(K53,'Fevereiro 2023 - Valor Real'!A3:A15,'Fevereiro 2023 - Valor Real'!C3:C15,0))+1)),((L52-1)*(1-_xlfn.XLOOKUP(K52,'Fevereiro 2023 - Valor Real'!A3:A15,'Fevereiro 2023 - Valor Real'!C3:C15,0))+1)/(((L52-1)*(1-_xlfn.XLOOKUP(K52,'Fevereiro 2023 - Valor Real'!A3:A15,'Fevereiro 2023 - Valor Real'!C3:C15,0))+1)+((L53-1)*(1-_xlfn.XLOOKUP(K53,'Fevereiro 2023 - Valor Real'!A3:A15,'Fevereiro 2023 - Valor Real'!C3:C15,0))+1))))))</f>
        <v>0.59866962305986704</v>
      </c>
      <c r="AF53" s="66">
        <f t="shared" si="92"/>
        <v>0</v>
      </c>
      <c r="AG53" s="67">
        <f t="shared" si="92"/>
        <v>0</v>
      </c>
      <c r="AH53" s="67">
        <f t="shared" si="92"/>
        <v>0</v>
      </c>
      <c r="AI53" s="67">
        <f t="shared" si="92"/>
        <v>0</v>
      </c>
      <c r="AJ53" s="67">
        <f t="shared" si="92"/>
        <v>-9.5</v>
      </c>
      <c r="AK53" s="67">
        <f t="shared" si="92"/>
        <v>0</v>
      </c>
      <c r="AL53" s="67">
        <f t="shared" si="92"/>
        <v>0</v>
      </c>
      <c r="AM53" s="67">
        <f t="shared" si="92"/>
        <v>0</v>
      </c>
      <c r="AN53" s="67">
        <f t="shared" si="92"/>
        <v>0</v>
      </c>
      <c r="AO53" s="67">
        <f t="shared" si="92"/>
        <v>0</v>
      </c>
      <c r="AP53" s="67">
        <f t="shared" si="92"/>
        <v>0</v>
      </c>
      <c r="AQ53" s="67">
        <f t="shared" si="92"/>
        <v>0</v>
      </c>
      <c r="AR53" s="68">
        <f t="shared" si="92"/>
        <v>0</v>
      </c>
      <c r="AS53" s="66">
        <f>IF(AND($B52=" ",$K53=AS$3),$O53,0)</f>
        <v>0</v>
      </c>
      <c r="AT53" s="67">
        <f>IF(AND($B52=" ",K53=AT$3),$O53,0)</f>
        <v>0</v>
      </c>
      <c r="AU53" s="67">
        <f t="shared" ref="AU53:BE53" si="106">IF(AND($B52=" ",$K53=AU$3),$O53,0)</f>
        <v>0</v>
      </c>
      <c r="AV53" s="67">
        <f t="shared" si="106"/>
        <v>0</v>
      </c>
      <c r="AW53" s="67">
        <f t="shared" si="106"/>
        <v>0</v>
      </c>
      <c r="AX53" s="67">
        <f t="shared" si="106"/>
        <v>0</v>
      </c>
      <c r="AY53" s="69">
        <f t="shared" si="106"/>
        <v>0</v>
      </c>
      <c r="AZ53" s="70">
        <f t="shared" si="106"/>
        <v>0</v>
      </c>
      <c r="BA53" s="70">
        <f t="shared" si="106"/>
        <v>0</v>
      </c>
      <c r="BB53" s="70">
        <f t="shared" si="106"/>
        <v>0</v>
      </c>
      <c r="BC53" s="71">
        <f t="shared" si="106"/>
        <v>0</v>
      </c>
      <c r="BD53" s="67">
        <f t="shared" si="106"/>
        <v>0</v>
      </c>
      <c r="BE53" s="68">
        <f t="shared" si="106"/>
        <v>0</v>
      </c>
      <c r="BF53" s="66">
        <f t="shared" si="94"/>
        <v>0</v>
      </c>
      <c r="BG53" s="168">
        <f t="shared" si="94"/>
        <v>0</v>
      </c>
      <c r="BH53" s="67">
        <f t="shared" si="94"/>
        <v>0</v>
      </c>
      <c r="BI53" s="67">
        <f t="shared" si="94"/>
        <v>0</v>
      </c>
      <c r="BJ53" s="67">
        <f t="shared" si="94"/>
        <v>9.5</v>
      </c>
      <c r="BK53" s="67">
        <f t="shared" si="94"/>
        <v>0</v>
      </c>
      <c r="BL53" s="67">
        <f t="shared" si="94"/>
        <v>0</v>
      </c>
      <c r="BM53" s="69">
        <f t="shared" si="94"/>
        <v>0</v>
      </c>
      <c r="BN53" s="70">
        <f t="shared" si="94"/>
        <v>0</v>
      </c>
      <c r="BO53" s="70">
        <f t="shared" si="94"/>
        <v>0</v>
      </c>
      <c r="BP53" s="70">
        <f t="shared" si="94"/>
        <v>0</v>
      </c>
      <c r="BQ53" s="71">
        <f t="shared" si="94"/>
        <v>0</v>
      </c>
      <c r="BR53" s="68">
        <f t="shared" si="94"/>
        <v>0</v>
      </c>
      <c r="BS53" s="491"/>
      <c r="BT53" s="489"/>
      <c r="BU53" s="392"/>
      <c r="BV53" s="489"/>
      <c r="BW53" s="392"/>
      <c r="BX53" s="392"/>
      <c r="BY53" s="392"/>
      <c r="BZ53" s="489"/>
      <c r="CA53" s="392"/>
      <c r="CB53" s="392"/>
      <c r="CC53" s="392"/>
      <c r="CD53" s="401"/>
      <c r="CE53" s="409"/>
      <c r="CF53" s="169">
        <f t="shared" si="4"/>
        <v>0</v>
      </c>
      <c r="CG53" s="170">
        <f t="shared" si="5"/>
        <v>0</v>
      </c>
      <c r="CH53" s="170">
        <f t="shared" si="6"/>
        <v>0</v>
      </c>
      <c r="CI53" s="170">
        <f t="shared" si="7"/>
        <v>0</v>
      </c>
      <c r="CJ53" s="170">
        <f t="shared" si="8"/>
        <v>0</v>
      </c>
      <c r="CK53" s="170">
        <f t="shared" si="9"/>
        <v>0</v>
      </c>
      <c r="CL53" s="170">
        <f t="shared" si="10"/>
        <v>0</v>
      </c>
      <c r="CM53" s="170">
        <f t="shared" si="11"/>
        <v>0</v>
      </c>
      <c r="CN53" s="170">
        <f t="shared" si="12"/>
        <v>0</v>
      </c>
      <c r="CO53" s="170">
        <f t="shared" si="13"/>
        <v>1</v>
      </c>
      <c r="CP53" s="170">
        <f t="shared" si="14"/>
        <v>0</v>
      </c>
      <c r="CQ53" s="170">
        <f t="shared" si="15"/>
        <v>0</v>
      </c>
      <c r="CR53" s="170">
        <f t="shared" si="16"/>
        <v>0</v>
      </c>
      <c r="CS53" s="170">
        <f t="shared" si="17"/>
        <v>0</v>
      </c>
      <c r="CT53" s="75">
        <f t="shared" si="18"/>
        <v>0</v>
      </c>
      <c r="CU53" s="76">
        <f t="shared" si="19"/>
        <v>0</v>
      </c>
      <c r="CV53" s="76">
        <f t="shared" si="20"/>
        <v>0</v>
      </c>
      <c r="CW53" s="76">
        <f t="shared" si="21"/>
        <v>0</v>
      </c>
      <c r="CX53" s="76">
        <f t="shared" si="22"/>
        <v>0</v>
      </c>
      <c r="CY53" s="76">
        <f t="shared" si="23"/>
        <v>0</v>
      </c>
      <c r="CZ53" s="76">
        <f t="shared" si="24"/>
        <v>0</v>
      </c>
      <c r="DA53" s="76">
        <f t="shared" si="25"/>
        <v>0</v>
      </c>
      <c r="DB53" s="76">
        <f t="shared" si="26"/>
        <v>0</v>
      </c>
      <c r="DC53" s="76">
        <f t="shared" si="27"/>
        <v>0</v>
      </c>
      <c r="DD53" s="76">
        <f t="shared" si="28"/>
        <v>0</v>
      </c>
      <c r="DE53" s="77">
        <f t="shared" si="29"/>
        <v>0</v>
      </c>
      <c r="DF53" s="73">
        <f t="shared" si="31"/>
        <v>7</v>
      </c>
      <c r="DG53" s="67">
        <f t="shared" si="32"/>
        <v>9.57</v>
      </c>
      <c r="DH53" s="76">
        <f t="shared" si="33"/>
        <v>0</v>
      </c>
      <c r="DI53" s="67">
        <f t="shared" si="34"/>
        <v>0</v>
      </c>
      <c r="DJ53" s="76">
        <f>IF($D52="","",$D52)</f>
        <v>1</v>
      </c>
      <c r="DK53" s="493"/>
    </row>
    <row r="54" spans="1:115" ht="14.5" customHeight="1" x14ac:dyDescent="0.2">
      <c r="A54" s="390"/>
      <c r="B54" s="457"/>
      <c r="C54" s="79" t="s">
        <v>53</v>
      </c>
      <c r="D54" s="375"/>
      <c r="E54" s="387"/>
      <c r="F54" s="378"/>
      <c r="G54" s="508"/>
      <c r="H54" s="477"/>
      <c r="I54" s="171"/>
      <c r="J54" s="172"/>
      <c r="K54" s="81"/>
      <c r="L54" s="173"/>
      <c r="M54" s="174"/>
      <c r="N54" s="407"/>
      <c r="O54" s="86" t="str">
        <f>IF(OR(AE52="",AE53=""),"",IF(L54&gt;0,ROUND(IF(M54&gt;0,M54,IF(M52&gt;0,ROUND((M52*AE54)/AE52,IF(N52=0,2,IF(N52=0.1,1,0))),IF(M53&gt;0,ROUND((M53*AE54)/AE53,IF(N52=0,2,IF(N52=0.1,1,0))),IF(M54&gt;0,M54,0)))),2),""))</f>
        <v/>
      </c>
      <c r="P54" s="87" t="str">
        <f>IF(I53="Lay",O53*(L53/(L53-1))-O53,IF(I52="Lay",O52*(L52/(L52-1))-O52,IF(OR(L54="",O54=""),"",IF($C54="1/2W",O54/2+O54/2*L54,IF($C54="1/2L",O54/2,(O54*L54-O54)*(1-_xlfn.XLOOKUP(K54,'Fevereiro 2023 - Valor Real'!A3:A15,'Fevereiro 2023 - Valor Real'!C3:C15,0))+O54)))))</f>
        <v/>
      </c>
      <c r="Q54" s="54" t="str">
        <f>IF(K54="","",IF(_xlfn.XLOOKUP(K54,K$11:K44,$DJ$11:DJ44,0,,-1)=DJ54,_xlfn.XLOOKUP(K54,K$11:K44,Q$11:Q44,1,,-1)+1,1))</f>
        <v/>
      </c>
      <c r="R54" s="87" t="str">
        <f>IF(K54="","",_xlfn.XLOOKUP(K54,K$11:K44,R$11:R44,0,,-1)+IF($C54=" ",1,0))</f>
        <v/>
      </c>
      <c r="S54" s="404"/>
      <c r="T54" s="378"/>
      <c r="U54" s="378"/>
      <c r="V54" s="404"/>
      <c r="W54" s="378"/>
      <c r="X54" s="453"/>
      <c r="Y54" s="383"/>
      <c r="Z54" s="384"/>
      <c r="AA54" s="384"/>
      <c r="AB54" s="384"/>
      <c r="AC54" s="384"/>
      <c r="AD54" s="90"/>
      <c r="AE54" s="91" t="str">
        <f>IF(L54="","",(SUM(((L52-1)*(1-_xlfn.XLOOKUP(K52,'Fevereiro 2023 - Valor Real'!A3:A15,'Fevereiro 2023 - Valor Real'!C3:C15,0))+1),((L53-1)*(1-_xlfn.XLOOKUP(K53,'Fevereiro 2023 - Valor Real'!A3:A15,'Fevereiro 2023 - Valor Real'!C3:C15,0))+1),((L54-1)*(1-_xlfn.XLOOKUP(K54,'Fevereiro 2023 - Valor Real'!A3:A15,'Fevereiro 2023 - Valor Real'!C3:C15,0))+1))/((L54-1)*(1-_xlfn.XLOOKUP(K54,'Fevereiro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Real'!C3:C15,0))+1))/((L52-1)*(1-_xlfn.XLOOKUP(K52,'Fevereiro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Real'!C3:C15,0))+1))/((L53-1)*(1-_xlfn.XLOOKUP(K53,'Fevereiro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Real'!C3:C15,0))+1))/((L54-1)*(1-_xlfn.XLOOKUP(K54,'Fevereiro 2023 - Valor Real'!A3:A15,'Fevereiro 2023 - Valor Real'!C3:C15,0))+1)))</f>
        <v/>
      </c>
      <c r="AF54" s="66">
        <f t="shared" ref="AF54:AR63" si="107">IF($K54=AF$3,ROUND(IF(OR($C54="W",$C54="1/2W",$C54="1/2L"),$P54-$O54,IF($C54="X",0,-$O54)),2),0)</f>
        <v>0</v>
      </c>
      <c r="AG54" s="67">
        <f t="shared" si="107"/>
        <v>0</v>
      </c>
      <c r="AH54" s="67">
        <f t="shared" si="107"/>
        <v>0</v>
      </c>
      <c r="AI54" s="67">
        <f t="shared" si="107"/>
        <v>0</v>
      </c>
      <c r="AJ54" s="67">
        <f t="shared" si="107"/>
        <v>0</v>
      </c>
      <c r="AK54" s="67">
        <f t="shared" si="107"/>
        <v>0</v>
      </c>
      <c r="AL54" s="67">
        <f t="shared" si="107"/>
        <v>0</v>
      </c>
      <c r="AM54" s="67">
        <f t="shared" si="107"/>
        <v>0</v>
      </c>
      <c r="AN54" s="67">
        <f t="shared" si="107"/>
        <v>0</v>
      </c>
      <c r="AO54" s="67">
        <f t="shared" si="107"/>
        <v>0</v>
      </c>
      <c r="AP54" s="67">
        <f t="shared" si="107"/>
        <v>0</v>
      </c>
      <c r="AQ54" s="67">
        <f t="shared" si="107"/>
        <v>0</v>
      </c>
      <c r="AR54" s="68">
        <f t="shared" si="107"/>
        <v>0</v>
      </c>
      <c r="AS54" s="66">
        <f>IF(AND($B52=" ",$K54=AS$3),$O54,0)</f>
        <v>0</v>
      </c>
      <c r="AT54" s="67">
        <f>IF(AND($B52=" ",K54=AT$3),$O54,0)</f>
        <v>0</v>
      </c>
      <c r="AU54" s="67">
        <f t="shared" ref="AU54:BE54" si="108">IF(AND($B52=" ",$K54=AU$3),$O54,0)</f>
        <v>0</v>
      </c>
      <c r="AV54" s="67">
        <f t="shared" si="108"/>
        <v>0</v>
      </c>
      <c r="AW54" s="67">
        <f t="shared" si="108"/>
        <v>0</v>
      </c>
      <c r="AX54" s="67">
        <f t="shared" si="108"/>
        <v>0</v>
      </c>
      <c r="AY54" s="69">
        <f t="shared" si="108"/>
        <v>0</v>
      </c>
      <c r="AZ54" s="70">
        <f t="shared" si="108"/>
        <v>0</v>
      </c>
      <c r="BA54" s="70">
        <f t="shared" si="108"/>
        <v>0</v>
      </c>
      <c r="BB54" s="70">
        <f t="shared" si="108"/>
        <v>0</v>
      </c>
      <c r="BC54" s="71">
        <f t="shared" si="108"/>
        <v>0</v>
      </c>
      <c r="BD54" s="67">
        <f t="shared" si="108"/>
        <v>0</v>
      </c>
      <c r="BE54" s="68">
        <f t="shared" si="108"/>
        <v>0</v>
      </c>
      <c r="BF54" s="66">
        <f t="shared" ref="BF54:BR63" si="109">IF($K54=BF$3,IF($C54="X",0,$O54),0)</f>
        <v>0</v>
      </c>
      <c r="BG54" s="168">
        <f t="shared" si="109"/>
        <v>0</v>
      </c>
      <c r="BH54" s="67">
        <f t="shared" si="109"/>
        <v>0</v>
      </c>
      <c r="BI54" s="67">
        <f t="shared" si="109"/>
        <v>0</v>
      </c>
      <c r="BJ54" s="67">
        <f t="shared" si="109"/>
        <v>0</v>
      </c>
      <c r="BK54" s="67">
        <f t="shared" si="109"/>
        <v>0</v>
      </c>
      <c r="BL54" s="67">
        <f t="shared" si="109"/>
        <v>0</v>
      </c>
      <c r="BM54" s="69">
        <f t="shared" si="109"/>
        <v>0</v>
      </c>
      <c r="BN54" s="70">
        <f t="shared" si="109"/>
        <v>0</v>
      </c>
      <c r="BO54" s="70">
        <f t="shared" si="109"/>
        <v>0</v>
      </c>
      <c r="BP54" s="70">
        <f t="shared" si="109"/>
        <v>0</v>
      </c>
      <c r="BQ54" s="71">
        <f t="shared" si="109"/>
        <v>0</v>
      </c>
      <c r="BR54" s="68">
        <f t="shared" si="109"/>
        <v>0</v>
      </c>
      <c r="BS54" s="491"/>
      <c r="BT54" s="489"/>
      <c r="BU54" s="392"/>
      <c r="BV54" s="489"/>
      <c r="BW54" s="392"/>
      <c r="BX54" s="392"/>
      <c r="BY54" s="392"/>
      <c r="BZ54" s="489"/>
      <c r="CA54" s="392"/>
      <c r="CB54" s="392"/>
      <c r="CC54" s="392"/>
      <c r="CD54" s="401"/>
      <c r="CE54" s="409"/>
      <c r="CF54" s="169">
        <f t="shared" si="4"/>
        <v>0</v>
      </c>
      <c r="CG54" s="170">
        <f t="shared" si="5"/>
        <v>0</v>
      </c>
      <c r="CH54" s="170">
        <f t="shared" si="6"/>
        <v>0</v>
      </c>
      <c r="CI54" s="170">
        <f t="shared" si="7"/>
        <v>0</v>
      </c>
      <c r="CJ54" s="170">
        <f t="shared" si="8"/>
        <v>0</v>
      </c>
      <c r="CK54" s="170">
        <f t="shared" si="9"/>
        <v>0</v>
      </c>
      <c r="CL54" s="170">
        <f t="shared" si="10"/>
        <v>0</v>
      </c>
      <c r="CM54" s="170">
        <f t="shared" si="11"/>
        <v>0</v>
      </c>
      <c r="CN54" s="170">
        <f t="shared" si="12"/>
        <v>0</v>
      </c>
      <c r="CO54" s="170">
        <f t="shared" si="13"/>
        <v>0</v>
      </c>
      <c r="CP54" s="170">
        <f t="shared" si="14"/>
        <v>0</v>
      </c>
      <c r="CQ54" s="170">
        <f t="shared" si="15"/>
        <v>0</v>
      </c>
      <c r="CR54" s="170">
        <f t="shared" si="16"/>
        <v>0</v>
      </c>
      <c r="CS54" s="170">
        <f t="shared" si="17"/>
        <v>0</v>
      </c>
      <c r="CT54" s="75">
        <f t="shared" si="18"/>
        <v>0</v>
      </c>
      <c r="CU54" s="76">
        <f t="shared" si="19"/>
        <v>0</v>
      </c>
      <c r="CV54" s="76">
        <f t="shared" si="20"/>
        <v>0</v>
      </c>
      <c r="CW54" s="76">
        <f t="shared" si="21"/>
        <v>0</v>
      </c>
      <c r="CX54" s="76">
        <f t="shared" si="22"/>
        <v>0</v>
      </c>
      <c r="CY54" s="76">
        <f t="shared" si="23"/>
        <v>0</v>
      </c>
      <c r="CZ54" s="76">
        <f t="shared" si="24"/>
        <v>0</v>
      </c>
      <c r="DA54" s="76">
        <f t="shared" si="25"/>
        <v>0</v>
      </c>
      <c r="DB54" s="76">
        <f t="shared" si="26"/>
        <v>0</v>
      </c>
      <c r="DC54" s="76">
        <f t="shared" si="27"/>
        <v>0</v>
      </c>
      <c r="DD54" s="76">
        <f t="shared" si="28"/>
        <v>0</v>
      </c>
      <c r="DE54" s="77">
        <f t="shared" si="29"/>
        <v>0</v>
      </c>
      <c r="DF54" s="73">
        <f t="shared" si="31"/>
        <v>7</v>
      </c>
      <c r="DG54" s="67">
        <f t="shared" si="32"/>
        <v>9.57</v>
      </c>
      <c r="DH54" s="76">
        <f t="shared" si="33"/>
        <v>0</v>
      </c>
      <c r="DI54" s="67">
        <f t="shared" si="34"/>
        <v>0</v>
      </c>
      <c r="DJ54" s="76">
        <f>IF($D52="","",$D52)</f>
        <v>1</v>
      </c>
      <c r="DK54" s="493"/>
    </row>
    <row r="55" spans="1:115" ht="14.5" customHeight="1" x14ac:dyDescent="0.2">
      <c r="A55" s="459">
        <f>$A52+1</f>
        <v>18</v>
      </c>
      <c r="B55" s="507" t="str">
        <f>IF(OR(C55="W",C56="W",C57="W",C55="1/2W",C56="1/2W",C57="1/2W",C55="1/2L",C56="1/2L",C57="1/2L"),"OK",IF(OR(C55="L",C56="L",C57="L"),"LOSS",IF(OR(C55="X",C56="X",C57="X"),"Anulado"," ")))</f>
        <v>OK</v>
      </c>
      <c r="C55" s="93" t="s">
        <v>55</v>
      </c>
      <c r="D55" s="468" t="s">
        <v>73</v>
      </c>
      <c r="E55" s="485" t="str">
        <f>IF(G55=""," ","– "&amp;COUNTIF(D$4:D57,$D55))</f>
        <v>– 1</v>
      </c>
      <c r="F55" s="509" t="str">
        <f ca="1">IF(G55="","",IF(OR(AND($C55&lt;&gt;" ",$C56=" "),AND($C56&lt;&gt;" ",$C55=" "),AND(L57&gt;0,OR(AND($C57&lt;&gt;" ",OR($C55=" ",$C56=" ")),AND($C57=" ",OR($C55&lt;&gt;" ",$C56&lt;&gt;" "))))),IF(SUM(F$6:F50)=0,1,LARGE(F$6:F50,1)+1),IF(MONTH(G55)=MONTH(TODAY()),IF(AND(DAY(G55)&lt;DAY(TODAY()),$B55=" "),IF(SUM(F$6:F50)=0,1,LARGE(F$6:F50,1)+1),IF($B55=" ",IF(AND(DAY(G55)=DAY(TODAY()),HOUR(G55)&lt;=HOUR(NOW())+1),IF(AND(HOUR(G55)+2&lt;=HOUR(NOW()),DAY(G55)&lt;=DAY(TODAY()),MINUTE(G55)&lt;=MINUTE(NOW())),IF(SUM(F$6:F50)=0,1,LARGE(F$6:F50,1)+1),IF(OR(MINUTE(G55)&lt;=MINUTE(NOW()),HOUR(G55)&lt;=HOUR(NOW())),"!!!","")),""),"")),"")))</f>
        <v/>
      </c>
      <c r="G55" s="482">
        <v>44990.333333333336</v>
      </c>
      <c r="H55" s="475" t="s">
        <v>74</v>
      </c>
      <c r="I55" s="94" t="s">
        <v>51</v>
      </c>
      <c r="J55" s="176"/>
      <c r="K55" s="96" t="s">
        <v>40</v>
      </c>
      <c r="L55" s="97">
        <v>5</v>
      </c>
      <c r="M55" s="98">
        <v>2.81</v>
      </c>
      <c r="N55" s="478">
        <v>0.1</v>
      </c>
      <c r="O55" s="99">
        <f>IF(OR(AE55="",AE56=""),"",ROUND(IF(L57&gt;0,IF(M55&gt;0,M55,IF(M56&gt;0,ROUND((M56*AE55)/AE56,IF(N55=0,2,IF(N55=0.1,1,0))),ROUND((M57*AE55)/AE57,IF(N55=0,2,IF(N55=0.1,1,0))))),IF(M55&gt;0,M55,ROUND((M56*AE55)/AE56,IF(N55=0,2,IF(N55=0.1,1,0))))),2))</f>
        <v>2.81</v>
      </c>
      <c r="P55" s="100">
        <f>IF(OR(L55="",O55=""),"",IF($C55="1/2W",O55/2+O55/2*L55,IF($C55="1/2L",O55/2,IF(I55="Lay",(O55*(L55/(L55-1))-O55)*(1-_xlfn.XLOOKUP(K55,'Fevereiro 2023 - Valor Real'!A3:A15,'Fevereiro 2023 - Valor Real'!C3:C15,0))+O55,(O55*L55-O55)*(1-_xlfn.XLOOKUP(K55,'Fevereiro 2023 - Valor Real'!A3:A15,'Fevereiro 2023 - Valor Real'!C3:C15,0))+O55))))</f>
        <v>14.05</v>
      </c>
      <c r="Q55" s="101">
        <f>IF(K55="","",IF(_xlfn.XLOOKUP(K55,K$6:K50,$DJ$6:DJ50,0,,-1)=DJ55,_xlfn.XLOOKUP(K55,K$6:K50,Q$6:Q50,1,,-1)+1,1))</f>
        <v>1</v>
      </c>
      <c r="R55" s="102">
        <f>IF(K55="","",_xlfn.XLOOKUP(K55,K$6:K50,R$6:R50,0,,-1)+IF($C55=" ",1,0))</f>
        <v>0</v>
      </c>
      <c r="S55" s="474">
        <f>IF($B55="Anulado",0,ROUND(IF(OR($B55="LOSS",$B55="OK"),IF(OR($C55="W",$C55="1/2W",$C55="1/2L"),P55-O55,IF($C55="L",-O55,0))+IF(OR($C56="W",$C56="1/2W",$C56="1/2L"),P56-O56,IF($C56="L",-O56,0))+IF(OR($C57="W",$C57="1/2W",$C57="1/2L"),P57-O57,IF($C57="L",-O57,0)),IF(AND(OR($C55="W",$C55="1/2W",$C55="1/2L"),C56="W"),P55+P56-SUM(O55:O57)+_xlfn.XLOOKUP("X",C55:C57,O55:O57,0),IF(AND(C55=TRUE,C57="W"),P55+P57-SUM(O55:O57),IF(AND(C56="W",C57="W"),P56+P57-SUM(O55:O57)+_xlfn.XLOOKUP("X",C55:C57,O55:O57,0),IF(L57&gt;0,IF(OR($C55="W",$C55="1/2W",$C55="1/2L"),P55-SUM(O55:O57)+_xlfn.XLOOKUP("X",C55:C57,O55:O57,0),IF(OR($C55="W",$C55="1/2W",$C55="1/2L"),P56-SUM(O55:O57)+_xlfn.XLOOKUP("X",C55:C57,O55:O57,0),IF(OR($C55="W",$C55="1/2W",$C55="1/2L"),P57-SUM(O55:O57)+_xlfn.XLOOKUP("X",C55:C57,O55:O57,0),IF(SUM(P55:P57)/3-SUM(O55:O57)+_xlfn.XLOOKUP("X",C55:C57,O55:O57,0)&gt;0,SUM(P55:P57)/3-SUM(O55:O57)+_xlfn.XLOOKUP("X",C55:C57,O55:O57,0),LARGE(P55:P57,1)-SUM(O55:O57))))),IF(OR($C55="W",$C55="1/2W",$C55="1/2L"),P55-SUM(O55:O56)+_xlfn.XLOOKUP("X",C55:C57,O55:O57,0),IF(OR($C55="W",$C55="1/2W",$C55="1/2L"),P56-SUM(O55:O56)+_xlfn.XLOOKUP("X",C55:C57,O55:O57,0),SUM(P55:P56)/2-SUM(O55:O56)+_xlfn.XLOOKUP("X",C55:C57,O55:O57,0)))))))),2))</f>
        <v>1</v>
      </c>
      <c r="T55" s="458">
        <f>IF(S55=0,0,S55/SUM(O55:O57))</f>
        <v>7.6277650648360021E-2</v>
      </c>
      <c r="U55" s="470">
        <f>IF($D55=$D52,IF(OR($B55="LOSS",$B55="OK",$B55="Anulada"),S55,0)+U52,IF(OR($B55="LOSS",$B55="OK",$B55="Anulada"),S55,0))</f>
        <v>1</v>
      </c>
      <c r="V55" s="470">
        <f>IF($D55="",0,IF($D55=$D52,IF($B55=" ",IF(I57="",IF(OR(AND(I55="DNB1",I56="DNB2"),AND(OR(I55="DNB1",I55="DNB2"),J56=0),AND(OR(I56="DNB1",I56="DNB2"),J55=0),AND(I55="DNB2",I56="DNB1"),AND(IF(J55=0,(J55+1)/ROUND(J55+1,0),J55/ROUND(J55,0))=1,IF(J56=0,(J56+1)/ROUND(IF(J56="",0,J56)+1,0),IF(J56="",0,J56)/ROUND(IF(J56="",1,J56),0))=1,OR(J55&lt;&gt;""),J56&lt;&gt;"")),0,IF(S55&lt;0,IF(I57="",SMALL(P55:P56,1)-SUM(O55:O56),0),SMALL(P55:P56,1)-SUM(O55:O56))),IF(S55&lt;0,IF(I57="",SMALL(P55:P57,1)-SUM(O55:O57),0),LARGE(P55:P57,1)-SUM(O55:O57))),S55)+V52,IF(I57="",IF(OR(AND(I55="DNB1",I56="DNB2"),AND(OR(I55="DNB1",I55="DNB2"),J56=0),AND(OR(I56="DNB1",I56="DNB2"),J55=0),AND(I55="DNB2",I56="DNB1"),AND(IF(J55=0,(J55+1)/ROUND(J55+1,0),J55/ROUND(J55,0))=1,IF(J56=0,(IF(J56="",0,J56)+1)/ROUND(IF(J56="",0,J56)+1,0),IF(J56="",0,J56)/ROUND(IF(J56="",0,J56)+1,0))=1,OR(J55&lt;&gt;""),J56&lt;&gt;"")),0,IF(S55&lt;0,IF(I57="",SMALL(P55:P56,1)-SUM(O55:O56),0),SMALL(P55:P57,1)-SUM(O55:O57))),IF(S55&lt;0,IF(I57="",SMALL(P55:P57,1)-SUM(O55:O57),0),LARGE(P55:P57,1)-SUM(O55:O57)))))</f>
        <v>0.9399999999999995</v>
      </c>
      <c r="W55" s="470">
        <f>IF($D55=$D52,IF(S55&lt;0,IF(I57="",S55,0),S55)+W52,S55)</f>
        <v>1</v>
      </c>
      <c r="X55" s="480" t="str">
        <f>IF(OR(SUM(R55:R57)=0,V55=W55),ROUND(IF(W55=0,0,W55/Y55)*100,2)&amp;"%",ROUND(IF(V55=0,0,V55/Y55)*100,2)&amp;"% a "&amp;ROUND(IF(W55=0,0,W55/Y55)*100,2)&amp;"%")</f>
        <v>7,63%</v>
      </c>
      <c r="Y55" s="471">
        <f>IF($D55=$D52,Y52+SUM(O55:O57),SUM(O55:O57))</f>
        <v>13.110000000000001</v>
      </c>
      <c r="Z55" s="470">
        <f>IF($B55=" ",SUM(O55:O57),0)+Z52</f>
        <v>0</v>
      </c>
      <c r="AA55" s="470">
        <f>IF(G55="","",IF($B55="Anulado",LARGE(P55:P57,1)-SUM(O55:O57)+AA52,AA52))</f>
        <v>0.45899999999999785</v>
      </c>
      <c r="AB55" s="470">
        <f>IF($D55="","",AB52+S55)</f>
        <v>29.65</v>
      </c>
      <c r="AC55" s="472">
        <f ca="1">IF($D55="","",IF($B55=" ",IF(DAY(G55)=DAY(TODAY()),1+AC52,0+AC52),0+AC52))</f>
        <v>0</v>
      </c>
      <c r="AD55" s="103">
        <f>(((L56/(L56-1)-1)*(1-_xlfn.XLOOKUP(K56,'Fevereiro 2023 - Valor Real'!A3:A15,'Fevereiro 2023 - Valor Real'!C3:C15,0))+1))/(((L55-1)*(1-_xlfn.XLOOKUP(K55,'Fevereiro 2023 - Valor Real'!A3:A15,'Fevereiro 2023 - Valor Real'!C3:C15,0))+1)+((L56/(L56-1)-1)*(1-_xlfn.XLOOKUP(K56,'Fevereiro 2023 - Valor Real'!A3:A15,'Fevereiro 2023 - Valor Real'!C3:C15,0))+1))</f>
        <v>0.42546583850931669</v>
      </c>
      <c r="AE55" s="104">
        <f>IF(L55="","",IF(L57&gt;0,(SUM(((L55-1)*(1-_xlfn.XLOOKUP(K55,'Fevereiro 2023 - Valor Real'!A3:A15,'Fevereiro 2023 - Valor Real'!C3:C15,0))+1),((L56-1)*(1-_xlfn.XLOOKUP(K56,'Fevereiro 2023 - Valor Real'!A3:A15,'Fevereiro 2023 - Valor Real'!C3:C15,0))+1),((L57-1)*(1-_xlfn.XLOOKUP(K57,'Fevereiro 2023 - Valor Real'!A3:A15,'Fevereiro 2023 - Valor Real'!C3:C15,0))+1))/((L55-1)*(1-_xlfn.XLOOKUP(K55,'Fevereiro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Real'!C3:C15,0))+1))/((L55-1)*(1-_xlfn.XLOOKUP(K55,'Fevereiro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Real'!C3:C15,0))+1))/((L56-1)*(1-_xlfn.XLOOKUP(K56,'Fevereiro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Real'!C3:C15,0))+1))/((L57-1)*(1-_xlfn.XLOOKUP(K57,'Fevereiro 2023 - Valor Real'!A3:A15,'Fevereiro 2023 - Valor Real'!C3:C15,0))+1)),IF(I55="Lay",IF(I56="Lay",((L56/(L56-1)-1)*(1-_xlfn.XLOOKUP(K56,'Fevereiro 2023 - Valor Real'!A3:A15,'Fevereiro 2023 - Valor Real'!C3:C15,0))+1)/(((L56/(L56-1)-1)*(1-_xlfn.XLOOKUP(K56,'Fevereiro 2023 - Valor Real'!A3:A15,'Fevereiro 2023 - Valor Real'!C3:C15,0))+1)+((L55/(L55-1)-1)*(1-_xlfn.XLOOKUP(K55,'Fevereiro 2023 - Valor Real'!A3:A15,'Fevereiro 2023 - Valor Real'!C3:C15,0))+1)),((L56-1)*(1-_xlfn.XLOOKUP(K56,'Fevereiro 2023 - Valor Real'!A3:A15,'Fevereiro 2023 - Valor Real'!C3:C15,0))+1)/(((L56-1)*(1-_xlfn.XLOOKUP(K56,'Fevereiro 2023 - Valor Real'!A3:A15,'Fevereiro 2023 - Valor Real'!C3:C15,0))+1)+((L55/(L55-1)-1)*(1-_xlfn.XLOOKUP(K55,'Fevereiro 2023 - Valor Real'!A3:A15,'Fevereiro 2023 - Valor Real'!C3:C15,0))+1))),IF(I56="Lay",(((L56/(L56-1)-1)*(1-_xlfn.XLOOKUP(K56,'Fevereiro 2023 - Valor Real'!A3:A15,'Fevereiro 2023 - Valor Real'!C3:C15,0))+1))/(((L55-1)*(1-_xlfn.XLOOKUP(K55,'Fevereiro 2023 - Valor Real'!A3:A15,'Fevereiro 2023 - Valor Real'!C3:C15,0))+1)+((L56/(L56-1)-1)*(1-_xlfn.XLOOKUP(K56,'Fevereiro 2023 - Valor Real'!A3:A15,'Fevereiro 2023 - Valor Real'!C3:C15,0))+1)),((L56-1)*(1-_xlfn.XLOOKUP(K56,'Fevereiro 2023 - Valor Real'!A3:A15,'Fevereiro 2023 - Valor Real'!C3:C15,0))+1)/(((L56-1)*(1-_xlfn.XLOOKUP(K56,'Fevereiro 2023 - Valor Real'!A3:A15,'Fevereiro 2023 - Valor Real'!C3:C15,0))+1)+((L55-1)*(1-_xlfn.XLOOKUP(K55,'Fevereiro 2023 - Valor Real'!A3:A15,'Fevereiro 2023 - Valor Real'!C3:C15,0))+1))))))</f>
        <v>0.21507064364207223</v>
      </c>
      <c r="AF55" s="105">
        <f t="shared" si="107"/>
        <v>0</v>
      </c>
      <c r="AG55" s="106">
        <f t="shared" si="107"/>
        <v>0</v>
      </c>
      <c r="AH55" s="106">
        <f t="shared" si="107"/>
        <v>0</v>
      </c>
      <c r="AI55" s="106">
        <f t="shared" si="107"/>
        <v>0</v>
      </c>
      <c r="AJ55" s="106">
        <f t="shared" si="107"/>
        <v>-2.81</v>
      </c>
      <c r="AK55" s="106">
        <f t="shared" si="107"/>
        <v>0</v>
      </c>
      <c r="AL55" s="106">
        <f t="shared" si="107"/>
        <v>0</v>
      </c>
      <c r="AM55" s="106">
        <f t="shared" si="107"/>
        <v>0</v>
      </c>
      <c r="AN55" s="106">
        <f t="shared" si="107"/>
        <v>0</v>
      </c>
      <c r="AO55" s="106">
        <f t="shared" si="107"/>
        <v>0</v>
      </c>
      <c r="AP55" s="106">
        <f t="shared" si="107"/>
        <v>0</v>
      </c>
      <c r="AQ55" s="106">
        <f t="shared" si="107"/>
        <v>0</v>
      </c>
      <c r="AR55" s="107">
        <f t="shared" si="107"/>
        <v>0</v>
      </c>
      <c r="AS55" s="105">
        <f t="shared" ref="AS55:BE55" si="110">IF(AND($B55=" ",$K55=AS$3),$O55,0)</f>
        <v>0</v>
      </c>
      <c r="AT55" s="106">
        <f t="shared" si="110"/>
        <v>0</v>
      </c>
      <c r="AU55" s="106">
        <f t="shared" si="110"/>
        <v>0</v>
      </c>
      <c r="AV55" s="106">
        <f t="shared" si="110"/>
        <v>0</v>
      </c>
      <c r="AW55" s="106">
        <f t="shared" si="110"/>
        <v>0</v>
      </c>
      <c r="AX55" s="106">
        <f t="shared" si="110"/>
        <v>0</v>
      </c>
      <c r="AY55" s="108">
        <f t="shared" si="110"/>
        <v>0</v>
      </c>
      <c r="AZ55" s="109">
        <f t="shared" si="110"/>
        <v>0</v>
      </c>
      <c r="BA55" s="109">
        <f t="shared" si="110"/>
        <v>0</v>
      </c>
      <c r="BB55" s="109">
        <f t="shared" si="110"/>
        <v>0</v>
      </c>
      <c r="BC55" s="110">
        <f t="shared" si="110"/>
        <v>0</v>
      </c>
      <c r="BD55" s="106">
        <f t="shared" si="110"/>
        <v>0</v>
      </c>
      <c r="BE55" s="107">
        <f t="shared" si="110"/>
        <v>0</v>
      </c>
      <c r="BF55" s="111">
        <f t="shared" si="109"/>
        <v>0</v>
      </c>
      <c r="BG55" s="106">
        <f t="shared" si="109"/>
        <v>0</v>
      </c>
      <c r="BH55" s="106">
        <f t="shared" si="109"/>
        <v>0</v>
      </c>
      <c r="BI55" s="106">
        <f t="shared" si="109"/>
        <v>0</v>
      </c>
      <c r="BJ55" s="106">
        <f t="shared" si="109"/>
        <v>2.81</v>
      </c>
      <c r="BK55" s="106">
        <f t="shared" si="109"/>
        <v>0</v>
      </c>
      <c r="BL55" s="106">
        <f t="shared" si="109"/>
        <v>0</v>
      </c>
      <c r="BM55" s="108">
        <f t="shared" si="109"/>
        <v>0</v>
      </c>
      <c r="BN55" s="109">
        <f t="shared" si="109"/>
        <v>0</v>
      </c>
      <c r="BO55" s="109">
        <f t="shared" si="109"/>
        <v>0</v>
      </c>
      <c r="BP55" s="109">
        <f t="shared" si="109"/>
        <v>0</v>
      </c>
      <c r="BQ55" s="110">
        <f t="shared" si="109"/>
        <v>0</v>
      </c>
      <c r="BR55" s="107">
        <f t="shared" si="109"/>
        <v>0</v>
      </c>
      <c r="BS55" s="463">
        <f>IF($B55="LOSS",IF(AND($K55=BS$3,$C55="L"),-$O55,0)+IF(AND($K56=BS$3,$C56="L"),-$O56,0)+IF(AND($K57=BS$3,$C57="L"),-$O57,0),IF(OR(AND($K55=BS$3,OR($C55="W",$C55="1/2W")),AND($K56=BS$3,OR($C56="W",$C56="1/2W")),AND($K57=BS$3,OR($C57="W",$C57="1/2W"))),$S55,0))</f>
        <v>0</v>
      </c>
      <c r="BT55" s="462">
        <f>IF($B55="LOSS",IF(AND($K55=BT$3,$C55="L"),-$O55,0)+IF(AND($K56=BT$3,$C56="L"),-$O56,0)+IF(AND($K56=BT$3,$C57="L"),-$O57,0),IF(OR(AND($K56=BT$3,OR($C55="W",$C55="1/2W")),AND($K56=BT$3,OR($C56="W",$C56="1/2W")),AND($K56=BT$3,OR($C57="W",$C57="1/2W"))),$S55,0))</f>
        <v>0</v>
      </c>
      <c r="BU55" s="462">
        <f>IF($B55="LOSS",IF(AND($K55=BU$3,$C55="L"),-$O55,0)+IF(AND($K56=BU$3,$C56="L"),-$O56,0)+IF(AND($K56=BU$3,$C57="L"),-$O57,0),IF(OR(AND($K56=BU$3,OR($C55="W",$C55="1/2W")),AND($K56=BU$3,OR($C56="W",$C56="1/2W")),AND($K56=BU$3,OR($C57="W",$C57="1/2W"))),$S55,0))</f>
        <v>0</v>
      </c>
      <c r="BV55" s="462">
        <f t="shared" ref="BV55:CE55" si="111">IF($B55="LOSS",IF(AND($K55=BV$3,$C55="L"),-$O55,0)+IF(AND($K56=BV$3,$C56="L"),-$O56,0)+IF(AND($K57=BV$3,$C57="L"),-$O57,0),IF(OR(AND($K55=BV$3,OR($C55="W",$C55="1/2W")),AND($K56=BV$3,OR($C56="W",$C56="1/2W")),AND($K57=BV$3,OR($C57="W",$C57="1/2W"))),$S55,0))</f>
        <v>0</v>
      </c>
      <c r="BW55" s="462">
        <f t="shared" si="111"/>
        <v>0</v>
      </c>
      <c r="BX55" s="462">
        <f t="shared" si="111"/>
        <v>0</v>
      </c>
      <c r="BY55" s="462">
        <f t="shared" si="111"/>
        <v>0</v>
      </c>
      <c r="BZ55" s="460">
        <f t="shared" si="111"/>
        <v>0</v>
      </c>
      <c r="CA55" s="460">
        <f t="shared" si="111"/>
        <v>0</v>
      </c>
      <c r="CB55" s="460">
        <f t="shared" si="111"/>
        <v>0</v>
      </c>
      <c r="CC55" s="460">
        <f t="shared" si="111"/>
        <v>0</v>
      </c>
      <c r="CD55" s="473">
        <f t="shared" si="111"/>
        <v>1</v>
      </c>
      <c r="CE55" s="479">
        <f t="shared" si="111"/>
        <v>0</v>
      </c>
      <c r="CF55" s="113">
        <f t="shared" si="4"/>
        <v>0</v>
      </c>
      <c r="CG55" s="114">
        <f t="shared" si="5"/>
        <v>0</v>
      </c>
      <c r="CH55" s="114">
        <f t="shared" si="6"/>
        <v>0</v>
      </c>
      <c r="CI55" s="114">
        <f t="shared" si="7"/>
        <v>0</v>
      </c>
      <c r="CJ55" s="114">
        <f t="shared" si="8"/>
        <v>0</v>
      </c>
      <c r="CK55" s="114">
        <f t="shared" si="9"/>
        <v>0</v>
      </c>
      <c r="CL55" s="114">
        <f t="shared" si="10"/>
        <v>0</v>
      </c>
      <c r="CM55" s="114">
        <f t="shared" si="11"/>
        <v>0</v>
      </c>
      <c r="CN55" s="114">
        <f t="shared" si="12"/>
        <v>0</v>
      </c>
      <c r="CO55" s="114">
        <f t="shared" si="13"/>
        <v>1</v>
      </c>
      <c r="CP55" s="114">
        <f t="shared" si="14"/>
        <v>0</v>
      </c>
      <c r="CQ55" s="114">
        <f t="shared" si="15"/>
        <v>0</v>
      </c>
      <c r="CR55" s="114">
        <f t="shared" si="16"/>
        <v>0</v>
      </c>
      <c r="CS55" s="114">
        <f t="shared" si="17"/>
        <v>0</v>
      </c>
      <c r="CT55" s="115">
        <f t="shared" si="18"/>
        <v>0</v>
      </c>
      <c r="CU55" s="116">
        <f t="shared" si="19"/>
        <v>0</v>
      </c>
      <c r="CV55" s="116">
        <f t="shared" si="20"/>
        <v>0</v>
      </c>
      <c r="CW55" s="116">
        <f t="shared" si="21"/>
        <v>0</v>
      </c>
      <c r="CX55" s="116">
        <f t="shared" si="22"/>
        <v>0</v>
      </c>
      <c r="CY55" s="116">
        <f t="shared" si="23"/>
        <v>0</v>
      </c>
      <c r="CZ55" s="116">
        <f t="shared" si="24"/>
        <v>0</v>
      </c>
      <c r="DA55" s="116">
        <f t="shared" si="25"/>
        <v>0</v>
      </c>
      <c r="DB55" s="116">
        <f t="shared" si="26"/>
        <v>0</v>
      </c>
      <c r="DC55" s="116">
        <f t="shared" si="27"/>
        <v>0</v>
      </c>
      <c r="DD55" s="116">
        <f t="shared" si="28"/>
        <v>0</v>
      </c>
      <c r="DE55" s="117">
        <f t="shared" si="29"/>
        <v>0</v>
      </c>
      <c r="DF55" s="118">
        <f t="shared" si="31"/>
        <v>7</v>
      </c>
      <c r="DG55" s="106">
        <f t="shared" si="32"/>
        <v>9.57</v>
      </c>
      <c r="DH55" s="116">
        <f t="shared" si="33"/>
        <v>0</v>
      </c>
      <c r="DI55" s="106">
        <f t="shared" si="34"/>
        <v>0</v>
      </c>
      <c r="DJ55" s="201" t="str">
        <f>IF($D55="","",$D55)</f>
        <v>2</v>
      </c>
      <c r="DK55" s="465">
        <f>IF(AND($B55=" ",$D55&lt;&gt;""),1,0)</f>
        <v>0</v>
      </c>
    </row>
    <row r="56" spans="1:115" ht="14.5" customHeight="1" x14ac:dyDescent="0.2">
      <c r="A56" s="389"/>
      <c r="B56" s="456"/>
      <c r="C56" s="120" t="s">
        <v>54</v>
      </c>
      <c r="D56" s="374"/>
      <c r="E56" s="386"/>
      <c r="F56" s="377"/>
      <c r="G56" s="483"/>
      <c r="H56" s="476"/>
      <c r="I56" s="121" t="s">
        <v>52</v>
      </c>
      <c r="J56" s="122">
        <f>IF(OR(I55="TO",I55="TU",I55="TO1",I55="TU1",I55="TO2",I55="TU2"),J55,IF(OR(I55="AH1",I55="AH2"),IF(OR(I56="AH1",I56="AH2"),-J55,IF(OR(I56="EH1",I56="EH2"),-J55+0.5,"")),IF(OR(I55="EH1",I55="EH2"),IF(OR(I56="AH1",I56="AH2"),-J55+0.5,IF(OR(I56="EH1",I56="EH2"),-J55+1,"")),IF(AND(OR(I55="DNB1",I55="DNB2"),OR(I56="AH1",I56="AH2")),0,IF(AND(I55="Not ScoreBoth",OR(I56="TO1",I56="TO2")),0.5,"")))))</f>
        <v>0</v>
      </c>
      <c r="K56" s="123" t="s">
        <v>47</v>
      </c>
      <c r="L56" s="124">
        <v>1.37</v>
      </c>
      <c r="M56" s="125"/>
      <c r="N56" s="406"/>
      <c r="O56" s="126">
        <f>IF(OR(AE55="",AE56=""),"",ROUND(IF(L57&gt;0,IF(M56&gt;0,M56,IF(M55&gt;0,IF(N55=TRUE,ROUND((M55*AE56)/AE55,0),(M55*AE56)/AE55),IF(M56&gt;0,ROUND(M56,IF(N55=0,2,IF(N55=0.1,1,0))),IF(M57&gt;0,ROUND(O57*AE56/AE57,IF(N55=0,2,IF(N55=0.1,1,0))),0)))),IF(M56&gt;0,M56,ROUND((M55*AE56)/AE55,IF(N55=0,2,IF(N55=0.1,1,0))))),2))</f>
        <v>10.3</v>
      </c>
      <c r="P56" s="127">
        <f>IF(OR(L56="",O56=""),"",IF($C56="1/2W",O56/2+O56/2*L56,IF($C56="1/2L",O56/2,IF(I56="Lay",((O56*(L56/(L56-1)))-O56)*(1-_xlfn.XLOOKUP(K56,'Fevereiro 2023 - Valor Real'!A3:A15,'Fevereiro 2023 - Valor Real'!C3:C15,0))+O56,(O56*L56-O56)*(1-_xlfn.XLOOKUP(K56,'Fevereiro 2023 - Valor Real'!A3:A15,'Fevereiro 2023 - Valor Real'!C3:C15,0))+O56))))</f>
        <v>14.111000000000002</v>
      </c>
      <c r="Q56" s="128">
        <f>IF(K56="","",IF(_xlfn.XLOOKUP(K56,K$7:K50,$DJ$7:DJ50,0,,-1)=DJ56,_xlfn.XLOOKUP(K56,K$7:K50,Q$7:Q50,1,,-1)+1,1))</f>
        <v>1</v>
      </c>
      <c r="R56" s="129">
        <f>IF(K56="","",_xlfn.XLOOKUP(K56,K$7:K50,R$7:R50,0,,-1)+IF($C56=" ",1,0))</f>
        <v>0</v>
      </c>
      <c r="S56" s="403"/>
      <c r="T56" s="380"/>
      <c r="U56" s="380"/>
      <c r="V56" s="481"/>
      <c r="W56" s="380"/>
      <c r="X56" s="452"/>
      <c r="Y56" s="383"/>
      <c r="Z56" s="384"/>
      <c r="AA56" s="384"/>
      <c r="AB56" s="384"/>
      <c r="AC56" s="384"/>
      <c r="AD56" s="130">
        <f>(((L56/(L56-1)-1)*(1-_xlfn.XLOOKUP(K56,'Fevereiro 2023 - Valor Real'!A3:A15,'Fevereiro 2023 - Valor Real'!C3:C15,0))+1))</f>
        <v>3.7027027027027017</v>
      </c>
      <c r="AE56" s="131">
        <f>IF(L56="","",IF(L57&gt;0,(SUM(((L55-1)*(1-_xlfn.XLOOKUP(K55,'Fevereiro 2023 - Valor Real'!A3:A15,'Fevereiro 2023 - Valor Real'!C3:C15,0))+1),((L56-1)*(1-_xlfn.XLOOKUP(K56,'Fevereiro 2023 - Valor Real'!A3:A15,'Fevereiro 2023 - Valor Real'!C3:C15,0))+1),((L57-1)*(1-_xlfn.XLOOKUP(K57,'Fevereiro 2023 - Valor Real'!A3:A15,'Fevereiro 2023 - Valor Real'!C3:C15,0))+1))/((L56-1)*(1-_xlfn.XLOOKUP(K56,'Fevereiro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Real'!C3:C15,0))+1))/((L55-1)*(1-_xlfn.XLOOKUP(K55,'Fevereiro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Real'!C3:C15,0))+1))/((L56-1)*(1-_xlfn.XLOOKUP(K56,'Fevereiro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Real'!C3:C15,0))+1))/((L57-1)*(1-_xlfn.XLOOKUP(K57,'Fevereiro 2023 - Valor Real'!A3:A15,'Fevereiro 2023 - Valor Real'!C3:C15,0))+1)),IF(I56="Lay",IF(I55="Lay",((L55/(L55-1)-1)*(1-_xlfn.XLOOKUP(K55,'Fevereiro 2023 - Valor Real'!A3:A15,'Fevereiro 2023 - Valor Real'!C3:C15,0))+1)/(((L55/(L55-1)-1)*(1-_xlfn.XLOOKUP(K55,'Fevereiro 2023 - Valor Real'!A3:A15,'Fevereiro 2023 - Valor Real'!C3:C15,0))+1)+((L56/(L56-1)-1)*(1-_xlfn.XLOOKUP(K56,'Fevereiro 2023 - Valor Real'!A3:A15,'Fevereiro 2023 - Valor Real'!C3:C15,0))+1)),((L55-1)*(1-_xlfn.XLOOKUP(K55,'Fevereiro 2023 - Valor Real'!A3:A15,'Fevereiro 2023 - Valor Real'!C3:C15,0))+1)/(((L55-1)*(1-_xlfn.XLOOKUP(K55,'Fevereiro 2023 - Valor Real'!A3:A15,'Fevereiro 2023 - Valor Real'!C3:C15,0))+1)+((L56/(L56-1)-1)*(1-_xlfn.XLOOKUP(K56,'Fevereiro 2023 - Valor Real'!A3:A15,'Fevereiro 2023 - Valor Real'!C3:C15,0))+1))),IF(I55="Lay",((L55/(L55-1)-1)*(1-_xlfn.XLOOKUP(K55,'Fevereiro 2023 - Valor Real'!A3:A15,'Fevereiro 2023 - Valor Real'!C3:C15,0))+1)/((((L55/(L55-1)-1)*(1-_xlfn.XLOOKUP(K55,'Fevereiro 2023 - Valor Real'!A3:A15,'Fevereiro 2023 - Valor Real'!C3:C15,0))+1))+((L56-1)*(1-_xlfn.XLOOKUP(K56,'Fevereiro 2023 - Valor Real'!A3:A15,'Fevereiro 2023 - Valor Real'!C3:C15,0))+1)),((L55-1)*(1-_xlfn.XLOOKUP(K55,'Fevereiro 2023 - Valor Real'!A3:A15,'Fevereiro 2023 - Valor Real'!C3:C15,0))+1)/(((L55-1)*(1-_xlfn.XLOOKUP(K55,'Fevereiro 2023 - Valor Real'!A3:A15,'Fevereiro 2023 - Valor Real'!C3:C15,0))+1)+((L56-1)*(1-_xlfn.XLOOKUP(K56,'Fevereiro 2023 - Valor Real'!A3:A15,'Fevereiro 2023 - Valor Real'!C3:C15,0))+1))))))</f>
        <v>0.78492935635792782</v>
      </c>
      <c r="AF56" s="105">
        <f t="shared" si="107"/>
        <v>0</v>
      </c>
      <c r="AG56" s="106">
        <f t="shared" si="107"/>
        <v>0</v>
      </c>
      <c r="AH56" s="106">
        <f t="shared" si="107"/>
        <v>0</v>
      </c>
      <c r="AI56" s="106">
        <f t="shared" si="107"/>
        <v>0</v>
      </c>
      <c r="AJ56" s="106">
        <f t="shared" si="107"/>
        <v>0</v>
      </c>
      <c r="AK56" s="106">
        <f t="shared" si="107"/>
        <v>0</v>
      </c>
      <c r="AL56" s="106">
        <f t="shared" si="107"/>
        <v>0</v>
      </c>
      <c r="AM56" s="106">
        <f t="shared" si="107"/>
        <v>0</v>
      </c>
      <c r="AN56" s="106">
        <f t="shared" si="107"/>
        <v>0</v>
      </c>
      <c r="AO56" s="106">
        <f t="shared" si="107"/>
        <v>0</v>
      </c>
      <c r="AP56" s="106">
        <f t="shared" si="107"/>
        <v>0</v>
      </c>
      <c r="AQ56" s="106">
        <f t="shared" si="107"/>
        <v>3.81</v>
      </c>
      <c r="AR56" s="107">
        <f t="shared" si="107"/>
        <v>0</v>
      </c>
      <c r="AS56" s="105">
        <f>IF(AND($B55=" ",$K56=AS$3),$O56,0)</f>
        <v>0</v>
      </c>
      <c r="AT56" s="106">
        <f>IF(AND($B55=" ",K56=AT$3),$O56,0)</f>
        <v>0</v>
      </c>
      <c r="AU56" s="106">
        <f t="shared" ref="AU56:BE56" si="112">IF(AND($B55=" ",$K56=AU$3),$O56,0)</f>
        <v>0</v>
      </c>
      <c r="AV56" s="106">
        <f t="shared" si="112"/>
        <v>0</v>
      </c>
      <c r="AW56" s="106">
        <f t="shared" si="112"/>
        <v>0</v>
      </c>
      <c r="AX56" s="106">
        <f t="shared" si="112"/>
        <v>0</v>
      </c>
      <c r="AY56" s="108">
        <f t="shared" si="112"/>
        <v>0</v>
      </c>
      <c r="AZ56" s="109">
        <f t="shared" si="112"/>
        <v>0</v>
      </c>
      <c r="BA56" s="109">
        <f t="shared" si="112"/>
        <v>0</v>
      </c>
      <c r="BB56" s="109">
        <f t="shared" si="112"/>
        <v>0</v>
      </c>
      <c r="BC56" s="110">
        <f t="shared" si="112"/>
        <v>0</v>
      </c>
      <c r="BD56" s="106">
        <f t="shared" si="112"/>
        <v>0</v>
      </c>
      <c r="BE56" s="107">
        <f t="shared" si="112"/>
        <v>0</v>
      </c>
      <c r="BF56" s="105">
        <f t="shared" si="109"/>
        <v>0</v>
      </c>
      <c r="BG56" s="106">
        <f t="shared" si="109"/>
        <v>0</v>
      </c>
      <c r="BH56" s="106">
        <f t="shared" si="109"/>
        <v>0</v>
      </c>
      <c r="BI56" s="106">
        <f t="shared" si="109"/>
        <v>0</v>
      </c>
      <c r="BJ56" s="106">
        <f t="shared" si="109"/>
        <v>0</v>
      </c>
      <c r="BK56" s="106">
        <f t="shared" si="109"/>
        <v>0</v>
      </c>
      <c r="BL56" s="106">
        <f t="shared" si="109"/>
        <v>0</v>
      </c>
      <c r="BM56" s="132">
        <f t="shared" si="109"/>
        <v>0</v>
      </c>
      <c r="BN56" s="112">
        <f t="shared" si="109"/>
        <v>0</v>
      </c>
      <c r="BO56" s="112">
        <f t="shared" si="109"/>
        <v>0</v>
      </c>
      <c r="BP56" s="112">
        <f t="shared" si="109"/>
        <v>0</v>
      </c>
      <c r="BQ56" s="110">
        <f t="shared" si="109"/>
        <v>10.3</v>
      </c>
      <c r="BR56" s="107">
        <f t="shared" si="109"/>
        <v>0</v>
      </c>
      <c r="BS56" s="464"/>
      <c r="BT56" s="461"/>
      <c r="BU56" s="392"/>
      <c r="BV56" s="461"/>
      <c r="BW56" s="392"/>
      <c r="BX56" s="392"/>
      <c r="BY56" s="392"/>
      <c r="BZ56" s="461"/>
      <c r="CA56" s="392"/>
      <c r="CB56" s="392"/>
      <c r="CC56" s="392"/>
      <c r="CD56" s="401"/>
      <c r="CE56" s="409"/>
      <c r="CF56" s="133">
        <f t="shared" si="4"/>
        <v>0</v>
      </c>
      <c r="CG56" s="134">
        <f t="shared" si="5"/>
        <v>0</v>
      </c>
      <c r="CH56" s="134">
        <f t="shared" si="6"/>
        <v>0</v>
      </c>
      <c r="CI56" s="134">
        <f t="shared" si="7"/>
        <v>0</v>
      </c>
      <c r="CJ56" s="134">
        <f t="shared" si="8"/>
        <v>0</v>
      </c>
      <c r="CK56" s="134">
        <f t="shared" si="9"/>
        <v>0</v>
      </c>
      <c r="CL56" s="134">
        <f t="shared" si="10"/>
        <v>0</v>
      </c>
      <c r="CM56" s="134">
        <f t="shared" si="11"/>
        <v>0</v>
      </c>
      <c r="CN56" s="134">
        <f t="shared" si="12"/>
        <v>0</v>
      </c>
      <c r="CO56" s="134">
        <f t="shared" si="13"/>
        <v>0</v>
      </c>
      <c r="CP56" s="134">
        <f t="shared" si="14"/>
        <v>0</v>
      </c>
      <c r="CQ56" s="134">
        <f t="shared" si="15"/>
        <v>0</v>
      </c>
      <c r="CR56" s="134">
        <f t="shared" si="16"/>
        <v>0</v>
      </c>
      <c r="CS56" s="134">
        <f t="shared" si="17"/>
        <v>0</v>
      </c>
      <c r="CT56" s="115">
        <f t="shared" si="18"/>
        <v>0</v>
      </c>
      <c r="CU56" s="116">
        <f t="shared" si="19"/>
        <v>0</v>
      </c>
      <c r="CV56" s="116">
        <f t="shared" si="20"/>
        <v>0</v>
      </c>
      <c r="CW56" s="116">
        <f t="shared" si="21"/>
        <v>0</v>
      </c>
      <c r="CX56" s="116">
        <f t="shared" si="22"/>
        <v>0</v>
      </c>
      <c r="CY56" s="116">
        <f t="shared" si="23"/>
        <v>0</v>
      </c>
      <c r="CZ56" s="116">
        <f t="shared" si="24"/>
        <v>0</v>
      </c>
      <c r="DA56" s="116">
        <f t="shared" si="25"/>
        <v>0</v>
      </c>
      <c r="DB56" s="116">
        <f t="shared" si="26"/>
        <v>1</v>
      </c>
      <c r="DC56" s="116">
        <f t="shared" si="27"/>
        <v>0</v>
      </c>
      <c r="DD56" s="116">
        <f t="shared" si="28"/>
        <v>0</v>
      </c>
      <c r="DE56" s="117">
        <f t="shared" si="29"/>
        <v>0</v>
      </c>
      <c r="DF56" s="118">
        <f t="shared" si="31"/>
        <v>8</v>
      </c>
      <c r="DG56" s="106">
        <f t="shared" si="32"/>
        <v>10.940000000000001</v>
      </c>
      <c r="DH56" s="116">
        <f t="shared" si="33"/>
        <v>0</v>
      </c>
      <c r="DI56" s="106">
        <f t="shared" si="34"/>
        <v>0</v>
      </c>
      <c r="DJ56" s="201" t="str">
        <f>IF($D55="","",$D55)</f>
        <v>2</v>
      </c>
      <c r="DK56" s="466"/>
    </row>
    <row r="57" spans="1:115" ht="14.5" customHeight="1" x14ac:dyDescent="0.2">
      <c r="A57" s="390"/>
      <c r="B57" s="457"/>
      <c r="C57" s="135" t="s">
        <v>53</v>
      </c>
      <c r="D57" s="375"/>
      <c r="E57" s="387"/>
      <c r="F57" s="378"/>
      <c r="G57" s="484"/>
      <c r="H57" s="477"/>
      <c r="I57" s="136"/>
      <c r="J57" s="137"/>
      <c r="K57" s="138"/>
      <c r="L57" s="139"/>
      <c r="M57" s="140"/>
      <c r="N57" s="407"/>
      <c r="O57" s="141" t="str">
        <f>IF(OR(AE55="",AE56=""),"",IF(L57&gt;0,ROUND(IF(M57&gt;0,M57,IF(M55&gt;0,ROUND((M55*AE57)/AE55,IF(N55=0,2,IF(N55=0.1,1,0))),IF(M56&gt;0,ROUND((M56*AE57)/AE56,IF(N55=0,2,IF(N55=0.1,1,0))),IF(M57&gt;0,M57,0)))),2),""))</f>
        <v/>
      </c>
      <c r="P57" s="142" t="str">
        <f>IF(I56="Lay",O56*(L56/(L56-1))-O56,IF(I55="Lay",O55*(L55/(L55-1))-O55,IF(OR(L57="",O57=""),"",IF($C57="1/2W",O57/2+O57/2*L57,IF($C57="1/2L",O57/2,(O57*L57-O57)*(1-_xlfn.XLOOKUP(K57,'Fevereiro 2023 - Valor Real'!A3:A15,'Fevereiro 2023 - Valor Real'!C3:C15,0))+O57)))))</f>
        <v/>
      </c>
      <c r="Q57" s="143" t="str">
        <f>IF(K57="","",IF(_xlfn.XLOOKUP(K57,K$8:K50,$DJ$8:DJ50,0,,-1)=DJ57,_xlfn.XLOOKUP(K57,K$8:K50,Q$8:Q50,1,,-1)+1,1))</f>
        <v/>
      </c>
      <c r="R57" s="144" t="str">
        <f>IF(K57="","",_xlfn.XLOOKUP(K57,K$8:K50,R$8:R50,0,,-1)+IF($C57=" ",1,0))</f>
        <v/>
      </c>
      <c r="S57" s="404"/>
      <c r="T57" s="378"/>
      <c r="U57" s="378"/>
      <c r="V57" s="404"/>
      <c r="W57" s="378"/>
      <c r="X57" s="453"/>
      <c r="Y57" s="383"/>
      <c r="Z57" s="384"/>
      <c r="AA57" s="384"/>
      <c r="AB57" s="384"/>
      <c r="AC57" s="384"/>
      <c r="AD57" s="145">
        <f>((L56/(L56-1)-1))</f>
        <v>2.7027027027027017</v>
      </c>
      <c r="AE57" s="146" t="str">
        <f>IF(L57="","",(SUM(((L55-1)*(1-_xlfn.XLOOKUP(K55,'Fevereiro 2023 - Valor Real'!A3:A15,'Fevereiro 2023 - Valor Real'!C3:C15,0))+1),((L56-1)*(1-_xlfn.XLOOKUP(K56,'Fevereiro 2023 - Valor Real'!A3:A15,'Fevereiro 2023 - Valor Real'!C3:C15,0))+1),((L57-1)*(1-_xlfn.XLOOKUP(K57,'Fevereiro 2023 - Valor Real'!A3:A15,'Fevereiro 2023 - Valor Real'!C3:C15,0))+1))/((L57-1)*(1-_xlfn.XLOOKUP(K57,'Fevereiro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Real'!C3:C15,0))+1))/((L55-1)*(1-_xlfn.XLOOKUP(K55,'Fevereiro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Real'!C3:C15,0))+1))/((L56-1)*(1-_xlfn.XLOOKUP(K56,'Fevereiro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Real'!C3:C15,0))+1))/((L57-1)*(1-_xlfn.XLOOKUP(K57,'Fevereiro 2023 - Valor Real'!A3:A15,'Fevereiro 2023 - Valor Real'!C3:C15,0))+1)))</f>
        <v/>
      </c>
      <c r="AF57" s="105">
        <f t="shared" si="107"/>
        <v>0</v>
      </c>
      <c r="AG57" s="106">
        <f t="shared" si="107"/>
        <v>0</v>
      </c>
      <c r="AH57" s="106">
        <f t="shared" si="107"/>
        <v>0</v>
      </c>
      <c r="AI57" s="106">
        <f t="shared" si="107"/>
        <v>0</v>
      </c>
      <c r="AJ57" s="106">
        <f t="shared" si="107"/>
        <v>0</v>
      </c>
      <c r="AK57" s="106">
        <f t="shared" si="107"/>
        <v>0</v>
      </c>
      <c r="AL57" s="106">
        <f t="shared" si="107"/>
        <v>0</v>
      </c>
      <c r="AM57" s="106">
        <f t="shared" si="107"/>
        <v>0</v>
      </c>
      <c r="AN57" s="106">
        <f t="shared" si="107"/>
        <v>0</v>
      </c>
      <c r="AO57" s="106">
        <f t="shared" si="107"/>
        <v>0</v>
      </c>
      <c r="AP57" s="106">
        <f t="shared" si="107"/>
        <v>0</v>
      </c>
      <c r="AQ57" s="106">
        <f t="shared" si="107"/>
        <v>0</v>
      </c>
      <c r="AR57" s="107">
        <f t="shared" si="107"/>
        <v>0</v>
      </c>
      <c r="AS57" s="105">
        <f>IF(AND($B55=" ",$K57=AS$3),$O57,0)</f>
        <v>0</v>
      </c>
      <c r="AT57" s="106">
        <f>IF(AND($B55=" ",K57=AT$3),$O57,0)</f>
        <v>0</v>
      </c>
      <c r="AU57" s="106">
        <f t="shared" ref="AU57:BE57" si="113">IF(AND($B55=" ",$K57=AU$3),$O57,0)</f>
        <v>0</v>
      </c>
      <c r="AV57" s="106">
        <f t="shared" si="113"/>
        <v>0</v>
      </c>
      <c r="AW57" s="106">
        <f t="shared" si="113"/>
        <v>0</v>
      </c>
      <c r="AX57" s="106">
        <f t="shared" si="113"/>
        <v>0</v>
      </c>
      <c r="AY57" s="108">
        <f t="shared" si="113"/>
        <v>0</v>
      </c>
      <c r="AZ57" s="109">
        <f t="shared" si="113"/>
        <v>0</v>
      </c>
      <c r="BA57" s="109">
        <f t="shared" si="113"/>
        <v>0</v>
      </c>
      <c r="BB57" s="109">
        <f t="shared" si="113"/>
        <v>0</v>
      </c>
      <c r="BC57" s="110">
        <f t="shared" si="113"/>
        <v>0</v>
      </c>
      <c r="BD57" s="106">
        <f t="shared" si="113"/>
        <v>0</v>
      </c>
      <c r="BE57" s="107">
        <f t="shared" si="113"/>
        <v>0</v>
      </c>
      <c r="BF57" s="105">
        <f t="shared" si="109"/>
        <v>0</v>
      </c>
      <c r="BG57" s="106">
        <f t="shared" si="109"/>
        <v>0</v>
      </c>
      <c r="BH57" s="106">
        <f t="shared" si="109"/>
        <v>0</v>
      </c>
      <c r="BI57" s="106">
        <f t="shared" si="109"/>
        <v>0</v>
      </c>
      <c r="BJ57" s="106">
        <f t="shared" si="109"/>
        <v>0</v>
      </c>
      <c r="BK57" s="106">
        <f t="shared" si="109"/>
        <v>0</v>
      </c>
      <c r="BL57" s="106">
        <f t="shared" si="109"/>
        <v>0</v>
      </c>
      <c r="BM57" s="108">
        <f t="shared" si="109"/>
        <v>0</v>
      </c>
      <c r="BN57" s="109">
        <f t="shared" si="109"/>
        <v>0</v>
      </c>
      <c r="BO57" s="109">
        <f t="shared" si="109"/>
        <v>0</v>
      </c>
      <c r="BP57" s="109">
        <f t="shared" si="109"/>
        <v>0</v>
      </c>
      <c r="BQ57" s="110">
        <f t="shared" si="109"/>
        <v>0</v>
      </c>
      <c r="BR57" s="107">
        <f t="shared" si="109"/>
        <v>0</v>
      </c>
      <c r="BS57" s="464"/>
      <c r="BT57" s="461"/>
      <c r="BU57" s="392"/>
      <c r="BV57" s="461"/>
      <c r="BW57" s="392"/>
      <c r="BX57" s="392"/>
      <c r="BY57" s="392"/>
      <c r="BZ57" s="461"/>
      <c r="CA57" s="392"/>
      <c r="CB57" s="392"/>
      <c r="CC57" s="392"/>
      <c r="CD57" s="401"/>
      <c r="CE57" s="409"/>
      <c r="CF57" s="133">
        <f t="shared" si="4"/>
        <v>0</v>
      </c>
      <c r="CG57" s="134">
        <f t="shared" si="5"/>
        <v>0</v>
      </c>
      <c r="CH57" s="134">
        <f t="shared" si="6"/>
        <v>0</v>
      </c>
      <c r="CI57" s="134">
        <f t="shared" si="7"/>
        <v>0</v>
      </c>
      <c r="CJ57" s="134">
        <f t="shared" si="8"/>
        <v>0</v>
      </c>
      <c r="CK57" s="134">
        <f t="shared" si="9"/>
        <v>0</v>
      </c>
      <c r="CL57" s="134">
        <f t="shared" si="10"/>
        <v>0</v>
      </c>
      <c r="CM57" s="134">
        <f t="shared" si="11"/>
        <v>0</v>
      </c>
      <c r="CN57" s="134">
        <f t="shared" si="12"/>
        <v>0</v>
      </c>
      <c r="CO57" s="134">
        <f t="shared" si="13"/>
        <v>0</v>
      </c>
      <c r="CP57" s="134">
        <f t="shared" si="14"/>
        <v>0</v>
      </c>
      <c r="CQ57" s="134">
        <f t="shared" si="15"/>
        <v>0</v>
      </c>
      <c r="CR57" s="134">
        <f t="shared" si="16"/>
        <v>0</v>
      </c>
      <c r="CS57" s="134">
        <f t="shared" si="17"/>
        <v>0</v>
      </c>
      <c r="CT57" s="115">
        <f t="shared" si="18"/>
        <v>0</v>
      </c>
      <c r="CU57" s="116">
        <f t="shared" si="19"/>
        <v>0</v>
      </c>
      <c r="CV57" s="116">
        <f t="shared" si="20"/>
        <v>0</v>
      </c>
      <c r="CW57" s="116">
        <f t="shared" si="21"/>
        <v>0</v>
      </c>
      <c r="CX57" s="116">
        <f t="shared" si="22"/>
        <v>0</v>
      </c>
      <c r="CY57" s="116">
        <f t="shared" si="23"/>
        <v>0</v>
      </c>
      <c r="CZ57" s="116">
        <f t="shared" si="24"/>
        <v>0</v>
      </c>
      <c r="DA57" s="116">
        <f t="shared" si="25"/>
        <v>0</v>
      </c>
      <c r="DB57" s="116">
        <f t="shared" si="26"/>
        <v>0</v>
      </c>
      <c r="DC57" s="116">
        <f t="shared" si="27"/>
        <v>0</v>
      </c>
      <c r="DD57" s="116">
        <f t="shared" si="28"/>
        <v>0</v>
      </c>
      <c r="DE57" s="117">
        <f t="shared" si="29"/>
        <v>0</v>
      </c>
      <c r="DF57" s="118">
        <f t="shared" si="31"/>
        <v>8</v>
      </c>
      <c r="DG57" s="106">
        <f t="shared" si="32"/>
        <v>10.940000000000001</v>
      </c>
      <c r="DH57" s="116">
        <f t="shared" si="33"/>
        <v>0</v>
      </c>
      <c r="DI57" s="106">
        <f t="shared" si="34"/>
        <v>0</v>
      </c>
      <c r="DJ57" s="201" t="str">
        <f>IF($D55="","",$D55)</f>
        <v>2</v>
      </c>
      <c r="DK57" s="466"/>
    </row>
    <row r="58" spans="1:115" ht="14.5" customHeight="1" x14ac:dyDescent="0.2">
      <c r="A58" s="487">
        <f>$A55+1</f>
        <v>19</v>
      </c>
      <c r="B58" s="506" t="str">
        <f>IF(OR(C58="W",C59="W",C60="W",C58="1/2W",C59="1/2W",C60="1/2W",C58="1/2L",C59="1/2L",C60="1/2L"),"OK",IF(OR(C58="L",C59="L",C60="L"),"LOSS",IF(OR(C58="X",C59="X",C60="X"),"Anulado"," ")))</f>
        <v>OK</v>
      </c>
      <c r="C58" s="147" t="s">
        <v>54</v>
      </c>
      <c r="D58" s="494" t="str">
        <f>IF(G58="","",$D55)</f>
        <v>2</v>
      </c>
      <c r="E58" s="511" t="str">
        <f>IF(G58=""," ","– "&amp;COUNTIF(D$4:D60,$D58))</f>
        <v>– 2</v>
      </c>
      <c r="F58" s="510" t="str">
        <f ca="1">IF(G58="","",IF(OR(AND($C58&lt;&gt;" ",$C59=" "),AND($C59&lt;&gt;" ",$C58=" "),AND(L60&gt;0,OR(AND($C60&lt;&gt;" ",OR($C58=" ",$C59=" ")),AND($C60=" ",OR($C58&lt;&gt;" ",$C59&lt;&gt;" "))))),IF(SUM(F$9:F50)=0,1,LARGE(F$9:F50,1)+1),IF(MONTH(G58)=MONTH(TODAY()),IF(AND(DAY(G58)&lt;DAY(TODAY()),$B58=" "),IF(SUM(F$9:F50)=0,1,LARGE(F$9:F50,1)+1),IF($B58=" ",IF(AND(DAY(G58)=DAY(TODAY()),HOUR(G58)&lt;=HOUR(NOW())+1),IF(AND(HOUR(G58)+2&lt;=HOUR(NOW()),DAY(G58)&lt;=DAY(TODAY()),MINUTE(G58)&lt;=MINUTE(NOW())),IF(SUM(F$9:F50)=0,1,LARGE(F$9:F50,1)+1),IF(OR(MINUTE(G58)&lt;=MINUTE(NOW()),HOUR(G58)&lt;=HOUR(NOW())),"!!!","")),""),"")),"")))</f>
        <v/>
      </c>
      <c r="G58" s="508">
        <v>44988.375</v>
      </c>
      <c r="H58" s="502" t="s">
        <v>75</v>
      </c>
      <c r="I58" s="180" t="s">
        <v>76</v>
      </c>
      <c r="J58" s="181">
        <v>-2.5</v>
      </c>
      <c r="K58" s="150" t="s">
        <v>40</v>
      </c>
      <c r="L58" s="151">
        <v>1.98</v>
      </c>
      <c r="M58" s="152">
        <v>11.48</v>
      </c>
      <c r="N58" s="503">
        <v>0</v>
      </c>
      <c r="O58" s="153">
        <f>IF(OR(AE58="",AE59=""),"",ROUND(IF(L60&gt;0,IF(M58&gt;0,M58,IF(M59&gt;0,ROUND((M59*AE58)/AE59,IF(N58=0,2,IF(N58=0.1,1,0))),ROUND((M60*AE58)/AE60,IF(N58=0,2,IF(N58=0.1,1,0))))),IF(M58&gt;0,M58,ROUND((M59*AE58)/AE59,IF(N58=0,2,IF(N58=0.1,1,0))))),2))</f>
        <v>11.48</v>
      </c>
      <c r="P58" s="154">
        <f>IF(OR(L58="",O58=""),"",IF($C58="1/2W",O58/2+O58/2*L58,IF($C58="1/2L",O58/2,IF(I58="Lay",(O58*(L58/(L58-1))-O58)*(1-_xlfn.XLOOKUP(K58,'Fevereiro 2023 - Valor Real'!A3:A15,'Fevereiro 2023 - Valor Real'!C3:C15,0))+O58,(O58*L58-O58)*(1-_xlfn.XLOOKUP(K58,'Fevereiro 2023 - Valor Real'!A3:A15,'Fevereiro 2023 - Valor Real'!C3:C15,0))+O58))))</f>
        <v>22.730399999999999</v>
      </c>
      <c r="Q58" s="155">
        <f>IF(K58="","",IF(_xlfn.XLOOKUP(K58,K$9:K50,$DJ$9:DJ50,0,,-1)=DJ58,_xlfn.XLOOKUP(K58,K$9:K50,Q$9:Q50,1,,-1)+1,1))</f>
        <v>1</v>
      </c>
      <c r="R58" s="156">
        <f>IF(K58="","",_xlfn.XLOOKUP(K58,K$9:K50,R$9:R50,0,,-1)+IF($C58=" ",1,0))</f>
        <v>0</v>
      </c>
      <c r="S58" s="501">
        <f>IF($B58="Anulado",0,ROUND(IF(OR($B58="LOSS",$B58="OK"),IF(OR($C58="W",$C58="1/2W",$C58="1/2L"),P58-O58,IF($C58="L",-O58,0))+IF(OR($C59="W",$C59="1/2W",$C59="1/2L"),P59-O59,IF($C59="L",-O59,0))+IF(OR($C60="W",$C60="1/2W",$C60="1/2L"),P60-O60,IF($C60="L",-O60,0)),IF(AND(OR($C58="W",$C58="1/2W",$C58="1/2L"),C59="W"),P58+P59-SUM(O58:O60)+_xlfn.XLOOKUP("X",C58:C60,O58:O60,0),IF(AND(C58=TRUE,C60="W"),P58+P60-SUM(O58:O60),IF(AND(C59="W",C60="W"),P59+P60-SUM(O58:O60)+_xlfn.XLOOKUP("X",C58:C60,O58:O60,0),IF(L60&gt;0,IF(OR($C58="W",$C58="1/2W",$C58="1/2L"),P58-SUM(O58:O60)+_xlfn.XLOOKUP("X",C58:C60,O58:O60,0),IF(OR($C58="W",$C58="1/2W",$C58="1/2L"),P59-SUM(O58:O60)+_xlfn.XLOOKUP("X",C58:C60,O58:O60,0),IF(OR($C58="W",$C58="1/2W",$C58="1/2L"),P60-SUM(O58:O60)+_xlfn.XLOOKUP("X",C58:C60,O58:O60,0),IF(SUM(P58:P60)/3-SUM(O58:O60)+_xlfn.XLOOKUP("X",C58:C60,O58:O60,0)&gt;0,SUM(P58:P60)/3-SUM(O58:O60)+_xlfn.XLOOKUP("X",C58:C60,O58:O60,0),LARGE(P58:P60,1)-SUM(O58:O60))))),IF(OR($C58="W",$C58="1/2W",$C58="1/2L"),P58-SUM(O58:O59)+_xlfn.XLOOKUP("X",C58:C60,O58:O60,0),IF(OR($C58="W",$C58="1/2W",$C58="1/2L"),P59-SUM(O58:O59)+_xlfn.XLOOKUP("X",C58:C60,O58:O60,0),SUM(P58:P59)/2-SUM(O58:O59)+_xlfn.XLOOKUP("X",C58:C60,O58:O60,0)))))))),2))</f>
        <v>1.1499999999999999</v>
      </c>
      <c r="T58" s="486">
        <f>IF(S58=0,0,S58/SUM(O58:O60))</f>
        <v>5.3290083410565341E-2</v>
      </c>
      <c r="U58" s="496">
        <f>IF($D58=$D55,IF(OR($B58="LOSS",$B58="OK",$B58="Anulada"),S58,0)+U55,IF(OR($B58="LOSS",$B58="OK",$B58="Anulada"),S58,0))</f>
        <v>2.15</v>
      </c>
      <c r="V58" s="496">
        <f>IF($D58="",0,IF($D58=$D55,IF($B58=" ",IF(I60="",IF(OR(AND(I58="DNB1",I59="DNB2"),AND(OR(I58="DNB1",I58="DNB2"),J59=0),AND(OR(I59="DNB1",I59="DNB2"),J58=0),AND(I58="DNB2",I59="DNB1"),AND(IF(J58=0,(J58+1)/ROUND(J58+1,0),J58/ROUND(J58,0))=1,IF(J59=0,(J59+1)/ROUND(IF(J59="",0,J59)+1,0),IF(J59="",0,J59)/ROUND(IF(J59="",1,J59),0))=1,OR(J58&lt;&gt;""),J59&lt;&gt;"")),0,IF(S58&lt;0,IF(I60="",SMALL(P58:P59,1)-SUM(O58:O59),0),SMALL(P58:P59,1)-SUM(O58:O59))),IF(S58&lt;0,IF(I60="",SMALL(P58:P60,1)-SUM(O58:O60),0),LARGE(P58:P60,1)-SUM(O58:O60))),S58)+V55,IF(I60="",IF(OR(AND(I58="DNB1",I59="DNB2"),AND(OR(I58="DNB1",I58="DNB2"),J59=0),AND(OR(I59="DNB1",I59="DNB2"),J58=0),AND(I58="DNB2",I59="DNB1"),AND(IF(J58=0,(J58+1)/ROUND(J58+1,0),J58/ROUND(J58,0))=1,IF(J59=0,(IF(J59="",0,J59)+1)/ROUND(IF(J59="",0,J59)+1,0),IF(J59="",0,J59)/ROUND(IF(J59="",0,J59)+1,0))=1,OR(J58&lt;&gt;""),J59&lt;&gt;"")),0,IF(S58&lt;0,IF(I60="",SMALL(P58:P59,1)-SUM(O58:O59),0),SMALL(P58:P60,1)-SUM(O58:O60))),IF(S58&lt;0,IF(I60="",SMALL(P58:P60,1)-SUM(O58:O60),0),LARGE(P58:P60,1)-SUM(O58:O60)))))</f>
        <v>2.0899999999999994</v>
      </c>
      <c r="W58" s="496">
        <f>IF($D58=$D55,IF(S58&lt;0,IF(I60="",S58,0),S58)+W55,S58)</f>
        <v>2.15</v>
      </c>
      <c r="X58" s="505" t="str">
        <f>IF(OR(SUM(R58:R60)=0,V58=W58),ROUND(IF(W58=0,0,W58/Y58)*100,2)&amp;"%",ROUND(IF(V58=0,0,V58/Y58)*100,2)&amp;"% a "&amp;ROUND(IF(W58=0,0,W58/Y58)*100,2)&amp;"%")</f>
        <v>6,2%</v>
      </c>
      <c r="Y58" s="497">
        <f>IF($D58=$D55,Y55+SUM(O58:O60),SUM(O58:O60))</f>
        <v>34.69</v>
      </c>
      <c r="Z58" s="496">
        <f>IF($B58=" ",SUM(O58:O60),0)+Z55</f>
        <v>0</v>
      </c>
      <c r="AA58" s="496">
        <f>IF(G58="","",IF($B58="Anulado",LARGE(P58:P60,1)-SUM(O58:O60)+AA55,AA55))</f>
        <v>0.45899999999999785</v>
      </c>
      <c r="AB58" s="496">
        <f>IF($D58="","",AB55+S58)</f>
        <v>30.799999999999997</v>
      </c>
      <c r="AC58" s="499">
        <f ca="1">IF($D58="","",IF($B58=" ",IF(DAY(G58)=DAY(TODAY()),1+AC55,0+AC55),0+AC55))</f>
        <v>0</v>
      </c>
      <c r="AD58" s="157">
        <f>(1-_xlfn.XLOOKUP(K56,'Fevereiro 2023 - Valor Real'!A3:A15,'Fevereiro 2023 - Valor Real'!C3:C15,0))+1</f>
        <v>2</v>
      </c>
      <c r="AE58" s="158">
        <f>IF(L58="","",IF(L60&gt;0,(SUM(((L58-1)*(1-_xlfn.XLOOKUP(K58,'Fevereiro 2023 - Valor Real'!A3:A15,'Fevereiro 2023 - Valor Real'!C3:C15,0))+1),((L59-1)*(1-_xlfn.XLOOKUP(K59,'Fevereiro 2023 - Valor Real'!A3:A15,'Fevereiro 2023 - Valor Real'!C3:C15,0))+1),((L60-1)*(1-_xlfn.XLOOKUP(K60,'Fevereiro 2023 - Valor Real'!A3:A15,'Fevereiro 2023 - Valor Real'!C3:C15,0))+1))/((L58-1)*(1-_xlfn.XLOOKUP(K58,'Fevereiro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Real'!C3:C15,0))+1))/((L58-1)*(1-_xlfn.XLOOKUP(K58,'Fevereiro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Real'!C3:C15,0))+1))/((L59-1)*(1-_xlfn.XLOOKUP(K59,'Fevereiro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Real'!C3:C15,0))+1))/((L60-1)*(1-_xlfn.XLOOKUP(K60,'Fevereiro 2023 - Valor Real'!A3:A15,'Fevereiro 2023 - Valor Real'!C3:C15,0))+1)),IF(I58="Lay",IF(I59="Lay",((L59/(L59-1)-1)*(1-_xlfn.XLOOKUP(K59,'Fevereiro 2023 - Valor Real'!A3:A15,'Fevereiro 2023 - Valor Real'!C3:C15,0))+1)/(((L59/(L59-1)-1)*(1-_xlfn.XLOOKUP(K59,'Fevereiro 2023 - Valor Real'!A3:A15,'Fevereiro 2023 - Valor Real'!C3:C15,0))+1)+((L58/(L58-1)-1)*(1-_xlfn.XLOOKUP(K58,'Fevereiro 2023 - Valor Real'!A3:A15,'Fevereiro 2023 - Valor Real'!C3:C15,0))+1)),((L59-1)*(1-_xlfn.XLOOKUP(K59,'Fevereiro 2023 - Valor Real'!A3:A15,'Fevereiro 2023 - Valor Real'!C3:C15,0))+1)/(((L59-1)*(1-_xlfn.XLOOKUP(K59,'Fevereiro 2023 - Valor Real'!A3:A15,'Fevereiro 2023 - Valor Real'!C3:C15,0))+1)+((L58/(L58-1)-1)*(1-_xlfn.XLOOKUP(K58,'Fevereiro 2023 - Valor Real'!A3:A15,'Fevereiro 2023 - Valor Real'!C3:C15,0))+1))),IF(I59="Lay",(((L59/(L59-1)-1)*(1-_xlfn.XLOOKUP(K59,'Fevereiro 2023 - Valor Real'!A3:A15,'Fevereiro 2023 - Valor Real'!C3:C15,0))+1))/(((L58-1)*(1-_xlfn.XLOOKUP(K58,'Fevereiro 2023 - Valor Real'!A3:A15,'Fevereiro 2023 - Valor Real'!C3:C15,0))+1)+((L59/(L59-1)-1)*(1-_xlfn.XLOOKUP(K59,'Fevereiro 2023 - Valor Real'!A3:A15,'Fevereiro 2023 - Valor Real'!C3:C15,0))+1)),((L59-1)*(1-_xlfn.XLOOKUP(K59,'Fevereiro 2023 - Valor Real'!A3:A15,'Fevereiro 2023 - Valor Real'!C3:C15,0))+1)/(((L59-1)*(1-_xlfn.XLOOKUP(K59,'Fevereiro 2023 - Valor Real'!A3:A15,'Fevereiro 2023 - Valor Real'!C3:C15,0))+1)+((L58-1)*(1-_xlfn.XLOOKUP(K58,'Fevereiro 2023 - Valor Real'!A3:A15,'Fevereiro 2023 - Valor Real'!C3:C15,0))+1))))))</f>
        <v>0.53191489361702127</v>
      </c>
      <c r="AF58" s="66">
        <f t="shared" si="107"/>
        <v>0</v>
      </c>
      <c r="AG58" s="67">
        <f t="shared" si="107"/>
        <v>0</v>
      </c>
      <c r="AH58" s="67">
        <f t="shared" si="107"/>
        <v>0</v>
      </c>
      <c r="AI58" s="67">
        <f t="shared" si="107"/>
        <v>0</v>
      </c>
      <c r="AJ58" s="67">
        <f t="shared" si="107"/>
        <v>11.25</v>
      </c>
      <c r="AK58" s="67">
        <f t="shared" si="107"/>
        <v>0</v>
      </c>
      <c r="AL58" s="67">
        <f t="shared" si="107"/>
        <v>0</v>
      </c>
      <c r="AM58" s="67">
        <f t="shared" si="107"/>
        <v>0</v>
      </c>
      <c r="AN58" s="67">
        <f t="shared" si="107"/>
        <v>0</v>
      </c>
      <c r="AO58" s="67">
        <f t="shared" si="107"/>
        <v>0</v>
      </c>
      <c r="AP58" s="67">
        <f t="shared" si="107"/>
        <v>0</v>
      </c>
      <c r="AQ58" s="67">
        <f t="shared" si="107"/>
        <v>0</v>
      </c>
      <c r="AR58" s="68">
        <f t="shared" si="107"/>
        <v>0</v>
      </c>
      <c r="AS58" s="66">
        <f t="shared" ref="AS58:BE58" si="114">IF(AND($B58=" ",$K58=AS$3),$O58,0)</f>
        <v>0</v>
      </c>
      <c r="AT58" s="67">
        <f t="shared" si="114"/>
        <v>0</v>
      </c>
      <c r="AU58" s="67">
        <f t="shared" si="114"/>
        <v>0</v>
      </c>
      <c r="AV58" s="67">
        <f t="shared" si="114"/>
        <v>0</v>
      </c>
      <c r="AW58" s="67">
        <f t="shared" si="114"/>
        <v>0</v>
      </c>
      <c r="AX58" s="67">
        <f t="shared" si="114"/>
        <v>0</v>
      </c>
      <c r="AY58" s="69">
        <f t="shared" si="114"/>
        <v>0</v>
      </c>
      <c r="AZ58" s="70">
        <f t="shared" si="114"/>
        <v>0</v>
      </c>
      <c r="BA58" s="70">
        <f t="shared" si="114"/>
        <v>0</v>
      </c>
      <c r="BB58" s="70">
        <f t="shared" si="114"/>
        <v>0</v>
      </c>
      <c r="BC58" s="71">
        <f t="shared" si="114"/>
        <v>0</v>
      </c>
      <c r="BD58" s="67">
        <f t="shared" si="114"/>
        <v>0</v>
      </c>
      <c r="BE58" s="68">
        <f t="shared" si="114"/>
        <v>0</v>
      </c>
      <c r="BF58" s="66">
        <f t="shared" si="109"/>
        <v>0</v>
      </c>
      <c r="BG58" s="67">
        <f t="shared" si="109"/>
        <v>0</v>
      </c>
      <c r="BH58" s="67">
        <f t="shared" si="109"/>
        <v>0</v>
      </c>
      <c r="BI58" s="67">
        <f t="shared" si="109"/>
        <v>0</v>
      </c>
      <c r="BJ58" s="67">
        <f t="shared" si="109"/>
        <v>11.48</v>
      </c>
      <c r="BK58" s="67">
        <f t="shared" si="109"/>
        <v>0</v>
      </c>
      <c r="BL58" s="67">
        <f t="shared" si="109"/>
        <v>0</v>
      </c>
      <c r="BM58" s="69">
        <f t="shared" si="109"/>
        <v>0</v>
      </c>
      <c r="BN58" s="70">
        <f t="shared" si="109"/>
        <v>0</v>
      </c>
      <c r="BO58" s="70">
        <f t="shared" si="109"/>
        <v>0</v>
      </c>
      <c r="BP58" s="70">
        <f t="shared" si="109"/>
        <v>0</v>
      </c>
      <c r="BQ58" s="71">
        <f t="shared" si="109"/>
        <v>0</v>
      </c>
      <c r="BR58" s="68">
        <f t="shared" si="109"/>
        <v>0</v>
      </c>
      <c r="BS58" s="490">
        <f>IF($B58="LOSS",IF(AND($K58=BS$3,$C58="L"),-$O58,0)+IF(AND($K59=BS$3,$C59="L"),-$O59,0)+IF(AND($K60=BS$3,$C60="L"),-$O60,0),IF(OR(AND($K58=BS$3,OR($C58="W",$C58="1/2W")),AND($K59=BS$3,OR($C59="W",$C59="1/2W")),AND($K60=BS$3,OR($C60="W",$C60="1/2W"))),$S58,0))</f>
        <v>0</v>
      </c>
      <c r="BT58" s="498">
        <f>IF($B58="LOSS",IF(AND($K58=BT$3,$C58="L"),-$O58,0)+IF(AND($K59=BT$3,$C59="L"),-$O59,0)+IF(AND($K59=BT$3,$C60="L"),-$O60,0),IF(OR(AND($K59=BT$3,OR($C58="W",$C58="1/2W")),AND($K59=BT$3,OR($C59="W",$C59="1/2W")),AND($K59=BT$3,OR($C60="W",$C60="1/2W"))),$S58,0))</f>
        <v>0</v>
      </c>
      <c r="BU58" s="488">
        <f>IF($B58="LOSS",IF(AND($K58=BU$3,$C58="L"),-$O58,0)+IF(AND($K59=BU$3,$C59="L"),-$O59,0)+IF(AND($K59=BU$3,$C60="L"),-$O60,0),IF(OR(AND($K59=BU$3,OR($C58="W",$C58="1/2W")),AND($K59=BU$3,OR($C59="W",$C59="1/2W")),AND($K59=BU$3,OR($C60="W",$C60="1/2W"))),$S58,0))</f>
        <v>0</v>
      </c>
      <c r="BV58" s="488">
        <f t="shared" ref="BV58:CE58" si="115">IF($B58="LOSS",IF(AND($K58=BV$3,$C58="L"),-$O58,0)+IF(AND($K59=BV$3,$C59="L"),-$O59,0)+IF(AND($K60=BV$3,$C60="L"),-$O60,0),IF(OR(AND($K58=BV$3,OR($C58="W",$C58="1/2W")),AND($K59=BV$3,OR($C59="W",$C59="1/2W")),AND($K60=BV$3,OR($C60="W",$C60="1/2W"))),$S58,0))</f>
        <v>0</v>
      </c>
      <c r="BW58" s="488">
        <f t="shared" si="115"/>
        <v>1.1499999999999999</v>
      </c>
      <c r="BX58" s="488">
        <f t="shared" si="115"/>
        <v>0</v>
      </c>
      <c r="BY58" s="488">
        <f t="shared" si="115"/>
        <v>0</v>
      </c>
      <c r="BZ58" s="488">
        <f t="shared" si="115"/>
        <v>0</v>
      </c>
      <c r="CA58" s="488">
        <f t="shared" si="115"/>
        <v>0</v>
      </c>
      <c r="CB58" s="488">
        <f t="shared" si="115"/>
        <v>0</v>
      </c>
      <c r="CC58" s="488">
        <f t="shared" si="115"/>
        <v>0</v>
      </c>
      <c r="CD58" s="500">
        <f t="shared" si="115"/>
        <v>0</v>
      </c>
      <c r="CE58" s="504">
        <f t="shared" si="115"/>
        <v>0</v>
      </c>
      <c r="CF58" s="160">
        <f t="shared" si="4"/>
        <v>0</v>
      </c>
      <c r="CG58" s="161">
        <f t="shared" si="5"/>
        <v>0</v>
      </c>
      <c r="CH58" s="161">
        <f t="shared" si="6"/>
        <v>0</v>
      </c>
      <c r="CI58" s="161">
        <f t="shared" si="7"/>
        <v>0</v>
      </c>
      <c r="CJ58" s="161">
        <f t="shared" si="8"/>
        <v>0</v>
      </c>
      <c r="CK58" s="161">
        <f t="shared" si="9"/>
        <v>0</v>
      </c>
      <c r="CL58" s="161">
        <f t="shared" si="10"/>
        <v>0</v>
      </c>
      <c r="CM58" s="161">
        <f t="shared" si="11"/>
        <v>0</v>
      </c>
      <c r="CN58" s="161">
        <f t="shared" si="12"/>
        <v>1</v>
      </c>
      <c r="CO58" s="161">
        <f t="shared" si="13"/>
        <v>0</v>
      </c>
      <c r="CP58" s="161">
        <f t="shared" si="14"/>
        <v>0</v>
      </c>
      <c r="CQ58" s="161">
        <f t="shared" si="15"/>
        <v>0</v>
      </c>
      <c r="CR58" s="161">
        <f t="shared" si="16"/>
        <v>0</v>
      </c>
      <c r="CS58" s="161">
        <f t="shared" si="17"/>
        <v>0</v>
      </c>
      <c r="CT58" s="75">
        <f t="shared" si="18"/>
        <v>0</v>
      </c>
      <c r="CU58" s="76">
        <f t="shared" si="19"/>
        <v>0</v>
      </c>
      <c r="CV58" s="76">
        <f t="shared" si="20"/>
        <v>0</v>
      </c>
      <c r="CW58" s="76">
        <f t="shared" si="21"/>
        <v>0</v>
      </c>
      <c r="CX58" s="76">
        <f t="shared" si="22"/>
        <v>0</v>
      </c>
      <c r="CY58" s="76">
        <f t="shared" si="23"/>
        <v>0</v>
      </c>
      <c r="CZ58" s="76">
        <f t="shared" si="24"/>
        <v>0</v>
      </c>
      <c r="DA58" s="76">
        <f t="shared" si="25"/>
        <v>0</v>
      </c>
      <c r="DB58" s="76">
        <f t="shared" si="26"/>
        <v>0</v>
      </c>
      <c r="DC58" s="76">
        <f t="shared" si="27"/>
        <v>0</v>
      </c>
      <c r="DD58" s="76">
        <f t="shared" si="28"/>
        <v>0</v>
      </c>
      <c r="DE58" s="77">
        <f t="shared" si="29"/>
        <v>0</v>
      </c>
      <c r="DF58" s="73">
        <f t="shared" si="31"/>
        <v>8</v>
      </c>
      <c r="DG58" s="67">
        <f t="shared" si="32"/>
        <v>10.940000000000001</v>
      </c>
      <c r="DH58" s="76">
        <f t="shared" si="33"/>
        <v>0</v>
      </c>
      <c r="DI58" s="67">
        <f t="shared" si="34"/>
        <v>0</v>
      </c>
      <c r="DJ58" s="202" t="str">
        <f>IF($D58="","",$D58)</f>
        <v>2</v>
      </c>
      <c r="DK58" s="492">
        <f>IF(AND($B58=" ",$D58&lt;&gt;""),1,0)</f>
        <v>0</v>
      </c>
    </row>
    <row r="59" spans="1:115" ht="14.5" customHeight="1" x14ac:dyDescent="0.2">
      <c r="A59" s="389"/>
      <c r="B59" s="456"/>
      <c r="C59" s="53" t="s">
        <v>55</v>
      </c>
      <c r="D59" s="374"/>
      <c r="E59" s="386"/>
      <c r="F59" s="377"/>
      <c r="G59" s="508"/>
      <c r="H59" s="476"/>
      <c r="I59" s="182" t="s">
        <v>66</v>
      </c>
      <c r="J59" s="56">
        <f>IF(OR(I58="TO",I58="TU",I58="TO1",I58="TU1",I58="TO2",I58="TU2"),J58,IF(OR(I58="AH1",I58="AH2"),IF(OR(I59="AH1",I59="AH2"),-J58,IF(OR(I59="EH1",I59="EH2"),-J58+0.5,"")),IF(OR(I58="EH1",I58="EH2"),IF(OR(I59="AH1",I59="AH2"),-J58+0.5,IF(OR(I59="EH1",I59="EH2"),-J58+1,"")),IF(AND(OR(I58="DNB1",I58="DNB2"),OR(I59="AH1",I59="AH2")),0,IF(AND(I58="Not ScoreBoth",OR(I59="TO1",I59="TO2")),0.5,"")))))</f>
        <v>2.5</v>
      </c>
      <c r="K59" s="57" t="s">
        <v>36</v>
      </c>
      <c r="L59" s="164">
        <v>2.25</v>
      </c>
      <c r="M59" s="165"/>
      <c r="N59" s="406"/>
      <c r="O59" s="60">
        <f>IF(OR(AE58="",AE59=""),"",ROUND(IF(L60&gt;0,IF(M59&gt;0,M59,IF(M58&gt;0,IF(N58=TRUE,ROUND((M58*AE59)/AE58,0),(M58*AE59)/AE58),IF(M59&gt;0,ROUND(M59,IF(N58=0,2,IF(N58=0.1,1,0))),IF(M60&gt;0,ROUND(O60*AE59/AE60,IF(N58=0,2,IF(N58=0.1,1,0))),0)))),IF(M59&gt;0,M59,ROUND((M58*AE59)/AE58,IF(N58=0,2,IF(N58=0.1,1,0))))),2))</f>
        <v>10.1</v>
      </c>
      <c r="P59" s="61">
        <f>IF(OR(L59="",O59=""),"",IF($C59="1/2W",O59/2+O59/2*L59,IF($C59="1/2L",O59/2,IF(I59="Lay",((O59*(L59/(L59-1)))-O59)*(1-_xlfn.XLOOKUP(K59,'Fevereiro 2023 - Valor Real'!A3:A15,'Fevereiro 2023 - Valor Real'!C3:C15,0))+O59,(O59*L59-O59)*(1-_xlfn.XLOOKUP(K59,'Fevereiro 2023 - Valor Real'!A3:A15,'Fevereiro 2023 - Valor Real'!C3:C15,0))+O59))))</f>
        <v>22.724999999999998</v>
      </c>
      <c r="Q59" s="166">
        <f>IF(K59="","",IF(_xlfn.XLOOKUP(K59,K$10:K50,$DJ$10:DJ50,0,,-1)=DJ59,_xlfn.XLOOKUP(K59,K$10:K50,Q$10:Q50,1,,-1)+1,1))</f>
        <v>1</v>
      </c>
      <c r="R59" s="167">
        <f>IF(K59="","",_xlfn.XLOOKUP(K59,K$10:K50,R$10:R50,0,,-1)+IF($C59=" ",1,0))</f>
        <v>0</v>
      </c>
      <c r="S59" s="403"/>
      <c r="T59" s="380"/>
      <c r="U59" s="380"/>
      <c r="V59" s="481"/>
      <c r="W59" s="380"/>
      <c r="X59" s="452"/>
      <c r="Y59" s="383"/>
      <c r="Z59" s="384"/>
      <c r="AA59" s="384"/>
      <c r="AB59" s="384"/>
      <c r="AC59" s="384"/>
      <c r="AD59" s="64"/>
      <c r="AE59" s="65">
        <f>IF(L59="","",IF(L60&gt;0,(SUM(((L58-1)*(1-_xlfn.XLOOKUP(K58,'Fevereiro 2023 - Valor Real'!A3:A15,'Fevereiro 2023 - Valor Real'!C3:C15,0))+1),((L59-1)*(1-_xlfn.XLOOKUP(K59,'Fevereiro 2023 - Valor Real'!A3:A15,'Fevereiro 2023 - Valor Real'!C3:C15,0))+1),((L60-1)*(1-_xlfn.XLOOKUP(K60,'Fevereiro 2023 - Valor Real'!A3:A15,'Fevereiro 2023 - Valor Real'!C3:C15,0))+1))/((L59-1)*(1-_xlfn.XLOOKUP(K59,'Fevereiro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Real'!C3:C15,0))+1))/((L58-1)*(1-_xlfn.XLOOKUP(K58,'Fevereiro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Real'!C3:C15,0))+1))/((L59-1)*(1-_xlfn.XLOOKUP(K59,'Fevereiro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Real'!C3:C15,0))+1))/((L60-1)*(1-_xlfn.XLOOKUP(K60,'Fevereiro 2023 - Valor Real'!A3:A15,'Fevereiro 2023 - Valor Real'!C3:C15,0))+1)),IF(I59="Lay",IF(I58="Lay",((L58/(L58-1)-1)*(1-_xlfn.XLOOKUP(K58,'Fevereiro 2023 - Valor Real'!A3:A15,'Fevereiro 2023 - Valor Real'!C3:C15,0))+1)/(((L58/(L58-1)-1)*(1-_xlfn.XLOOKUP(K58,'Fevereiro 2023 - Valor Real'!A3:A15,'Fevereiro 2023 - Valor Real'!C3:C15,0))+1)+((L59/(L59-1)-1)*(1-_xlfn.XLOOKUP(K59,'Fevereiro 2023 - Valor Real'!A3:A15,'Fevereiro 2023 - Valor Real'!C3:C15,0))+1)),((L58-1)*(1-_xlfn.XLOOKUP(K58,'Fevereiro 2023 - Valor Real'!A3:A15,'Fevereiro 2023 - Valor Real'!C3:C15,0))+1)/(((L58-1)*(1-_xlfn.XLOOKUP(K58,'Fevereiro 2023 - Valor Real'!A3:A15,'Fevereiro 2023 - Valor Real'!C3:C15,0))+1)+((L59/(L59-1)-1)*(1-_xlfn.XLOOKUP(K59,'Fevereiro 2023 - Valor Real'!A3:A15,'Fevereiro 2023 - Valor Real'!C3:C15,0))+1))),IF(I58="Lay",((L58/(L58-1)-1)*(1-_xlfn.XLOOKUP(K58,'Fevereiro 2023 - Valor Real'!A3:A15,'Fevereiro 2023 - Valor Real'!C3:C15,0))+1)/((((L58/(L58-1)-1)*(1-_xlfn.XLOOKUP(K58,'Fevereiro 2023 - Valor Real'!A3:A15,'Fevereiro 2023 - Valor Real'!C3:C15,0))+1))+((L59-1)*(1-_xlfn.XLOOKUP(K59,'Fevereiro 2023 - Valor Real'!A3:A15,'Fevereiro 2023 - Valor Real'!C3:C15,0))+1)),((L58-1)*(1-_xlfn.XLOOKUP(K58,'Fevereiro 2023 - Valor Real'!A3:A15,'Fevereiro 2023 - Valor Real'!C3:C15,0))+1)/(((L58-1)*(1-_xlfn.XLOOKUP(K58,'Fevereiro 2023 - Valor Real'!A3:A15,'Fevereiro 2023 - Valor Real'!C3:C15,0))+1)+((L59-1)*(1-_xlfn.XLOOKUP(K59,'Fevereiro 2023 - Valor Real'!A3:A15,'Fevereiro 2023 - Valor Real'!C3:C15,0))+1))))))</f>
        <v>0.46808510638297868</v>
      </c>
      <c r="AF59" s="66">
        <f t="shared" si="107"/>
        <v>-10.1</v>
      </c>
      <c r="AG59" s="67">
        <f t="shared" si="107"/>
        <v>0</v>
      </c>
      <c r="AH59" s="67">
        <f t="shared" si="107"/>
        <v>0</v>
      </c>
      <c r="AI59" s="67">
        <f t="shared" si="107"/>
        <v>0</v>
      </c>
      <c r="AJ59" s="67">
        <f t="shared" si="107"/>
        <v>0</v>
      </c>
      <c r="AK59" s="67">
        <f t="shared" si="107"/>
        <v>0</v>
      </c>
      <c r="AL59" s="67">
        <f t="shared" si="107"/>
        <v>0</v>
      </c>
      <c r="AM59" s="67">
        <f t="shared" si="107"/>
        <v>0</v>
      </c>
      <c r="AN59" s="67">
        <f t="shared" si="107"/>
        <v>0</v>
      </c>
      <c r="AO59" s="67">
        <f t="shared" si="107"/>
        <v>0</v>
      </c>
      <c r="AP59" s="67">
        <f t="shared" si="107"/>
        <v>0</v>
      </c>
      <c r="AQ59" s="67">
        <f t="shared" si="107"/>
        <v>0</v>
      </c>
      <c r="AR59" s="68">
        <f t="shared" si="107"/>
        <v>0</v>
      </c>
      <c r="AS59" s="66">
        <f>IF(AND($B58=" ",$K59=AS$3),$O59,0)</f>
        <v>0</v>
      </c>
      <c r="AT59" s="67">
        <f>IF(AND($B58=" ",K59=AT$3),$O59,0)</f>
        <v>0</v>
      </c>
      <c r="AU59" s="67">
        <f t="shared" ref="AU59:BE59" si="116">IF(AND($B58=" ",$K59=AU$3),$O59,0)</f>
        <v>0</v>
      </c>
      <c r="AV59" s="67">
        <f t="shared" si="116"/>
        <v>0</v>
      </c>
      <c r="AW59" s="67">
        <f t="shared" si="116"/>
        <v>0</v>
      </c>
      <c r="AX59" s="67">
        <f t="shared" si="116"/>
        <v>0</v>
      </c>
      <c r="AY59" s="69">
        <f t="shared" si="116"/>
        <v>0</v>
      </c>
      <c r="AZ59" s="70">
        <f t="shared" si="116"/>
        <v>0</v>
      </c>
      <c r="BA59" s="70">
        <f t="shared" si="116"/>
        <v>0</v>
      </c>
      <c r="BB59" s="70">
        <f t="shared" si="116"/>
        <v>0</v>
      </c>
      <c r="BC59" s="71">
        <f t="shared" si="116"/>
        <v>0</v>
      </c>
      <c r="BD59" s="67">
        <f t="shared" si="116"/>
        <v>0</v>
      </c>
      <c r="BE59" s="68">
        <f t="shared" si="116"/>
        <v>0</v>
      </c>
      <c r="BF59" s="66">
        <f t="shared" si="109"/>
        <v>10.1</v>
      </c>
      <c r="BG59" s="168">
        <f t="shared" si="109"/>
        <v>0</v>
      </c>
      <c r="BH59" s="67">
        <f t="shared" si="109"/>
        <v>0</v>
      </c>
      <c r="BI59" s="67">
        <f t="shared" si="109"/>
        <v>0</v>
      </c>
      <c r="BJ59" s="67">
        <f t="shared" si="109"/>
        <v>0</v>
      </c>
      <c r="BK59" s="67">
        <f t="shared" si="109"/>
        <v>0</v>
      </c>
      <c r="BL59" s="67">
        <f t="shared" si="109"/>
        <v>0</v>
      </c>
      <c r="BM59" s="69">
        <f t="shared" si="109"/>
        <v>0</v>
      </c>
      <c r="BN59" s="70">
        <f t="shared" si="109"/>
        <v>0</v>
      </c>
      <c r="BO59" s="70">
        <f t="shared" si="109"/>
        <v>0</v>
      </c>
      <c r="BP59" s="70">
        <f t="shared" si="109"/>
        <v>0</v>
      </c>
      <c r="BQ59" s="71">
        <f t="shared" si="109"/>
        <v>0</v>
      </c>
      <c r="BR59" s="68">
        <f t="shared" si="109"/>
        <v>0</v>
      </c>
      <c r="BS59" s="491"/>
      <c r="BT59" s="489"/>
      <c r="BU59" s="392"/>
      <c r="BV59" s="489"/>
      <c r="BW59" s="392"/>
      <c r="BX59" s="392"/>
      <c r="BY59" s="392"/>
      <c r="BZ59" s="489"/>
      <c r="CA59" s="392"/>
      <c r="CB59" s="392"/>
      <c r="CC59" s="392"/>
      <c r="CD59" s="401"/>
      <c r="CE59" s="409"/>
      <c r="CF59" s="169">
        <f t="shared" si="4"/>
        <v>0</v>
      </c>
      <c r="CG59" s="170">
        <f t="shared" si="5"/>
        <v>1</v>
      </c>
      <c r="CH59" s="170">
        <f t="shared" si="6"/>
        <v>0</v>
      </c>
      <c r="CI59" s="170">
        <f t="shared" si="7"/>
        <v>0</v>
      </c>
      <c r="CJ59" s="170">
        <f t="shared" si="8"/>
        <v>0</v>
      </c>
      <c r="CK59" s="170">
        <f t="shared" si="9"/>
        <v>0</v>
      </c>
      <c r="CL59" s="170">
        <f t="shared" si="10"/>
        <v>0</v>
      </c>
      <c r="CM59" s="170">
        <f t="shared" si="11"/>
        <v>0</v>
      </c>
      <c r="CN59" s="170">
        <f t="shared" si="12"/>
        <v>0</v>
      </c>
      <c r="CO59" s="170">
        <f t="shared" si="13"/>
        <v>0</v>
      </c>
      <c r="CP59" s="170">
        <f t="shared" si="14"/>
        <v>0</v>
      </c>
      <c r="CQ59" s="170">
        <f t="shared" si="15"/>
        <v>0</v>
      </c>
      <c r="CR59" s="170">
        <f t="shared" si="16"/>
        <v>0</v>
      </c>
      <c r="CS59" s="170">
        <f t="shared" si="17"/>
        <v>0</v>
      </c>
      <c r="CT59" s="75">
        <f t="shared" si="18"/>
        <v>0</v>
      </c>
      <c r="CU59" s="76">
        <f t="shared" si="19"/>
        <v>0</v>
      </c>
      <c r="CV59" s="76">
        <f t="shared" si="20"/>
        <v>0</v>
      </c>
      <c r="CW59" s="76">
        <f t="shared" si="21"/>
        <v>0</v>
      </c>
      <c r="CX59" s="76">
        <f t="shared" si="22"/>
        <v>0</v>
      </c>
      <c r="CY59" s="76">
        <f t="shared" si="23"/>
        <v>0</v>
      </c>
      <c r="CZ59" s="76">
        <f t="shared" si="24"/>
        <v>0</v>
      </c>
      <c r="DA59" s="76">
        <f t="shared" si="25"/>
        <v>0</v>
      </c>
      <c r="DB59" s="76">
        <f t="shared" si="26"/>
        <v>0</v>
      </c>
      <c r="DC59" s="76">
        <f t="shared" si="27"/>
        <v>0</v>
      </c>
      <c r="DD59" s="76">
        <f t="shared" si="28"/>
        <v>0</v>
      </c>
      <c r="DE59" s="77">
        <f t="shared" si="29"/>
        <v>0</v>
      </c>
      <c r="DF59" s="73">
        <f t="shared" si="31"/>
        <v>8</v>
      </c>
      <c r="DG59" s="67">
        <f t="shared" si="32"/>
        <v>10.940000000000001</v>
      </c>
      <c r="DH59" s="76">
        <f t="shared" si="33"/>
        <v>0</v>
      </c>
      <c r="DI59" s="67">
        <f t="shared" si="34"/>
        <v>0</v>
      </c>
      <c r="DJ59" s="202" t="str">
        <f>IF($D58="","",$D58)</f>
        <v>2</v>
      </c>
      <c r="DK59" s="493"/>
    </row>
    <row r="60" spans="1:115" ht="14.5" customHeight="1" x14ac:dyDescent="0.2">
      <c r="A60" s="390"/>
      <c r="B60" s="457"/>
      <c r="C60" s="79" t="s">
        <v>53</v>
      </c>
      <c r="D60" s="375"/>
      <c r="E60" s="387"/>
      <c r="F60" s="378"/>
      <c r="G60" s="508"/>
      <c r="H60" s="477"/>
      <c r="I60" s="171"/>
      <c r="J60" s="172"/>
      <c r="K60" s="81"/>
      <c r="L60" s="173"/>
      <c r="M60" s="174"/>
      <c r="N60" s="407"/>
      <c r="O60" s="86" t="str">
        <f>IF(OR(AE58="",AE59=""),"",IF(L60&gt;0,ROUND(IF(M60&gt;0,M60,IF(M58&gt;0,ROUND((M58*AE60)/AE58,IF(N58=0,2,IF(N58=0.1,1,0))),IF(M59&gt;0,ROUND((M59*AE60)/AE59,IF(N58=0,2,IF(N58=0.1,1,0))),IF(M60&gt;0,M60,0)))),2),""))</f>
        <v/>
      </c>
      <c r="P60" s="87" t="str">
        <f>IF(I59="Lay",O59*(L59/(L59-1))-O59,IF(I58="Lay",O58*(L58/(L58-1))-O58,IF(OR(L60="",O60=""),"",IF($C60="1/2W",O60/2+O60/2*L60,IF($C60="1/2L",O60/2,(O60*L60-O60)*(1-_xlfn.XLOOKUP(K60,'Fevereiro 2023 - Valor Real'!A3:A15,'Fevereiro 2023 - Valor Real'!C3:C15,0))+O60)))))</f>
        <v/>
      </c>
      <c r="Q60" s="54" t="str">
        <f>IF(K60="","",IF(_xlfn.XLOOKUP(K60,K$11:K50,$DJ$11:DJ50,0,,-1)=DJ60,_xlfn.XLOOKUP(K60,K$11:K50,Q$11:Q50,1,,-1)+1,1))</f>
        <v/>
      </c>
      <c r="R60" s="87" t="str">
        <f>IF(K60="","",_xlfn.XLOOKUP(K60,K$11:K50,R$11:R50,0,,-1)+IF($C60=" ",1,0))</f>
        <v/>
      </c>
      <c r="S60" s="404"/>
      <c r="T60" s="378"/>
      <c r="U60" s="378"/>
      <c r="V60" s="404"/>
      <c r="W60" s="378"/>
      <c r="X60" s="453"/>
      <c r="Y60" s="383"/>
      <c r="Z60" s="384"/>
      <c r="AA60" s="384"/>
      <c r="AB60" s="384"/>
      <c r="AC60" s="384"/>
      <c r="AD60" s="90"/>
      <c r="AE60" s="91" t="str">
        <f>IF(L60="","",(SUM(((L58-1)*(1-_xlfn.XLOOKUP(K58,'Fevereiro 2023 - Valor Real'!A3:A15,'Fevereiro 2023 - Valor Real'!C3:C15,0))+1),((L59-1)*(1-_xlfn.XLOOKUP(K59,'Fevereiro 2023 - Valor Real'!A3:A15,'Fevereiro 2023 - Valor Real'!C3:C15,0))+1),((L60-1)*(1-_xlfn.XLOOKUP(K60,'Fevereiro 2023 - Valor Real'!A3:A15,'Fevereiro 2023 - Valor Real'!C3:C15,0))+1))/((L60-1)*(1-_xlfn.XLOOKUP(K60,'Fevereiro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Real'!C3:C15,0))+1))/((L58-1)*(1-_xlfn.XLOOKUP(K58,'Fevereiro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Real'!C3:C15,0))+1))/((L59-1)*(1-_xlfn.XLOOKUP(K59,'Fevereiro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Real'!C3:C15,0))+1))/((L60-1)*(1-_xlfn.XLOOKUP(K60,'Fevereiro 2023 - Valor Real'!A3:A15,'Fevereiro 2023 - Valor Real'!C3:C15,0))+1)))</f>
        <v/>
      </c>
      <c r="AF60" s="66">
        <f t="shared" si="107"/>
        <v>0</v>
      </c>
      <c r="AG60" s="67">
        <f t="shared" si="107"/>
        <v>0</v>
      </c>
      <c r="AH60" s="67">
        <f t="shared" si="107"/>
        <v>0</v>
      </c>
      <c r="AI60" s="67">
        <f t="shared" si="107"/>
        <v>0</v>
      </c>
      <c r="AJ60" s="67">
        <f t="shared" si="107"/>
        <v>0</v>
      </c>
      <c r="AK60" s="67">
        <f t="shared" si="107"/>
        <v>0</v>
      </c>
      <c r="AL60" s="67">
        <f t="shared" si="107"/>
        <v>0</v>
      </c>
      <c r="AM60" s="67">
        <f t="shared" si="107"/>
        <v>0</v>
      </c>
      <c r="AN60" s="67">
        <f t="shared" si="107"/>
        <v>0</v>
      </c>
      <c r="AO60" s="67">
        <f t="shared" si="107"/>
        <v>0</v>
      </c>
      <c r="AP60" s="67">
        <f t="shared" si="107"/>
        <v>0</v>
      </c>
      <c r="AQ60" s="67">
        <f t="shared" si="107"/>
        <v>0</v>
      </c>
      <c r="AR60" s="68">
        <f t="shared" si="107"/>
        <v>0</v>
      </c>
      <c r="AS60" s="66">
        <f>IF(AND($B58=" ",$K60=AS$3),$O60,0)</f>
        <v>0</v>
      </c>
      <c r="AT60" s="67">
        <f>IF(AND($B58=" ",K60=AT$3),$O60,0)</f>
        <v>0</v>
      </c>
      <c r="AU60" s="67">
        <f t="shared" ref="AU60:BE60" si="117">IF(AND($B58=" ",$K60=AU$3),$O60,0)</f>
        <v>0</v>
      </c>
      <c r="AV60" s="67">
        <f t="shared" si="117"/>
        <v>0</v>
      </c>
      <c r="AW60" s="67">
        <f t="shared" si="117"/>
        <v>0</v>
      </c>
      <c r="AX60" s="67">
        <f t="shared" si="117"/>
        <v>0</v>
      </c>
      <c r="AY60" s="69">
        <f t="shared" si="117"/>
        <v>0</v>
      </c>
      <c r="AZ60" s="70">
        <f t="shared" si="117"/>
        <v>0</v>
      </c>
      <c r="BA60" s="70">
        <f t="shared" si="117"/>
        <v>0</v>
      </c>
      <c r="BB60" s="70">
        <f t="shared" si="117"/>
        <v>0</v>
      </c>
      <c r="BC60" s="71">
        <f t="shared" si="117"/>
        <v>0</v>
      </c>
      <c r="BD60" s="67">
        <f t="shared" si="117"/>
        <v>0</v>
      </c>
      <c r="BE60" s="68">
        <f t="shared" si="117"/>
        <v>0</v>
      </c>
      <c r="BF60" s="66">
        <f t="shared" si="109"/>
        <v>0</v>
      </c>
      <c r="BG60" s="168">
        <f t="shared" si="109"/>
        <v>0</v>
      </c>
      <c r="BH60" s="67">
        <f t="shared" si="109"/>
        <v>0</v>
      </c>
      <c r="BI60" s="67">
        <f t="shared" si="109"/>
        <v>0</v>
      </c>
      <c r="BJ60" s="67">
        <f t="shared" si="109"/>
        <v>0</v>
      </c>
      <c r="BK60" s="67">
        <f t="shared" si="109"/>
        <v>0</v>
      </c>
      <c r="BL60" s="67">
        <f t="shared" si="109"/>
        <v>0</v>
      </c>
      <c r="BM60" s="69">
        <f t="shared" si="109"/>
        <v>0</v>
      </c>
      <c r="BN60" s="70">
        <f t="shared" si="109"/>
        <v>0</v>
      </c>
      <c r="BO60" s="70">
        <f t="shared" si="109"/>
        <v>0</v>
      </c>
      <c r="BP60" s="70">
        <f t="shared" si="109"/>
        <v>0</v>
      </c>
      <c r="BQ60" s="71">
        <f t="shared" si="109"/>
        <v>0</v>
      </c>
      <c r="BR60" s="68">
        <f t="shared" si="109"/>
        <v>0</v>
      </c>
      <c r="BS60" s="491"/>
      <c r="BT60" s="489"/>
      <c r="BU60" s="392"/>
      <c r="BV60" s="489"/>
      <c r="BW60" s="392"/>
      <c r="BX60" s="392"/>
      <c r="BY60" s="392"/>
      <c r="BZ60" s="489"/>
      <c r="CA60" s="392"/>
      <c r="CB60" s="392"/>
      <c r="CC60" s="392"/>
      <c r="CD60" s="401"/>
      <c r="CE60" s="409"/>
      <c r="CF60" s="169">
        <f t="shared" si="4"/>
        <v>0</v>
      </c>
      <c r="CG60" s="170">
        <f t="shared" si="5"/>
        <v>0</v>
      </c>
      <c r="CH60" s="170">
        <f t="shared" si="6"/>
        <v>0</v>
      </c>
      <c r="CI60" s="170">
        <f t="shared" si="7"/>
        <v>0</v>
      </c>
      <c r="CJ60" s="170">
        <f t="shared" si="8"/>
        <v>0</v>
      </c>
      <c r="CK60" s="170">
        <f t="shared" si="9"/>
        <v>0</v>
      </c>
      <c r="CL60" s="170">
        <f t="shared" si="10"/>
        <v>0</v>
      </c>
      <c r="CM60" s="170">
        <f t="shared" si="11"/>
        <v>0</v>
      </c>
      <c r="CN60" s="170">
        <f t="shared" si="12"/>
        <v>0</v>
      </c>
      <c r="CO60" s="170">
        <f t="shared" si="13"/>
        <v>0</v>
      </c>
      <c r="CP60" s="170">
        <f t="shared" si="14"/>
        <v>0</v>
      </c>
      <c r="CQ60" s="170">
        <f t="shared" si="15"/>
        <v>0</v>
      </c>
      <c r="CR60" s="170">
        <f t="shared" si="16"/>
        <v>0</v>
      </c>
      <c r="CS60" s="170">
        <f t="shared" si="17"/>
        <v>0</v>
      </c>
      <c r="CT60" s="75">
        <f t="shared" si="18"/>
        <v>0</v>
      </c>
      <c r="CU60" s="76">
        <f t="shared" si="19"/>
        <v>0</v>
      </c>
      <c r="CV60" s="76">
        <f t="shared" si="20"/>
        <v>0</v>
      </c>
      <c r="CW60" s="76">
        <f t="shared" si="21"/>
        <v>0</v>
      </c>
      <c r="CX60" s="76">
        <f t="shared" si="22"/>
        <v>0</v>
      </c>
      <c r="CY60" s="76">
        <f t="shared" si="23"/>
        <v>0</v>
      </c>
      <c r="CZ60" s="76">
        <f t="shared" si="24"/>
        <v>0</v>
      </c>
      <c r="DA60" s="76">
        <f t="shared" si="25"/>
        <v>0</v>
      </c>
      <c r="DB60" s="76">
        <f t="shared" si="26"/>
        <v>0</v>
      </c>
      <c r="DC60" s="76">
        <f t="shared" si="27"/>
        <v>0</v>
      </c>
      <c r="DD60" s="76">
        <f t="shared" si="28"/>
        <v>0</v>
      </c>
      <c r="DE60" s="77">
        <f t="shared" si="29"/>
        <v>0</v>
      </c>
      <c r="DF60" s="73">
        <f t="shared" si="31"/>
        <v>8</v>
      </c>
      <c r="DG60" s="67">
        <f t="shared" si="32"/>
        <v>10.940000000000001</v>
      </c>
      <c r="DH60" s="76">
        <f t="shared" si="33"/>
        <v>0</v>
      </c>
      <c r="DI60" s="67">
        <f t="shared" si="34"/>
        <v>0</v>
      </c>
      <c r="DJ60" s="202" t="str">
        <f>IF($D58="","",$D58)</f>
        <v>2</v>
      </c>
      <c r="DK60" s="493"/>
    </row>
    <row r="61" spans="1:115" ht="14.5" customHeight="1" x14ac:dyDescent="0.2">
      <c r="A61" s="459">
        <f>$A58+1</f>
        <v>20</v>
      </c>
      <c r="B61" s="507" t="str">
        <f>IF(OR(C61="W",C62="W",C63="W",C61="1/2W",C62="1/2W",C63="1/2W",C61="1/2L",C62="1/2L",C63="1/2L"),"OK",IF(OR(C61="L",C62="L",C63="L"),"LOSS",IF(OR(C61="X",C62="X",C63="X"),"Anulado"," ")))</f>
        <v>OK</v>
      </c>
      <c r="C61" s="93" t="s">
        <v>54</v>
      </c>
      <c r="D61" s="468" t="str">
        <f>IF(G61="","",$D58)</f>
        <v>2</v>
      </c>
      <c r="E61" s="485" t="str">
        <f>IF(G61=""," ","– "&amp;COUNTIF(D$4:D63,$D61))</f>
        <v>– 3</v>
      </c>
      <c r="F61" s="509" t="str">
        <f ca="1">IF(G61="","",IF(OR(AND($C61&lt;&gt;" ",$C62=" "),AND($C62&lt;&gt;" ",$C61=" "),AND(L63&gt;0,OR(AND($C63&lt;&gt;" ",OR($C61=" ",$C62=" ")),AND($C63=" ",OR($C61&lt;&gt;" ",$C62&lt;&gt;" "))))),IF(SUM(F$6:F56)=0,1,LARGE(F$6:F56,1)+1),IF(MONTH(G61)=MONTH(TODAY()),IF(AND(DAY(G61)&lt;DAY(TODAY()),$B61=" "),IF(SUM(F$6:F56)=0,1,LARGE(F$6:F56,1)+1),IF($B61=" ",IF(AND(DAY(G61)=DAY(TODAY()),HOUR(G61)&lt;=HOUR(NOW())+1),IF(AND(HOUR(G61)+2&lt;=HOUR(NOW()),DAY(G61)&lt;=DAY(TODAY()),MINUTE(G61)&lt;=MINUTE(NOW())),IF(SUM(F$6:F56)=0,1,LARGE(F$6:F56,1)+1),IF(OR(MINUTE(G61)&lt;=MINUTE(NOW()),HOUR(G61)&lt;=HOUR(NOW())),"!!!","")),""),"")),"")))</f>
        <v/>
      </c>
      <c r="G61" s="482">
        <f>IF(H61="","",_xlfn.XLOOKUP(H61,$H$4:H60,$G$4:G60,""))</f>
        <v>44988.375</v>
      </c>
      <c r="H61" s="475" t="s">
        <v>75</v>
      </c>
      <c r="I61" s="175">
        <v>1</v>
      </c>
      <c r="J61" s="176"/>
      <c r="K61" s="96" t="s">
        <v>40</v>
      </c>
      <c r="L61" s="97">
        <v>1.98</v>
      </c>
      <c r="M61" s="98"/>
      <c r="N61" s="478">
        <v>0</v>
      </c>
      <c r="O61" s="99">
        <f>IF(OR(AE61="",AE62=""),"",ROUND(IF(L63&gt;0,IF(M61&gt;0,M61,IF(M62&gt;0,ROUND((M62*AE61)/AE62,IF(N61=0,2,IF(N61=0.1,1,0))),ROUND((M63*AE61)/AE63,IF(N61=0,2,IF(N61=0.1,1,0))))),IF(M61&gt;0,M61,ROUND((M62*AE61)/AE62,IF(N61=0,2,IF(N61=0.1,1,0))))),2))</f>
        <v>9.5500000000000007</v>
      </c>
      <c r="P61" s="100">
        <f>IF(OR(L61="",O61=""),"",IF($C61="1/2W",O61/2+O61/2*L61,IF($C61="1/2L",O61/2,IF(I61="Lay",(O61*(L61/(L61-1))-O61)*(1-_xlfn.XLOOKUP(K61,'Fevereiro 2023 - Valor Real'!A3:A15,'Fevereiro 2023 - Valor Real'!C3:C15,0))+O61,(O61*L61-O61)*(1-_xlfn.XLOOKUP(K61,'Fevereiro 2023 - Valor Real'!A3:A15,'Fevereiro 2023 - Valor Real'!C3:C15,0))+O61))))</f>
        <v>18.909000000000002</v>
      </c>
      <c r="Q61" s="101">
        <f>IF(K61="","",IF(_xlfn.XLOOKUP(K61,K$6:K56,$DJ$6:DJ56,0,,-1)=DJ61,_xlfn.XLOOKUP(K61,K$6:K56,Q$6:Q56,1,,-1)+1,1))</f>
        <v>2</v>
      </c>
      <c r="R61" s="102">
        <f>IF(K61="","",_xlfn.XLOOKUP(K61,K$6:K56,R$6:R56,0,,-1)+IF($C61=" ",1,0))</f>
        <v>0</v>
      </c>
      <c r="S61" s="474">
        <f>IF($B61="Anulado",0,ROUND(IF(OR($B61="LOSS",$B61="OK"),IF(OR($C61="W",$C61="1/2W",$C61="1/2L"),P61-O61,IF($C61="L",-O61,0))+IF(OR($C62="W",$C62="1/2W",$C62="1/2L"),P62-O62,IF($C62="L",-O62,0))+IF(OR($C63="W",$C63="1/2W",$C63="1/2L"),P63-O63,IF($C63="L",-O63,0)),IF(AND(OR($C61="W",$C61="1/2W",$C61="1/2L"),C62="W"),P61+P62-SUM(O61:O63)+_xlfn.XLOOKUP("X",C61:C63,O61:O63,0),IF(AND(C61=TRUE,C63="W"),P61+P63-SUM(O61:O63),IF(AND(C62="W",C63="W"),P62+P63-SUM(O61:O63)+_xlfn.XLOOKUP("X",C61:C63,O61:O63,0),IF(L63&gt;0,IF(OR($C61="W",$C61="1/2W",$C61="1/2L"),P61-SUM(O61:O63)+_xlfn.XLOOKUP("X",C61:C63,O61:O63,0),IF(OR($C61="W",$C61="1/2W",$C61="1/2L"),P62-SUM(O61:O63)+_xlfn.XLOOKUP("X",C61:C63,O61:O63,0),IF(OR($C61="W",$C61="1/2W",$C61="1/2L"),P63-SUM(O61:O63)+_xlfn.XLOOKUP("X",C61:C63,O61:O63,0),IF(SUM(P61:P63)/3-SUM(O61:O63)+_xlfn.XLOOKUP("X",C61:C63,O61:O63,0)&gt;0,SUM(P61:P63)/3-SUM(O61:O63)+_xlfn.XLOOKUP("X",C61:C63,O61:O63,0),LARGE(P61:P63,1)-SUM(O61:O63))))),IF(OR($C61="W",$C61="1/2W",$C61="1/2L"),P61-SUM(O61:O62)+_xlfn.XLOOKUP("X",C61:C63,O61:O63,0),IF(OR($C61="W",$C61="1/2W",$C61="1/2L"),P62-SUM(O61:O62)+_xlfn.XLOOKUP("X",C61:C63,O61:O63,0),SUM(P61:P62)/2-SUM(O61:O62)+_xlfn.XLOOKUP("X",C61:C63,O61:O63,0)))))))),2))</f>
        <v>0.96</v>
      </c>
      <c r="T61" s="458">
        <f>IF(S61=0,0,S61/SUM(O61:O63))</f>
        <v>5.3481894150417819E-2</v>
      </c>
      <c r="U61" s="470">
        <f>IF($D61=$D58,IF(OR($B61="LOSS",$B61="OK",$B61="Anulada"),S61,0)+U58,IF(OR($B61="LOSS",$B61="OK",$B61="Anulada"),S61,0))</f>
        <v>3.11</v>
      </c>
      <c r="V61" s="470">
        <f>IF($D61="",0,IF($D61=$D58,IF($B61=" ",IF(I63="",IF(OR(AND(I61="DNB1",I62="DNB2"),AND(OR(I61="DNB1",I61="DNB2"),J62=0),AND(OR(I62="DNB1",I62="DNB2"),J61=0),AND(I61="DNB2",I62="DNB1"),AND(IF(J61=0,(J61+1)/ROUND(J61+1,0),J61/ROUND(J61,0))=1,IF(J62=0,(J62+1)/ROUND(IF(J62="",0,J62)+1,0),IF(J62="",0,J62)/ROUND(IF(J62="",1,J62),0))=1,OR(J61&lt;&gt;""),J62&lt;&gt;"")),0,IF(S61&lt;0,IF(I63="",SMALL(P61:P62,1)-SUM(O61:O62),0),SMALL(P61:P62,1)-SUM(O61:O62))),IF(S61&lt;0,IF(I63="",SMALL(P61:P63,1)-SUM(O61:O63),0),LARGE(P61:P63,1)-SUM(O61:O63))),S61)+V58,IF(I63="",IF(OR(AND(I61="DNB1",I62="DNB2"),AND(OR(I61="DNB1",I61="DNB2"),J62=0),AND(OR(I62="DNB1",I62="DNB2"),J61=0),AND(I61="DNB2",I62="DNB1"),AND(IF(J61=0,(J61+1)/ROUND(J61+1,0),J61/ROUND(J61,0))=1,IF(J62=0,(IF(J62="",0,J62)+1)/ROUND(IF(J62="",0,J62)+1,0),IF(J62="",0,J62)/ROUND(IF(J62="",0,J62)+1,0))=1,OR(J61&lt;&gt;""),J62&lt;&gt;"")),0,IF(S61&lt;0,IF(I63="",SMALL(P61:P62,1)-SUM(O61:O62),0),SMALL(P61:P63,1)-SUM(O61:O63))),IF(S61&lt;0,IF(I63="",SMALL(P61:P63,1)-SUM(O61:O63),0),LARGE(P61:P63,1)-SUM(O61:O63)))))</f>
        <v>3.0499999999999994</v>
      </c>
      <c r="W61" s="470">
        <f>IF($D61=$D58,IF(S61&lt;0,IF(I63="",S61,0),S61)+W58,S61)</f>
        <v>3.11</v>
      </c>
      <c r="X61" s="480" t="str">
        <f>IF(OR(SUM(R61:R63)=0,V61=W61),ROUND(IF(W61=0,0,W61/Y61)*100,2)&amp;"%",ROUND(IF(V61=0,0,V61/Y61)*100,2)&amp;"% a "&amp;ROUND(IF(W61=0,0,W61/Y61)*100,2)&amp;"%")</f>
        <v>5,91%</v>
      </c>
      <c r="Y61" s="471">
        <f>IF($D61=$D58,Y58+SUM(O61:O63),SUM(O61:O63))</f>
        <v>52.64</v>
      </c>
      <c r="Z61" s="470">
        <f>IF($B61=" ",SUM(O61:O63),0)+Z58</f>
        <v>0</v>
      </c>
      <c r="AA61" s="470">
        <f>IF(G61="","",IF($B61="Anulado",LARGE(P61:P63,1)-SUM(O61:O63)+AA58,AA58))</f>
        <v>0.45899999999999785</v>
      </c>
      <c r="AB61" s="470">
        <f>IF($D61="","",AB58+S61)</f>
        <v>31.759999999999998</v>
      </c>
      <c r="AC61" s="472">
        <f ca="1">IF($D61="","",IF($B61=" ",IF(DAY(G61)=DAY(TODAY()),1+AC58,0+AC58),0+AC58))</f>
        <v>0</v>
      </c>
      <c r="AD61" s="103">
        <f>(((L62/(L62-1)-1)*(1-_xlfn.XLOOKUP(K62,'Fevereiro 2023 - Valor Real'!A3:A15,'Fevereiro 2023 - Valor Real'!C3:C15,0))+1))/(((L61-1)*(1-_xlfn.XLOOKUP(K61,'Fevereiro 2023 - Valor Real'!A3:A15,'Fevereiro 2023 - Valor Real'!C3:C15,0))+1)+((L62/(L62-1)-1)*(1-_xlfn.XLOOKUP(K62,'Fevereiro 2023 - Valor Real'!A3:A15,'Fevereiro 2023 - Valor Real'!C3:C15,0))+1))</f>
        <v>0.47619047619047616</v>
      </c>
      <c r="AE61" s="104">
        <f>IF(L61="","",IF(L63&gt;0,(SUM(((L61-1)*(1-_xlfn.XLOOKUP(K61,'Fevereiro 2023 - Valor Real'!A3:A15,'Fevereiro 2023 - Valor Real'!C3:C15,0))+1),((L62-1)*(1-_xlfn.XLOOKUP(K62,'Fevereiro 2023 - Valor Real'!A3:A15,'Fevereiro 2023 - Valor Real'!C3:C15,0))+1),((L63-1)*(1-_xlfn.XLOOKUP(K63,'Fevereiro 2023 - Valor Real'!A3:A15,'Fevereiro 2023 - Valor Real'!C3:C15,0))+1))/((L61-1)*(1-_xlfn.XLOOKUP(K61,'Fevereiro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Real'!C3:C15,0))+1))/((L61-1)*(1-_xlfn.XLOOKUP(K61,'Fevereiro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Real'!C3:C15,0))+1))/((L62-1)*(1-_xlfn.XLOOKUP(K62,'Fevereiro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Real'!C3:C15,0))+1))/((L63-1)*(1-_xlfn.XLOOKUP(K63,'Fevereiro 2023 - Valor Real'!A3:A15,'Fevereiro 2023 - Valor Real'!C3:C15,0))+1)),IF(I61="Lay",IF(I62="Lay",((L62/(L62-1)-1)*(1-_xlfn.XLOOKUP(K62,'Fevereiro 2023 - Valor Real'!A3:A15,'Fevereiro 2023 - Valor Real'!C3:C15,0))+1)/(((L62/(L62-1)-1)*(1-_xlfn.XLOOKUP(K62,'Fevereiro 2023 - Valor Real'!A3:A15,'Fevereiro 2023 - Valor Real'!C3:C15,0))+1)+((L61/(L61-1)-1)*(1-_xlfn.XLOOKUP(K61,'Fevereiro 2023 - Valor Real'!A3:A15,'Fevereiro 2023 - Valor Real'!C3:C15,0))+1)),((L62-1)*(1-_xlfn.XLOOKUP(K62,'Fevereiro 2023 - Valor Real'!A3:A15,'Fevereiro 2023 - Valor Real'!C3:C15,0))+1)/(((L62-1)*(1-_xlfn.XLOOKUP(K62,'Fevereiro 2023 - Valor Real'!A3:A15,'Fevereiro 2023 - Valor Real'!C3:C15,0))+1)+((L61/(L61-1)-1)*(1-_xlfn.XLOOKUP(K61,'Fevereiro 2023 - Valor Real'!A3:A15,'Fevereiro 2023 - Valor Real'!C3:C15,0))+1))),IF(I62="Lay",(((L62/(L62-1)-1)*(1-_xlfn.XLOOKUP(K62,'Fevereiro 2023 - Valor Real'!A3:A15,'Fevereiro 2023 - Valor Real'!C3:C15,0))+1))/(((L61-1)*(1-_xlfn.XLOOKUP(K61,'Fevereiro 2023 - Valor Real'!A3:A15,'Fevereiro 2023 - Valor Real'!C3:C15,0))+1)+((L62/(L62-1)-1)*(1-_xlfn.XLOOKUP(K62,'Fevereiro 2023 - Valor Real'!A3:A15,'Fevereiro 2023 - Valor Real'!C3:C15,0))+1)),((L62-1)*(1-_xlfn.XLOOKUP(K62,'Fevereiro 2023 - Valor Real'!A3:A15,'Fevereiro 2023 - Valor Real'!C3:C15,0))+1)/(((L62-1)*(1-_xlfn.XLOOKUP(K62,'Fevereiro 2023 - Valor Real'!A3:A15,'Fevereiro 2023 - Valor Real'!C3:C15,0))+1)+((L61-1)*(1-_xlfn.XLOOKUP(K61,'Fevereiro 2023 - Valor Real'!A3:A15,'Fevereiro 2023 - Valor Real'!C3:C15,0))+1))))))</f>
        <v>0.53191489361702127</v>
      </c>
      <c r="AF61" s="105">
        <f t="shared" si="107"/>
        <v>0</v>
      </c>
      <c r="AG61" s="106">
        <f t="shared" si="107"/>
        <v>0</v>
      </c>
      <c r="AH61" s="106">
        <f t="shared" si="107"/>
        <v>0</v>
      </c>
      <c r="AI61" s="106">
        <f t="shared" si="107"/>
        <v>0</v>
      </c>
      <c r="AJ61" s="106">
        <f t="shared" si="107"/>
        <v>9.36</v>
      </c>
      <c r="AK61" s="106">
        <f t="shared" si="107"/>
        <v>0</v>
      </c>
      <c r="AL61" s="106">
        <f t="shared" si="107"/>
        <v>0</v>
      </c>
      <c r="AM61" s="106">
        <f t="shared" si="107"/>
        <v>0</v>
      </c>
      <c r="AN61" s="106">
        <f t="shared" si="107"/>
        <v>0</v>
      </c>
      <c r="AO61" s="106">
        <f t="shared" si="107"/>
        <v>0</v>
      </c>
      <c r="AP61" s="106">
        <f t="shared" si="107"/>
        <v>0</v>
      </c>
      <c r="AQ61" s="106">
        <f t="shared" si="107"/>
        <v>0</v>
      </c>
      <c r="AR61" s="107">
        <f t="shared" si="107"/>
        <v>0</v>
      </c>
      <c r="AS61" s="105">
        <f t="shared" ref="AS61:BE61" si="118">IF(AND($B61=" ",$K61=AS$3),$O61,0)</f>
        <v>0</v>
      </c>
      <c r="AT61" s="106">
        <f t="shared" si="118"/>
        <v>0</v>
      </c>
      <c r="AU61" s="106">
        <f t="shared" si="118"/>
        <v>0</v>
      </c>
      <c r="AV61" s="106">
        <f t="shared" si="118"/>
        <v>0</v>
      </c>
      <c r="AW61" s="106">
        <f t="shared" si="118"/>
        <v>0</v>
      </c>
      <c r="AX61" s="106">
        <f t="shared" si="118"/>
        <v>0</v>
      </c>
      <c r="AY61" s="108">
        <f t="shared" si="118"/>
        <v>0</v>
      </c>
      <c r="AZ61" s="109">
        <f t="shared" si="118"/>
        <v>0</v>
      </c>
      <c r="BA61" s="109">
        <f t="shared" si="118"/>
        <v>0</v>
      </c>
      <c r="BB61" s="109">
        <f t="shared" si="118"/>
        <v>0</v>
      </c>
      <c r="BC61" s="110">
        <f t="shared" si="118"/>
        <v>0</v>
      </c>
      <c r="BD61" s="106">
        <f t="shared" si="118"/>
        <v>0</v>
      </c>
      <c r="BE61" s="107">
        <f t="shared" si="118"/>
        <v>0</v>
      </c>
      <c r="BF61" s="111">
        <f t="shared" si="109"/>
        <v>0</v>
      </c>
      <c r="BG61" s="106">
        <f t="shared" si="109"/>
        <v>0</v>
      </c>
      <c r="BH61" s="106">
        <f t="shared" si="109"/>
        <v>0</v>
      </c>
      <c r="BI61" s="106">
        <f t="shared" si="109"/>
        <v>0</v>
      </c>
      <c r="BJ61" s="106">
        <f t="shared" si="109"/>
        <v>9.5500000000000007</v>
      </c>
      <c r="BK61" s="106">
        <f t="shared" si="109"/>
        <v>0</v>
      </c>
      <c r="BL61" s="106">
        <f t="shared" si="109"/>
        <v>0</v>
      </c>
      <c r="BM61" s="108">
        <f t="shared" si="109"/>
        <v>0</v>
      </c>
      <c r="BN61" s="109">
        <f t="shared" si="109"/>
        <v>0</v>
      </c>
      <c r="BO61" s="109">
        <f t="shared" si="109"/>
        <v>0</v>
      </c>
      <c r="BP61" s="109">
        <f t="shared" si="109"/>
        <v>0</v>
      </c>
      <c r="BQ61" s="110">
        <f t="shared" si="109"/>
        <v>0</v>
      </c>
      <c r="BR61" s="107">
        <f t="shared" si="109"/>
        <v>0</v>
      </c>
      <c r="BS61" s="463">
        <f>IF($B61="LOSS",IF(AND($K61=BS$3,$C61="L"),-$O61,0)+IF(AND($K62=BS$3,$C62="L"),-$O62,0)+IF(AND($K63=BS$3,$C63="L"),-$O63,0),IF(OR(AND($K61=BS$3,OR($C61="W",$C61="1/2W")),AND($K62=BS$3,OR($C62="W",$C62="1/2W")),AND($K63=BS$3,OR($C63="W",$C63="1/2W"))),$S61,0))</f>
        <v>0</v>
      </c>
      <c r="BT61" s="462">
        <f>IF($B61="LOSS",IF(AND($K61=BT$3,$C61="L"),-$O61,0)+IF(AND($K62=BT$3,$C62="L"),-$O62,0)+IF(AND($K62=BT$3,$C63="L"),-$O63,0),IF(OR(AND($K62=BT$3,OR($C61="W",$C61="1/2W")),AND($K62=BT$3,OR($C62="W",$C62="1/2W")),AND($K62=BT$3,OR($C63="W",$C63="1/2W"))),$S61,0))</f>
        <v>0</v>
      </c>
      <c r="BU61" s="462">
        <f>IF($B61="LOSS",IF(AND($K61=BU$3,$C61="L"),-$O61,0)+IF(AND($K62=BU$3,$C62="L"),-$O62,0)+IF(AND($K62=BU$3,$C63="L"),-$O63,0),IF(OR(AND($K62=BU$3,OR($C61="W",$C61="1/2W")),AND($K62=BU$3,OR($C62="W",$C62="1/2W")),AND($K62=BU$3,OR($C63="W",$C63="1/2W"))),$S61,0))</f>
        <v>0</v>
      </c>
      <c r="BV61" s="462">
        <f t="shared" ref="BV61:CE61" si="119">IF($B61="LOSS",IF(AND($K61=BV$3,$C61="L"),-$O61,0)+IF(AND($K62=BV$3,$C62="L"),-$O62,0)+IF(AND($K63=BV$3,$C63="L"),-$O63,0),IF(OR(AND($K61=BV$3,OR($C61="W",$C61="1/2W")),AND($K62=BV$3,OR($C62="W",$C62="1/2W")),AND($K63=BV$3,OR($C63="W",$C63="1/2W"))),$S61,0))</f>
        <v>0</v>
      </c>
      <c r="BW61" s="462">
        <f t="shared" si="119"/>
        <v>0.96</v>
      </c>
      <c r="BX61" s="462">
        <f t="shared" si="119"/>
        <v>0</v>
      </c>
      <c r="BY61" s="462">
        <f t="shared" si="119"/>
        <v>0</v>
      </c>
      <c r="BZ61" s="460">
        <f t="shared" si="119"/>
        <v>0</v>
      </c>
      <c r="CA61" s="460">
        <f t="shared" si="119"/>
        <v>0</v>
      </c>
      <c r="CB61" s="460">
        <f t="shared" si="119"/>
        <v>0</v>
      </c>
      <c r="CC61" s="460">
        <f t="shared" si="119"/>
        <v>0</v>
      </c>
      <c r="CD61" s="473">
        <f t="shared" si="119"/>
        <v>0</v>
      </c>
      <c r="CE61" s="479">
        <f t="shared" si="119"/>
        <v>0</v>
      </c>
      <c r="CF61" s="113">
        <f t="shared" si="4"/>
        <v>0</v>
      </c>
      <c r="CG61" s="114">
        <f t="shared" si="5"/>
        <v>0</v>
      </c>
      <c r="CH61" s="114">
        <f t="shared" si="6"/>
        <v>0</v>
      </c>
      <c r="CI61" s="114">
        <f t="shared" si="7"/>
        <v>0</v>
      </c>
      <c r="CJ61" s="114">
        <f t="shared" si="8"/>
        <v>0</v>
      </c>
      <c r="CK61" s="114">
        <f t="shared" si="9"/>
        <v>0</v>
      </c>
      <c r="CL61" s="114">
        <f t="shared" si="10"/>
        <v>0</v>
      </c>
      <c r="CM61" s="114">
        <f t="shared" si="11"/>
        <v>0</v>
      </c>
      <c r="CN61" s="114">
        <f t="shared" si="12"/>
        <v>1</v>
      </c>
      <c r="CO61" s="114">
        <f t="shared" si="13"/>
        <v>0</v>
      </c>
      <c r="CP61" s="114">
        <f t="shared" si="14"/>
        <v>0</v>
      </c>
      <c r="CQ61" s="114">
        <f t="shared" si="15"/>
        <v>0</v>
      </c>
      <c r="CR61" s="114">
        <f t="shared" si="16"/>
        <v>0</v>
      </c>
      <c r="CS61" s="114">
        <f t="shared" si="17"/>
        <v>0</v>
      </c>
      <c r="CT61" s="115">
        <f t="shared" si="18"/>
        <v>0</v>
      </c>
      <c r="CU61" s="116">
        <f t="shared" si="19"/>
        <v>0</v>
      </c>
      <c r="CV61" s="116">
        <f t="shared" si="20"/>
        <v>0</v>
      </c>
      <c r="CW61" s="116">
        <f t="shared" si="21"/>
        <v>0</v>
      </c>
      <c r="CX61" s="116">
        <f t="shared" si="22"/>
        <v>0</v>
      </c>
      <c r="CY61" s="116">
        <f t="shared" si="23"/>
        <v>0</v>
      </c>
      <c r="CZ61" s="116">
        <f t="shared" si="24"/>
        <v>0</v>
      </c>
      <c r="DA61" s="116">
        <f t="shared" si="25"/>
        <v>0</v>
      </c>
      <c r="DB61" s="116">
        <f t="shared" si="26"/>
        <v>0</v>
      </c>
      <c r="DC61" s="116">
        <f t="shared" si="27"/>
        <v>0</v>
      </c>
      <c r="DD61" s="116">
        <f t="shared" si="28"/>
        <v>0</v>
      </c>
      <c r="DE61" s="117">
        <f t="shared" si="29"/>
        <v>0</v>
      </c>
      <c r="DF61" s="118">
        <f t="shared" si="31"/>
        <v>8</v>
      </c>
      <c r="DG61" s="106">
        <f t="shared" si="32"/>
        <v>10.940000000000001</v>
      </c>
      <c r="DH61" s="116">
        <f t="shared" si="33"/>
        <v>0</v>
      </c>
      <c r="DI61" s="106">
        <f t="shared" si="34"/>
        <v>0</v>
      </c>
      <c r="DJ61" s="201" t="str">
        <f>IF($D61="","",$D61)</f>
        <v>2</v>
      </c>
      <c r="DK61" s="465">
        <f>IF(AND($B61=" ",$D61&lt;&gt;""),1,0)</f>
        <v>0</v>
      </c>
    </row>
    <row r="62" spans="1:115" ht="14.5" customHeight="1" x14ac:dyDescent="0.2">
      <c r="A62" s="389"/>
      <c r="B62" s="456"/>
      <c r="C62" s="120" t="s">
        <v>55</v>
      </c>
      <c r="D62" s="374"/>
      <c r="E62" s="386"/>
      <c r="F62" s="377"/>
      <c r="G62" s="483"/>
      <c r="H62" s="476"/>
      <c r="I62" s="178">
        <v>2</v>
      </c>
      <c r="J62" s="179" t="str">
        <f>IF(OR(I61="TO",I61="TU",I61="TO1",I61="TU1",I61="TO2",I61="TU2"),J61,IF(OR(I61="AH1",I61="AH2"),IF(OR(I62="AH1",I62="AH2"),-J61,IF(OR(I62="EH1",I62="EH2"),-J61+0.5,"")),IF(OR(I61="EH1",I61="EH2"),IF(OR(I62="AH1",I62="AH2"),-J61+0.5,IF(OR(I62="EH1",I62="EH2"),-J61+1,"")),IF(AND(OR(I61="DNB1",I61="DNB2"),OR(I62="AH1",I62="AH2")),0,IF(AND(I61="Not ScoreBoth",OR(I62="TO1",I62="TO2")),0.5,"")))))</f>
        <v/>
      </c>
      <c r="K62" s="123" t="s">
        <v>36</v>
      </c>
      <c r="L62" s="124">
        <v>2.25</v>
      </c>
      <c r="M62" s="125">
        <v>8.4</v>
      </c>
      <c r="N62" s="406"/>
      <c r="O62" s="126">
        <f>IF(OR(AE61="",AE62=""),"",ROUND(IF(L63&gt;0,IF(M62&gt;0,M62,IF(M61&gt;0,IF(N61=TRUE,ROUND((M61*AE62)/AE61,0),(M61*AE62)/AE61),IF(M62&gt;0,ROUND(M62,IF(N61=0,2,IF(N61=0.1,1,0))),IF(M63&gt;0,ROUND(O63*AE62/AE63,IF(N61=0,2,IF(N61=0.1,1,0))),0)))),IF(M62&gt;0,M62,ROUND((M61*AE62)/AE61,IF(N61=0,2,IF(N61=0.1,1,0))))),2))</f>
        <v>8.4</v>
      </c>
      <c r="P62" s="127">
        <f>IF(OR(L62="",O62=""),"",IF($C62="1/2W",O62/2+O62/2*L62,IF($C62="1/2L",O62/2,IF(I62="Lay",((O62*(L62/(L62-1)))-O62)*(1-_xlfn.XLOOKUP(K62,'Fevereiro 2023 - Valor Real'!A3:A15,'Fevereiro 2023 - Valor Real'!C3:C15,0))+O62,(O62*L62-O62)*(1-_xlfn.XLOOKUP(K62,'Fevereiro 2023 - Valor Real'!A3:A15,'Fevereiro 2023 - Valor Real'!C3:C15,0))+O62))))</f>
        <v>18.900000000000002</v>
      </c>
      <c r="Q62" s="128">
        <f>IF(K62="","",IF(_xlfn.XLOOKUP(K62,K$7:K56,$DJ$7:DJ56,0,,-1)=DJ62,_xlfn.XLOOKUP(K62,K$7:K56,Q$7:Q56,1,,-1)+1,1))</f>
        <v>1</v>
      </c>
      <c r="R62" s="129">
        <f>IF(K62="","",_xlfn.XLOOKUP(K62,K$7:K56,R$7:R56,0,,-1)+IF($C62=" ",1,0))</f>
        <v>0</v>
      </c>
      <c r="S62" s="403"/>
      <c r="T62" s="380"/>
      <c r="U62" s="380"/>
      <c r="V62" s="481"/>
      <c r="W62" s="380"/>
      <c r="X62" s="452"/>
      <c r="Y62" s="383"/>
      <c r="Z62" s="384"/>
      <c r="AA62" s="384"/>
      <c r="AB62" s="384"/>
      <c r="AC62" s="384"/>
      <c r="AD62" s="130">
        <f>(((L62/(L62-1)-1)*(1-_xlfn.XLOOKUP(K62,'Fevereiro 2023 - Valor Real'!A3:A15,'Fevereiro 2023 - Valor Real'!C3:C15,0))+1))</f>
        <v>1.8</v>
      </c>
      <c r="AE62" s="131">
        <f>IF(L62="","",IF(L63&gt;0,(SUM(((L61-1)*(1-_xlfn.XLOOKUP(K61,'Fevereiro 2023 - Valor Real'!A3:A15,'Fevereiro 2023 - Valor Real'!C3:C15,0))+1),((L62-1)*(1-_xlfn.XLOOKUP(K62,'Fevereiro 2023 - Valor Real'!A3:A15,'Fevereiro 2023 - Valor Real'!C3:C15,0))+1),((L63-1)*(1-_xlfn.XLOOKUP(K63,'Fevereiro 2023 - Valor Real'!A3:A15,'Fevereiro 2023 - Valor Real'!C3:C15,0))+1))/((L62-1)*(1-_xlfn.XLOOKUP(K62,'Fevereiro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Real'!C3:C15,0))+1))/((L61-1)*(1-_xlfn.XLOOKUP(K61,'Fevereiro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Real'!C3:C15,0))+1))/((L62-1)*(1-_xlfn.XLOOKUP(K62,'Fevereiro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Real'!C3:C15,0))+1))/((L63-1)*(1-_xlfn.XLOOKUP(K63,'Fevereiro 2023 - Valor Real'!A3:A15,'Fevereiro 2023 - Valor Real'!C3:C15,0))+1)),IF(I62="Lay",IF(I61="Lay",((L61/(L61-1)-1)*(1-_xlfn.XLOOKUP(K61,'Fevereiro 2023 - Valor Real'!A3:A15,'Fevereiro 2023 - Valor Real'!C3:C15,0))+1)/(((L61/(L61-1)-1)*(1-_xlfn.XLOOKUP(K61,'Fevereiro 2023 - Valor Real'!A3:A15,'Fevereiro 2023 - Valor Real'!C3:C15,0))+1)+((L62/(L62-1)-1)*(1-_xlfn.XLOOKUP(K62,'Fevereiro 2023 - Valor Real'!A3:A15,'Fevereiro 2023 - Valor Real'!C3:C15,0))+1)),((L61-1)*(1-_xlfn.XLOOKUP(K61,'Fevereiro 2023 - Valor Real'!A3:A15,'Fevereiro 2023 - Valor Real'!C3:C15,0))+1)/(((L61-1)*(1-_xlfn.XLOOKUP(K61,'Fevereiro 2023 - Valor Real'!A3:A15,'Fevereiro 2023 - Valor Real'!C3:C15,0))+1)+((L62/(L62-1)-1)*(1-_xlfn.XLOOKUP(K62,'Fevereiro 2023 - Valor Real'!A3:A15,'Fevereiro 2023 - Valor Real'!C3:C15,0))+1))),IF(I61="Lay",((L61/(L61-1)-1)*(1-_xlfn.XLOOKUP(K61,'Fevereiro 2023 - Valor Real'!A3:A15,'Fevereiro 2023 - Valor Real'!C3:C15,0))+1)/((((L61/(L61-1)-1)*(1-_xlfn.XLOOKUP(K61,'Fevereiro 2023 - Valor Real'!A3:A15,'Fevereiro 2023 - Valor Real'!C3:C15,0))+1))+((L62-1)*(1-_xlfn.XLOOKUP(K62,'Fevereiro 2023 - Valor Real'!A3:A15,'Fevereiro 2023 - Valor Real'!C3:C15,0))+1)),((L61-1)*(1-_xlfn.XLOOKUP(K61,'Fevereiro 2023 - Valor Real'!A3:A15,'Fevereiro 2023 - Valor Real'!C3:C15,0))+1)/(((L61-1)*(1-_xlfn.XLOOKUP(K61,'Fevereiro 2023 - Valor Real'!A3:A15,'Fevereiro 2023 - Valor Real'!C3:C15,0))+1)+((L62-1)*(1-_xlfn.XLOOKUP(K62,'Fevereiro 2023 - Valor Real'!A3:A15,'Fevereiro 2023 - Valor Real'!C3:C15,0))+1))))))</f>
        <v>0.46808510638297868</v>
      </c>
      <c r="AF62" s="105">
        <f t="shared" si="107"/>
        <v>-8.4</v>
      </c>
      <c r="AG62" s="106">
        <f t="shared" si="107"/>
        <v>0</v>
      </c>
      <c r="AH62" s="106">
        <f t="shared" si="107"/>
        <v>0</v>
      </c>
      <c r="AI62" s="106">
        <f t="shared" si="107"/>
        <v>0</v>
      </c>
      <c r="AJ62" s="106">
        <f t="shared" si="107"/>
        <v>0</v>
      </c>
      <c r="AK62" s="106">
        <f t="shared" si="107"/>
        <v>0</v>
      </c>
      <c r="AL62" s="106">
        <f t="shared" si="107"/>
        <v>0</v>
      </c>
      <c r="AM62" s="106">
        <f t="shared" si="107"/>
        <v>0</v>
      </c>
      <c r="AN62" s="106">
        <f t="shared" si="107"/>
        <v>0</v>
      </c>
      <c r="AO62" s="106">
        <f t="shared" si="107"/>
        <v>0</v>
      </c>
      <c r="AP62" s="106">
        <f t="shared" si="107"/>
        <v>0</v>
      </c>
      <c r="AQ62" s="106">
        <f t="shared" si="107"/>
        <v>0</v>
      </c>
      <c r="AR62" s="107">
        <f t="shared" si="107"/>
        <v>0</v>
      </c>
      <c r="AS62" s="105">
        <f>IF(AND($B61=" ",$K62=AS$3),$O62,0)</f>
        <v>0</v>
      </c>
      <c r="AT62" s="106">
        <f>IF(AND($B61=" ",K62=AT$3),$O62,0)</f>
        <v>0</v>
      </c>
      <c r="AU62" s="106">
        <f t="shared" ref="AU62:BE62" si="120">IF(AND($B61=" ",$K62=AU$3),$O62,0)</f>
        <v>0</v>
      </c>
      <c r="AV62" s="106">
        <f t="shared" si="120"/>
        <v>0</v>
      </c>
      <c r="AW62" s="106">
        <f t="shared" si="120"/>
        <v>0</v>
      </c>
      <c r="AX62" s="106">
        <f t="shared" si="120"/>
        <v>0</v>
      </c>
      <c r="AY62" s="108">
        <f t="shared" si="120"/>
        <v>0</v>
      </c>
      <c r="AZ62" s="109">
        <f t="shared" si="120"/>
        <v>0</v>
      </c>
      <c r="BA62" s="109">
        <f t="shared" si="120"/>
        <v>0</v>
      </c>
      <c r="BB62" s="109">
        <f t="shared" si="120"/>
        <v>0</v>
      </c>
      <c r="BC62" s="110">
        <f t="shared" si="120"/>
        <v>0</v>
      </c>
      <c r="BD62" s="106">
        <f t="shared" si="120"/>
        <v>0</v>
      </c>
      <c r="BE62" s="107">
        <f t="shared" si="120"/>
        <v>0</v>
      </c>
      <c r="BF62" s="105">
        <f t="shared" si="109"/>
        <v>8.4</v>
      </c>
      <c r="BG62" s="106">
        <f t="shared" si="109"/>
        <v>0</v>
      </c>
      <c r="BH62" s="106">
        <f t="shared" si="109"/>
        <v>0</v>
      </c>
      <c r="BI62" s="106">
        <f t="shared" si="109"/>
        <v>0</v>
      </c>
      <c r="BJ62" s="106">
        <f t="shared" si="109"/>
        <v>0</v>
      </c>
      <c r="BK62" s="106">
        <f t="shared" si="109"/>
        <v>0</v>
      </c>
      <c r="BL62" s="106">
        <f t="shared" si="109"/>
        <v>0</v>
      </c>
      <c r="BM62" s="132">
        <f t="shared" si="109"/>
        <v>0</v>
      </c>
      <c r="BN62" s="112">
        <f t="shared" si="109"/>
        <v>0</v>
      </c>
      <c r="BO62" s="112">
        <f t="shared" si="109"/>
        <v>0</v>
      </c>
      <c r="BP62" s="112">
        <f t="shared" si="109"/>
        <v>0</v>
      </c>
      <c r="BQ62" s="110">
        <f t="shared" si="109"/>
        <v>0</v>
      </c>
      <c r="BR62" s="107">
        <f t="shared" si="109"/>
        <v>0</v>
      </c>
      <c r="BS62" s="464"/>
      <c r="BT62" s="461"/>
      <c r="BU62" s="392"/>
      <c r="BV62" s="461"/>
      <c r="BW62" s="392"/>
      <c r="BX62" s="392"/>
      <c r="BY62" s="392"/>
      <c r="BZ62" s="461"/>
      <c r="CA62" s="392"/>
      <c r="CB62" s="392"/>
      <c r="CC62" s="392"/>
      <c r="CD62" s="401"/>
      <c r="CE62" s="409"/>
      <c r="CF62" s="133">
        <f t="shared" si="4"/>
        <v>0</v>
      </c>
      <c r="CG62" s="134">
        <f t="shared" si="5"/>
        <v>1</v>
      </c>
      <c r="CH62" s="134">
        <f t="shared" si="6"/>
        <v>0</v>
      </c>
      <c r="CI62" s="134">
        <f t="shared" si="7"/>
        <v>0</v>
      </c>
      <c r="CJ62" s="134">
        <f t="shared" si="8"/>
        <v>0</v>
      </c>
      <c r="CK62" s="134">
        <f t="shared" si="9"/>
        <v>0</v>
      </c>
      <c r="CL62" s="134">
        <f t="shared" si="10"/>
        <v>0</v>
      </c>
      <c r="CM62" s="134">
        <f t="shared" si="11"/>
        <v>0</v>
      </c>
      <c r="CN62" s="134">
        <f t="shared" si="12"/>
        <v>0</v>
      </c>
      <c r="CO62" s="134">
        <f t="shared" si="13"/>
        <v>0</v>
      </c>
      <c r="CP62" s="134">
        <f t="shared" si="14"/>
        <v>0</v>
      </c>
      <c r="CQ62" s="134">
        <f t="shared" si="15"/>
        <v>0</v>
      </c>
      <c r="CR62" s="134">
        <f t="shared" si="16"/>
        <v>0</v>
      </c>
      <c r="CS62" s="134">
        <f t="shared" si="17"/>
        <v>0</v>
      </c>
      <c r="CT62" s="115">
        <f t="shared" si="18"/>
        <v>0</v>
      </c>
      <c r="CU62" s="116">
        <f t="shared" si="19"/>
        <v>0</v>
      </c>
      <c r="CV62" s="116">
        <f t="shared" si="20"/>
        <v>0</v>
      </c>
      <c r="CW62" s="116">
        <f t="shared" si="21"/>
        <v>0</v>
      </c>
      <c r="CX62" s="116">
        <f t="shared" si="22"/>
        <v>0</v>
      </c>
      <c r="CY62" s="116">
        <f t="shared" si="23"/>
        <v>0</v>
      </c>
      <c r="CZ62" s="116">
        <f t="shared" si="24"/>
        <v>0</v>
      </c>
      <c r="DA62" s="116">
        <f t="shared" si="25"/>
        <v>0</v>
      </c>
      <c r="DB62" s="116">
        <f t="shared" si="26"/>
        <v>0</v>
      </c>
      <c r="DC62" s="116">
        <f t="shared" si="27"/>
        <v>0</v>
      </c>
      <c r="DD62" s="116">
        <f t="shared" si="28"/>
        <v>0</v>
      </c>
      <c r="DE62" s="117">
        <f t="shared" si="29"/>
        <v>0</v>
      </c>
      <c r="DF62" s="118">
        <f t="shared" si="31"/>
        <v>8</v>
      </c>
      <c r="DG62" s="106">
        <f t="shared" si="32"/>
        <v>10.940000000000001</v>
      </c>
      <c r="DH62" s="116">
        <f t="shared" si="33"/>
        <v>0</v>
      </c>
      <c r="DI62" s="106">
        <f t="shared" si="34"/>
        <v>0</v>
      </c>
      <c r="DJ62" s="201" t="str">
        <f>IF($D61="","",$D61)</f>
        <v>2</v>
      </c>
      <c r="DK62" s="466"/>
    </row>
    <row r="63" spans="1:115" ht="14.5" customHeight="1" x14ac:dyDescent="0.2">
      <c r="A63" s="390"/>
      <c r="B63" s="457"/>
      <c r="C63" s="135" t="s">
        <v>53</v>
      </c>
      <c r="D63" s="375"/>
      <c r="E63" s="387"/>
      <c r="F63" s="378"/>
      <c r="G63" s="484"/>
      <c r="H63" s="477"/>
      <c r="I63" s="136"/>
      <c r="J63" s="137"/>
      <c r="K63" s="138"/>
      <c r="L63" s="139"/>
      <c r="M63" s="140"/>
      <c r="N63" s="407"/>
      <c r="O63" s="141" t="str">
        <f>IF(OR(AE61="",AE62=""),"",IF(L63&gt;0,ROUND(IF(M63&gt;0,M63,IF(M61&gt;0,ROUND((M61*AE63)/AE61,IF(N61=0,2,IF(N61=0.1,1,0))),IF(M62&gt;0,ROUND((M62*AE63)/AE62,IF(N61=0,2,IF(N61=0.1,1,0))),IF(M63&gt;0,M63,0)))),2),""))</f>
        <v/>
      </c>
      <c r="P63" s="142" t="str">
        <f>IF(I62="Lay",O62*(L62/(L62-1))-O62,IF(I61="Lay",O61*(L61/(L61-1))-O61,IF(OR(L63="",O63=""),"",IF($C63="1/2W",O63/2+O63/2*L63,IF($C63="1/2L",O63/2,(O63*L63-O63)*(1-_xlfn.XLOOKUP(K63,'Fevereiro 2023 - Valor Real'!A3:A15,'Fevereiro 2023 - Valor Real'!C3:C15,0))+O63)))))</f>
        <v/>
      </c>
      <c r="Q63" s="143" t="str">
        <f>IF(K63="","",IF(_xlfn.XLOOKUP(K63,K$8:K56,$DJ$8:DJ56,0,,-1)=DJ63,_xlfn.XLOOKUP(K63,K$8:K56,Q$8:Q56,1,,-1)+1,1))</f>
        <v/>
      </c>
      <c r="R63" s="144" t="str">
        <f>IF(K63="","",_xlfn.XLOOKUP(K63,K$8:K56,R$8:R56,0,,-1)+IF($C63=" ",1,0))</f>
        <v/>
      </c>
      <c r="S63" s="404"/>
      <c r="T63" s="378"/>
      <c r="U63" s="378"/>
      <c r="V63" s="404"/>
      <c r="W63" s="378"/>
      <c r="X63" s="453"/>
      <c r="Y63" s="383"/>
      <c r="Z63" s="384"/>
      <c r="AA63" s="384"/>
      <c r="AB63" s="384"/>
      <c r="AC63" s="384"/>
      <c r="AD63" s="145">
        <f>((L62/(L62-1)-1))</f>
        <v>0.8</v>
      </c>
      <c r="AE63" s="146" t="str">
        <f>IF(L63="","",(SUM(((L61-1)*(1-_xlfn.XLOOKUP(K61,'Fevereiro 2023 - Valor Real'!A3:A15,'Fevereiro 2023 - Valor Real'!C3:C15,0))+1),((L62-1)*(1-_xlfn.XLOOKUP(K62,'Fevereiro 2023 - Valor Real'!A3:A15,'Fevereiro 2023 - Valor Real'!C3:C15,0))+1),((L63-1)*(1-_xlfn.XLOOKUP(K63,'Fevereiro 2023 - Valor Real'!A3:A15,'Fevereiro 2023 - Valor Real'!C3:C15,0))+1))/((L63-1)*(1-_xlfn.XLOOKUP(K63,'Fevereiro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Real'!C3:C15,0))+1))/((L61-1)*(1-_xlfn.XLOOKUP(K61,'Fevereiro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Real'!C3:C15,0))+1))/((L62-1)*(1-_xlfn.XLOOKUP(K62,'Fevereiro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Real'!C3:C15,0))+1))/((L63-1)*(1-_xlfn.XLOOKUP(K63,'Fevereiro 2023 - Valor Real'!A3:A15,'Fevereiro 2023 - Valor Real'!C3:C15,0))+1)))</f>
        <v/>
      </c>
      <c r="AF63" s="105">
        <f t="shared" si="107"/>
        <v>0</v>
      </c>
      <c r="AG63" s="106">
        <f t="shared" si="107"/>
        <v>0</v>
      </c>
      <c r="AH63" s="106">
        <f t="shared" si="107"/>
        <v>0</v>
      </c>
      <c r="AI63" s="106">
        <f t="shared" si="107"/>
        <v>0</v>
      </c>
      <c r="AJ63" s="106">
        <f t="shared" si="107"/>
        <v>0</v>
      </c>
      <c r="AK63" s="106">
        <f t="shared" si="107"/>
        <v>0</v>
      </c>
      <c r="AL63" s="106">
        <f t="shared" si="107"/>
        <v>0</v>
      </c>
      <c r="AM63" s="106">
        <f t="shared" si="107"/>
        <v>0</v>
      </c>
      <c r="AN63" s="106">
        <f t="shared" si="107"/>
        <v>0</v>
      </c>
      <c r="AO63" s="106">
        <f t="shared" si="107"/>
        <v>0</v>
      </c>
      <c r="AP63" s="106">
        <f t="shared" si="107"/>
        <v>0</v>
      </c>
      <c r="AQ63" s="106">
        <f t="shared" si="107"/>
        <v>0</v>
      </c>
      <c r="AR63" s="107">
        <f t="shared" si="107"/>
        <v>0</v>
      </c>
      <c r="AS63" s="105">
        <f>IF(AND($B61=" ",$K63=AS$3),$O63,0)</f>
        <v>0</v>
      </c>
      <c r="AT63" s="106">
        <f>IF(AND($B61=" ",K63=AT$3),$O63,0)</f>
        <v>0</v>
      </c>
      <c r="AU63" s="106">
        <f t="shared" ref="AU63:BE63" si="121">IF(AND($B61=" ",$K63=AU$3),$O63,0)</f>
        <v>0</v>
      </c>
      <c r="AV63" s="106">
        <f t="shared" si="121"/>
        <v>0</v>
      </c>
      <c r="AW63" s="106">
        <f t="shared" si="121"/>
        <v>0</v>
      </c>
      <c r="AX63" s="106">
        <f t="shared" si="121"/>
        <v>0</v>
      </c>
      <c r="AY63" s="108">
        <f t="shared" si="121"/>
        <v>0</v>
      </c>
      <c r="AZ63" s="109">
        <f t="shared" si="121"/>
        <v>0</v>
      </c>
      <c r="BA63" s="109">
        <f t="shared" si="121"/>
        <v>0</v>
      </c>
      <c r="BB63" s="109">
        <f t="shared" si="121"/>
        <v>0</v>
      </c>
      <c r="BC63" s="110">
        <f t="shared" si="121"/>
        <v>0</v>
      </c>
      <c r="BD63" s="106">
        <f t="shared" si="121"/>
        <v>0</v>
      </c>
      <c r="BE63" s="107">
        <f t="shared" si="121"/>
        <v>0</v>
      </c>
      <c r="BF63" s="105">
        <f t="shared" si="109"/>
        <v>0</v>
      </c>
      <c r="BG63" s="106">
        <f t="shared" si="109"/>
        <v>0</v>
      </c>
      <c r="BH63" s="106">
        <f t="shared" si="109"/>
        <v>0</v>
      </c>
      <c r="BI63" s="106">
        <f t="shared" si="109"/>
        <v>0</v>
      </c>
      <c r="BJ63" s="106">
        <f t="shared" si="109"/>
        <v>0</v>
      </c>
      <c r="BK63" s="106">
        <f t="shared" si="109"/>
        <v>0</v>
      </c>
      <c r="BL63" s="106">
        <f t="shared" si="109"/>
        <v>0</v>
      </c>
      <c r="BM63" s="108">
        <f t="shared" si="109"/>
        <v>0</v>
      </c>
      <c r="BN63" s="109">
        <f t="shared" si="109"/>
        <v>0</v>
      </c>
      <c r="BO63" s="109">
        <f t="shared" si="109"/>
        <v>0</v>
      </c>
      <c r="BP63" s="109">
        <f t="shared" si="109"/>
        <v>0</v>
      </c>
      <c r="BQ63" s="110">
        <f t="shared" si="109"/>
        <v>0</v>
      </c>
      <c r="BR63" s="107">
        <f t="shared" si="109"/>
        <v>0</v>
      </c>
      <c r="BS63" s="464"/>
      <c r="BT63" s="461"/>
      <c r="BU63" s="392"/>
      <c r="BV63" s="461"/>
      <c r="BW63" s="392"/>
      <c r="BX63" s="392"/>
      <c r="BY63" s="392"/>
      <c r="BZ63" s="461"/>
      <c r="CA63" s="392"/>
      <c r="CB63" s="392"/>
      <c r="CC63" s="392"/>
      <c r="CD63" s="401"/>
      <c r="CE63" s="409"/>
      <c r="CF63" s="133">
        <f t="shared" si="4"/>
        <v>0</v>
      </c>
      <c r="CG63" s="134">
        <f t="shared" si="5"/>
        <v>0</v>
      </c>
      <c r="CH63" s="134">
        <f t="shared" si="6"/>
        <v>0</v>
      </c>
      <c r="CI63" s="134">
        <f t="shared" si="7"/>
        <v>0</v>
      </c>
      <c r="CJ63" s="134">
        <f t="shared" si="8"/>
        <v>0</v>
      </c>
      <c r="CK63" s="134">
        <f t="shared" si="9"/>
        <v>0</v>
      </c>
      <c r="CL63" s="134">
        <f t="shared" si="10"/>
        <v>0</v>
      </c>
      <c r="CM63" s="134">
        <f t="shared" si="11"/>
        <v>0</v>
      </c>
      <c r="CN63" s="134">
        <f t="shared" si="12"/>
        <v>0</v>
      </c>
      <c r="CO63" s="134">
        <f t="shared" si="13"/>
        <v>0</v>
      </c>
      <c r="CP63" s="134">
        <f t="shared" si="14"/>
        <v>0</v>
      </c>
      <c r="CQ63" s="134">
        <f t="shared" si="15"/>
        <v>0</v>
      </c>
      <c r="CR63" s="134">
        <f t="shared" si="16"/>
        <v>0</v>
      </c>
      <c r="CS63" s="134">
        <f t="shared" si="17"/>
        <v>0</v>
      </c>
      <c r="CT63" s="115">
        <f t="shared" si="18"/>
        <v>0</v>
      </c>
      <c r="CU63" s="116">
        <f t="shared" si="19"/>
        <v>0</v>
      </c>
      <c r="CV63" s="116">
        <f t="shared" si="20"/>
        <v>0</v>
      </c>
      <c r="CW63" s="116">
        <f t="shared" si="21"/>
        <v>0</v>
      </c>
      <c r="CX63" s="116">
        <f t="shared" si="22"/>
        <v>0</v>
      </c>
      <c r="CY63" s="116">
        <f t="shared" si="23"/>
        <v>0</v>
      </c>
      <c r="CZ63" s="116">
        <f t="shared" si="24"/>
        <v>0</v>
      </c>
      <c r="DA63" s="116">
        <f t="shared" si="25"/>
        <v>0</v>
      </c>
      <c r="DB63" s="116">
        <f t="shared" si="26"/>
        <v>0</v>
      </c>
      <c r="DC63" s="116">
        <f t="shared" si="27"/>
        <v>0</v>
      </c>
      <c r="DD63" s="116">
        <f t="shared" si="28"/>
        <v>0</v>
      </c>
      <c r="DE63" s="117">
        <f t="shared" si="29"/>
        <v>0</v>
      </c>
      <c r="DF63" s="118">
        <f t="shared" si="31"/>
        <v>8</v>
      </c>
      <c r="DG63" s="106">
        <f t="shared" si="32"/>
        <v>10.940000000000001</v>
      </c>
      <c r="DH63" s="116">
        <f t="shared" si="33"/>
        <v>0</v>
      </c>
      <c r="DI63" s="106">
        <f t="shared" si="34"/>
        <v>0</v>
      </c>
      <c r="DJ63" s="201" t="str">
        <f>IF($D61="","",$D61)</f>
        <v>2</v>
      </c>
      <c r="DK63" s="466"/>
    </row>
    <row r="64" spans="1:115" ht="14.5" customHeight="1" x14ac:dyDescent="0.2">
      <c r="A64" s="487">
        <f>$A61+1</f>
        <v>21</v>
      </c>
      <c r="B64" s="506" t="str">
        <f>IF(OR(C64="W",C65="W",C66="W",C64="1/2W",C65="1/2W",C66="1/2W",C64="1/2L",C65="1/2L",C66="1/2L"),"OK",IF(OR(C64="L",C65="L",C66="L"),"LOSS",IF(OR(C64="X",C65="X",C66="X"),"Anulado"," ")))</f>
        <v>OK</v>
      </c>
      <c r="C64" s="147" t="s">
        <v>55</v>
      </c>
      <c r="D64" s="494" t="str">
        <f>IF(G64="","",$D61)</f>
        <v>2</v>
      </c>
      <c r="E64" s="511" t="str">
        <f>IF(G64=""," ","– "&amp;COUNTIF(D$4:D66,$D64))</f>
        <v>– 4</v>
      </c>
      <c r="F64" s="510" t="str">
        <f ca="1">IF(G64="","",IF(OR(AND($C64&lt;&gt;" ",$C65=" "),AND($C65&lt;&gt;" ",$C64=" "),AND(L66&gt;0,OR(AND($C66&lt;&gt;" ",OR($C64=" ",$C65=" ")),AND($C66=" ",OR($C64&lt;&gt;" ",$C65&lt;&gt;" "))))),IF(SUM(F$9:F56)=0,1,LARGE(F$9:F56,1)+1),IF(MONTH(G64)=MONTH(TODAY()),IF(AND(DAY(G64)&lt;DAY(TODAY()),$B64=" "),IF(SUM(F$9:F56)=0,1,LARGE(F$9:F56,1)+1),IF($B64=" ",IF(AND(DAY(G64)=DAY(TODAY()),HOUR(G64)&lt;=HOUR(NOW())+1),IF(AND(HOUR(G64)+2&lt;=HOUR(NOW()),DAY(G64)&lt;=DAY(TODAY()),MINUTE(G64)&lt;=MINUTE(NOW())),IF(SUM(F$9:F56)=0,1,LARGE(F$9:F56,1)+1),IF(OR(MINUTE(G64)&lt;=MINUTE(NOW()),HOUR(G64)&lt;=HOUR(NOW())),"!!!","")),""),"")),"")))</f>
        <v/>
      </c>
      <c r="G64" s="508">
        <f>IF(H64="","",_xlfn.XLOOKUP(H64,$H$4:H63,$G$4:G63,""))</f>
        <v>44987.628472222219</v>
      </c>
      <c r="H64" s="502" t="s">
        <v>60</v>
      </c>
      <c r="I64" s="180" t="s">
        <v>61</v>
      </c>
      <c r="J64" s="149"/>
      <c r="K64" s="150" t="s">
        <v>43</v>
      </c>
      <c r="L64" s="151">
        <v>7.97</v>
      </c>
      <c r="M64" s="152">
        <v>18.420000000000002</v>
      </c>
      <c r="N64" s="503">
        <v>0</v>
      </c>
      <c r="O64" s="153">
        <f>IF(OR(AE64="",AE65=""),"",ROUND(IF(L66&gt;0,IF(M64&gt;0,M64,IF(M65&gt;0,ROUND((M65*AE64)/AE65,IF(N64=0,2,IF(N64=0.1,1,0))),ROUND((M66*AE64)/AE66,IF(N64=0,2,IF(N64=0.1,1,0))))),IF(M64&gt;0,M64,ROUND((M65*AE64)/AE65,IF(N64=0,2,IF(N64=0.1,1,0))))),2))</f>
        <v>18.420000000000002</v>
      </c>
      <c r="P64" s="154">
        <f>IF(OR(L64="",O64=""),"",IF($C64="1/2W",O64/2+O64/2*L64,IF($C64="1/2L",O64/2,IF(I64="Lay",(O64*(L64/(L64-1))-O64)*(1-_xlfn.XLOOKUP(K64,'Fevereiro 2023 - Valor Real'!A3:A15,'Fevereiro 2023 - Valor Real'!C3:C15,0))+O64,(O64*L64-O64)*(1-_xlfn.XLOOKUP(K64,'Fevereiro 2023 - Valor Real'!A3:A15,'Fevereiro 2023 - Valor Real'!C3:C15,0))+O64))))</f>
        <v>146.80740000000003</v>
      </c>
      <c r="Q64" s="155">
        <f>IF(K64="","",IF(_xlfn.XLOOKUP(K64,K$9:K56,$DJ$9:DJ56,0,,-1)=DJ64,_xlfn.XLOOKUP(K64,K$9:K56,Q$9:Q56,1,,-1)+1,1))</f>
        <v>1</v>
      </c>
      <c r="R64" s="156">
        <f>IF(K64="","",_xlfn.XLOOKUP(K64,K$9:K56,R$9:R56,0,,-1)+IF($C64=" ",1,0))</f>
        <v>0</v>
      </c>
      <c r="S64" s="501">
        <f>IF($B64="Anulado",0,ROUND(IF(OR($B64="LOSS",$B64="OK"),IF(OR($C64="W",$C64="1/2W",$C64="1/2L"),P64-O64,IF($C64="L",-O64,0))+IF(OR($C65="W",$C65="1/2W",$C65="1/2L"),P65-O65,IF($C65="L",-O65,0))+IF(OR($C66="W",$C66="1/2W",$C66="1/2L"),P66-O66,IF($C66="L",-O66,0)),IF(AND(OR($C64="W",$C64="1/2W",$C64="1/2L"),C65="W"),P64+P65-SUM(O64:O66)+_xlfn.XLOOKUP("X",C64:C66,O64:O66,0),IF(AND(C64=TRUE,C66="W"),P64+P66-SUM(O64:O66),IF(AND(C65="W",C66="W"),P65+P66-SUM(O64:O66)+_xlfn.XLOOKUP("X",C64:C66,O64:O66,0),IF(L66&gt;0,IF(OR($C64="W",$C64="1/2W",$C64="1/2L"),P64-SUM(O64:O66)+_xlfn.XLOOKUP("X",C64:C66,O64:O66,0),IF(OR($C64="W",$C64="1/2W",$C64="1/2L"),P65-SUM(O64:O66)+_xlfn.XLOOKUP("X",C64:C66,O64:O66,0),IF(OR($C64="W",$C64="1/2W",$C64="1/2L"),P66-SUM(O64:O66)+_xlfn.XLOOKUP("X",C64:C66,O64:O66,0),IF(SUM(P64:P66)/3-SUM(O64:O66)+_xlfn.XLOOKUP("X",C64:C66,O64:O66,0)&gt;0,SUM(P64:P66)/3-SUM(O64:O66)+_xlfn.XLOOKUP("X",C64:C66,O64:O66,0),LARGE(P64:P66,1)-SUM(O64:O66))))),IF(OR($C64="W",$C64="1/2W",$C64="1/2L"),P64-SUM(O64:O65)+_xlfn.XLOOKUP("X",C64:C66,O64:O66,0),IF(OR($C64="W",$C64="1/2W",$C64="1/2L"),P65-SUM(O64:O65)+_xlfn.XLOOKUP("X",C64:C66,O64:O66,0),SUM(P64:P65)/2-SUM(O64:O65)+_xlfn.XLOOKUP("X",C64:C66,O64:O66,0)))))))),2))</f>
        <v>4.62</v>
      </c>
      <c r="T64" s="486">
        <f>IF(S64=0,0,S64/SUM(O64:O66))</f>
        <v>3.2478031634446396E-2</v>
      </c>
      <c r="U64" s="496">
        <f>IF($D64=$D61,IF(OR($B64="LOSS",$B64="OK",$B64="Anulada"),S64,0)+U61,IF(OR($B64="LOSS",$B64="OK",$B64="Anulada"),S64,0))</f>
        <v>7.73</v>
      </c>
      <c r="V64" s="496">
        <f>IF($D64="",0,IF($D64=$D61,IF($B64=" ",IF(I66="",IF(OR(AND(I64="DNB1",I65="DNB2"),AND(OR(I64="DNB1",I64="DNB2"),J65=0),AND(OR(I65="DNB1",I65="DNB2"),J64=0),AND(I64="DNB2",I65="DNB1"),AND(IF(J64=0,(J64+1)/ROUND(J64+1,0),J64/ROUND(J64,0))=1,IF(J65=0,(J65+1)/ROUND(IF(J65="",0,J65)+1,0),IF(J65="",0,J65)/ROUND(IF(J65="",1,J65),0))=1,OR(J64&lt;&gt;""),J65&lt;&gt;"")),0,IF(S64&lt;0,IF(I66="",SMALL(P64:P65,1)-SUM(O64:O65),0),SMALL(P64:P65,1)-SUM(O64:O65))),IF(S64&lt;0,IF(I66="",SMALL(P64:P66,1)-SUM(O64:O66),0),LARGE(P64:P66,1)-SUM(O64:O66))),S64)+V61,IF(I66="",IF(OR(AND(I64="DNB1",I65="DNB2"),AND(OR(I64="DNB1",I64="DNB2"),J65=0),AND(OR(I65="DNB1",I65="DNB2"),J64=0),AND(I64="DNB2",I65="DNB1"),AND(IF(J64=0,(J64+1)/ROUND(J64+1,0),J64/ROUND(J64,0))=1,IF(J65=0,(IF(J65="",0,J65)+1)/ROUND(IF(J65="",0,J65)+1,0),IF(J65="",0,J65)/ROUND(IF(J65="",0,J65)+1,0))=1,OR(J64&lt;&gt;""),J65&lt;&gt;"")),0,IF(S64&lt;0,IF(I66="",SMALL(P64:P65,1)-SUM(O64:O65),0),SMALL(P64:P66,1)-SUM(O64:O66))),IF(S64&lt;0,IF(I66="",SMALL(P64:P66,1)-SUM(O64:O66),0),LARGE(P64:P66,1)-SUM(O64:O66)))))</f>
        <v>7.67</v>
      </c>
      <c r="W64" s="496">
        <f>IF($D64=$D61,IF(S64&lt;0,IF(I66="",S64,0),S64)+W61,S64)</f>
        <v>7.73</v>
      </c>
      <c r="X64" s="505" t="str">
        <f>IF(OR(SUM(R64:R66)=0,V64=W64),ROUND(IF(W64=0,0,W64/Y64)*100,2)&amp;"%",ROUND(IF(V64=0,0,V64/Y64)*100,2)&amp;"% a "&amp;ROUND(IF(W64=0,0,W64/Y64)*100,2)&amp;"%")</f>
        <v>3,97%</v>
      </c>
      <c r="Y64" s="497">
        <f>IF($D64=$D61,Y61+SUM(O64:O66),SUM(O64:O66))</f>
        <v>194.89</v>
      </c>
      <c r="Z64" s="496">
        <f>IF($B64=" ",SUM(O64:O66),0)+Z61</f>
        <v>0</v>
      </c>
      <c r="AA64" s="496">
        <f>IF(G64="","",IF($B64="Anulado",LARGE(P64:P66,1)-SUM(O64:O66)+AA61,AA61))</f>
        <v>0.45899999999999785</v>
      </c>
      <c r="AB64" s="496">
        <f>IF($D64="","",AB61+S64)</f>
        <v>36.379999999999995</v>
      </c>
      <c r="AC64" s="499">
        <f ca="1">IF($D64="","",IF($B64=" ",IF(DAY(G64)=DAY(TODAY()),1+AC61,0+AC61),0+AC61))</f>
        <v>0</v>
      </c>
      <c r="AD64" s="157">
        <f>(1-_xlfn.XLOOKUP(K62,'Fevereiro 2023 - Valor Real'!A3:A15,'Fevereiro 2023 - Valor Real'!C3:C15,0))+1</f>
        <v>2</v>
      </c>
      <c r="AE64" s="158">
        <f>IF(L64="","",IF(L66&gt;0,(SUM(((L64-1)*(1-_xlfn.XLOOKUP(K64,'Fevereiro 2023 - Valor Real'!A3:A15,'Fevereiro 2023 - Valor Real'!C3:C15,0))+1),((L65-1)*(1-_xlfn.XLOOKUP(K65,'Fevereiro 2023 - Valor Real'!A3:A15,'Fevereiro 2023 - Valor Real'!C3:C15,0))+1),((L66-1)*(1-_xlfn.XLOOKUP(K66,'Fevereiro 2023 - Valor Real'!A3:A15,'Fevereiro 2023 - Valor Real'!C3:C15,0))+1))/((L64-1)*(1-_xlfn.XLOOKUP(K64,'Fevereiro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Real'!C3:C15,0))+1))/((L64-1)*(1-_xlfn.XLOOKUP(K64,'Fevereiro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Real'!C3:C15,0))+1))/((L65-1)*(1-_xlfn.XLOOKUP(K65,'Fevereiro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Real'!C3:C15,0))+1))/((L66-1)*(1-_xlfn.XLOOKUP(K66,'Fevereiro 2023 - Valor Real'!A3:A15,'Fevereiro 2023 - Valor Real'!C3:C15,0))+1)),IF(I64="Lay",IF(I65="Lay",((L65/(L65-1)-1)*(1-_xlfn.XLOOKUP(K65,'Fevereiro 2023 - Valor Real'!A3:A15,'Fevereiro 2023 - Valor Real'!C3:C15,0))+1)/(((L65/(L65-1)-1)*(1-_xlfn.XLOOKUP(K65,'Fevereiro 2023 - Valor Real'!A3:A15,'Fevereiro 2023 - Valor Real'!C3:C15,0))+1)+((L64/(L64-1)-1)*(1-_xlfn.XLOOKUP(K64,'Fevereiro 2023 - Valor Real'!A3:A15,'Fevereiro 2023 - Valor Real'!C3:C15,0))+1)),((L65-1)*(1-_xlfn.XLOOKUP(K65,'Fevereiro 2023 - Valor Real'!A3:A15,'Fevereiro 2023 - Valor Real'!C3:C15,0))+1)/(((L65-1)*(1-_xlfn.XLOOKUP(K65,'Fevereiro 2023 - Valor Real'!A3:A15,'Fevereiro 2023 - Valor Real'!C3:C15,0))+1)+((L64/(L64-1)-1)*(1-_xlfn.XLOOKUP(K64,'Fevereiro 2023 - Valor Real'!A3:A15,'Fevereiro 2023 - Valor Real'!C3:C15,0))+1))),IF(I65="Lay",(((L65/(L65-1)-1)*(1-_xlfn.XLOOKUP(K65,'Fevereiro 2023 - Valor Real'!A3:A15,'Fevereiro 2023 - Valor Real'!C3:C15,0))+1))/(((L64-1)*(1-_xlfn.XLOOKUP(K64,'Fevereiro 2023 - Valor Real'!A3:A15,'Fevereiro 2023 - Valor Real'!C3:C15,0))+1)+((L65/(L65-1)-1)*(1-_xlfn.XLOOKUP(K65,'Fevereiro 2023 - Valor Real'!A3:A15,'Fevereiro 2023 - Valor Real'!C3:C15,0))+1)),((L65-1)*(1-_xlfn.XLOOKUP(K65,'Fevereiro 2023 - Valor Real'!A3:A15,'Fevereiro 2023 - Valor Real'!C3:C15,0))+1)/(((L65-1)*(1-_xlfn.XLOOKUP(K65,'Fevereiro 2023 - Valor Real'!A3:A15,'Fevereiro 2023 - Valor Real'!C3:C15,0))+1)+((L64-1)*(1-_xlfn.XLOOKUP(K64,'Fevereiro 2023 - Valor Real'!A3:A15,'Fevereiro 2023 - Valor Real'!C3:C15,0))+1))))))</f>
        <v>7.025475456336433E-2</v>
      </c>
      <c r="AF64" s="66">
        <f t="shared" ref="AF64:AR73" si="122">IF($K64=AF$3,ROUND(IF(OR($C64="W",$C64="1/2W",$C64="1/2L"),$P64-$O64,IF($C64="X",0,-$O64)),2),0)</f>
        <v>0</v>
      </c>
      <c r="AG64" s="67">
        <f t="shared" si="122"/>
        <v>0</v>
      </c>
      <c r="AH64" s="67">
        <f t="shared" si="122"/>
        <v>0</v>
      </c>
      <c r="AI64" s="67">
        <f t="shared" si="122"/>
        <v>0</v>
      </c>
      <c r="AJ64" s="67">
        <f t="shared" si="122"/>
        <v>0</v>
      </c>
      <c r="AK64" s="67">
        <f t="shared" si="122"/>
        <v>0</v>
      </c>
      <c r="AL64" s="67">
        <f t="shared" si="122"/>
        <v>0</v>
      </c>
      <c r="AM64" s="67">
        <f t="shared" si="122"/>
        <v>-18.420000000000002</v>
      </c>
      <c r="AN64" s="67">
        <f t="shared" si="122"/>
        <v>0</v>
      </c>
      <c r="AO64" s="67">
        <f t="shared" si="122"/>
        <v>0</v>
      </c>
      <c r="AP64" s="67">
        <f t="shared" si="122"/>
        <v>0</v>
      </c>
      <c r="AQ64" s="67">
        <f t="shared" si="122"/>
        <v>0</v>
      </c>
      <c r="AR64" s="68">
        <f t="shared" si="122"/>
        <v>0</v>
      </c>
      <c r="AS64" s="66">
        <f t="shared" ref="AS64:BE64" si="123">IF(AND($B64=" ",$K64=AS$3),$O64,0)</f>
        <v>0</v>
      </c>
      <c r="AT64" s="67">
        <f t="shared" si="123"/>
        <v>0</v>
      </c>
      <c r="AU64" s="67">
        <f t="shared" si="123"/>
        <v>0</v>
      </c>
      <c r="AV64" s="67">
        <f t="shared" si="123"/>
        <v>0</v>
      </c>
      <c r="AW64" s="67">
        <f t="shared" si="123"/>
        <v>0</v>
      </c>
      <c r="AX64" s="67">
        <f t="shared" si="123"/>
        <v>0</v>
      </c>
      <c r="AY64" s="69">
        <f t="shared" si="123"/>
        <v>0</v>
      </c>
      <c r="AZ64" s="70">
        <f t="shared" si="123"/>
        <v>0</v>
      </c>
      <c r="BA64" s="70">
        <f t="shared" si="123"/>
        <v>0</v>
      </c>
      <c r="BB64" s="70">
        <f t="shared" si="123"/>
        <v>0</v>
      </c>
      <c r="BC64" s="71">
        <f t="shared" si="123"/>
        <v>0</v>
      </c>
      <c r="BD64" s="67">
        <f t="shared" si="123"/>
        <v>0</v>
      </c>
      <c r="BE64" s="68">
        <f t="shared" si="123"/>
        <v>0</v>
      </c>
      <c r="BF64" s="66">
        <f t="shared" ref="BF64:BR73" si="124">IF($K64=BF$3,IF($C64="X",0,$O64),0)</f>
        <v>0</v>
      </c>
      <c r="BG64" s="67">
        <f t="shared" si="124"/>
        <v>0</v>
      </c>
      <c r="BH64" s="67">
        <f t="shared" si="124"/>
        <v>0</v>
      </c>
      <c r="BI64" s="67">
        <f t="shared" si="124"/>
        <v>0</v>
      </c>
      <c r="BJ64" s="67">
        <f t="shared" si="124"/>
        <v>0</v>
      </c>
      <c r="BK64" s="67">
        <f t="shared" si="124"/>
        <v>0</v>
      </c>
      <c r="BL64" s="67">
        <f t="shared" si="124"/>
        <v>0</v>
      </c>
      <c r="BM64" s="69">
        <f t="shared" si="124"/>
        <v>18.420000000000002</v>
      </c>
      <c r="BN64" s="70">
        <f t="shared" si="124"/>
        <v>0</v>
      </c>
      <c r="BO64" s="70">
        <f t="shared" si="124"/>
        <v>0</v>
      </c>
      <c r="BP64" s="70">
        <f t="shared" si="124"/>
        <v>0</v>
      </c>
      <c r="BQ64" s="71">
        <f t="shared" si="124"/>
        <v>0</v>
      </c>
      <c r="BR64" s="68">
        <f t="shared" si="124"/>
        <v>0</v>
      </c>
      <c r="BS64" s="490">
        <f>IF($B64="LOSS",IF(AND($K64=BS$3,$C64="L"),-$O64,0)+IF(AND($K65=BS$3,$C65="L"),-$O65,0)+IF(AND($K66=BS$3,$C66="L"),-$O66,0),IF(OR(AND($K64=BS$3,OR($C64="W",$C64="1/2W")),AND($K65=BS$3,OR($C65="W",$C65="1/2W")),AND($K66=BS$3,OR($C66="W",$C66="1/2W"))),$S64,0))</f>
        <v>0</v>
      </c>
      <c r="BT64" s="498">
        <f>IF($B64="LOSS",IF(AND($K64=BT$3,$C64="L"),-$O64,0)+IF(AND($K65=BT$3,$C65="L"),-$O65,0)+IF(AND($K65=BT$3,$C66="L"),-$O66,0),IF(OR(AND($K65=BT$3,OR($C64="W",$C64="1/2W")),AND($K65=BT$3,OR($C65="W",$C65="1/2W")),AND($K65=BT$3,OR($C66="W",$C66="1/2W"))),$S64,0))</f>
        <v>0</v>
      </c>
      <c r="BU64" s="488">
        <f>IF($B64="LOSS",IF(AND($K64=BU$3,$C64="L"),-$O64,0)+IF(AND($K65=BU$3,$C65="L"),-$O65,0)+IF(AND($K65=BU$3,$C66="L"),-$O66,0),IF(OR(AND($K65=BU$3,OR($C64="W",$C64="1/2W")),AND($K65=BU$3,OR($C65="W",$C65="1/2W")),AND($K65=BU$3,OR($C66="W",$C66="1/2W"))),$S64,0))</f>
        <v>0</v>
      </c>
      <c r="BV64" s="488">
        <f t="shared" ref="BV64:CE64" si="125">IF($B64="LOSS",IF(AND($K64=BV$3,$C64="L"),-$O64,0)+IF(AND($K65=BV$3,$C65="L"),-$O65,0)+IF(AND($K66=BV$3,$C66="L"),-$O66,0),IF(OR(AND($K64=BV$3,OR($C64="W",$C64="1/2W")),AND($K65=BV$3,OR($C65="W",$C65="1/2W")),AND($K66=BV$3,OR($C66="W",$C66="1/2W"))),$S64,0))</f>
        <v>0</v>
      </c>
      <c r="BW64" s="488">
        <f t="shared" si="125"/>
        <v>4.62</v>
      </c>
      <c r="BX64" s="488">
        <f t="shared" si="125"/>
        <v>0</v>
      </c>
      <c r="BY64" s="488">
        <f t="shared" si="125"/>
        <v>0</v>
      </c>
      <c r="BZ64" s="488">
        <f t="shared" si="125"/>
        <v>0</v>
      </c>
      <c r="CA64" s="488">
        <f t="shared" si="125"/>
        <v>0</v>
      </c>
      <c r="CB64" s="488">
        <f t="shared" si="125"/>
        <v>0</v>
      </c>
      <c r="CC64" s="488">
        <f t="shared" si="125"/>
        <v>0</v>
      </c>
      <c r="CD64" s="500">
        <f t="shared" si="125"/>
        <v>4.62</v>
      </c>
      <c r="CE64" s="504">
        <f t="shared" si="125"/>
        <v>0</v>
      </c>
      <c r="CF64" s="160">
        <f t="shared" si="4"/>
        <v>0</v>
      </c>
      <c r="CG64" s="161">
        <f t="shared" si="5"/>
        <v>0</v>
      </c>
      <c r="CH64" s="161">
        <f t="shared" si="6"/>
        <v>0</v>
      </c>
      <c r="CI64" s="161">
        <f t="shared" si="7"/>
        <v>0</v>
      </c>
      <c r="CJ64" s="161">
        <f t="shared" si="8"/>
        <v>0</v>
      </c>
      <c r="CK64" s="161">
        <f t="shared" si="9"/>
        <v>0</v>
      </c>
      <c r="CL64" s="161">
        <f t="shared" si="10"/>
        <v>0</v>
      </c>
      <c r="CM64" s="161">
        <f t="shared" si="11"/>
        <v>0</v>
      </c>
      <c r="CN64" s="161">
        <f t="shared" si="12"/>
        <v>0</v>
      </c>
      <c r="CO64" s="161">
        <f t="shared" si="13"/>
        <v>0</v>
      </c>
      <c r="CP64" s="161">
        <f t="shared" si="14"/>
        <v>0</v>
      </c>
      <c r="CQ64" s="161">
        <f t="shared" si="15"/>
        <v>0</v>
      </c>
      <c r="CR64" s="161">
        <f t="shared" si="16"/>
        <v>0</v>
      </c>
      <c r="CS64" s="161">
        <f t="shared" si="17"/>
        <v>0</v>
      </c>
      <c r="CT64" s="75">
        <f t="shared" si="18"/>
        <v>0</v>
      </c>
      <c r="CU64" s="76">
        <f t="shared" si="19"/>
        <v>1</v>
      </c>
      <c r="CV64" s="76">
        <f t="shared" si="20"/>
        <v>0</v>
      </c>
      <c r="CW64" s="76">
        <f t="shared" si="21"/>
        <v>0</v>
      </c>
      <c r="CX64" s="76">
        <f t="shared" si="22"/>
        <v>0</v>
      </c>
      <c r="CY64" s="76">
        <f t="shared" si="23"/>
        <v>0</v>
      </c>
      <c r="CZ64" s="76">
        <f t="shared" si="24"/>
        <v>0</v>
      </c>
      <c r="DA64" s="76">
        <f t="shared" si="25"/>
        <v>0</v>
      </c>
      <c r="DB64" s="76">
        <f t="shared" si="26"/>
        <v>0</v>
      </c>
      <c r="DC64" s="76">
        <f t="shared" si="27"/>
        <v>0</v>
      </c>
      <c r="DD64" s="76">
        <f t="shared" si="28"/>
        <v>0</v>
      </c>
      <c r="DE64" s="77">
        <f t="shared" si="29"/>
        <v>0</v>
      </c>
      <c r="DF64" s="73">
        <f t="shared" si="31"/>
        <v>8</v>
      </c>
      <c r="DG64" s="67">
        <f t="shared" si="32"/>
        <v>10.940000000000001</v>
      </c>
      <c r="DH64" s="76">
        <f t="shared" si="33"/>
        <v>0</v>
      </c>
      <c r="DI64" s="67">
        <f t="shared" si="34"/>
        <v>0</v>
      </c>
      <c r="DJ64" s="202" t="str">
        <f>IF($D64="","",$D64)</f>
        <v>2</v>
      </c>
      <c r="DK64" s="492">
        <f>IF(AND($B64=" ",$D64&lt;&gt;""),1,0)</f>
        <v>0</v>
      </c>
    </row>
    <row r="65" spans="1:115" ht="14.5" customHeight="1" x14ac:dyDescent="0.2">
      <c r="A65" s="389"/>
      <c r="B65" s="456"/>
      <c r="C65" s="53" t="s">
        <v>54</v>
      </c>
      <c r="D65" s="374"/>
      <c r="E65" s="386"/>
      <c r="F65" s="377"/>
      <c r="G65" s="508"/>
      <c r="H65" s="476"/>
      <c r="I65" s="182" t="s">
        <v>59</v>
      </c>
      <c r="J65" s="163" t="str">
        <f>IF(OR(I64="TO",I64="TU",I64="TO1",I64="TU1",I64="TO2",I64="TU2"),J64,IF(OR(I64="AH1",I64="AH2"),IF(OR(I65="AH1",I65="AH2"),-J64,IF(OR(I65="EH1",I65="EH2"),-J64+0.5,"")),IF(OR(I64="EH1",I64="EH2"),IF(OR(I65="AH1",I65="AH2"),-J64+0.5,IF(OR(I65="EH1",I65="EH2"),-J64+1,"")),IF(AND(OR(I64="DNB1",I64="DNB2"),OR(I65="AH1",I65="AH2")),0,IF(AND(I64="Not ScoreBoth",OR(I65="TO1",I65="TO2")),0.5,"")))))</f>
        <v/>
      </c>
      <c r="K65" s="57" t="s">
        <v>40</v>
      </c>
      <c r="L65" s="164">
        <v>1.18</v>
      </c>
      <c r="M65" s="165">
        <v>108.83</v>
      </c>
      <c r="N65" s="406"/>
      <c r="O65" s="60">
        <f>IF(OR(AE64="",AE65=""),"",ROUND(IF(L66&gt;0,IF(M65&gt;0,M65,IF(M64&gt;0,IF(N64=TRUE,ROUND((M64*AE65)/AE64,0),(M64*AE65)/AE64),IF(M65&gt;0,ROUND(M65,IF(N64=0,2,IF(N64=0.1,1,0))),IF(M66&gt;0,ROUND(O66*AE65/AE66,IF(N64=0,2,IF(N64=0.1,1,0))),0)))),IF(M65&gt;0,M65,ROUND((M64*AE65)/AE64,IF(N64=0,2,IF(N64=0.1,1,0))))),2))</f>
        <v>108.83</v>
      </c>
      <c r="P65" s="61">
        <f>IF(OR(L65="",O65=""),"",IF($C65="1/2W",O65/2+O65/2*L65,IF($C65="1/2L",O65/2,IF(I65="Lay",((O65*(L65/(L65-1)))-O65)*(1-_xlfn.XLOOKUP(K65,'Fevereiro 2023 - Valor Real'!A3:A15,'Fevereiro 2023 - Valor Real'!C3:C15,0))+O65,(O65*L65-O65)*(1-_xlfn.XLOOKUP(K65,'Fevereiro 2023 - Valor Real'!A3:A15,'Fevereiro 2023 - Valor Real'!C3:C15,0))+O65))))</f>
        <v>128.4194</v>
      </c>
      <c r="Q65" s="166">
        <f>IF(K65="","",IF(_xlfn.XLOOKUP(K65,K$10:K56,$DJ$10:DJ56,0,,-1)=DJ65,_xlfn.XLOOKUP(K65,K$10:K56,Q$10:Q56,1,,-1)+1,1))</f>
        <v>2</v>
      </c>
      <c r="R65" s="167">
        <f>IF(K65="","",_xlfn.XLOOKUP(K65,K$10:K56,R$10:R56,0,,-1)+IF($C65=" ",1,0))</f>
        <v>0</v>
      </c>
      <c r="S65" s="403"/>
      <c r="T65" s="380"/>
      <c r="U65" s="380"/>
      <c r="V65" s="481"/>
      <c r="W65" s="380"/>
      <c r="X65" s="452"/>
      <c r="Y65" s="383"/>
      <c r="Z65" s="384"/>
      <c r="AA65" s="384"/>
      <c r="AB65" s="384"/>
      <c r="AC65" s="384"/>
      <c r="AD65" s="64"/>
      <c r="AE65" s="65">
        <f>IF(L65="","",IF(L66&gt;0,(SUM(((L64-1)*(1-_xlfn.XLOOKUP(K64,'Fevereiro 2023 - Valor Real'!A3:A15,'Fevereiro 2023 - Valor Real'!C3:C15,0))+1),((L65-1)*(1-_xlfn.XLOOKUP(K65,'Fevereiro 2023 - Valor Real'!A3:A15,'Fevereiro 2023 - Valor Real'!C3:C15,0))+1),((L66-1)*(1-_xlfn.XLOOKUP(K66,'Fevereiro 2023 - Valor Real'!A3:A15,'Fevereiro 2023 - Valor Real'!C3:C15,0))+1))/((L65-1)*(1-_xlfn.XLOOKUP(K65,'Fevereiro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Real'!C3:C15,0))+1))/((L64-1)*(1-_xlfn.XLOOKUP(K64,'Fevereiro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Real'!C3:C15,0))+1))/((L65-1)*(1-_xlfn.XLOOKUP(K65,'Fevereiro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Real'!C3:C15,0))+1))/((L66-1)*(1-_xlfn.XLOOKUP(K66,'Fevereiro 2023 - Valor Real'!A3:A15,'Fevereiro 2023 - Valor Real'!C3:C15,0))+1)),IF(I65="Lay",IF(I64="Lay",((L64/(L64-1)-1)*(1-_xlfn.XLOOKUP(K64,'Fevereiro 2023 - Valor Real'!A3:A15,'Fevereiro 2023 - Valor Real'!C3:C15,0))+1)/(((L64/(L64-1)-1)*(1-_xlfn.XLOOKUP(K64,'Fevereiro 2023 - Valor Real'!A3:A15,'Fevereiro 2023 - Valor Real'!C3:C15,0))+1)+((L65/(L65-1)-1)*(1-_xlfn.XLOOKUP(K65,'Fevereiro 2023 - Valor Real'!A3:A15,'Fevereiro 2023 - Valor Real'!C3:C15,0))+1)),((L64-1)*(1-_xlfn.XLOOKUP(K64,'Fevereiro 2023 - Valor Real'!A3:A15,'Fevereiro 2023 - Valor Real'!C3:C15,0))+1)/(((L64-1)*(1-_xlfn.XLOOKUP(K64,'Fevereiro 2023 - Valor Real'!A3:A15,'Fevereiro 2023 - Valor Real'!C3:C15,0))+1)+((L65/(L65-1)-1)*(1-_xlfn.XLOOKUP(K65,'Fevereiro 2023 - Valor Real'!A3:A15,'Fevereiro 2023 - Valor Real'!C3:C15,0))+1))),IF(I64="Lay",((L64/(L64-1)-1)*(1-_xlfn.XLOOKUP(K64,'Fevereiro 2023 - Valor Real'!A3:A15,'Fevereiro 2023 - Valor Real'!C3:C15,0))+1)/((((L64/(L64-1)-1)*(1-_xlfn.XLOOKUP(K64,'Fevereiro 2023 - Valor Real'!A3:A15,'Fevereiro 2023 - Valor Real'!C3:C15,0))+1))+((L65-1)*(1-_xlfn.XLOOKUP(K65,'Fevereiro 2023 - Valor Real'!A3:A15,'Fevereiro 2023 - Valor Real'!C3:C15,0))+1)),((L64-1)*(1-_xlfn.XLOOKUP(K64,'Fevereiro 2023 - Valor Real'!A3:A15,'Fevereiro 2023 - Valor Real'!C3:C15,0))+1)/(((L64-1)*(1-_xlfn.XLOOKUP(K64,'Fevereiro 2023 - Valor Real'!A3:A15,'Fevereiro 2023 - Valor Real'!C3:C15,0))+1)+((L65-1)*(1-_xlfn.XLOOKUP(K65,'Fevereiro 2023 - Valor Real'!A3:A15,'Fevereiro 2023 - Valor Real'!C3:C15,0))+1))))))</f>
        <v>0.47451728294068957</v>
      </c>
      <c r="AF65" s="66">
        <f t="shared" si="122"/>
        <v>0</v>
      </c>
      <c r="AG65" s="67">
        <f t="shared" si="122"/>
        <v>0</v>
      </c>
      <c r="AH65" s="67">
        <f t="shared" si="122"/>
        <v>0</v>
      </c>
      <c r="AI65" s="67">
        <f t="shared" si="122"/>
        <v>0</v>
      </c>
      <c r="AJ65" s="67">
        <f t="shared" si="122"/>
        <v>19.59</v>
      </c>
      <c r="AK65" s="67">
        <f t="shared" si="122"/>
        <v>0</v>
      </c>
      <c r="AL65" s="67">
        <f t="shared" si="122"/>
        <v>0</v>
      </c>
      <c r="AM65" s="67">
        <f t="shared" si="122"/>
        <v>0</v>
      </c>
      <c r="AN65" s="67">
        <f t="shared" si="122"/>
        <v>0</v>
      </c>
      <c r="AO65" s="67">
        <f t="shared" si="122"/>
        <v>0</v>
      </c>
      <c r="AP65" s="67">
        <f t="shared" si="122"/>
        <v>0</v>
      </c>
      <c r="AQ65" s="67">
        <f t="shared" si="122"/>
        <v>0</v>
      </c>
      <c r="AR65" s="68">
        <f t="shared" si="122"/>
        <v>0</v>
      </c>
      <c r="AS65" s="66">
        <f>IF(AND($B64=" ",$K65=AS$3),$O65,0)</f>
        <v>0</v>
      </c>
      <c r="AT65" s="67">
        <f>IF(AND($B64=" ",K65=AT$3),$O65,0)</f>
        <v>0</v>
      </c>
      <c r="AU65" s="67">
        <f t="shared" ref="AU65:BE65" si="126">IF(AND($B64=" ",$K65=AU$3),$O65,0)</f>
        <v>0</v>
      </c>
      <c r="AV65" s="67">
        <f t="shared" si="126"/>
        <v>0</v>
      </c>
      <c r="AW65" s="67">
        <f t="shared" si="126"/>
        <v>0</v>
      </c>
      <c r="AX65" s="67">
        <f t="shared" si="126"/>
        <v>0</v>
      </c>
      <c r="AY65" s="69">
        <f t="shared" si="126"/>
        <v>0</v>
      </c>
      <c r="AZ65" s="70">
        <f t="shared" si="126"/>
        <v>0</v>
      </c>
      <c r="BA65" s="70">
        <f t="shared" si="126"/>
        <v>0</v>
      </c>
      <c r="BB65" s="70">
        <f t="shared" si="126"/>
        <v>0</v>
      </c>
      <c r="BC65" s="71">
        <f t="shared" si="126"/>
        <v>0</v>
      </c>
      <c r="BD65" s="67">
        <f t="shared" si="126"/>
        <v>0</v>
      </c>
      <c r="BE65" s="68">
        <f t="shared" si="126"/>
        <v>0</v>
      </c>
      <c r="BF65" s="66">
        <f t="shared" si="124"/>
        <v>0</v>
      </c>
      <c r="BG65" s="168">
        <f t="shared" si="124"/>
        <v>0</v>
      </c>
      <c r="BH65" s="67">
        <f t="shared" si="124"/>
        <v>0</v>
      </c>
      <c r="BI65" s="67">
        <f t="shared" si="124"/>
        <v>0</v>
      </c>
      <c r="BJ65" s="67">
        <f t="shared" si="124"/>
        <v>108.83</v>
      </c>
      <c r="BK65" s="67">
        <f t="shared" si="124"/>
        <v>0</v>
      </c>
      <c r="BL65" s="67">
        <f t="shared" si="124"/>
        <v>0</v>
      </c>
      <c r="BM65" s="69">
        <f t="shared" si="124"/>
        <v>0</v>
      </c>
      <c r="BN65" s="70">
        <f t="shared" si="124"/>
        <v>0</v>
      </c>
      <c r="BO65" s="70">
        <f t="shared" si="124"/>
        <v>0</v>
      </c>
      <c r="BP65" s="70">
        <f t="shared" si="124"/>
        <v>0</v>
      </c>
      <c r="BQ65" s="71">
        <f t="shared" si="124"/>
        <v>0</v>
      </c>
      <c r="BR65" s="68">
        <f t="shared" si="124"/>
        <v>0</v>
      </c>
      <c r="BS65" s="491"/>
      <c r="BT65" s="489"/>
      <c r="BU65" s="392"/>
      <c r="BV65" s="489"/>
      <c r="BW65" s="392"/>
      <c r="BX65" s="392"/>
      <c r="BY65" s="392"/>
      <c r="BZ65" s="489"/>
      <c r="CA65" s="392"/>
      <c r="CB65" s="392"/>
      <c r="CC65" s="392"/>
      <c r="CD65" s="401"/>
      <c r="CE65" s="409"/>
      <c r="CF65" s="169">
        <f t="shared" si="4"/>
        <v>0</v>
      </c>
      <c r="CG65" s="170">
        <f t="shared" si="5"/>
        <v>0</v>
      </c>
      <c r="CH65" s="170">
        <f t="shared" si="6"/>
        <v>0</v>
      </c>
      <c r="CI65" s="170">
        <f t="shared" si="7"/>
        <v>0</v>
      </c>
      <c r="CJ65" s="170">
        <f t="shared" si="8"/>
        <v>0</v>
      </c>
      <c r="CK65" s="170">
        <f t="shared" si="9"/>
        <v>0</v>
      </c>
      <c r="CL65" s="170">
        <f t="shared" si="10"/>
        <v>0</v>
      </c>
      <c r="CM65" s="170">
        <f t="shared" si="11"/>
        <v>0</v>
      </c>
      <c r="CN65" s="170">
        <f t="shared" si="12"/>
        <v>1</v>
      </c>
      <c r="CO65" s="170">
        <f t="shared" si="13"/>
        <v>0</v>
      </c>
      <c r="CP65" s="170">
        <f t="shared" si="14"/>
        <v>0</v>
      </c>
      <c r="CQ65" s="170">
        <f t="shared" si="15"/>
        <v>0</v>
      </c>
      <c r="CR65" s="170">
        <f t="shared" si="16"/>
        <v>0</v>
      </c>
      <c r="CS65" s="170">
        <f t="shared" si="17"/>
        <v>0</v>
      </c>
      <c r="CT65" s="75">
        <f t="shared" si="18"/>
        <v>0</v>
      </c>
      <c r="CU65" s="76">
        <f t="shared" si="19"/>
        <v>0</v>
      </c>
      <c r="CV65" s="76">
        <f t="shared" si="20"/>
        <v>0</v>
      </c>
      <c r="CW65" s="76">
        <f t="shared" si="21"/>
        <v>0</v>
      </c>
      <c r="CX65" s="76">
        <f t="shared" si="22"/>
        <v>0</v>
      </c>
      <c r="CY65" s="76">
        <f t="shared" si="23"/>
        <v>0</v>
      </c>
      <c r="CZ65" s="76">
        <f t="shared" si="24"/>
        <v>0</v>
      </c>
      <c r="DA65" s="76">
        <f t="shared" si="25"/>
        <v>0</v>
      </c>
      <c r="DB65" s="76">
        <f t="shared" si="26"/>
        <v>0</v>
      </c>
      <c r="DC65" s="76">
        <f t="shared" si="27"/>
        <v>0</v>
      </c>
      <c r="DD65" s="76">
        <f t="shared" si="28"/>
        <v>0</v>
      </c>
      <c r="DE65" s="77">
        <f t="shared" si="29"/>
        <v>0</v>
      </c>
      <c r="DF65" s="73">
        <f t="shared" si="31"/>
        <v>9</v>
      </c>
      <c r="DG65" s="67">
        <f t="shared" si="32"/>
        <v>12.120000000000001</v>
      </c>
      <c r="DH65" s="76">
        <f t="shared" si="33"/>
        <v>0</v>
      </c>
      <c r="DI65" s="67">
        <f t="shared" si="34"/>
        <v>0</v>
      </c>
      <c r="DJ65" s="202" t="str">
        <f>IF($D64="","",$D64)</f>
        <v>2</v>
      </c>
      <c r="DK65" s="493"/>
    </row>
    <row r="66" spans="1:115" ht="14.5" customHeight="1" x14ac:dyDescent="0.2">
      <c r="A66" s="390"/>
      <c r="B66" s="457"/>
      <c r="C66" s="79" t="s">
        <v>54</v>
      </c>
      <c r="D66" s="375"/>
      <c r="E66" s="387"/>
      <c r="F66" s="378"/>
      <c r="G66" s="508"/>
      <c r="H66" s="477"/>
      <c r="I66" s="191">
        <v>1</v>
      </c>
      <c r="J66" s="172"/>
      <c r="K66" s="185" t="s">
        <v>47</v>
      </c>
      <c r="L66" s="186">
        <v>1.23</v>
      </c>
      <c r="M66" s="174">
        <v>15</v>
      </c>
      <c r="N66" s="407"/>
      <c r="O66" s="187">
        <f>IF(OR(AE64="",AE65=""),"",IF(L66&gt;0,ROUND(IF(M66&gt;0,M66,IF(M64&gt;0,ROUND((M64*AE66)/AE64,IF(N64=0,2,IF(N64=0.1,1,0))),IF(M65&gt;0,ROUND((M65*AE66)/AE65,IF(N64=0,2,IF(N64=0.1,1,0))),IF(M66&gt;0,M66,0)))),2),""))</f>
        <v>15</v>
      </c>
      <c r="P66" s="188">
        <f>IF(I65="Lay",O65*(L65/(L65-1))-O65,IF(I64="Lay",O64*(L64/(L64-1))-O64,IF(OR(L66="",O66=""),"",IF($C66="1/2W",O66/2+O66/2*L66,IF($C66="1/2L",O66/2,(O66*L66-O66)*(1-_xlfn.XLOOKUP(K66,'Fevereiro 2023 - Valor Real'!A3:A15,'Fevereiro 2023 - Valor Real'!C3:C15,0))+O66)))))</f>
        <v>18.45</v>
      </c>
      <c r="Q66" s="166">
        <f>IF(K66="","",IF(_xlfn.XLOOKUP(K66,K$11:K56,$DJ$11:DJ56,0,,-1)=DJ66,_xlfn.XLOOKUP(K66,K$11:K56,Q$11:Q56,1,,-1)+1,1))</f>
        <v>2</v>
      </c>
      <c r="R66" s="189">
        <f>IF(K66="","",_xlfn.XLOOKUP(K66,K$11:K56,R$11:R56,0,,-1)+IF($C66=" ",1,0))</f>
        <v>0</v>
      </c>
      <c r="S66" s="404"/>
      <c r="T66" s="378"/>
      <c r="U66" s="378"/>
      <c r="V66" s="404"/>
      <c r="W66" s="378"/>
      <c r="X66" s="453"/>
      <c r="Y66" s="383"/>
      <c r="Z66" s="384"/>
      <c r="AA66" s="384"/>
      <c r="AB66" s="384"/>
      <c r="AC66" s="384"/>
      <c r="AD66" s="90"/>
      <c r="AE66" s="190">
        <f>IF(L66="","",(SUM(((L64-1)*(1-_xlfn.XLOOKUP(K64,'Fevereiro 2023 - Valor Real'!A3:A15,'Fevereiro 2023 - Valor Real'!C3:C15,0))+1),((L65-1)*(1-_xlfn.XLOOKUP(K65,'Fevereiro 2023 - Valor Real'!A3:A15,'Fevereiro 2023 - Valor Real'!C3:C15,0))+1),((L66-1)*(1-_xlfn.XLOOKUP(K66,'Fevereiro 2023 - Valor Real'!A3:A15,'Fevereiro 2023 - Valor Real'!C3:C15,0))+1))/((L66-1)*(1-_xlfn.XLOOKUP(K66,'Fevereiro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Real'!C3:C15,0))+1))/((L64-1)*(1-_xlfn.XLOOKUP(K64,'Fevereiro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Real'!C3:C15,0))+1))/((L65-1)*(1-_xlfn.XLOOKUP(K65,'Fevereiro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Real'!C3:C15,0))+1))/((L66-1)*(1-_xlfn.XLOOKUP(K66,'Fevereiro 2023 - Valor Real'!A3:A15,'Fevereiro 2023 - Valor Real'!C3:C15,0))+1)))</f>
        <v>0.45522796249594605</v>
      </c>
      <c r="AF66" s="66">
        <f t="shared" si="122"/>
        <v>0</v>
      </c>
      <c r="AG66" s="67">
        <f t="shared" si="122"/>
        <v>0</v>
      </c>
      <c r="AH66" s="67">
        <f t="shared" si="122"/>
        <v>0</v>
      </c>
      <c r="AI66" s="67">
        <f t="shared" si="122"/>
        <v>0</v>
      </c>
      <c r="AJ66" s="67">
        <f t="shared" si="122"/>
        <v>0</v>
      </c>
      <c r="AK66" s="67">
        <f t="shared" si="122"/>
        <v>0</v>
      </c>
      <c r="AL66" s="67">
        <f t="shared" si="122"/>
        <v>0</v>
      </c>
      <c r="AM66" s="67">
        <f t="shared" si="122"/>
        <v>0</v>
      </c>
      <c r="AN66" s="67">
        <f t="shared" si="122"/>
        <v>0</v>
      </c>
      <c r="AO66" s="67">
        <f t="shared" si="122"/>
        <v>0</v>
      </c>
      <c r="AP66" s="67">
        <f t="shared" si="122"/>
        <v>0</v>
      </c>
      <c r="AQ66" s="67">
        <f t="shared" si="122"/>
        <v>3.45</v>
      </c>
      <c r="AR66" s="68">
        <f t="shared" si="122"/>
        <v>0</v>
      </c>
      <c r="AS66" s="66">
        <f>IF(AND($B64=" ",$K66=AS$3),$O66,0)</f>
        <v>0</v>
      </c>
      <c r="AT66" s="67">
        <f>IF(AND($B64=" ",K66=AT$3),$O66,0)</f>
        <v>0</v>
      </c>
      <c r="AU66" s="67">
        <f t="shared" ref="AU66:BE66" si="127">IF(AND($B64=" ",$K66=AU$3),$O66,0)</f>
        <v>0</v>
      </c>
      <c r="AV66" s="67">
        <f t="shared" si="127"/>
        <v>0</v>
      </c>
      <c r="AW66" s="67">
        <f t="shared" si="127"/>
        <v>0</v>
      </c>
      <c r="AX66" s="67">
        <f t="shared" si="127"/>
        <v>0</v>
      </c>
      <c r="AY66" s="69">
        <f t="shared" si="127"/>
        <v>0</v>
      </c>
      <c r="AZ66" s="70">
        <f t="shared" si="127"/>
        <v>0</v>
      </c>
      <c r="BA66" s="70">
        <f t="shared" si="127"/>
        <v>0</v>
      </c>
      <c r="BB66" s="70">
        <f t="shared" si="127"/>
        <v>0</v>
      </c>
      <c r="BC66" s="71">
        <f t="shared" si="127"/>
        <v>0</v>
      </c>
      <c r="BD66" s="67">
        <f t="shared" si="127"/>
        <v>0</v>
      </c>
      <c r="BE66" s="68">
        <f t="shared" si="127"/>
        <v>0</v>
      </c>
      <c r="BF66" s="66">
        <f t="shared" si="124"/>
        <v>0</v>
      </c>
      <c r="BG66" s="168">
        <f t="shared" si="124"/>
        <v>0</v>
      </c>
      <c r="BH66" s="67">
        <f t="shared" si="124"/>
        <v>0</v>
      </c>
      <c r="BI66" s="67">
        <f t="shared" si="124"/>
        <v>0</v>
      </c>
      <c r="BJ66" s="67">
        <f t="shared" si="124"/>
        <v>0</v>
      </c>
      <c r="BK66" s="67">
        <f t="shared" si="124"/>
        <v>0</v>
      </c>
      <c r="BL66" s="67">
        <f t="shared" si="124"/>
        <v>0</v>
      </c>
      <c r="BM66" s="69">
        <f t="shared" si="124"/>
        <v>0</v>
      </c>
      <c r="BN66" s="70">
        <f t="shared" si="124"/>
        <v>0</v>
      </c>
      <c r="BO66" s="70">
        <f t="shared" si="124"/>
        <v>0</v>
      </c>
      <c r="BP66" s="70">
        <f t="shared" si="124"/>
        <v>0</v>
      </c>
      <c r="BQ66" s="71">
        <f t="shared" si="124"/>
        <v>15</v>
      </c>
      <c r="BR66" s="68">
        <f t="shared" si="124"/>
        <v>0</v>
      </c>
      <c r="BS66" s="491"/>
      <c r="BT66" s="489"/>
      <c r="BU66" s="392"/>
      <c r="BV66" s="489"/>
      <c r="BW66" s="392"/>
      <c r="BX66" s="392"/>
      <c r="BY66" s="392"/>
      <c r="BZ66" s="489"/>
      <c r="CA66" s="392"/>
      <c r="CB66" s="392"/>
      <c r="CC66" s="392"/>
      <c r="CD66" s="401"/>
      <c r="CE66" s="409"/>
      <c r="CF66" s="169">
        <f t="shared" si="4"/>
        <v>0</v>
      </c>
      <c r="CG66" s="170">
        <f t="shared" si="5"/>
        <v>0</v>
      </c>
      <c r="CH66" s="170">
        <f t="shared" si="6"/>
        <v>0</v>
      </c>
      <c r="CI66" s="170">
        <f t="shared" si="7"/>
        <v>0</v>
      </c>
      <c r="CJ66" s="170">
        <f t="shared" si="8"/>
        <v>0</v>
      </c>
      <c r="CK66" s="170">
        <f t="shared" si="9"/>
        <v>0</v>
      </c>
      <c r="CL66" s="170">
        <f t="shared" si="10"/>
        <v>0</v>
      </c>
      <c r="CM66" s="170">
        <f t="shared" si="11"/>
        <v>0</v>
      </c>
      <c r="CN66" s="170">
        <f t="shared" si="12"/>
        <v>0</v>
      </c>
      <c r="CO66" s="170">
        <f t="shared" si="13"/>
        <v>0</v>
      </c>
      <c r="CP66" s="170">
        <f t="shared" si="14"/>
        <v>0</v>
      </c>
      <c r="CQ66" s="170">
        <f t="shared" si="15"/>
        <v>0</v>
      </c>
      <c r="CR66" s="170">
        <f t="shared" si="16"/>
        <v>0</v>
      </c>
      <c r="CS66" s="170">
        <f t="shared" si="17"/>
        <v>0</v>
      </c>
      <c r="CT66" s="75">
        <f t="shared" si="18"/>
        <v>0</v>
      </c>
      <c r="CU66" s="76">
        <f t="shared" si="19"/>
        <v>0</v>
      </c>
      <c r="CV66" s="76">
        <f t="shared" si="20"/>
        <v>0</v>
      </c>
      <c r="CW66" s="76">
        <f t="shared" si="21"/>
        <v>0</v>
      </c>
      <c r="CX66" s="76">
        <f t="shared" si="22"/>
        <v>0</v>
      </c>
      <c r="CY66" s="76">
        <f t="shared" si="23"/>
        <v>0</v>
      </c>
      <c r="CZ66" s="76">
        <f t="shared" si="24"/>
        <v>0</v>
      </c>
      <c r="DA66" s="76">
        <f t="shared" si="25"/>
        <v>0</v>
      </c>
      <c r="DB66" s="76">
        <f t="shared" si="26"/>
        <v>1</v>
      </c>
      <c r="DC66" s="76">
        <f t="shared" si="27"/>
        <v>0</v>
      </c>
      <c r="DD66" s="76">
        <f t="shared" si="28"/>
        <v>0</v>
      </c>
      <c r="DE66" s="77">
        <f t="shared" si="29"/>
        <v>0</v>
      </c>
      <c r="DF66" s="73">
        <f t="shared" si="31"/>
        <v>10</v>
      </c>
      <c r="DG66" s="67">
        <f t="shared" si="32"/>
        <v>13.350000000000001</v>
      </c>
      <c r="DH66" s="76">
        <f t="shared" si="33"/>
        <v>0</v>
      </c>
      <c r="DI66" s="67">
        <f t="shared" si="34"/>
        <v>0</v>
      </c>
      <c r="DJ66" s="202" t="str">
        <f>IF($D64="","",$D64)</f>
        <v>2</v>
      </c>
      <c r="DK66" s="493"/>
    </row>
    <row r="67" spans="1:115" ht="14.5" customHeight="1" x14ac:dyDescent="0.2">
      <c r="A67" s="459">
        <f>$A64+1</f>
        <v>22</v>
      </c>
      <c r="B67" s="507" t="str">
        <f>IF(OR(C67="W",C68="W",C69="W",C67="1/2W",C68="1/2W",C69="1/2W",C67="1/2L",C68="1/2L",C69="1/2L"),"OK",IF(OR(C67="L",C68="L",C69="L"),"LOSS",IF(OR(C67="X",C68="X",C69="X"),"Anulado"," ")))</f>
        <v>OK</v>
      </c>
      <c r="C67" s="93" t="s">
        <v>54</v>
      </c>
      <c r="D67" s="468" t="str">
        <f>IF(G67="","",$D64)</f>
        <v>2</v>
      </c>
      <c r="E67" s="485" t="str">
        <f>IF(G67=""," ","– "&amp;COUNTIF(D$4:D69,$D67))</f>
        <v>– 5</v>
      </c>
      <c r="F67" s="509" t="str">
        <f ca="1">IF(G67="","",IF(OR(AND($C67&lt;&gt;" ",$C68=" "),AND($C68&lt;&gt;" ",$C67=" "),AND(L69&gt;0,OR(AND($C69&lt;&gt;" ",OR($C67=" ",$C68=" ")),AND($C69=" ",OR($C67&lt;&gt;" ",$C68&lt;&gt;" "))))),IF(SUM(F$4:F66)=0,1,LARGE(F$4:F66,1)+1),IF(MONTH(G67)=MONTH(TODAY()),IF(AND(DAY(G67)&lt;DAY(TODAY()),$B67=" "),IF(SUM(F$4:F66)=0,1,LARGE(F$4:F66,1)+1),IF($B67=" ",IF(AND(DAY(G67)=DAY(TODAY()),HOUR(G67)&lt;=HOUR(NOW())+1),IF(AND(HOUR(G67)+2&lt;=HOUR(NOW()),DAY(G67)&lt;=DAY(TODAY()),MINUTE(G67)&lt;=MINUTE(NOW())),IF(SUM(F$4:F66)=0,1,LARGE(F$4:F66,1)+1),IF(OR(MINUTE(G67)&lt;=MINUTE(NOW()),HOUR(G67)&lt;=HOUR(NOW())),"!!!","")),""),"")),"")))</f>
        <v/>
      </c>
      <c r="G67" s="482">
        <v>44990.541666666664</v>
      </c>
      <c r="H67" s="475" t="s">
        <v>77</v>
      </c>
      <c r="I67" s="94" t="s">
        <v>66</v>
      </c>
      <c r="J67" s="95">
        <v>-0.25</v>
      </c>
      <c r="K67" s="96" t="s">
        <v>36</v>
      </c>
      <c r="L67" s="97">
        <v>2</v>
      </c>
      <c r="M67" s="98">
        <v>28</v>
      </c>
      <c r="N67" s="478">
        <v>0</v>
      </c>
      <c r="O67" s="99">
        <f>IF(OR(AE67="",AE68=""),"",ROUND(IF(L69&gt;0,IF(M67&gt;0,M67,IF(M68&gt;0,ROUND((M68*AE67)/AE68,IF(N67=0,2,IF(N67=0.1,1,0))),ROUND((M69*AE67)/AE69,IF(N67=0,2,IF(N67=0.1,1,0))))),IF(M67&gt;0,M67,ROUND((M68*AE67)/AE68,IF(N67=0,2,IF(N67=0.1,1,0))))),2))</f>
        <v>28</v>
      </c>
      <c r="P67" s="100">
        <f>IF(OR(L67="",O67=""),"",IF($C67="1/2W",O67/2+O67/2*L67,IF($C67="1/2L",O67/2,IF(I67="Lay",(O67*(L67/(L67-1))-O67)*(1-_xlfn.XLOOKUP(K67,'Fevereiro 2023 - Valor Real'!A3:A15,'Fevereiro 2023 - Valor Real'!C3:C15,0))+O67,(O67*L67-O67)*(1-_xlfn.XLOOKUP(K67,'Fevereiro 2023 - Valor Real'!A3:A15,'Fevereiro 2023 - Valor Real'!C3:C15,0))+O67))))</f>
        <v>56</v>
      </c>
      <c r="Q67" s="101">
        <f>IF(K67="","",IF(_xlfn.XLOOKUP(K67,K$4:K66,$DJ$4:DJ66,0,,-1)=DJ67,_xlfn.XLOOKUP(K67,K$4:K66,Q$4:Q66,1,,-1)+1,1))</f>
        <v>2</v>
      </c>
      <c r="R67" s="102">
        <f>IF(K67="","",_xlfn.XLOOKUP(K67,K$4:K66,R$4:R66,0,,-1)+IF($C67=" ",1,0))</f>
        <v>0</v>
      </c>
      <c r="S67" s="474">
        <f>IF($B67="Anulado",0,ROUND(IF(OR($B67="LOSS",$B67="OK"),IF(OR($C67="W",$C67="1/2W",$C67="1/2L"),P67-O67,IF($C67="L",-O67,0))+IF(OR($C68="W",$C68="1/2W",$C68="1/2L"),P68-O68,IF($C68="L",-O68,0))+IF(OR($C69="W",$C69="1/2W",$C69="1/2L"),P69-O69,IF($C69="L",-O69,0)),IF(AND(OR($C67="W",$C67="1/2W",$C67="1/2L"),C68="W"),P67+P68-SUM(O67:O69)+_xlfn.XLOOKUP("X",C67:C69,O67:O69,0),IF(AND(C67=TRUE,C69="W"),P67+P69-SUM(O67:O69),IF(AND(C68="W",C69="W"),P68+P69-SUM(O67:O69)+_xlfn.XLOOKUP("X",C67:C69,O67:O69,0),IF(L69&gt;0,IF(OR($C67="W",$C67="1/2W",$C67="1/2L"),P67-SUM(O67:O69)+_xlfn.XLOOKUP("X",C67:C69,O67:O69,0),IF(OR($C67="W",$C67="1/2W",$C67="1/2L"),P68-SUM(O67:O69)+_xlfn.XLOOKUP("X",C67:C69,O67:O69,0),IF(OR($C67="W",$C67="1/2W",$C67="1/2L"),P69-SUM(O67:O69)+_xlfn.XLOOKUP("X",C67:C69,O67:O69,0),IF(SUM(P67:P69)/3-SUM(O67:O69)+_xlfn.XLOOKUP("X",C67:C69,O67:O69,0)&gt;0,SUM(P67:P69)/3-SUM(O67:O69)+_xlfn.XLOOKUP("X",C67:C69,O67:O69,0),LARGE(P67:P69,1)-SUM(O67:O69))))),IF(OR($C67="W",$C67="1/2W",$C67="1/2L"),P67-SUM(O67:O68)+_xlfn.XLOOKUP("X",C67:C69,O67:O69,0),IF(OR($C67="W",$C67="1/2W",$C67="1/2L"),P68-SUM(O67:O68)+_xlfn.XLOOKUP("X",C67:C69,O67:O69,0),SUM(P67:P68)/2-SUM(O67:O68)+_xlfn.XLOOKUP("X",C67:C69,O67:O69,0)))))))),2))</f>
        <v>2.25</v>
      </c>
      <c r="T67" s="458">
        <f>IF(S67=0,0,S67/SUM(O67:O69))</f>
        <v>4.1860465116279069E-2</v>
      </c>
      <c r="U67" s="470">
        <f>IF($D67=$D64,IF(OR($B67="LOSS",$B67="OK",$B67="Anulada"),S67,0)+U64,IF(OR($B67="LOSS",$B67="OK",$B67="Anulada"),S67,0))</f>
        <v>9.98</v>
      </c>
      <c r="V67" s="470">
        <f>IF($D67="",0,IF($D67=$D64,IF($B67=" ",IF(I69="",IF(OR(AND(I67="DNB1",I68="DNB2"),AND(OR(I67="DNB1",I67="DNB2"),J68=0),AND(OR(I68="DNB1",I68="DNB2"),J67=0),AND(I67="DNB2",I68="DNB1"),AND(IF(J67=0,(J67+1)/ROUND(J67+1,0),J67/ROUND(J67,0))=1,IF(J68=0,(J68+1)/ROUND(IF(J68="",0,J68)+1,0),IF(J68="",0,J68)/ROUND(IF(J68="",1,J68),0))=1,OR(J67&lt;&gt;""),J68&lt;&gt;"")),0,IF(S67&lt;0,IF(I69="",SMALL(P67:P68,1)-SUM(O67:O68),0),SMALL(P67:P68,1)-SUM(O67:O68))),IF(S67&lt;0,IF(I69="",SMALL(P67:P69,1)-SUM(O67:O69),0),LARGE(P67:P69,1)-SUM(O67:O69))),S67)+V64,IF(I69="",IF(OR(AND(I67="DNB1",I68="DNB2"),AND(OR(I67="DNB1",I67="DNB2"),J68=0),AND(OR(I68="DNB1",I68="DNB2"),J67=0),AND(I67="DNB2",I68="DNB1"),AND(IF(J67=0,(J67+1)/ROUND(J67+1,0),J67/ROUND(J67,0))=1,IF(J68=0,(IF(J68="",0,J68)+1)/ROUND(IF(J68="",0,J68)+1,0),IF(J68="",0,J68)/ROUND(IF(J68="",0,J68)+1,0))=1,OR(J67&lt;&gt;""),J68&lt;&gt;"")),0,IF(S67&lt;0,IF(I69="",SMALL(P67:P68,1)-SUM(O67:O68),0),SMALL(P67:P69,1)-SUM(O67:O69))),IF(S67&lt;0,IF(I69="",SMALL(P67:P69,1)-SUM(O67:O69),0),LARGE(P67:P69,1)-SUM(O67:O69)))))</f>
        <v>9.92</v>
      </c>
      <c r="W67" s="470">
        <f>IF($D67=$D64,IF(S67&lt;0,IF(I69="",S67,0),S67)+W64,S67)</f>
        <v>9.98</v>
      </c>
      <c r="X67" s="480" t="str">
        <f>IF(OR(SUM(R67:R69)=0,V67=W67),ROUND(IF(W67=0,0,W67/Y67)*100,2)&amp;"%",ROUND(IF(V67=0,0,V67/Y67)*100,2)&amp;"% a "&amp;ROUND(IF(W67=0,0,W67/Y67)*100,2)&amp;"%")</f>
        <v>4,01%</v>
      </c>
      <c r="Y67" s="471">
        <f>IF($D67=$D64,Y64+SUM(O67:O69),SUM(O67:O69))</f>
        <v>248.64</v>
      </c>
      <c r="Z67" s="470">
        <f>IF($B67=" ",SUM(O67:O69),0)+Z64</f>
        <v>0</v>
      </c>
      <c r="AA67" s="470">
        <f>IF(G67="","",IF($B67="Anulado",LARGE(P67:P69,1)-SUM(O67:O69)+AA64,AA64))</f>
        <v>0.45899999999999785</v>
      </c>
      <c r="AB67" s="470">
        <f>IF($D67="","",AB64+S67)</f>
        <v>38.629999999999995</v>
      </c>
      <c r="AC67" s="472">
        <f ca="1">IF($D67="","",IF($B67=" ",IF(DAY(G67)=DAY(TODAY()),1+AC64,0+AC64),0+AC64))</f>
        <v>0</v>
      </c>
      <c r="AD67" s="103">
        <f>(((L68/(L68-1)-1)*(1-_xlfn.XLOOKUP(K68,'Fevereiro 2023 - Valor Real'!A3:A15,'Fevereiro 2023 - Valor Real'!C3:C15,0))+1))/(((L67-1)*(1-_xlfn.XLOOKUP(K67,'Fevereiro 2023 - Valor Real'!A3:A15,'Fevereiro 2023 - Valor Real'!C3:C15,0))+1)+((L68/(L68-1)-1)*(1-_xlfn.XLOOKUP(K68,'Fevereiro 2023 - Valor Real'!A3:A15,'Fevereiro 2023 - Valor Real'!C3:C15,0))+1))</f>
        <v>0.51648351648351654</v>
      </c>
      <c r="AE67" s="104">
        <f>IF(L67="","",IF(L69&gt;0,(SUM(((L67-1)*(1-_xlfn.XLOOKUP(K67,'Fevereiro 2023 - Valor Real'!A3:A15,'Fevereiro 2023 - Valor Real'!C3:C15,0))+1),((L68-1)*(1-_xlfn.XLOOKUP(K68,'Fevereiro 2023 - Valor Real'!A3:A15,'Fevereiro 2023 - Valor Real'!C3:C15,0))+1),((L69-1)*(1-_xlfn.XLOOKUP(K69,'Fevereiro 2023 - Valor Real'!A3:A15,'Fevereiro 2023 - Valor Real'!C3:C15,0))+1))/((L67-1)*(1-_xlfn.XLOOKUP(K67,'Fevereiro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Real'!C3:C15,0))+1))/((L67-1)*(1-_xlfn.XLOOKUP(K67,'Fevereiro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Real'!C3:C15,0))+1))/((L68-1)*(1-_xlfn.XLOOKUP(K68,'Fevereiro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Real'!C3:C15,0))+1))/((L69-1)*(1-_xlfn.XLOOKUP(K69,'Fevereiro 2023 - Valor Real'!A3:A15,'Fevereiro 2023 - Valor Real'!C3:C15,0))+1)),IF(I67="Lay",IF(I68="Lay",((L68/(L68-1)-1)*(1-_xlfn.XLOOKUP(K68,'Fevereiro 2023 - Valor Real'!A3:A15,'Fevereiro 2023 - Valor Real'!C3:C15,0))+1)/(((L68/(L68-1)-1)*(1-_xlfn.XLOOKUP(K68,'Fevereiro 2023 - Valor Real'!A3:A15,'Fevereiro 2023 - Valor Real'!C3:C15,0))+1)+((L67/(L67-1)-1)*(1-_xlfn.XLOOKUP(K67,'Fevereiro 2023 - Valor Real'!A3:A15,'Fevereiro 2023 - Valor Real'!C3:C15,0))+1)),((L68-1)*(1-_xlfn.XLOOKUP(K68,'Fevereiro 2023 - Valor Real'!A3:A15,'Fevereiro 2023 - Valor Real'!C3:C15,0))+1)/(((L68-1)*(1-_xlfn.XLOOKUP(K68,'Fevereiro 2023 - Valor Real'!A3:A15,'Fevereiro 2023 - Valor Real'!C3:C15,0))+1)+((L67/(L67-1)-1)*(1-_xlfn.XLOOKUP(K67,'Fevereiro 2023 - Valor Real'!A3:A15,'Fevereiro 2023 - Valor Real'!C3:C15,0))+1))),IF(I68="Lay",(((L68/(L68-1)-1)*(1-_xlfn.XLOOKUP(K68,'Fevereiro 2023 - Valor Real'!A3:A15,'Fevereiro 2023 - Valor Real'!C3:C15,0))+1))/(((L67-1)*(1-_xlfn.XLOOKUP(K67,'Fevereiro 2023 - Valor Real'!A3:A15,'Fevereiro 2023 - Valor Real'!C3:C15,0))+1)+((L68/(L68-1)-1)*(1-_xlfn.XLOOKUP(K68,'Fevereiro 2023 - Valor Real'!A3:A15,'Fevereiro 2023 - Valor Real'!C3:C15,0))+1)),((L68-1)*(1-_xlfn.XLOOKUP(K68,'Fevereiro 2023 - Valor Real'!A3:A15,'Fevereiro 2023 - Valor Real'!C3:C15,0))+1)/(((L68-1)*(1-_xlfn.XLOOKUP(K68,'Fevereiro 2023 - Valor Real'!A3:A15,'Fevereiro 2023 - Valor Real'!C3:C15,0))+1)+((L67-1)*(1-_xlfn.XLOOKUP(K67,'Fevereiro 2023 - Valor Real'!A3:A15,'Fevereiro 2023 - Valor Real'!C3:C15,0))+1))))))</f>
        <v>0.39281039170274901</v>
      </c>
      <c r="AF67" s="105">
        <f t="shared" si="122"/>
        <v>28</v>
      </c>
      <c r="AG67" s="106">
        <f t="shared" si="122"/>
        <v>0</v>
      </c>
      <c r="AH67" s="106">
        <f t="shared" si="122"/>
        <v>0</v>
      </c>
      <c r="AI67" s="106">
        <f t="shared" si="122"/>
        <v>0</v>
      </c>
      <c r="AJ67" s="106">
        <f t="shared" si="122"/>
        <v>0</v>
      </c>
      <c r="AK67" s="106">
        <f t="shared" si="122"/>
        <v>0</v>
      </c>
      <c r="AL67" s="106">
        <f t="shared" si="122"/>
        <v>0</v>
      </c>
      <c r="AM67" s="106">
        <f t="shared" si="122"/>
        <v>0</v>
      </c>
      <c r="AN67" s="106">
        <f t="shared" si="122"/>
        <v>0</v>
      </c>
      <c r="AO67" s="106">
        <f t="shared" si="122"/>
        <v>0</v>
      </c>
      <c r="AP67" s="106">
        <f t="shared" si="122"/>
        <v>0</v>
      </c>
      <c r="AQ67" s="106">
        <f t="shared" si="122"/>
        <v>0</v>
      </c>
      <c r="AR67" s="107">
        <f t="shared" si="122"/>
        <v>0</v>
      </c>
      <c r="AS67" s="105">
        <f t="shared" ref="AS67:BE67" si="128">IF(AND($B67=" ",$K67=AS$3),$O67,0)</f>
        <v>0</v>
      </c>
      <c r="AT67" s="106">
        <f t="shared" si="128"/>
        <v>0</v>
      </c>
      <c r="AU67" s="106">
        <f t="shared" si="128"/>
        <v>0</v>
      </c>
      <c r="AV67" s="106">
        <f t="shared" si="128"/>
        <v>0</v>
      </c>
      <c r="AW67" s="106">
        <f t="shared" si="128"/>
        <v>0</v>
      </c>
      <c r="AX67" s="106">
        <f t="shared" si="128"/>
        <v>0</v>
      </c>
      <c r="AY67" s="108">
        <f t="shared" si="128"/>
        <v>0</v>
      </c>
      <c r="AZ67" s="109">
        <f t="shared" si="128"/>
        <v>0</v>
      </c>
      <c r="BA67" s="109">
        <f t="shared" si="128"/>
        <v>0</v>
      </c>
      <c r="BB67" s="109">
        <f t="shared" si="128"/>
        <v>0</v>
      </c>
      <c r="BC67" s="110">
        <f t="shared" si="128"/>
        <v>0</v>
      </c>
      <c r="BD67" s="106">
        <f t="shared" si="128"/>
        <v>0</v>
      </c>
      <c r="BE67" s="107">
        <f t="shared" si="128"/>
        <v>0</v>
      </c>
      <c r="BF67" s="111">
        <f t="shared" si="124"/>
        <v>28</v>
      </c>
      <c r="BG67" s="106">
        <f t="shared" si="124"/>
        <v>0</v>
      </c>
      <c r="BH67" s="106">
        <f t="shared" si="124"/>
        <v>0</v>
      </c>
      <c r="BI67" s="106">
        <f t="shared" si="124"/>
        <v>0</v>
      </c>
      <c r="BJ67" s="106">
        <f t="shared" si="124"/>
        <v>0</v>
      </c>
      <c r="BK67" s="106">
        <f t="shared" si="124"/>
        <v>0</v>
      </c>
      <c r="BL67" s="106">
        <f t="shared" si="124"/>
        <v>0</v>
      </c>
      <c r="BM67" s="108">
        <f t="shared" si="124"/>
        <v>0</v>
      </c>
      <c r="BN67" s="109">
        <f t="shared" si="124"/>
        <v>0</v>
      </c>
      <c r="BO67" s="109">
        <f t="shared" si="124"/>
        <v>0</v>
      </c>
      <c r="BP67" s="109">
        <f t="shared" si="124"/>
        <v>0</v>
      </c>
      <c r="BQ67" s="110">
        <f t="shared" si="124"/>
        <v>0</v>
      </c>
      <c r="BR67" s="107">
        <f t="shared" si="124"/>
        <v>0</v>
      </c>
      <c r="BS67" s="463">
        <f>IF($B67="LOSS",IF(AND($K67=BS$3,$C67="L"),-$O67,0)+IF(AND($K68=BS$3,$C68="L"),-$O68,0)+IF(AND($K69=BS$3,$C69="L"),-$O69,0),IF(OR(AND($K67=BS$3,OR($C67="W",$C67="1/2W")),AND($K68=BS$3,OR($C68="W",$C68="1/2W")),AND($K69=BS$3,OR($C69="W",$C69="1/2W"))),$S67,0))</f>
        <v>2.25</v>
      </c>
      <c r="BT67" s="462">
        <f>IF($B67="LOSS",IF(AND($K67=BT$3,$C67="L"),-$O67,0)+IF(AND($K68=BT$3,$C68="L"),-$O68,0)+IF(AND($K68=BT$3,$C69="L"),-$O69,0),IF(OR(AND($K68=BT$3,OR($C67="W",$C67="1/2W")),AND($K68=BT$3,OR($C68="W",$C68="1/2W")),AND($K68=BT$3,OR($C69="W",$C69="1/2W"))),$S67,0))</f>
        <v>0</v>
      </c>
      <c r="BU67" s="462">
        <f>IF($B67="LOSS",IF(AND($K67=BU$3,$C67="L"),-$O67,0)+IF(AND($K68=BU$3,$C68="L"),-$O68,0)+IF(AND($K68=BU$3,$C69="L"),-$O69,0),IF(OR(AND($K68=BU$3,OR($C67="W",$C67="1/2W")),AND($K68=BU$3,OR($C68="W",$C68="1/2W")),AND($K68=BU$3,OR($C69="W",$C69="1/2W"))),$S67,0))</f>
        <v>0</v>
      </c>
      <c r="BV67" s="462">
        <f t="shared" ref="BV67:CE67" si="129">IF($B67="LOSS",IF(AND($K67=BV$3,$C67="L"),-$O67,0)+IF(AND($K68=BV$3,$C68="L"),-$O68,0)+IF(AND($K69=BV$3,$C69="L"),-$O69,0),IF(OR(AND($K67=BV$3,OR($C67="W",$C67="1/2W")),AND($K68=BV$3,OR($C68="W",$C68="1/2W")),AND($K69=BV$3,OR($C69="W",$C69="1/2W"))),$S67,0))</f>
        <v>0</v>
      </c>
      <c r="BW67" s="462">
        <f t="shared" si="129"/>
        <v>0</v>
      </c>
      <c r="BX67" s="462">
        <f t="shared" si="129"/>
        <v>0</v>
      </c>
      <c r="BY67" s="462">
        <f t="shared" si="129"/>
        <v>0</v>
      </c>
      <c r="BZ67" s="460">
        <f t="shared" si="129"/>
        <v>0</v>
      </c>
      <c r="CA67" s="460">
        <f t="shared" si="129"/>
        <v>0</v>
      </c>
      <c r="CB67" s="460">
        <f t="shared" si="129"/>
        <v>0</v>
      </c>
      <c r="CC67" s="460">
        <f t="shared" si="129"/>
        <v>0</v>
      </c>
      <c r="CD67" s="473">
        <f t="shared" si="129"/>
        <v>0</v>
      </c>
      <c r="CE67" s="479">
        <f t="shared" si="129"/>
        <v>0</v>
      </c>
      <c r="CF67" s="113">
        <f t="shared" si="4"/>
        <v>1</v>
      </c>
      <c r="CG67" s="114">
        <f t="shared" si="5"/>
        <v>0</v>
      </c>
      <c r="CH67" s="114">
        <f t="shared" si="6"/>
        <v>0</v>
      </c>
      <c r="CI67" s="114">
        <f t="shared" si="7"/>
        <v>0</v>
      </c>
      <c r="CJ67" s="114">
        <f t="shared" si="8"/>
        <v>0</v>
      </c>
      <c r="CK67" s="114">
        <f t="shared" si="9"/>
        <v>0</v>
      </c>
      <c r="CL67" s="114">
        <f t="shared" si="10"/>
        <v>0</v>
      </c>
      <c r="CM67" s="114">
        <f t="shared" si="11"/>
        <v>0</v>
      </c>
      <c r="CN67" s="114">
        <f t="shared" si="12"/>
        <v>0</v>
      </c>
      <c r="CO67" s="114">
        <f t="shared" si="13"/>
        <v>0</v>
      </c>
      <c r="CP67" s="114">
        <f t="shared" si="14"/>
        <v>0</v>
      </c>
      <c r="CQ67" s="114">
        <f t="shared" si="15"/>
        <v>0</v>
      </c>
      <c r="CR67" s="114">
        <f t="shared" si="16"/>
        <v>0</v>
      </c>
      <c r="CS67" s="114">
        <f t="shared" si="17"/>
        <v>0</v>
      </c>
      <c r="CT67" s="115">
        <f t="shared" si="18"/>
        <v>0</v>
      </c>
      <c r="CU67" s="116">
        <f t="shared" si="19"/>
        <v>0</v>
      </c>
      <c r="CV67" s="116">
        <f t="shared" si="20"/>
        <v>0</v>
      </c>
      <c r="CW67" s="116">
        <f t="shared" si="21"/>
        <v>0</v>
      </c>
      <c r="CX67" s="116">
        <f t="shared" si="22"/>
        <v>0</v>
      </c>
      <c r="CY67" s="116">
        <f t="shared" si="23"/>
        <v>0</v>
      </c>
      <c r="CZ67" s="116">
        <f t="shared" si="24"/>
        <v>0</v>
      </c>
      <c r="DA67" s="116">
        <f t="shared" si="25"/>
        <v>0</v>
      </c>
      <c r="DB67" s="116">
        <f t="shared" si="26"/>
        <v>0</v>
      </c>
      <c r="DC67" s="116">
        <f t="shared" si="27"/>
        <v>0</v>
      </c>
      <c r="DD67" s="116">
        <f t="shared" si="28"/>
        <v>0</v>
      </c>
      <c r="DE67" s="117">
        <f t="shared" si="29"/>
        <v>0</v>
      </c>
      <c r="DF67" s="118">
        <f t="shared" si="31"/>
        <v>10</v>
      </c>
      <c r="DG67" s="106">
        <f t="shared" si="32"/>
        <v>13.350000000000001</v>
      </c>
      <c r="DH67" s="116">
        <f t="shared" si="33"/>
        <v>0</v>
      </c>
      <c r="DI67" s="106">
        <f t="shared" si="34"/>
        <v>0</v>
      </c>
      <c r="DJ67" s="201" t="str">
        <f>IF($D67="","",$D67)</f>
        <v>2</v>
      </c>
      <c r="DK67" s="465">
        <f>IF(AND($B67=" ",$D67&lt;&gt;""),1,0)</f>
        <v>0</v>
      </c>
    </row>
    <row r="68" spans="1:115" ht="14.5" customHeight="1" x14ac:dyDescent="0.2">
      <c r="A68" s="389"/>
      <c r="B68" s="456"/>
      <c r="C68" s="120" t="s">
        <v>55</v>
      </c>
      <c r="D68" s="374"/>
      <c r="E68" s="386"/>
      <c r="F68" s="377"/>
      <c r="G68" s="483"/>
      <c r="H68" s="476"/>
      <c r="I68" s="121" t="s">
        <v>76</v>
      </c>
      <c r="J68" s="122">
        <v>0.5</v>
      </c>
      <c r="K68" s="123" t="s">
        <v>40</v>
      </c>
      <c r="L68" s="124">
        <v>1.88</v>
      </c>
      <c r="M68" s="125">
        <v>22.35</v>
      </c>
      <c r="N68" s="406"/>
      <c r="O68" s="126">
        <f>IF(OR(AE67="",AE68=""),"",ROUND(IF(L69&gt;0,IF(M68&gt;0,M68,IF(M67&gt;0,IF(N67=TRUE,ROUND((M67*AE68)/AE67,0),(M67*AE68)/AE67),IF(M68&gt;0,ROUND(M68,IF(N67=0,2,IF(N67=0.1,1,0))),IF(M69&gt;0,ROUND(O69*AE68/AE69,IF(N67=0,2,IF(N67=0.1,1,0))),0)))),IF(M68&gt;0,M68,ROUND((M67*AE68)/AE67,IF(N67=0,2,IF(N67=0.1,1,0))))),2))</f>
        <v>22.35</v>
      </c>
      <c r="P68" s="127">
        <f>IF(OR(L68="",O68=""),"",IF($C68="1/2W",O68/2+O68/2*L68,IF($C68="1/2L",O68/2,IF(I68="Lay",((O68*(L68/(L68-1)))-O68)*(1-_xlfn.XLOOKUP(K68,'Fevereiro 2023 - Valor Real'!A3:A15,'Fevereiro 2023 - Valor Real'!C3:C15,0))+O68,(O68*L68-O68)*(1-_xlfn.XLOOKUP(K68,'Fevereiro 2023 - Valor Real'!A3:A15,'Fevereiro 2023 - Valor Real'!C3:C15,0))+O68))))</f>
        <v>42.018000000000001</v>
      </c>
      <c r="Q68" s="128">
        <f>IF(K68="","",IF(_xlfn.XLOOKUP(K68,K$4:K67,$DJ$4:DJ67,0,,-1)=DJ68,_xlfn.XLOOKUP(K68,K$4:K67,Q$4:Q67,1,,-1)+1,1))</f>
        <v>3</v>
      </c>
      <c r="R68" s="129">
        <f>IF(K68="","",_xlfn.XLOOKUP(K68,K$4:K67,R$4:R67,0,,-1)+IF($C68=" ",1,0))</f>
        <v>0</v>
      </c>
      <c r="S68" s="403"/>
      <c r="T68" s="380"/>
      <c r="U68" s="380"/>
      <c r="V68" s="481"/>
      <c r="W68" s="380"/>
      <c r="X68" s="452"/>
      <c r="Y68" s="383"/>
      <c r="Z68" s="384"/>
      <c r="AA68" s="384"/>
      <c r="AB68" s="384"/>
      <c r="AC68" s="384"/>
      <c r="AD68" s="130">
        <f>(((L68/(L68-1)-1)*(1-_xlfn.XLOOKUP(K68,'Fevereiro 2023 - Valor Real'!A3:A15,'Fevereiro 2023 - Valor Real'!C3:C15,0))+1))</f>
        <v>2.1363636363636367</v>
      </c>
      <c r="AE68" s="131">
        <f>IF(L68="","",IF(L69&gt;0,(SUM(((L67-1)*(1-_xlfn.XLOOKUP(K67,'Fevereiro 2023 - Valor Real'!A3:A15,'Fevereiro 2023 - Valor Real'!C3:C15,0))+1),((L68-1)*(1-_xlfn.XLOOKUP(K68,'Fevereiro 2023 - Valor Real'!A3:A15,'Fevereiro 2023 - Valor Real'!C3:C15,0))+1),((L69-1)*(1-_xlfn.XLOOKUP(K69,'Fevereiro 2023 - Valor Real'!A3:A15,'Fevereiro 2023 - Valor Real'!C3:C15,0))+1))/((L68-1)*(1-_xlfn.XLOOKUP(K68,'Fevereiro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Real'!C3:C15,0))+1))/((L67-1)*(1-_xlfn.XLOOKUP(K67,'Fevereiro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Real'!C3:C15,0))+1))/((L68-1)*(1-_xlfn.XLOOKUP(K68,'Fevereiro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Real'!C3:C15,0))+1))/((L69-1)*(1-_xlfn.XLOOKUP(K69,'Fevereiro 2023 - Valor Real'!A3:A15,'Fevereiro 2023 - Valor Real'!C3:C15,0))+1)),IF(I68="Lay",IF(I67="Lay",((L67/(L67-1)-1)*(1-_xlfn.XLOOKUP(K67,'Fevereiro 2023 - Valor Real'!A3:A15,'Fevereiro 2023 - Valor Real'!C3:C15,0))+1)/(((L67/(L67-1)-1)*(1-_xlfn.XLOOKUP(K67,'Fevereiro 2023 - Valor Real'!A3:A15,'Fevereiro 2023 - Valor Real'!C3:C15,0))+1)+((L68/(L68-1)-1)*(1-_xlfn.XLOOKUP(K68,'Fevereiro 2023 - Valor Real'!A3:A15,'Fevereiro 2023 - Valor Real'!C3:C15,0))+1)),((L67-1)*(1-_xlfn.XLOOKUP(K67,'Fevereiro 2023 - Valor Real'!A3:A15,'Fevereiro 2023 - Valor Real'!C3:C15,0))+1)/(((L67-1)*(1-_xlfn.XLOOKUP(K67,'Fevereiro 2023 - Valor Real'!A3:A15,'Fevereiro 2023 - Valor Real'!C3:C15,0))+1)+((L68/(L68-1)-1)*(1-_xlfn.XLOOKUP(K68,'Fevereiro 2023 - Valor Real'!A3:A15,'Fevereiro 2023 - Valor Real'!C3:C15,0))+1))),IF(I67="Lay",((L67/(L67-1)-1)*(1-_xlfn.XLOOKUP(K67,'Fevereiro 2023 - Valor Real'!A3:A15,'Fevereiro 2023 - Valor Real'!C3:C15,0))+1)/((((L67/(L67-1)-1)*(1-_xlfn.XLOOKUP(K67,'Fevereiro 2023 - Valor Real'!A3:A15,'Fevereiro 2023 - Valor Real'!C3:C15,0))+1))+((L68-1)*(1-_xlfn.XLOOKUP(K68,'Fevereiro 2023 - Valor Real'!A3:A15,'Fevereiro 2023 - Valor Real'!C3:C15,0))+1)),((L67-1)*(1-_xlfn.XLOOKUP(K67,'Fevereiro 2023 - Valor Real'!A3:A15,'Fevereiro 2023 - Valor Real'!C3:C15,0))+1)/(((L67-1)*(1-_xlfn.XLOOKUP(K67,'Fevereiro 2023 - Valor Real'!A3:A15,'Fevereiro 2023 - Valor Real'!C3:C15,0))+1)+((L68-1)*(1-_xlfn.XLOOKUP(K68,'Fevereiro 2023 - Valor Real'!A3:A15,'Fevereiro 2023 - Valor Real'!C3:C15,0))+1))))))</f>
        <v>0.41788339542845643</v>
      </c>
      <c r="AF68" s="105">
        <f t="shared" si="122"/>
        <v>0</v>
      </c>
      <c r="AG68" s="106">
        <f t="shared" si="122"/>
        <v>0</v>
      </c>
      <c r="AH68" s="106">
        <f t="shared" si="122"/>
        <v>0</v>
      </c>
      <c r="AI68" s="106">
        <f t="shared" si="122"/>
        <v>0</v>
      </c>
      <c r="AJ68" s="106">
        <f t="shared" si="122"/>
        <v>-22.35</v>
      </c>
      <c r="AK68" s="106">
        <f t="shared" si="122"/>
        <v>0</v>
      </c>
      <c r="AL68" s="106">
        <f t="shared" si="122"/>
        <v>0</v>
      </c>
      <c r="AM68" s="106">
        <f t="shared" si="122"/>
        <v>0</v>
      </c>
      <c r="AN68" s="106">
        <f t="shared" si="122"/>
        <v>0</v>
      </c>
      <c r="AO68" s="106">
        <f t="shared" si="122"/>
        <v>0</v>
      </c>
      <c r="AP68" s="106">
        <f t="shared" si="122"/>
        <v>0</v>
      </c>
      <c r="AQ68" s="106">
        <f t="shared" si="122"/>
        <v>0</v>
      </c>
      <c r="AR68" s="107">
        <f t="shared" si="122"/>
        <v>0</v>
      </c>
      <c r="AS68" s="105">
        <f>IF(AND($B67=" ",$K68=AS$3),$O68,0)</f>
        <v>0</v>
      </c>
      <c r="AT68" s="106">
        <f>IF(AND($B67=" ",K68=AT$3),$O68,0)</f>
        <v>0</v>
      </c>
      <c r="AU68" s="106">
        <f t="shared" ref="AU68:BE68" si="130">IF(AND($B67=" ",$K68=AU$3),$O68,0)</f>
        <v>0</v>
      </c>
      <c r="AV68" s="106">
        <f t="shared" si="130"/>
        <v>0</v>
      </c>
      <c r="AW68" s="106">
        <f t="shared" si="130"/>
        <v>0</v>
      </c>
      <c r="AX68" s="106">
        <f t="shared" si="130"/>
        <v>0</v>
      </c>
      <c r="AY68" s="108">
        <f t="shared" si="130"/>
        <v>0</v>
      </c>
      <c r="AZ68" s="109">
        <f t="shared" si="130"/>
        <v>0</v>
      </c>
      <c r="BA68" s="109">
        <f t="shared" si="130"/>
        <v>0</v>
      </c>
      <c r="BB68" s="109">
        <f t="shared" si="130"/>
        <v>0</v>
      </c>
      <c r="BC68" s="110">
        <f t="shared" si="130"/>
        <v>0</v>
      </c>
      <c r="BD68" s="106">
        <f t="shared" si="130"/>
        <v>0</v>
      </c>
      <c r="BE68" s="107">
        <f t="shared" si="130"/>
        <v>0</v>
      </c>
      <c r="BF68" s="105">
        <f t="shared" si="124"/>
        <v>0</v>
      </c>
      <c r="BG68" s="106">
        <f t="shared" si="124"/>
        <v>0</v>
      </c>
      <c r="BH68" s="106">
        <f t="shared" si="124"/>
        <v>0</v>
      </c>
      <c r="BI68" s="106">
        <f t="shared" si="124"/>
        <v>0</v>
      </c>
      <c r="BJ68" s="106">
        <f t="shared" si="124"/>
        <v>22.35</v>
      </c>
      <c r="BK68" s="106">
        <f t="shared" si="124"/>
        <v>0</v>
      </c>
      <c r="BL68" s="106">
        <f t="shared" si="124"/>
        <v>0</v>
      </c>
      <c r="BM68" s="132">
        <f t="shared" si="124"/>
        <v>0</v>
      </c>
      <c r="BN68" s="112">
        <f t="shared" si="124"/>
        <v>0</v>
      </c>
      <c r="BO68" s="112">
        <f t="shared" si="124"/>
        <v>0</v>
      </c>
      <c r="BP68" s="112">
        <f t="shared" si="124"/>
        <v>0</v>
      </c>
      <c r="BQ68" s="110">
        <f t="shared" si="124"/>
        <v>0</v>
      </c>
      <c r="BR68" s="107">
        <f t="shared" si="124"/>
        <v>0</v>
      </c>
      <c r="BS68" s="464"/>
      <c r="BT68" s="461"/>
      <c r="BU68" s="392"/>
      <c r="BV68" s="461"/>
      <c r="BW68" s="392"/>
      <c r="BX68" s="392"/>
      <c r="BY68" s="392"/>
      <c r="BZ68" s="461"/>
      <c r="CA68" s="392"/>
      <c r="CB68" s="392"/>
      <c r="CC68" s="392"/>
      <c r="CD68" s="401"/>
      <c r="CE68" s="409"/>
      <c r="CF68" s="133">
        <f t="shared" ref="CF68:CF131" si="131">IF(CF$3=$K68,IF($C68="W",1,IF($C68="1/2W",0.5,0)),0)</f>
        <v>0</v>
      </c>
      <c r="CG68" s="134">
        <f t="shared" ref="CG68:CG131" si="132">IF(CF$3=$K68,IF($C68="L",1,IF($C68="1/2L",0.5,0)),0)</f>
        <v>0</v>
      </c>
      <c r="CH68" s="134">
        <f t="shared" ref="CH68:CH131" si="133">IF(CH$3=$K68,IF($C68="W",1,IF($C68="1/2W",0.5,0)),0)</f>
        <v>0</v>
      </c>
      <c r="CI68" s="134">
        <f t="shared" ref="CI68:CI131" si="134">IF(CH$3=$K68,IF($C68="L",1,IF($C68="1/2L",0.5,0)),0)</f>
        <v>0</v>
      </c>
      <c r="CJ68" s="134">
        <f t="shared" ref="CJ68:CJ131" si="135">IF(CJ$3=$K68,IF($C68="W",1,IF($C68="1/2W",0.5,0)),0)</f>
        <v>0</v>
      </c>
      <c r="CK68" s="134">
        <f t="shared" ref="CK68:CK131" si="136">IF(CJ$3=$K68,IF($C68="L",1,IF($C68="1/2L",0.5,0)),0)</f>
        <v>0</v>
      </c>
      <c r="CL68" s="134">
        <f t="shared" ref="CL68:CL131" si="137">IF(CL$3=$K68,IF($C68="W",1,IF($C68="1/2W",0.5,0)),0)</f>
        <v>0</v>
      </c>
      <c r="CM68" s="134">
        <f t="shared" ref="CM68:CM131" si="138">IF(CL$3=$K68,IF($C68="L",1,IF($C68="1/2L",0.5,0)),0)</f>
        <v>0</v>
      </c>
      <c r="CN68" s="134">
        <f t="shared" ref="CN68:CN131" si="139">IF(CN$3=$K68,IF($C68="W",1,IF($C68="1/2W",0.5,0)),0)</f>
        <v>0</v>
      </c>
      <c r="CO68" s="134">
        <f t="shared" ref="CO68:CO131" si="140">IF(CN$3=$K68,IF($C68="L",1,IF($C68="1/2L",0.5,0)),0)</f>
        <v>1</v>
      </c>
      <c r="CP68" s="134">
        <f t="shared" ref="CP68:CP131" si="141">IF(CP$3=$K68,IF($C68="W",1,IF($C68="1/2W",0.5,0)),0)</f>
        <v>0</v>
      </c>
      <c r="CQ68" s="134">
        <f t="shared" ref="CQ68:CQ131" si="142">IF(CP$3=$K68,IF($C68="L",1,IF($C68="1/2L",0.5,0)),0)</f>
        <v>0</v>
      </c>
      <c r="CR68" s="134">
        <f t="shared" ref="CR68:CR131" si="143">IF(CR$3=$K68,IF($C68="W",1,IF($C68="1/2W",0.5,0)),0)</f>
        <v>0</v>
      </c>
      <c r="CS68" s="134">
        <f t="shared" ref="CS68:CS131" si="144">IF(CR$3=$K68,IF($C68="L",1,IF($C68="1/2L",0.5,0)),0)</f>
        <v>0</v>
      </c>
      <c r="CT68" s="115">
        <f t="shared" ref="CT68:CT131" si="145">IF(CT$3=$K68,IF($C68="W",1,IF($C68="1/2W",0.5,0)),0)</f>
        <v>0</v>
      </c>
      <c r="CU68" s="116">
        <f t="shared" ref="CU68:CU131" si="146">IF(CT$3=$K68,IF($C68="L",1,IF($C68="1/2L",0.5,0)),0)</f>
        <v>0</v>
      </c>
      <c r="CV68" s="116">
        <f t="shared" ref="CV68:CV131" si="147">IF(CV$3=$K68,IF($C68="W",1,IF($C68="1/2W",0.5,0)),0)</f>
        <v>0</v>
      </c>
      <c r="CW68" s="116">
        <f t="shared" ref="CW68:CW131" si="148">IF(CV$3=$K68,IF($C68="L",1,IF($C68="1/2L",0.5,0)),0)</f>
        <v>0</v>
      </c>
      <c r="CX68" s="116">
        <f t="shared" ref="CX68:CX131" si="149">IF(CX$3=$K68,IF($C68="W",1,IF($C68="1/2W",0.5,0)),0)</f>
        <v>0</v>
      </c>
      <c r="CY68" s="116">
        <f t="shared" ref="CY68:CY131" si="150">IF(CX$3=$K68,IF($C68="L",1,IF($C68="1/2L",0.5,0)),0)</f>
        <v>0</v>
      </c>
      <c r="CZ68" s="116">
        <f t="shared" ref="CZ68:CZ131" si="151">IF(CZ$3=$K68,IF($C68="W",1,IF($C68="1/2W",0.5,0)),0)</f>
        <v>0</v>
      </c>
      <c r="DA68" s="116">
        <f t="shared" ref="DA68:DA131" si="152">IF(CZ$3=$K68,IF($C68="L",1,IF($C68="1/2L",0.5,0)),0)</f>
        <v>0</v>
      </c>
      <c r="DB68" s="116">
        <f t="shared" ref="DB68:DB131" si="153">IF(DB$3=$K68,IF($C68="W",1,IF($C68="1/2W",0.5,0)),0)</f>
        <v>0</v>
      </c>
      <c r="DC68" s="116">
        <f t="shared" ref="DC68:DC131" si="154">IF(DB$3=$K68,IF($C68="L",1,IF($C68="1/2L",0.5,0)),0)</f>
        <v>0</v>
      </c>
      <c r="DD68" s="116">
        <f t="shared" ref="DD68:DD131" si="155">IF(DD$3=$K68,IF($C68="W",1,IF($C68="1/2W",0.5,0)),0)</f>
        <v>0</v>
      </c>
      <c r="DE68" s="117">
        <f t="shared" ref="DE68:DE131" si="156">IF(DD$3=$K68,IF($C68="L",1,IF($C68="1/2L",0.5,0)),0)</f>
        <v>0</v>
      </c>
      <c r="DF68" s="118">
        <f t="shared" si="31"/>
        <v>10</v>
      </c>
      <c r="DG68" s="106">
        <f t="shared" si="32"/>
        <v>13.350000000000001</v>
      </c>
      <c r="DH68" s="116">
        <f t="shared" si="33"/>
        <v>0</v>
      </c>
      <c r="DI68" s="106">
        <f t="shared" si="34"/>
        <v>0</v>
      </c>
      <c r="DJ68" s="201" t="str">
        <f>IF($D67="","",$D67)</f>
        <v>2</v>
      </c>
      <c r="DK68" s="466"/>
    </row>
    <row r="69" spans="1:115" ht="14.5" customHeight="1" x14ac:dyDescent="0.2">
      <c r="A69" s="390"/>
      <c r="B69" s="457"/>
      <c r="C69" s="135" t="s">
        <v>55</v>
      </c>
      <c r="D69" s="375"/>
      <c r="E69" s="387"/>
      <c r="F69" s="378"/>
      <c r="G69" s="484"/>
      <c r="H69" s="477"/>
      <c r="I69" s="192">
        <v>2</v>
      </c>
      <c r="J69" s="137"/>
      <c r="K69" s="193" t="s">
        <v>40</v>
      </c>
      <c r="L69" s="194">
        <v>4.1500000000000004</v>
      </c>
      <c r="M69" s="140">
        <v>3.4</v>
      </c>
      <c r="N69" s="407"/>
      <c r="O69" s="195">
        <f>IF(OR(AE67="",AE68=""),"",IF(L69&gt;0,ROUND(IF(M69&gt;0,M69,IF(M67&gt;0,ROUND((M67*AE69)/AE67,IF(N67=0,2,IF(N67=0.1,1,0))),IF(M68&gt;0,ROUND((M68*AE69)/AE68,IF(N67=0,2,IF(N67=0.1,1,0))),IF(M69&gt;0,M69,0)))),2),""))</f>
        <v>3.4</v>
      </c>
      <c r="P69" s="196">
        <f>IF(I68="Lay",O68*(L68/(L68-1))-O68,IF(I67="Lay",O67*(L67/(L67-1))-O67,IF(OR(L69="",O69=""),"",IF($C69="1/2W",O69/2+O69/2*L69,IF($C69="1/2L",O69/2,(O69*L69-O69)*(1-_xlfn.XLOOKUP(K69,'Fevereiro 2023 - Valor Real'!A3:A15,'Fevereiro 2023 - Valor Real'!C3:C15,0))+O69)))))</f>
        <v>14.110000000000001</v>
      </c>
      <c r="Q69" s="197">
        <f>IF(K69="","",IF(_xlfn.XLOOKUP(K69,K$4:K68,$DJ$4:DJ68,0,,-1)=DJ69,_xlfn.XLOOKUP(K69,K$4:K68,Q$4:Q68,1,,-1)+1,1))</f>
        <v>4</v>
      </c>
      <c r="R69" s="198">
        <f>IF(K69="","",_xlfn.XLOOKUP(K69,K$4:K68,R$4:R68,0,,-1)+IF($C69=" ",1,0))</f>
        <v>0</v>
      </c>
      <c r="S69" s="404"/>
      <c r="T69" s="378"/>
      <c r="U69" s="378"/>
      <c r="V69" s="404"/>
      <c r="W69" s="378"/>
      <c r="X69" s="453"/>
      <c r="Y69" s="383"/>
      <c r="Z69" s="384"/>
      <c r="AA69" s="384"/>
      <c r="AB69" s="384"/>
      <c r="AC69" s="384"/>
      <c r="AD69" s="145">
        <f>((L68/(L68-1)-1))</f>
        <v>1.1363636363636367</v>
      </c>
      <c r="AE69" s="199">
        <f>IF(L69="","",(SUM(((L67-1)*(1-_xlfn.XLOOKUP(K67,'Fevereiro 2023 - Valor Real'!A3:A15,'Fevereiro 2023 - Valor Real'!C3:C15,0))+1),((L68-1)*(1-_xlfn.XLOOKUP(K68,'Fevereiro 2023 - Valor Real'!A3:A15,'Fevereiro 2023 - Valor Real'!C3:C15,0))+1),((L69-1)*(1-_xlfn.XLOOKUP(K69,'Fevereiro 2023 - Valor Real'!A3:A15,'Fevereiro 2023 - Valor Real'!C3:C15,0))+1))/((L69-1)*(1-_xlfn.XLOOKUP(K69,'Fevereiro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Real'!C3:C15,0))+1))/((L67-1)*(1-_xlfn.XLOOKUP(K67,'Fevereiro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Real'!C3:C15,0))+1))/((L68-1)*(1-_xlfn.XLOOKUP(K68,'Fevereiro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Real'!C3:C15,0))+1))/((L69-1)*(1-_xlfn.XLOOKUP(K69,'Fevereiro 2023 - Valor Real'!A3:A15,'Fevereiro 2023 - Valor Real'!C3:C15,0))+1)))</f>
        <v>0.1893062128687947</v>
      </c>
      <c r="AF69" s="105">
        <f t="shared" si="122"/>
        <v>0</v>
      </c>
      <c r="AG69" s="106">
        <f t="shared" si="122"/>
        <v>0</v>
      </c>
      <c r="AH69" s="106">
        <f t="shared" si="122"/>
        <v>0</v>
      </c>
      <c r="AI69" s="106">
        <f t="shared" si="122"/>
        <v>0</v>
      </c>
      <c r="AJ69" s="106">
        <f t="shared" si="122"/>
        <v>-3.4</v>
      </c>
      <c r="AK69" s="106">
        <f t="shared" si="122"/>
        <v>0</v>
      </c>
      <c r="AL69" s="106">
        <f t="shared" si="122"/>
        <v>0</v>
      </c>
      <c r="AM69" s="106">
        <f t="shared" si="122"/>
        <v>0</v>
      </c>
      <c r="AN69" s="106">
        <f t="shared" si="122"/>
        <v>0</v>
      </c>
      <c r="AO69" s="106">
        <f t="shared" si="122"/>
        <v>0</v>
      </c>
      <c r="AP69" s="106">
        <f t="shared" si="122"/>
        <v>0</v>
      </c>
      <c r="AQ69" s="106">
        <f t="shared" si="122"/>
        <v>0</v>
      </c>
      <c r="AR69" s="107">
        <f t="shared" si="122"/>
        <v>0</v>
      </c>
      <c r="AS69" s="105">
        <f>IF(AND($B67=" ",$K69=AS$3),$O69,0)</f>
        <v>0</v>
      </c>
      <c r="AT69" s="106">
        <f>IF(AND($B67=" ",K69=AT$3),$O69,0)</f>
        <v>0</v>
      </c>
      <c r="AU69" s="106">
        <f t="shared" ref="AU69:BE69" si="157">IF(AND($B67=" ",$K69=AU$3),$O69,0)</f>
        <v>0</v>
      </c>
      <c r="AV69" s="106">
        <f t="shared" si="157"/>
        <v>0</v>
      </c>
      <c r="AW69" s="106">
        <f t="shared" si="157"/>
        <v>0</v>
      </c>
      <c r="AX69" s="106">
        <f t="shared" si="157"/>
        <v>0</v>
      </c>
      <c r="AY69" s="108">
        <f t="shared" si="157"/>
        <v>0</v>
      </c>
      <c r="AZ69" s="109">
        <f t="shared" si="157"/>
        <v>0</v>
      </c>
      <c r="BA69" s="109">
        <f t="shared" si="157"/>
        <v>0</v>
      </c>
      <c r="BB69" s="109">
        <f t="shared" si="157"/>
        <v>0</v>
      </c>
      <c r="BC69" s="110">
        <f t="shared" si="157"/>
        <v>0</v>
      </c>
      <c r="BD69" s="106">
        <f t="shared" si="157"/>
        <v>0</v>
      </c>
      <c r="BE69" s="107">
        <f t="shared" si="157"/>
        <v>0</v>
      </c>
      <c r="BF69" s="105">
        <f t="shared" si="124"/>
        <v>0</v>
      </c>
      <c r="BG69" s="106">
        <f t="shared" si="124"/>
        <v>0</v>
      </c>
      <c r="BH69" s="106">
        <f t="shared" si="124"/>
        <v>0</v>
      </c>
      <c r="BI69" s="106">
        <f t="shared" si="124"/>
        <v>0</v>
      </c>
      <c r="BJ69" s="106">
        <f t="shared" si="124"/>
        <v>3.4</v>
      </c>
      <c r="BK69" s="106">
        <f t="shared" si="124"/>
        <v>0</v>
      </c>
      <c r="BL69" s="106">
        <f t="shared" si="124"/>
        <v>0</v>
      </c>
      <c r="BM69" s="108">
        <f t="shared" si="124"/>
        <v>0</v>
      </c>
      <c r="BN69" s="109">
        <f t="shared" si="124"/>
        <v>0</v>
      </c>
      <c r="BO69" s="109">
        <f t="shared" si="124"/>
        <v>0</v>
      </c>
      <c r="BP69" s="109">
        <f t="shared" si="124"/>
        <v>0</v>
      </c>
      <c r="BQ69" s="110">
        <f t="shared" si="124"/>
        <v>0</v>
      </c>
      <c r="BR69" s="107">
        <f t="shared" si="124"/>
        <v>0</v>
      </c>
      <c r="BS69" s="464"/>
      <c r="BT69" s="461"/>
      <c r="BU69" s="392"/>
      <c r="BV69" s="461"/>
      <c r="BW69" s="392"/>
      <c r="BX69" s="392"/>
      <c r="BY69" s="392"/>
      <c r="BZ69" s="461"/>
      <c r="CA69" s="392"/>
      <c r="CB69" s="392"/>
      <c r="CC69" s="392"/>
      <c r="CD69" s="401"/>
      <c r="CE69" s="409"/>
      <c r="CF69" s="133">
        <f t="shared" si="131"/>
        <v>0</v>
      </c>
      <c r="CG69" s="134">
        <f t="shared" si="132"/>
        <v>0</v>
      </c>
      <c r="CH69" s="134">
        <f t="shared" si="133"/>
        <v>0</v>
      </c>
      <c r="CI69" s="134">
        <f t="shared" si="134"/>
        <v>0</v>
      </c>
      <c r="CJ69" s="134">
        <f t="shared" si="135"/>
        <v>0</v>
      </c>
      <c r="CK69" s="134">
        <f t="shared" si="136"/>
        <v>0</v>
      </c>
      <c r="CL69" s="134">
        <f t="shared" si="137"/>
        <v>0</v>
      </c>
      <c r="CM69" s="134">
        <f t="shared" si="138"/>
        <v>0</v>
      </c>
      <c r="CN69" s="134">
        <f t="shared" si="139"/>
        <v>0</v>
      </c>
      <c r="CO69" s="134">
        <f t="shared" si="140"/>
        <v>1</v>
      </c>
      <c r="CP69" s="134">
        <f t="shared" si="141"/>
        <v>0</v>
      </c>
      <c r="CQ69" s="134">
        <f t="shared" si="142"/>
        <v>0</v>
      </c>
      <c r="CR69" s="134">
        <f t="shared" si="143"/>
        <v>0</v>
      </c>
      <c r="CS69" s="134">
        <f t="shared" si="144"/>
        <v>0</v>
      </c>
      <c r="CT69" s="115">
        <f t="shared" si="145"/>
        <v>0</v>
      </c>
      <c r="CU69" s="116">
        <f t="shared" si="146"/>
        <v>0</v>
      </c>
      <c r="CV69" s="116">
        <f t="shared" si="147"/>
        <v>0</v>
      </c>
      <c r="CW69" s="116">
        <f t="shared" si="148"/>
        <v>0</v>
      </c>
      <c r="CX69" s="116">
        <f t="shared" si="149"/>
        <v>0</v>
      </c>
      <c r="CY69" s="116">
        <f t="shared" si="150"/>
        <v>0</v>
      </c>
      <c r="CZ69" s="116">
        <f t="shared" si="151"/>
        <v>0</v>
      </c>
      <c r="DA69" s="116">
        <f t="shared" si="152"/>
        <v>0</v>
      </c>
      <c r="DB69" s="116">
        <f t="shared" si="153"/>
        <v>0</v>
      </c>
      <c r="DC69" s="116">
        <f t="shared" si="154"/>
        <v>0</v>
      </c>
      <c r="DD69" s="116">
        <f t="shared" si="155"/>
        <v>0</v>
      </c>
      <c r="DE69" s="117">
        <f t="shared" si="156"/>
        <v>0</v>
      </c>
      <c r="DF69" s="118">
        <f t="shared" ref="DF69:DF132" si="158">IF(AND(L69&lt;DF$3,$C69="W"),1+DF68,DF68)</f>
        <v>10</v>
      </c>
      <c r="DG69" s="106">
        <f t="shared" ref="DG69:DG132" si="159">IF(DF69&gt;DF68,L69+DG68,DG68)</f>
        <v>13.350000000000001</v>
      </c>
      <c r="DH69" s="116">
        <f t="shared" ref="DH69:DH132" si="160">IF(AND(L69&gt;DH$3,$C69="W"),1+DH68,0+DH68)</f>
        <v>0</v>
      </c>
      <c r="DI69" s="106">
        <f t="shared" ref="DI69:DI132" si="161">IF(DH69&gt;DH68,L69+DI68,DI68)</f>
        <v>0</v>
      </c>
      <c r="DJ69" s="201" t="str">
        <f>IF($D67="","",$D67)</f>
        <v>2</v>
      </c>
      <c r="DK69" s="466"/>
    </row>
    <row r="70" spans="1:115" ht="14.5" customHeight="1" x14ac:dyDescent="0.2">
      <c r="A70" s="487">
        <f>$A67+1</f>
        <v>23</v>
      </c>
      <c r="B70" s="506" t="str">
        <f>IF(OR(C70="W",C71="W",C72="W",C70="1/2W",C71="1/2W",C72="1/2W",C70="1/2L",C71="1/2L",C72="1/2L"),"OK",IF(OR(C70="L",C71="L",C72="L"),"LOSS",IF(OR(C70="X",C71="X",C72="X"),"Anulado"," ")))</f>
        <v>OK</v>
      </c>
      <c r="C70" s="147" t="s">
        <v>55</v>
      </c>
      <c r="D70" s="494" t="str">
        <f>IF(G70="","",$D67)</f>
        <v>2</v>
      </c>
      <c r="E70" s="511" t="str">
        <f>IF(G70=""," ","– "&amp;COUNTIF(D$4:D72,$D70))</f>
        <v>– 6</v>
      </c>
      <c r="F70" s="510" t="str">
        <f ca="1">IF(G70="","",IF(OR(AND($C70&lt;&gt;" ",$C71=" "),AND($C71&lt;&gt;" ",$C70=" "),AND(L72&gt;0,OR(AND($C72&lt;&gt;" ",OR($C70=" ",$C71=" ")),AND($C72=" ",OR($C70&lt;&gt;" ",$C71&lt;&gt;" "))))),IF(SUM(F$4:F69)=0,1,LARGE(F$4:F69,1)+1),IF(MONTH(G70)=MONTH(TODAY()),IF(AND(DAY(G70)&lt;DAY(TODAY()),$B70=" "),IF(SUM(F$4:F69)=0,1,LARGE(F$4:F69,1)+1),IF($B70=" ",IF(AND(DAY(G70)=DAY(TODAY()),HOUR(G70)&lt;=HOUR(NOW())+1),IF(AND(HOUR(G70)+2&lt;=HOUR(NOW()),DAY(G70)&lt;=DAY(TODAY()),MINUTE(G70)&lt;=MINUTE(NOW())),IF(SUM(F$4:F69)=0,1,LARGE(F$4:F69,1)+1),IF(OR(MINUTE(G70)&lt;=MINUTE(NOW()),HOUR(G70)&lt;=HOUR(NOW())),"!!!","")),""),"")),"")))</f>
        <v/>
      </c>
      <c r="G70" s="508">
        <v>44987.9375</v>
      </c>
      <c r="H70" s="502" t="s">
        <v>78</v>
      </c>
      <c r="I70" s="148">
        <v>2</v>
      </c>
      <c r="J70" s="149"/>
      <c r="K70" s="150" t="s">
        <v>36</v>
      </c>
      <c r="L70" s="151">
        <v>3.5</v>
      </c>
      <c r="M70" s="152">
        <v>9.33</v>
      </c>
      <c r="N70" s="503">
        <v>1</v>
      </c>
      <c r="O70" s="153">
        <f>IF(OR(AE70="",AE71=""),"",ROUND(IF(L72&gt;0,IF(M70&gt;0,M70,IF(M71&gt;0,ROUND((M71*AE70)/AE71,IF(N70=0,2,IF(N70=0.1,1,0))),ROUND((M72*AE70)/AE72,IF(N70=0,2,IF(N70=0.1,1,0))))),IF(M70&gt;0,M70,ROUND((M71*AE70)/AE71,IF(N70=0,2,IF(N70=0.1,1,0))))),2))</f>
        <v>9.33</v>
      </c>
      <c r="P70" s="154">
        <f>IF(OR(L70="",O70=""),"",IF($C70="1/2W",O70/2+O70/2*L70,IF($C70="1/2L",O70/2,IF(I70="Lay",(O70*(L70/(L70-1))-O70)*(1-_xlfn.XLOOKUP(K70,'Fevereiro 2023 - Valor Real'!A3:A15,'Fevereiro 2023 - Valor Real'!C3:C15,0))+O70,(O70*L70-O70)*(1-_xlfn.XLOOKUP(K70,'Fevereiro 2023 - Valor Real'!A3:A15,'Fevereiro 2023 - Valor Real'!C3:C15,0))+O70))))</f>
        <v>32.655000000000001</v>
      </c>
      <c r="Q70" s="155">
        <f>IF(K70="","",IF(_xlfn.XLOOKUP(K70,K$4:K69,$DJ$4:DJ69,0,,-1)=DJ70,_xlfn.XLOOKUP(K70,K$4:K69,Q$4:Q69,1,,-1)+1,1))</f>
        <v>3</v>
      </c>
      <c r="R70" s="156">
        <f>IF(K70="","",_xlfn.XLOOKUP(K70,K$4:K69,R$4:R69,0,,-1)+IF($C70=" ",1,0))</f>
        <v>0</v>
      </c>
      <c r="S70" s="501">
        <f>IF($B70="Anulado",0,ROUND(IF(OR($B70="LOSS",$B70="OK"),IF(OR($C70="W",$C70="1/2W",$C70="1/2L"),P70-O70,IF($C70="L",-O70,0))+IF(OR($C71="W",$C71="1/2W",$C71="1/2L"),P71-O71,IF($C71="L",-O71,0))+IF(OR($C72="W",$C72="1/2W",$C72="1/2L"),P72-O72,IF($C72="L",-O72,0)),IF(AND(OR($C70="W",$C70="1/2W",$C70="1/2L"),C71="W"),P70+P71-SUM(O70:O72)+_xlfn.XLOOKUP("X",C70:C72,O70:O72,0),IF(AND(C70=TRUE,C72="W"),P70+P72-SUM(O70:O72),IF(AND(C71="W",C72="W"),P71+P72-SUM(O70:O72)+_xlfn.XLOOKUP("X",C70:C72,O70:O72,0),IF(L72&gt;0,IF(OR($C70="W",$C70="1/2W",$C70="1/2L"),P70-SUM(O70:O72)+_xlfn.XLOOKUP("X",C70:C72,O70:O72,0),IF(OR($C70="W",$C70="1/2W",$C70="1/2L"),P71-SUM(O70:O72)+_xlfn.XLOOKUP("X",C70:C72,O70:O72,0),IF(OR($C70="W",$C70="1/2W",$C70="1/2L"),P72-SUM(O70:O72)+_xlfn.XLOOKUP("X",C70:C72,O70:O72,0),IF(SUM(P70:P72)/3-SUM(O70:O72)+_xlfn.XLOOKUP("X",C70:C72,O70:O72,0)&gt;0,SUM(P70:P72)/3-SUM(O70:O72)+_xlfn.XLOOKUP("X",C70:C72,O70:O72,0),LARGE(P70:P72,1)-SUM(O70:O72))))),IF(OR($C70="W",$C70="1/2W",$C70="1/2L"),P70-SUM(O70:O71)+_xlfn.XLOOKUP("X",C70:C72,O70:O72,0),IF(OR($C70="W",$C70="1/2W",$C70="1/2L"),P71-SUM(O70:O71)+_xlfn.XLOOKUP("X",C70:C72,O70:O72,0),SUM(P70:P71)/2-SUM(O70:O71)+_xlfn.XLOOKUP("X",C70:C72,O70:O72,0)))))))),2))</f>
        <v>2.5099999999999998</v>
      </c>
      <c r="T70" s="486">
        <f>IF(S70=0,0,S70/SUM(O70:O72))</f>
        <v>8.2756346851302343E-2</v>
      </c>
      <c r="U70" s="496">
        <f>IF($D70=$D67,IF(OR($B70="LOSS",$B70="OK",$B70="Anulada"),S70,0)+U67,IF(OR($B70="LOSS",$B70="OK",$B70="Anulada"),S70,0))</f>
        <v>12.49</v>
      </c>
      <c r="V70" s="496">
        <f>IF($D70="",0,IF($D70=$D67,IF($B70=" ",IF(I72="",IF(OR(AND(I70="DNB1",I71="DNB2"),AND(OR(I70="DNB1",I70="DNB2"),J71=0),AND(OR(I71="DNB1",I71="DNB2"),J70=0),AND(I70="DNB2",I71="DNB1"),AND(IF(J70=0,(J70+1)/ROUND(J70+1,0),J70/ROUND(J70,0))=1,IF(J71=0,(J71+1)/ROUND(IF(J71="",0,J71)+1,0),IF(J71="",0,J71)/ROUND(IF(J71="",1,J71),0))=1,OR(J70&lt;&gt;""),J71&lt;&gt;"")),0,IF(S70&lt;0,IF(I72="",SMALL(P70:P71,1)-SUM(O70:O71),0),SMALL(P70:P71,1)-SUM(O70:O71))),IF(S70&lt;0,IF(I72="",SMALL(P70:P72,1)-SUM(O70:O72),0),LARGE(P70:P72,1)-SUM(O70:O72))),S70)+V67,IF(I72="",IF(OR(AND(I70="DNB1",I71="DNB2"),AND(OR(I70="DNB1",I70="DNB2"),J71=0),AND(OR(I71="DNB1",I71="DNB2"),J70=0),AND(I70="DNB2",I71="DNB1"),AND(IF(J70=0,(J70+1)/ROUND(J70+1,0),J70/ROUND(J70,0))=1,IF(J71=0,(IF(J71="",0,J71)+1)/ROUND(IF(J71="",0,J71)+1,0),IF(J71="",0,J71)/ROUND(IF(J71="",0,J71)+1,0))=1,OR(J70&lt;&gt;""),J71&lt;&gt;"")),0,IF(S70&lt;0,IF(I72="",SMALL(P70:P71,1)-SUM(O70:O71),0),SMALL(P70:P72,1)-SUM(O70:O72))),IF(S70&lt;0,IF(I72="",SMALL(P70:P72,1)-SUM(O70:O72),0),LARGE(P70:P72,1)-SUM(O70:O72)))))</f>
        <v>12.43</v>
      </c>
      <c r="W70" s="496">
        <f>IF($D70=$D67,IF(S70&lt;0,IF(I72="",S70,0),S70)+W67,S70)</f>
        <v>12.49</v>
      </c>
      <c r="X70" s="505" t="str">
        <f>IF(OR(SUM(R70:R72)=0,V70=W70),ROUND(IF(W70=0,0,W70/Y70)*100,2)&amp;"%",ROUND(IF(V70=0,0,V70/Y70)*100,2)&amp;"% a "&amp;ROUND(IF(W70=0,0,W70/Y70)*100,2)&amp;"%")</f>
        <v>4,48%</v>
      </c>
      <c r="Y70" s="497">
        <f>IF($D70=$D67,Y67+SUM(O70:O72),SUM(O70:O72))</f>
        <v>278.96999999999997</v>
      </c>
      <c r="Z70" s="496">
        <f>IF($B70=" ",SUM(O70:O72),0)+Z67</f>
        <v>0</v>
      </c>
      <c r="AA70" s="496">
        <f>IF(G70="","",IF($B70="Anulado",LARGE(P70:P72,1)-SUM(O70:O72)+AA67,AA67))</f>
        <v>0.45899999999999785</v>
      </c>
      <c r="AB70" s="496">
        <f>IF($D70="","",AB67+S70)</f>
        <v>41.139999999999993</v>
      </c>
      <c r="AC70" s="499">
        <f ca="1">IF($D70="","",IF($B70=" ",IF(DAY(G70)=DAY(TODAY()),1+AC67,0+AC67),0+AC67))</f>
        <v>0</v>
      </c>
      <c r="AD70" s="157">
        <f>(1-_xlfn.XLOOKUP(K68,'Fevereiro 2023 - Valor Real'!A3:A15,'Fevereiro 2023 - Valor Real'!C3:C15,0))+1</f>
        <v>2</v>
      </c>
      <c r="AE70" s="158">
        <f>IF(L70="","",IF(L72&gt;0,(SUM(((L70-1)*(1-_xlfn.XLOOKUP(K70,'Fevereiro 2023 - Valor Real'!A3:A15,'Fevereiro 2023 - Valor Real'!C3:C15,0))+1),((L71-1)*(1-_xlfn.XLOOKUP(K71,'Fevereiro 2023 - Valor Real'!A3:A15,'Fevereiro 2023 - Valor Real'!C3:C15,0))+1),((L72-1)*(1-_xlfn.XLOOKUP(K72,'Fevereiro 2023 - Valor Real'!A3:A15,'Fevereiro 2023 - Valor Real'!C3:C15,0))+1))/((L70-1)*(1-_xlfn.XLOOKUP(K70,'Fevereiro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Real'!C3:C15,0))+1))/((L70-1)*(1-_xlfn.XLOOKUP(K70,'Fevereiro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Real'!C3:C15,0))+1))/((L71-1)*(1-_xlfn.XLOOKUP(K71,'Fevereiro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Real'!C3:C15,0))+1))/((L72-1)*(1-_xlfn.XLOOKUP(K72,'Fevereiro 2023 - Valor Real'!A3:A15,'Fevereiro 2023 - Valor Real'!C3:C15,0))+1)),IF(I70="Lay",IF(I71="Lay",((L71/(L71-1)-1)*(1-_xlfn.XLOOKUP(K71,'Fevereiro 2023 - Valor Real'!A3:A15,'Fevereiro 2023 - Valor Real'!C3:C15,0))+1)/(((L71/(L71-1)-1)*(1-_xlfn.XLOOKUP(K71,'Fevereiro 2023 - Valor Real'!A3:A15,'Fevereiro 2023 - Valor Real'!C3:C15,0))+1)+((L70/(L70-1)-1)*(1-_xlfn.XLOOKUP(K70,'Fevereiro 2023 - Valor Real'!A3:A15,'Fevereiro 2023 - Valor Real'!C3:C15,0))+1)),((L71-1)*(1-_xlfn.XLOOKUP(K71,'Fevereiro 2023 - Valor Real'!A3:A15,'Fevereiro 2023 - Valor Real'!C3:C15,0))+1)/(((L71-1)*(1-_xlfn.XLOOKUP(K71,'Fevereiro 2023 - Valor Real'!A3:A15,'Fevereiro 2023 - Valor Real'!C3:C15,0))+1)+((L70/(L70-1)-1)*(1-_xlfn.XLOOKUP(K70,'Fevereiro 2023 - Valor Real'!A3:A15,'Fevereiro 2023 - Valor Real'!C3:C15,0))+1))),IF(I71="Lay",(((L71/(L71-1)-1)*(1-_xlfn.XLOOKUP(K71,'Fevereiro 2023 - Valor Real'!A3:A15,'Fevereiro 2023 - Valor Real'!C3:C15,0))+1))/(((L70-1)*(1-_xlfn.XLOOKUP(K70,'Fevereiro 2023 - Valor Real'!A3:A15,'Fevereiro 2023 - Valor Real'!C3:C15,0))+1)+((L71/(L71-1)-1)*(1-_xlfn.XLOOKUP(K71,'Fevereiro 2023 - Valor Real'!A3:A15,'Fevereiro 2023 - Valor Real'!C3:C15,0))+1)),((L71-1)*(1-_xlfn.XLOOKUP(K71,'Fevereiro 2023 - Valor Real'!A3:A15,'Fevereiro 2023 - Valor Real'!C3:C15,0))+1)/(((L71-1)*(1-_xlfn.XLOOKUP(K71,'Fevereiro 2023 - Valor Real'!A3:A15,'Fevereiro 2023 - Valor Real'!C3:C15,0))+1)+((L70-1)*(1-_xlfn.XLOOKUP(K70,'Fevereiro 2023 - Valor Real'!A3:A15,'Fevereiro 2023 - Valor Real'!C3:C15,0))+1))))))</f>
        <v>0.30884676145339651</v>
      </c>
      <c r="AF70" s="66">
        <f t="shared" si="122"/>
        <v>-9.33</v>
      </c>
      <c r="AG70" s="67">
        <f t="shared" si="122"/>
        <v>0</v>
      </c>
      <c r="AH70" s="67">
        <f t="shared" si="122"/>
        <v>0</v>
      </c>
      <c r="AI70" s="67">
        <f t="shared" si="122"/>
        <v>0</v>
      </c>
      <c r="AJ70" s="67">
        <f t="shared" si="122"/>
        <v>0</v>
      </c>
      <c r="AK70" s="67">
        <f t="shared" si="122"/>
        <v>0</v>
      </c>
      <c r="AL70" s="67">
        <f t="shared" si="122"/>
        <v>0</v>
      </c>
      <c r="AM70" s="67">
        <f t="shared" si="122"/>
        <v>0</v>
      </c>
      <c r="AN70" s="67">
        <f t="shared" si="122"/>
        <v>0</v>
      </c>
      <c r="AO70" s="67">
        <f t="shared" si="122"/>
        <v>0</v>
      </c>
      <c r="AP70" s="67">
        <f t="shared" si="122"/>
        <v>0</v>
      </c>
      <c r="AQ70" s="67">
        <f t="shared" si="122"/>
        <v>0</v>
      </c>
      <c r="AR70" s="68">
        <f t="shared" si="122"/>
        <v>0</v>
      </c>
      <c r="AS70" s="66">
        <f t="shared" ref="AS70:BE70" si="162">IF(AND($B70=" ",$K70=AS$3),$O70,0)</f>
        <v>0</v>
      </c>
      <c r="AT70" s="67">
        <f t="shared" si="162"/>
        <v>0</v>
      </c>
      <c r="AU70" s="67">
        <f t="shared" si="162"/>
        <v>0</v>
      </c>
      <c r="AV70" s="67">
        <f t="shared" si="162"/>
        <v>0</v>
      </c>
      <c r="AW70" s="67">
        <f t="shared" si="162"/>
        <v>0</v>
      </c>
      <c r="AX70" s="67">
        <f t="shared" si="162"/>
        <v>0</v>
      </c>
      <c r="AY70" s="69">
        <f t="shared" si="162"/>
        <v>0</v>
      </c>
      <c r="AZ70" s="70">
        <f t="shared" si="162"/>
        <v>0</v>
      </c>
      <c r="BA70" s="70">
        <f t="shared" si="162"/>
        <v>0</v>
      </c>
      <c r="BB70" s="70">
        <f t="shared" si="162"/>
        <v>0</v>
      </c>
      <c r="BC70" s="71">
        <f t="shared" si="162"/>
        <v>0</v>
      </c>
      <c r="BD70" s="67">
        <f t="shared" si="162"/>
        <v>0</v>
      </c>
      <c r="BE70" s="68">
        <f t="shared" si="162"/>
        <v>0</v>
      </c>
      <c r="BF70" s="66">
        <f t="shared" si="124"/>
        <v>9.33</v>
      </c>
      <c r="BG70" s="67">
        <f t="shared" si="124"/>
        <v>0</v>
      </c>
      <c r="BH70" s="67">
        <f t="shared" si="124"/>
        <v>0</v>
      </c>
      <c r="BI70" s="67">
        <f t="shared" si="124"/>
        <v>0</v>
      </c>
      <c r="BJ70" s="67">
        <f t="shared" si="124"/>
        <v>0</v>
      </c>
      <c r="BK70" s="67">
        <f t="shared" si="124"/>
        <v>0</v>
      </c>
      <c r="BL70" s="67">
        <f t="shared" si="124"/>
        <v>0</v>
      </c>
      <c r="BM70" s="69">
        <f t="shared" si="124"/>
        <v>0</v>
      </c>
      <c r="BN70" s="70">
        <f t="shared" si="124"/>
        <v>0</v>
      </c>
      <c r="BO70" s="70">
        <f t="shared" si="124"/>
        <v>0</v>
      </c>
      <c r="BP70" s="70">
        <f t="shared" si="124"/>
        <v>0</v>
      </c>
      <c r="BQ70" s="71">
        <f t="shared" si="124"/>
        <v>0</v>
      </c>
      <c r="BR70" s="68">
        <f t="shared" si="124"/>
        <v>0</v>
      </c>
      <c r="BS70" s="490">
        <f>IF($B70="LOSS",IF(AND($K70=BS$3,$C70="L"),-$O70,0)+IF(AND($K71=BS$3,$C71="L"),-$O71,0)+IF(AND($K72=BS$3,$C72="L"),-$O72,0),IF(OR(AND($K70=BS$3,OR($C70="W",$C70="1/2W")),AND($K71=BS$3,OR($C71="W",$C71="1/2W")),AND($K72=BS$3,OR($C72="W",$C72="1/2W"))),$S70,0))</f>
        <v>0</v>
      </c>
      <c r="BT70" s="498">
        <f>IF($B70="LOSS",IF(AND($K70=BT$3,$C70="L"),-$O70,0)+IF(AND($K71=BT$3,$C71="L"),-$O71,0)+IF(AND($K71=BT$3,$C72="L"),-$O72,0),IF(OR(AND($K71=BT$3,OR($C70="W",$C70="1/2W")),AND($K71=BT$3,OR($C71="W",$C71="1/2W")),AND($K71=BT$3,OR($C72="W",$C72="1/2W"))),$S70,0))</f>
        <v>0</v>
      </c>
      <c r="BU70" s="488">
        <f>IF($B70="LOSS",IF(AND($K70=BU$3,$C70="L"),-$O70,0)+IF(AND($K71=BU$3,$C71="L"),-$O71,0)+IF(AND($K71=BU$3,$C72="L"),-$O72,0),IF(OR(AND($K71=BU$3,OR($C70="W",$C70="1/2W")),AND($K71=BU$3,OR($C71="W",$C71="1/2W")),AND($K71=BU$3,OR($C72="W",$C72="1/2W"))),$S70,0))</f>
        <v>0</v>
      </c>
      <c r="BV70" s="488">
        <f t="shared" ref="BV70:CE70" si="163">IF($B70="LOSS",IF(AND($K70=BV$3,$C70="L"),-$O70,0)+IF(AND($K71=BV$3,$C71="L"),-$O71,0)+IF(AND($K72=BV$3,$C72="L"),-$O72,0),IF(OR(AND($K70=BV$3,OR($C70="W",$C70="1/2W")),AND($K71=BV$3,OR($C71="W",$C71="1/2W")),AND($K72=BV$3,OR($C72="W",$C72="1/2W"))),$S70,0))</f>
        <v>0</v>
      </c>
      <c r="BW70" s="488">
        <f t="shared" si="163"/>
        <v>0</v>
      </c>
      <c r="BX70" s="488">
        <f t="shared" si="163"/>
        <v>0</v>
      </c>
      <c r="BY70" s="488">
        <f t="shared" si="163"/>
        <v>0</v>
      </c>
      <c r="BZ70" s="488">
        <f t="shared" si="163"/>
        <v>2.5099999999999998</v>
      </c>
      <c r="CA70" s="488">
        <f t="shared" si="163"/>
        <v>0</v>
      </c>
      <c r="CB70" s="488">
        <f t="shared" si="163"/>
        <v>0</v>
      </c>
      <c r="CC70" s="488">
        <f t="shared" si="163"/>
        <v>0</v>
      </c>
      <c r="CD70" s="500">
        <f t="shared" si="163"/>
        <v>0</v>
      </c>
      <c r="CE70" s="504">
        <f t="shared" si="163"/>
        <v>0</v>
      </c>
      <c r="CF70" s="160">
        <f t="shared" si="131"/>
        <v>0</v>
      </c>
      <c r="CG70" s="161">
        <f t="shared" si="132"/>
        <v>1</v>
      </c>
      <c r="CH70" s="161">
        <f t="shared" si="133"/>
        <v>0</v>
      </c>
      <c r="CI70" s="161">
        <f t="shared" si="134"/>
        <v>0</v>
      </c>
      <c r="CJ70" s="161">
        <f t="shared" si="135"/>
        <v>0</v>
      </c>
      <c r="CK70" s="161">
        <f t="shared" si="136"/>
        <v>0</v>
      </c>
      <c r="CL70" s="161">
        <f t="shared" si="137"/>
        <v>0</v>
      </c>
      <c r="CM70" s="161">
        <f t="shared" si="138"/>
        <v>0</v>
      </c>
      <c r="CN70" s="161">
        <f t="shared" si="139"/>
        <v>0</v>
      </c>
      <c r="CO70" s="161">
        <f t="shared" si="140"/>
        <v>0</v>
      </c>
      <c r="CP70" s="161">
        <f t="shared" si="141"/>
        <v>0</v>
      </c>
      <c r="CQ70" s="161">
        <f t="shared" si="142"/>
        <v>0</v>
      </c>
      <c r="CR70" s="161">
        <f t="shared" si="143"/>
        <v>0</v>
      </c>
      <c r="CS70" s="161">
        <f t="shared" si="144"/>
        <v>0</v>
      </c>
      <c r="CT70" s="75">
        <f t="shared" si="145"/>
        <v>0</v>
      </c>
      <c r="CU70" s="76">
        <f t="shared" si="146"/>
        <v>0</v>
      </c>
      <c r="CV70" s="76">
        <f t="shared" si="147"/>
        <v>0</v>
      </c>
      <c r="CW70" s="76">
        <f t="shared" si="148"/>
        <v>0</v>
      </c>
      <c r="CX70" s="76">
        <f t="shared" si="149"/>
        <v>0</v>
      </c>
      <c r="CY70" s="76">
        <f t="shared" si="150"/>
        <v>0</v>
      </c>
      <c r="CZ70" s="76">
        <f t="shared" si="151"/>
        <v>0</v>
      </c>
      <c r="DA70" s="76">
        <f t="shared" si="152"/>
        <v>0</v>
      </c>
      <c r="DB70" s="76">
        <f t="shared" si="153"/>
        <v>0</v>
      </c>
      <c r="DC70" s="76">
        <f t="shared" si="154"/>
        <v>0</v>
      </c>
      <c r="DD70" s="76">
        <f t="shared" si="155"/>
        <v>0</v>
      </c>
      <c r="DE70" s="77">
        <f t="shared" si="156"/>
        <v>0</v>
      </c>
      <c r="DF70" s="73">
        <f t="shared" si="158"/>
        <v>10</v>
      </c>
      <c r="DG70" s="67">
        <f t="shared" si="159"/>
        <v>13.350000000000001</v>
      </c>
      <c r="DH70" s="76">
        <f t="shared" si="160"/>
        <v>0</v>
      </c>
      <c r="DI70" s="67">
        <f t="shared" si="161"/>
        <v>0</v>
      </c>
      <c r="DJ70" s="202" t="str">
        <f>IF($D70="","",$D70)</f>
        <v>2</v>
      </c>
      <c r="DK70" s="492">
        <f>IF(AND($B70=" ",$D70&lt;&gt;""),1,0)</f>
        <v>0</v>
      </c>
    </row>
    <row r="71" spans="1:115" ht="14.5" customHeight="1" x14ac:dyDescent="0.2">
      <c r="A71" s="389"/>
      <c r="B71" s="456"/>
      <c r="C71" s="53" t="s">
        <v>54</v>
      </c>
      <c r="D71" s="374"/>
      <c r="E71" s="386"/>
      <c r="F71" s="377"/>
      <c r="G71" s="508"/>
      <c r="H71" s="476"/>
      <c r="I71" s="162">
        <v>1</v>
      </c>
      <c r="J71" s="163" t="str">
        <f>IF(OR(I70="TO",I70="TU",I70="TO1",I70="TU1",I70="TO2",I70="TU2"),J70,IF(OR(I70="AH1",I70="AH2"),IF(OR(I71="AH1",I71="AH2"),-J70,IF(OR(I71="EH1",I71="EH2"),-J70+0.5,"")),IF(OR(I70="EH1",I70="EH2"),IF(OR(I71="AH1",I71="AH2"),-J70+0.5,IF(OR(I71="EH1",I71="EH2"),-J70+1,"")),IF(AND(OR(I70="DNB1",I70="DNB2"),OR(I71="AH1",I71="AH2")),0,IF(AND(I70="Not ScoreBoth",OR(I71="TO1",I71="TO2")),0.5,"")))))</f>
        <v/>
      </c>
      <c r="K71" s="57" t="s">
        <v>43</v>
      </c>
      <c r="L71" s="164">
        <v>1.5640000000000001</v>
      </c>
      <c r="M71" s="165"/>
      <c r="N71" s="406"/>
      <c r="O71" s="60">
        <f>IF(OR(AE70="",AE71=""),"",ROUND(IF(L72&gt;0,IF(M71&gt;0,M71,IF(M70&gt;0,IF(N70=TRUE,ROUND((M70*AE71)/AE70,0),(M70*AE71)/AE70),IF(M71&gt;0,ROUND(M71,IF(N70=0,2,IF(N70=0.1,1,0))),IF(M72&gt;0,ROUND(O72*AE71/AE72,IF(N70=0,2,IF(N70=0.1,1,0))),0)))),IF(M71&gt;0,M71,ROUND((M70*AE71)/AE70,IF(N70=0,2,IF(N70=0.1,1,0))))),2))</f>
        <v>21</v>
      </c>
      <c r="P71" s="61">
        <f>IF(OR(L71="",O71=""),"",IF($C71="1/2W",O71/2+O71/2*L71,IF($C71="1/2L",O71/2,IF(I71="Lay",((O71*(L71/(L71-1)))-O71)*(1-_xlfn.XLOOKUP(K71,'Fevereiro 2023 - Valor Real'!A3:A15,'Fevereiro 2023 - Valor Real'!C3:C15,0))+O71,(O71*L71-O71)*(1-_xlfn.XLOOKUP(K71,'Fevereiro 2023 - Valor Real'!A3:A15,'Fevereiro 2023 - Valor Real'!C3:C15,0))+O71))))</f>
        <v>32.844000000000001</v>
      </c>
      <c r="Q71" s="166">
        <f>IF(K71="","",IF(_xlfn.XLOOKUP(K71,K$4:K70,$DJ$4:DJ70,0,,-1)=DJ71,_xlfn.XLOOKUP(K71,K$4:K70,Q$4:Q70,1,,-1)+1,1))</f>
        <v>2</v>
      </c>
      <c r="R71" s="167">
        <f>IF(K71="","",_xlfn.XLOOKUP(K71,K$4:K70,R$4:R70,0,,-1)+IF($C71=" ",1,0))</f>
        <v>0</v>
      </c>
      <c r="S71" s="403"/>
      <c r="T71" s="380"/>
      <c r="U71" s="380"/>
      <c r="V71" s="481"/>
      <c r="W71" s="380"/>
      <c r="X71" s="452"/>
      <c r="Y71" s="383"/>
      <c r="Z71" s="384"/>
      <c r="AA71" s="384"/>
      <c r="AB71" s="384"/>
      <c r="AC71" s="384"/>
      <c r="AD71" s="64"/>
      <c r="AE71" s="65">
        <f>IF(L71="","",IF(L72&gt;0,(SUM(((L70-1)*(1-_xlfn.XLOOKUP(K70,'Fevereiro 2023 - Valor Real'!A3:A15,'Fevereiro 2023 - Valor Real'!C3:C15,0))+1),((L71-1)*(1-_xlfn.XLOOKUP(K71,'Fevereiro 2023 - Valor Real'!A3:A15,'Fevereiro 2023 - Valor Real'!C3:C15,0))+1),((L72-1)*(1-_xlfn.XLOOKUP(K72,'Fevereiro 2023 - Valor Real'!A3:A15,'Fevereiro 2023 - Valor Real'!C3:C15,0))+1))/((L71-1)*(1-_xlfn.XLOOKUP(K71,'Fevereiro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Real'!C3:C15,0))+1))/((L70-1)*(1-_xlfn.XLOOKUP(K70,'Fevereiro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Real'!C3:C15,0))+1))/((L71-1)*(1-_xlfn.XLOOKUP(K71,'Fevereiro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Real'!C3:C15,0))+1))/((L72-1)*(1-_xlfn.XLOOKUP(K72,'Fevereiro 2023 - Valor Real'!A3:A15,'Fevereiro 2023 - Valor Real'!C3:C15,0))+1)),IF(I71="Lay",IF(I70="Lay",((L70/(L70-1)-1)*(1-_xlfn.XLOOKUP(K70,'Fevereiro 2023 - Valor Real'!A3:A15,'Fevereiro 2023 - Valor Real'!C3:C15,0))+1)/(((L70/(L70-1)-1)*(1-_xlfn.XLOOKUP(K70,'Fevereiro 2023 - Valor Real'!A3:A15,'Fevereiro 2023 - Valor Real'!C3:C15,0))+1)+((L71/(L71-1)-1)*(1-_xlfn.XLOOKUP(K71,'Fevereiro 2023 - Valor Real'!A3:A15,'Fevereiro 2023 - Valor Real'!C3:C15,0))+1)),((L70-1)*(1-_xlfn.XLOOKUP(K70,'Fevereiro 2023 - Valor Real'!A3:A15,'Fevereiro 2023 - Valor Real'!C3:C15,0))+1)/(((L70-1)*(1-_xlfn.XLOOKUP(K70,'Fevereiro 2023 - Valor Real'!A3:A15,'Fevereiro 2023 - Valor Real'!C3:C15,0))+1)+((L71/(L71-1)-1)*(1-_xlfn.XLOOKUP(K71,'Fevereiro 2023 - Valor Real'!A3:A15,'Fevereiro 2023 - Valor Real'!C3:C15,0))+1))),IF(I70="Lay",((L70/(L70-1)-1)*(1-_xlfn.XLOOKUP(K70,'Fevereiro 2023 - Valor Real'!A3:A15,'Fevereiro 2023 - Valor Real'!C3:C15,0))+1)/((((L70/(L70-1)-1)*(1-_xlfn.XLOOKUP(K70,'Fevereiro 2023 - Valor Real'!A3:A15,'Fevereiro 2023 - Valor Real'!C3:C15,0))+1))+((L71-1)*(1-_xlfn.XLOOKUP(K71,'Fevereiro 2023 - Valor Real'!A3:A15,'Fevereiro 2023 - Valor Real'!C3:C15,0))+1)),((L70-1)*(1-_xlfn.XLOOKUP(K70,'Fevereiro 2023 - Valor Real'!A3:A15,'Fevereiro 2023 - Valor Real'!C3:C15,0))+1)/(((L70-1)*(1-_xlfn.XLOOKUP(K70,'Fevereiro 2023 - Valor Real'!A3:A15,'Fevereiro 2023 - Valor Real'!C3:C15,0))+1)+((L71-1)*(1-_xlfn.XLOOKUP(K71,'Fevereiro 2023 - Valor Real'!A3:A15,'Fevereiro 2023 - Valor Real'!C3:C15,0))+1))))))</f>
        <v>0.69115323854660349</v>
      </c>
      <c r="AF71" s="66">
        <f t="shared" si="122"/>
        <v>0</v>
      </c>
      <c r="AG71" s="67">
        <f t="shared" si="122"/>
        <v>0</v>
      </c>
      <c r="AH71" s="67">
        <f t="shared" si="122"/>
        <v>0</v>
      </c>
      <c r="AI71" s="67">
        <f t="shared" si="122"/>
        <v>0</v>
      </c>
      <c r="AJ71" s="67">
        <f t="shared" si="122"/>
        <v>0</v>
      </c>
      <c r="AK71" s="67">
        <f t="shared" si="122"/>
        <v>0</v>
      </c>
      <c r="AL71" s="67">
        <f t="shared" si="122"/>
        <v>0</v>
      </c>
      <c r="AM71" s="67">
        <f t="shared" si="122"/>
        <v>11.84</v>
      </c>
      <c r="AN71" s="67">
        <f t="shared" si="122"/>
        <v>0</v>
      </c>
      <c r="AO71" s="67">
        <f t="shared" si="122"/>
        <v>0</v>
      </c>
      <c r="AP71" s="67">
        <f t="shared" si="122"/>
        <v>0</v>
      </c>
      <c r="AQ71" s="67">
        <f t="shared" si="122"/>
        <v>0</v>
      </c>
      <c r="AR71" s="68">
        <f t="shared" si="122"/>
        <v>0</v>
      </c>
      <c r="AS71" s="66">
        <f>IF(AND($B70=" ",$K71=AS$3),$O71,0)</f>
        <v>0</v>
      </c>
      <c r="AT71" s="67">
        <f>IF(AND($B70=" ",K71=AT$3),$O71,0)</f>
        <v>0</v>
      </c>
      <c r="AU71" s="67">
        <f t="shared" ref="AU71:BE71" si="164">IF(AND($B70=" ",$K71=AU$3),$O71,0)</f>
        <v>0</v>
      </c>
      <c r="AV71" s="67">
        <f t="shared" si="164"/>
        <v>0</v>
      </c>
      <c r="AW71" s="67">
        <f t="shared" si="164"/>
        <v>0</v>
      </c>
      <c r="AX71" s="67">
        <f t="shared" si="164"/>
        <v>0</v>
      </c>
      <c r="AY71" s="69">
        <f t="shared" si="164"/>
        <v>0</v>
      </c>
      <c r="AZ71" s="70">
        <f t="shared" si="164"/>
        <v>0</v>
      </c>
      <c r="BA71" s="70">
        <f t="shared" si="164"/>
        <v>0</v>
      </c>
      <c r="BB71" s="70">
        <f t="shared" si="164"/>
        <v>0</v>
      </c>
      <c r="BC71" s="71">
        <f t="shared" si="164"/>
        <v>0</v>
      </c>
      <c r="BD71" s="67">
        <f t="shared" si="164"/>
        <v>0</v>
      </c>
      <c r="BE71" s="68">
        <f t="shared" si="164"/>
        <v>0</v>
      </c>
      <c r="BF71" s="66">
        <f t="shared" si="124"/>
        <v>0</v>
      </c>
      <c r="BG71" s="168">
        <f t="shared" si="124"/>
        <v>0</v>
      </c>
      <c r="BH71" s="67">
        <f t="shared" si="124"/>
        <v>0</v>
      </c>
      <c r="BI71" s="67">
        <f t="shared" si="124"/>
        <v>0</v>
      </c>
      <c r="BJ71" s="67">
        <f t="shared" si="124"/>
        <v>0</v>
      </c>
      <c r="BK71" s="67">
        <f t="shared" si="124"/>
        <v>0</v>
      </c>
      <c r="BL71" s="67">
        <f t="shared" si="124"/>
        <v>0</v>
      </c>
      <c r="BM71" s="69">
        <f t="shared" si="124"/>
        <v>21</v>
      </c>
      <c r="BN71" s="70">
        <f t="shared" si="124"/>
        <v>0</v>
      </c>
      <c r="BO71" s="70">
        <f t="shared" si="124"/>
        <v>0</v>
      </c>
      <c r="BP71" s="70">
        <f t="shared" si="124"/>
        <v>0</v>
      </c>
      <c r="BQ71" s="71">
        <f t="shared" si="124"/>
        <v>0</v>
      </c>
      <c r="BR71" s="68">
        <f t="shared" si="124"/>
        <v>0</v>
      </c>
      <c r="BS71" s="491"/>
      <c r="BT71" s="489"/>
      <c r="BU71" s="392"/>
      <c r="BV71" s="489"/>
      <c r="BW71" s="392"/>
      <c r="BX71" s="392"/>
      <c r="BY71" s="392"/>
      <c r="BZ71" s="489"/>
      <c r="CA71" s="392"/>
      <c r="CB71" s="392"/>
      <c r="CC71" s="392"/>
      <c r="CD71" s="401"/>
      <c r="CE71" s="409"/>
      <c r="CF71" s="169">
        <f t="shared" si="131"/>
        <v>0</v>
      </c>
      <c r="CG71" s="170">
        <f t="shared" si="132"/>
        <v>0</v>
      </c>
      <c r="CH71" s="170">
        <f t="shared" si="133"/>
        <v>0</v>
      </c>
      <c r="CI71" s="170">
        <f t="shared" si="134"/>
        <v>0</v>
      </c>
      <c r="CJ71" s="170">
        <f t="shared" si="135"/>
        <v>0</v>
      </c>
      <c r="CK71" s="170">
        <f t="shared" si="136"/>
        <v>0</v>
      </c>
      <c r="CL71" s="170">
        <f t="shared" si="137"/>
        <v>0</v>
      </c>
      <c r="CM71" s="170">
        <f t="shared" si="138"/>
        <v>0</v>
      </c>
      <c r="CN71" s="170">
        <f t="shared" si="139"/>
        <v>0</v>
      </c>
      <c r="CO71" s="170">
        <f t="shared" si="140"/>
        <v>0</v>
      </c>
      <c r="CP71" s="170">
        <f t="shared" si="141"/>
        <v>0</v>
      </c>
      <c r="CQ71" s="170">
        <f t="shared" si="142"/>
        <v>0</v>
      </c>
      <c r="CR71" s="170">
        <f t="shared" si="143"/>
        <v>0</v>
      </c>
      <c r="CS71" s="170">
        <f t="shared" si="144"/>
        <v>0</v>
      </c>
      <c r="CT71" s="75">
        <f t="shared" si="145"/>
        <v>1</v>
      </c>
      <c r="CU71" s="76">
        <f t="shared" si="146"/>
        <v>0</v>
      </c>
      <c r="CV71" s="76">
        <f t="shared" si="147"/>
        <v>0</v>
      </c>
      <c r="CW71" s="76">
        <f t="shared" si="148"/>
        <v>0</v>
      </c>
      <c r="CX71" s="76">
        <f t="shared" si="149"/>
        <v>0</v>
      </c>
      <c r="CY71" s="76">
        <f t="shared" si="150"/>
        <v>0</v>
      </c>
      <c r="CZ71" s="76">
        <f t="shared" si="151"/>
        <v>0</v>
      </c>
      <c r="DA71" s="76">
        <f t="shared" si="152"/>
        <v>0</v>
      </c>
      <c r="DB71" s="76">
        <f t="shared" si="153"/>
        <v>0</v>
      </c>
      <c r="DC71" s="76">
        <f t="shared" si="154"/>
        <v>0</v>
      </c>
      <c r="DD71" s="76">
        <f t="shared" si="155"/>
        <v>0</v>
      </c>
      <c r="DE71" s="77">
        <f t="shared" si="156"/>
        <v>0</v>
      </c>
      <c r="DF71" s="73">
        <f t="shared" si="158"/>
        <v>10</v>
      </c>
      <c r="DG71" s="67">
        <f t="shared" si="159"/>
        <v>13.350000000000001</v>
      </c>
      <c r="DH71" s="76">
        <f t="shared" si="160"/>
        <v>0</v>
      </c>
      <c r="DI71" s="67">
        <f t="shared" si="161"/>
        <v>0</v>
      </c>
      <c r="DJ71" s="202" t="str">
        <f>IF($D70="","",$D70)</f>
        <v>2</v>
      </c>
      <c r="DK71" s="493"/>
    </row>
    <row r="72" spans="1:115" ht="14.5" customHeight="1" x14ac:dyDescent="0.2">
      <c r="A72" s="390"/>
      <c r="B72" s="457"/>
      <c r="C72" s="79" t="s">
        <v>53</v>
      </c>
      <c r="D72" s="375"/>
      <c r="E72" s="387"/>
      <c r="F72" s="378"/>
      <c r="G72" s="508"/>
      <c r="H72" s="477"/>
      <c r="I72" s="171"/>
      <c r="J72" s="172"/>
      <c r="K72" s="81"/>
      <c r="L72" s="173"/>
      <c r="M72" s="174"/>
      <c r="N72" s="407"/>
      <c r="O72" s="86" t="str">
        <f>IF(OR(AE70="",AE71=""),"",IF(L72&gt;0,ROUND(IF(M72&gt;0,M72,IF(M70&gt;0,ROUND((M70*AE72)/AE70,IF(N70=0,2,IF(N70=0.1,1,0))),IF(M71&gt;0,ROUND((M71*AE72)/AE71,IF(N70=0,2,IF(N70=0.1,1,0))),IF(M72&gt;0,M72,0)))),2),""))</f>
        <v/>
      </c>
      <c r="P72" s="87" t="str">
        <f>IF(I71="Lay",O71*(L71/(L71-1))-O71,IF(I70="Lay",O70*(L70/(L70-1))-O70,IF(OR(L72="",O72=""),"",IF($C72="1/2W",O72/2+O72/2*L72,IF($C72="1/2L",O72/2,(O72*L72-O72)*(1-_xlfn.XLOOKUP(K72,'Fevereiro 2023 - Valor Real'!A3:A15,'Fevereiro 2023 - Valor Real'!C3:C15,0))+O72)))))</f>
        <v/>
      </c>
      <c r="Q72" s="54" t="str">
        <f>IF(K72="","",IF(_xlfn.XLOOKUP(K72,K$4:K71,$DJ$4:DJ71,0,,-1)=DJ72,_xlfn.XLOOKUP(K72,K$4:K71,Q$4:Q71,1,,-1)+1,1))</f>
        <v/>
      </c>
      <c r="R72" s="87" t="str">
        <f>IF(K72="","",_xlfn.XLOOKUP(K72,K$4:K71,R$4:R71,0,,-1)+IF($C72=" ",1,0))</f>
        <v/>
      </c>
      <c r="S72" s="404"/>
      <c r="T72" s="378"/>
      <c r="U72" s="378"/>
      <c r="V72" s="404"/>
      <c r="W72" s="378"/>
      <c r="X72" s="453"/>
      <c r="Y72" s="383"/>
      <c r="Z72" s="384"/>
      <c r="AA72" s="384"/>
      <c r="AB72" s="384"/>
      <c r="AC72" s="384"/>
      <c r="AD72" s="90"/>
      <c r="AE72" s="91" t="str">
        <f>IF(L72="","",(SUM(((L70-1)*(1-_xlfn.XLOOKUP(K70,'Fevereiro 2023 - Valor Real'!A3:A15,'Fevereiro 2023 - Valor Real'!C3:C15,0))+1),((L71-1)*(1-_xlfn.XLOOKUP(K71,'Fevereiro 2023 - Valor Real'!A3:A15,'Fevereiro 2023 - Valor Real'!C3:C15,0))+1),((L72-1)*(1-_xlfn.XLOOKUP(K72,'Fevereiro 2023 - Valor Real'!A3:A15,'Fevereiro 2023 - Valor Real'!C3:C15,0))+1))/((L72-1)*(1-_xlfn.XLOOKUP(K72,'Fevereiro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Real'!C3:C15,0))+1))/((L70-1)*(1-_xlfn.XLOOKUP(K70,'Fevereiro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Real'!C3:C15,0))+1))/((L71-1)*(1-_xlfn.XLOOKUP(K71,'Fevereiro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Real'!C3:C15,0))+1))/((L72-1)*(1-_xlfn.XLOOKUP(K72,'Fevereiro 2023 - Valor Real'!A3:A15,'Fevereiro 2023 - Valor Real'!C3:C15,0))+1)))</f>
        <v/>
      </c>
      <c r="AF72" s="66">
        <f t="shared" si="122"/>
        <v>0</v>
      </c>
      <c r="AG72" s="67">
        <f t="shared" si="122"/>
        <v>0</v>
      </c>
      <c r="AH72" s="67">
        <f t="shared" si="122"/>
        <v>0</v>
      </c>
      <c r="AI72" s="67">
        <f t="shared" si="122"/>
        <v>0</v>
      </c>
      <c r="AJ72" s="67">
        <f t="shared" si="122"/>
        <v>0</v>
      </c>
      <c r="AK72" s="67">
        <f t="shared" si="122"/>
        <v>0</v>
      </c>
      <c r="AL72" s="67">
        <f t="shared" si="122"/>
        <v>0</v>
      </c>
      <c r="AM72" s="67">
        <f t="shared" si="122"/>
        <v>0</v>
      </c>
      <c r="AN72" s="67">
        <f t="shared" si="122"/>
        <v>0</v>
      </c>
      <c r="AO72" s="67">
        <f t="shared" si="122"/>
        <v>0</v>
      </c>
      <c r="AP72" s="67">
        <f t="shared" si="122"/>
        <v>0</v>
      </c>
      <c r="AQ72" s="67">
        <f t="shared" si="122"/>
        <v>0</v>
      </c>
      <c r="AR72" s="68">
        <f t="shared" si="122"/>
        <v>0</v>
      </c>
      <c r="AS72" s="66">
        <f>IF(AND($B70=" ",$K72=AS$3),$O72,0)</f>
        <v>0</v>
      </c>
      <c r="AT72" s="67">
        <f>IF(AND($B70=" ",K72=AT$3),$O72,0)</f>
        <v>0</v>
      </c>
      <c r="AU72" s="67">
        <f t="shared" ref="AU72:BE72" si="165">IF(AND($B70=" ",$K72=AU$3),$O72,0)</f>
        <v>0</v>
      </c>
      <c r="AV72" s="67">
        <f t="shared" si="165"/>
        <v>0</v>
      </c>
      <c r="AW72" s="67">
        <f t="shared" si="165"/>
        <v>0</v>
      </c>
      <c r="AX72" s="67">
        <f t="shared" si="165"/>
        <v>0</v>
      </c>
      <c r="AY72" s="69">
        <f t="shared" si="165"/>
        <v>0</v>
      </c>
      <c r="AZ72" s="70">
        <f t="shared" si="165"/>
        <v>0</v>
      </c>
      <c r="BA72" s="70">
        <f t="shared" si="165"/>
        <v>0</v>
      </c>
      <c r="BB72" s="70">
        <f t="shared" si="165"/>
        <v>0</v>
      </c>
      <c r="BC72" s="71">
        <f t="shared" si="165"/>
        <v>0</v>
      </c>
      <c r="BD72" s="67">
        <f t="shared" si="165"/>
        <v>0</v>
      </c>
      <c r="BE72" s="68">
        <f t="shared" si="165"/>
        <v>0</v>
      </c>
      <c r="BF72" s="66">
        <f t="shared" si="124"/>
        <v>0</v>
      </c>
      <c r="BG72" s="168">
        <f t="shared" si="124"/>
        <v>0</v>
      </c>
      <c r="BH72" s="67">
        <f t="shared" si="124"/>
        <v>0</v>
      </c>
      <c r="BI72" s="67">
        <f t="shared" si="124"/>
        <v>0</v>
      </c>
      <c r="BJ72" s="67">
        <f t="shared" si="124"/>
        <v>0</v>
      </c>
      <c r="BK72" s="67">
        <f t="shared" si="124"/>
        <v>0</v>
      </c>
      <c r="BL72" s="67">
        <f t="shared" si="124"/>
        <v>0</v>
      </c>
      <c r="BM72" s="69">
        <f t="shared" si="124"/>
        <v>0</v>
      </c>
      <c r="BN72" s="70">
        <f t="shared" si="124"/>
        <v>0</v>
      </c>
      <c r="BO72" s="70">
        <f t="shared" si="124"/>
        <v>0</v>
      </c>
      <c r="BP72" s="70">
        <f t="shared" si="124"/>
        <v>0</v>
      </c>
      <c r="BQ72" s="71">
        <f t="shared" si="124"/>
        <v>0</v>
      </c>
      <c r="BR72" s="68">
        <f t="shared" si="124"/>
        <v>0</v>
      </c>
      <c r="BS72" s="491"/>
      <c r="BT72" s="489"/>
      <c r="BU72" s="392"/>
      <c r="BV72" s="489"/>
      <c r="BW72" s="392"/>
      <c r="BX72" s="392"/>
      <c r="BY72" s="392"/>
      <c r="BZ72" s="489"/>
      <c r="CA72" s="392"/>
      <c r="CB72" s="392"/>
      <c r="CC72" s="392"/>
      <c r="CD72" s="401"/>
      <c r="CE72" s="409"/>
      <c r="CF72" s="169">
        <f t="shared" si="131"/>
        <v>0</v>
      </c>
      <c r="CG72" s="170">
        <f t="shared" si="132"/>
        <v>0</v>
      </c>
      <c r="CH72" s="170">
        <f t="shared" si="133"/>
        <v>0</v>
      </c>
      <c r="CI72" s="170">
        <f t="shared" si="134"/>
        <v>0</v>
      </c>
      <c r="CJ72" s="170">
        <f t="shared" si="135"/>
        <v>0</v>
      </c>
      <c r="CK72" s="170">
        <f t="shared" si="136"/>
        <v>0</v>
      </c>
      <c r="CL72" s="170">
        <f t="shared" si="137"/>
        <v>0</v>
      </c>
      <c r="CM72" s="170">
        <f t="shared" si="138"/>
        <v>0</v>
      </c>
      <c r="CN72" s="170">
        <f t="shared" si="139"/>
        <v>0</v>
      </c>
      <c r="CO72" s="170">
        <f t="shared" si="140"/>
        <v>0</v>
      </c>
      <c r="CP72" s="170">
        <f t="shared" si="141"/>
        <v>0</v>
      </c>
      <c r="CQ72" s="170">
        <f t="shared" si="142"/>
        <v>0</v>
      </c>
      <c r="CR72" s="170">
        <f t="shared" si="143"/>
        <v>0</v>
      </c>
      <c r="CS72" s="170">
        <f t="shared" si="144"/>
        <v>0</v>
      </c>
      <c r="CT72" s="75">
        <f t="shared" si="145"/>
        <v>0</v>
      </c>
      <c r="CU72" s="76">
        <f t="shared" si="146"/>
        <v>0</v>
      </c>
      <c r="CV72" s="76">
        <f t="shared" si="147"/>
        <v>0</v>
      </c>
      <c r="CW72" s="76">
        <f t="shared" si="148"/>
        <v>0</v>
      </c>
      <c r="CX72" s="76">
        <f t="shared" si="149"/>
        <v>0</v>
      </c>
      <c r="CY72" s="76">
        <f t="shared" si="150"/>
        <v>0</v>
      </c>
      <c r="CZ72" s="76">
        <f t="shared" si="151"/>
        <v>0</v>
      </c>
      <c r="DA72" s="76">
        <f t="shared" si="152"/>
        <v>0</v>
      </c>
      <c r="DB72" s="76">
        <f t="shared" si="153"/>
        <v>0</v>
      </c>
      <c r="DC72" s="76">
        <f t="shared" si="154"/>
        <v>0</v>
      </c>
      <c r="DD72" s="76">
        <f t="shared" si="155"/>
        <v>0</v>
      </c>
      <c r="DE72" s="77">
        <f t="shared" si="156"/>
        <v>0</v>
      </c>
      <c r="DF72" s="73">
        <f t="shared" si="158"/>
        <v>10</v>
      </c>
      <c r="DG72" s="67">
        <f t="shared" si="159"/>
        <v>13.350000000000001</v>
      </c>
      <c r="DH72" s="76">
        <f t="shared" si="160"/>
        <v>0</v>
      </c>
      <c r="DI72" s="67">
        <f t="shared" si="161"/>
        <v>0</v>
      </c>
      <c r="DJ72" s="202" t="str">
        <f>IF($D70="","",$D70)</f>
        <v>2</v>
      </c>
      <c r="DK72" s="493"/>
    </row>
    <row r="73" spans="1:115" ht="14.5" customHeight="1" x14ac:dyDescent="0.2">
      <c r="A73" s="459">
        <f>$A70+1</f>
        <v>24</v>
      </c>
      <c r="B73" s="507" t="str">
        <f>IF(OR(C73="W",C74="W",C75="W",C73="1/2W",C74="1/2W",C75="1/2W",C73="1/2L",C74="1/2L",C75="1/2L"),"OK",IF(OR(C73="L",C74="L",C75="L"),"LOSS",IF(OR(C73="X",C74="X",C75="X"),"Anulado"," ")))</f>
        <v>OK</v>
      </c>
      <c r="C73" s="93" t="s">
        <v>54</v>
      </c>
      <c r="D73" s="468" t="str">
        <f>IF(G73="","",$D70)</f>
        <v>2</v>
      </c>
      <c r="E73" s="485" t="str">
        <f>IF(G73=""," ","– "&amp;COUNTIF(D$4:D75,$D73))</f>
        <v>– 7</v>
      </c>
      <c r="F73" s="509" t="str">
        <f ca="1">IF(G73="","",IF(OR(AND($C73&lt;&gt;" ",$C74=" "),AND($C74&lt;&gt;" ",$C73=" "),AND(L75&gt;0,OR(AND($C75&lt;&gt;" ",OR($C73=" ",$C74=" ")),AND($C75=" ",OR($C73&lt;&gt;" ",$C74&lt;&gt;" "))))),IF(SUM(F$4:F72)=0,1,LARGE(F$4:F72,1)+1),IF(MONTH(G73)=MONTH(TODAY()),IF(AND(DAY(G73)&lt;DAY(TODAY()),$B73=" "),IF(SUM(F$4:F72)=0,1,LARGE(F$4:F72,1)+1),IF($B73=" ",IF(AND(DAY(G73)=DAY(TODAY()),HOUR(G73)&lt;=HOUR(NOW())+1),IF(AND(HOUR(G73)+2&lt;=HOUR(NOW()),DAY(G73)&lt;=DAY(TODAY()),MINUTE(G73)&lt;=MINUTE(NOW())),IF(SUM(F$4:F72)=0,1,LARGE(F$4:F72,1)+1),IF(OR(MINUTE(G73)&lt;=MINUTE(NOW()),HOUR(G73)&lt;=HOUR(NOW())),"!!!","")),""),"")),"")))</f>
        <v/>
      </c>
      <c r="G73" s="482">
        <v>44989.208333333336</v>
      </c>
      <c r="H73" s="475" t="s">
        <v>79</v>
      </c>
      <c r="I73" s="94" t="s">
        <v>61</v>
      </c>
      <c r="J73" s="176"/>
      <c r="K73" s="96" t="s">
        <v>39</v>
      </c>
      <c r="L73" s="97">
        <v>3.2</v>
      </c>
      <c r="M73" s="98">
        <v>5.53</v>
      </c>
      <c r="N73" s="478">
        <v>0.1</v>
      </c>
      <c r="O73" s="99">
        <f>IF(OR(AE73="",AE74=""),"",ROUND(IF(L75&gt;0,IF(M73&gt;0,M73,IF(M74&gt;0,ROUND((M74*AE73)/AE74,IF(N73=0,2,IF(N73=0.1,1,0))),ROUND((M75*AE73)/AE75,IF(N73=0,2,IF(N73=0.1,1,0))))),IF(M73&gt;0,M73,ROUND((M74*AE73)/AE74,IF(N73=0,2,IF(N73=0.1,1,0))))),2))</f>
        <v>5.53</v>
      </c>
      <c r="P73" s="100">
        <f>IF(OR(L73="",O73=""),"",IF($C73="1/2W",O73/2+O73/2*L73,IF($C73="1/2L",O73/2,IF(I73="Lay",(O73*(L73/(L73-1))-O73)*(1-_xlfn.XLOOKUP(K73,'Fevereiro 2023 - Valor Real'!A3:A15,'Fevereiro 2023 - Valor Real'!C3:C15,0))+O73,(O73*L73-O73)*(1-_xlfn.XLOOKUP(K73,'Fevereiro 2023 - Valor Real'!A3:A15,'Fevereiro 2023 - Valor Real'!C3:C15,0))+O73))))</f>
        <v>17.696000000000002</v>
      </c>
      <c r="Q73" s="101">
        <f>IF(K73="","",IF(_xlfn.XLOOKUP(K73,K$4:K72,$DJ$4:DJ72,0,,-1)=DJ73,_xlfn.XLOOKUP(K73,K$4:K72,Q$4:Q72,1,,-1)+1,1))</f>
        <v>1</v>
      </c>
      <c r="R73" s="102">
        <f>IF(K73="","",_xlfn.XLOOKUP(K73,K$4:K72,R$4:R72,0,,-1)+IF($C73=" ",1,0))</f>
        <v>0</v>
      </c>
      <c r="S73" s="474">
        <f>IF($B73="Anulado",0,ROUND(IF(OR($B73="LOSS",$B73="OK"),IF(OR($C73="W",$C73="1/2W",$C73="1/2L"),P73-O73,IF($C73="L",-O73,0))+IF(OR($C74="W",$C74="1/2W",$C74="1/2L"),P74-O74,IF($C74="L",-O74,0))+IF(OR($C75="W",$C75="1/2W",$C75="1/2L"),P75-O75,IF($C75="L",-O75,0)),IF(AND(OR($C73="W",$C73="1/2W",$C73="1/2L"),C74="W"),P73+P74-SUM(O73:O75)+_xlfn.XLOOKUP("X",C73:C75,O73:O75,0),IF(AND(C73=TRUE,C75="W"),P73+P75-SUM(O73:O75),IF(AND(C74="W",C75="W"),P74+P75-SUM(O73:O75)+_xlfn.XLOOKUP("X",C73:C75,O73:O75,0),IF(L75&gt;0,IF(OR($C73="W",$C73="1/2W",$C73="1/2L"),P73-SUM(O73:O75)+_xlfn.XLOOKUP("X",C73:C75,O73:O75,0),IF(OR($C73="W",$C73="1/2W",$C73="1/2L"),P74-SUM(O73:O75)+_xlfn.XLOOKUP("X",C73:C75,O73:O75,0),IF(OR($C73="W",$C73="1/2W",$C73="1/2L"),P75-SUM(O73:O75)+_xlfn.XLOOKUP("X",C73:C75,O73:O75,0),IF(SUM(P73:P75)/3-SUM(O73:O75)+_xlfn.XLOOKUP("X",C73:C75,O73:O75,0)&gt;0,SUM(P73:P75)/3-SUM(O73:O75)+_xlfn.XLOOKUP("X",C73:C75,O73:O75,0),LARGE(P73:P75,1)-SUM(O73:O75))))),IF(OR($C73="W",$C73="1/2W",$C73="1/2L"),P73-SUM(O73:O74)+_xlfn.XLOOKUP("X",C73:C75,O73:O75,0),IF(OR($C73="W",$C73="1/2W",$C73="1/2L"),P74-SUM(O73:O74)+_xlfn.XLOOKUP("X",C73:C75,O73:O75,0),SUM(P73:P74)/2-SUM(O73:O74)+_xlfn.XLOOKUP("X",C73:C75,O73:O75,0)))))))),2))</f>
        <v>0.87</v>
      </c>
      <c r="T73" s="458">
        <f>IF(S73=0,0,S73/SUM(O73:O75))</f>
        <v>5.1693404634581101E-2</v>
      </c>
      <c r="U73" s="470">
        <f>IF($D73=$D70,IF(OR($B73="LOSS",$B73="OK",$B73="Anulada"),S73,0)+U70,IF(OR($B73="LOSS",$B73="OK",$B73="Anulada"),S73,0))</f>
        <v>13.36</v>
      </c>
      <c r="V73" s="470">
        <f>IF($D73="",0,IF($D73=$D70,IF($B73=" ",IF(I75="",IF(OR(AND(I73="DNB1",I74="DNB2"),AND(OR(I73="DNB1",I73="DNB2"),J74=0),AND(OR(I74="DNB1",I74="DNB2"),J73=0),AND(I73="DNB2",I74="DNB1"),AND(IF(J73=0,(J73+1)/ROUND(J73+1,0),J73/ROUND(J73,0))=1,IF(J74=0,(J74+1)/ROUND(IF(J74="",0,J74)+1,0),IF(J74="",0,J74)/ROUND(IF(J74="",1,J74),0))=1,OR(J73&lt;&gt;""),J74&lt;&gt;"")),0,IF(S73&lt;0,IF(I75="",SMALL(P73:P74,1)-SUM(O73:O74),0),SMALL(P73:P74,1)-SUM(O73:O74))),IF(S73&lt;0,IF(I75="",SMALL(P73:P75,1)-SUM(O73:O75),0),LARGE(P73:P75,1)-SUM(O73:O75))),S73)+V70,IF(I75="",IF(OR(AND(I73="DNB1",I74="DNB2"),AND(OR(I73="DNB1",I73="DNB2"),J74=0),AND(OR(I74="DNB1",I74="DNB2"),J73=0),AND(I73="DNB2",I74="DNB1"),AND(IF(J73=0,(J73+1)/ROUND(J73+1,0),J73/ROUND(J73,0))=1,IF(J74=0,(IF(J74="",0,J74)+1)/ROUND(IF(J74="",0,J74)+1,0),IF(J74="",0,J74)/ROUND(IF(J74="",0,J74)+1,0))=1,OR(J73&lt;&gt;""),J74&lt;&gt;"")),0,IF(S73&lt;0,IF(I75="",SMALL(P73:P74,1)-SUM(O73:O74),0),SMALL(P73:P75,1)-SUM(O73:O75))),IF(S73&lt;0,IF(I75="",SMALL(P73:P75,1)-SUM(O73:O75),0),LARGE(P73:P75,1)-SUM(O73:O75)))))</f>
        <v>13.299999999999999</v>
      </c>
      <c r="W73" s="470">
        <f>IF($D73=$D70,IF(S73&lt;0,IF(I75="",S73,0),S73)+W70,S73)</f>
        <v>13.36</v>
      </c>
      <c r="X73" s="480" t="str">
        <f>IF(OR(SUM(R73:R75)=0,V73=W73),ROUND(IF(W73=0,0,W73/Y73)*100,2)&amp;"%",ROUND(IF(V73=0,0,V73/Y73)*100,2)&amp;"% a "&amp;ROUND(IF(W73=0,0,W73/Y73)*100,2)&amp;"%")</f>
        <v>4,52%</v>
      </c>
      <c r="Y73" s="471">
        <f>IF($D73=$D70,Y70+SUM(O73:O75),SUM(O73:O75))</f>
        <v>295.79999999999995</v>
      </c>
      <c r="Z73" s="470">
        <f>IF($B73=" ",SUM(O73:O75),0)+Z70</f>
        <v>0</v>
      </c>
      <c r="AA73" s="470">
        <f>IF(G73="","",IF($B73="Anulado",LARGE(P73:P75,1)-SUM(O73:O75)+AA70,AA70))</f>
        <v>0.45899999999999785</v>
      </c>
      <c r="AB73" s="470">
        <f>IF($D73="","",AB70+S73)</f>
        <v>42.009999999999991</v>
      </c>
      <c r="AC73" s="472">
        <f ca="1">IF($D73="","",IF($B73=" ",IF(DAY(G73)=DAY(TODAY()),1+AC70,0+AC70),0+AC70))</f>
        <v>0</v>
      </c>
      <c r="AD73" s="103">
        <f>(((L74/(L74-1)-1)*(1-_xlfn.XLOOKUP(K74,'Fevereiro 2023 - Valor Real'!A3:A15,'Fevereiro 2023 - Valor Real'!C3:C15,0))+1))/(((L73-1)*(1-_xlfn.XLOOKUP(K73,'Fevereiro 2023 - Valor Real'!A3:A15,'Fevereiro 2023 - Valor Real'!C3:C15,0))+1)+((L74/(L74-1)-1)*(1-_xlfn.XLOOKUP(K74,'Fevereiro 2023 - Valor Real'!A3:A15,'Fevereiro 2023 - Valor Real'!C3:C15,0))+1))</f>
        <v>0.46258102533883322</v>
      </c>
      <c r="AE73" s="104">
        <f>IF(L73="","",IF(L75&gt;0,(SUM(((L73-1)*(1-_xlfn.XLOOKUP(K73,'Fevereiro 2023 - Valor Real'!A3:A15,'Fevereiro 2023 - Valor Real'!C3:C15,0))+1),((L74-1)*(1-_xlfn.XLOOKUP(K74,'Fevereiro 2023 - Valor Real'!A3:A15,'Fevereiro 2023 - Valor Real'!C3:C15,0))+1),((L75-1)*(1-_xlfn.XLOOKUP(K75,'Fevereiro 2023 - Valor Real'!A3:A15,'Fevereiro 2023 - Valor Real'!C3:C15,0))+1))/((L73-1)*(1-_xlfn.XLOOKUP(K73,'Fevereiro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Real'!C3:C15,0))+1))/((L73-1)*(1-_xlfn.XLOOKUP(K73,'Fevereiro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Real'!C3:C15,0))+1))/((L74-1)*(1-_xlfn.XLOOKUP(K74,'Fevereiro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Real'!C3:C15,0))+1))/((L75-1)*(1-_xlfn.XLOOKUP(K75,'Fevereiro 2023 - Valor Real'!A3:A15,'Fevereiro 2023 - Valor Real'!C3:C15,0))+1)),IF(I73="Lay",IF(I74="Lay",((L74/(L74-1)-1)*(1-_xlfn.XLOOKUP(K74,'Fevereiro 2023 - Valor Real'!A3:A15,'Fevereiro 2023 - Valor Real'!C3:C15,0))+1)/(((L74/(L74-1)-1)*(1-_xlfn.XLOOKUP(K74,'Fevereiro 2023 - Valor Real'!A3:A15,'Fevereiro 2023 - Valor Real'!C3:C15,0))+1)+((L73/(L73-1)-1)*(1-_xlfn.XLOOKUP(K73,'Fevereiro 2023 - Valor Real'!A3:A15,'Fevereiro 2023 - Valor Real'!C3:C15,0))+1)),((L74-1)*(1-_xlfn.XLOOKUP(K74,'Fevereiro 2023 - Valor Real'!A3:A15,'Fevereiro 2023 - Valor Real'!C3:C15,0))+1)/(((L74-1)*(1-_xlfn.XLOOKUP(K74,'Fevereiro 2023 - Valor Real'!A3:A15,'Fevereiro 2023 - Valor Real'!C3:C15,0))+1)+((L73/(L73-1)-1)*(1-_xlfn.XLOOKUP(K73,'Fevereiro 2023 - Valor Real'!A3:A15,'Fevereiro 2023 - Valor Real'!C3:C15,0))+1))),IF(I74="Lay",(((L74/(L74-1)-1)*(1-_xlfn.XLOOKUP(K74,'Fevereiro 2023 - Valor Real'!A3:A15,'Fevereiro 2023 - Valor Real'!C3:C15,0))+1))/(((L73-1)*(1-_xlfn.XLOOKUP(K73,'Fevereiro 2023 - Valor Real'!A3:A15,'Fevereiro 2023 - Valor Real'!C3:C15,0))+1)+((L74/(L74-1)-1)*(1-_xlfn.XLOOKUP(K74,'Fevereiro 2023 - Valor Real'!A3:A15,'Fevereiro 2023 - Valor Real'!C3:C15,0))+1)),((L74-1)*(1-_xlfn.XLOOKUP(K74,'Fevereiro 2023 - Valor Real'!A3:A15,'Fevereiro 2023 - Valor Real'!C3:C15,0))+1)/(((L74-1)*(1-_xlfn.XLOOKUP(K74,'Fevereiro 2023 - Valor Real'!A3:A15,'Fevereiro 2023 - Valor Real'!C3:C15,0))+1)+((L73-1)*(1-_xlfn.XLOOKUP(K73,'Fevereiro 2023 - Valor Real'!A3:A15,'Fevereiro 2023 - Valor Real'!C3:C15,0))+1))))))</f>
        <v>0.32914046121593288</v>
      </c>
      <c r="AF73" s="105">
        <f t="shared" si="122"/>
        <v>0</v>
      </c>
      <c r="AG73" s="106">
        <f t="shared" si="122"/>
        <v>0</v>
      </c>
      <c r="AH73" s="106">
        <f t="shared" si="122"/>
        <v>0</v>
      </c>
      <c r="AI73" s="106">
        <f t="shared" si="122"/>
        <v>12.17</v>
      </c>
      <c r="AJ73" s="106">
        <f t="shared" si="122"/>
        <v>0</v>
      </c>
      <c r="AK73" s="106">
        <f t="shared" si="122"/>
        <v>0</v>
      </c>
      <c r="AL73" s="106">
        <f t="shared" si="122"/>
        <v>0</v>
      </c>
      <c r="AM73" s="106">
        <f t="shared" si="122"/>
        <v>0</v>
      </c>
      <c r="AN73" s="106">
        <f t="shared" si="122"/>
        <v>0</v>
      </c>
      <c r="AO73" s="106">
        <f t="shared" si="122"/>
        <v>0</v>
      </c>
      <c r="AP73" s="106">
        <f t="shared" si="122"/>
        <v>0</v>
      </c>
      <c r="AQ73" s="106">
        <f t="shared" si="122"/>
        <v>0</v>
      </c>
      <c r="AR73" s="107">
        <f t="shared" si="122"/>
        <v>0</v>
      </c>
      <c r="AS73" s="105">
        <f t="shared" ref="AS73:BE73" si="166">IF(AND($B73=" ",$K73=AS$3),$O73,0)</f>
        <v>0</v>
      </c>
      <c r="AT73" s="106">
        <f t="shared" si="166"/>
        <v>0</v>
      </c>
      <c r="AU73" s="106">
        <f t="shared" si="166"/>
        <v>0</v>
      </c>
      <c r="AV73" s="106">
        <f t="shared" si="166"/>
        <v>0</v>
      </c>
      <c r="AW73" s="106">
        <f t="shared" si="166"/>
        <v>0</v>
      </c>
      <c r="AX73" s="106">
        <f t="shared" si="166"/>
        <v>0</v>
      </c>
      <c r="AY73" s="108">
        <f t="shared" si="166"/>
        <v>0</v>
      </c>
      <c r="AZ73" s="109">
        <f t="shared" si="166"/>
        <v>0</v>
      </c>
      <c r="BA73" s="109">
        <f t="shared" si="166"/>
        <v>0</v>
      </c>
      <c r="BB73" s="109">
        <f t="shared" si="166"/>
        <v>0</v>
      </c>
      <c r="BC73" s="110">
        <f t="shared" si="166"/>
        <v>0</v>
      </c>
      <c r="BD73" s="106">
        <f t="shared" si="166"/>
        <v>0</v>
      </c>
      <c r="BE73" s="107">
        <f t="shared" si="166"/>
        <v>0</v>
      </c>
      <c r="BF73" s="111">
        <f t="shared" si="124"/>
        <v>0</v>
      </c>
      <c r="BG73" s="106">
        <f t="shared" si="124"/>
        <v>0</v>
      </c>
      <c r="BH73" s="106">
        <f t="shared" si="124"/>
        <v>0</v>
      </c>
      <c r="BI73" s="106">
        <f t="shared" si="124"/>
        <v>5.53</v>
      </c>
      <c r="BJ73" s="106">
        <f t="shared" si="124"/>
        <v>0</v>
      </c>
      <c r="BK73" s="106">
        <f t="shared" si="124"/>
        <v>0</v>
      </c>
      <c r="BL73" s="106">
        <f t="shared" si="124"/>
        <v>0</v>
      </c>
      <c r="BM73" s="108">
        <f t="shared" si="124"/>
        <v>0</v>
      </c>
      <c r="BN73" s="109">
        <f t="shared" si="124"/>
        <v>0</v>
      </c>
      <c r="BO73" s="109">
        <f t="shared" si="124"/>
        <v>0</v>
      </c>
      <c r="BP73" s="109">
        <f t="shared" si="124"/>
        <v>0</v>
      </c>
      <c r="BQ73" s="110">
        <f t="shared" si="124"/>
        <v>0</v>
      </c>
      <c r="BR73" s="107">
        <f t="shared" si="124"/>
        <v>0</v>
      </c>
      <c r="BS73" s="463">
        <f>IF($B73="LOSS",IF(AND($K73=BS$3,$C73="L"),-$O73,0)+IF(AND($K74=BS$3,$C74="L"),-$O74,0)+IF(AND($K75=BS$3,$C75="L"),-$O75,0),IF(OR(AND($K73=BS$3,OR($C73="W",$C73="1/2W")),AND($K74=BS$3,OR($C74="W",$C74="1/2W")),AND($K75=BS$3,OR($C75="W",$C75="1/2W"))),$S73,0))</f>
        <v>0</v>
      </c>
      <c r="BT73" s="462">
        <f>IF($B73="LOSS",IF(AND($K73=BT$3,$C73="L"),-$O73,0)+IF(AND($K74=BT$3,$C74="L"),-$O74,0)+IF(AND($K74=BT$3,$C75="L"),-$O75,0),IF(OR(AND($K74=BT$3,OR($C73="W",$C73="1/2W")),AND($K74=BT$3,OR($C74="W",$C74="1/2W")),AND($K74=BT$3,OR($C75="W",$C75="1/2W"))),$S73,0))</f>
        <v>0</v>
      </c>
      <c r="BU73" s="462">
        <f>IF($B73="LOSS",IF(AND($K73=BU$3,$C73="L"),-$O73,0)+IF(AND($K74=BU$3,$C74="L"),-$O74,0)+IF(AND($K74=BU$3,$C75="L"),-$O75,0),IF(OR(AND($K74=BU$3,OR($C73="W",$C73="1/2W")),AND($K74=BU$3,OR($C74="W",$C74="1/2W")),AND($K74=BU$3,OR($C75="W",$C75="1/2W"))),$S73,0))</f>
        <v>0</v>
      </c>
      <c r="BV73" s="462">
        <f t="shared" ref="BV73:CE73" si="167">IF($B73="LOSS",IF(AND($K73=BV$3,$C73="L"),-$O73,0)+IF(AND($K74=BV$3,$C74="L"),-$O74,0)+IF(AND($K75=BV$3,$C75="L"),-$O75,0),IF(OR(AND($K73=BV$3,OR($C73="W",$C73="1/2W")),AND($K74=BV$3,OR($C74="W",$C74="1/2W")),AND($K75=BV$3,OR($C75="W",$C75="1/2W"))),$S73,0))</f>
        <v>0.87</v>
      </c>
      <c r="BW73" s="462">
        <f t="shared" si="167"/>
        <v>0</v>
      </c>
      <c r="BX73" s="462">
        <f t="shared" si="167"/>
        <v>0</v>
      </c>
      <c r="BY73" s="462">
        <f t="shared" si="167"/>
        <v>0</v>
      </c>
      <c r="BZ73" s="460">
        <f t="shared" si="167"/>
        <v>0</v>
      </c>
      <c r="CA73" s="460">
        <f t="shared" si="167"/>
        <v>0</v>
      </c>
      <c r="CB73" s="460">
        <f t="shared" si="167"/>
        <v>0</v>
      </c>
      <c r="CC73" s="460">
        <f t="shared" si="167"/>
        <v>0</v>
      </c>
      <c r="CD73" s="473">
        <f t="shared" si="167"/>
        <v>0</v>
      </c>
      <c r="CE73" s="479">
        <f t="shared" si="167"/>
        <v>0</v>
      </c>
      <c r="CF73" s="113">
        <f t="shared" si="131"/>
        <v>0</v>
      </c>
      <c r="CG73" s="114">
        <f t="shared" si="132"/>
        <v>0</v>
      </c>
      <c r="CH73" s="114">
        <f t="shared" si="133"/>
        <v>0</v>
      </c>
      <c r="CI73" s="114">
        <f t="shared" si="134"/>
        <v>0</v>
      </c>
      <c r="CJ73" s="114">
        <f t="shared" si="135"/>
        <v>0</v>
      </c>
      <c r="CK73" s="114">
        <f t="shared" si="136"/>
        <v>0</v>
      </c>
      <c r="CL73" s="114">
        <f t="shared" si="137"/>
        <v>1</v>
      </c>
      <c r="CM73" s="114">
        <f t="shared" si="138"/>
        <v>0</v>
      </c>
      <c r="CN73" s="114">
        <f t="shared" si="139"/>
        <v>0</v>
      </c>
      <c r="CO73" s="114">
        <f t="shared" si="140"/>
        <v>0</v>
      </c>
      <c r="CP73" s="114">
        <f t="shared" si="141"/>
        <v>0</v>
      </c>
      <c r="CQ73" s="114">
        <f t="shared" si="142"/>
        <v>0</v>
      </c>
      <c r="CR73" s="114">
        <f t="shared" si="143"/>
        <v>0</v>
      </c>
      <c r="CS73" s="114">
        <f t="shared" si="144"/>
        <v>0</v>
      </c>
      <c r="CT73" s="115">
        <f t="shared" si="145"/>
        <v>0</v>
      </c>
      <c r="CU73" s="116">
        <f t="shared" si="146"/>
        <v>0</v>
      </c>
      <c r="CV73" s="116">
        <f t="shared" si="147"/>
        <v>0</v>
      </c>
      <c r="CW73" s="116">
        <f t="shared" si="148"/>
        <v>0</v>
      </c>
      <c r="CX73" s="116">
        <f t="shared" si="149"/>
        <v>0</v>
      </c>
      <c r="CY73" s="116">
        <f t="shared" si="150"/>
        <v>0</v>
      </c>
      <c r="CZ73" s="116">
        <f t="shared" si="151"/>
        <v>0</v>
      </c>
      <c r="DA73" s="116">
        <f t="shared" si="152"/>
        <v>0</v>
      </c>
      <c r="DB73" s="116">
        <f t="shared" si="153"/>
        <v>0</v>
      </c>
      <c r="DC73" s="116">
        <f t="shared" si="154"/>
        <v>0</v>
      </c>
      <c r="DD73" s="116">
        <f t="shared" si="155"/>
        <v>0</v>
      </c>
      <c r="DE73" s="117">
        <f t="shared" si="156"/>
        <v>0</v>
      </c>
      <c r="DF73" s="118">
        <f t="shared" si="158"/>
        <v>10</v>
      </c>
      <c r="DG73" s="106">
        <f t="shared" si="159"/>
        <v>13.350000000000001</v>
      </c>
      <c r="DH73" s="116">
        <f t="shared" si="160"/>
        <v>0</v>
      </c>
      <c r="DI73" s="106">
        <f t="shared" si="161"/>
        <v>0</v>
      </c>
      <c r="DJ73" s="201" t="str">
        <f>IF($D73="","",$D73)</f>
        <v>2</v>
      </c>
      <c r="DK73" s="465">
        <f>IF(AND($B73=" ",$D73&lt;&gt;""),1,0)</f>
        <v>0</v>
      </c>
    </row>
    <row r="74" spans="1:115" ht="14.5" customHeight="1" x14ac:dyDescent="0.2">
      <c r="A74" s="389"/>
      <c r="B74" s="456"/>
      <c r="C74" s="120" t="s">
        <v>55</v>
      </c>
      <c r="D74" s="374"/>
      <c r="E74" s="386"/>
      <c r="F74" s="377"/>
      <c r="G74" s="483"/>
      <c r="H74" s="476"/>
      <c r="I74" s="121" t="s">
        <v>66</v>
      </c>
      <c r="J74" s="122">
        <f>IF(OR(I73="TO",I73="TU",I73="TO1",I73="TU1",I73="TO2",I73="TU2"),J73,IF(OR(I73="AH1",I73="AH2"),IF(OR(I74="AH1",I74="AH2"),-J73,IF(OR(I74="EH1",I74="EH2"),-J73+0.5,"")),IF(OR(I73="EH1",I73="EH2"),IF(OR(I74="AH1",I74="AH2"),-J73+0.5,IF(OR(I74="EH1",I74="EH2"),-J73+1,"")),IF(AND(OR(I73="DNB1",I73="DNB2"),OR(I74="AH1",I74="AH2")),0,IF(AND(I73="Not ScoreBoth",OR(I74="TO1",I74="TO2")),0.5,"")))))</f>
        <v>0</v>
      </c>
      <c r="K74" s="123" t="s">
        <v>47</v>
      </c>
      <c r="L74" s="124">
        <v>1.57</v>
      </c>
      <c r="M74" s="125"/>
      <c r="N74" s="406"/>
      <c r="O74" s="126">
        <f>IF(OR(AE73="",AE74=""),"",ROUND(IF(L75&gt;0,IF(M74&gt;0,M74,IF(M73&gt;0,IF(N73=TRUE,ROUND((M73*AE74)/AE73,0),(M73*AE74)/AE73),IF(M74&gt;0,ROUND(M74,IF(N73=0,2,IF(N73=0.1,1,0))),IF(M75&gt;0,ROUND(O75*AE74/AE75,IF(N73=0,2,IF(N73=0.1,1,0))),0)))),IF(M74&gt;0,M74,ROUND((M73*AE74)/AE73,IF(N73=0,2,IF(N73=0.1,1,0))))),2))</f>
        <v>11.3</v>
      </c>
      <c r="P74" s="127">
        <f>IF(OR(L74="",O74=""),"",IF($C74="1/2W",O74/2+O74/2*L74,IF($C74="1/2L",O74/2,IF(I74="Lay",((O74*(L74/(L74-1)))-O74)*(1-_xlfn.XLOOKUP(K74,'Fevereiro 2023 - Valor Real'!A3:A15,'Fevereiro 2023 - Valor Real'!C3:C15,0))+O74,(O74*L74-O74)*(1-_xlfn.XLOOKUP(K74,'Fevereiro 2023 - Valor Real'!A3:A15,'Fevereiro 2023 - Valor Real'!C3:C15,0))+O74))))</f>
        <v>17.741000000000003</v>
      </c>
      <c r="Q74" s="128">
        <f>IF(K74="","",IF(_xlfn.XLOOKUP(K74,K$4:K73,$DJ$4:DJ73,0,,-1)=DJ74,_xlfn.XLOOKUP(K74,K$4:K73,Q$4:Q73,1,,-1)+1,1))</f>
        <v>3</v>
      </c>
      <c r="R74" s="129">
        <f>IF(K74="","",_xlfn.XLOOKUP(K74,K$4:K73,R$4:R73,0,,-1)+IF($C74=" ",1,0))</f>
        <v>0</v>
      </c>
      <c r="S74" s="403"/>
      <c r="T74" s="380"/>
      <c r="U74" s="380"/>
      <c r="V74" s="481"/>
      <c r="W74" s="380"/>
      <c r="X74" s="452"/>
      <c r="Y74" s="383"/>
      <c r="Z74" s="384"/>
      <c r="AA74" s="384"/>
      <c r="AB74" s="384"/>
      <c r="AC74" s="384"/>
      <c r="AD74" s="130">
        <f>(((L74/(L74-1)-1)*(1-_xlfn.XLOOKUP(K74,'Fevereiro 2023 - Valor Real'!A3:A15,'Fevereiro 2023 - Valor Real'!C3:C15,0))+1))</f>
        <v>2.7543859649122804</v>
      </c>
      <c r="AE74" s="131">
        <f>IF(L74="","",IF(L75&gt;0,(SUM(((L73-1)*(1-_xlfn.XLOOKUP(K73,'Fevereiro 2023 - Valor Real'!A3:A15,'Fevereiro 2023 - Valor Real'!C3:C15,0))+1),((L74-1)*(1-_xlfn.XLOOKUP(K74,'Fevereiro 2023 - Valor Real'!A3:A15,'Fevereiro 2023 - Valor Real'!C3:C15,0))+1),((L75-1)*(1-_xlfn.XLOOKUP(K75,'Fevereiro 2023 - Valor Real'!A3:A15,'Fevereiro 2023 - Valor Real'!C3:C15,0))+1))/((L74-1)*(1-_xlfn.XLOOKUP(K74,'Fevereiro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Real'!C3:C15,0))+1))/((L73-1)*(1-_xlfn.XLOOKUP(K73,'Fevereiro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Real'!C3:C15,0))+1))/((L74-1)*(1-_xlfn.XLOOKUP(K74,'Fevereiro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Real'!C3:C15,0))+1))/((L75-1)*(1-_xlfn.XLOOKUP(K75,'Fevereiro 2023 - Valor Real'!A3:A15,'Fevereiro 2023 - Valor Real'!C3:C15,0))+1)),IF(I74="Lay",IF(I73="Lay",((L73/(L73-1)-1)*(1-_xlfn.XLOOKUP(K73,'Fevereiro 2023 - Valor Real'!A3:A15,'Fevereiro 2023 - Valor Real'!C3:C15,0))+1)/(((L73/(L73-1)-1)*(1-_xlfn.XLOOKUP(K73,'Fevereiro 2023 - Valor Real'!A3:A15,'Fevereiro 2023 - Valor Real'!C3:C15,0))+1)+((L74/(L74-1)-1)*(1-_xlfn.XLOOKUP(K74,'Fevereiro 2023 - Valor Real'!A3:A15,'Fevereiro 2023 - Valor Real'!C3:C15,0))+1)),((L73-1)*(1-_xlfn.XLOOKUP(K73,'Fevereiro 2023 - Valor Real'!A3:A15,'Fevereiro 2023 - Valor Real'!C3:C15,0))+1)/(((L73-1)*(1-_xlfn.XLOOKUP(K73,'Fevereiro 2023 - Valor Real'!A3:A15,'Fevereiro 2023 - Valor Real'!C3:C15,0))+1)+((L74/(L74-1)-1)*(1-_xlfn.XLOOKUP(K74,'Fevereiro 2023 - Valor Real'!A3:A15,'Fevereiro 2023 - Valor Real'!C3:C15,0))+1))),IF(I73="Lay",((L73/(L73-1)-1)*(1-_xlfn.XLOOKUP(K73,'Fevereiro 2023 - Valor Real'!A3:A15,'Fevereiro 2023 - Valor Real'!C3:C15,0))+1)/((((L73/(L73-1)-1)*(1-_xlfn.XLOOKUP(K73,'Fevereiro 2023 - Valor Real'!A3:A15,'Fevereiro 2023 - Valor Real'!C3:C15,0))+1))+((L74-1)*(1-_xlfn.XLOOKUP(K74,'Fevereiro 2023 - Valor Real'!A3:A15,'Fevereiro 2023 - Valor Real'!C3:C15,0))+1)),((L73-1)*(1-_xlfn.XLOOKUP(K73,'Fevereiro 2023 - Valor Real'!A3:A15,'Fevereiro 2023 - Valor Real'!C3:C15,0))+1)/(((L73-1)*(1-_xlfn.XLOOKUP(K73,'Fevereiro 2023 - Valor Real'!A3:A15,'Fevereiro 2023 - Valor Real'!C3:C15,0))+1)+((L74-1)*(1-_xlfn.XLOOKUP(K74,'Fevereiro 2023 - Valor Real'!A3:A15,'Fevereiro 2023 - Valor Real'!C3:C15,0))+1))))))</f>
        <v>0.67085953878406701</v>
      </c>
      <c r="AF74" s="105">
        <f t="shared" ref="AF74:AR83" si="168">IF($K74=AF$3,ROUND(IF(OR($C74="W",$C74="1/2W",$C74="1/2L"),$P74-$O74,IF($C74="X",0,-$O74)),2),0)</f>
        <v>0</v>
      </c>
      <c r="AG74" s="106">
        <f t="shared" si="168"/>
        <v>0</v>
      </c>
      <c r="AH74" s="106">
        <f t="shared" si="168"/>
        <v>0</v>
      </c>
      <c r="AI74" s="106">
        <f t="shared" si="168"/>
        <v>0</v>
      </c>
      <c r="AJ74" s="106">
        <f t="shared" si="168"/>
        <v>0</v>
      </c>
      <c r="AK74" s="106">
        <f t="shared" si="168"/>
        <v>0</v>
      </c>
      <c r="AL74" s="106">
        <f t="shared" si="168"/>
        <v>0</v>
      </c>
      <c r="AM74" s="106">
        <f t="shared" si="168"/>
        <v>0</v>
      </c>
      <c r="AN74" s="106">
        <f t="shared" si="168"/>
        <v>0</v>
      </c>
      <c r="AO74" s="106">
        <f t="shared" si="168"/>
        <v>0</v>
      </c>
      <c r="AP74" s="106">
        <f t="shared" si="168"/>
        <v>0</v>
      </c>
      <c r="AQ74" s="106">
        <f t="shared" si="168"/>
        <v>-11.3</v>
      </c>
      <c r="AR74" s="107">
        <f t="shared" si="168"/>
        <v>0</v>
      </c>
      <c r="AS74" s="105">
        <f>IF(AND($B73=" ",$K74=AS$3),$O74,0)</f>
        <v>0</v>
      </c>
      <c r="AT74" s="106">
        <f>IF(AND($B73=" ",K74=AT$3),$O74,0)</f>
        <v>0</v>
      </c>
      <c r="AU74" s="106">
        <f t="shared" ref="AU74:BE74" si="169">IF(AND($B73=" ",$K74=AU$3),$O74,0)</f>
        <v>0</v>
      </c>
      <c r="AV74" s="106">
        <f t="shared" si="169"/>
        <v>0</v>
      </c>
      <c r="AW74" s="106">
        <f t="shared" si="169"/>
        <v>0</v>
      </c>
      <c r="AX74" s="106">
        <f t="shared" si="169"/>
        <v>0</v>
      </c>
      <c r="AY74" s="108">
        <f t="shared" si="169"/>
        <v>0</v>
      </c>
      <c r="AZ74" s="109">
        <f t="shared" si="169"/>
        <v>0</v>
      </c>
      <c r="BA74" s="109">
        <f t="shared" si="169"/>
        <v>0</v>
      </c>
      <c r="BB74" s="109">
        <f t="shared" si="169"/>
        <v>0</v>
      </c>
      <c r="BC74" s="110">
        <f t="shared" si="169"/>
        <v>0</v>
      </c>
      <c r="BD74" s="106">
        <f t="shared" si="169"/>
        <v>0</v>
      </c>
      <c r="BE74" s="107">
        <f t="shared" si="169"/>
        <v>0</v>
      </c>
      <c r="BF74" s="105">
        <f t="shared" ref="BF74:BR83" si="170">IF($K74=BF$3,IF($C74="X",0,$O74),0)</f>
        <v>0</v>
      </c>
      <c r="BG74" s="106">
        <f t="shared" si="170"/>
        <v>0</v>
      </c>
      <c r="BH74" s="106">
        <f t="shared" si="170"/>
        <v>0</v>
      </c>
      <c r="BI74" s="106">
        <f t="shared" si="170"/>
        <v>0</v>
      </c>
      <c r="BJ74" s="106">
        <f t="shared" si="170"/>
        <v>0</v>
      </c>
      <c r="BK74" s="106">
        <f t="shared" si="170"/>
        <v>0</v>
      </c>
      <c r="BL74" s="106">
        <f t="shared" si="170"/>
        <v>0</v>
      </c>
      <c r="BM74" s="132">
        <f t="shared" si="170"/>
        <v>0</v>
      </c>
      <c r="BN74" s="112">
        <f t="shared" si="170"/>
        <v>0</v>
      </c>
      <c r="BO74" s="112">
        <f t="shared" si="170"/>
        <v>0</v>
      </c>
      <c r="BP74" s="112">
        <f t="shared" si="170"/>
        <v>0</v>
      </c>
      <c r="BQ74" s="110">
        <f t="shared" si="170"/>
        <v>11.3</v>
      </c>
      <c r="BR74" s="107">
        <f t="shared" si="170"/>
        <v>0</v>
      </c>
      <c r="BS74" s="464"/>
      <c r="BT74" s="461"/>
      <c r="BU74" s="392"/>
      <c r="BV74" s="461"/>
      <c r="BW74" s="392"/>
      <c r="BX74" s="392"/>
      <c r="BY74" s="392"/>
      <c r="BZ74" s="461"/>
      <c r="CA74" s="392"/>
      <c r="CB74" s="392"/>
      <c r="CC74" s="392"/>
      <c r="CD74" s="401"/>
      <c r="CE74" s="409"/>
      <c r="CF74" s="133">
        <f t="shared" si="131"/>
        <v>0</v>
      </c>
      <c r="CG74" s="134">
        <f t="shared" si="132"/>
        <v>0</v>
      </c>
      <c r="CH74" s="134">
        <f t="shared" si="133"/>
        <v>0</v>
      </c>
      <c r="CI74" s="134">
        <f t="shared" si="134"/>
        <v>0</v>
      </c>
      <c r="CJ74" s="134">
        <f t="shared" si="135"/>
        <v>0</v>
      </c>
      <c r="CK74" s="134">
        <f t="shared" si="136"/>
        <v>0</v>
      </c>
      <c r="CL74" s="134">
        <f t="shared" si="137"/>
        <v>0</v>
      </c>
      <c r="CM74" s="134">
        <f t="shared" si="138"/>
        <v>0</v>
      </c>
      <c r="CN74" s="134">
        <f t="shared" si="139"/>
        <v>0</v>
      </c>
      <c r="CO74" s="134">
        <f t="shared" si="140"/>
        <v>0</v>
      </c>
      <c r="CP74" s="134">
        <f t="shared" si="141"/>
        <v>0</v>
      </c>
      <c r="CQ74" s="134">
        <f t="shared" si="142"/>
        <v>0</v>
      </c>
      <c r="CR74" s="134">
        <f t="shared" si="143"/>
        <v>0</v>
      </c>
      <c r="CS74" s="134">
        <f t="shared" si="144"/>
        <v>0</v>
      </c>
      <c r="CT74" s="115">
        <f t="shared" si="145"/>
        <v>0</v>
      </c>
      <c r="CU74" s="116">
        <f t="shared" si="146"/>
        <v>0</v>
      </c>
      <c r="CV74" s="116">
        <f t="shared" si="147"/>
        <v>0</v>
      </c>
      <c r="CW74" s="116">
        <f t="shared" si="148"/>
        <v>0</v>
      </c>
      <c r="CX74" s="116">
        <f t="shared" si="149"/>
        <v>0</v>
      </c>
      <c r="CY74" s="116">
        <f t="shared" si="150"/>
        <v>0</v>
      </c>
      <c r="CZ74" s="116">
        <f t="shared" si="151"/>
        <v>0</v>
      </c>
      <c r="DA74" s="116">
        <f t="shared" si="152"/>
        <v>0</v>
      </c>
      <c r="DB74" s="116">
        <f t="shared" si="153"/>
        <v>0</v>
      </c>
      <c r="DC74" s="116">
        <f t="shared" si="154"/>
        <v>1</v>
      </c>
      <c r="DD74" s="116">
        <f t="shared" si="155"/>
        <v>0</v>
      </c>
      <c r="DE74" s="117">
        <f t="shared" si="156"/>
        <v>0</v>
      </c>
      <c r="DF74" s="118">
        <f t="shared" si="158"/>
        <v>10</v>
      </c>
      <c r="DG74" s="106">
        <f t="shared" si="159"/>
        <v>13.350000000000001</v>
      </c>
      <c r="DH74" s="116">
        <f t="shared" si="160"/>
        <v>0</v>
      </c>
      <c r="DI74" s="106">
        <f t="shared" si="161"/>
        <v>0</v>
      </c>
      <c r="DJ74" s="201" t="str">
        <f>IF($D73="","",$D73)</f>
        <v>2</v>
      </c>
      <c r="DK74" s="466"/>
    </row>
    <row r="75" spans="1:115" ht="14.5" customHeight="1" x14ac:dyDescent="0.2">
      <c r="A75" s="390"/>
      <c r="B75" s="457"/>
      <c r="C75" s="135" t="s">
        <v>53</v>
      </c>
      <c r="D75" s="375"/>
      <c r="E75" s="387"/>
      <c r="F75" s="378"/>
      <c r="G75" s="484"/>
      <c r="H75" s="477"/>
      <c r="I75" s="136"/>
      <c r="J75" s="137"/>
      <c r="K75" s="138"/>
      <c r="L75" s="139"/>
      <c r="M75" s="140"/>
      <c r="N75" s="407"/>
      <c r="O75" s="141" t="str">
        <f>IF(OR(AE73="",AE74=""),"",IF(L75&gt;0,ROUND(IF(M75&gt;0,M75,IF(M73&gt;0,ROUND((M73*AE75)/AE73,IF(N73=0,2,IF(N73=0.1,1,0))),IF(M74&gt;0,ROUND((M74*AE75)/AE74,IF(N73=0,2,IF(N73=0.1,1,0))),IF(M75&gt;0,M75,0)))),2),""))</f>
        <v/>
      </c>
      <c r="P75" s="142" t="str">
        <f>IF(I74="Lay",O74*(L74/(L74-1))-O74,IF(I73="Lay",O73*(L73/(L73-1))-O73,IF(OR(L75="",O75=""),"",IF($C75="1/2W",O75/2+O75/2*L75,IF($C75="1/2L",O75/2,(O75*L75-O75)*(1-_xlfn.XLOOKUP(K75,'Fevereiro 2023 - Valor Real'!A3:A15,'Fevereiro 2023 - Valor Real'!C3:C15,0))+O75)))))</f>
        <v/>
      </c>
      <c r="Q75" s="143" t="str">
        <f>IF(K75="","",IF(_xlfn.XLOOKUP(K75,K$4:K74,$DJ$4:DJ74,0,,-1)=DJ75,_xlfn.XLOOKUP(K75,K$4:K74,Q$4:Q74,1,,-1)+1,1))</f>
        <v/>
      </c>
      <c r="R75" s="144" t="str">
        <f>IF(K75="","",_xlfn.XLOOKUP(K75,K$4:K74,R$4:R74,0,,-1)+IF($C75=" ",1,0))</f>
        <v/>
      </c>
      <c r="S75" s="404"/>
      <c r="T75" s="378"/>
      <c r="U75" s="378"/>
      <c r="V75" s="404"/>
      <c r="W75" s="378"/>
      <c r="X75" s="453"/>
      <c r="Y75" s="383"/>
      <c r="Z75" s="384"/>
      <c r="AA75" s="384"/>
      <c r="AB75" s="384"/>
      <c r="AC75" s="384"/>
      <c r="AD75" s="145">
        <f>((L74/(L74-1)-1))</f>
        <v>1.7543859649122804</v>
      </c>
      <c r="AE75" s="146" t="str">
        <f>IF(L75="","",(SUM(((L73-1)*(1-_xlfn.XLOOKUP(K73,'Fevereiro 2023 - Valor Real'!A3:A15,'Fevereiro 2023 - Valor Real'!C3:C15,0))+1),((L74-1)*(1-_xlfn.XLOOKUP(K74,'Fevereiro 2023 - Valor Real'!A3:A15,'Fevereiro 2023 - Valor Real'!C3:C15,0))+1),((L75-1)*(1-_xlfn.XLOOKUP(K75,'Fevereiro 2023 - Valor Real'!A3:A15,'Fevereiro 2023 - Valor Real'!C3:C15,0))+1))/((L75-1)*(1-_xlfn.XLOOKUP(K75,'Fevereiro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Real'!C3:C15,0))+1))/((L73-1)*(1-_xlfn.XLOOKUP(K73,'Fevereiro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Real'!C3:C15,0))+1))/((L74-1)*(1-_xlfn.XLOOKUP(K74,'Fevereiro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Real'!C3:C15,0))+1))/((L75-1)*(1-_xlfn.XLOOKUP(K75,'Fevereiro 2023 - Valor Real'!A3:A15,'Fevereiro 2023 - Valor Real'!C3:C15,0))+1)))</f>
        <v/>
      </c>
      <c r="AF75" s="105">
        <f t="shared" si="168"/>
        <v>0</v>
      </c>
      <c r="AG75" s="106">
        <f t="shared" si="168"/>
        <v>0</v>
      </c>
      <c r="AH75" s="106">
        <f t="shared" si="168"/>
        <v>0</v>
      </c>
      <c r="AI75" s="106">
        <f t="shared" si="168"/>
        <v>0</v>
      </c>
      <c r="AJ75" s="106">
        <f t="shared" si="168"/>
        <v>0</v>
      </c>
      <c r="AK75" s="106">
        <f t="shared" si="168"/>
        <v>0</v>
      </c>
      <c r="AL75" s="106">
        <f t="shared" si="168"/>
        <v>0</v>
      </c>
      <c r="AM75" s="106">
        <f t="shared" si="168"/>
        <v>0</v>
      </c>
      <c r="AN75" s="106">
        <f t="shared" si="168"/>
        <v>0</v>
      </c>
      <c r="AO75" s="106">
        <f t="shared" si="168"/>
        <v>0</v>
      </c>
      <c r="AP75" s="106">
        <f t="shared" si="168"/>
        <v>0</v>
      </c>
      <c r="AQ75" s="106">
        <f t="shared" si="168"/>
        <v>0</v>
      </c>
      <c r="AR75" s="107">
        <f t="shared" si="168"/>
        <v>0</v>
      </c>
      <c r="AS75" s="105">
        <f>IF(AND($B73=" ",$K75=AS$3),$O75,0)</f>
        <v>0</v>
      </c>
      <c r="AT75" s="106">
        <f>IF(AND($B73=" ",K75=AT$3),$O75,0)</f>
        <v>0</v>
      </c>
      <c r="AU75" s="106">
        <f t="shared" ref="AU75:BE75" si="171">IF(AND($B73=" ",$K75=AU$3),$O75,0)</f>
        <v>0</v>
      </c>
      <c r="AV75" s="106">
        <f t="shared" si="171"/>
        <v>0</v>
      </c>
      <c r="AW75" s="106">
        <f t="shared" si="171"/>
        <v>0</v>
      </c>
      <c r="AX75" s="106">
        <f t="shared" si="171"/>
        <v>0</v>
      </c>
      <c r="AY75" s="108">
        <f t="shared" si="171"/>
        <v>0</v>
      </c>
      <c r="AZ75" s="109">
        <f t="shared" si="171"/>
        <v>0</v>
      </c>
      <c r="BA75" s="109">
        <f t="shared" si="171"/>
        <v>0</v>
      </c>
      <c r="BB75" s="109">
        <f t="shared" si="171"/>
        <v>0</v>
      </c>
      <c r="BC75" s="110">
        <f t="shared" si="171"/>
        <v>0</v>
      </c>
      <c r="BD75" s="106">
        <f t="shared" si="171"/>
        <v>0</v>
      </c>
      <c r="BE75" s="107">
        <f t="shared" si="171"/>
        <v>0</v>
      </c>
      <c r="BF75" s="105">
        <f t="shared" si="170"/>
        <v>0</v>
      </c>
      <c r="BG75" s="106">
        <f t="shared" si="170"/>
        <v>0</v>
      </c>
      <c r="BH75" s="106">
        <f t="shared" si="170"/>
        <v>0</v>
      </c>
      <c r="BI75" s="106">
        <f t="shared" si="170"/>
        <v>0</v>
      </c>
      <c r="BJ75" s="106">
        <f t="shared" si="170"/>
        <v>0</v>
      </c>
      <c r="BK75" s="106">
        <f t="shared" si="170"/>
        <v>0</v>
      </c>
      <c r="BL75" s="106">
        <f t="shared" si="170"/>
        <v>0</v>
      </c>
      <c r="BM75" s="108">
        <f t="shared" si="170"/>
        <v>0</v>
      </c>
      <c r="BN75" s="109">
        <f t="shared" si="170"/>
        <v>0</v>
      </c>
      <c r="BO75" s="109">
        <f t="shared" si="170"/>
        <v>0</v>
      </c>
      <c r="BP75" s="109">
        <f t="shared" si="170"/>
        <v>0</v>
      </c>
      <c r="BQ75" s="110">
        <f t="shared" si="170"/>
        <v>0</v>
      </c>
      <c r="BR75" s="107">
        <f t="shared" si="170"/>
        <v>0</v>
      </c>
      <c r="BS75" s="464"/>
      <c r="BT75" s="461"/>
      <c r="BU75" s="392"/>
      <c r="BV75" s="461"/>
      <c r="BW75" s="392"/>
      <c r="BX75" s="392"/>
      <c r="BY75" s="392"/>
      <c r="BZ75" s="461"/>
      <c r="CA75" s="392"/>
      <c r="CB75" s="392"/>
      <c r="CC75" s="392"/>
      <c r="CD75" s="401"/>
      <c r="CE75" s="409"/>
      <c r="CF75" s="133">
        <f t="shared" si="131"/>
        <v>0</v>
      </c>
      <c r="CG75" s="134">
        <f t="shared" si="132"/>
        <v>0</v>
      </c>
      <c r="CH75" s="134">
        <f t="shared" si="133"/>
        <v>0</v>
      </c>
      <c r="CI75" s="134">
        <f t="shared" si="134"/>
        <v>0</v>
      </c>
      <c r="CJ75" s="134">
        <f t="shared" si="135"/>
        <v>0</v>
      </c>
      <c r="CK75" s="134">
        <f t="shared" si="136"/>
        <v>0</v>
      </c>
      <c r="CL75" s="134">
        <f t="shared" si="137"/>
        <v>0</v>
      </c>
      <c r="CM75" s="134">
        <f t="shared" si="138"/>
        <v>0</v>
      </c>
      <c r="CN75" s="134">
        <f t="shared" si="139"/>
        <v>0</v>
      </c>
      <c r="CO75" s="134">
        <f t="shared" si="140"/>
        <v>0</v>
      </c>
      <c r="CP75" s="134">
        <f t="shared" si="141"/>
        <v>0</v>
      </c>
      <c r="CQ75" s="134">
        <f t="shared" si="142"/>
        <v>0</v>
      </c>
      <c r="CR75" s="134">
        <f t="shared" si="143"/>
        <v>0</v>
      </c>
      <c r="CS75" s="134">
        <f t="shared" si="144"/>
        <v>0</v>
      </c>
      <c r="CT75" s="115">
        <f t="shared" si="145"/>
        <v>0</v>
      </c>
      <c r="CU75" s="116">
        <f t="shared" si="146"/>
        <v>0</v>
      </c>
      <c r="CV75" s="116">
        <f t="shared" si="147"/>
        <v>0</v>
      </c>
      <c r="CW75" s="116">
        <f t="shared" si="148"/>
        <v>0</v>
      </c>
      <c r="CX75" s="116">
        <f t="shared" si="149"/>
        <v>0</v>
      </c>
      <c r="CY75" s="116">
        <f t="shared" si="150"/>
        <v>0</v>
      </c>
      <c r="CZ75" s="116">
        <f t="shared" si="151"/>
        <v>0</v>
      </c>
      <c r="DA75" s="116">
        <f t="shared" si="152"/>
        <v>0</v>
      </c>
      <c r="DB75" s="116">
        <f t="shared" si="153"/>
        <v>0</v>
      </c>
      <c r="DC75" s="116">
        <f t="shared" si="154"/>
        <v>0</v>
      </c>
      <c r="DD75" s="116">
        <f t="shared" si="155"/>
        <v>0</v>
      </c>
      <c r="DE75" s="117">
        <f t="shared" si="156"/>
        <v>0</v>
      </c>
      <c r="DF75" s="118">
        <f t="shared" si="158"/>
        <v>10</v>
      </c>
      <c r="DG75" s="106">
        <f t="shared" si="159"/>
        <v>13.350000000000001</v>
      </c>
      <c r="DH75" s="116">
        <f t="shared" si="160"/>
        <v>0</v>
      </c>
      <c r="DI75" s="106">
        <f t="shared" si="161"/>
        <v>0</v>
      </c>
      <c r="DJ75" s="201" t="str">
        <f>IF($D73="","",$D73)</f>
        <v>2</v>
      </c>
      <c r="DK75" s="466"/>
    </row>
    <row r="76" spans="1:115" ht="14.5" customHeight="1" x14ac:dyDescent="0.2">
      <c r="A76" s="487">
        <f>$A73+1</f>
        <v>25</v>
      </c>
      <c r="B76" s="506" t="str">
        <f>IF(OR(C76="W",C77="W",C78="W",C76="1/2W",C77="1/2W",C78="1/2W",C76="1/2L",C77="1/2L",C78="1/2L"),"OK",IF(OR(C76="L",C77="L",C78="L"),"LOSS",IF(OR(C76="X",C77="X",C78="X"),"Anulado"," ")))</f>
        <v>OK</v>
      </c>
      <c r="C76" s="147" t="s">
        <v>54</v>
      </c>
      <c r="D76" s="494" t="str">
        <f>IF(G76="","",$D73)</f>
        <v>2</v>
      </c>
      <c r="E76" s="511" t="str">
        <f>IF(G76=""," ","– "&amp;COUNTIF(D$4:D78,$D76))</f>
        <v>– 8</v>
      </c>
      <c r="F76" s="510" t="str">
        <f ca="1">IF(G76="","",IF(OR(AND($C76&lt;&gt;" ",$C77=" "),AND($C77&lt;&gt;" ",$C76=" "),AND(L78&gt;0,OR(AND($C78&lt;&gt;" ",OR($C76=" ",$C77=" ")),AND($C78=" ",OR($C76&lt;&gt;" ",$C77&lt;&gt;" "))))),IF(SUM(F$4:F75)=0,1,LARGE(F$4:F75,1)+1),IF(MONTH(G76)=MONTH(TODAY()),IF(AND(DAY(G76)&lt;DAY(TODAY()),$B76=" "),IF(SUM(F$4:F75)=0,1,LARGE(F$4:F75,1)+1),IF($B76=" ",IF(AND(DAY(G76)=DAY(TODAY()),HOUR(G76)&lt;=HOUR(NOW())+1),IF(AND(HOUR(G76)+2&lt;=HOUR(NOW()),DAY(G76)&lt;=DAY(TODAY()),MINUTE(G76)&lt;=MINUTE(NOW())),IF(SUM(F$4:F75)=0,1,LARGE(F$4:F75,1)+1),IF(OR(MINUTE(G76)&lt;=MINUTE(NOW()),HOUR(G76)&lt;=HOUR(NOW())),"!!!","")),""),"")),"")))</f>
        <v/>
      </c>
      <c r="G76" s="508">
        <v>44989.416666666664</v>
      </c>
      <c r="H76" s="502" t="s">
        <v>80</v>
      </c>
      <c r="I76" s="180" t="s">
        <v>51</v>
      </c>
      <c r="J76" s="181">
        <v>1</v>
      </c>
      <c r="K76" s="150" t="s">
        <v>47</v>
      </c>
      <c r="L76" s="151">
        <v>2.4500000000000002</v>
      </c>
      <c r="M76" s="152"/>
      <c r="N76" s="503">
        <v>0</v>
      </c>
      <c r="O76" s="153">
        <f>IF(OR(AE76="",AE77=""),"",ROUND(IF(L78&gt;0,IF(M76&gt;0,M76,IF(M77&gt;0,ROUND((M77*AE76)/AE77,IF(N76=0,2,IF(N76=0.1,1,0))),ROUND((M78*AE76)/AE78,IF(N76=0,2,IF(N76=0.1,1,0))))),IF(M76&gt;0,M76,ROUND((M77*AE76)/AE77,IF(N76=0,2,IF(N76=0.1,1,0))))),2))</f>
        <v>10</v>
      </c>
      <c r="P76" s="154">
        <f>IF(OR(L76="",O76=""),"",IF($C76="1/2W",O76/2+O76/2*L76,IF($C76="1/2L",O76/2,IF(I76="Lay",(O76*(L76/(L76-1))-O76)*(1-_xlfn.XLOOKUP(K76,'Fevereiro 2023 - Valor Real'!A3:A15,'Fevereiro 2023 - Valor Real'!C3:C15,0))+O76,(O76*L76-O76)*(1-_xlfn.XLOOKUP(K76,'Fevereiro 2023 - Valor Real'!A3:A15,'Fevereiro 2023 - Valor Real'!C3:C15,0))+O76))))</f>
        <v>24.5</v>
      </c>
      <c r="Q76" s="155">
        <f>IF(K76="","",IF(_xlfn.XLOOKUP(K76,K$4:K75,$DJ$4:DJ75,0,,-1)=DJ76,_xlfn.XLOOKUP(K76,K$4:K75,Q$4:Q75,1,,-1)+1,1))</f>
        <v>4</v>
      </c>
      <c r="R76" s="156">
        <f>IF(K76="","",_xlfn.XLOOKUP(K76,K$4:K75,R$4:R75,0,,-1)+IF($C76=" ",1,0))</f>
        <v>0</v>
      </c>
      <c r="S76" s="501">
        <f>IF($B76="Anulado",0,ROUND(IF(OR($B76="LOSS",$B76="OK"),IF(OR($C76="W",$C76="1/2W",$C76="1/2L"),P76-O76,IF($C76="L",-O76,0))+IF(OR($C77="W",$C77="1/2W",$C77="1/2L"),P77-O77,IF($C77="L",-O77,0))+IF(OR($C78="W",$C78="1/2W",$C78="1/2L"),P78-O78,IF($C78="L",-O78,0)),IF(AND(OR($C76="W",$C76="1/2W",$C76="1/2L"),C77="W"),P76+P77-SUM(O76:O78)+_xlfn.XLOOKUP("X",C76:C78,O76:O78,0),IF(AND(C76=TRUE,C78="W"),P76+P78-SUM(O76:O78),IF(AND(C77="W",C78="W"),P77+P78-SUM(O76:O78)+_xlfn.XLOOKUP("X",C76:C78,O76:O78,0),IF(L78&gt;0,IF(OR($C76="W",$C76="1/2W",$C76="1/2L"),P76-SUM(O76:O78)+_xlfn.XLOOKUP("X",C76:C78,O76:O78,0),IF(OR($C76="W",$C76="1/2W",$C76="1/2L"),P77-SUM(O76:O78)+_xlfn.XLOOKUP("X",C76:C78,O76:O78,0),IF(OR($C76="W",$C76="1/2W",$C76="1/2L"),P78-SUM(O76:O78)+_xlfn.XLOOKUP("X",C76:C78,O76:O78,0),IF(SUM(P76:P78)/3-SUM(O76:O78)+_xlfn.XLOOKUP("X",C76:C78,O76:O78,0)&gt;0,SUM(P76:P78)/3-SUM(O76:O78)+_xlfn.XLOOKUP("X",C76:C78,O76:O78,0),LARGE(P76:P78,1)-SUM(O76:O78))))),IF(OR($C76="W",$C76="1/2W",$C76="1/2L"),P76-SUM(O76:O77)+_xlfn.XLOOKUP("X",C76:C78,O76:O78,0),IF(OR($C76="W",$C76="1/2W",$C76="1/2L"),P77-SUM(O76:O77)+_xlfn.XLOOKUP("X",C76:C78,O76:O78,0),SUM(P76:P77)/2-SUM(O76:O77)+_xlfn.XLOOKUP("X",C76:C78,O76:O78,0)))))))),2))</f>
        <v>1.26</v>
      </c>
      <c r="T76" s="486">
        <f>IF(S76=0,0,S76/SUM(O76:O78))</f>
        <v>5.4216867469879512E-2</v>
      </c>
      <c r="U76" s="496">
        <f>IF($D76=$D73,IF(OR($B76="LOSS",$B76="OK",$B76="Anulada"),S76,0)+U73,IF(OR($B76="LOSS",$B76="OK",$B76="Anulada"),S76,0))</f>
        <v>14.62</v>
      </c>
      <c r="V76" s="496">
        <f>IF($D76="",0,IF($D76=$D73,IF($B76=" ",IF(I78="",IF(OR(AND(I76="DNB1",I77="DNB2"),AND(OR(I76="DNB1",I76="DNB2"),J77=0),AND(OR(I77="DNB1",I77="DNB2"),J76=0),AND(I76="DNB2",I77="DNB1"),AND(IF(J76=0,(J76+1)/ROUND(J76+1,0),J76/ROUND(J76,0))=1,IF(J77=0,(J77+1)/ROUND(IF(J77="",0,J77)+1,0),IF(J77="",0,J77)/ROUND(IF(J77="",1,J77),0))=1,OR(J76&lt;&gt;""),J77&lt;&gt;"")),0,IF(S76&lt;0,IF(I78="",SMALL(P76:P77,1)-SUM(O76:O77),0),SMALL(P76:P77,1)-SUM(O76:O77))),IF(S76&lt;0,IF(I78="",SMALL(P76:P78,1)-SUM(O76:O78),0),LARGE(P76:P78,1)-SUM(O76:O78))),S76)+V73,IF(I78="",IF(OR(AND(I76="DNB1",I77="DNB2"),AND(OR(I76="DNB1",I76="DNB2"),J77=0),AND(OR(I77="DNB1",I77="DNB2"),J76=0),AND(I76="DNB2",I77="DNB1"),AND(IF(J76=0,(J76+1)/ROUND(J76+1,0),J76/ROUND(J76,0))=1,IF(J77=0,(IF(J77="",0,J77)+1)/ROUND(IF(J77="",0,J77)+1,0),IF(J77="",0,J77)/ROUND(IF(J77="",0,J77)+1,0))=1,OR(J76&lt;&gt;""),J77&lt;&gt;"")),0,IF(S76&lt;0,IF(I78="",SMALL(P76:P77,1)-SUM(O76:O77),0),SMALL(P76:P78,1)-SUM(O76:O78))),IF(S76&lt;0,IF(I78="",SMALL(P76:P78,1)-SUM(O76:O78),0),LARGE(P76:P78,1)-SUM(O76:O78)))))</f>
        <v>14.559999999999999</v>
      </c>
      <c r="W76" s="496">
        <f>IF($D76=$D73,IF(S76&lt;0,IF(I78="",S76,0),S76)+W73,S76)</f>
        <v>14.62</v>
      </c>
      <c r="X76" s="505" t="str">
        <f>IF(OR(SUM(R76:R78)=0,V76=W76),ROUND(IF(W76=0,0,W76/Y76)*100,2)&amp;"%",ROUND(IF(V76=0,0,V76/Y76)*100,2)&amp;"% a "&amp;ROUND(IF(W76=0,0,W76/Y76)*100,2)&amp;"%")</f>
        <v>4,58%</v>
      </c>
      <c r="Y76" s="497">
        <f>IF($D76=$D73,Y73+SUM(O76:O78),SUM(O76:O78))</f>
        <v>319.03999999999996</v>
      </c>
      <c r="Z76" s="496">
        <f>IF($B76=" ",SUM(O76:O78),0)+Z73</f>
        <v>0</v>
      </c>
      <c r="AA76" s="496">
        <f>IF(G76="","",IF($B76="Anulado",LARGE(P76:P78,1)-SUM(O76:O78)+AA73,AA73))</f>
        <v>0.45899999999999785</v>
      </c>
      <c r="AB76" s="496">
        <f>IF($D76="","",AB73+S76)</f>
        <v>43.269999999999989</v>
      </c>
      <c r="AC76" s="499">
        <f ca="1">IF($D76="","",IF($B76=" ",IF(DAY(G76)=DAY(TODAY()),1+AC73,0+AC73),0+AC73))</f>
        <v>0</v>
      </c>
      <c r="AD76" s="157">
        <f>(1-_xlfn.XLOOKUP(K74,'Fevereiro 2023 - Valor Real'!A3:A15,'Fevereiro 2023 - Valor Real'!C3:C15,0))+1</f>
        <v>2</v>
      </c>
      <c r="AE76" s="158">
        <f>IF(L76="","",IF(L78&gt;0,(SUM(((L76-1)*(1-_xlfn.XLOOKUP(K76,'Fevereiro 2023 - Valor Real'!A3:A15,'Fevereiro 2023 - Valor Real'!C3:C15,0))+1),((L77-1)*(1-_xlfn.XLOOKUP(K77,'Fevereiro 2023 - Valor Real'!A3:A15,'Fevereiro 2023 - Valor Real'!C3:C15,0))+1),((L78-1)*(1-_xlfn.XLOOKUP(K78,'Fevereiro 2023 - Valor Real'!A3:A15,'Fevereiro 2023 - Valor Real'!C3:C15,0))+1))/((L76-1)*(1-_xlfn.XLOOKUP(K76,'Fevereiro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Real'!C3:C15,0))+1))/((L76-1)*(1-_xlfn.XLOOKUP(K76,'Fevereiro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Real'!C3:C15,0))+1))/((L77-1)*(1-_xlfn.XLOOKUP(K77,'Fevereiro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Real'!C3:C15,0))+1))/((L78-1)*(1-_xlfn.XLOOKUP(K78,'Fevereiro 2023 - Valor Real'!A3:A15,'Fevereiro 2023 - Valor Real'!C3:C15,0))+1)),IF(I76="Lay",IF(I77="Lay",((L77/(L77-1)-1)*(1-_xlfn.XLOOKUP(K77,'Fevereiro 2023 - Valor Real'!A3:A15,'Fevereiro 2023 - Valor Real'!C3:C15,0))+1)/(((L77/(L77-1)-1)*(1-_xlfn.XLOOKUP(K77,'Fevereiro 2023 - Valor Real'!A3:A15,'Fevereiro 2023 - Valor Real'!C3:C15,0))+1)+((L76/(L76-1)-1)*(1-_xlfn.XLOOKUP(K76,'Fevereiro 2023 - Valor Real'!A3:A15,'Fevereiro 2023 - Valor Real'!C3:C15,0))+1)),((L77-1)*(1-_xlfn.XLOOKUP(K77,'Fevereiro 2023 - Valor Real'!A3:A15,'Fevereiro 2023 - Valor Real'!C3:C15,0))+1)/(((L77-1)*(1-_xlfn.XLOOKUP(K77,'Fevereiro 2023 - Valor Real'!A3:A15,'Fevereiro 2023 - Valor Real'!C3:C15,0))+1)+((L76/(L76-1)-1)*(1-_xlfn.XLOOKUP(K76,'Fevereiro 2023 - Valor Real'!A3:A15,'Fevereiro 2023 - Valor Real'!C3:C15,0))+1))),IF(I77="Lay",(((L77/(L77-1)-1)*(1-_xlfn.XLOOKUP(K77,'Fevereiro 2023 - Valor Real'!A3:A15,'Fevereiro 2023 - Valor Real'!C3:C15,0))+1))/(((L76-1)*(1-_xlfn.XLOOKUP(K76,'Fevereiro 2023 - Valor Real'!A3:A15,'Fevereiro 2023 - Valor Real'!C3:C15,0))+1)+((L77/(L77-1)-1)*(1-_xlfn.XLOOKUP(K77,'Fevereiro 2023 - Valor Real'!A3:A15,'Fevereiro 2023 - Valor Real'!C3:C15,0))+1)),((L77-1)*(1-_xlfn.XLOOKUP(K77,'Fevereiro 2023 - Valor Real'!A3:A15,'Fevereiro 2023 - Valor Real'!C3:C15,0))+1)/(((L77-1)*(1-_xlfn.XLOOKUP(K77,'Fevereiro 2023 - Valor Real'!A3:A15,'Fevereiro 2023 - Valor Real'!C3:C15,0))+1)+((L76-1)*(1-_xlfn.XLOOKUP(K76,'Fevereiro 2023 - Valor Real'!A3:A15,'Fevereiro 2023 - Valor Real'!C3:C15,0))+1))))))</f>
        <v>0.43023255813953482</v>
      </c>
      <c r="AF76" s="66">
        <f t="shared" si="168"/>
        <v>0</v>
      </c>
      <c r="AG76" s="67">
        <f t="shared" si="168"/>
        <v>0</v>
      </c>
      <c r="AH76" s="67">
        <f t="shared" si="168"/>
        <v>0</v>
      </c>
      <c r="AI76" s="67">
        <f t="shared" si="168"/>
        <v>0</v>
      </c>
      <c r="AJ76" s="67">
        <f t="shared" si="168"/>
        <v>0</v>
      </c>
      <c r="AK76" s="67">
        <f t="shared" si="168"/>
        <v>0</v>
      </c>
      <c r="AL76" s="67">
        <f t="shared" si="168"/>
        <v>0</v>
      </c>
      <c r="AM76" s="67">
        <f t="shared" si="168"/>
        <v>0</v>
      </c>
      <c r="AN76" s="67">
        <f t="shared" si="168"/>
        <v>0</v>
      </c>
      <c r="AO76" s="67">
        <f t="shared" si="168"/>
        <v>0</v>
      </c>
      <c r="AP76" s="67">
        <f t="shared" si="168"/>
        <v>0</v>
      </c>
      <c r="AQ76" s="67">
        <f t="shared" si="168"/>
        <v>14.5</v>
      </c>
      <c r="AR76" s="68">
        <f t="shared" si="168"/>
        <v>0</v>
      </c>
      <c r="AS76" s="66">
        <f t="shared" ref="AS76:BE76" si="172">IF(AND($B76=" ",$K76=AS$3),$O76,0)</f>
        <v>0</v>
      </c>
      <c r="AT76" s="67">
        <f t="shared" si="172"/>
        <v>0</v>
      </c>
      <c r="AU76" s="67">
        <f t="shared" si="172"/>
        <v>0</v>
      </c>
      <c r="AV76" s="67">
        <f t="shared" si="172"/>
        <v>0</v>
      </c>
      <c r="AW76" s="67">
        <f t="shared" si="172"/>
        <v>0</v>
      </c>
      <c r="AX76" s="67">
        <f t="shared" si="172"/>
        <v>0</v>
      </c>
      <c r="AY76" s="69">
        <f t="shared" si="172"/>
        <v>0</v>
      </c>
      <c r="AZ76" s="70">
        <f t="shared" si="172"/>
        <v>0</v>
      </c>
      <c r="BA76" s="70">
        <f t="shared" si="172"/>
        <v>0</v>
      </c>
      <c r="BB76" s="70">
        <f t="shared" si="172"/>
        <v>0</v>
      </c>
      <c r="BC76" s="71">
        <f t="shared" si="172"/>
        <v>0</v>
      </c>
      <c r="BD76" s="67">
        <f t="shared" si="172"/>
        <v>0</v>
      </c>
      <c r="BE76" s="68">
        <f t="shared" si="172"/>
        <v>0</v>
      </c>
      <c r="BF76" s="66">
        <f t="shared" si="170"/>
        <v>0</v>
      </c>
      <c r="BG76" s="67">
        <f t="shared" si="170"/>
        <v>0</v>
      </c>
      <c r="BH76" s="67">
        <f t="shared" si="170"/>
        <v>0</v>
      </c>
      <c r="BI76" s="67">
        <f t="shared" si="170"/>
        <v>0</v>
      </c>
      <c r="BJ76" s="67">
        <f t="shared" si="170"/>
        <v>0</v>
      </c>
      <c r="BK76" s="67">
        <f t="shared" si="170"/>
        <v>0</v>
      </c>
      <c r="BL76" s="67">
        <f t="shared" si="170"/>
        <v>0</v>
      </c>
      <c r="BM76" s="69">
        <f t="shared" si="170"/>
        <v>0</v>
      </c>
      <c r="BN76" s="70">
        <f t="shared" si="170"/>
        <v>0</v>
      </c>
      <c r="BO76" s="70">
        <f t="shared" si="170"/>
        <v>0</v>
      </c>
      <c r="BP76" s="70">
        <f t="shared" si="170"/>
        <v>0</v>
      </c>
      <c r="BQ76" s="71">
        <f t="shared" si="170"/>
        <v>10</v>
      </c>
      <c r="BR76" s="68">
        <f t="shared" si="170"/>
        <v>0</v>
      </c>
      <c r="BS76" s="490">
        <f>IF($B76="LOSS",IF(AND($K76=BS$3,$C76="L"),-$O76,0)+IF(AND($K77=BS$3,$C77="L"),-$O77,0)+IF(AND($K78=BS$3,$C78="L"),-$O78,0),IF(OR(AND($K76=BS$3,OR($C76="W",$C76="1/2W")),AND($K77=BS$3,OR($C77="W",$C77="1/2W")),AND($K78=BS$3,OR($C78="W",$C78="1/2W"))),$S76,0))</f>
        <v>0</v>
      </c>
      <c r="BT76" s="498">
        <f>IF($B76="LOSS",IF(AND($K76=BT$3,$C76="L"),-$O76,0)+IF(AND($K77=BT$3,$C77="L"),-$O77,0)+IF(AND($K77=BT$3,$C78="L"),-$O78,0),IF(OR(AND($K77=BT$3,OR($C76="W",$C76="1/2W")),AND($K77=BT$3,OR($C77="W",$C77="1/2W")),AND($K77=BT$3,OR($C78="W",$C78="1/2W"))),$S76,0))</f>
        <v>0</v>
      </c>
      <c r="BU76" s="488">
        <f>IF($B76="LOSS",IF(AND($K76=BU$3,$C76="L"),-$O76,0)+IF(AND($K77=BU$3,$C77="L"),-$O77,0)+IF(AND($K77=BU$3,$C78="L"),-$O78,0),IF(OR(AND($K77=BU$3,OR($C76="W",$C76="1/2W")),AND($K77=BU$3,OR($C77="W",$C77="1/2W")),AND($K77=BU$3,OR($C78="W",$C78="1/2W"))),$S76,0))</f>
        <v>0</v>
      </c>
      <c r="BV76" s="488">
        <f t="shared" ref="BV76:CE76" si="173">IF($B76="LOSS",IF(AND($K76=BV$3,$C76="L"),-$O76,0)+IF(AND($K77=BV$3,$C77="L"),-$O77,0)+IF(AND($K78=BV$3,$C78="L"),-$O78,0),IF(OR(AND($K76=BV$3,OR($C76="W",$C76="1/2W")),AND($K77=BV$3,OR($C77="W",$C77="1/2W")),AND($K78=BV$3,OR($C78="W",$C78="1/2W"))),$S76,0))</f>
        <v>0</v>
      </c>
      <c r="BW76" s="488">
        <f t="shared" si="173"/>
        <v>0</v>
      </c>
      <c r="BX76" s="488">
        <f t="shared" si="173"/>
        <v>0</v>
      </c>
      <c r="BY76" s="488">
        <f t="shared" si="173"/>
        <v>0</v>
      </c>
      <c r="BZ76" s="488">
        <f t="shared" si="173"/>
        <v>0</v>
      </c>
      <c r="CA76" s="488">
        <f t="shared" si="173"/>
        <v>0</v>
      </c>
      <c r="CB76" s="488">
        <f t="shared" si="173"/>
        <v>0</v>
      </c>
      <c r="CC76" s="488">
        <f t="shared" si="173"/>
        <v>0</v>
      </c>
      <c r="CD76" s="500">
        <f t="shared" si="173"/>
        <v>1.26</v>
      </c>
      <c r="CE76" s="504">
        <f t="shared" si="173"/>
        <v>0</v>
      </c>
      <c r="CF76" s="160">
        <f t="shared" si="131"/>
        <v>0</v>
      </c>
      <c r="CG76" s="161">
        <f t="shared" si="132"/>
        <v>0</v>
      </c>
      <c r="CH76" s="161">
        <f t="shared" si="133"/>
        <v>0</v>
      </c>
      <c r="CI76" s="161">
        <f t="shared" si="134"/>
        <v>0</v>
      </c>
      <c r="CJ76" s="161">
        <f t="shared" si="135"/>
        <v>0</v>
      </c>
      <c r="CK76" s="161">
        <f t="shared" si="136"/>
        <v>0</v>
      </c>
      <c r="CL76" s="161">
        <f t="shared" si="137"/>
        <v>0</v>
      </c>
      <c r="CM76" s="161">
        <f t="shared" si="138"/>
        <v>0</v>
      </c>
      <c r="CN76" s="161">
        <f t="shared" si="139"/>
        <v>0</v>
      </c>
      <c r="CO76" s="161">
        <f t="shared" si="140"/>
        <v>0</v>
      </c>
      <c r="CP76" s="161">
        <f t="shared" si="141"/>
        <v>0</v>
      </c>
      <c r="CQ76" s="161">
        <f t="shared" si="142"/>
        <v>0</v>
      </c>
      <c r="CR76" s="161">
        <f t="shared" si="143"/>
        <v>0</v>
      </c>
      <c r="CS76" s="161">
        <f t="shared" si="144"/>
        <v>0</v>
      </c>
      <c r="CT76" s="75">
        <f t="shared" si="145"/>
        <v>0</v>
      </c>
      <c r="CU76" s="76">
        <f t="shared" si="146"/>
        <v>0</v>
      </c>
      <c r="CV76" s="76">
        <f t="shared" si="147"/>
        <v>0</v>
      </c>
      <c r="CW76" s="76">
        <f t="shared" si="148"/>
        <v>0</v>
      </c>
      <c r="CX76" s="76">
        <f t="shared" si="149"/>
        <v>0</v>
      </c>
      <c r="CY76" s="76">
        <f t="shared" si="150"/>
        <v>0</v>
      </c>
      <c r="CZ76" s="76">
        <f t="shared" si="151"/>
        <v>0</v>
      </c>
      <c r="DA76" s="76">
        <f t="shared" si="152"/>
        <v>0</v>
      </c>
      <c r="DB76" s="76">
        <f t="shared" si="153"/>
        <v>1</v>
      </c>
      <c r="DC76" s="76">
        <f t="shared" si="154"/>
        <v>0</v>
      </c>
      <c r="DD76" s="76">
        <f t="shared" si="155"/>
        <v>0</v>
      </c>
      <c r="DE76" s="77">
        <f t="shared" si="156"/>
        <v>0</v>
      </c>
      <c r="DF76" s="73">
        <f t="shared" si="158"/>
        <v>10</v>
      </c>
      <c r="DG76" s="67">
        <f t="shared" si="159"/>
        <v>13.350000000000001</v>
      </c>
      <c r="DH76" s="76">
        <f t="shared" si="160"/>
        <v>0</v>
      </c>
      <c r="DI76" s="67">
        <f t="shared" si="161"/>
        <v>0</v>
      </c>
      <c r="DJ76" s="202" t="str">
        <f>IF($D76="","",$D76)</f>
        <v>2</v>
      </c>
      <c r="DK76" s="492">
        <f>IF(AND($B76=" ",$D76&lt;&gt;""),1,0)</f>
        <v>0</v>
      </c>
    </row>
    <row r="77" spans="1:115" ht="14.5" customHeight="1" x14ac:dyDescent="0.2">
      <c r="A77" s="389"/>
      <c r="B77" s="456"/>
      <c r="C77" s="53" t="s">
        <v>55</v>
      </c>
      <c r="D77" s="374"/>
      <c r="E77" s="386"/>
      <c r="F77" s="377"/>
      <c r="G77" s="508"/>
      <c r="H77" s="476"/>
      <c r="I77" s="182" t="s">
        <v>52</v>
      </c>
      <c r="J77" s="56">
        <f>IF(OR(I76="TO",I76="TU",I76="TO1",I76="TU1",I76="TO2",I76="TU2"),J76,IF(OR(I76="AH1",I76="AH2"),IF(OR(I77="AH1",I77="AH2"),-J76,IF(OR(I77="EH1",I77="EH2"),-J76+0.5,"")),IF(OR(I76="EH1",I76="EH2"),IF(OR(I77="AH1",I77="AH2"),-J76+0.5,IF(OR(I77="EH1",I77="EH2"),-J76+1,"")),IF(AND(OR(I76="DNB1",I76="DNB2"),OR(I77="AH1",I77="AH2")),0,IF(AND(I76="Not ScoreBoth",OR(I77="TO1",I77="TO2")),0.5,"")))))</f>
        <v>1</v>
      </c>
      <c r="K77" s="57" t="s">
        <v>40</v>
      </c>
      <c r="L77" s="164">
        <v>1.85</v>
      </c>
      <c r="M77" s="165">
        <v>13.24</v>
      </c>
      <c r="N77" s="406"/>
      <c r="O77" s="60">
        <f>IF(OR(AE76="",AE77=""),"",ROUND(IF(L78&gt;0,IF(M77&gt;0,M77,IF(M76&gt;0,IF(N76=TRUE,ROUND((M76*AE77)/AE76,0),(M76*AE77)/AE76),IF(M77&gt;0,ROUND(M77,IF(N76=0,2,IF(N76=0.1,1,0))),IF(M78&gt;0,ROUND(O78*AE77/AE78,IF(N76=0,2,IF(N76=0.1,1,0))),0)))),IF(M77&gt;0,M77,ROUND((M76*AE77)/AE76,IF(N76=0,2,IF(N76=0.1,1,0))))),2))</f>
        <v>13.24</v>
      </c>
      <c r="P77" s="61">
        <f>IF(OR(L77="",O77=""),"",IF($C77="1/2W",O77/2+O77/2*L77,IF($C77="1/2L",O77/2,IF(I77="Lay",((O77*(L77/(L77-1)))-O77)*(1-_xlfn.XLOOKUP(K77,'Fevereiro 2023 - Valor Real'!A3:A15,'Fevereiro 2023 - Valor Real'!C3:C15,0))+O77,(O77*L77-O77)*(1-_xlfn.XLOOKUP(K77,'Fevereiro 2023 - Valor Real'!A3:A15,'Fevereiro 2023 - Valor Real'!C3:C15,0))+O77))))</f>
        <v>24.494000000000003</v>
      </c>
      <c r="Q77" s="166">
        <f>IF(K77="","",IF(_xlfn.XLOOKUP(K77,K$4:K76,$DJ$4:DJ76,0,,-1)=DJ77,_xlfn.XLOOKUP(K77,K$4:K76,Q$4:Q76,1,,-1)+1,1))</f>
        <v>5</v>
      </c>
      <c r="R77" s="167">
        <f>IF(K77="","",_xlfn.XLOOKUP(K77,K$4:K76,R$4:R76,0,,-1)+IF($C77=" ",1,0))</f>
        <v>0</v>
      </c>
      <c r="S77" s="403"/>
      <c r="T77" s="380"/>
      <c r="U77" s="380"/>
      <c r="V77" s="481"/>
      <c r="W77" s="380"/>
      <c r="X77" s="452"/>
      <c r="Y77" s="383"/>
      <c r="Z77" s="384"/>
      <c r="AA77" s="384"/>
      <c r="AB77" s="384"/>
      <c r="AC77" s="384"/>
      <c r="AD77" s="64"/>
      <c r="AE77" s="65">
        <f>IF(L77="","",IF(L78&gt;0,(SUM(((L76-1)*(1-_xlfn.XLOOKUP(K76,'Fevereiro 2023 - Valor Real'!A3:A15,'Fevereiro 2023 - Valor Real'!C3:C15,0))+1),((L77-1)*(1-_xlfn.XLOOKUP(K77,'Fevereiro 2023 - Valor Real'!A3:A15,'Fevereiro 2023 - Valor Real'!C3:C15,0))+1),((L78-1)*(1-_xlfn.XLOOKUP(K78,'Fevereiro 2023 - Valor Real'!A3:A15,'Fevereiro 2023 - Valor Real'!C3:C15,0))+1))/((L77-1)*(1-_xlfn.XLOOKUP(K77,'Fevereiro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Real'!C3:C15,0))+1))/((L76-1)*(1-_xlfn.XLOOKUP(K76,'Fevereiro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Real'!C3:C15,0))+1))/((L77-1)*(1-_xlfn.XLOOKUP(K77,'Fevereiro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Real'!C3:C15,0))+1))/((L78-1)*(1-_xlfn.XLOOKUP(K78,'Fevereiro 2023 - Valor Real'!A3:A15,'Fevereiro 2023 - Valor Real'!C3:C15,0))+1)),IF(I77="Lay",IF(I76="Lay",((L76/(L76-1)-1)*(1-_xlfn.XLOOKUP(K76,'Fevereiro 2023 - Valor Real'!A3:A15,'Fevereiro 2023 - Valor Real'!C3:C15,0))+1)/(((L76/(L76-1)-1)*(1-_xlfn.XLOOKUP(K76,'Fevereiro 2023 - Valor Real'!A3:A15,'Fevereiro 2023 - Valor Real'!C3:C15,0))+1)+((L77/(L77-1)-1)*(1-_xlfn.XLOOKUP(K77,'Fevereiro 2023 - Valor Real'!A3:A15,'Fevereiro 2023 - Valor Real'!C3:C15,0))+1)),((L76-1)*(1-_xlfn.XLOOKUP(K76,'Fevereiro 2023 - Valor Real'!A3:A15,'Fevereiro 2023 - Valor Real'!C3:C15,0))+1)/(((L76-1)*(1-_xlfn.XLOOKUP(K76,'Fevereiro 2023 - Valor Real'!A3:A15,'Fevereiro 2023 - Valor Real'!C3:C15,0))+1)+((L77/(L77-1)-1)*(1-_xlfn.XLOOKUP(K77,'Fevereiro 2023 - Valor Real'!A3:A15,'Fevereiro 2023 - Valor Real'!C3:C15,0))+1))),IF(I76="Lay",((L76/(L76-1)-1)*(1-_xlfn.XLOOKUP(K76,'Fevereiro 2023 - Valor Real'!A3:A15,'Fevereiro 2023 - Valor Real'!C3:C15,0))+1)/((((L76/(L76-1)-1)*(1-_xlfn.XLOOKUP(K76,'Fevereiro 2023 - Valor Real'!A3:A15,'Fevereiro 2023 - Valor Real'!C3:C15,0))+1))+((L77-1)*(1-_xlfn.XLOOKUP(K77,'Fevereiro 2023 - Valor Real'!A3:A15,'Fevereiro 2023 - Valor Real'!C3:C15,0))+1)),((L76-1)*(1-_xlfn.XLOOKUP(K76,'Fevereiro 2023 - Valor Real'!A3:A15,'Fevereiro 2023 - Valor Real'!C3:C15,0))+1)/(((L76-1)*(1-_xlfn.XLOOKUP(K76,'Fevereiro 2023 - Valor Real'!A3:A15,'Fevereiro 2023 - Valor Real'!C3:C15,0))+1)+((L77-1)*(1-_xlfn.XLOOKUP(K77,'Fevereiro 2023 - Valor Real'!A3:A15,'Fevereiro 2023 - Valor Real'!C3:C15,0))+1))))))</f>
        <v>0.56976744186046502</v>
      </c>
      <c r="AF77" s="66">
        <f t="shared" si="168"/>
        <v>0</v>
      </c>
      <c r="AG77" s="67">
        <f t="shared" si="168"/>
        <v>0</v>
      </c>
      <c r="AH77" s="67">
        <f t="shared" si="168"/>
        <v>0</v>
      </c>
      <c r="AI77" s="67">
        <f t="shared" si="168"/>
        <v>0</v>
      </c>
      <c r="AJ77" s="67">
        <f t="shared" si="168"/>
        <v>-13.24</v>
      </c>
      <c r="AK77" s="67">
        <f t="shared" si="168"/>
        <v>0</v>
      </c>
      <c r="AL77" s="67">
        <f t="shared" si="168"/>
        <v>0</v>
      </c>
      <c r="AM77" s="67">
        <f t="shared" si="168"/>
        <v>0</v>
      </c>
      <c r="AN77" s="67">
        <f t="shared" si="168"/>
        <v>0</v>
      </c>
      <c r="AO77" s="67">
        <f t="shared" si="168"/>
        <v>0</v>
      </c>
      <c r="AP77" s="67">
        <f t="shared" si="168"/>
        <v>0</v>
      </c>
      <c r="AQ77" s="67">
        <f t="shared" si="168"/>
        <v>0</v>
      </c>
      <c r="AR77" s="68">
        <f t="shared" si="168"/>
        <v>0</v>
      </c>
      <c r="AS77" s="66">
        <f>IF(AND($B76=" ",$K77=AS$3),$O77,0)</f>
        <v>0</v>
      </c>
      <c r="AT77" s="67">
        <f>IF(AND($B76=" ",K77=AT$3),$O77,0)</f>
        <v>0</v>
      </c>
      <c r="AU77" s="67">
        <f t="shared" ref="AU77:BE77" si="174">IF(AND($B76=" ",$K77=AU$3),$O77,0)</f>
        <v>0</v>
      </c>
      <c r="AV77" s="67">
        <f t="shared" si="174"/>
        <v>0</v>
      </c>
      <c r="AW77" s="67">
        <f t="shared" si="174"/>
        <v>0</v>
      </c>
      <c r="AX77" s="67">
        <f t="shared" si="174"/>
        <v>0</v>
      </c>
      <c r="AY77" s="69">
        <f t="shared" si="174"/>
        <v>0</v>
      </c>
      <c r="AZ77" s="70">
        <f t="shared" si="174"/>
        <v>0</v>
      </c>
      <c r="BA77" s="70">
        <f t="shared" si="174"/>
        <v>0</v>
      </c>
      <c r="BB77" s="70">
        <f t="shared" si="174"/>
        <v>0</v>
      </c>
      <c r="BC77" s="71">
        <f t="shared" si="174"/>
        <v>0</v>
      </c>
      <c r="BD77" s="67">
        <f t="shared" si="174"/>
        <v>0</v>
      </c>
      <c r="BE77" s="68">
        <f t="shared" si="174"/>
        <v>0</v>
      </c>
      <c r="BF77" s="66">
        <f t="shared" si="170"/>
        <v>0</v>
      </c>
      <c r="BG77" s="168">
        <f t="shared" si="170"/>
        <v>0</v>
      </c>
      <c r="BH77" s="67">
        <f t="shared" si="170"/>
        <v>0</v>
      </c>
      <c r="BI77" s="67">
        <f t="shared" si="170"/>
        <v>0</v>
      </c>
      <c r="BJ77" s="67">
        <f t="shared" si="170"/>
        <v>13.24</v>
      </c>
      <c r="BK77" s="67">
        <f t="shared" si="170"/>
        <v>0</v>
      </c>
      <c r="BL77" s="67">
        <f t="shared" si="170"/>
        <v>0</v>
      </c>
      <c r="BM77" s="69">
        <f t="shared" si="170"/>
        <v>0</v>
      </c>
      <c r="BN77" s="70">
        <f t="shared" si="170"/>
        <v>0</v>
      </c>
      <c r="BO77" s="70">
        <f t="shared" si="170"/>
        <v>0</v>
      </c>
      <c r="BP77" s="70">
        <f t="shared" si="170"/>
        <v>0</v>
      </c>
      <c r="BQ77" s="71">
        <f t="shared" si="170"/>
        <v>0</v>
      </c>
      <c r="BR77" s="68">
        <f t="shared" si="170"/>
        <v>0</v>
      </c>
      <c r="BS77" s="491"/>
      <c r="BT77" s="489"/>
      <c r="BU77" s="392"/>
      <c r="BV77" s="489"/>
      <c r="BW77" s="392"/>
      <c r="BX77" s="392"/>
      <c r="BY77" s="392"/>
      <c r="BZ77" s="489"/>
      <c r="CA77" s="392"/>
      <c r="CB77" s="392"/>
      <c r="CC77" s="392"/>
      <c r="CD77" s="401"/>
      <c r="CE77" s="409"/>
      <c r="CF77" s="169">
        <f t="shared" si="131"/>
        <v>0</v>
      </c>
      <c r="CG77" s="170">
        <f t="shared" si="132"/>
        <v>0</v>
      </c>
      <c r="CH77" s="170">
        <f t="shared" si="133"/>
        <v>0</v>
      </c>
      <c r="CI77" s="170">
        <f t="shared" si="134"/>
        <v>0</v>
      </c>
      <c r="CJ77" s="170">
        <f t="shared" si="135"/>
        <v>0</v>
      </c>
      <c r="CK77" s="170">
        <f t="shared" si="136"/>
        <v>0</v>
      </c>
      <c r="CL77" s="170">
        <f t="shared" si="137"/>
        <v>0</v>
      </c>
      <c r="CM77" s="170">
        <f t="shared" si="138"/>
        <v>0</v>
      </c>
      <c r="CN77" s="170">
        <f t="shared" si="139"/>
        <v>0</v>
      </c>
      <c r="CO77" s="170">
        <f t="shared" si="140"/>
        <v>1</v>
      </c>
      <c r="CP77" s="170">
        <f t="shared" si="141"/>
        <v>0</v>
      </c>
      <c r="CQ77" s="170">
        <f t="shared" si="142"/>
        <v>0</v>
      </c>
      <c r="CR77" s="170">
        <f t="shared" si="143"/>
        <v>0</v>
      </c>
      <c r="CS77" s="170">
        <f t="shared" si="144"/>
        <v>0</v>
      </c>
      <c r="CT77" s="75">
        <f t="shared" si="145"/>
        <v>0</v>
      </c>
      <c r="CU77" s="76">
        <f t="shared" si="146"/>
        <v>0</v>
      </c>
      <c r="CV77" s="76">
        <f t="shared" si="147"/>
        <v>0</v>
      </c>
      <c r="CW77" s="76">
        <f t="shared" si="148"/>
        <v>0</v>
      </c>
      <c r="CX77" s="76">
        <f t="shared" si="149"/>
        <v>0</v>
      </c>
      <c r="CY77" s="76">
        <f t="shared" si="150"/>
        <v>0</v>
      </c>
      <c r="CZ77" s="76">
        <f t="shared" si="151"/>
        <v>0</v>
      </c>
      <c r="DA77" s="76">
        <f t="shared" si="152"/>
        <v>0</v>
      </c>
      <c r="DB77" s="76">
        <f t="shared" si="153"/>
        <v>0</v>
      </c>
      <c r="DC77" s="76">
        <f t="shared" si="154"/>
        <v>0</v>
      </c>
      <c r="DD77" s="76">
        <f t="shared" si="155"/>
        <v>0</v>
      </c>
      <c r="DE77" s="77">
        <f t="shared" si="156"/>
        <v>0</v>
      </c>
      <c r="DF77" s="73">
        <f t="shared" si="158"/>
        <v>10</v>
      </c>
      <c r="DG77" s="67">
        <f t="shared" si="159"/>
        <v>13.350000000000001</v>
      </c>
      <c r="DH77" s="76">
        <f t="shared" si="160"/>
        <v>0</v>
      </c>
      <c r="DI77" s="67">
        <f t="shared" si="161"/>
        <v>0</v>
      </c>
      <c r="DJ77" s="202" t="str">
        <f>IF($D76="","",$D76)</f>
        <v>2</v>
      </c>
      <c r="DK77" s="493"/>
    </row>
    <row r="78" spans="1:115" ht="14.5" customHeight="1" x14ac:dyDescent="0.2">
      <c r="A78" s="390"/>
      <c r="B78" s="457"/>
      <c r="C78" s="79" t="s">
        <v>53</v>
      </c>
      <c r="D78" s="375"/>
      <c r="E78" s="387"/>
      <c r="F78" s="378"/>
      <c r="G78" s="508"/>
      <c r="H78" s="477"/>
      <c r="I78" s="171"/>
      <c r="J78" s="172"/>
      <c r="K78" s="81"/>
      <c r="L78" s="173"/>
      <c r="M78" s="174"/>
      <c r="N78" s="407"/>
      <c r="O78" s="86" t="str">
        <f>IF(OR(AE76="",AE77=""),"",IF(L78&gt;0,ROUND(IF(M78&gt;0,M78,IF(M76&gt;0,ROUND((M76*AE78)/AE76,IF(N76=0,2,IF(N76=0.1,1,0))),IF(M77&gt;0,ROUND((M77*AE78)/AE77,IF(N76=0,2,IF(N76=0.1,1,0))),IF(M78&gt;0,M78,0)))),2),""))</f>
        <v/>
      </c>
      <c r="P78" s="87" t="str">
        <f>IF(I77="Lay",O77*(L77/(L77-1))-O77,IF(I76="Lay",O76*(L76/(L76-1))-O76,IF(OR(L78="",O78=""),"",IF($C78="1/2W",O78/2+O78/2*L78,IF($C78="1/2L",O78/2,(O78*L78-O78)*(1-_xlfn.XLOOKUP(K78,'Fevereiro 2023 - Valor Real'!A3:A15,'Fevereiro 2023 - Valor Real'!C3:C15,0))+O78)))))</f>
        <v/>
      </c>
      <c r="Q78" s="80" t="str">
        <f>IF(K78="","",IF(_xlfn.XLOOKUP(K78,K$4:K77,$DJ$4:DJ77,0,,-1)=DJ78,_xlfn.XLOOKUP(K78,K$4:K77,Q$4:Q77,1,,-1)+1,1))</f>
        <v/>
      </c>
      <c r="R78" s="87" t="str">
        <f>IF(K78="","",_xlfn.XLOOKUP(K78,K$4:K77,R$4:R77,0,,-1)+IF($C78=" ",1,0))</f>
        <v/>
      </c>
      <c r="S78" s="404"/>
      <c r="T78" s="378"/>
      <c r="U78" s="378"/>
      <c r="V78" s="404"/>
      <c r="W78" s="378"/>
      <c r="X78" s="453"/>
      <c r="Y78" s="383"/>
      <c r="Z78" s="384"/>
      <c r="AA78" s="384"/>
      <c r="AB78" s="384"/>
      <c r="AC78" s="384"/>
      <c r="AD78" s="90"/>
      <c r="AE78" s="91" t="str">
        <f>IF(L78="","",(SUM(((L76-1)*(1-_xlfn.XLOOKUP(K76,'Fevereiro 2023 - Valor Real'!A3:A15,'Fevereiro 2023 - Valor Real'!C3:C15,0))+1),((L77-1)*(1-_xlfn.XLOOKUP(K77,'Fevereiro 2023 - Valor Real'!A3:A15,'Fevereiro 2023 - Valor Real'!C3:C15,0))+1),((L78-1)*(1-_xlfn.XLOOKUP(K78,'Fevereiro 2023 - Valor Real'!A3:A15,'Fevereiro 2023 - Valor Real'!C3:C15,0))+1))/((L78-1)*(1-_xlfn.XLOOKUP(K78,'Fevereiro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Real'!C3:C15,0))+1))/((L76-1)*(1-_xlfn.XLOOKUP(K76,'Fevereiro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Real'!C3:C15,0))+1))/((L77-1)*(1-_xlfn.XLOOKUP(K77,'Fevereiro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Real'!C3:C15,0))+1))/((L78-1)*(1-_xlfn.XLOOKUP(K78,'Fevereiro 2023 - Valor Real'!A3:A15,'Fevereiro 2023 - Valor Real'!C3:C15,0))+1)))</f>
        <v/>
      </c>
      <c r="AF78" s="66">
        <f t="shared" si="168"/>
        <v>0</v>
      </c>
      <c r="AG78" s="67">
        <f t="shared" si="168"/>
        <v>0</v>
      </c>
      <c r="AH78" s="67">
        <f t="shared" si="168"/>
        <v>0</v>
      </c>
      <c r="AI78" s="67">
        <f t="shared" si="168"/>
        <v>0</v>
      </c>
      <c r="AJ78" s="67">
        <f t="shared" si="168"/>
        <v>0</v>
      </c>
      <c r="AK78" s="67">
        <f t="shared" si="168"/>
        <v>0</v>
      </c>
      <c r="AL78" s="67">
        <f t="shared" si="168"/>
        <v>0</v>
      </c>
      <c r="AM78" s="67">
        <f t="shared" si="168"/>
        <v>0</v>
      </c>
      <c r="AN78" s="67">
        <f t="shared" si="168"/>
        <v>0</v>
      </c>
      <c r="AO78" s="67">
        <f t="shared" si="168"/>
        <v>0</v>
      </c>
      <c r="AP78" s="67">
        <f t="shared" si="168"/>
        <v>0</v>
      </c>
      <c r="AQ78" s="67">
        <f t="shared" si="168"/>
        <v>0</v>
      </c>
      <c r="AR78" s="68">
        <f t="shared" si="168"/>
        <v>0</v>
      </c>
      <c r="AS78" s="66">
        <f>IF(AND($B76=" ",$K78=AS$3),$O78,0)</f>
        <v>0</v>
      </c>
      <c r="AT78" s="67">
        <f>IF(AND($B76=" ",K78=AT$3),$O78,0)</f>
        <v>0</v>
      </c>
      <c r="AU78" s="67">
        <f t="shared" ref="AU78:BE78" si="175">IF(AND($B76=" ",$K78=AU$3),$O78,0)</f>
        <v>0</v>
      </c>
      <c r="AV78" s="67">
        <f t="shared" si="175"/>
        <v>0</v>
      </c>
      <c r="AW78" s="67">
        <f t="shared" si="175"/>
        <v>0</v>
      </c>
      <c r="AX78" s="67">
        <f t="shared" si="175"/>
        <v>0</v>
      </c>
      <c r="AY78" s="69">
        <f t="shared" si="175"/>
        <v>0</v>
      </c>
      <c r="AZ78" s="70">
        <f t="shared" si="175"/>
        <v>0</v>
      </c>
      <c r="BA78" s="70">
        <f t="shared" si="175"/>
        <v>0</v>
      </c>
      <c r="BB78" s="70">
        <f t="shared" si="175"/>
        <v>0</v>
      </c>
      <c r="BC78" s="71">
        <f t="shared" si="175"/>
        <v>0</v>
      </c>
      <c r="BD78" s="67">
        <f t="shared" si="175"/>
        <v>0</v>
      </c>
      <c r="BE78" s="68">
        <f t="shared" si="175"/>
        <v>0</v>
      </c>
      <c r="BF78" s="66">
        <f t="shared" si="170"/>
        <v>0</v>
      </c>
      <c r="BG78" s="168">
        <f t="shared" si="170"/>
        <v>0</v>
      </c>
      <c r="BH78" s="67">
        <f t="shared" si="170"/>
        <v>0</v>
      </c>
      <c r="BI78" s="67">
        <f t="shared" si="170"/>
        <v>0</v>
      </c>
      <c r="BJ78" s="67">
        <f t="shared" si="170"/>
        <v>0</v>
      </c>
      <c r="BK78" s="67">
        <f t="shared" si="170"/>
        <v>0</v>
      </c>
      <c r="BL78" s="67">
        <f t="shared" si="170"/>
        <v>0</v>
      </c>
      <c r="BM78" s="69">
        <f t="shared" si="170"/>
        <v>0</v>
      </c>
      <c r="BN78" s="70">
        <f t="shared" si="170"/>
        <v>0</v>
      </c>
      <c r="BO78" s="70">
        <f t="shared" si="170"/>
        <v>0</v>
      </c>
      <c r="BP78" s="70">
        <f t="shared" si="170"/>
        <v>0</v>
      </c>
      <c r="BQ78" s="71">
        <f t="shared" si="170"/>
        <v>0</v>
      </c>
      <c r="BR78" s="68">
        <f t="shared" si="170"/>
        <v>0</v>
      </c>
      <c r="BS78" s="491"/>
      <c r="BT78" s="489"/>
      <c r="BU78" s="392"/>
      <c r="BV78" s="489"/>
      <c r="BW78" s="392"/>
      <c r="BX78" s="392"/>
      <c r="BY78" s="392"/>
      <c r="BZ78" s="489"/>
      <c r="CA78" s="392"/>
      <c r="CB78" s="392"/>
      <c r="CC78" s="392"/>
      <c r="CD78" s="401"/>
      <c r="CE78" s="409"/>
      <c r="CF78" s="169">
        <f t="shared" si="131"/>
        <v>0</v>
      </c>
      <c r="CG78" s="170">
        <f t="shared" si="132"/>
        <v>0</v>
      </c>
      <c r="CH78" s="170">
        <f t="shared" si="133"/>
        <v>0</v>
      </c>
      <c r="CI78" s="170">
        <f t="shared" si="134"/>
        <v>0</v>
      </c>
      <c r="CJ78" s="170">
        <f t="shared" si="135"/>
        <v>0</v>
      </c>
      <c r="CK78" s="170">
        <f t="shared" si="136"/>
        <v>0</v>
      </c>
      <c r="CL78" s="170">
        <f t="shared" si="137"/>
        <v>0</v>
      </c>
      <c r="CM78" s="170">
        <f t="shared" si="138"/>
        <v>0</v>
      </c>
      <c r="CN78" s="170">
        <f t="shared" si="139"/>
        <v>0</v>
      </c>
      <c r="CO78" s="170">
        <f t="shared" si="140"/>
        <v>0</v>
      </c>
      <c r="CP78" s="170">
        <f t="shared" si="141"/>
        <v>0</v>
      </c>
      <c r="CQ78" s="170">
        <f t="shared" si="142"/>
        <v>0</v>
      </c>
      <c r="CR78" s="170">
        <f t="shared" si="143"/>
        <v>0</v>
      </c>
      <c r="CS78" s="170">
        <f t="shared" si="144"/>
        <v>0</v>
      </c>
      <c r="CT78" s="75">
        <f t="shared" si="145"/>
        <v>0</v>
      </c>
      <c r="CU78" s="76">
        <f t="shared" si="146"/>
        <v>0</v>
      </c>
      <c r="CV78" s="76">
        <f t="shared" si="147"/>
        <v>0</v>
      </c>
      <c r="CW78" s="76">
        <f t="shared" si="148"/>
        <v>0</v>
      </c>
      <c r="CX78" s="76">
        <f t="shared" si="149"/>
        <v>0</v>
      </c>
      <c r="CY78" s="76">
        <f t="shared" si="150"/>
        <v>0</v>
      </c>
      <c r="CZ78" s="76">
        <f t="shared" si="151"/>
        <v>0</v>
      </c>
      <c r="DA78" s="76">
        <f t="shared" si="152"/>
        <v>0</v>
      </c>
      <c r="DB78" s="76">
        <f t="shared" si="153"/>
        <v>0</v>
      </c>
      <c r="DC78" s="76">
        <f t="shared" si="154"/>
        <v>0</v>
      </c>
      <c r="DD78" s="76">
        <f t="shared" si="155"/>
        <v>0</v>
      </c>
      <c r="DE78" s="77">
        <f t="shared" si="156"/>
        <v>0</v>
      </c>
      <c r="DF78" s="73">
        <f t="shared" si="158"/>
        <v>10</v>
      </c>
      <c r="DG78" s="67">
        <f t="shared" si="159"/>
        <v>13.350000000000001</v>
      </c>
      <c r="DH78" s="76">
        <f t="shared" si="160"/>
        <v>0</v>
      </c>
      <c r="DI78" s="67">
        <f t="shared" si="161"/>
        <v>0</v>
      </c>
      <c r="DJ78" s="202" t="str">
        <f>IF($D76="","",$D76)</f>
        <v>2</v>
      </c>
      <c r="DK78" s="493"/>
    </row>
    <row r="79" spans="1:115" ht="14.5" customHeight="1" x14ac:dyDescent="0.2">
      <c r="A79" s="459">
        <f>$A76+1</f>
        <v>26</v>
      </c>
      <c r="B79" s="507" t="str">
        <f>IF(OR(C79="W",C80="W",C81="W",C79="1/2W",C80="1/2W",C81="1/2W",C79="1/2L",C80="1/2L",C81="1/2L"),"OK",IF(OR(C79="L",C80="L",C81="L"),"LOSS",IF(OR(C79="X",C80="X",C81="X"),"Anulado"," ")))</f>
        <v>OK</v>
      </c>
      <c r="C79" s="93" t="s">
        <v>54</v>
      </c>
      <c r="D79" s="468" t="str">
        <f>IF(G79="","",$D76)</f>
        <v>2</v>
      </c>
      <c r="E79" s="485" t="str">
        <f>IF(G79=""," ","– "&amp;COUNTIF(D$4:D81,$D79))</f>
        <v>– 9</v>
      </c>
      <c r="F79" s="509" t="str">
        <f ca="1">IF(G79="","",IF(OR(AND($C79&lt;&gt;" ",$C80=" "),AND($C80&lt;&gt;" ",$C79=" "),AND(L81&gt;0,OR(AND($C81&lt;&gt;" ",OR($C79=" ",$C80=" ")),AND($C81=" ",OR($C79&lt;&gt;" ",$C80&lt;&gt;" "))))),IF(SUM(F$6:F74)=0,1,LARGE(F$6:F74,1)+1),IF(MONTH(G79)=MONTH(TODAY()),IF(AND(DAY(G79)&lt;DAY(TODAY()),$B79=" "),IF(SUM(F$6:F74)=0,1,LARGE(F$6:F74,1)+1),IF($B79=" ",IF(AND(DAY(G79)=DAY(TODAY()),HOUR(G79)&lt;=HOUR(NOW())+1),IF(AND(HOUR(G79)+2&lt;=HOUR(NOW()),DAY(G79)&lt;=DAY(TODAY()),MINUTE(G79)&lt;=MINUTE(NOW())),IF(SUM(F$6:F74)=0,1,LARGE(F$6:F74,1)+1),IF(OR(MINUTE(G79)&lt;=MINUTE(NOW()),HOUR(G79)&lt;=HOUR(NOW())),"!!!","")),""),"")),"")))</f>
        <v/>
      </c>
      <c r="G79" s="482">
        <v>44987.458333333336</v>
      </c>
      <c r="H79" s="475" t="s">
        <v>81</v>
      </c>
      <c r="I79" s="175">
        <v>2</v>
      </c>
      <c r="J79" s="176"/>
      <c r="K79" s="96" t="s">
        <v>38</v>
      </c>
      <c r="L79" s="97">
        <v>1.1000000000000001</v>
      </c>
      <c r="M79" s="98">
        <v>42</v>
      </c>
      <c r="N79" s="478">
        <v>0</v>
      </c>
      <c r="O79" s="99">
        <f>IF(OR(AE79="",AE80=""),"",ROUND(IF(L81&gt;0,IF(M79&gt;0,M79,IF(M80&gt;0,ROUND((M80*AE79)/AE80,IF(N79=0,2,IF(N79=0.1,1,0))),ROUND((M81*AE79)/AE81,IF(N79=0,2,IF(N79=0.1,1,0))))),IF(M79&gt;0,M79,ROUND((M80*AE79)/AE80,IF(N79=0,2,IF(N79=0.1,1,0))))),2))</f>
        <v>42</v>
      </c>
      <c r="P79" s="100">
        <f>IF(OR(L79="",O79=""),"",IF($C79="1/2W",O79/2+O79/2*L79,IF($C79="1/2L",O79/2,IF(I79="Lay",(O79*(L79/(L79-1))-O79)*(1-_xlfn.XLOOKUP(K79,'Fevereiro 2023 - Valor Real'!A3:A15,'Fevereiro 2023 - Valor Real'!C3:C15,0))+O79,(O79*L79-O79)*(1-_xlfn.XLOOKUP(K79,'Fevereiro 2023 - Valor Real'!A3:A15,'Fevereiro 2023 - Valor Real'!C3:C15,0))+O79))))</f>
        <v>45.927</v>
      </c>
      <c r="Q79" s="177">
        <f>IF(K79="","",IF(_xlfn.XLOOKUP(K79,K$6:K74,$DJ$6:DJ74,0,,-1)=DJ79,_xlfn.XLOOKUP(K79,K$6:K74,Q$6:Q74,1,,-1)+1,1))</f>
        <v>1</v>
      </c>
      <c r="R79" s="102">
        <f>IF(K79="","",_xlfn.XLOOKUP(K79,K$6:K74,R$6:R74,0,,-1)+IF($C79=" ",1,0))</f>
        <v>0</v>
      </c>
      <c r="S79" s="474">
        <f>IF($B79="Anulado",0,ROUND(IF(OR($B79="LOSS",$B79="OK"),IF(OR($C79="W",$C79="1/2W",$C79="1/2L"),P79-O79,IF($C79="L",-O79,0))+IF(OR($C80="W",$C80="1/2W",$C80="1/2L"),P80-O80,IF($C80="L",-O80,0))+IF(OR($C81="W",$C81="1/2W",$C81="1/2L"),P81-O81,IF($C81="L",-O81,0)),IF(AND(OR($C79="W",$C79="1/2W",$C79="1/2L"),C80="W"),P79+P80-SUM(O79:O81)+_xlfn.XLOOKUP("X",C79:C81,O79:O81,0),IF(AND(C79=TRUE,C81="W"),P79+P81-SUM(O79:O81),IF(AND(C80="W",C81="W"),P80+P81-SUM(O79:O81)+_xlfn.XLOOKUP("X",C79:C81,O79:O81,0),IF(L81&gt;0,IF(OR($C79="W",$C79="1/2W",$C79="1/2L"),P79-SUM(O79:O81)+_xlfn.XLOOKUP("X",C79:C81,O79:O81,0),IF(OR($C79="W",$C79="1/2W",$C79="1/2L"),P80-SUM(O79:O81)+_xlfn.XLOOKUP("X",C79:C81,O79:O81,0),IF(OR($C79="W",$C79="1/2W",$C79="1/2L"),P81-SUM(O79:O81)+_xlfn.XLOOKUP("X",C79:C81,O79:O81,0),IF(SUM(P79:P81)/3-SUM(O79:O81)+_xlfn.XLOOKUP("X",C79:C81,O79:O81,0)&gt;0,SUM(P79:P81)/3-SUM(O79:O81)+_xlfn.XLOOKUP("X",C79:C81,O79:O81,0),LARGE(P79:P81,1)-SUM(O79:O81))))),IF(OR($C79="W",$C79="1/2W",$C79="1/2L"),P79-SUM(O79:O80)+_xlfn.XLOOKUP("X",C79:C81,O79:O81,0),IF(OR($C79="W",$C79="1/2W",$C79="1/2L"),P80-SUM(O79:O80)+_xlfn.XLOOKUP("X",C79:C81,O79:O81,0),SUM(P79:P80)/2-SUM(O79:O80)+_xlfn.XLOOKUP("X",C79:C81,O79:O81,0)))))))),2))</f>
        <v>1.96</v>
      </c>
      <c r="T79" s="458">
        <f>IF(S79=0,0,S79/SUM(O79:O81))</f>
        <v>4.4575847168523995E-2</v>
      </c>
      <c r="U79" s="470">
        <f>IF($D79=$D76,IF(OR($B79="LOSS",$B79="OK",$B79="Anulada"),S79,0)+U76,IF(OR($B79="LOSS",$B79="OK",$B79="Anulada"),S79,0))</f>
        <v>16.579999999999998</v>
      </c>
      <c r="V79" s="470">
        <f>IF($D79="",0,IF($D79=$D76,IF($B79=" ",IF(I81="",IF(OR(AND(I79="DNB1",I80="DNB2"),AND(OR(I79="DNB1",I79="DNB2"),J80=0),AND(OR(I80="DNB1",I80="DNB2"),J79=0),AND(I79="DNB2",I80="DNB1"),AND(IF(J79=0,(J79+1)/ROUND(J79+1,0),J79/ROUND(J79,0))=1,IF(J80=0,(J80+1)/ROUND(IF(J80="",0,J80)+1,0),IF(J80="",0,J80)/ROUND(IF(J80="",1,J80),0))=1,OR(J79&lt;&gt;""),J80&lt;&gt;"")),0,IF(S79&lt;0,IF(I81="",SMALL(P79:P80,1)-SUM(O79:O80),0),SMALL(P79:P80,1)-SUM(O79:O80))),IF(S79&lt;0,IF(I81="",SMALL(P79:P81,1)-SUM(O79:O81),0),LARGE(P79:P81,1)-SUM(O79:O81))),S79)+V76,IF(I81="",IF(OR(AND(I79="DNB1",I80="DNB2"),AND(OR(I79="DNB1",I79="DNB2"),J80=0),AND(OR(I80="DNB1",I80="DNB2"),J79=0),AND(I79="DNB2",I80="DNB1"),AND(IF(J79=0,(J79+1)/ROUND(J79+1,0),J79/ROUND(J79,0))=1,IF(J80=0,(IF(J80="",0,J80)+1)/ROUND(IF(J80="",0,J80)+1,0),IF(J80="",0,J80)/ROUND(IF(J80="",0,J80)+1,0))=1,OR(J79&lt;&gt;""),J80&lt;&gt;"")),0,IF(S79&lt;0,IF(I81="",SMALL(P79:P80,1)-SUM(O79:O80),0),SMALL(P79:P81,1)-SUM(O79:O81))),IF(S79&lt;0,IF(I81="",SMALL(P79:P81,1)-SUM(O79:O81),0),LARGE(P79:P81,1)-SUM(O79:O81)))))</f>
        <v>16.52</v>
      </c>
      <c r="W79" s="470">
        <f>IF($D79=$D76,IF(S79&lt;0,IF(I81="",S79,0),S79)+W76,S79)</f>
        <v>16.579999999999998</v>
      </c>
      <c r="X79" s="480" t="str">
        <f>IF(OR(SUM(R79:R81)=0,V79=W79),ROUND(IF(W79=0,0,W79/Y79)*100,2)&amp;"%",ROUND(IF(V79=0,0,V79/Y79)*100,2)&amp;"% a "&amp;ROUND(IF(W79=0,0,W79/Y79)*100,2)&amp;"%")</f>
        <v>4,57%</v>
      </c>
      <c r="Y79" s="471">
        <f>IF($D79=$D76,Y76+SUM(O79:O81),SUM(O79:O81))</f>
        <v>363.01</v>
      </c>
      <c r="Z79" s="470">
        <f>IF($B79=" ",SUM(O79:O81),0)+Z76</f>
        <v>0</v>
      </c>
      <c r="AA79" s="470">
        <f>IF(G79="","",IF($B79="Anulado",LARGE(P79:P81,1)-SUM(O79:O81)+AA76,AA76))</f>
        <v>0.45899999999999785</v>
      </c>
      <c r="AB79" s="470">
        <f>IF($D79="","",AB76+S79)</f>
        <v>45.22999999999999</v>
      </c>
      <c r="AC79" s="472">
        <f ca="1">IF($D79="","",IF($B79=" ",IF(DAY(G79)=DAY(TODAY()),1+AC76,0+AC76),0+AC76))</f>
        <v>0</v>
      </c>
      <c r="AD79" s="103">
        <f>(((L80/(L80-1)-1)*(1-_xlfn.XLOOKUP(K80,'Fevereiro 2023 - Valor Real'!A3:A15,'Fevereiro 2023 - Valor Real'!C3:C15,0))+1))/(((L79-1)*(1-_xlfn.XLOOKUP(K79,'Fevereiro 2023 - Valor Real'!A3:A15,'Fevereiro 2023 - Valor Real'!C3:C15,0))+1)+((L80/(L80-1)-1)*(1-_xlfn.XLOOKUP(K80,'Fevereiro 2023 - Valor Real'!A3:A15,'Fevereiro 2023 - Valor Real'!C3:C15,0))+1))</f>
        <v>0.48876893979641706</v>
      </c>
      <c r="AE79" s="104">
        <f>IF(L79="","",IF(L81&gt;0,(SUM(((L79-1)*(1-_xlfn.XLOOKUP(K79,'Fevereiro 2023 - Valor Real'!A3:A15,'Fevereiro 2023 - Valor Real'!C3:C15,0))+1),((L80-1)*(1-_xlfn.XLOOKUP(K80,'Fevereiro 2023 - Valor Real'!A3:A15,'Fevereiro 2023 - Valor Real'!C3:C15,0))+1),((L81-1)*(1-_xlfn.XLOOKUP(K81,'Fevereiro 2023 - Valor Real'!A3:A15,'Fevereiro 2023 - Valor Real'!C3:C15,0))+1))/((L79-1)*(1-_xlfn.XLOOKUP(K79,'Fevereiro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Real'!C3:C15,0))+1))/((L79-1)*(1-_xlfn.XLOOKUP(K79,'Fevereiro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Real'!C3:C15,0))+1))/((L80-1)*(1-_xlfn.XLOOKUP(K80,'Fevereiro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Real'!C3:C15,0))+1))/((L81-1)*(1-_xlfn.XLOOKUP(K81,'Fevereiro 2023 - Valor Real'!A3:A15,'Fevereiro 2023 - Valor Real'!C3:C15,0))+1)),IF(I79="Lay",IF(I80="Lay",((L80/(L80-1)-1)*(1-_xlfn.XLOOKUP(K80,'Fevereiro 2023 - Valor Real'!A3:A15,'Fevereiro 2023 - Valor Real'!C3:C15,0))+1)/(((L80/(L80-1)-1)*(1-_xlfn.XLOOKUP(K80,'Fevereiro 2023 - Valor Real'!A3:A15,'Fevereiro 2023 - Valor Real'!C3:C15,0))+1)+((L79/(L79-1)-1)*(1-_xlfn.XLOOKUP(K79,'Fevereiro 2023 - Valor Real'!A3:A15,'Fevereiro 2023 - Valor Real'!C3:C15,0))+1)),((L80-1)*(1-_xlfn.XLOOKUP(K80,'Fevereiro 2023 - Valor Real'!A3:A15,'Fevereiro 2023 - Valor Real'!C3:C15,0))+1)/(((L80-1)*(1-_xlfn.XLOOKUP(K80,'Fevereiro 2023 - Valor Real'!A3:A15,'Fevereiro 2023 - Valor Real'!C3:C15,0))+1)+((L79/(L79-1)-1)*(1-_xlfn.XLOOKUP(K79,'Fevereiro 2023 - Valor Real'!A3:A15,'Fevereiro 2023 - Valor Real'!C3:C15,0))+1))),IF(I80="Lay",(((L80/(L80-1)-1)*(1-_xlfn.XLOOKUP(K80,'Fevereiro 2023 - Valor Real'!A3:A15,'Fevereiro 2023 - Valor Real'!C3:C15,0))+1))/(((L79-1)*(1-_xlfn.XLOOKUP(K79,'Fevereiro 2023 - Valor Real'!A3:A15,'Fevereiro 2023 - Valor Real'!C3:C15,0))+1)+((L80/(L80-1)-1)*(1-_xlfn.XLOOKUP(K80,'Fevereiro 2023 - Valor Real'!A3:A15,'Fevereiro 2023 - Valor Real'!C3:C15,0))+1)),((L80-1)*(1-_xlfn.XLOOKUP(K80,'Fevereiro 2023 - Valor Real'!A3:A15,'Fevereiro 2023 - Valor Real'!C3:C15,0))+1)/(((L80-1)*(1-_xlfn.XLOOKUP(K80,'Fevereiro 2023 - Valor Real'!A3:A15,'Fevereiro 2023 - Valor Real'!C3:C15,0))+1)+((L79-1)*(1-_xlfn.XLOOKUP(K79,'Fevereiro 2023 - Valor Real'!A3:A15,'Fevereiro 2023 - Valor Real'!C3:C15,0))+1))))))</f>
        <v>0.954614315064229</v>
      </c>
      <c r="AF79" s="105">
        <f t="shared" si="168"/>
        <v>0</v>
      </c>
      <c r="AG79" s="106">
        <f t="shared" si="168"/>
        <v>0</v>
      </c>
      <c r="AH79" s="106">
        <f t="shared" si="168"/>
        <v>3.93</v>
      </c>
      <c r="AI79" s="106">
        <f t="shared" si="168"/>
        <v>0</v>
      </c>
      <c r="AJ79" s="106">
        <f t="shared" si="168"/>
        <v>0</v>
      </c>
      <c r="AK79" s="106">
        <f t="shared" si="168"/>
        <v>0</v>
      </c>
      <c r="AL79" s="106">
        <f t="shared" si="168"/>
        <v>0</v>
      </c>
      <c r="AM79" s="106">
        <f t="shared" si="168"/>
        <v>0</v>
      </c>
      <c r="AN79" s="106">
        <f t="shared" si="168"/>
        <v>0</v>
      </c>
      <c r="AO79" s="106">
        <f t="shared" si="168"/>
        <v>0</v>
      </c>
      <c r="AP79" s="106">
        <f t="shared" si="168"/>
        <v>0</v>
      </c>
      <c r="AQ79" s="106">
        <f t="shared" si="168"/>
        <v>0</v>
      </c>
      <c r="AR79" s="107">
        <f t="shared" si="168"/>
        <v>0</v>
      </c>
      <c r="AS79" s="105">
        <f t="shared" ref="AS79:BE79" si="176">IF(AND($B79=" ",$K79=AS$3),$O79,0)</f>
        <v>0</v>
      </c>
      <c r="AT79" s="106">
        <f t="shared" si="176"/>
        <v>0</v>
      </c>
      <c r="AU79" s="106">
        <f t="shared" si="176"/>
        <v>0</v>
      </c>
      <c r="AV79" s="106">
        <f t="shared" si="176"/>
        <v>0</v>
      </c>
      <c r="AW79" s="106">
        <f t="shared" si="176"/>
        <v>0</v>
      </c>
      <c r="AX79" s="106">
        <f t="shared" si="176"/>
        <v>0</v>
      </c>
      <c r="AY79" s="108">
        <f t="shared" si="176"/>
        <v>0</v>
      </c>
      <c r="AZ79" s="109">
        <f t="shared" si="176"/>
        <v>0</v>
      </c>
      <c r="BA79" s="109">
        <f t="shared" si="176"/>
        <v>0</v>
      </c>
      <c r="BB79" s="109">
        <f t="shared" si="176"/>
        <v>0</v>
      </c>
      <c r="BC79" s="110">
        <f t="shared" si="176"/>
        <v>0</v>
      </c>
      <c r="BD79" s="106">
        <f t="shared" si="176"/>
        <v>0</v>
      </c>
      <c r="BE79" s="107">
        <f t="shared" si="176"/>
        <v>0</v>
      </c>
      <c r="BF79" s="111">
        <f t="shared" si="170"/>
        <v>0</v>
      </c>
      <c r="BG79" s="106">
        <f t="shared" si="170"/>
        <v>0</v>
      </c>
      <c r="BH79" s="106">
        <f t="shared" si="170"/>
        <v>42</v>
      </c>
      <c r="BI79" s="106">
        <f t="shared" si="170"/>
        <v>0</v>
      </c>
      <c r="BJ79" s="106">
        <f t="shared" si="170"/>
        <v>0</v>
      </c>
      <c r="BK79" s="106">
        <f t="shared" si="170"/>
        <v>0</v>
      </c>
      <c r="BL79" s="106">
        <f t="shared" si="170"/>
        <v>0</v>
      </c>
      <c r="BM79" s="108">
        <f t="shared" si="170"/>
        <v>0</v>
      </c>
      <c r="BN79" s="109">
        <f t="shared" si="170"/>
        <v>0</v>
      </c>
      <c r="BO79" s="109">
        <f t="shared" si="170"/>
        <v>0</v>
      </c>
      <c r="BP79" s="109">
        <f t="shared" si="170"/>
        <v>0</v>
      </c>
      <c r="BQ79" s="110">
        <f t="shared" si="170"/>
        <v>0</v>
      </c>
      <c r="BR79" s="107">
        <f t="shared" si="170"/>
        <v>0</v>
      </c>
      <c r="BS79" s="463">
        <f>IF($B79="LOSS",IF(AND($K79=BS$3,$C79="L"),-$O79,0)+IF(AND($K80=BS$3,$C80="L"),-$O80,0)+IF(AND($K81=BS$3,$C81="L"),-$O81,0),IF(OR(AND($K79=BS$3,OR($C79="W",$C79="1/2W")),AND($K80=BS$3,OR($C80="W",$C80="1/2W")),AND($K81=BS$3,OR($C81="W",$C81="1/2W"))),$S79,0))</f>
        <v>0</v>
      </c>
      <c r="BT79" s="462">
        <f>IF($B79="LOSS",IF(AND($K79=BT$3,$C79="L"),-$O79,0)+IF(AND($K80=BT$3,$C80="L"),-$O80,0)+IF(AND($K80=BT$3,$C81="L"),-$O81,0),IF(OR(AND($K80=BT$3,OR($C79="W",$C79="1/2W")),AND($K80=BT$3,OR($C80="W",$C80="1/2W")),AND($K80=BT$3,OR($C81="W",$C81="1/2W"))),$S79,0))</f>
        <v>1.96</v>
      </c>
      <c r="BU79" s="462">
        <f>IF($B79="LOSS",IF(AND($K79=BU$3,$C79="L"),-$O79,0)+IF(AND($K80=BU$3,$C80="L"),-$O80,0)+IF(AND($K80=BU$3,$C81="L"),-$O81,0),IF(OR(AND($K80=BU$3,OR($C79="W",$C79="1/2W")),AND($K80=BU$3,OR($C80="W",$C80="1/2W")),AND($K80=BU$3,OR($C81="W",$C81="1/2W"))),$S79,0))</f>
        <v>0</v>
      </c>
      <c r="BV79" s="462">
        <f t="shared" ref="BV79:CE79" si="177">IF($B79="LOSS",IF(AND($K79=BV$3,$C79="L"),-$O79,0)+IF(AND($K80=BV$3,$C80="L"),-$O80,0)+IF(AND($K81=BV$3,$C81="L"),-$O81,0),IF(OR(AND($K79=BV$3,OR($C79="W",$C79="1/2W")),AND($K80=BV$3,OR($C80="W",$C80="1/2W")),AND($K81=BV$3,OR($C81="W",$C81="1/2W"))),$S79,0))</f>
        <v>0</v>
      </c>
      <c r="BW79" s="462">
        <f t="shared" si="177"/>
        <v>0</v>
      </c>
      <c r="BX79" s="462">
        <f t="shared" si="177"/>
        <v>0</v>
      </c>
      <c r="BY79" s="462">
        <f t="shared" si="177"/>
        <v>0</v>
      </c>
      <c r="BZ79" s="460">
        <f t="shared" si="177"/>
        <v>0</v>
      </c>
      <c r="CA79" s="460">
        <f t="shared" si="177"/>
        <v>0</v>
      </c>
      <c r="CB79" s="460">
        <f t="shared" si="177"/>
        <v>0</v>
      </c>
      <c r="CC79" s="460">
        <f t="shared" si="177"/>
        <v>0</v>
      </c>
      <c r="CD79" s="473">
        <f t="shared" si="177"/>
        <v>0</v>
      </c>
      <c r="CE79" s="479">
        <f t="shared" si="177"/>
        <v>0</v>
      </c>
      <c r="CF79" s="113">
        <f t="shared" si="131"/>
        <v>0</v>
      </c>
      <c r="CG79" s="114">
        <f t="shared" si="132"/>
        <v>0</v>
      </c>
      <c r="CH79" s="114">
        <f t="shared" si="133"/>
        <v>0</v>
      </c>
      <c r="CI79" s="114">
        <f t="shared" si="134"/>
        <v>0</v>
      </c>
      <c r="CJ79" s="114">
        <f t="shared" si="135"/>
        <v>1</v>
      </c>
      <c r="CK79" s="114">
        <f t="shared" si="136"/>
        <v>0</v>
      </c>
      <c r="CL79" s="114">
        <f t="shared" si="137"/>
        <v>0</v>
      </c>
      <c r="CM79" s="114">
        <f t="shared" si="138"/>
        <v>0</v>
      </c>
      <c r="CN79" s="114">
        <f t="shared" si="139"/>
        <v>0</v>
      </c>
      <c r="CO79" s="114">
        <f t="shared" si="140"/>
        <v>0</v>
      </c>
      <c r="CP79" s="114">
        <f t="shared" si="141"/>
        <v>0</v>
      </c>
      <c r="CQ79" s="114">
        <f t="shared" si="142"/>
        <v>0</v>
      </c>
      <c r="CR79" s="114">
        <f t="shared" si="143"/>
        <v>0</v>
      </c>
      <c r="CS79" s="114">
        <f t="shared" si="144"/>
        <v>0</v>
      </c>
      <c r="CT79" s="115">
        <f t="shared" si="145"/>
        <v>0</v>
      </c>
      <c r="CU79" s="116">
        <f t="shared" si="146"/>
        <v>0</v>
      </c>
      <c r="CV79" s="116">
        <f t="shared" si="147"/>
        <v>0</v>
      </c>
      <c r="CW79" s="116">
        <f t="shared" si="148"/>
        <v>0</v>
      </c>
      <c r="CX79" s="116">
        <f t="shared" si="149"/>
        <v>0</v>
      </c>
      <c r="CY79" s="116">
        <f t="shared" si="150"/>
        <v>0</v>
      </c>
      <c r="CZ79" s="116">
        <f t="shared" si="151"/>
        <v>0</v>
      </c>
      <c r="DA79" s="116">
        <f t="shared" si="152"/>
        <v>0</v>
      </c>
      <c r="DB79" s="116">
        <f t="shared" si="153"/>
        <v>0</v>
      </c>
      <c r="DC79" s="116">
        <f t="shared" si="154"/>
        <v>0</v>
      </c>
      <c r="DD79" s="116">
        <f t="shared" si="155"/>
        <v>0</v>
      </c>
      <c r="DE79" s="117">
        <f t="shared" si="156"/>
        <v>0</v>
      </c>
      <c r="DF79" s="118">
        <f t="shared" si="158"/>
        <v>11</v>
      </c>
      <c r="DG79" s="106">
        <f t="shared" si="159"/>
        <v>14.450000000000001</v>
      </c>
      <c r="DH79" s="116">
        <f t="shared" si="160"/>
        <v>0</v>
      </c>
      <c r="DI79" s="106">
        <f t="shared" si="161"/>
        <v>0</v>
      </c>
      <c r="DJ79" s="201" t="str">
        <f>IF($D79="","",$D79)</f>
        <v>2</v>
      </c>
      <c r="DK79" s="465">
        <f>IF(AND($B79=" ",$D79&lt;&gt;""),1,0)</f>
        <v>0</v>
      </c>
    </row>
    <row r="80" spans="1:115" ht="14.5" customHeight="1" x14ac:dyDescent="0.2">
      <c r="A80" s="389"/>
      <c r="B80" s="456"/>
      <c r="C80" s="120" t="s">
        <v>55</v>
      </c>
      <c r="D80" s="374"/>
      <c r="E80" s="386"/>
      <c r="F80" s="377"/>
      <c r="G80" s="483"/>
      <c r="H80" s="476"/>
      <c r="I80" s="121" t="s">
        <v>59</v>
      </c>
      <c r="J80" s="179" t="str">
        <f>IF(OR(I79="TO",I79="TU",I79="TO1",I79="TU1",I79="TO2",I79="TU2"),J79,IF(OR(I79="AH1",I79="AH2"),IF(OR(I80="AH1",I80="AH2"),-J79,IF(OR(I80="EH1",I80="EH2"),-J79+0.5,"")),IF(OR(I79="EH1",I79="EH2"),IF(OR(I80="AH1",I80="AH2"),-J79+0.5,IF(OR(I80="EH1",I80="EH2"),-J79+1,"")),IF(AND(OR(I79="DNB1",I79="DNB2"),OR(I80="AH1",I80="AH2")),0,IF(AND(I79="Not ScoreBoth",OR(I80="TO1",I80="TO2")),0.5,"")))))</f>
        <v/>
      </c>
      <c r="K80" s="123" t="s">
        <v>37</v>
      </c>
      <c r="L80" s="124">
        <v>23</v>
      </c>
      <c r="M80" s="125">
        <v>1.97</v>
      </c>
      <c r="N80" s="406"/>
      <c r="O80" s="126">
        <f>IF(OR(AE79="",AE80=""),"",ROUND(IF(L81&gt;0,IF(M80&gt;0,M80,IF(M79&gt;0,IF(N79=TRUE,ROUND((M79*AE80)/AE79,0),(M79*AE80)/AE79),IF(M80&gt;0,ROUND(M80,IF(N79=0,2,IF(N79=0.1,1,0))),IF(M81&gt;0,ROUND(O81*AE80/AE81,IF(N79=0,2,IF(N79=0.1,1,0))),0)))),IF(M80&gt;0,M80,ROUND((M79*AE80)/AE79,IF(N79=0,2,IF(N79=0.1,1,0))))),2))</f>
        <v>1.97</v>
      </c>
      <c r="P80" s="127">
        <f>IF(OR(L80="",O80=""),"",IF($C80="1/2W",O80/2+O80/2*L80,IF($C80="1/2L",O80/2,IF(I80="Lay",((O80*(L80/(L80-1)))-O80)*(1-_xlfn.XLOOKUP(K80,'Fevereiro 2023 - Valor Real'!A3:A15,'Fevereiro 2023 - Valor Real'!C3:C15,0))+O80,(O80*L80-O80)*(1-_xlfn.XLOOKUP(K80,'Fevereiro 2023 - Valor Real'!A3:A15,'Fevereiro 2023 - Valor Real'!C3:C15,0))+O80))))</f>
        <v>45.31</v>
      </c>
      <c r="Q80" s="128">
        <f>IF(K80="","",IF(_xlfn.XLOOKUP(K80,K$7:K74,$DJ$7:DJ74,0,,-1)=DJ80,_xlfn.XLOOKUP(K80,K$7:K74,Q$7:Q74,1,,-1)+1,1))</f>
        <v>1</v>
      </c>
      <c r="R80" s="129">
        <f>IF(K80="","",_xlfn.XLOOKUP(K80,K$7:K74,R$7:R74,0,,-1)+IF($C80=" ",1,0))</f>
        <v>0</v>
      </c>
      <c r="S80" s="403"/>
      <c r="T80" s="380"/>
      <c r="U80" s="380"/>
      <c r="V80" s="481"/>
      <c r="W80" s="380"/>
      <c r="X80" s="452"/>
      <c r="Y80" s="383"/>
      <c r="Z80" s="384"/>
      <c r="AA80" s="384"/>
      <c r="AB80" s="384"/>
      <c r="AC80" s="384"/>
      <c r="AD80" s="130">
        <f>(((L80/(L80-1)-1)*(1-_xlfn.XLOOKUP(K80,'Fevereiro 2023 - Valor Real'!A3:A15,'Fevereiro 2023 - Valor Real'!C3:C15,0))+1))</f>
        <v>1.0454545454545454</v>
      </c>
      <c r="AE80" s="131">
        <f>IF(L80="","",IF(L81&gt;0,(SUM(((L79-1)*(1-_xlfn.XLOOKUP(K79,'Fevereiro 2023 - Valor Real'!A3:A15,'Fevereiro 2023 - Valor Real'!C3:C15,0))+1),((L80-1)*(1-_xlfn.XLOOKUP(K80,'Fevereiro 2023 - Valor Real'!A3:A15,'Fevereiro 2023 - Valor Real'!C3:C15,0))+1),((L81-1)*(1-_xlfn.XLOOKUP(K81,'Fevereiro 2023 - Valor Real'!A3:A15,'Fevereiro 2023 - Valor Real'!C3:C15,0))+1))/((L80-1)*(1-_xlfn.XLOOKUP(K80,'Fevereiro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Real'!C3:C15,0))+1))/((L79-1)*(1-_xlfn.XLOOKUP(K79,'Fevereiro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Real'!C3:C15,0))+1))/((L80-1)*(1-_xlfn.XLOOKUP(K80,'Fevereiro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Real'!C3:C15,0))+1))/((L81-1)*(1-_xlfn.XLOOKUP(K81,'Fevereiro 2023 - Valor Real'!A3:A15,'Fevereiro 2023 - Valor Real'!C3:C15,0))+1)),IF(I80="Lay",IF(I79="Lay",((L79/(L79-1)-1)*(1-_xlfn.XLOOKUP(K79,'Fevereiro 2023 - Valor Real'!A3:A15,'Fevereiro 2023 - Valor Real'!C3:C15,0))+1)/(((L79/(L79-1)-1)*(1-_xlfn.XLOOKUP(K79,'Fevereiro 2023 - Valor Real'!A3:A15,'Fevereiro 2023 - Valor Real'!C3:C15,0))+1)+((L80/(L80-1)-1)*(1-_xlfn.XLOOKUP(K80,'Fevereiro 2023 - Valor Real'!A3:A15,'Fevereiro 2023 - Valor Real'!C3:C15,0))+1)),((L79-1)*(1-_xlfn.XLOOKUP(K79,'Fevereiro 2023 - Valor Real'!A3:A15,'Fevereiro 2023 - Valor Real'!C3:C15,0))+1)/(((L79-1)*(1-_xlfn.XLOOKUP(K79,'Fevereiro 2023 - Valor Real'!A3:A15,'Fevereiro 2023 - Valor Real'!C3:C15,0))+1)+((L80/(L80-1)-1)*(1-_xlfn.XLOOKUP(K80,'Fevereiro 2023 - Valor Real'!A3:A15,'Fevereiro 2023 - Valor Real'!C3:C15,0))+1))),IF(I79="Lay",((L79/(L79-1)-1)*(1-_xlfn.XLOOKUP(K79,'Fevereiro 2023 - Valor Real'!A3:A15,'Fevereiro 2023 - Valor Real'!C3:C15,0))+1)/((((L79/(L79-1)-1)*(1-_xlfn.XLOOKUP(K79,'Fevereiro 2023 - Valor Real'!A3:A15,'Fevereiro 2023 - Valor Real'!C3:C15,0))+1))+((L80-1)*(1-_xlfn.XLOOKUP(K80,'Fevereiro 2023 - Valor Real'!A3:A15,'Fevereiro 2023 - Valor Real'!C3:C15,0))+1)),((L79-1)*(1-_xlfn.XLOOKUP(K79,'Fevereiro 2023 - Valor Real'!A3:A15,'Fevereiro 2023 - Valor Real'!C3:C15,0))+1)/(((L79-1)*(1-_xlfn.XLOOKUP(K79,'Fevereiro 2023 - Valor Real'!A3:A15,'Fevereiro 2023 - Valor Real'!C3:C15,0))+1)+((L80-1)*(1-_xlfn.XLOOKUP(K80,'Fevereiro 2023 - Valor Real'!A3:A15,'Fevereiro 2023 - Valor Real'!C3:C15,0))+1))))))</f>
        <v>4.5385684935771067E-2</v>
      </c>
      <c r="AF80" s="105">
        <f t="shared" si="168"/>
        <v>0</v>
      </c>
      <c r="AG80" s="106">
        <f t="shared" si="168"/>
        <v>-1.97</v>
      </c>
      <c r="AH80" s="106">
        <f t="shared" si="168"/>
        <v>0</v>
      </c>
      <c r="AI80" s="106">
        <f t="shared" si="168"/>
        <v>0</v>
      </c>
      <c r="AJ80" s="106">
        <f t="shared" si="168"/>
        <v>0</v>
      </c>
      <c r="AK80" s="106">
        <f t="shared" si="168"/>
        <v>0</v>
      </c>
      <c r="AL80" s="106">
        <f t="shared" si="168"/>
        <v>0</v>
      </c>
      <c r="AM80" s="106">
        <f t="shared" si="168"/>
        <v>0</v>
      </c>
      <c r="AN80" s="106">
        <f t="shared" si="168"/>
        <v>0</v>
      </c>
      <c r="AO80" s="106">
        <f t="shared" si="168"/>
        <v>0</v>
      </c>
      <c r="AP80" s="106">
        <f t="shared" si="168"/>
        <v>0</v>
      </c>
      <c r="AQ80" s="106">
        <f t="shared" si="168"/>
        <v>0</v>
      </c>
      <c r="AR80" s="107">
        <f t="shared" si="168"/>
        <v>0</v>
      </c>
      <c r="AS80" s="105">
        <f>IF(AND($B79=" ",$K80=AS$3),$O80,0)</f>
        <v>0</v>
      </c>
      <c r="AT80" s="106">
        <f>IF(AND($B79=" ",K80=AT$3),$O80,0)</f>
        <v>0</v>
      </c>
      <c r="AU80" s="106">
        <f t="shared" ref="AU80:BE80" si="178">IF(AND($B79=" ",$K80=AU$3),$O80,0)</f>
        <v>0</v>
      </c>
      <c r="AV80" s="106">
        <f t="shared" si="178"/>
        <v>0</v>
      </c>
      <c r="AW80" s="106">
        <f t="shared" si="178"/>
        <v>0</v>
      </c>
      <c r="AX80" s="106">
        <f t="shared" si="178"/>
        <v>0</v>
      </c>
      <c r="AY80" s="108">
        <f t="shared" si="178"/>
        <v>0</v>
      </c>
      <c r="AZ80" s="109">
        <f t="shared" si="178"/>
        <v>0</v>
      </c>
      <c r="BA80" s="109">
        <f t="shared" si="178"/>
        <v>0</v>
      </c>
      <c r="BB80" s="109">
        <f t="shared" si="178"/>
        <v>0</v>
      </c>
      <c r="BC80" s="110">
        <f t="shared" si="178"/>
        <v>0</v>
      </c>
      <c r="BD80" s="106">
        <f t="shared" si="178"/>
        <v>0</v>
      </c>
      <c r="BE80" s="107">
        <f t="shared" si="178"/>
        <v>0</v>
      </c>
      <c r="BF80" s="105">
        <f t="shared" si="170"/>
        <v>0</v>
      </c>
      <c r="BG80" s="106">
        <f t="shared" si="170"/>
        <v>1.97</v>
      </c>
      <c r="BH80" s="106">
        <f t="shared" si="170"/>
        <v>0</v>
      </c>
      <c r="BI80" s="106">
        <f t="shared" si="170"/>
        <v>0</v>
      </c>
      <c r="BJ80" s="106">
        <f t="shared" si="170"/>
        <v>0</v>
      </c>
      <c r="BK80" s="106">
        <f t="shared" si="170"/>
        <v>0</v>
      </c>
      <c r="BL80" s="106">
        <f t="shared" si="170"/>
        <v>0</v>
      </c>
      <c r="BM80" s="132">
        <f t="shared" si="170"/>
        <v>0</v>
      </c>
      <c r="BN80" s="112">
        <f t="shared" si="170"/>
        <v>0</v>
      </c>
      <c r="BO80" s="112">
        <f t="shared" si="170"/>
        <v>0</v>
      </c>
      <c r="BP80" s="112">
        <f t="shared" si="170"/>
        <v>0</v>
      </c>
      <c r="BQ80" s="110">
        <f t="shared" si="170"/>
        <v>0</v>
      </c>
      <c r="BR80" s="107">
        <f t="shared" si="170"/>
        <v>0</v>
      </c>
      <c r="BS80" s="464"/>
      <c r="BT80" s="461"/>
      <c r="BU80" s="392"/>
      <c r="BV80" s="461"/>
      <c r="BW80" s="392"/>
      <c r="BX80" s="392"/>
      <c r="BY80" s="392"/>
      <c r="BZ80" s="461"/>
      <c r="CA80" s="392"/>
      <c r="CB80" s="392"/>
      <c r="CC80" s="392"/>
      <c r="CD80" s="401"/>
      <c r="CE80" s="409"/>
      <c r="CF80" s="133">
        <f t="shared" si="131"/>
        <v>0</v>
      </c>
      <c r="CG80" s="134">
        <f t="shared" si="132"/>
        <v>0</v>
      </c>
      <c r="CH80" s="134">
        <f t="shared" si="133"/>
        <v>0</v>
      </c>
      <c r="CI80" s="134">
        <f t="shared" si="134"/>
        <v>1</v>
      </c>
      <c r="CJ80" s="134">
        <f t="shared" si="135"/>
        <v>0</v>
      </c>
      <c r="CK80" s="134">
        <f t="shared" si="136"/>
        <v>0</v>
      </c>
      <c r="CL80" s="134">
        <f t="shared" si="137"/>
        <v>0</v>
      </c>
      <c r="CM80" s="134">
        <f t="shared" si="138"/>
        <v>0</v>
      </c>
      <c r="CN80" s="134">
        <f t="shared" si="139"/>
        <v>0</v>
      </c>
      <c r="CO80" s="134">
        <f t="shared" si="140"/>
        <v>0</v>
      </c>
      <c r="CP80" s="134">
        <f t="shared" si="141"/>
        <v>0</v>
      </c>
      <c r="CQ80" s="134">
        <f t="shared" si="142"/>
        <v>0</v>
      </c>
      <c r="CR80" s="134">
        <f t="shared" si="143"/>
        <v>0</v>
      </c>
      <c r="CS80" s="134">
        <f t="shared" si="144"/>
        <v>0</v>
      </c>
      <c r="CT80" s="115">
        <f t="shared" si="145"/>
        <v>0</v>
      </c>
      <c r="CU80" s="116">
        <f t="shared" si="146"/>
        <v>0</v>
      </c>
      <c r="CV80" s="116">
        <f t="shared" si="147"/>
        <v>0</v>
      </c>
      <c r="CW80" s="116">
        <f t="shared" si="148"/>
        <v>0</v>
      </c>
      <c r="CX80" s="116">
        <f t="shared" si="149"/>
        <v>0</v>
      </c>
      <c r="CY80" s="116">
        <f t="shared" si="150"/>
        <v>0</v>
      </c>
      <c r="CZ80" s="116">
        <f t="shared" si="151"/>
        <v>0</v>
      </c>
      <c r="DA80" s="116">
        <f t="shared" si="152"/>
        <v>0</v>
      </c>
      <c r="DB80" s="116">
        <f t="shared" si="153"/>
        <v>0</v>
      </c>
      <c r="DC80" s="116">
        <f t="shared" si="154"/>
        <v>0</v>
      </c>
      <c r="DD80" s="116">
        <f t="shared" si="155"/>
        <v>0</v>
      </c>
      <c r="DE80" s="117">
        <f t="shared" si="156"/>
        <v>0</v>
      </c>
      <c r="DF80" s="118">
        <f t="shared" si="158"/>
        <v>11</v>
      </c>
      <c r="DG80" s="106">
        <f t="shared" si="159"/>
        <v>14.450000000000001</v>
      </c>
      <c r="DH80" s="116">
        <f t="shared" si="160"/>
        <v>0</v>
      </c>
      <c r="DI80" s="106">
        <f t="shared" si="161"/>
        <v>0</v>
      </c>
      <c r="DJ80" s="201" t="str">
        <f>IF($D79="","",$D79)</f>
        <v>2</v>
      </c>
      <c r="DK80" s="466"/>
    </row>
    <row r="81" spans="1:115" ht="14.5" customHeight="1" x14ac:dyDescent="0.2">
      <c r="A81" s="390"/>
      <c r="B81" s="457"/>
      <c r="C81" s="135" t="s">
        <v>53</v>
      </c>
      <c r="D81" s="375"/>
      <c r="E81" s="387"/>
      <c r="F81" s="378"/>
      <c r="G81" s="484"/>
      <c r="H81" s="477"/>
      <c r="I81" s="136"/>
      <c r="J81" s="137"/>
      <c r="K81" s="138"/>
      <c r="L81" s="139"/>
      <c r="M81" s="140"/>
      <c r="N81" s="407"/>
      <c r="O81" s="141" t="str">
        <f>IF(OR(AE79="",AE80=""),"",IF(L81&gt;0,ROUND(IF(M81&gt;0,M81,IF(M79&gt;0,ROUND((M79*AE81)/AE79,IF(N79=0,2,IF(N79=0.1,1,0))),IF(M80&gt;0,ROUND((M80*AE81)/AE80,IF(N79=0,2,IF(N79=0.1,1,0))),IF(M81&gt;0,M81,0)))),2),""))</f>
        <v/>
      </c>
      <c r="P81" s="142" t="str">
        <f>IF(I80="Lay",O80*(L80/(L80-1))-O80,IF(I79="Lay",O79*(L79/(L79-1))-O79,IF(OR(L81="",O81=""),"",IF($C81="1/2W",O81/2+O81/2*L81,IF($C81="1/2L",O81/2,(O81*L81-O81)*(1-_xlfn.XLOOKUP(K81,'Fevereiro 2023 - Valor Real'!A3:A15,'Fevereiro 2023 - Valor Real'!C3:C15,0))+O81)))))</f>
        <v/>
      </c>
      <c r="Q81" s="143" t="str">
        <f>IF(K81="","",IF(_xlfn.XLOOKUP(K81,K$8:K74,$DJ$8:DJ74,0,,-1)=DJ81,_xlfn.XLOOKUP(K81,K$8:K74,Q$8:Q74,1,,-1)+1,1))</f>
        <v/>
      </c>
      <c r="R81" s="144" t="str">
        <f>IF(K81="","",_xlfn.XLOOKUP(K81,K$8:K74,R$8:R74,0,,-1)+IF($C81=" ",1,0))</f>
        <v/>
      </c>
      <c r="S81" s="404"/>
      <c r="T81" s="378"/>
      <c r="U81" s="378"/>
      <c r="V81" s="404"/>
      <c r="W81" s="378"/>
      <c r="X81" s="453"/>
      <c r="Y81" s="383"/>
      <c r="Z81" s="384"/>
      <c r="AA81" s="384"/>
      <c r="AB81" s="384"/>
      <c r="AC81" s="384"/>
      <c r="AD81" s="145">
        <f>((L80/(L80-1)-1))</f>
        <v>4.5454545454545414E-2</v>
      </c>
      <c r="AE81" s="146" t="str">
        <f>IF(L81="","",(SUM(((L79-1)*(1-_xlfn.XLOOKUP(K79,'Fevereiro 2023 - Valor Real'!A3:A15,'Fevereiro 2023 - Valor Real'!C3:C15,0))+1),((L80-1)*(1-_xlfn.XLOOKUP(K80,'Fevereiro 2023 - Valor Real'!A3:A15,'Fevereiro 2023 - Valor Real'!C3:C15,0))+1),((L81-1)*(1-_xlfn.XLOOKUP(K81,'Fevereiro 2023 - Valor Real'!A3:A15,'Fevereiro 2023 - Valor Real'!C3:C15,0))+1))/((L81-1)*(1-_xlfn.XLOOKUP(K81,'Fevereiro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Real'!C3:C15,0))+1))/((L79-1)*(1-_xlfn.XLOOKUP(K79,'Fevereiro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Real'!C3:C15,0))+1))/((L80-1)*(1-_xlfn.XLOOKUP(K80,'Fevereiro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Real'!C3:C15,0))+1))/((L81-1)*(1-_xlfn.XLOOKUP(K81,'Fevereiro 2023 - Valor Real'!A3:A15,'Fevereiro 2023 - Valor Real'!C3:C15,0))+1)))</f>
        <v/>
      </c>
      <c r="AF81" s="105">
        <f t="shared" si="168"/>
        <v>0</v>
      </c>
      <c r="AG81" s="106">
        <f t="shared" si="168"/>
        <v>0</v>
      </c>
      <c r="AH81" s="106">
        <f t="shared" si="168"/>
        <v>0</v>
      </c>
      <c r="AI81" s="106">
        <f t="shared" si="168"/>
        <v>0</v>
      </c>
      <c r="AJ81" s="106">
        <f t="shared" si="168"/>
        <v>0</v>
      </c>
      <c r="AK81" s="106">
        <f t="shared" si="168"/>
        <v>0</v>
      </c>
      <c r="AL81" s="106">
        <f t="shared" si="168"/>
        <v>0</v>
      </c>
      <c r="AM81" s="106">
        <f t="shared" si="168"/>
        <v>0</v>
      </c>
      <c r="AN81" s="106">
        <f t="shared" si="168"/>
        <v>0</v>
      </c>
      <c r="AO81" s="106">
        <f t="shared" si="168"/>
        <v>0</v>
      </c>
      <c r="AP81" s="106">
        <f t="shared" si="168"/>
        <v>0</v>
      </c>
      <c r="AQ81" s="106">
        <f t="shared" si="168"/>
        <v>0</v>
      </c>
      <c r="AR81" s="107">
        <f t="shared" si="168"/>
        <v>0</v>
      </c>
      <c r="AS81" s="105">
        <f>IF(AND($B79=" ",$K81=AS$3),$O81,0)</f>
        <v>0</v>
      </c>
      <c r="AT81" s="106">
        <f>IF(AND($B79=" ",K81=AT$3),$O81,0)</f>
        <v>0</v>
      </c>
      <c r="AU81" s="106">
        <f t="shared" ref="AU81:BE81" si="179">IF(AND($B79=" ",$K81=AU$3),$O81,0)</f>
        <v>0</v>
      </c>
      <c r="AV81" s="106">
        <f t="shared" si="179"/>
        <v>0</v>
      </c>
      <c r="AW81" s="106">
        <f t="shared" si="179"/>
        <v>0</v>
      </c>
      <c r="AX81" s="106">
        <f t="shared" si="179"/>
        <v>0</v>
      </c>
      <c r="AY81" s="108">
        <f t="shared" si="179"/>
        <v>0</v>
      </c>
      <c r="AZ81" s="109">
        <f t="shared" si="179"/>
        <v>0</v>
      </c>
      <c r="BA81" s="109">
        <f t="shared" si="179"/>
        <v>0</v>
      </c>
      <c r="BB81" s="109">
        <f t="shared" si="179"/>
        <v>0</v>
      </c>
      <c r="BC81" s="110">
        <f t="shared" si="179"/>
        <v>0</v>
      </c>
      <c r="BD81" s="106">
        <f t="shared" si="179"/>
        <v>0</v>
      </c>
      <c r="BE81" s="107">
        <f t="shared" si="179"/>
        <v>0</v>
      </c>
      <c r="BF81" s="105">
        <f t="shared" si="170"/>
        <v>0</v>
      </c>
      <c r="BG81" s="106">
        <f t="shared" si="170"/>
        <v>0</v>
      </c>
      <c r="BH81" s="106">
        <f t="shared" si="170"/>
        <v>0</v>
      </c>
      <c r="BI81" s="106">
        <f t="shared" si="170"/>
        <v>0</v>
      </c>
      <c r="BJ81" s="106">
        <f t="shared" si="170"/>
        <v>0</v>
      </c>
      <c r="BK81" s="106">
        <f t="shared" si="170"/>
        <v>0</v>
      </c>
      <c r="BL81" s="106">
        <f t="shared" si="170"/>
        <v>0</v>
      </c>
      <c r="BM81" s="108">
        <f t="shared" si="170"/>
        <v>0</v>
      </c>
      <c r="BN81" s="109">
        <f t="shared" si="170"/>
        <v>0</v>
      </c>
      <c r="BO81" s="109">
        <f t="shared" si="170"/>
        <v>0</v>
      </c>
      <c r="BP81" s="109">
        <f t="shared" si="170"/>
        <v>0</v>
      </c>
      <c r="BQ81" s="110">
        <f t="shared" si="170"/>
        <v>0</v>
      </c>
      <c r="BR81" s="107">
        <f t="shared" si="170"/>
        <v>0</v>
      </c>
      <c r="BS81" s="464"/>
      <c r="BT81" s="461"/>
      <c r="BU81" s="392"/>
      <c r="BV81" s="461"/>
      <c r="BW81" s="392"/>
      <c r="BX81" s="392"/>
      <c r="BY81" s="392"/>
      <c r="BZ81" s="461"/>
      <c r="CA81" s="392"/>
      <c r="CB81" s="392"/>
      <c r="CC81" s="392"/>
      <c r="CD81" s="401"/>
      <c r="CE81" s="409"/>
      <c r="CF81" s="133">
        <f t="shared" si="131"/>
        <v>0</v>
      </c>
      <c r="CG81" s="134">
        <f t="shared" si="132"/>
        <v>0</v>
      </c>
      <c r="CH81" s="134">
        <f t="shared" si="133"/>
        <v>0</v>
      </c>
      <c r="CI81" s="134">
        <f t="shared" si="134"/>
        <v>0</v>
      </c>
      <c r="CJ81" s="134">
        <f t="shared" si="135"/>
        <v>0</v>
      </c>
      <c r="CK81" s="134">
        <f t="shared" si="136"/>
        <v>0</v>
      </c>
      <c r="CL81" s="134">
        <f t="shared" si="137"/>
        <v>0</v>
      </c>
      <c r="CM81" s="134">
        <f t="shared" si="138"/>
        <v>0</v>
      </c>
      <c r="CN81" s="134">
        <f t="shared" si="139"/>
        <v>0</v>
      </c>
      <c r="CO81" s="134">
        <f t="shared" si="140"/>
        <v>0</v>
      </c>
      <c r="CP81" s="134">
        <f t="shared" si="141"/>
        <v>0</v>
      </c>
      <c r="CQ81" s="134">
        <f t="shared" si="142"/>
        <v>0</v>
      </c>
      <c r="CR81" s="134">
        <f t="shared" si="143"/>
        <v>0</v>
      </c>
      <c r="CS81" s="134">
        <f t="shared" si="144"/>
        <v>0</v>
      </c>
      <c r="CT81" s="115">
        <f t="shared" si="145"/>
        <v>0</v>
      </c>
      <c r="CU81" s="116">
        <f t="shared" si="146"/>
        <v>0</v>
      </c>
      <c r="CV81" s="116">
        <f t="shared" si="147"/>
        <v>0</v>
      </c>
      <c r="CW81" s="116">
        <f t="shared" si="148"/>
        <v>0</v>
      </c>
      <c r="CX81" s="116">
        <f t="shared" si="149"/>
        <v>0</v>
      </c>
      <c r="CY81" s="116">
        <f t="shared" si="150"/>
        <v>0</v>
      </c>
      <c r="CZ81" s="116">
        <f t="shared" si="151"/>
        <v>0</v>
      </c>
      <c r="DA81" s="116">
        <f t="shared" si="152"/>
        <v>0</v>
      </c>
      <c r="DB81" s="116">
        <f t="shared" si="153"/>
        <v>0</v>
      </c>
      <c r="DC81" s="116">
        <f t="shared" si="154"/>
        <v>0</v>
      </c>
      <c r="DD81" s="116">
        <f t="shared" si="155"/>
        <v>0</v>
      </c>
      <c r="DE81" s="117">
        <f t="shared" si="156"/>
        <v>0</v>
      </c>
      <c r="DF81" s="118">
        <f t="shared" si="158"/>
        <v>11</v>
      </c>
      <c r="DG81" s="106">
        <f t="shared" si="159"/>
        <v>14.450000000000001</v>
      </c>
      <c r="DH81" s="116">
        <f t="shared" si="160"/>
        <v>0</v>
      </c>
      <c r="DI81" s="106">
        <f t="shared" si="161"/>
        <v>0</v>
      </c>
      <c r="DJ81" s="201" t="str">
        <f>IF($D79="","",$D79)</f>
        <v>2</v>
      </c>
      <c r="DK81" s="466"/>
    </row>
    <row r="82" spans="1:115" ht="14.5" customHeight="1" x14ac:dyDescent="0.2">
      <c r="A82" s="487">
        <f>$A79+1</f>
        <v>27</v>
      </c>
      <c r="B82" s="506" t="str">
        <f>IF(OR(C82="W",C83="W",C84="W",C82="1/2W",C83="1/2W",C84="1/2W",C82="1/2L",C83="1/2L",C84="1/2L"),"OK",IF(OR(C82="L",C83="L",C84="L"),"LOSS",IF(OR(C82="X",C83="X",C84="X"),"Anulado"," ")))</f>
        <v>OK</v>
      </c>
      <c r="C82" s="147" t="s">
        <v>55</v>
      </c>
      <c r="D82" s="494" t="str">
        <f>IF(G82="","",$D79)</f>
        <v>2</v>
      </c>
      <c r="E82" s="511" t="str">
        <f>IF(G82=""," ","– "&amp;COUNTIF(D$4:D84,$D82))</f>
        <v>– 10</v>
      </c>
      <c r="F82" s="510" t="str">
        <f ca="1">IF(G82="","",IF(OR(AND($C82&lt;&gt;" ",$C83=" "),AND($C83&lt;&gt;" ",$C82=" "),AND(L84&gt;0,OR(AND($C84&lt;&gt;" ",OR($C82=" ",$C83=" ")),AND($C84=" ",OR($C82&lt;&gt;" ",$C83&lt;&gt;" "))))),IF(SUM(F$9:F74)=0,1,LARGE(F$9:F74,1)+1),IF(MONTH(G82)=MONTH(TODAY()),IF(AND(DAY(G82)&lt;DAY(TODAY()),$B82=" "),IF(SUM(F$9:F74)=0,1,LARGE(F$9:F74,1)+1),IF($B82=" ",IF(AND(DAY(G82)=DAY(TODAY()),HOUR(G82)&lt;=HOUR(NOW())+1),IF(AND(HOUR(G82)+2&lt;=HOUR(NOW()),DAY(G82)&lt;=DAY(TODAY()),MINUTE(G82)&lt;=MINUTE(NOW())),IF(SUM(F$9:F74)=0,1,LARGE(F$9:F74,1)+1),IF(OR(MINUTE(G82)&lt;=MINUTE(NOW()),HOUR(G82)&lt;=HOUR(NOW())),"!!!","")),""),"")),"")))</f>
        <v/>
      </c>
      <c r="G82" s="508">
        <v>44987.708333333336</v>
      </c>
      <c r="H82" s="502" t="s">
        <v>82</v>
      </c>
      <c r="I82" s="180" t="s">
        <v>51</v>
      </c>
      <c r="J82" s="181">
        <v>4.5</v>
      </c>
      <c r="K82" s="150" t="s">
        <v>37</v>
      </c>
      <c r="L82" s="151">
        <v>3.24</v>
      </c>
      <c r="M82" s="152"/>
      <c r="N82" s="503">
        <v>0</v>
      </c>
      <c r="O82" s="153">
        <f>IF(OR(AE82="",AE83=""),"",ROUND(IF(L84&gt;0,IF(M82&gt;0,M82,IF(M83&gt;0,ROUND((M83*AE82)/AE83,IF(N82=0,2,IF(N82=0.1,1,0))),ROUND((M84*AE82)/AE84,IF(N82=0,2,IF(N82=0.1,1,0))))),IF(M82&gt;0,M82,ROUND((M83*AE82)/AE83,IF(N82=0,2,IF(N82=0.1,1,0))))),2))</f>
        <v>17.940000000000001</v>
      </c>
      <c r="P82" s="154">
        <f>IF(OR(L82="",O82=""),"",IF($C82="1/2W",O82/2+O82/2*L82,IF($C82="1/2L",O82/2,IF(I82="Lay",(O82*(L82/(L82-1))-O82)*(1-_xlfn.XLOOKUP(K82,'Fevereiro 2023 - Valor Real'!A3:A15,'Fevereiro 2023 - Valor Real'!C3:C15,0))+O82,(O82*L82-O82)*(1-_xlfn.XLOOKUP(K82,'Fevereiro 2023 - Valor Real'!A3:A15,'Fevereiro 2023 - Valor Real'!C3:C15,0))+O82))))</f>
        <v>58.125600000000006</v>
      </c>
      <c r="Q82" s="155">
        <f>IF(K82="","",IF(_xlfn.XLOOKUP(K82,K$9:K74,$DJ$9:DJ74,0,,-1)=DJ82,_xlfn.XLOOKUP(K82,K$9:K74,Q$9:Q74,1,,-1)+1,1))</f>
        <v>1</v>
      </c>
      <c r="R82" s="156">
        <f>IF(K82="","",_xlfn.XLOOKUP(K82,K$9:K74,R$9:R74,0,,-1)+IF($C82=" ",1,0))</f>
        <v>0</v>
      </c>
      <c r="S82" s="501">
        <f>IF($B82="Anulado",0,ROUND(IF(OR($B82="LOSS",$B82="OK"),IF(OR($C82="W",$C82="1/2W",$C82="1/2L"),P82-O82,IF($C82="L",-O82,0))+IF(OR($C83="W",$C83="1/2W",$C83="1/2L"),P83-O83,IF($C83="L",-O83,0))+IF(OR($C84="W",$C84="1/2W",$C84="1/2L"),P84-O84,IF($C84="L",-O84,0)),IF(AND(OR($C82="W",$C82="1/2W",$C82="1/2L"),C83="W"),P82+P83-SUM(O82:O84)+_xlfn.XLOOKUP("X",C82:C84,O82:O84,0),IF(AND(C82=TRUE,C84="W"),P82+P84-SUM(O82:O84),IF(AND(C83="W",C84="W"),P83+P84-SUM(O82:O84)+_xlfn.XLOOKUP("X",C82:C84,O82:O84,0),IF(L84&gt;0,IF(OR($C82="W",$C82="1/2W",$C82="1/2L"),P82-SUM(O82:O84)+_xlfn.XLOOKUP("X",C82:C84,O82:O84,0),IF(OR($C82="W",$C82="1/2W",$C82="1/2L"),P83-SUM(O82:O84)+_xlfn.XLOOKUP("X",C82:C84,O82:O84,0),IF(OR($C82="W",$C82="1/2W",$C82="1/2L"),P84-SUM(O82:O84)+_xlfn.XLOOKUP("X",C82:C84,O82:O84,0),IF(SUM(P82:P84)/3-SUM(O82:O84)+_xlfn.XLOOKUP("X",C82:C84,O82:O84,0)&gt;0,SUM(P82:P84)/3-SUM(O82:O84)+_xlfn.XLOOKUP("X",C82:C84,O82:O84,0),LARGE(P82:P84,1)-SUM(O82:O84))))),IF(OR($C82="W",$C82="1/2W",$C82="1/2L"),P82-SUM(O82:O83)+_xlfn.XLOOKUP("X",C82:C84,O82:O84,0),IF(OR($C82="W",$C82="1/2W",$C82="1/2L"),P83-SUM(O82:O83)+_xlfn.XLOOKUP("X",C82:C84,O82:O84,0),SUM(P82:P83)/2-SUM(O82:O83)+_xlfn.XLOOKUP("X",C82:C84,O82:O84,0)))))))),2))</f>
        <v>2.44</v>
      </c>
      <c r="T82" s="486">
        <f>IF(S82=0,0,S82/SUM(O82:O84))</f>
        <v>4.3821839080459765E-2</v>
      </c>
      <c r="U82" s="496">
        <f>IF($D82=$D79,IF(OR($B82="LOSS",$B82="OK",$B82="Anulada"),S82,0)+U79,IF(OR($B82="LOSS",$B82="OK",$B82="Anulada"),S82,0))</f>
        <v>19.02</v>
      </c>
      <c r="V82" s="496">
        <f>IF($D82="",0,IF($D82=$D79,IF($B82=" ",IF(I84="",IF(OR(AND(I82="DNB1",I83="DNB2"),AND(OR(I82="DNB1",I82="DNB2"),J83=0),AND(OR(I83="DNB1",I83="DNB2"),J82=0),AND(I82="DNB2",I83="DNB1"),AND(IF(J82=0,(J82+1)/ROUND(J82+1,0),J82/ROUND(J82,0))=1,IF(J83=0,(J83+1)/ROUND(IF(J83="",0,J83)+1,0),IF(J83="",0,J83)/ROUND(IF(J83="",1,J83),0))=1,OR(J82&lt;&gt;""),J83&lt;&gt;"")),0,IF(S82&lt;0,IF(I84="",SMALL(P82:P83,1)-SUM(O82:O83),0),SMALL(P82:P83,1)-SUM(O82:O83))),IF(S82&lt;0,IF(I84="",SMALL(P82:P84,1)-SUM(O82:O84),0),LARGE(P82:P84,1)-SUM(O82:O84))),S82)+V79,IF(I84="",IF(OR(AND(I82="DNB1",I83="DNB2"),AND(OR(I82="DNB1",I82="DNB2"),J83=0),AND(OR(I83="DNB1",I83="DNB2"),J82=0),AND(I82="DNB2",I83="DNB1"),AND(IF(J82=0,(J82+1)/ROUND(J82+1,0),J82/ROUND(J82,0))=1,IF(J83=0,(IF(J83="",0,J83)+1)/ROUND(IF(J83="",0,J83)+1,0),IF(J83="",0,J83)/ROUND(IF(J83="",0,J83)+1,0))=1,OR(J82&lt;&gt;""),J83&lt;&gt;"")),0,IF(S82&lt;0,IF(I84="",SMALL(P82:P83,1)-SUM(O82:O83),0),SMALL(P82:P84,1)-SUM(O82:O84))),IF(S82&lt;0,IF(I84="",SMALL(P82:P84,1)-SUM(O82:O84),0),LARGE(P82:P84,1)-SUM(O82:O84)))))</f>
        <v>18.96</v>
      </c>
      <c r="W82" s="496">
        <f>IF($D82=$D79,IF(S82&lt;0,IF(I84="",S82,0),S82)+W79,S82)</f>
        <v>19.02</v>
      </c>
      <c r="X82" s="505" t="str">
        <f>IF(OR(SUM(R82:R84)=0,V82=W82),ROUND(IF(W82=0,0,W82/Y82)*100,2)&amp;"%",ROUND(IF(V82=0,0,V82/Y82)*100,2)&amp;"% a "&amp;ROUND(IF(W82=0,0,W82/Y82)*100,2)&amp;"%")</f>
        <v>4,54%</v>
      </c>
      <c r="Y82" s="497">
        <f>IF($D82=$D79,Y79+SUM(O82:O84),SUM(O82:O84))</f>
        <v>418.69</v>
      </c>
      <c r="Z82" s="496">
        <f>IF($B82=" ",SUM(O82:O84),0)+Z79</f>
        <v>0</v>
      </c>
      <c r="AA82" s="496">
        <f>IF(G82="","",IF($B82="Anulado",LARGE(P82:P84,1)-SUM(O82:O84)+AA79,AA79))</f>
        <v>0.45899999999999785</v>
      </c>
      <c r="AB82" s="496">
        <f>IF($D82="","",AB79+S82)</f>
        <v>47.669999999999987</v>
      </c>
      <c r="AC82" s="499">
        <f ca="1">IF($D82="","",IF($B82=" ",IF(DAY(G82)=DAY(TODAY()),1+AC79,0+AC79),0+AC79))</f>
        <v>0</v>
      </c>
      <c r="AD82" s="157">
        <f>(1-_xlfn.XLOOKUP(K80,'Fevereiro 2023 - Valor Real'!A3:A15,'Fevereiro 2023 - Valor Real'!C3:C15,0))+1</f>
        <v>2</v>
      </c>
      <c r="AE82" s="158">
        <f>IF(L82="","",IF(L84&gt;0,(SUM(((L82-1)*(1-_xlfn.XLOOKUP(K82,'Fevereiro 2023 - Valor Real'!A3:A15,'Fevereiro 2023 - Valor Real'!C3:C15,0))+1),((L83-1)*(1-_xlfn.XLOOKUP(K83,'Fevereiro 2023 - Valor Real'!A3:A15,'Fevereiro 2023 - Valor Real'!C3:C15,0))+1),((L84-1)*(1-_xlfn.XLOOKUP(K84,'Fevereiro 2023 - Valor Real'!A3:A15,'Fevereiro 2023 - Valor Real'!C3:C15,0))+1))/((L82-1)*(1-_xlfn.XLOOKUP(K82,'Fevereiro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Real'!C3:C15,0))+1))/((L82-1)*(1-_xlfn.XLOOKUP(K82,'Fevereiro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Real'!C3:C15,0))+1))/((L83-1)*(1-_xlfn.XLOOKUP(K83,'Fevereiro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Real'!C3:C15,0))+1))/((L84-1)*(1-_xlfn.XLOOKUP(K84,'Fevereiro 2023 - Valor Real'!A3:A15,'Fevereiro 2023 - Valor Real'!C3:C15,0))+1)),IF(I82="Lay",IF(I83="Lay",((L83/(L83-1)-1)*(1-_xlfn.XLOOKUP(K83,'Fevereiro 2023 - Valor Real'!A3:A15,'Fevereiro 2023 - Valor Real'!C3:C15,0))+1)/(((L83/(L83-1)-1)*(1-_xlfn.XLOOKUP(K83,'Fevereiro 2023 - Valor Real'!A3:A15,'Fevereiro 2023 - Valor Real'!C3:C15,0))+1)+((L82/(L82-1)-1)*(1-_xlfn.XLOOKUP(K82,'Fevereiro 2023 - Valor Real'!A3:A15,'Fevereiro 2023 - Valor Real'!C3:C15,0))+1)),((L83-1)*(1-_xlfn.XLOOKUP(K83,'Fevereiro 2023 - Valor Real'!A3:A15,'Fevereiro 2023 - Valor Real'!C3:C15,0))+1)/(((L83-1)*(1-_xlfn.XLOOKUP(K83,'Fevereiro 2023 - Valor Real'!A3:A15,'Fevereiro 2023 - Valor Real'!C3:C15,0))+1)+((L82/(L82-1)-1)*(1-_xlfn.XLOOKUP(K82,'Fevereiro 2023 - Valor Real'!A3:A15,'Fevereiro 2023 - Valor Real'!C3:C15,0))+1))),IF(I83="Lay",(((L83/(L83-1)-1)*(1-_xlfn.XLOOKUP(K83,'Fevereiro 2023 - Valor Real'!A3:A15,'Fevereiro 2023 - Valor Real'!C3:C15,0))+1))/(((L82-1)*(1-_xlfn.XLOOKUP(K82,'Fevereiro 2023 - Valor Real'!A3:A15,'Fevereiro 2023 - Valor Real'!C3:C15,0))+1)+((L83/(L83-1)-1)*(1-_xlfn.XLOOKUP(K83,'Fevereiro 2023 - Valor Real'!A3:A15,'Fevereiro 2023 - Valor Real'!C3:C15,0))+1)),((L83-1)*(1-_xlfn.XLOOKUP(K83,'Fevereiro 2023 - Valor Real'!A3:A15,'Fevereiro 2023 - Valor Real'!C3:C15,0))+1)/(((L83-1)*(1-_xlfn.XLOOKUP(K83,'Fevereiro 2023 - Valor Real'!A3:A15,'Fevereiro 2023 - Valor Real'!C3:C15,0))+1)+((L82-1)*(1-_xlfn.XLOOKUP(K82,'Fevereiro 2023 - Valor Real'!A3:A15,'Fevereiro 2023 - Valor Real'!C3:C15,0))+1))))))</f>
        <v>0.32217573221757323</v>
      </c>
      <c r="AF82" s="66">
        <f t="shared" si="168"/>
        <v>0</v>
      </c>
      <c r="AG82" s="67">
        <f t="shared" si="168"/>
        <v>-17.940000000000001</v>
      </c>
      <c r="AH82" s="67">
        <f t="shared" si="168"/>
        <v>0</v>
      </c>
      <c r="AI82" s="67">
        <f t="shared" si="168"/>
        <v>0</v>
      </c>
      <c r="AJ82" s="67">
        <f t="shared" si="168"/>
        <v>0</v>
      </c>
      <c r="AK82" s="67">
        <f t="shared" si="168"/>
        <v>0</v>
      </c>
      <c r="AL82" s="67">
        <f t="shared" si="168"/>
        <v>0</v>
      </c>
      <c r="AM82" s="67">
        <f t="shared" si="168"/>
        <v>0</v>
      </c>
      <c r="AN82" s="67">
        <f t="shared" si="168"/>
        <v>0</v>
      </c>
      <c r="AO82" s="67">
        <f t="shared" si="168"/>
        <v>0</v>
      </c>
      <c r="AP82" s="67">
        <f t="shared" si="168"/>
        <v>0</v>
      </c>
      <c r="AQ82" s="67">
        <f t="shared" si="168"/>
        <v>0</v>
      </c>
      <c r="AR82" s="68">
        <f t="shared" si="168"/>
        <v>0</v>
      </c>
      <c r="AS82" s="66">
        <f t="shared" ref="AS82:BE82" si="180">IF(AND($B82=" ",$K82=AS$3),$O82,0)</f>
        <v>0</v>
      </c>
      <c r="AT82" s="67">
        <f t="shared" si="180"/>
        <v>0</v>
      </c>
      <c r="AU82" s="67">
        <f t="shared" si="180"/>
        <v>0</v>
      </c>
      <c r="AV82" s="67">
        <f t="shared" si="180"/>
        <v>0</v>
      </c>
      <c r="AW82" s="67">
        <f t="shared" si="180"/>
        <v>0</v>
      </c>
      <c r="AX82" s="67">
        <f t="shared" si="180"/>
        <v>0</v>
      </c>
      <c r="AY82" s="69">
        <f t="shared" si="180"/>
        <v>0</v>
      </c>
      <c r="AZ82" s="70">
        <f t="shared" si="180"/>
        <v>0</v>
      </c>
      <c r="BA82" s="70">
        <f t="shared" si="180"/>
        <v>0</v>
      </c>
      <c r="BB82" s="70">
        <f t="shared" si="180"/>
        <v>0</v>
      </c>
      <c r="BC82" s="71">
        <f t="shared" si="180"/>
        <v>0</v>
      </c>
      <c r="BD82" s="67">
        <f t="shared" si="180"/>
        <v>0</v>
      </c>
      <c r="BE82" s="68">
        <f t="shared" si="180"/>
        <v>0</v>
      </c>
      <c r="BF82" s="66">
        <f t="shared" si="170"/>
        <v>0</v>
      </c>
      <c r="BG82" s="67">
        <f t="shared" si="170"/>
        <v>17.940000000000001</v>
      </c>
      <c r="BH82" s="67">
        <f t="shared" si="170"/>
        <v>0</v>
      </c>
      <c r="BI82" s="67">
        <f t="shared" si="170"/>
        <v>0</v>
      </c>
      <c r="BJ82" s="67">
        <f t="shared" si="170"/>
        <v>0</v>
      </c>
      <c r="BK82" s="67">
        <f t="shared" si="170"/>
        <v>0</v>
      </c>
      <c r="BL82" s="67">
        <f t="shared" si="170"/>
        <v>0</v>
      </c>
      <c r="BM82" s="69">
        <f t="shared" si="170"/>
        <v>0</v>
      </c>
      <c r="BN82" s="70">
        <f t="shared" si="170"/>
        <v>0</v>
      </c>
      <c r="BO82" s="70">
        <f t="shared" si="170"/>
        <v>0</v>
      </c>
      <c r="BP82" s="70">
        <f t="shared" si="170"/>
        <v>0</v>
      </c>
      <c r="BQ82" s="71">
        <f t="shared" si="170"/>
        <v>0</v>
      </c>
      <c r="BR82" s="68">
        <f t="shared" si="170"/>
        <v>0</v>
      </c>
      <c r="BS82" s="490">
        <f>IF($B82="LOSS",IF(AND($K82=BS$3,$C82="L"),-$O82,0)+IF(AND($K83=BS$3,$C83="L"),-$O83,0)+IF(AND($K84=BS$3,$C84="L"),-$O84,0),IF(OR(AND($K82=BS$3,OR($C82="W",$C82="1/2W")),AND($K83=BS$3,OR($C83="W",$C83="1/2W")),AND($K84=BS$3,OR($C84="W",$C84="1/2W"))),$S82,0))</f>
        <v>0</v>
      </c>
      <c r="BT82" s="498">
        <f>IF($B82="LOSS",IF(AND($K82=BT$3,$C82="L"),-$O82,0)+IF(AND($K83=BT$3,$C83="L"),-$O83,0)+IF(AND($K83=BT$3,$C84="L"),-$O84,0),IF(OR(AND($K83=BT$3,OR($C82="W",$C82="1/2W")),AND($K83=BT$3,OR($C83="W",$C83="1/2W")),AND($K83=BT$3,OR($C84="W",$C84="1/2W"))),$S82,0))</f>
        <v>0</v>
      </c>
      <c r="BU82" s="488">
        <f>IF($B82="LOSS",IF(AND($K82=BU$3,$C82="L"),-$O82,0)+IF(AND($K83=BU$3,$C83="L"),-$O83,0)+IF(AND($K83=BU$3,$C84="L"),-$O84,0),IF(OR(AND($K83=BU$3,OR($C82="W",$C82="1/2W")),AND($K83=BU$3,OR($C83="W",$C83="1/2W")),AND($K83=BU$3,OR($C84="W",$C84="1/2W"))),$S82,0))</f>
        <v>0</v>
      </c>
      <c r="BV82" s="488">
        <f t="shared" ref="BV82:CE82" si="181">IF($B82="LOSS",IF(AND($K82=BV$3,$C82="L"),-$O82,0)+IF(AND($K83=BV$3,$C83="L"),-$O83,0)+IF(AND($K84=BV$3,$C84="L"),-$O84,0),IF(OR(AND($K82=BV$3,OR($C82="W",$C82="1/2W")),AND($K83=BV$3,OR($C83="W",$C83="1/2W")),AND($K84=BV$3,OR($C84="W",$C84="1/2W"))),$S82,0))</f>
        <v>0</v>
      </c>
      <c r="BW82" s="488">
        <f t="shared" si="181"/>
        <v>0</v>
      </c>
      <c r="BX82" s="488">
        <f t="shared" si="181"/>
        <v>0</v>
      </c>
      <c r="BY82" s="488">
        <f t="shared" si="181"/>
        <v>0</v>
      </c>
      <c r="BZ82" s="488">
        <f t="shared" si="181"/>
        <v>0</v>
      </c>
      <c r="CA82" s="488">
        <f t="shared" si="181"/>
        <v>0</v>
      </c>
      <c r="CB82" s="488">
        <f t="shared" si="181"/>
        <v>0</v>
      </c>
      <c r="CC82" s="488">
        <f t="shared" si="181"/>
        <v>0</v>
      </c>
      <c r="CD82" s="500">
        <f t="shared" si="181"/>
        <v>2.44</v>
      </c>
      <c r="CE82" s="504">
        <f t="shared" si="181"/>
        <v>0</v>
      </c>
      <c r="CF82" s="160">
        <f t="shared" si="131"/>
        <v>0</v>
      </c>
      <c r="CG82" s="161">
        <f t="shared" si="132"/>
        <v>0</v>
      </c>
      <c r="CH82" s="161">
        <f t="shared" si="133"/>
        <v>0</v>
      </c>
      <c r="CI82" s="161">
        <f t="shared" si="134"/>
        <v>1</v>
      </c>
      <c r="CJ82" s="161">
        <f t="shared" si="135"/>
        <v>0</v>
      </c>
      <c r="CK82" s="161">
        <f t="shared" si="136"/>
        <v>0</v>
      </c>
      <c r="CL82" s="161">
        <f t="shared" si="137"/>
        <v>0</v>
      </c>
      <c r="CM82" s="161">
        <f t="shared" si="138"/>
        <v>0</v>
      </c>
      <c r="CN82" s="161">
        <f t="shared" si="139"/>
        <v>0</v>
      </c>
      <c r="CO82" s="161">
        <f t="shared" si="140"/>
        <v>0</v>
      </c>
      <c r="CP82" s="161">
        <f t="shared" si="141"/>
        <v>0</v>
      </c>
      <c r="CQ82" s="161">
        <f t="shared" si="142"/>
        <v>0</v>
      </c>
      <c r="CR82" s="161">
        <f t="shared" si="143"/>
        <v>0</v>
      </c>
      <c r="CS82" s="161">
        <f t="shared" si="144"/>
        <v>0</v>
      </c>
      <c r="CT82" s="75">
        <f t="shared" si="145"/>
        <v>0</v>
      </c>
      <c r="CU82" s="76">
        <f t="shared" si="146"/>
        <v>0</v>
      </c>
      <c r="CV82" s="76">
        <f t="shared" si="147"/>
        <v>0</v>
      </c>
      <c r="CW82" s="76">
        <f t="shared" si="148"/>
        <v>0</v>
      </c>
      <c r="CX82" s="76">
        <f t="shared" si="149"/>
        <v>0</v>
      </c>
      <c r="CY82" s="76">
        <f t="shared" si="150"/>
        <v>0</v>
      </c>
      <c r="CZ82" s="76">
        <f t="shared" si="151"/>
        <v>0</v>
      </c>
      <c r="DA82" s="76">
        <f t="shared" si="152"/>
        <v>0</v>
      </c>
      <c r="DB82" s="76">
        <f t="shared" si="153"/>
        <v>0</v>
      </c>
      <c r="DC82" s="76">
        <f t="shared" si="154"/>
        <v>0</v>
      </c>
      <c r="DD82" s="76">
        <f t="shared" si="155"/>
        <v>0</v>
      </c>
      <c r="DE82" s="77">
        <f t="shared" si="156"/>
        <v>0</v>
      </c>
      <c r="DF82" s="73">
        <f t="shared" si="158"/>
        <v>11</v>
      </c>
      <c r="DG82" s="67">
        <f t="shared" si="159"/>
        <v>14.450000000000001</v>
      </c>
      <c r="DH82" s="76">
        <f t="shared" si="160"/>
        <v>0</v>
      </c>
      <c r="DI82" s="67">
        <f t="shared" si="161"/>
        <v>0</v>
      </c>
      <c r="DJ82" s="202" t="str">
        <f>IF($D82="","",$D82)</f>
        <v>2</v>
      </c>
      <c r="DK82" s="492">
        <f>IF(AND($B82=" ",$D82&lt;&gt;""),1,0)</f>
        <v>0</v>
      </c>
    </row>
    <row r="83" spans="1:115" ht="14.5" customHeight="1" x14ac:dyDescent="0.2">
      <c r="A83" s="389"/>
      <c r="B83" s="456"/>
      <c r="C83" s="53" t="s">
        <v>54</v>
      </c>
      <c r="D83" s="374"/>
      <c r="E83" s="386"/>
      <c r="F83" s="377"/>
      <c r="G83" s="508"/>
      <c r="H83" s="476"/>
      <c r="I83" s="182" t="s">
        <v>52</v>
      </c>
      <c r="J83" s="56">
        <f>IF(OR(I82="TO",I82="TU",I82="TO1",I82="TU1",I82="TO2",I82="TU2"),J82,IF(OR(I82="AH1",I82="AH2"),IF(OR(I83="AH1",I83="AH2"),-J82,IF(OR(I83="EH1",I83="EH2"),-J82+0.5,"")),IF(OR(I82="EH1",I82="EH2"),IF(OR(I83="AH1",I83="AH2"),-J82+0.5,IF(OR(I83="EH1",I83="EH2"),-J82+1,"")),IF(AND(OR(I82="DNB1",I82="DNB2"),OR(I83="AH1",I83="AH2")),0,IF(AND(I82="Not ScoreBoth",OR(I83="TO1",I83="TO2")),0.5,"")))))</f>
        <v>4.5</v>
      </c>
      <c r="K83" s="57" t="s">
        <v>47</v>
      </c>
      <c r="L83" s="164">
        <v>1.54</v>
      </c>
      <c r="M83" s="165">
        <v>37.74</v>
      </c>
      <c r="N83" s="406"/>
      <c r="O83" s="60">
        <f>IF(OR(AE82="",AE83=""),"",ROUND(IF(L84&gt;0,IF(M83&gt;0,M83,IF(M82&gt;0,IF(N82=TRUE,ROUND((M82*AE83)/AE82,0),(M82*AE83)/AE82),IF(M83&gt;0,ROUND(M83,IF(N82=0,2,IF(N82=0.1,1,0))),IF(M84&gt;0,ROUND(O84*AE83/AE84,IF(N82=0,2,IF(N82=0.1,1,0))),0)))),IF(M83&gt;0,M83,ROUND((M82*AE83)/AE82,IF(N82=0,2,IF(N82=0.1,1,0))))),2))</f>
        <v>37.74</v>
      </c>
      <c r="P83" s="61">
        <f>IF(OR(L83="",O83=""),"",IF($C83="1/2W",O83/2+O83/2*L83,IF($C83="1/2L",O83/2,IF(I83="Lay",((O83*(L83/(L83-1)))-O83)*(1-_xlfn.XLOOKUP(K83,'Fevereiro 2023 - Valor Real'!A3:A15,'Fevereiro 2023 - Valor Real'!C3:C15,0))+O83,(O83*L83-O83)*(1-_xlfn.XLOOKUP(K83,'Fevereiro 2023 - Valor Real'!A3:A15,'Fevereiro 2023 - Valor Real'!C3:C15,0))+O83))))</f>
        <v>58.119600000000005</v>
      </c>
      <c r="Q83" s="166">
        <f>IF(K83="","",IF(_xlfn.XLOOKUP(K83,K$10:K74,$DJ$10:DJ74,0,,-1)=DJ83,_xlfn.XLOOKUP(K83,K$10:K74,Q$10:Q74,1,,-1)+1,1))</f>
        <v>4</v>
      </c>
      <c r="R83" s="167">
        <f>IF(K83="","",_xlfn.XLOOKUP(K83,K$10:K74,R$10:R74,0,,-1)+IF($C83=" ",1,0))</f>
        <v>0</v>
      </c>
      <c r="S83" s="403"/>
      <c r="T83" s="380"/>
      <c r="U83" s="380"/>
      <c r="V83" s="481"/>
      <c r="W83" s="380"/>
      <c r="X83" s="452"/>
      <c r="Y83" s="383"/>
      <c r="Z83" s="384"/>
      <c r="AA83" s="384"/>
      <c r="AB83" s="384"/>
      <c r="AC83" s="384"/>
      <c r="AD83" s="64"/>
      <c r="AE83" s="65">
        <f>IF(L83="","",IF(L84&gt;0,(SUM(((L82-1)*(1-_xlfn.XLOOKUP(K82,'Fevereiro 2023 - Valor Real'!A3:A15,'Fevereiro 2023 - Valor Real'!C3:C15,0))+1),((L83-1)*(1-_xlfn.XLOOKUP(K83,'Fevereiro 2023 - Valor Real'!A3:A15,'Fevereiro 2023 - Valor Real'!C3:C15,0))+1),((L84-1)*(1-_xlfn.XLOOKUP(K84,'Fevereiro 2023 - Valor Real'!A3:A15,'Fevereiro 2023 - Valor Real'!C3:C15,0))+1))/((L83-1)*(1-_xlfn.XLOOKUP(K83,'Fevereiro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Real'!C3:C15,0))+1))/((L82-1)*(1-_xlfn.XLOOKUP(K82,'Fevereiro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Real'!C3:C15,0))+1))/((L83-1)*(1-_xlfn.XLOOKUP(K83,'Fevereiro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Real'!C3:C15,0))+1))/((L84-1)*(1-_xlfn.XLOOKUP(K84,'Fevereiro 2023 - Valor Real'!A3:A15,'Fevereiro 2023 - Valor Real'!C3:C15,0))+1)),IF(I83="Lay",IF(I82="Lay",((L82/(L82-1)-1)*(1-_xlfn.XLOOKUP(K82,'Fevereiro 2023 - Valor Real'!A3:A15,'Fevereiro 2023 - Valor Real'!C3:C15,0))+1)/(((L82/(L82-1)-1)*(1-_xlfn.XLOOKUP(K82,'Fevereiro 2023 - Valor Real'!A3:A15,'Fevereiro 2023 - Valor Real'!C3:C15,0))+1)+((L83/(L83-1)-1)*(1-_xlfn.XLOOKUP(K83,'Fevereiro 2023 - Valor Real'!A3:A15,'Fevereiro 2023 - Valor Real'!C3:C15,0))+1)),((L82-1)*(1-_xlfn.XLOOKUP(K82,'Fevereiro 2023 - Valor Real'!A3:A15,'Fevereiro 2023 - Valor Real'!C3:C15,0))+1)/(((L82-1)*(1-_xlfn.XLOOKUP(K82,'Fevereiro 2023 - Valor Real'!A3:A15,'Fevereiro 2023 - Valor Real'!C3:C15,0))+1)+((L83/(L83-1)-1)*(1-_xlfn.XLOOKUP(K83,'Fevereiro 2023 - Valor Real'!A3:A15,'Fevereiro 2023 - Valor Real'!C3:C15,0))+1))),IF(I82="Lay",((L82/(L82-1)-1)*(1-_xlfn.XLOOKUP(K82,'Fevereiro 2023 - Valor Real'!A3:A15,'Fevereiro 2023 - Valor Real'!C3:C15,0))+1)/((((L82/(L82-1)-1)*(1-_xlfn.XLOOKUP(K82,'Fevereiro 2023 - Valor Real'!A3:A15,'Fevereiro 2023 - Valor Real'!C3:C15,0))+1))+((L83-1)*(1-_xlfn.XLOOKUP(K83,'Fevereiro 2023 - Valor Real'!A3:A15,'Fevereiro 2023 - Valor Real'!C3:C15,0))+1)),((L82-1)*(1-_xlfn.XLOOKUP(K82,'Fevereiro 2023 - Valor Real'!A3:A15,'Fevereiro 2023 - Valor Real'!C3:C15,0))+1)/(((L82-1)*(1-_xlfn.XLOOKUP(K82,'Fevereiro 2023 - Valor Real'!A3:A15,'Fevereiro 2023 - Valor Real'!C3:C15,0))+1)+((L83-1)*(1-_xlfn.XLOOKUP(K83,'Fevereiro 2023 - Valor Real'!A3:A15,'Fevereiro 2023 - Valor Real'!C3:C15,0))+1))))))</f>
        <v>0.67782426778242677</v>
      </c>
      <c r="AF83" s="66">
        <f t="shared" si="168"/>
        <v>0</v>
      </c>
      <c r="AG83" s="67">
        <f t="shared" si="168"/>
        <v>0</v>
      </c>
      <c r="AH83" s="67">
        <f t="shared" si="168"/>
        <v>0</v>
      </c>
      <c r="AI83" s="67">
        <f t="shared" si="168"/>
        <v>0</v>
      </c>
      <c r="AJ83" s="67">
        <f t="shared" si="168"/>
        <v>0</v>
      </c>
      <c r="AK83" s="67">
        <f t="shared" si="168"/>
        <v>0</v>
      </c>
      <c r="AL83" s="67">
        <f t="shared" si="168"/>
        <v>0</v>
      </c>
      <c r="AM83" s="67">
        <f t="shared" si="168"/>
        <v>0</v>
      </c>
      <c r="AN83" s="67">
        <f t="shared" si="168"/>
        <v>0</v>
      </c>
      <c r="AO83" s="67">
        <f t="shared" si="168"/>
        <v>0</v>
      </c>
      <c r="AP83" s="67">
        <f t="shared" si="168"/>
        <v>0</v>
      </c>
      <c r="AQ83" s="67">
        <f t="shared" si="168"/>
        <v>20.38</v>
      </c>
      <c r="AR83" s="68">
        <f t="shared" si="168"/>
        <v>0</v>
      </c>
      <c r="AS83" s="66">
        <f>IF(AND($B82=" ",$K83=AS$3),$O83,0)</f>
        <v>0</v>
      </c>
      <c r="AT83" s="67">
        <f>IF(AND($B82=" ",K83=AT$3),$O83,0)</f>
        <v>0</v>
      </c>
      <c r="AU83" s="67">
        <f t="shared" ref="AU83:BE83" si="182">IF(AND($B82=" ",$K83=AU$3),$O83,0)</f>
        <v>0</v>
      </c>
      <c r="AV83" s="67">
        <f t="shared" si="182"/>
        <v>0</v>
      </c>
      <c r="AW83" s="67">
        <f t="shared" si="182"/>
        <v>0</v>
      </c>
      <c r="AX83" s="67">
        <f t="shared" si="182"/>
        <v>0</v>
      </c>
      <c r="AY83" s="69">
        <f t="shared" si="182"/>
        <v>0</v>
      </c>
      <c r="AZ83" s="70">
        <f t="shared" si="182"/>
        <v>0</v>
      </c>
      <c r="BA83" s="70">
        <f t="shared" si="182"/>
        <v>0</v>
      </c>
      <c r="BB83" s="70">
        <f t="shared" si="182"/>
        <v>0</v>
      </c>
      <c r="BC83" s="71">
        <f t="shared" si="182"/>
        <v>0</v>
      </c>
      <c r="BD83" s="67">
        <f t="shared" si="182"/>
        <v>0</v>
      </c>
      <c r="BE83" s="68">
        <f t="shared" si="182"/>
        <v>0</v>
      </c>
      <c r="BF83" s="66">
        <f t="shared" si="170"/>
        <v>0</v>
      </c>
      <c r="BG83" s="168">
        <f t="shared" si="170"/>
        <v>0</v>
      </c>
      <c r="BH83" s="67">
        <f t="shared" si="170"/>
        <v>0</v>
      </c>
      <c r="BI83" s="67">
        <f t="shared" si="170"/>
        <v>0</v>
      </c>
      <c r="BJ83" s="67">
        <f t="shared" si="170"/>
        <v>0</v>
      </c>
      <c r="BK83" s="67">
        <f t="shared" si="170"/>
        <v>0</v>
      </c>
      <c r="BL83" s="67">
        <f t="shared" si="170"/>
        <v>0</v>
      </c>
      <c r="BM83" s="69">
        <f t="shared" si="170"/>
        <v>0</v>
      </c>
      <c r="BN83" s="70">
        <f t="shared" si="170"/>
        <v>0</v>
      </c>
      <c r="BO83" s="70">
        <f t="shared" si="170"/>
        <v>0</v>
      </c>
      <c r="BP83" s="70">
        <f t="shared" si="170"/>
        <v>0</v>
      </c>
      <c r="BQ83" s="71">
        <f t="shared" si="170"/>
        <v>37.74</v>
      </c>
      <c r="BR83" s="68">
        <f t="shared" si="170"/>
        <v>0</v>
      </c>
      <c r="BS83" s="491"/>
      <c r="BT83" s="489"/>
      <c r="BU83" s="392"/>
      <c r="BV83" s="489"/>
      <c r="BW83" s="392"/>
      <c r="BX83" s="392"/>
      <c r="BY83" s="392"/>
      <c r="BZ83" s="489"/>
      <c r="CA83" s="392"/>
      <c r="CB83" s="392"/>
      <c r="CC83" s="392"/>
      <c r="CD83" s="401"/>
      <c r="CE83" s="409"/>
      <c r="CF83" s="169">
        <f t="shared" si="131"/>
        <v>0</v>
      </c>
      <c r="CG83" s="170">
        <f t="shared" si="132"/>
        <v>0</v>
      </c>
      <c r="CH83" s="170">
        <f t="shared" si="133"/>
        <v>0</v>
      </c>
      <c r="CI83" s="170">
        <f t="shared" si="134"/>
        <v>0</v>
      </c>
      <c r="CJ83" s="170">
        <f t="shared" si="135"/>
        <v>0</v>
      </c>
      <c r="CK83" s="170">
        <f t="shared" si="136"/>
        <v>0</v>
      </c>
      <c r="CL83" s="170">
        <f t="shared" si="137"/>
        <v>0</v>
      </c>
      <c r="CM83" s="170">
        <f t="shared" si="138"/>
        <v>0</v>
      </c>
      <c r="CN83" s="170">
        <f t="shared" si="139"/>
        <v>0</v>
      </c>
      <c r="CO83" s="170">
        <f t="shared" si="140"/>
        <v>0</v>
      </c>
      <c r="CP83" s="170">
        <f t="shared" si="141"/>
        <v>0</v>
      </c>
      <c r="CQ83" s="170">
        <f t="shared" si="142"/>
        <v>0</v>
      </c>
      <c r="CR83" s="170">
        <f t="shared" si="143"/>
        <v>0</v>
      </c>
      <c r="CS83" s="170">
        <f t="shared" si="144"/>
        <v>0</v>
      </c>
      <c r="CT83" s="75">
        <f t="shared" si="145"/>
        <v>0</v>
      </c>
      <c r="CU83" s="76">
        <f t="shared" si="146"/>
        <v>0</v>
      </c>
      <c r="CV83" s="76">
        <f t="shared" si="147"/>
        <v>0</v>
      </c>
      <c r="CW83" s="76">
        <f t="shared" si="148"/>
        <v>0</v>
      </c>
      <c r="CX83" s="76">
        <f t="shared" si="149"/>
        <v>0</v>
      </c>
      <c r="CY83" s="76">
        <f t="shared" si="150"/>
        <v>0</v>
      </c>
      <c r="CZ83" s="76">
        <f t="shared" si="151"/>
        <v>0</v>
      </c>
      <c r="DA83" s="76">
        <f t="shared" si="152"/>
        <v>0</v>
      </c>
      <c r="DB83" s="76">
        <f t="shared" si="153"/>
        <v>1</v>
      </c>
      <c r="DC83" s="76">
        <f t="shared" si="154"/>
        <v>0</v>
      </c>
      <c r="DD83" s="76">
        <f t="shared" si="155"/>
        <v>0</v>
      </c>
      <c r="DE83" s="77">
        <f t="shared" si="156"/>
        <v>0</v>
      </c>
      <c r="DF83" s="73">
        <f t="shared" si="158"/>
        <v>11</v>
      </c>
      <c r="DG83" s="67">
        <f t="shared" si="159"/>
        <v>14.450000000000001</v>
      </c>
      <c r="DH83" s="76">
        <f t="shared" si="160"/>
        <v>0</v>
      </c>
      <c r="DI83" s="67">
        <f t="shared" si="161"/>
        <v>0</v>
      </c>
      <c r="DJ83" s="202" t="str">
        <f>IF($D82="","",$D82)</f>
        <v>2</v>
      </c>
      <c r="DK83" s="493"/>
    </row>
    <row r="84" spans="1:115" ht="14.5" customHeight="1" x14ac:dyDescent="0.2">
      <c r="A84" s="390"/>
      <c r="B84" s="457"/>
      <c r="C84" s="79" t="s">
        <v>53</v>
      </c>
      <c r="D84" s="375"/>
      <c r="E84" s="387"/>
      <c r="F84" s="378"/>
      <c r="G84" s="508"/>
      <c r="H84" s="477"/>
      <c r="I84" s="171"/>
      <c r="J84" s="172"/>
      <c r="K84" s="81"/>
      <c r="L84" s="173"/>
      <c r="M84" s="174"/>
      <c r="N84" s="407"/>
      <c r="O84" s="86" t="str">
        <f>IF(OR(AE82="",AE83=""),"",IF(L84&gt;0,ROUND(IF(M84&gt;0,M84,IF(M82&gt;0,ROUND((M82*AE84)/AE82,IF(N82=0,2,IF(N82=0.1,1,0))),IF(M83&gt;0,ROUND((M83*AE84)/AE83,IF(N82=0,2,IF(N82=0.1,1,0))),IF(M84&gt;0,M84,0)))),2),""))</f>
        <v/>
      </c>
      <c r="P84" s="87" t="str">
        <f>IF(I83="Lay",O83*(L83/(L83-1))-O83,IF(I82="Lay",O82*(L82/(L82-1))-O82,IF(OR(L84="",O84=""),"",IF($C84="1/2W",O84/2+O84/2*L84,IF($C84="1/2L",O84/2,(O84*L84-O84)*(1-_xlfn.XLOOKUP(K84,'Fevereiro 2023 - Valor Real'!A3:A15,'Fevereiro 2023 - Valor Real'!C3:C15,0))+O84)))))</f>
        <v/>
      </c>
      <c r="Q84" s="54" t="str">
        <f>IF(K84="","",IF(_xlfn.XLOOKUP(K84,K$11:K74,$DJ$11:DJ74,0,,-1)=DJ84,_xlfn.XLOOKUP(K84,K$11:K74,Q$11:Q74,1,,-1)+1,1))</f>
        <v/>
      </c>
      <c r="R84" s="87" t="str">
        <f>IF(K84="","",_xlfn.XLOOKUP(K84,K$11:K74,R$11:R74,0,,-1)+IF($C84=" ",1,0))</f>
        <v/>
      </c>
      <c r="S84" s="404"/>
      <c r="T84" s="378"/>
      <c r="U84" s="378"/>
      <c r="V84" s="404"/>
      <c r="W84" s="378"/>
      <c r="X84" s="453"/>
      <c r="Y84" s="383"/>
      <c r="Z84" s="384"/>
      <c r="AA84" s="384"/>
      <c r="AB84" s="384"/>
      <c r="AC84" s="384"/>
      <c r="AD84" s="90"/>
      <c r="AE84" s="91" t="str">
        <f>IF(L84="","",(SUM(((L82-1)*(1-_xlfn.XLOOKUP(K82,'Fevereiro 2023 - Valor Real'!A3:A15,'Fevereiro 2023 - Valor Real'!C3:C15,0))+1),((L83-1)*(1-_xlfn.XLOOKUP(K83,'Fevereiro 2023 - Valor Real'!A3:A15,'Fevereiro 2023 - Valor Real'!C3:C15,0))+1),((L84-1)*(1-_xlfn.XLOOKUP(K84,'Fevereiro 2023 - Valor Real'!A3:A15,'Fevereiro 2023 - Valor Real'!C3:C15,0))+1))/((L84-1)*(1-_xlfn.XLOOKUP(K84,'Fevereiro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Real'!C3:C15,0))+1))/((L82-1)*(1-_xlfn.XLOOKUP(K82,'Fevereiro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Real'!C3:C15,0))+1))/((L83-1)*(1-_xlfn.XLOOKUP(K83,'Fevereiro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Real'!C3:C15,0))+1))/((L84-1)*(1-_xlfn.XLOOKUP(K84,'Fevereiro 2023 - Valor Real'!A3:A15,'Fevereiro 2023 - Valor Real'!C3:C15,0))+1)))</f>
        <v/>
      </c>
      <c r="AF84" s="66">
        <f t="shared" ref="AF84:AR93" si="183">IF($K84=AF$3,ROUND(IF(OR($C84="W",$C84="1/2W",$C84="1/2L"),$P84-$O84,IF($C84="X",0,-$O84)),2),0)</f>
        <v>0</v>
      </c>
      <c r="AG84" s="67">
        <f t="shared" si="183"/>
        <v>0</v>
      </c>
      <c r="AH84" s="67">
        <f t="shared" si="183"/>
        <v>0</v>
      </c>
      <c r="AI84" s="67">
        <f t="shared" si="183"/>
        <v>0</v>
      </c>
      <c r="AJ84" s="67">
        <f t="shared" si="183"/>
        <v>0</v>
      </c>
      <c r="AK84" s="67">
        <f t="shared" si="183"/>
        <v>0</v>
      </c>
      <c r="AL84" s="67">
        <f t="shared" si="183"/>
        <v>0</v>
      </c>
      <c r="AM84" s="67">
        <f t="shared" si="183"/>
        <v>0</v>
      </c>
      <c r="AN84" s="67">
        <f t="shared" si="183"/>
        <v>0</v>
      </c>
      <c r="AO84" s="67">
        <f t="shared" si="183"/>
        <v>0</v>
      </c>
      <c r="AP84" s="67">
        <f t="shared" si="183"/>
        <v>0</v>
      </c>
      <c r="AQ84" s="67">
        <f t="shared" si="183"/>
        <v>0</v>
      </c>
      <c r="AR84" s="68">
        <f t="shared" si="183"/>
        <v>0</v>
      </c>
      <c r="AS84" s="66">
        <f>IF(AND($B82=" ",$K84=AS$3),$O84,0)</f>
        <v>0</v>
      </c>
      <c r="AT84" s="67">
        <f>IF(AND($B82=" ",K84=AT$3),$O84,0)</f>
        <v>0</v>
      </c>
      <c r="AU84" s="67">
        <f t="shared" ref="AU84:BE84" si="184">IF(AND($B82=" ",$K84=AU$3),$O84,0)</f>
        <v>0</v>
      </c>
      <c r="AV84" s="67">
        <f t="shared" si="184"/>
        <v>0</v>
      </c>
      <c r="AW84" s="67">
        <f t="shared" si="184"/>
        <v>0</v>
      </c>
      <c r="AX84" s="67">
        <f t="shared" si="184"/>
        <v>0</v>
      </c>
      <c r="AY84" s="69">
        <f t="shared" si="184"/>
        <v>0</v>
      </c>
      <c r="AZ84" s="70">
        <f t="shared" si="184"/>
        <v>0</v>
      </c>
      <c r="BA84" s="70">
        <f t="shared" si="184"/>
        <v>0</v>
      </c>
      <c r="BB84" s="70">
        <f t="shared" si="184"/>
        <v>0</v>
      </c>
      <c r="BC84" s="71">
        <f t="shared" si="184"/>
        <v>0</v>
      </c>
      <c r="BD84" s="67">
        <f t="shared" si="184"/>
        <v>0</v>
      </c>
      <c r="BE84" s="68">
        <f t="shared" si="184"/>
        <v>0</v>
      </c>
      <c r="BF84" s="66">
        <f t="shared" ref="BF84:BR93" si="185">IF($K84=BF$3,IF($C84="X",0,$O84),0)</f>
        <v>0</v>
      </c>
      <c r="BG84" s="168">
        <f t="shared" si="185"/>
        <v>0</v>
      </c>
      <c r="BH84" s="67">
        <f t="shared" si="185"/>
        <v>0</v>
      </c>
      <c r="BI84" s="67">
        <f t="shared" si="185"/>
        <v>0</v>
      </c>
      <c r="BJ84" s="67">
        <f t="shared" si="185"/>
        <v>0</v>
      </c>
      <c r="BK84" s="67">
        <f t="shared" si="185"/>
        <v>0</v>
      </c>
      <c r="BL84" s="67">
        <f t="shared" si="185"/>
        <v>0</v>
      </c>
      <c r="BM84" s="69">
        <f t="shared" si="185"/>
        <v>0</v>
      </c>
      <c r="BN84" s="70">
        <f t="shared" si="185"/>
        <v>0</v>
      </c>
      <c r="BO84" s="70">
        <f t="shared" si="185"/>
        <v>0</v>
      </c>
      <c r="BP84" s="70">
        <f t="shared" si="185"/>
        <v>0</v>
      </c>
      <c r="BQ84" s="71">
        <f t="shared" si="185"/>
        <v>0</v>
      </c>
      <c r="BR84" s="68">
        <f t="shared" si="185"/>
        <v>0</v>
      </c>
      <c r="BS84" s="491"/>
      <c r="BT84" s="489"/>
      <c r="BU84" s="392"/>
      <c r="BV84" s="489"/>
      <c r="BW84" s="392"/>
      <c r="BX84" s="392"/>
      <c r="BY84" s="392"/>
      <c r="BZ84" s="489"/>
      <c r="CA84" s="392"/>
      <c r="CB84" s="392"/>
      <c r="CC84" s="392"/>
      <c r="CD84" s="401"/>
      <c r="CE84" s="409"/>
      <c r="CF84" s="169">
        <f t="shared" si="131"/>
        <v>0</v>
      </c>
      <c r="CG84" s="170">
        <f t="shared" si="132"/>
        <v>0</v>
      </c>
      <c r="CH84" s="170">
        <f t="shared" si="133"/>
        <v>0</v>
      </c>
      <c r="CI84" s="170">
        <f t="shared" si="134"/>
        <v>0</v>
      </c>
      <c r="CJ84" s="170">
        <f t="shared" si="135"/>
        <v>0</v>
      </c>
      <c r="CK84" s="170">
        <f t="shared" si="136"/>
        <v>0</v>
      </c>
      <c r="CL84" s="170">
        <f t="shared" si="137"/>
        <v>0</v>
      </c>
      <c r="CM84" s="170">
        <f t="shared" si="138"/>
        <v>0</v>
      </c>
      <c r="CN84" s="170">
        <f t="shared" si="139"/>
        <v>0</v>
      </c>
      <c r="CO84" s="170">
        <f t="shared" si="140"/>
        <v>0</v>
      </c>
      <c r="CP84" s="170">
        <f t="shared" si="141"/>
        <v>0</v>
      </c>
      <c r="CQ84" s="170">
        <f t="shared" si="142"/>
        <v>0</v>
      </c>
      <c r="CR84" s="170">
        <f t="shared" si="143"/>
        <v>0</v>
      </c>
      <c r="CS84" s="170">
        <f t="shared" si="144"/>
        <v>0</v>
      </c>
      <c r="CT84" s="75">
        <f t="shared" si="145"/>
        <v>0</v>
      </c>
      <c r="CU84" s="76">
        <f t="shared" si="146"/>
        <v>0</v>
      </c>
      <c r="CV84" s="76">
        <f t="shared" si="147"/>
        <v>0</v>
      </c>
      <c r="CW84" s="76">
        <f t="shared" si="148"/>
        <v>0</v>
      </c>
      <c r="CX84" s="76">
        <f t="shared" si="149"/>
        <v>0</v>
      </c>
      <c r="CY84" s="76">
        <f t="shared" si="150"/>
        <v>0</v>
      </c>
      <c r="CZ84" s="76">
        <f t="shared" si="151"/>
        <v>0</v>
      </c>
      <c r="DA84" s="76">
        <f t="shared" si="152"/>
        <v>0</v>
      </c>
      <c r="DB84" s="76">
        <f t="shared" si="153"/>
        <v>0</v>
      </c>
      <c r="DC84" s="76">
        <f t="shared" si="154"/>
        <v>0</v>
      </c>
      <c r="DD84" s="76">
        <f t="shared" si="155"/>
        <v>0</v>
      </c>
      <c r="DE84" s="77">
        <f t="shared" si="156"/>
        <v>0</v>
      </c>
      <c r="DF84" s="73">
        <f t="shared" si="158"/>
        <v>11</v>
      </c>
      <c r="DG84" s="67">
        <f t="shared" si="159"/>
        <v>14.450000000000001</v>
      </c>
      <c r="DH84" s="76">
        <f t="shared" si="160"/>
        <v>0</v>
      </c>
      <c r="DI84" s="67">
        <f t="shared" si="161"/>
        <v>0</v>
      </c>
      <c r="DJ84" s="202" t="str">
        <f>IF($D82="","",$D82)</f>
        <v>2</v>
      </c>
      <c r="DK84" s="493"/>
    </row>
    <row r="85" spans="1:115" ht="14.5" customHeight="1" x14ac:dyDescent="0.2">
      <c r="A85" s="459">
        <f>$A82+1</f>
        <v>28</v>
      </c>
      <c r="B85" s="507" t="str">
        <f>IF(OR(C85="W",C86="W",C87="W",C85="1/2W",C86="1/2W",C87="1/2W",C85="1/2L",C86="1/2L",C87="1/2L"),"OK",IF(OR(C85="L",C86="L",C87="L"),"LOSS",IF(OR(C85="X",C86="X",C87="X"),"Anulado"," ")))</f>
        <v>OK</v>
      </c>
      <c r="C85" s="93" t="s">
        <v>55</v>
      </c>
      <c r="D85" s="468" t="str">
        <f>IF(G85="","",$D82)</f>
        <v>2</v>
      </c>
      <c r="E85" s="485" t="str">
        <f>IF(G85=""," ","– "&amp;COUNTIF(D$4:D87,$D85))</f>
        <v>– 11</v>
      </c>
      <c r="F85" s="509" t="str">
        <f ca="1">IF(G85="","",IF(OR(AND($C85&lt;&gt;" ",$C86=" "),AND($C86&lt;&gt;" ",$C85=" "),AND(L87&gt;0,OR(AND($C87&lt;&gt;" ",OR($C85=" ",$C86=" ")),AND($C87=" ",OR($C85&lt;&gt;" ",$C86&lt;&gt;" "))))),IF(SUM(F$6:F80)=0,1,LARGE(F$6:F80,1)+1),IF(MONTH(G85)=MONTH(TODAY()),IF(AND(DAY(G85)&lt;DAY(TODAY()),$B85=" "),IF(SUM(F$6:F80)=0,1,LARGE(F$6:F80,1)+1),IF($B85=" ",IF(AND(DAY(G85)=DAY(TODAY()),HOUR(G85)&lt;=HOUR(NOW())+1),IF(AND(HOUR(G85)+2&lt;=HOUR(NOW()),DAY(G85)&lt;=DAY(TODAY()),MINUTE(G85)&lt;=MINUTE(NOW())),IF(SUM(F$6:F80)=0,1,LARGE(F$6:F80,1)+1),IF(OR(MINUTE(G85)&lt;=MINUTE(NOW()),HOUR(G85)&lt;=HOUR(NOW())),"!!!","")),""),"")),"")))</f>
        <v/>
      </c>
      <c r="G85" s="482">
        <f>IF(H85="","",_xlfn.XLOOKUP(H85,$H$4:H84,$G$4:G84,""))</f>
        <v>44987.708333333336</v>
      </c>
      <c r="H85" s="475" t="s">
        <v>82</v>
      </c>
      <c r="I85" s="94" t="s">
        <v>51</v>
      </c>
      <c r="J85" s="95">
        <v>9.5</v>
      </c>
      <c r="K85" s="96" t="s">
        <v>37</v>
      </c>
      <c r="L85" s="97">
        <v>2.88</v>
      </c>
      <c r="M85" s="98"/>
      <c r="N85" s="478">
        <v>0</v>
      </c>
      <c r="O85" s="99">
        <f>IF(OR(AE85="",AE86=""),"",ROUND(IF(L87&gt;0,IF(M85&gt;0,M85,IF(M86&gt;0,ROUND((M86*AE85)/AE86,IF(N85=0,2,IF(N85=0.1,1,0))),ROUND((M87*AE85)/AE87,IF(N85=0,2,IF(N85=0.1,1,0))))),IF(M85&gt;0,M85,ROUND((M86*AE85)/AE86,IF(N85=0,2,IF(N85=0.1,1,0))))),2))</f>
        <v>17.48</v>
      </c>
      <c r="P85" s="100">
        <f>IF(OR(L85="",O85=""),"",IF($C85="1/2W",O85/2+O85/2*L85,IF($C85="1/2L",O85/2,IF(I85="Lay",(O85*(L85/(L85-1))-O85)*(1-_xlfn.XLOOKUP(K85,'Fevereiro 2023 - Valor Real'!A3:A15,'Fevereiro 2023 - Valor Real'!C3:C15,0))+O85,(O85*L85-O85)*(1-_xlfn.XLOOKUP(K85,'Fevereiro 2023 - Valor Real'!A3:A15,'Fevereiro 2023 - Valor Real'!C3:C15,0))+O85))))</f>
        <v>50.342399999999998</v>
      </c>
      <c r="Q85" s="101">
        <f>IF(K85="","",IF(_xlfn.XLOOKUP(K85,K$6:K80,$DJ$6:DJ80,0,,-1)=DJ85,_xlfn.XLOOKUP(K85,K$6:K80,Q$6:Q80,1,,-1)+1,1))</f>
        <v>2</v>
      </c>
      <c r="R85" s="102">
        <f>IF(K85="","",_xlfn.XLOOKUP(K85,K$6:K80,R$6:R80,0,,-1)+IF($C85=" ",1,0))</f>
        <v>0</v>
      </c>
      <c r="S85" s="474">
        <f>IF($B85="Anulado",0,ROUND(IF(OR($B85="LOSS",$B85="OK"),IF(OR($C85="W",$C85="1/2W",$C85="1/2L"),P85-O85,IF($C85="L",-O85,0))+IF(OR($C86="W",$C86="1/2W",$C86="1/2L"),P86-O86,IF($C86="L",-O86,0))+IF(OR($C87="W",$C87="1/2W",$C87="1/2L"),P87-O87,IF($C87="L",-O87,0)),IF(AND(OR($C85="W",$C85="1/2W",$C85="1/2L"),C86="W"),P85+P86-SUM(O85:O87)+_xlfn.XLOOKUP("X",C85:C87,O85:O87,0),IF(AND(C85=TRUE,C87="W"),P85+P87-SUM(O85:O87),IF(AND(C86="W",C87="W"),P86+P87-SUM(O85:O87)+_xlfn.XLOOKUP("X",C85:C87,O85:O87,0),IF(L87&gt;0,IF(OR($C85="W",$C85="1/2W",$C85="1/2L"),P85-SUM(O85:O87)+_xlfn.XLOOKUP("X",C85:C87,O85:O87,0),IF(OR($C85="W",$C85="1/2W",$C85="1/2L"),P86-SUM(O85:O87)+_xlfn.XLOOKUP("X",C85:C87,O85:O87,0),IF(OR($C85="W",$C85="1/2W",$C85="1/2L"),P87-SUM(O85:O87)+_xlfn.XLOOKUP("X",C85:C87,O85:O87,0),IF(SUM(P85:P87)/3-SUM(O85:O87)+_xlfn.XLOOKUP("X",C85:C87,O85:O87,0)&gt;0,SUM(P85:P87)/3-SUM(O85:O87)+_xlfn.XLOOKUP("X",C85:C87,O85:O87,0),LARGE(P85:P87,1)-SUM(O85:O87))))),IF(OR($C85="W",$C85="1/2W",$C85="1/2L"),P85-SUM(O85:O86)+_xlfn.XLOOKUP("X",C85:C87,O85:O87,0),IF(OR($C85="W",$C85="1/2W",$C85="1/2L"),P86-SUM(O85:O86)+_xlfn.XLOOKUP("X",C85:C87,O85:O87,0),SUM(P85:P86)/2-SUM(O85:O86)+_xlfn.XLOOKUP("X",C85:C87,O85:O87,0)))))))),2))</f>
        <v>2.9</v>
      </c>
      <c r="T85" s="458">
        <f>IF(S85=0,0,S85/SUM(O85:O87))</f>
        <v>6.1116965226554264E-2</v>
      </c>
      <c r="U85" s="470">
        <f>IF($D85=$D82,IF(OR($B85="LOSS",$B85="OK",$B85="Anulada"),S85,0)+U82,IF(OR($B85="LOSS",$B85="OK",$B85="Anulada"),S85,0))</f>
        <v>21.919999999999998</v>
      </c>
      <c r="V85" s="470">
        <f>IF($D85="",0,IF($D85=$D82,IF($B85=" ",IF(I87="",IF(OR(AND(I85="DNB1",I86="DNB2"),AND(OR(I85="DNB1",I85="DNB2"),J86=0),AND(OR(I86="DNB1",I86="DNB2"),J85=0),AND(I85="DNB2",I86="DNB1"),AND(IF(J85=0,(J85+1)/ROUND(J85+1,0),J85/ROUND(J85,0))=1,IF(J86=0,(J86+1)/ROUND(IF(J86="",0,J86)+1,0),IF(J86="",0,J86)/ROUND(IF(J86="",1,J86),0))=1,OR(J85&lt;&gt;""),J86&lt;&gt;"")),0,IF(S85&lt;0,IF(I87="",SMALL(P85:P86,1)-SUM(O85:O86),0),SMALL(P85:P86,1)-SUM(O85:O86))),IF(S85&lt;0,IF(I87="",SMALL(P85:P87,1)-SUM(O85:O87),0),LARGE(P85:P87,1)-SUM(O85:O87))),S85)+V82,IF(I87="",IF(OR(AND(I85="DNB1",I86="DNB2"),AND(OR(I85="DNB1",I85="DNB2"),J86=0),AND(OR(I86="DNB1",I86="DNB2"),J85=0),AND(I85="DNB2",I86="DNB1"),AND(IF(J85=0,(J85+1)/ROUND(J85+1,0),J85/ROUND(J85,0))=1,IF(J86=0,(IF(J86="",0,J86)+1)/ROUND(IF(J86="",0,J86)+1,0),IF(J86="",0,J86)/ROUND(IF(J86="",0,J86)+1,0))=1,OR(J85&lt;&gt;""),J86&lt;&gt;"")),0,IF(S85&lt;0,IF(I87="",SMALL(P85:P86,1)-SUM(O85:O86),0),SMALL(P85:P87,1)-SUM(O85:O87))),IF(S85&lt;0,IF(I87="",SMALL(P85:P87,1)-SUM(O85:O87),0),LARGE(P85:P87,1)-SUM(O85:O87)))))</f>
        <v>21.86</v>
      </c>
      <c r="W85" s="470">
        <f>IF($D85=$D82,IF(S85&lt;0,IF(I87="",S85,0),S85)+W82,S85)</f>
        <v>21.919999999999998</v>
      </c>
      <c r="X85" s="480" t="str">
        <f>IF(OR(SUM(R85:R87)=0,V85=W85),ROUND(IF(W85=0,0,W85/Y85)*100,2)&amp;"%",ROUND(IF(V85=0,0,V85/Y85)*100,2)&amp;"% a "&amp;ROUND(IF(W85=0,0,W85/Y85)*100,2)&amp;"%")</f>
        <v>4,7%</v>
      </c>
      <c r="Y85" s="471">
        <f>IF($D85=$D82,Y82+SUM(O85:O87),SUM(O85:O87))</f>
        <v>466.14</v>
      </c>
      <c r="Z85" s="470">
        <f>IF($B85=" ",SUM(O85:O87),0)+Z82</f>
        <v>0</v>
      </c>
      <c r="AA85" s="470">
        <f>IF(G85="","",IF($B85="Anulado",LARGE(P85:P87,1)-SUM(O85:O87)+AA82,AA82))</f>
        <v>0.45899999999999785</v>
      </c>
      <c r="AB85" s="470">
        <f>IF($D85="","",AB82+S85)</f>
        <v>50.569999999999986</v>
      </c>
      <c r="AC85" s="472">
        <f ca="1">IF($D85="","",IF($B85=" ",IF(DAY(G85)=DAY(TODAY()),1+AC82,0+AC82),0+AC82))</f>
        <v>0</v>
      </c>
      <c r="AD85" s="103">
        <f>(((L86/(L86-1)-1)*(1-_xlfn.XLOOKUP(K86,'Fevereiro 2023 - Valor Real'!A3:A15,'Fevereiro 2023 - Valor Real'!C3:C15,0))+1))/(((L85-1)*(1-_xlfn.XLOOKUP(K85,'Fevereiro 2023 - Valor Real'!A3:A15,'Fevereiro 2023 - Valor Real'!C3:C15,0))+1)+((L86/(L86-1)-1)*(1-_xlfn.XLOOKUP(K86,'Fevereiro 2023 - Valor Real'!A3:A15,'Fevereiro 2023 - Valor Real'!C3:C15,0))+1))</f>
        <v>0.46174142480211083</v>
      </c>
      <c r="AE85" s="104">
        <f>IF(L85="","",IF(L87&gt;0,(SUM(((L85-1)*(1-_xlfn.XLOOKUP(K85,'Fevereiro 2023 - Valor Real'!A3:A15,'Fevereiro 2023 - Valor Real'!C3:C15,0))+1),((L86-1)*(1-_xlfn.XLOOKUP(K86,'Fevereiro 2023 - Valor Real'!A3:A15,'Fevereiro 2023 - Valor Real'!C3:C15,0))+1),((L87-1)*(1-_xlfn.XLOOKUP(K87,'Fevereiro 2023 - Valor Real'!A3:A15,'Fevereiro 2023 - Valor Real'!C3:C15,0))+1))/((L85-1)*(1-_xlfn.XLOOKUP(K85,'Fevereiro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Real'!C3:C15,0))+1))/((L85-1)*(1-_xlfn.XLOOKUP(K85,'Fevereiro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Real'!C3:C15,0))+1))/((L86-1)*(1-_xlfn.XLOOKUP(K86,'Fevereiro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Real'!C3:C15,0))+1))/((L87-1)*(1-_xlfn.XLOOKUP(K87,'Fevereiro 2023 - Valor Real'!A3:A15,'Fevereiro 2023 - Valor Real'!C3:C15,0))+1)),IF(I85="Lay",IF(I86="Lay",((L86/(L86-1)-1)*(1-_xlfn.XLOOKUP(K86,'Fevereiro 2023 - Valor Real'!A3:A15,'Fevereiro 2023 - Valor Real'!C3:C15,0))+1)/(((L86/(L86-1)-1)*(1-_xlfn.XLOOKUP(K86,'Fevereiro 2023 - Valor Real'!A3:A15,'Fevereiro 2023 - Valor Real'!C3:C15,0))+1)+((L85/(L85-1)-1)*(1-_xlfn.XLOOKUP(K85,'Fevereiro 2023 - Valor Real'!A3:A15,'Fevereiro 2023 - Valor Real'!C3:C15,0))+1)),((L86-1)*(1-_xlfn.XLOOKUP(K86,'Fevereiro 2023 - Valor Real'!A3:A15,'Fevereiro 2023 - Valor Real'!C3:C15,0))+1)/(((L86-1)*(1-_xlfn.XLOOKUP(K86,'Fevereiro 2023 - Valor Real'!A3:A15,'Fevereiro 2023 - Valor Real'!C3:C15,0))+1)+((L85/(L85-1)-1)*(1-_xlfn.XLOOKUP(K85,'Fevereiro 2023 - Valor Real'!A3:A15,'Fevereiro 2023 - Valor Real'!C3:C15,0))+1))),IF(I86="Lay",(((L86/(L86-1)-1)*(1-_xlfn.XLOOKUP(K86,'Fevereiro 2023 - Valor Real'!A3:A15,'Fevereiro 2023 - Valor Real'!C3:C15,0))+1))/(((L85-1)*(1-_xlfn.XLOOKUP(K85,'Fevereiro 2023 - Valor Real'!A3:A15,'Fevereiro 2023 - Valor Real'!C3:C15,0))+1)+((L86/(L86-1)-1)*(1-_xlfn.XLOOKUP(K86,'Fevereiro 2023 - Valor Real'!A3:A15,'Fevereiro 2023 - Valor Real'!C3:C15,0))+1)),((L86-1)*(1-_xlfn.XLOOKUP(K86,'Fevereiro 2023 - Valor Real'!A3:A15,'Fevereiro 2023 - Valor Real'!C3:C15,0))+1)/(((L86-1)*(1-_xlfn.XLOOKUP(K86,'Fevereiro 2023 - Valor Real'!A3:A15,'Fevereiro 2023 - Valor Real'!C3:C15,0))+1)+((L85-1)*(1-_xlfn.XLOOKUP(K85,'Fevereiro 2023 - Valor Real'!A3:A15,'Fevereiro 2023 - Valor Real'!C3:C15,0))+1))))))</f>
        <v>0.36842105263157898</v>
      </c>
      <c r="AF85" s="105">
        <f t="shared" si="183"/>
        <v>0</v>
      </c>
      <c r="AG85" s="106">
        <f t="shared" si="183"/>
        <v>-17.48</v>
      </c>
      <c r="AH85" s="106">
        <f t="shared" si="183"/>
        <v>0</v>
      </c>
      <c r="AI85" s="106">
        <f t="shared" si="183"/>
        <v>0</v>
      </c>
      <c r="AJ85" s="106">
        <f t="shared" si="183"/>
        <v>0</v>
      </c>
      <c r="AK85" s="106">
        <f t="shared" si="183"/>
        <v>0</v>
      </c>
      <c r="AL85" s="106">
        <f t="shared" si="183"/>
        <v>0</v>
      </c>
      <c r="AM85" s="106">
        <f t="shared" si="183"/>
        <v>0</v>
      </c>
      <c r="AN85" s="106">
        <f t="shared" si="183"/>
        <v>0</v>
      </c>
      <c r="AO85" s="106">
        <f t="shared" si="183"/>
        <v>0</v>
      </c>
      <c r="AP85" s="106">
        <f t="shared" si="183"/>
        <v>0</v>
      </c>
      <c r="AQ85" s="106">
        <f t="shared" si="183"/>
        <v>0</v>
      </c>
      <c r="AR85" s="107">
        <f t="shared" si="183"/>
        <v>0</v>
      </c>
      <c r="AS85" s="105">
        <f t="shared" ref="AS85:BE85" si="186">IF(AND($B85=" ",$K85=AS$3),$O85,0)</f>
        <v>0</v>
      </c>
      <c r="AT85" s="106">
        <f t="shared" si="186"/>
        <v>0</v>
      </c>
      <c r="AU85" s="106">
        <f t="shared" si="186"/>
        <v>0</v>
      </c>
      <c r="AV85" s="106">
        <f t="shared" si="186"/>
        <v>0</v>
      </c>
      <c r="AW85" s="106">
        <f t="shared" si="186"/>
        <v>0</v>
      </c>
      <c r="AX85" s="106">
        <f t="shared" si="186"/>
        <v>0</v>
      </c>
      <c r="AY85" s="108">
        <f t="shared" si="186"/>
        <v>0</v>
      </c>
      <c r="AZ85" s="109">
        <f t="shared" si="186"/>
        <v>0</v>
      </c>
      <c r="BA85" s="109">
        <f t="shared" si="186"/>
        <v>0</v>
      </c>
      <c r="BB85" s="109">
        <f t="shared" si="186"/>
        <v>0</v>
      </c>
      <c r="BC85" s="110">
        <f t="shared" si="186"/>
        <v>0</v>
      </c>
      <c r="BD85" s="106">
        <f t="shared" si="186"/>
        <v>0</v>
      </c>
      <c r="BE85" s="107">
        <f t="shared" si="186"/>
        <v>0</v>
      </c>
      <c r="BF85" s="111">
        <f t="shared" si="185"/>
        <v>0</v>
      </c>
      <c r="BG85" s="106">
        <f t="shared" si="185"/>
        <v>17.48</v>
      </c>
      <c r="BH85" s="106">
        <f t="shared" si="185"/>
        <v>0</v>
      </c>
      <c r="BI85" s="106">
        <f t="shared" si="185"/>
        <v>0</v>
      </c>
      <c r="BJ85" s="106">
        <f t="shared" si="185"/>
        <v>0</v>
      </c>
      <c r="BK85" s="106">
        <f t="shared" si="185"/>
        <v>0</v>
      </c>
      <c r="BL85" s="106">
        <f t="shared" si="185"/>
        <v>0</v>
      </c>
      <c r="BM85" s="108">
        <f t="shared" si="185"/>
        <v>0</v>
      </c>
      <c r="BN85" s="109">
        <f t="shared" si="185"/>
        <v>0</v>
      </c>
      <c r="BO85" s="109">
        <f t="shared" si="185"/>
        <v>0</v>
      </c>
      <c r="BP85" s="109">
        <f t="shared" si="185"/>
        <v>0</v>
      </c>
      <c r="BQ85" s="110">
        <f t="shared" si="185"/>
        <v>0</v>
      </c>
      <c r="BR85" s="107">
        <f t="shared" si="185"/>
        <v>0</v>
      </c>
      <c r="BS85" s="463">
        <f>IF($B85="LOSS",IF(AND($K85=BS$3,$C85="L"),-$O85,0)+IF(AND($K86=BS$3,$C86="L"),-$O86,0)+IF(AND($K87=BS$3,$C87="L"),-$O87,0),IF(OR(AND($K85=BS$3,OR($C85="W",$C85="1/2W")),AND($K86=BS$3,OR($C86="W",$C86="1/2W")),AND($K87=BS$3,OR($C87="W",$C87="1/2W"))),$S85,0))</f>
        <v>0</v>
      </c>
      <c r="BT85" s="462">
        <f>IF($B85="LOSS",IF(AND($K85=BT$3,$C85="L"),-$O85,0)+IF(AND($K86=BT$3,$C86="L"),-$O86,0)+IF(AND($K86=BT$3,$C87="L"),-$O87,0),IF(OR(AND($K86=BT$3,OR($C85="W",$C85="1/2W")),AND($K86=BT$3,OR($C86="W",$C86="1/2W")),AND($K86=BT$3,OR($C87="W",$C87="1/2W"))),$S85,0))</f>
        <v>0</v>
      </c>
      <c r="BU85" s="462">
        <f>IF($B85="LOSS",IF(AND($K85=BU$3,$C85="L"),-$O85,0)+IF(AND($K86=BU$3,$C86="L"),-$O86,0)+IF(AND($K86=BU$3,$C87="L"),-$O87,0),IF(OR(AND($K86=BU$3,OR($C85="W",$C85="1/2W")),AND($K86=BU$3,OR($C86="W",$C86="1/2W")),AND($K86=BU$3,OR($C87="W",$C87="1/2W"))),$S85,0))</f>
        <v>0</v>
      </c>
      <c r="BV85" s="462">
        <f t="shared" ref="BV85:CE85" si="187">IF($B85="LOSS",IF(AND($K85=BV$3,$C85="L"),-$O85,0)+IF(AND($K86=BV$3,$C86="L"),-$O86,0)+IF(AND($K87=BV$3,$C87="L"),-$O87,0),IF(OR(AND($K85=BV$3,OR($C85="W",$C85="1/2W")),AND($K86=BV$3,OR($C86="W",$C86="1/2W")),AND($K87=BV$3,OR($C87="W",$C87="1/2W"))),$S85,0))</f>
        <v>0</v>
      </c>
      <c r="BW85" s="462">
        <f t="shared" si="187"/>
        <v>0</v>
      </c>
      <c r="BX85" s="462">
        <f t="shared" si="187"/>
        <v>0</v>
      </c>
      <c r="BY85" s="462">
        <f t="shared" si="187"/>
        <v>0</v>
      </c>
      <c r="BZ85" s="460">
        <f t="shared" si="187"/>
        <v>0</v>
      </c>
      <c r="CA85" s="460">
        <f t="shared" si="187"/>
        <v>0</v>
      </c>
      <c r="CB85" s="460">
        <f t="shared" si="187"/>
        <v>0</v>
      </c>
      <c r="CC85" s="460">
        <f t="shared" si="187"/>
        <v>0</v>
      </c>
      <c r="CD85" s="473">
        <f t="shared" si="187"/>
        <v>2.9</v>
      </c>
      <c r="CE85" s="479">
        <f t="shared" si="187"/>
        <v>0</v>
      </c>
      <c r="CF85" s="113">
        <f t="shared" si="131"/>
        <v>0</v>
      </c>
      <c r="CG85" s="114">
        <f t="shared" si="132"/>
        <v>0</v>
      </c>
      <c r="CH85" s="114">
        <f t="shared" si="133"/>
        <v>0</v>
      </c>
      <c r="CI85" s="114">
        <f t="shared" si="134"/>
        <v>1</v>
      </c>
      <c r="CJ85" s="114">
        <f t="shared" si="135"/>
        <v>0</v>
      </c>
      <c r="CK85" s="114">
        <f t="shared" si="136"/>
        <v>0</v>
      </c>
      <c r="CL85" s="114">
        <f t="shared" si="137"/>
        <v>0</v>
      </c>
      <c r="CM85" s="114">
        <f t="shared" si="138"/>
        <v>0</v>
      </c>
      <c r="CN85" s="114">
        <f t="shared" si="139"/>
        <v>0</v>
      </c>
      <c r="CO85" s="114">
        <f t="shared" si="140"/>
        <v>0</v>
      </c>
      <c r="CP85" s="114">
        <f t="shared" si="141"/>
        <v>0</v>
      </c>
      <c r="CQ85" s="114">
        <f t="shared" si="142"/>
        <v>0</v>
      </c>
      <c r="CR85" s="114">
        <f t="shared" si="143"/>
        <v>0</v>
      </c>
      <c r="CS85" s="114">
        <f t="shared" si="144"/>
        <v>0</v>
      </c>
      <c r="CT85" s="115">
        <f t="shared" si="145"/>
        <v>0</v>
      </c>
      <c r="CU85" s="116">
        <f t="shared" si="146"/>
        <v>0</v>
      </c>
      <c r="CV85" s="116">
        <f t="shared" si="147"/>
        <v>0</v>
      </c>
      <c r="CW85" s="116">
        <f t="shared" si="148"/>
        <v>0</v>
      </c>
      <c r="CX85" s="116">
        <f t="shared" si="149"/>
        <v>0</v>
      </c>
      <c r="CY85" s="116">
        <f t="shared" si="150"/>
        <v>0</v>
      </c>
      <c r="CZ85" s="116">
        <f t="shared" si="151"/>
        <v>0</v>
      </c>
      <c r="DA85" s="116">
        <f t="shared" si="152"/>
        <v>0</v>
      </c>
      <c r="DB85" s="116">
        <f t="shared" si="153"/>
        <v>0</v>
      </c>
      <c r="DC85" s="116">
        <f t="shared" si="154"/>
        <v>0</v>
      </c>
      <c r="DD85" s="116">
        <f t="shared" si="155"/>
        <v>0</v>
      </c>
      <c r="DE85" s="117">
        <f t="shared" si="156"/>
        <v>0</v>
      </c>
      <c r="DF85" s="118">
        <f t="shared" si="158"/>
        <v>11</v>
      </c>
      <c r="DG85" s="106">
        <f t="shared" si="159"/>
        <v>14.450000000000001</v>
      </c>
      <c r="DH85" s="116">
        <f t="shared" si="160"/>
        <v>0</v>
      </c>
      <c r="DI85" s="106">
        <f t="shared" si="161"/>
        <v>0</v>
      </c>
      <c r="DJ85" s="201" t="str">
        <f>IF($D85="","",$D85)</f>
        <v>2</v>
      </c>
      <c r="DK85" s="465">
        <f>IF(AND($B85=" ",$D85&lt;&gt;""),1,0)</f>
        <v>0</v>
      </c>
    </row>
    <row r="86" spans="1:115" ht="14.5" customHeight="1" x14ac:dyDescent="0.2">
      <c r="A86" s="389"/>
      <c r="B86" s="456"/>
      <c r="C86" s="120" t="s">
        <v>54</v>
      </c>
      <c r="D86" s="374"/>
      <c r="E86" s="386"/>
      <c r="F86" s="377"/>
      <c r="G86" s="483"/>
      <c r="H86" s="476"/>
      <c r="I86" s="121" t="s">
        <v>52</v>
      </c>
      <c r="J86" s="122">
        <f>IF(OR(I85="TO",I85="TU",I85="TO1",I85="TU1",I85="TO2",I85="TU2"),J85,IF(OR(I85="AH1",I85="AH2"),IF(OR(I86="AH1",I86="AH2"),-J85,IF(OR(I86="EH1",I86="EH2"),-J85+0.5,"")),IF(OR(I85="EH1",I85="EH2"),IF(OR(I86="AH1",I86="AH2"),-J85+0.5,IF(OR(I86="EH1",I86="EH2"),-J85+1,"")),IF(AND(OR(I85="DNB1",I85="DNB2"),OR(I86="AH1",I86="AH2")),0,IF(AND(I85="Not ScoreBoth",OR(I86="TO1",I86="TO2")),0.5,"")))))</f>
        <v>9.5</v>
      </c>
      <c r="K86" s="123" t="s">
        <v>47</v>
      </c>
      <c r="L86" s="124">
        <v>1.68</v>
      </c>
      <c r="M86" s="125">
        <v>29.97</v>
      </c>
      <c r="N86" s="406"/>
      <c r="O86" s="126">
        <f>IF(OR(AE85="",AE86=""),"",ROUND(IF(L87&gt;0,IF(M86&gt;0,M86,IF(M85&gt;0,IF(N85=TRUE,ROUND((M85*AE86)/AE85,0),(M85*AE86)/AE85),IF(M86&gt;0,ROUND(M86,IF(N85=0,2,IF(N85=0.1,1,0))),IF(M87&gt;0,ROUND(O87*AE86/AE87,IF(N85=0,2,IF(N85=0.1,1,0))),0)))),IF(M86&gt;0,M86,ROUND((M85*AE86)/AE85,IF(N85=0,2,IF(N85=0.1,1,0))))),2))</f>
        <v>29.97</v>
      </c>
      <c r="P86" s="127">
        <f>IF(OR(L86="",O86=""),"",IF($C86="1/2W",O86/2+O86/2*L86,IF($C86="1/2L",O86/2,IF(I86="Lay",((O86*(L86/(L86-1)))-O86)*(1-_xlfn.XLOOKUP(K86,'Fevereiro 2023 - Valor Real'!A3:A15,'Fevereiro 2023 - Valor Real'!C3:C15,0))+O86,(O86*L86-O86)*(1-_xlfn.XLOOKUP(K86,'Fevereiro 2023 - Valor Real'!A3:A15,'Fevereiro 2023 - Valor Real'!C3:C15,0))+O86))))</f>
        <v>50.349599999999995</v>
      </c>
      <c r="Q86" s="128">
        <f>IF(K86="","",IF(_xlfn.XLOOKUP(K86,K$7:K80,$DJ$7:DJ80,0,,-1)=DJ86,_xlfn.XLOOKUP(K86,K$7:K80,Q$7:Q80,1,,-1)+1,1))</f>
        <v>5</v>
      </c>
      <c r="R86" s="129">
        <f>IF(K86="","",_xlfn.XLOOKUP(K86,K$7:K80,R$7:R80,0,,-1)+IF($C86=" ",1,0))</f>
        <v>0</v>
      </c>
      <c r="S86" s="403"/>
      <c r="T86" s="380"/>
      <c r="U86" s="380"/>
      <c r="V86" s="481"/>
      <c r="W86" s="380"/>
      <c r="X86" s="452"/>
      <c r="Y86" s="383"/>
      <c r="Z86" s="384"/>
      <c r="AA86" s="384"/>
      <c r="AB86" s="384"/>
      <c r="AC86" s="384"/>
      <c r="AD86" s="130">
        <f>(((L86/(L86-1)-1)*(1-_xlfn.XLOOKUP(K86,'Fevereiro 2023 - Valor Real'!A3:A15,'Fevereiro 2023 - Valor Real'!C3:C15,0))+1))</f>
        <v>2.4705882352941178</v>
      </c>
      <c r="AE86" s="131">
        <f>IF(L86="","",IF(L87&gt;0,(SUM(((L85-1)*(1-_xlfn.XLOOKUP(K85,'Fevereiro 2023 - Valor Real'!A3:A15,'Fevereiro 2023 - Valor Real'!C3:C15,0))+1),((L86-1)*(1-_xlfn.XLOOKUP(K86,'Fevereiro 2023 - Valor Real'!A3:A15,'Fevereiro 2023 - Valor Real'!C3:C15,0))+1),((L87-1)*(1-_xlfn.XLOOKUP(K87,'Fevereiro 2023 - Valor Real'!A3:A15,'Fevereiro 2023 - Valor Real'!C3:C15,0))+1))/((L86-1)*(1-_xlfn.XLOOKUP(K86,'Fevereiro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Real'!C3:C15,0))+1))/((L85-1)*(1-_xlfn.XLOOKUP(K85,'Fevereiro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Real'!C3:C15,0))+1))/((L86-1)*(1-_xlfn.XLOOKUP(K86,'Fevereiro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Real'!C3:C15,0))+1))/((L87-1)*(1-_xlfn.XLOOKUP(K87,'Fevereiro 2023 - Valor Real'!A3:A15,'Fevereiro 2023 - Valor Real'!C3:C15,0))+1)),IF(I86="Lay",IF(I85="Lay",((L85/(L85-1)-1)*(1-_xlfn.XLOOKUP(K85,'Fevereiro 2023 - Valor Real'!A3:A15,'Fevereiro 2023 - Valor Real'!C3:C15,0))+1)/(((L85/(L85-1)-1)*(1-_xlfn.XLOOKUP(K85,'Fevereiro 2023 - Valor Real'!A3:A15,'Fevereiro 2023 - Valor Real'!C3:C15,0))+1)+((L86/(L86-1)-1)*(1-_xlfn.XLOOKUP(K86,'Fevereiro 2023 - Valor Real'!A3:A15,'Fevereiro 2023 - Valor Real'!C3:C15,0))+1)),((L85-1)*(1-_xlfn.XLOOKUP(K85,'Fevereiro 2023 - Valor Real'!A3:A15,'Fevereiro 2023 - Valor Real'!C3:C15,0))+1)/(((L85-1)*(1-_xlfn.XLOOKUP(K85,'Fevereiro 2023 - Valor Real'!A3:A15,'Fevereiro 2023 - Valor Real'!C3:C15,0))+1)+((L86/(L86-1)-1)*(1-_xlfn.XLOOKUP(K86,'Fevereiro 2023 - Valor Real'!A3:A15,'Fevereiro 2023 - Valor Real'!C3:C15,0))+1))),IF(I85="Lay",((L85/(L85-1)-1)*(1-_xlfn.XLOOKUP(K85,'Fevereiro 2023 - Valor Real'!A3:A15,'Fevereiro 2023 - Valor Real'!C3:C15,0))+1)/((((L85/(L85-1)-1)*(1-_xlfn.XLOOKUP(K85,'Fevereiro 2023 - Valor Real'!A3:A15,'Fevereiro 2023 - Valor Real'!C3:C15,0))+1))+((L86-1)*(1-_xlfn.XLOOKUP(K86,'Fevereiro 2023 - Valor Real'!A3:A15,'Fevereiro 2023 - Valor Real'!C3:C15,0))+1)),((L85-1)*(1-_xlfn.XLOOKUP(K85,'Fevereiro 2023 - Valor Real'!A3:A15,'Fevereiro 2023 - Valor Real'!C3:C15,0))+1)/(((L85-1)*(1-_xlfn.XLOOKUP(K85,'Fevereiro 2023 - Valor Real'!A3:A15,'Fevereiro 2023 - Valor Real'!C3:C15,0))+1)+((L86-1)*(1-_xlfn.XLOOKUP(K86,'Fevereiro 2023 - Valor Real'!A3:A15,'Fevereiro 2023 - Valor Real'!C3:C15,0))+1))))))</f>
        <v>0.63157894736842113</v>
      </c>
      <c r="AF86" s="105">
        <f t="shared" si="183"/>
        <v>0</v>
      </c>
      <c r="AG86" s="106">
        <f t="shared" si="183"/>
        <v>0</v>
      </c>
      <c r="AH86" s="106">
        <f t="shared" si="183"/>
        <v>0</v>
      </c>
      <c r="AI86" s="106">
        <f t="shared" si="183"/>
        <v>0</v>
      </c>
      <c r="AJ86" s="106">
        <f t="shared" si="183"/>
        <v>0</v>
      </c>
      <c r="AK86" s="106">
        <f t="shared" si="183"/>
        <v>0</v>
      </c>
      <c r="AL86" s="106">
        <f t="shared" si="183"/>
        <v>0</v>
      </c>
      <c r="AM86" s="106">
        <f t="shared" si="183"/>
        <v>0</v>
      </c>
      <c r="AN86" s="106">
        <f t="shared" si="183"/>
        <v>0</v>
      </c>
      <c r="AO86" s="106">
        <f t="shared" si="183"/>
        <v>0</v>
      </c>
      <c r="AP86" s="106">
        <f t="shared" si="183"/>
        <v>0</v>
      </c>
      <c r="AQ86" s="106">
        <f t="shared" si="183"/>
        <v>20.38</v>
      </c>
      <c r="AR86" s="107">
        <f t="shared" si="183"/>
        <v>0</v>
      </c>
      <c r="AS86" s="105">
        <f>IF(AND($B85=" ",$K86=AS$3),$O86,0)</f>
        <v>0</v>
      </c>
      <c r="AT86" s="106">
        <f>IF(AND($B85=" ",K86=AT$3),$O86,0)</f>
        <v>0</v>
      </c>
      <c r="AU86" s="106">
        <f t="shared" ref="AU86:BE86" si="188">IF(AND($B85=" ",$K86=AU$3),$O86,0)</f>
        <v>0</v>
      </c>
      <c r="AV86" s="106">
        <f t="shared" si="188"/>
        <v>0</v>
      </c>
      <c r="AW86" s="106">
        <f t="shared" si="188"/>
        <v>0</v>
      </c>
      <c r="AX86" s="106">
        <f t="shared" si="188"/>
        <v>0</v>
      </c>
      <c r="AY86" s="108">
        <f t="shared" si="188"/>
        <v>0</v>
      </c>
      <c r="AZ86" s="109">
        <f t="shared" si="188"/>
        <v>0</v>
      </c>
      <c r="BA86" s="109">
        <f t="shared" si="188"/>
        <v>0</v>
      </c>
      <c r="BB86" s="109">
        <f t="shared" si="188"/>
        <v>0</v>
      </c>
      <c r="BC86" s="110">
        <f t="shared" si="188"/>
        <v>0</v>
      </c>
      <c r="BD86" s="106">
        <f t="shared" si="188"/>
        <v>0</v>
      </c>
      <c r="BE86" s="107">
        <f t="shared" si="188"/>
        <v>0</v>
      </c>
      <c r="BF86" s="105">
        <f t="shared" si="185"/>
        <v>0</v>
      </c>
      <c r="BG86" s="106">
        <f t="shared" si="185"/>
        <v>0</v>
      </c>
      <c r="BH86" s="106">
        <f t="shared" si="185"/>
        <v>0</v>
      </c>
      <c r="BI86" s="106">
        <f t="shared" si="185"/>
        <v>0</v>
      </c>
      <c r="BJ86" s="106">
        <f t="shared" si="185"/>
        <v>0</v>
      </c>
      <c r="BK86" s="106">
        <f t="shared" si="185"/>
        <v>0</v>
      </c>
      <c r="BL86" s="106">
        <f t="shared" si="185"/>
        <v>0</v>
      </c>
      <c r="BM86" s="132">
        <f t="shared" si="185"/>
        <v>0</v>
      </c>
      <c r="BN86" s="112">
        <f t="shared" si="185"/>
        <v>0</v>
      </c>
      <c r="BO86" s="112">
        <f t="shared" si="185"/>
        <v>0</v>
      </c>
      <c r="BP86" s="112">
        <f t="shared" si="185"/>
        <v>0</v>
      </c>
      <c r="BQ86" s="110">
        <f t="shared" si="185"/>
        <v>29.97</v>
      </c>
      <c r="BR86" s="107">
        <f t="shared" si="185"/>
        <v>0</v>
      </c>
      <c r="BS86" s="464"/>
      <c r="BT86" s="461"/>
      <c r="BU86" s="392"/>
      <c r="BV86" s="461"/>
      <c r="BW86" s="392"/>
      <c r="BX86" s="392"/>
      <c r="BY86" s="392"/>
      <c r="BZ86" s="461"/>
      <c r="CA86" s="392"/>
      <c r="CB86" s="392"/>
      <c r="CC86" s="392"/>
      <c r="CD86" s="401"/>
      <c r="CE86" s="409"/>
      <c r="CF86" s="133">
        <f t="shared" si="131"/>
        <v>0</v>
      </c>
      <c r="CG86" s="134">
        <f t="shared" si="132"/>
        <v>0</v>
      </c>
      <c r="CH86" s="134">
        <f t="shared" si="133"/>
        <v>0</v>
      </c>
      <c r="CI86" s="134">
        <f t="shared" si="134"/>
        <v>0</v>
      </c>
      <c r="CJ86" s="134">
        <f t="shared" si="135"/>
        <v>0</v>
      </c>
      <c r="CK86" s="134">
        <f t="shared" si="136"/>
        <v>0</v>
      </c>
      <c r="CL86" s="134">
        <f t="shared" si="137"/>
        <v>0</v>
      </c>
      <c r="CM86" s="134">
        <f t="shared" si="138"/>
        <v>0</v>
      </c>
      <c r="CN86" s="134">
        <f t="shared" si="139"/>
        <v>0</v>
      </c>
      <c r="CO86" s="134">
        <f t="shared" si="140"/>
        <v>0</v>
      </c>
      <c r="CP86" s="134">
        <f t="shared" si="141"/>
        <v>0</v>
      </c>
      <c r="CQ86" s="134">
        <f t="shared" si="142"/>
        <v>0</v>
      </c>
      <c r="CR86" s="134">
        <f t="shared" si="143"/>
        <v>0</v>
      </c>
      <c r="CS86" s="134">
        <f t="shared" si="144"/>
        <v>0</v>
      </c>
      <c r="CT86" s="115">
        <f t="shared" si="145"/>
        <v>0</v>
      </c>
      <c r="CU86" s="116">
        <f t="shared" si="146"/>
        <v>0</v>
      </c>
      <c r="CV86" s="116">
        <f t="shared" si="147"/>
        <v>0</v>
      </c>
      <c r="CW86" s="116">
        <f t="shared" si="148"/>
        <v>0</v>
      </c>
      <c r="CX86" s="116">
        <f t="shared" si="149"/>
        <v>0</v>
      </c>
      <c r="CY86" s="116">
        <f t="shared" si="150"/>
        <v>0</v>
      </c>
      <c r="CZ86" s="116">
        <f t="shared" si="151"/>
        <v>0</v>
      </c>
      <c r="DA86" s="116">
        <f t="shared" si="152"/>
        <v>0</v>
      </c>
      <c r="DB86" s="116">
        <f t="shared" si="153"/>
        <v>1</v>
      </c>
      <c r="DC86" s="116">
        <f t="shared" si="154"/>
        <v>0</v>
      </c>
      <c r="DD86" s="116">
        <f t="shared" si="155"/>
        <v>0</v>
      </c>
      <c r="DE86" s="117">
        <f t="shared" si="156"/>
        <v>0</v>
      </c>
      <c r="DF86" s="118">
        <f t="shared" si="158"/>
        <v>11</v>
      </c>
      <c r="DG86" s="106">
        <f t="shared" si="159"/>
        <v>14.450000000000001</v>
      </c>
      <c r="DH86" s="116">
        <f t="shared" si="160"/>
        <v>0</v>
      </c>
      <c r="DI86" s="106">
        <f t="shared" si="161"/>
        <v>0</v>
      </c>
      <c r="DJ86" s="201" t="str">
        <f>IF($D85="","",$D85)</f>
        <v>2</v>
      </c>
      <c r="DK86" s="466"/>
    </row>
    <row r="87" spans="1:115" ht="14.5" customHeight="1" x14ac:dyDescent="0.2">
      <c r="A87" s="390"/>
      <c r="B87" s="457"/>
      <c r="C87" s="135" t="s">
        <v>53</v>
      </c>
      <c r="D87" s="375"/>
      <c r="E87" s="387"/>
      <c r="F87" s="378"/>
      <c r="G87" s="484"/>
      <c r="H87" s="477"/>
      <c r="I87" s="136"/>
      <c r="J87" s="137"/>
      <c r="K87" s="138"/>
      <c r="L87" s="139"/>
      <c r="M87" s="140"/>
      <c r="N87" s="407"/>
      <c r="O87" s="141" t="str">
        <f>IF(OR(AE85="",AE86=""),"",IF(L87&gt;0,ROUND(IF(M87&gt;0,M87,IF(M85&gt;0,ROUND((M85*AE87)/AE85,IF(N85=0,2,IF(N85=0.1,1,0))),IF(M86&gt;0,ROUND((M86*AE87)/AE86,IF(N85=0,2,IF(N85=0.1,1,0))),IF(M87&gt;0,M87,0)))),2),""))</f>
        <v/>
      </c>
      <c r="P87" s="142" t="str">
        <f>IF(I86="Lay",O86*(L86/(L86-1))-O86,IF(I85="Lay",O85*(L85/(L85-1))-O85,IF(OR(L87="",O87=""),"",IF($C87="1/2W",O87/2+O87/2*L87,IF($C87="1/2L",O87/2,(O87*L87-O87)*(1-_xlfn.XLOOKUP(K87,'Fevereiro 2023 - Valor Real'!A3:A15,'Fevereiro 2023 - Valor Real'!C3:C15,0))+O87)))))</f>
        <v/>
      </c>
      <c r="Q87" s="143" t="str">
        <f>IF(K87="","",IF(_xlfn.XLOOKUP(K87,K$8:K80,$DJ$8:DJ80,0,,-1)=DJ87,_xlfn.XLOOKUP(K87,K$8:K80,Q$8:Q80,1,,-1)+1,1))</f>
        <v/>
      </c>
      <c r="R87" s="144" t="str">
        <f>IF(K87="","",_xlfn.XLOOKUP(K87,K$8:K80,R$8:R80,0,,-1)+IF($C87=" ",1,0))</f>
        <v/>
      </c>
      <c r="S87" s="404"/>
      <c r="T87" s="378"/>
      <c r="U87" s="378"/>
      <c r="V87" s="404"/>
      <c r="W87" s="378"/>
      <c r="X87" s="453"/>
      <c r="Y87" s="383"/>
      <c r="Z87" s="384"/>
      <c r="AA87" s="384"/>
      <c r="AB87" s="384"/>
      <c r="AC87" s="384"/>
      <c r="AD87" s="145">
        <f>((L86/(L86-1)-1))</f>
        <v>1.4705882352941178</v>
      </c>
      <c r="AE87" s="146" t="str">
        <f>IF(L87="","",(SUM(((L85-1)*(1-_xlfn.XLOOKUP(K85,'Fevereiro 2023 - Valor Real'!A3:A15,'Fevereiro 2023 - Valor Real'!C3:C15,0))+1),((L86-1)*(1-_xlfn.XLOOKUP(K86,'Fevereiro 2023 - Valor Real'!A3:A15,'Fevereiro 2023 - Valor Real'!C3:C15,0))+1),((L87-1)*(1-_xlfn.XLOOKUP(K87,'Fevereiro 2023 - Valor Real'!A3:A15,'Fevereiro 2023 - Valor Real'!C3:C15,0))+1))/((L87-1)*(1-_xlfn.XLOOKUP(K87,'Fevereiro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Real'!C3:C15,0))+1))/((L85-1)*(1-_xlfn.XLOOKUP(K85,'Fevereiro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Real'!C3:C15,0))+1))/((L86-1)*(1-_xlfn.XLOOKUP(K86,'Fevereiro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Real'!C3:C15,0))+1))/((L87-1)*(1-_xlfn.XLOOKUP(K87,'Fevereiro 2023 - Valor Real'!A3:A15,'Fevereiro 2023 - Valor Real'!C3:C15,0))+1)))</f>
        <v/>
      </c>
      <c r="AF87" s="105">
        <f t="shared" si="183"/>
        <v>0</v>
      </c>
      <c r="AG87" s="106">
        <f t="shared" si="183"/>
        <v>0</v>
      </c>
      <c r="AH87" s="106">
        <f t="shared" si="183"/>
        <v>0</v>
      </c>
      <c r="AI87" s="106">
        <f t="shared" si="183"/>
        <v>0</v>
      </c>
      <c r="AJ87" s="106">
        <f t="shared" si="183"/>
        <v>0</v>
      </c>
      <c r="AK87" s="106">
        <f t="shared" si="183"/>
        <v>0</v>
      </c>
      <c r="AL87" s="106">
        <f t="shared" si="183"/>
        <v>0</v>
      </c>
      <c r="AM87" s="106">
        <f t="shared" si="183"/>
        <v>0</v>
      </c>
      <c r="AN87" s="106">
        <f t="shared" si="183"/>
        <v>0</v>
      </c>
      <c r="AO87" s="106">
        <f t="shared" si="183"/>
        <v>0</v>
      </c>
      <c r="AP87" s="106">
        <f t="shared" si="183"/>
        <v>0</v>
      </c>
      <c r="AQ87" s="106">
        <f t="shared" si="183"/>
        <v>0</v>
      </c>
      <c r="AR87" s="107">
        <f t="shared" si="183"/>
        <v>0</v>
      </c>
      <c r="AS87" s="105">
        <f>IF(AND($B85=" ",$K87=AS$3),$O87,0)</f>
        <v>0</v>
      </c>
      <c r="AT87" s="106">
        <f>IF(AND($B85=" ",K87=AT$3),$O87,0)</f>
        <v>0</v>
      </c>
      <c r="AU87" s="106">
        <f t="shared" ref="AU87:BE87" si="189">IF(AND($B85=" ",$K87=AU$3),$O87,0)</f>
        <v>0</v>
      </c>
      <c r="AV87" s="106">
        <f t="shared" si="189"/>
        <v>0</v>
      </c>
      <c r="AW87" s="106">
        <f t="shared" si="189"/>
        <v>0</v>
      </c>
      <c r="AX87" s="106">
        <f t="shared" si="189"/>
        <v>0</v>
      </c>
      <c r="AY87" s="108">
        <f t="shared" si="189"/>
        <v>0</v>
      </c>
      <c r="AZ87" s="109">
        <f t="shared" si="189"/>
        <v>0</v>
      </c>
      <c r="BA87" s="109">
        <f t="shared" si="189"/>
        <v>0</v>
      </c>
      <c r="BB87" s="109">
        <f t="shared" si="189"/>
        <v>0</v>
      </c>
      <c r="BC87" s="110">
        <f t="shared" si="189"/>
        <v>0</v>
      </c>
      <c r="BD87" s="106">
        <f t="shared" si="189"/>
        <v>0</v>
      </c>
      <c r="BE87" s="107">
        <f t="shared" si="189"/>
        <v>0</v>
      </c>
      <c r="BF87" s="105">
        <f t="shared" si="185"/>
        <v>0</v>
      </c>
      <c r="BG87" s="106">
        <f t="shared" si="185"/>
        <v>0</v>
      </c>
      <c r="BH87" s="106">
        <f t="shared" si="185"/>
        <v>0</v>
      </c>
      <c r="BI87" s="106">
        <f t="shared" si="185"/>
        <v>0</v>
      </c>
      <c r="BJ87" s="106">
        <f t="shared" si="185"/>
        <v>0</v>
      </c>
      <c r="BK87" s="106">
        <f t="shared" si="185"/>
        <v>0</v>
      </c>
      <c r="BL87" s="106">
        <f t="shared" si="185"/>
        <v>0</v>
      </c>
      <c r="BM87" s="108">
        <f t="shared" si="185"/>
        <v>0</v>
      </c>
      <c r="BN87" s="109">
        <f t="shared" si="185"/>
        <v>0</v>
      </c>
      <c r="BO87" s="109">
        <f t="shared" si="185"/>
        <v>0</v>
      </c>
      <c r="BP87" s="109">
        <f t="shared" si="185"/>
        <v>0</v>
      </c>
      <c r="BQ87" s="110">
        <f t="shared" si="185"/>
        <v>0</v>
      </c>
      <c r="BR87" s="107">
        <f t="shared" si="185"/>
        <v>0</v>
      </c>
      <c r="BS87" s="464"/>
      <c r="BT87" s="461"/>
      <c r="BU87" s="392"/>
      <c r="BV87" s="461"/>
      <c r="BW87" s="392"/>
      <c r="BX87" s="392"/>
      <c r="BY87" s="392"/>
      <c r="BZ87" s="461"/>
      <c r="CA87" s="392"/>
      <c r="CB87" s="392"/>
      <c r="CC87" s="392"/>
      <c r="CD87" s="401"/>
      <c r="CE87" s="409"/>
      <c r="CF87" s="133">
        <f t="shared" si="131"/>
        <v>0</v>
      </c>
      <c r="CG87" s="134">
        <f t="shared" si="132"/>
        <v>0</v>
      </c>
      <c r="CH87" s="134">
        <f t="shared" si="133"/>
        <v>0</v>
      </c>
      <c r="CI87" s="134">
        <f t="shared" si="134"/>
        <v>0</v>
      </c>
      <c r="CJ87" s="134">
        <f t="shared" si="135"/>
        <v>0</v>
      </c>
      <c r="CK87" s="134">
        <f t="shared" si="136"/>
        <v>0</v>
      </c>
      <c r="CL87" s="134">
        <f t="shared" si="137"/>
        <v>0</v>
      </c>
      <c r="CM87" s="134">
        <f t="shared" si="138"/>
        <v>0</v>
      </c>
      <c r="CN87" s="134">
        <f t="shared" si="139"/>
        <v>0</v>
      </c>
      <c r="CO87" s="134">
        <f t="shared" si="140"/>
        <v>0</v>
      </c>
      <c r="CP87" s="134">
        <f t="shared" si="141"/>
        <v>0</v>
      </c>
      <c r="CQ87" s="134">
        <f t="shared" si="142"/>
        <v>0</v>
      </c>
      <c r="CR87" s="134">
        <f t="shared" si="143"/>
        <v>0</v>
      </c>
      <c r="CS87" s="134">
        <f t="shared" si="144"/>
        <v>0</v>
      </c>
      <c r="CT87" s="115">
        <f t="shared" si="145"/>
        <v>0</v>
      </c>
      <c r="CU87" s="116">
        <f t="shared" si="146"/>
        <v>0</v>
      </c>
      <c r="CV87" s="116">
        <f t="shared" si="147"/>
        <v>0</v>
      </c>
      <c r="CW87" s="116">
        <f t="shared" si="148"/>
        <v>0</v>
      </c>
      <c r="CX87" s="116">
        <f t="shared" si="149"/>
        <v>0</v>
      </c>
      <c r="CY87" s="116">
        <f t="shared" si="150"/>
        <v>0</v>
      </c>
      <c r="CZ87" s="116">
        <f t="shared" si="151"/>
        <v>0</v>
      </c>
      <c r="DA87" s="116">
        <f t="shared" si="152"/>
        <v>0</v>
      </c>
      <c r="DB87" s="116">
        <f t="shared" si="153"/>
        <v>0</v>
      </c>
      <c r="DC87" s="116">
        <f t="shared" si="154"/>
        <v>0</v>
      </c>
      <c r="DD87" s="116">
        <f t="shared" si="155"/>
        <v>0</v>
      </c>
      <c r="DE87" s="117">
        <f t="shared" si="156"/>
        <v>0</v>
      </c>
      <c r="DF87" s="118">
        <f t="shared" si="158"/>
        <v>11</v>
      </c>
      <c r="DG87" s="106">
        <f t="shared" si="159"/>
        <v>14.450000000000001</v>
      </c>
      <c r="DH87" s="116">
        <f t="shared" si="160"/>
        <v>0</v>
      </c>
      <c r="DI87" s="106">
        <f t="shared" si="161"/>
        <v>0</v>
      </c>
      <c r="DJ87" s="201" t="str">
        <f>IF($D85="","",$D85)</f>
        <v>2</v>
      </c>
      <c r="DK87" s="466"/>
    </row>
    <row r="88" spans="1:115" ht="14.5" customHeight="1" x14ac:dyDescent="0.2">
      <c r="A88" s="487">
        <f>$A85+1</f>
        <v>29</v>
      </c>
      <c r="B88" s="506" t="str">
        <f>IF(OR(C88="W",C89="W",C90="W",C88="1/2W",C89="1/2W",C90="1/2W",C88="1/2L",C89="1/2L",C90="1/2L"),"OK",IF(OR(C88="L",C89="L",C90="L"),"LOSS",IF(OR(C88="X",C89="X",C90="X"),"Anulado"," ")))</f>
        <v>OK</v>
      </c>
      <c r="C88" s="147" t="s">
        <v>55</v>
      </c>
      <c r="D88" s="494" t="str">
        <f>IF(G88="","",$D85)</f>
        <v>2</v>
      </c>
      <c r="E88" s="511" t="str">
        <f>IF(G88=""," ","– "&amp;COUNTIF(D$4:D90,$D88))</f>
        <v>– 12</v>
      </c>
      <c r="F88" s="510" t="str">
        <f ca="1">IF(G88="","",IF(OR(AND($C88&lt;&gt;" ",$C89=" "),AND($C89&lt;&gt;" ",$C88=" "),AND(L90&gt;0,OR(AND($C90&lt;&gt;" ",OR($C88=" ",$C89=" ")),AND($C90=" ",OR($C88&lt;&gt;" ",$C89&lt;&gt;" "))))),IF(SUM(F$9:F80)=0,1,LARGE(F$9:F80,1)+1),IF(MONTH(G88)=MONTH(TODAY()),IF(AND(DAY(G88)&lt;DAY(TODAY()),$B88=" "),IF(SUM(F$9:F80)=0,1,LARGE(F$9:F80,1)+1),IF($B88=" ",IF(AND(DAY(G88)=DAY(TODAY()),HOUR(G88)&lt;=HOUR(NOW())+1),IF(AND(HOUR(G88)+2&lt;=HOUR(NOW()),DAY(G88)&lt;=DAY(TODAY()),MINUTE(G88)&lt;=MINUTE(NOW())),IF(SUM(F$9:F80)=0,1,LARGE(F$9:F80,1)+1),IF(OR(MINUTE(G88)&lt;=MINUTE(NOW()),HOUR(G88)&lt;=HOUR(NOW())),"!!!","")),""),"")),"")))</f>
        <v/>
      </c>
      <c r="G88" s="508">
        <f>IF(H88="","",_xlfn.XLOOKUP(H88,$H$4:H87,$G$4:G87,""))</f>
        <v>44987.708333333336</v>
      </c>
      <c r="H88" s="502" t="s">
        <v>82</v>
      </c>
      <c r="I88" s="180" t="s">
        <v>51</v>
      </c>
      <c r="J88" s="181">
        <v>3.5</v>
      </c>
      <c r="K88" s="150" t="s">
        <v>37</v>
      </c>
      <c r="L88" s="151">
        <v>2.1</v>
      </c>
      <c r="M88" s="152"/>
      <c r="N88" s="503">
        <v>0</v>
      </c>
      <c r="O88" s="153">
        <f>IF(OR(AE88="",AE89=""),"",ROUND(IF(L90&gt;0,IF(M88&gt;0,M88,IF(M89&gt;0,ROUND((M89*AE88)/AE89,IF(N88=0,2,IF(N88=0.1,1,0))),ROUND((M90*AE88)/AE90,IF(N88=0,2,IF(N88=0.1,1,0))))),IF(M88&gt;0,M88,ROUND((M89*AE88)/AE89,IF(N88=0,2,IF(N88=0.1,1,0))))),2))</f>
        <v>18.3</v>
      </c>
      <c r="P88" s="154">
        <f>IF(OR(L88="",O88=""),"",IF($C88="1/2W",O88/2+O88/2*L88,IF($C88="1/2L",O88/2,IF(I88="Lay",(O88*(L88/(L88-1))-O88)*(1-_xlfn.XLOOKUP(K88,'Fevereiro 2023 - Valor Real'!A3:A15,'Fevereiro 2023 - Valor Real'!C3:C15,0))+O88,(O88*L88-O88)*(1-_xlfn.XLOOKUP(K88,'Fevereiro 2023 - Valor Real'!A3:A15,'Fevereiro 2023 - Valor Real'!C3:C15,0))+O88))))</f>
        <v>38.43</v>
      </c>
      <c r="Q88" s="155">
        <f>IF(K88="","",IF(_xlfn.XLOOKUP(K88,K$9:K80,$DJ$9:DJ80,0,,-1)=DJ88,_xlfn.XLOOKUP(K88,K$9:K80,Q$9:Q80,1,,-1)+1,1))</f>
        <v>2</v>
      </c>
      <c r="R88" s="156">
        <f>IF(K88="","",_xlfn.XLOOKUP(K88,K$9:K80,R$9:R80,0,,-1)+IF($C88=" ",1,0))</f>
        <v>0</v>
      </c>
      <c r="S88" s="501">
        <f>IF($B88="Anulado",0,ROUND(IF(OR($B88="LOSS",$B88="OK"),IF(OR($C88="W",$C88="1/2W",$C88="1/2L"),P88-O88,IF($C88="L",-O88,0))+IF(OR($C89="W",$C89="1/2W",$C89="1/2L"),P89-O89,IF($C89="L",-O89,0))+IF(OR($C90="W",$C90="1/2W",$C90="1/2L"),P90-O90,IF($C90="L",-O90,0)),IF(AND(OR($C88="W",$C88="1/2W",$C88="1/2L"),C89="W"),P88+P89-SUM(O88:O90)+_xlfn.XLOOKUP("X",C88:C90,O88:O90,0),IF(AND(C88=TRUE,C90="W"),P88+P90-SUM(O88:O90),IF(AND(C89="W",C90="W"),P89+P90-SUM(O88:O90)+_xlfn.XLOOKUP("X",C88:C90,O88:O90,0),IF(L90&gt;0,IF(OR($C88="W",$C88="1/2W",$C88="1/2L"),P88-SUM(O88:O90)+_xlfn.XLOOKUP("X",C88:C90,O88:O90,0),IF(OR($C88="W",$C88="1/2W",$C88="1/2L"),P89-SUM(O88:O90)+_xlfn.XLOOKUP("X",C88:C90,O88:O90,0),IF(OR($C88="W",$C88="1/2W",$C88="1/2L"),P90-SUM(O88:O90)+_xlfn.XLOOKUP("X",C88:C90,O88:O90,0),IF(SUM(P88:P90)/3-SUM(O88:O90)+_xlfn.XLOOKUP("X",C88:C90,O88:O90,0)&gt;0,SUM(P88:P90)/3-SUM(O88:O90)+_xlfn.XLOOKUP("X",C88:C90,O88:O90,0),LARGE(P88:P90,1)-SUM(O88:O90))))),IF(OR($C88="W",$C88="1/2W",$C88="1/2L"),P88-SUM(O88:O89)+_xlfn.XLOOKUP("X",C88:C90,O88:O90,0),IF(OR($C88="W",$C88="1/2W",$C88="1/2L"),P89-SUM(O88:O89)+_xlfn.XLOOKUP("X",C88:C90,O88:O90,0),SUM(P88:P89)/2-SUM(O88:O89)+_xlfn.XLOOKUP("X",C88:C90,O88:O90,0)))))))),2))</f>
        <v>2.09</v>
      </c>
      <c r="T88" s="486">
        <f>IF(S88=0,0,S88/SUM(O88:O90))</f>
        <v>5.7512383048981826E-2</v>
      </c>
      <c r="U88" s="496">
        <f>IF($D88=$D85,IF(OR($B88="LOSS",$B88="OK",$B88="Anulada"),S88,0)+U85,IF(OR($B88="LOSS",$B88="OK",$B88="Anulada"),S88,0))</f>
        <v>24.009999999999998</v>
      </c>
      <c r="V88" s="496">
        <f>IF($D88="",0,IF($D88=$D85,IF($B88=" ",IF(I90="",IF(OR(AND(I88="DNB1",I89="DNB2"),AND(OR(I88="DNB1",I88="DNB2"),J89=0),AND(OR(I89="DNB1",I89="DNB2"),J88=0),AND(I88="DNB2",I89="DNB1"),AND(IF(J88=0,(J88+1)/ROUND(J88+1,0),J88/ROUND(J88,0))=1,IF(J89=0,(J89+1)/ROUND(IF(J89="",0,J89)+1,0),IF(J89="",0,J89)/ROUND(IF(J89="",1,J89),0))=1,OR(J88&lt;&gt;""),J89&lt;&gt;"")),0,IF(S88&lt;0,IF(I90="",SMALL(P88:P89,1)-SUM(O88:O89),0),SMALL(P88:P89,1)-SUM(O88:O89))),IF(S88&lt;0,IF(I90="",SMALL(P88:P90,1)-SUM(O88:O90),0),LARGE(P88:P90,1)-SUM(O88:O90))),S88)+V85,IF(I90="",IF(OR(AND(I88="DNB1",I89="DNB2"),AND(OR(I88="DNB1",I88="DNB2"),J89=0),AND(OR(I89="DNB1",I89="DNB2"),J88=0),AND(I88="DNB2",I89="DNB1"),AND(IF(J88=0,(J88+1)/ROUND(J88+1,0),J88/ROUND(J88,0))=1,IF(J89=0,(IF(J89="",0,J89)+1)/ROUND(IF(J89="",0,J89)+1,0),IF(J89="",0,J89)/ROUND(IF(J89="",0,J89)+1,0))=1,OR(J88&lt;&gt;""),J89&lt;&gt;"")),0,IF(S88&lt;0,IF(I90="",SMALL(P88:P89,1)-SUM(O88:O89),0),SMALL(P88:P90,1)-SUM(O88:O90))),IF(S88&lt;0,IF(I90="",SMALL(P88:P90,1)-SUM(O88:O90),0),LARGE(P88:P90,1)-SUM(O88:O90)))))</f>
        <v>23.95</v>
      </c>
      <c r="W88" s="496">
        <f>IF($D88=$D85,IF(S88&lt;0,IF(I90="",S88,0),S88)+W85,S88)</f>
        <v>24.009999999999998</v>
      </c>
      <c r="X88" s="505" t="str">
        <f>IF(OR(SUM(R88:R90)=0,V88=W88),ROUND(IF(W88=0,0,W88/Y88)*100,2)&amp;"%",ROUND(IF(V88=0,0,V88/Y88)*100,2)&amp;"% a "&amp;ROUND(IF(W88=0,0,W88/Y88)*100,2)&amp;"%")</f>
        <v>4,78%</v>
      </c>
      <c r="Y88" s="497">
        <f>IF($D88=$D85,Y85+SUM(O88:O90),SUM(O88:O90))</f>
        <v>502.48</v>
      </c>
      <c r="Z88" s="496">
        <f>IF($B88=" ",SUM(O88:O90),0)+Z85</f>
        <v>0</v>
      </c>
      <c r="AA88" s="496">
        <f>IF(G88="","",IF($B88="Anulado",LARGE(P88:P90,1)-SUM(O88:O90)+AA85,AA85))</f>
        <v>0.45899999999999785</v>
      </c>
      <c r="AB88" s="496">
        <f>IF($D88="","",AB85+S88)</f>
        <v>52.659999999999982</v>
      </c>
      <c r="AC88" s="499">
        <f ca="1">IF($D88="","",IF($B88=" ",IF(DAY(G88)=DAY(TODAY()),1+AC85,0+AC85),0+AC85))</f>
        <v>0</v>
      </c>
      <c r="AD88" s="157">
        <f>(1-_xlfn.XLOOKUP(K86,'Fevereiro 2023 - Valor Real'!A3:A15,'Fevereiro 2023 - Valor Real'!C3:C15,0))+1</f>
        <v>2</v>
      </c>
      <c r="AE88" s="158">
        <f>IF(L88="","",IF(L90&gt;0,(SUM(((L88-1)*(1-_xlfn.XLOOKUP(K88,'Fevereiro 2023 - Valor Real'!A3:A15,'Fevereiro 2023 - Valor Real'!C3:C15,0))+1),((L89-1)*(1-_xlfn.XLOOKUP(K89,'Fevereiro 2023 - Valor Real'!A3:A15,'Fevereiro 2023 - Valor Real'!C3:C15,0))+1),((L90-1)*(1-_xlfn.XLOOKUP(K90,'Fevereiro 2023 - Valor Real'!A3:A15,'Fevereiro 2023 - Valor Real'!C3:C15,0))+1))/((L88-1)*(1-_xlfn.XLOOKUP(K88,'Fevereiro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Real'!C3:C15,0))+1))/((L88-1)*(1-_xlfn.XLOOKUP(K88,'Fevereiro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Real'!C3:C15,0))+1))/((L89-1)*(1-_xlfn.XLOOKUP(K89,'Fevereiro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Real'!C3:C15,0))+1))/((L90-1)*(1-_xlfn.XLOOKUP(K90,'Fevereiro 2023 - Valor Real'!A3:A15,'Fevereiro 2023 - Valor Real'!C3:C15,0))+1)),IF(I88="Lay",IF(I89="Lay",((L89/(L89-1)-1)*(1-_xlfn.XLOOKUP(K89,'Fevereiro 2023 - Valor Real'!A3:A15,'Fevereiro 2023 - Valor Real'!C3:C15,0))+1)/(((L89/(L89-1)-1)*(1-_xlfn.XLOOKUP(K89,'Fevereiro 2023 - Valor Real'!A3:A15,'Fevereiro 2023 - Valor Real'!C3:C15,0))+1)+((L88/(L88-1)-1)*(1-_xlfn.XLOOKUP(K88,'Fevereiro 2023 - Valor Real'!A3:A15,'Fevereiro 2023 - Valor Real'!C3:C15,0))+1)),((L89-1)*(1-_xlfn.XLOOKUP(K89,'Fevereiro 2023 - Valor Real'!A3:A15,'Fevereiro 2023 - Valor Real'!C3:C15,0))+1)/(((L89-1)*(1-_xlfn.XLOOKUP(K89,'Fevereiro 2023 - Valor Real'!A3:A15,'Fevereiro 2023 - Valor Real'!C3:C15,0))+1)+((L88/(L88-1)-1)*(1-_xlfn.XLOOKUP(K88,'Fevereiro 2023 - Valor Real'!A3:A15,'Fevereiro 2023 - Valor Real'!C3:C15,0))+1))),IF(I89="Lay",(((L89/(L89-1)-1)*(1-_xlfn.XLOOKUP(K89,'Fevereiro 2023 - Valor Real'!A3:A15,'Fevereiro 2023 - Valor Real'!C3:C15,0))+1))/(((L88-1)*(1-_xlfn.XLOOKUP(K88,'Fevereiro 2023 - Valor Real'!A3:A15,'Fevereiro 2023 - Valor Real'!C3:C15,0))+1)+((L89/(L89-1)-1)*(1-_xlfn.XLOOKUP(K89,'Fevereiro 2023 - Valor Real'!A3:A15,'Fevereiro 2023 - Valor Real'!C3:C15,0))+1)),((L89-1)*(1-_xlfn.XLOOKUP(K89,'Fevereiro 2023 - Valor Real'!A3:A15,'Fevereiro 2023 - Valor Real'!C3:C15,0))+1)/(((L89-1)*(1-_xlfn.XLOOKUP(K89,'Fevereiro 2023 - Valor Real'!A3:A15,'Fevereiro 2023 - Valor Real'!C3:C15,0))+1)+((L88-1)*(1-_xlfn.XLOOKUP(K88,'Fevereiro 2023 - Valor Real'!A3:A15,'Fevereiro 2023 - Valor Real'!C3:C15,0))+1))))))</f>
        <v>0.50354609929078009</v>
      </c>
      <c r="AF88" s="66">
        <f t="shared" si="183"/>
        <v>0</v>
      </c>
      <c r="AG88" s="67">
        <f t="shared" si="183"/>
        <v>-18.3</v>
      </c>
      <c r="AH88" s="67">
        <f t="shared" si="183"/>
        <v>0</v>
      </c>
      <c r="AI88" s="67">
        <f t="shared" si="183"/>
        <v>0</v>
      </c>
      <c r="AJ88" s="67">
        <f t="shared" si="183"/>
        <v>0</v>
      </c>
      <c r="AK88" s="67">
        <f t="shared" si="183"/>
        <v>0</v>
      </c>
      <c r="AL88" s="67">
        <f t="shared" si="183"/>
        <v>0</v>
      </c>
      <c r="AM88" s="67">
        <f t="shared" si="183"/>
        <v>0</v>
      </c>
      <c r="AN88" s="67">
        <f t="shared" si="183"/>
        <v>0</v>
      </c>
      <c r="AO88" s="67">
        <f t="shared" si="183"/>
        <v>0</v>
      </c>
      <c r="AP88" s="67">
        <f t="shared" si="183"/>
        <v>0</v>
      </c>
      <c r="AQ88" s="67">
        <f t="shared" si="183"/>
        <v>0</v>
      </c>
      <c r="AR88" s="68">
        <f t="shared" si="183"/>
        <v>0</v>
      </c>
      <c r="AS88" s="66">
        <f t="shared" ref="AS88:BE88" si="190">IF(AND($B88=" ",$K88=AS$3),$O88,0)</f>
        <v>0</v>
      </c>
      <c r="AT88" s="67">
        <f t="shared" si="190"/>
        <v>0</v>
      </c>
      <c r="AU88" s="67">
        <f t="shared" si="190"/>
        <v>0</v>
      </c>
      <c r="AV88" s="67">
        <f t="shared" si="190"/>
        <v>0</v>
      </c>
      <c r="AW88" s="67">
        <f t="shared" si="190"/>
        <v>0</v>
      </c>
      <c r="AX88" s="67">
        <f t="shared" si="190"/>
        <v>0</v>
      </c>
      <c r="AY88" s="69">
        <f t="shared" si="190"/>
        <v>0</v>
      </c>
      <c r="AZ88" s="70">
        <f t="shared" si="190"/>
        <v>0</v>
      </c>
      <c r="BA88" s="70">
        <f t="shared" si="190"/>
        <v>0</v>
      </c>
      <c r="BB88" s="70">
        <f t="shared" si="190"/>
        <v>0</v>
      </c>
      <c r="BC88" s="71">
        <f t="shared" si="190"/>
        <v>0</v>
      </c>
      <c r="BD88" s="67">
        <f t="shared" si="190"/>
        <v>0</v>
      </c>
      <c r="BE88" s="68">
        <f t="shared" si="190"/>
        <v>0</v>
      </c>
      <c r="BF88" s="66">
        <f t="shared" si="185"/>
        <v>0</v>
      </c>
      <c r="BG88" s="67">
        <f t="shared" si="185"/>
        <v>18.3</v>
      </c>
      <c r="BH88" s="67">
        <f t="shared" si="185"/>
        <v>0</v>
      </c>
      <c r="BI88" s="67">
        <f t="shared" si="185"/>
        <v>0</v>
      </c>
      <c r="BJ88" s="67">
        <f t="shared" si="185"/>
        <v>0</v>
      </c>
      <c r="BK88" s="67">
        <f t="shared" si="185"/>
        <v>0</v>
      </c>
      <c r="BL88" s="67">
        <f t="shared" si="185"/>
        <v>0</v>
      </c>
      <c r="BM88" s="69">
        <f t="shared" si="185"/>
        <v>0</v>
      </c>
      <c r="BN88" s="70">
        <f t="shared" si="185"/>
        <v>0</v>
      </c>
      <c r="BO88" s="70">
        <f t="shared" si="185"/>
        <v>0</v>
      </c>
      <c r="BP88" s="70">
        <f t="shared" si="185"/>
        <v>0</v>
      </c>
      <c r="BQ88" s="71">
        <f t="shared" si="185"/>
        <v>0</v>
      </c>
      <c r="BR88" s="68">
        <f t="shared" si="185"/>
        <v>0</v>
      </c>
      <c r="BS88" s="490">
        <f>IF($B88="LOSS",IF(AND($K88=BS$3,$C88="L"),-$O88,0)+IF(AND($K89=BS$3,$C89="L"),-$O89,0)+IF(AND($K90=BS$3,$C90="L"),-$O90,0),IF(OR(AND($K88=BS$3,OR($C88="W",$C88="1/2W")),AND($K89=BS$3,OR($C89="W",$C89="1/2W")),AND($K90=BS$3,OR($C90="W",$C90="1/2W"))),$S88,0))</f>
        <v>0</v>
      </c>
      <c r="BT88" s="498">
        <f>IF($B88="LOSS",IF(AND($K88=BT$3,$C88="L"),-$O88,0)+IF(AND($K89=BT$3,$C89="L"),-$O89,0)+IF(AND($K89=BT$3,$C90="L"),-$O90,0),IF(OR(AND($K89=BT$3,OR($C88="W",$C88="1/2W")),AND($K89=BT$3,OR($C89="W",$C89="1/2W")),AND($K89=BT$3,OR($C90="W",$C90="1/2W"))),$S88,0))</f>
        <v>0</v>
      </c>
      <c r="BU88" s="488">
        <f>IF($B88="LOSS",IF(AND($K88=BU$3,$C88="L"),-$O88,0)+IF(AND($K89=BU$3,$C89="L"),-$O89,0)+IF(AND($K89=BU$3,$C90="L"),-$O90,0),IF(OR(AND($K89=BU$3,OR($C88="W",$C88="1/2W")),AND($K89=BU$3,OR($C89="W",$C89="1/2W")),AND($K89=BU$3,OR($C90="W",$C90="1/2W"))),$S88,0))</f>
        <v>0</v>
      </c>
      <c r="BV88" s="488">
        <f t="shared" ref="BV88:CE88" si="191">IF($B88="LOSS",IF(AND($K88=BV$3,$C88="L"),-$O88,0)+IF(AND($K89=BV$3,$C89="L"),-$O89,0)+IF(AND($K90=BV$3,$C90="L"),-$O90,0),IF(OR(AND($K88=BV$3,OR($C88="W",$C88="1/2W")),AND($K89=BV$3,OR($C89="W",$C89="1/2W")),AND($K90=BV$3,OR($C90="W",$C90="1/2W"))),$S88,0))</f>
        <v>0</v>
      </c>
      <c r="BW88" s="488">
        <f t="shared" si="191"/>
        <v>0</v>
      </c>
      <c r="BX88" s="488">
        <f t="shared" si="191"/>
        <v>0</v>
      </c>
      <c r="BY88" s="488">
        <f t="shared" si="191"/>
        <v>0</v>
      </c>
      <c r="BZ88" s="488">
        <f t="shared" si="191"/>
        <v>0</v>
      </c>
      <c r="CA88" s="488">
        <f t="shared" si="191"/>
        <v>0</v>
      </c>
      <c r="CB88" s="488">
        <f t="shared" si="191"/>
        <v>0</v>
      </c>
      <c r="CC88" s="488">
        <f t="shared" si="191"/>
        <v>0</v>
      </c>
      <c r="CD88" s="500">
        <f t="shared" si="191"/>
        <v>2.09</v>
      </c>
      <c r="CE88" s="504">
        <f t="shared" si="191"/>
        <v>0</v>
      </c>
      <c r="CF88" s="160">
        <f t="shared" si="131"/>
        <v>0</v>
      </c>
      <c r="CG88" s="161">
        <f t="shared" si="132"/>
        <v>0</v>
      </c>
      <c r="CH88" s="161">
        <f t="shared" si="133"/>
        <v>0</v>
      </c>
      <c r="CI88" s="161">
        <f t="shared" si="134"/>
        <v>1</v>
      </c>
      <c r="CJ88" s="161">
        <f t="shared" si="135"/>
        <v>0</v>
      </c>
      <c r="CK88" s="161">
        <f t="shared" si="136"/>
        <v>0</v>
      </c>
      <c r="CL88" s="161">
        <f t="shared" si="137"/>
        <v>0</v>
      </c>
      <c r="CM88" s="161">
        <f t="shared" si="138"/>
        <v>0</v>
      </c>
      <c r="CN88" s="161">
        <f t="shared" si="139"/>
        <v>0</v>
      </c>
      <c r="CO88" s="161">
        <f t="shared" si="140"/>
        <v>0</v>
      </c>
      <c r="CP88" s="161">
        <f t="shared" si="141"/>
        <v>0</v>
      </c>
      <c r="CQ88" s="161">
        <f t="shared" si="142"/>
        <v>0</v>
      </c>
      <c r="CR88" s="161">
        <f t="shared" si="143"/>
        <v>0</v>
      </c>
      <c r="CS88" s="161">
        <f t="shared" si="144"/>
        <v>0</v>
      </c>
      <c r="CT88" s="75">
        <f t="shared" si="145"/>
        <v>0</v>
      </c>
      <c r="CU88" s="76">
        <f t="shared" si="146"/>
        <v>0</v>
      </c>
      <c r="CV88" s="76">
        <f t="shared" si="147"/>
        <v>0</v>
      </c>
      <c r="CW88" s="76">
        <f t="shared" si="148"/>
        <v>0</v>
      </c>
      <c r="CX88" s="76">
        <f t="shared" si="149"/>
        <v>0</v>
      </c>
      <c r="CY88" s="76">
        <f t="shared" si="150"/>
        <v>0</v>
      </c>
      <c r="CZ88" s="76">
        <f t="shared" si="151"/>
        <v>0</v>
      </c>
      <c r="DA88" s="76">
        <f t="shared" si="152"/>
        <v>0</v>
      </c>
      <c r="DB88" s="76">
        <f t="shared" si="153"/>
        <v>0</v>
      </c>
      <c r="DC88" s="76">
        <f t="shared" si="154"/>
        <v>0</v>
      </c>
      <c r="DD88" s="76">
        <f t="shared" si="155"/>
        <v>0</v>
      </c>
      <c r="DE88" s="77">
        <f t="shared" si="156"/>
        <v>0</v>
      </c>
      <c r="DF88" s="73">
        <f t="shared" si="158"/>
        <v>11</v>
      </c>
      <c r="DG88" s="67">
        <f t="shared" si="159"/>
        <v>14.450000000000001</v>
      </c>
      <c r="DH88" s="76">
        <f t="shared" si="160"/>
        <v>0</v>
      </c>
      <c r="DI88" s="67">
        <f t="shared" si="161"/>
        <v>0</v>
      </c>
      <c r="DJ88" s="202" t="str">
        <f>IF($D88="","",$D88)</f>
        <v>2</v>
      </c>
      <c r="DK88" s="492">
        <f>IF(AND($B88=" ",$D88&lt;&gt;""),1,0)</f>
        <v>0</v>
      </c>
    </row>
    <row r="89" spans="1:115" ht="14.5" customHeight="1" x14ac:dyDescent="0.2">
      <c r="A89" s="389"/>
      <c r="B89" s="456"/>
      <c r="C89" s="53" t="s">
        <v>54</v>
      </c>
      <c r="D89" s="374"/>
      <c r="E89" s="386"/>
      <c r="F89" s="377"/>
      <c r="G89" s="508"/>
      <c r="H89" s="476"/>
      <c r="I89" s="182" t="s">
        <v>52</v>
      </c>
      <c r="J89" s="56">
        <f>IF(OR(I88="TO",I88="TU",I88="TO1",I88="TU1",I88="TO2",I88="TU2"),J88,IF(OR(I88="AH1",I88="AH2"),IF(OR(I89="AH1",I89="AH2"),-J88,IF(OR(I89="EH1",I89="EH2"),-J88+0.5,"")),IF(OR(I88="EH1",I88="EH2"),IF(OR(I89="AH1",I89="AH2"),-J88+0.5,IF(OR(I89="EH1",I89="EH2"),-J88+1,"")),IF(AND(OR(I88="DNB1",I88="DNB2"),OR(I89="AH1",I89="AH2")),0,IF(AND(I88="Not ScoreBoth",OR(I89="TO1",I89="TO2")),0.5,"")))))</f>
        <v>3.5</v>
      </c>
      <c r="K89" s="57" t="s">
        <v>47</v>
      </c>
      <c r="L89" s="164">
        <v>2.13</v>
      </c>
      <c r="M89" s="165">
        <v>18.04</v>
      </c>
      <c r="N89" s="406"/>
      <c r="O89" s="60">
        <f>IF(OR(AE88="",AE89=""),"",ROUND(IF(L90&gt;0,IF(M89&gt;0,M89,IF(M88&gt;0,IF(N88=TRUE,ROUND((M88*AE89)/AE88,0),(M88*AE89)/AE88),IF(M89&gt;0,ROUND(M89,IF(N88=0,2,IF(N88=0.1,1,0))),IF(M90&gt;0,ROUND(O90*AE89/AE90,IF(N88=0,2,IF(N88=0.1,1,0))),0)))),IF(M89&gt;0,M89,ROUND((M88*AE89)/AE88,IF(N88=0,2,IF(N88=0.1,1,0))))),2))</f>
        <v>18.04</v>
      </c>
      <c r="P89" s="61">
        <f>IF(OR(L89="",O89=""),"",IF($C89="1/2W",O89/2+O89/2*L89,IF($C89="1/2L",O89/2,IF(I89="Lay",((O89*(L89/(L89-1)))-O89)*(1-_xlfn.XLOOKUP(K89,'Fevereiro 2023 - Valor Real'!A3:A15,'Fevereiro 2023 - Valor Real'!C3:C15,0))+O89,(O89*L89-O89)*(1-_xlfn.XLOOKUP(K89,'Fevereiro 2023 - Valor Real'!A3:A15,'Fevereiro 2023 - Valor Real'!C3:C15,0))+O89))))</f>
        <v>38.425199999999997</v>
      </c>
      <c r="Q89" s="166">
        <f>IF(K89="","",IF(_xlfn.XLOOKUP(K89,K$10:K80,$DJ$10:DJ80,0,,-1)=DJ89,_xlfn.XLOOKUP(K89,K$10:K80,Q$10:Q80,1,,-1)+1,1))</f>
        <v>5</v>
      </c>
      <c r="R89" s="167">
        <f>IF(K89="","",_xlfn.XLOOKUP(K89,K$10:K80,R$10:R80,0,,-1)+IF($C89=" ",1,0))</f>
        <v>0</v>
      </c>
      <c r="S89" s="403"/>
      <c r="T89" s="380"/>
      <c r="U89" s="380"/>
      <c r="V89" s="481"/>
      <c r="W89" s="380"/>
      <c r="X89" s="452"/>
      <c r="Y89" s="383"/>
      <c r="Z89" s="384"/>
      <c r="AA89" s="384"/>
      <c r="AB89" s="384"/>
      <c r="AC89" s="384"/>
      <c r="AD89" s="64"/>
      <c r="AE89" s="65">
        <f>IF(L89="","",IF(L90&gt;0,(SUM(((L88-1)*(1-_xlfn.XLOOKUP(K88,'Fevereiro 2023 - Valor Real'!A3:A15,'Fevereiro 2023 - Valor Real'!C3:C15,0))+1),((L89-1)*(1-_xlfn.XLOOKUP(K89,'Fevereiro 2023 - Valor Real'!A3:A15,'Fevereiro 2023 - Valor Real'!C3:C15,0))+1),((L90-1)*(1-_xlfn.XLOOKUP(K90,'Fevereiro 2023 - Valor Real'!A3:A15,'Fevereiro 2023 - Valor Real'!C3:C15,0))+1))/((L89-1)*(1-_xlfn.XLOOKUP(K89,'Fevereiro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Real'!C3:C15,0))+1))/((L88-1)*(1-_xlfn.XLOOKUP(K88,'Fevereiro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Real'!C3:C15,0))+1))/((L89-1)*(1-_xlfn.XLOOKUP(K89,'Fevereiro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Real'!C3:C15,0))+1))/((L90-1)*(1-_xlfn.XLOOKUP(K90,'Fevereiro 2023 - Valor Real'!A3:A15,'Fevereiro 2023 - Valor Real'!C3:C15,0))+1)),IF(I89="Lay",IF(I88="Lay",((L88/(L88-1)-1)*(1-_xlfn.XLOOKUP(K88,'Fevereiro 2023 - Valor Real'!A3:A15,'Fevereiro 2023 - Valor Real'!C3:C15,0))+1)/(((L88/(L88-1)-1)*(1-_xlfn.XLOOKUP(K88,'Fevereiro 2023 - Valor Real'!A3:A15,'Fevereiro 2023 - Valor Real'!C3:C15,0))+1)+((L89/(L89-1)-1)*(1-_xlfn.XLOOKUP(K89,'Fevereiro 2023 - Valor Real'!A3:A15,'Fevereiro 2023 - Valor Real'!C3:C15,0))+1)),((L88-1)*(1-_xlfn.XLOOKUP(K88,'Fevereiro 2023 - Valor Real'!A3:A15,'Fevereiro 2023 - Valor Real'!C3:C15,0))+1)/(((L88-1)*(1-_xlfn.XLOOKUP(K88,'Fevereiro 2023 - Valor Real'!A3:A15,'Fevereiro 2023 - Valor Real'!C3:C15,0))+1)+((L89/(L89-1)-1)*(1-_xlfn.XLOOKUP(K89,'Fevereiro 2023 - Valor Real'!A3:A15,'Fevereiro 2023 - Valor Real'!C3:C15,0))+1))),IF(I88="Lay",((L88/(L88-1)-1)*(1-_xlfn.XLOOKUP(K88,'Fevereiro 2023 - Valor Real'!A3:A15,'Fevereiro 2023 - Valor Real'!C3:C15,0))+1)/((((L88/(L88-1)-1)*(1-_xlfn.XLOOKUP(K88,'Fevereiro 2023 - Valor Real'!A3:A15,'Fevereiro 2023 - Valor Real'!C3:C15,0))+1))+((L89-1)*(1-_xlfn.XLOOKUP(K89,'Fevereiro 2023 - Valor Real'!A3:A15,'Fevereiro 2023 - Valor Real'!C3:C15,0))+1)),((L88-1)*(1-_xlfn.XLOOKUP(K88,'Fevereiro 2023 - Valor Real'!A3:A15,'Fevereiro 2023 - Valor Real'!C3:C15,0))+1)/(((L88-1)*(1-_xlfn.XLOOKUP(K88,'Fevereiro 2023 - Valor Real'!A3:A15,'Fevereiro 2023 - Valor Real'!C3:C15,0))+1)+((L89-1)*(1-_xlfn.XLOOKUP(K89,'Fevereiro 2023 - Valor Real'!A3:A15,'Fevereiro 2023 - Valor Real'!C3:C15,0))+1))))))</f>
        <v>0.49645390070921985</v>
      </c>
      <c r="AF89" s="66">
        <f t="shared" si="183"/>
        <v>0</v>
      </c>
      <c r="AG89" s="67">
        <f t="shared" si="183"/>
        <v>0</v>
      </c>
      <c r="AH89" s="67">
        <f t="shared" si="183"/>
        <v>0</v>
      </c>
      <c r="AI89" s="67">
        <f t="shared" si="183"/>
        <v>0</v>
      </c>
      <c r="AJ89" s="67">
        <f t="shared" si="183"/>
        <v>0</v>
      </c>
      <c r="AK89" s="67">
        <f t="shared" si="183"/>
        <v>0</v>
      </c>
      <c r="AL89" s="67">
        <f t="shared" si="183"/>
        <v>0</v>
      </c>
      <c r="AM89" s="67">
        <f t="shared" si="183"/>
        <v>0</v>
      </c>
      <c r="AN89" s="67">
        <f t="shared" si="183"/>
        <v>0</v>
      </c>
      <c r="AO89" s="67">
        <f t="shared" si="183"/>
        <v>0</v>
      </c>
      <c r="AP89" s="67">
        <f t="shared" si="183"/>
        <v>0</v>
      </c>
      <c r="AQ89" s="67">
        <f t="shared" si="183"/>
        <v>20.39</v>
      </c>
      <c r="AR89" s="68">
        <f t="shared" si="183"/>
        <v>0</v>
      </c>
      <c r="AS89" s="66">
        <f>IF(AND($B88=" ",$K89=AS$3),$O89,0)</f>
        <v>0</v>
      </c>
      <c r="AT89" s="67">
        <f>IF(AND($B88=" ",K89=AT$3),$O89,0)</f>
        <v>0</v>
      </c>
      <c r="AU89" s="67">
        <f t="shared" ref="AU89:BE89" si="192">IF(AND($B88=" ",$K89=AU$3),$O89,0)</f>
        <v>0</v>
      </c>
      <c r="AV89" s="67">
        <f t="shared" si="192"/>
        <v>0</v>
      </c>
      <c r="AW89" s="67">
        <f t="shared" si="192"/>
        <v>0</v>
      </c>
      <c r="AX89" s="67">
        <f t="shared" si="192"/>
        <v>0</v>
      </c>
      <c r="AY89" s="69">
        <f t="shared" si="192"/>
        <v>0</v>
      </c>
      <c r="AZ89" s="70">
        <f t="shared" si="192"/>
        <v>0</v>
      </c>
      <c r="BA89" s="70">
        <f t="shared" si="192"/>
        <v>0</v>
      </c>
      <c r="BB89" s="70">
        <f t="shared" si="192"/>
        <v>0</v>
      </c>
      <c r="BC89" s="71">
        <f t="shared" si="192"/>
        <v>0</v>
      </c>
      <c r="BD89" s="67">
        <f t="shared" si="192"/>
        <v>0</v>
      </c>
      <c r="BE89" s="68">
        <f t="shared" si="192"/>
        <v>0</v>
      </c>
      <c r="BF89" s="66">
        <f t="shared" si="185"/>
        <v>0</v>
      </c>
      <c r="BG89" s="168">
        <f t="shared" si="185"/>
        <v>0</v>
      </c>
      <c r="BH89" s="67">
        <f t="shared" si="185"/>
        <v>0</v>
      </c>
      <c r="BI89" s="67">
        <f t="shared" si="185"/>
        <v>0</v>
      </c>
      <c r="BJ89" s="67">
        <f t="shared" si="185"/>
        <v>0</v>
      </c>
      <c r="BK89" s="67">
        <f t="shared" si="185"/>
        <v>0</v>
      </c>
      <c r="BL89" s="67">
        <f t="shared" si="185"/>
        <v>0</v>
      </c>
      <c r="BM89" s="69">
        <f t="shared" si="185"/>
        <v>0</v>
      </c>
      <c r="BN89" s="70">
        <f t="shared" si="185"/>
        <v>0</v>
      </c>
      <c r="BO89" s="70">
        <f t="shared" si="185"/>
        <v>0</v>
      </c>
      <c r="BP89" s="70">
        <f t="shared" si="185"/>
        <v>0</v>
      </c>
      <c r="BQ89" s="71">
        <f t="shared" si="185"/>
        <v>18.04</v>
      </c>
      <c r="BR89" s="68">
        <f t="shared" si="185"/>
        <v>0</v>
      </c>
      <c r="BS89" s="491"/>
      <c r="BT89" s="489"/>
      <c r="BU89" s="392"/>
      <c r="BV89" s="489"/>
      <c r="BW89" s="392"/>
      <c r="BX89" s="392"/>
      <c r="BY89" s="392"/>
      <c r="BZ89" s="489"/>
      <c r="CA89" s="392"/>
      <c r="CB89" s="392"/>
      <c r="CC89" s="392"/>
      <c r="CD89" s="401"/>
      <c r="CE89" s="409"/>
      <c r="CF89" s="169">
        <f t="shared" si="131"/>
        <v>0</v>
      </c>
      <c r="CG89" s="170">
        <f t="shared" si="132"/>
        <v>0</v>
      </c>
      <c r="CH89" s="170">
        <f t="shared" si="133"/>
        <v>0</v>
      </c>
      <c r="CI89" s="170">
        <f t="shared" si="134"/>
        <v>0</v>
      </c>
      <c r="CJ89" s="170">
        <f t="shared" si="135"/>
        <v>0</v>
      </c>
      <c r="CK89" s="170">
        <f t="shared" si="136"/>
        <v>0</v>
      </c>
      <c r="CL89" s="170">
        <f t="shared" si="137"/>
        <v>0</v>
      </c>
      <c r="CM89" s="170">
        <f t="shared" si="138"/>
        <v>0</v>
      </c>
      <c r="CN89" s="170">
        <f t="shared" si="139"/>
        <v>0</v>
      </c>
      <c r="CO89" s="170">
        <f t="shared" si="140"/>
        <v>0</v>
      </c>
      <c r="CP89" s="170">
        <f t="shared" si="141"/>
        <v>0</v>
      </c>
      <c r="CQ89" s="170">
        <f t="shared" si="142"/>
        <v>0</v>
      </c>
      <c r="CR89" s="170">
        <f t="shared" si="143"/>
        <v>0</v>
      </c>
      <c r="CS89" s="170">
        <f t="shared" si="144"/>
        <v>0</v>
      </c>
      <c r="CT89" s="75">
        <f t="shared" si="145"/>
        <v>0</v>
      </c>
      <c r="CU89" s="76">
        <f t="shared" si="146"/>
        <v>0</v>
      </c>
      <c r="CV89" s="76">
        <f t="shared" si="147"/>
        <v>0</v>
      </c>
      <c r="CW89" s="76">
        <f t="shared" si="148"/>
        <v>0</v>
      </c>
      <c r="CX89" s="76">
        <f t="shared" si="149"/>
        <v>0</v>
      </c>
      <c r="CY89" s="76">
        <f t="shared" si="150"/>
        <v>0</v>
      </c>
      <c r="CZ89" s="76">
        <f t="shared" si="151"/>
        <v>0</v>
      </c>
      <c r="DA89" s="76">
        <f t="shared" si="152"/>
        <v>0</v>
      </c>
      <c r="DB89" s="76">
        <f t="shared" si="153"/>
        <v>1</v>
      </c>
      <c r="DC89" s="76">
        <f t="shared" si="154"/>
        <v>0</v>
      </c>
      <c r="DD89" s="76">
        <f t="shared" si="155"/>
        <v>0</v>
      </c>
      <c r="DE89" s="77">
        <f t="shared" si="156"/>
        <v>0</v>
      </c>
      <c r="DF89" s="73">
        <f t="shared" si="158"/>
        <v>11</v>
      </c>
      <c r="DG89" s="67">
        <f t="shared" si="159"/>
        <v>14.450000000000001</v>
      </c>
      <c r="DH89" s="76">
        <f t="shared" si="160"/>
        <v>0</v>
      </c>
      <c r="DI89" s="67">
        <f t="shared" si="161"/>
        <v>0</v>
      </c>
      <c r="DJ89" s="202" t="str">
        <f>IF($D88="","",$D88)</f>
        <v>2</v>
      </c>
      <c r="DK89" s="493"/>
    </row>
    <row r="90" spans="1:115" ht="14.5" customHeight="1" x14ac:dyDescent="0.2">
      <c r="A90" s="390"/>
      <c r="B90" s="457"/>
      <c r="C90" s="79" t="s">
        <v>53</v>
      </c>
      <c r="D90" s="375"/>
      <c r="E90" s="387"/>
      <c r="F90" s="378"/>
      <c r="G90" s="508"/>
      <c r="H90" s="477"/>
      <c r="I90" s="171"/>
      <c r="J90" s="172"/>
      <c r="K90" s="81"/>
      <c r="L90" s="173"/>
      <c r="M90" s="174"/>
      <c r="N90" s="407"/>
      <c r="O90" s="86" t="str">
        <f>IF(OR(AE88="",AE89=""),"",IF(L90&gt;0,ROUND(IF(M90&gt;0,M90,IF(M88&gt;0,ROUND((M88*AE90)/AE88,IF(N88=0,2,IF(N88=0.1,1,0))),IF(M89&gt;0,ROUND((M89*AE90)/AE89,IF(N88=0,2,IF(N88=0.1,1,0))),IF(M90&gt;0,M90,0)))),2),""))</f>
        <v/>
      </c>
      <c r="P90" s="87" t="str">
        <f>IF(I89="Lay",O89*(L89/(L89-1))-O89,IF(I88="Lay",O88*(L88/(L88-1))-O88,IF(OR(L90="",O90=""),"",IF($C90="1/2W",O90/2+O90/2*L90,IF($C90="1/2L",O90/2,(O90*L90-O90)*(1-_xlfn.XLOOKUP(K90,'Fevereiro 2023 - Valor Real'!A3:A15,'Fevereiro 2023 - Valor Real'!C3:C15,0))+O90)))))</f>
        <v/>
      </c>
      <c r="Q90" s="54" t="str">
        <f>IF(K90="","",IF(_xlfn.XLOOKUP(K90,K$11:K80,$DJ$11:DJ80,0,,-1)=DJ90,_xlfn.XLOOKUP(K90,K$11:K80,Q$11:Q80,1,,-1)+1,1))</f>
        <v/>
      </c>
      <c r="R90" s="87" t="str">
        <f>IF(K90="","",_xlfn.XLOOKUP(K90,K$11:K80,R$11:R80,0,,-1)+IF($C90=" ",1,0))</f>
        <v/>
      </c>
      <c r="S90" s="404"/>
      <c r="T90" s="378"/>
      <c r="U90" s="378"/>
      <c r="V90" s="404"/>
      <c r="W90" s="378"/>
      <c r="X90" s="453"/>
      <c r="Y90" s="383"/>
      <c r="Z90" s="384"/>
      <c r="AA90" s="384"/>
      <c r="AB90" s="384"/>
      <c r="AC90" s="384"/>
      <c r="AD90" s="90"/>
      <c r="AE90" s="91" t="str">
        <f>IF(L90="","",(SUM(((L88-1)*(1-_xlfn.XLOOKUP(K88,'Fevereiro 2023 - Valor Real'!A3:A15,'Fevereiro 2023 - Valor Real'!C3:C15,0))+1),((L89-1)*(1-_xlfn.XLOOKUP(K89,'Fevereiro 2023 - Valor Real'!A3:A15,'Fevereiro 2023 - Valor Real'!C3:C15,0))+1),((L90-1)*(1-_xlfn.XLOOKUP(K90,'Fevereiro 2023 - Valor Real'!A3:A15,'Fevereiro 2023 - Valor Real'!C3:C15,0))+1))/((L90-1)*(1-_xlfn.XLOOKUP(K90,'Fevereiro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Real'!C3:C15,0))+1))/((L88-1)*(1-_xlfn.XLOOKUP(K88,'Fevereiro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Real'!C3:C15,0))+1))/((L89-1)*(1-_xlfn.XLOOKUP(K89,'Fevereiro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Real'!C3:C15,0))+1))/((L90-1)*(1-_xlfn.XLOOKUP(K90,'Fevereiro 2023 - Valor Real'!A3:A15,'Fevereiro 2023 - Valor Real'!C3:C15,0))+1)))</f>
        <v/>
      </c>
      <c r="AF90" s="66">
        <f t="shared" si="183"/>
        <v>0</v>
      </c>
      <c r="AG90" s="67">
        <f t="shared" si="183"/>
        <v>0</v>
      </c>
      <c r="AH90" s="67">
        <f t="shared" si="183"/>
        <v>0</v>
      </c>
      <c r="AI90" s="67">
        <f t="shared" si="183"/>
        <v>0</v>
      </c>
      <c r="AJ90" s="67">
        <f t="shared" si="183"/>
        <v>0</v>
      </c>
      <c r="AK90" s="67">
        <f t="shared" si="183"/>
        <v>0</v>
      </c>
      <c r="AL90" s="67">
        <f t="shared" si="183"/>
        <v>0</v>
      </c>
      <c r="AM90" s="67">
        <f t="shared" si="183"/>
        <v>0</v>
      </c>
      <c r="AN90" s="67">
        <f t="shared" si="183"/>
        <v>0</v>
      </c>
      <c r="AO90" s="67">
        <f t="shared" si="183"/>
        <v>0</v>
      </c>
      <c r="AP90" s="67">
        <f t="shared" si="183"/>
        <v>0</v>
      </c>
      <c r="AQ90" s="67">
        <f t="shared" si="183"/>
        <v>0</v>
      </c>
      <c r="AR90" s="68">
        <f t="shared" si="183"/>
        <v>0</v>
      </c>
      <c r="AS90" s="66">
        <f>IF(AND($B88=" ",$K90=AS$3),$O90,0)</f>
        <v>0</v>
      </c>
      <c r="AT90" s="67">
        <f>IF(AND($B88=" ",K90=AT$3),$O90,0)</f>
        <v>0</v>
      </c>
      <c r="AU90" s="67">
        <f t="shared" ref="AU90:BE90" si="193">IF(AND($B88=" ",$K90=AU$3),$O90,0)</f>
        <v>0</v>
      </c>
      <c r="AV90" s="67">
        <f t="shared" si="193"/>
        <v>0</v>
      </c>
      <c r="AW90" s="67">
        <f t="shared" si="193"/>
        <v>0</v>
      </c>
      <c r="AX90" s="67">
        <f t="shared" si="193"/>
        <v>0</v>
      </c>
      <c r="AY90" s="69">
        <f t="shared" si="193"/>
        <v>0</v>
      </c>
      <c r="AZ90" s="70">
        <f t="shared" si="193"/>
        <v>0</v>
      </c>
      <c r="BA90" s="70">
        <f t="shared" si="193"/>
        <v>0</v>
      </c>
      <c r="BB90" s="70">
        <f t="shared" si="193"/>
        <v>0</v>
      </c>
      <c r="BC90" s="71">
        <f t="shared" si="193"/>
        <v>0</v>
      </c>
      <c r="BD90" s="67">
        <f t="shared" si="193"/>
        <v>0</v>
      </c>
      <c r="BE90" s="68">
        <f t="shared" si="193"/>
        <v>0</v>
      </c>
      <c r="BF90" s="66">
        <f t="shared" si="185"/>
        <v>0</v>
      </c>
      <c r="BG90" s="168">
        <f t="shared" si="185"/>
        <v>0</v>
      </c>
      <c r="BH90" s="67">
        <f t="shared" si="185"/>
        <v>0</v>
      </c>
      <c r="BI90" s="67">
        <f t="shared" si="185"/>
        <v>0</v>
      </c>
      <c r="BJ90" s="67">
        <f t="shared" si="185"/>
        <v>0</v>
      </c>
      <c r="BK90" s="67">
        <f t="shared" si="185"/>
        <v>0</v>
      </c>
      <c r="BL90" s="67">
        <f t="shared" si="185"/>
        <v>0</v>
      </c>
      <c r="BM90" s="69">
        <f t="shared" si="185"/>
        <v>0</v>
      </c>
      <c r="BN90" s="70">
        <f t="shared" si="185"/>
        <v>0</v>
      </c>
      <c r="BO90" s="70">
        <f t="shared" si="185"/>
        <v>0</v>
      </c>
      <c r="BP90" s="70">
        <f t="shared" si="185"/>
        <v>0</v>
      </c>
      <c r="BQ90" s="71">
        <f t="shared" si="185"/>
        <v>0</v>
      </c>
      <c r="BR90" s="68">
        <f t="shared" si="185"/>
        <v>0</v>
      </c>
      <c r="BS90" s="491"/>
      <c r="BT90" s="489"/>
      <c r="BU90" s="392"/>
      <c r="BV90" s="489"/>
      <c r="BW90" s="392"/>
      <c r="BX90" s="392"/>
      <c r="BY90" s="392"/>
      <c r="BZ90" s="489"/>
      <c r="CA90" s="392"/>
      <c r="CB90" s="392"/>
      <c r="CC90" s="392"/>
      <c r="CD90" s="401"/>
      <c r="CE90" s="409"/>
      <c r="CF90" s="169">
        <f t="shared" si="131"/>
        <v>0</v>
      </c>
      <c r="CG90" s="170">
        <f t="shared" si="132"/>
        <v>0</v>
      </c>
      <c r="CH90" s="170">
        <f t="shared" si="133"/>
        <v>0</v>
      </c>
      <c r="CI90" s="170">
        <f t="shared" si="134"/>
        <v>0</v>
      </c>
      <c r="CJ90" s="170">
        <f t="shared" si="135"/>
        <v>0</v>
      </c>
      <c r="CK90" s="170">
        <f t="shared" si="136"/>
        <v>0</v>
      </c>
      <c r="CL90" s="170">
        <f t="shared" si="137"/>
        <v>0</v>
      </c>
      <c r="CM90" s="170">
        <f t="shared" si="138"/>
        <v>0</v>
      </c>
      <c r="CN90" s="170">
        <f t="shared" si="139"/>
        <v>0</v>
      </c>
      <c r="CO90" s="170">
        <f t="shared" si="140"/>
        <v>0</v>
      </c>
      <c r="CP90" s="170">
        <f t="shared" si="141"/>
        <v>0</v>
      </c>
      <c r="CQ90" s="170">
        <f t="shared" si="142"/>
        <v>0</v>
      </c>
      <c r="CR90" s="170">
        <f t="shared" si="143"/>
        <v>0</v>
      </c>
      <c r="CS90" s="170">
        <f t="shared" si="144"/>
        <v>0</v>
      </c>
      <c r="CT90" s="75">
        <f t="shared" si="145"/>
        <v>0</v>
      </c>
      <c r="CU90" s="76">
        <f t="shared" si="146"/>
        <v>0</v>
      </c>
      <c r="CV90" s="76">
        <f t="shared" si="147"/>
        <v>0</v>
      </c>
      <c r="CW90" s="76">
        <f t="shared" si="148"/>
        <v>0</v>
      </c>
      <c r="CX90" s="76">
        <f t="shared" si="149"/>
        <v>0</v>
      </c>
      <c r="CY90" s="76">
        <f t="shared" si="150"/>
        <v>0</v>
      </c>
      <c r="CZ90" s="76">
        <f t="shared" si="151"/>
        <v>0</v>
      </c>
      <c r="DA90" s="76">
        <f t="shared" si="152"/>
        <v>0</v>
      </c>
      <c r="DB90" s="76">
        <f t="shared" si="153"/>
        <v>0</v>
      </c>
      <c r="DC90" s="76">
        <f t="shared" si="154"/>
        <v>0</v>
      </c>
      <c r="DD90" s="76">
        <f t="shared" si="155"/>
        <v>0</v>
      </c>
      <c r="DE90" s="77">
        <f t="shared" si="156"/>
        <v>0</v>
      </c>
      <c r="DF90" s="73">
        <f t="shared" si="158"/>
        <v>11</v>
      </c>
      <c r="DG90" s="67">
        <f t="shared" si="159"/>
        <v>14.450000000000001</v>
      </c>
      <c r="DH90" s="76">
        <f t="shared" si="160"/>
        <v>0</v>
      </c>
      <c r="DI90" s="67">
        <f t="shared" si="161"/>
        <v>0</v>
      </c>
      <c r="DJ90" s="202" t="str">
        <f>IF($D88="","",$D88)</f>
        <v>2</v>
      </c>
      <c r="DK90" s="493"/>
    </row>
    <row r="91" spans="1:115" ht="14.5" customHeight="1" x14ac:dyDescent="0.2">
      <c r="A91" s="459">
        <f>$A88+1</f>
        <v>30</v>
      </c>
      <c r="B91" s="507" t="str">
        <f>IF(OR(C91="W",C92="W",C93="W",C91="1/2W",C92="1/2W",C93="1/2W",C91="1/2L",C92="1/2L",C93="1/2L"),"OK",IF(OR(C91="L",C92="L",C93="L"),"LOSS",IF(OR(C91="X",C92="X",C93="X"),"Anulado"," ")))</f>
        <v>OK</v>
      </c>
      <c r="C91" s="93" t="s">
        <v>55</v>
      </c>
      <c r="D91" s="468" t="str">
        <f>IF(G91="","",$D88)</f>
        <v>2</v>
      </c>
      <c r="E91" s="485" t="str">
        <f>IF(G91=""," ","– "&amp;COUNTIF(D$4:D93,$D91))</f>
        <v>– 13</v>
      </c>
      <c r="F91" s="509" t="str">
        <f ca="1">IF(G91="","",IF(OR(AND($C91&lt;&gt;" ",$C92=" "),AND($C92&lt;&gt;" ",$C91=" "),AND(L93&gt;0,OR(AND($C93&lt;&gt;" ",OR($C91=" ",$C92=" ")),AND($C93=" ",OR($C91&lt;&gt;" ",$C92&lt;&gt;" "))))),IF(SUM(F$6:F86)=0,1,LARGE(F$6:F86,1)+1),IF(MONTH(G91)=MONTH(TODAY()),IF(AND(DAY(G91)&lt;DAY(TODAY()),$B91=" "),IF(SUM(F$6:F86)=0,1,LARGE(F$6:F86,1)+1),IF($B91=" ",IF(AND(DAY(G91)=DAY(TODAY()),HOUR(G91)&lt;=HOUR(NOW())+1),IF(AND(HOUR(G91)+2&lt;=HOUR(NOW()),DAY(G91)&lt;=DAY(TODAY()),MINUTE(G91)&lt;=MINUTE(NOW())),IF(SUM(F$6:F86)=0,1,LARGE(F$6:F86,1)+1),IF(OR(MINUTE(G91)&lt;=MINUTE(NOW()),HOUR(G91)&lt;=HOUR(NOW())),"!!!","")),""),"")),"")))</f>
        <v/>
      </c>
      <c r="G91" s="482">
        <f>IF(H91="","",_xlfn.XLOOKUP(H91,$H$4:H90,$G$4:G90,""))</f>
        <v>44987.708333333336</v>
      </c>
      <c r="H91" s="475" t="s">
        <v>82</v>
      </c>
      <c r="I91" s="94" t="s">
        <v>51</v>
      </c>
      <c r="J91" s="95">
        <v>8.5</v>
      </c>
      <c r="K91" s="96" t="s">
        <v>37</v>
      </c>
      <c r="L91" s="97">
        <v>2.1</v>
      </c>
      <c r="M91" s="98"/>
      <c r="N91" s="478">
        <v>0</v>
      </c>
      <c r="O91" s="99">
        <f>IF(OR(AE91="",AE92=""),"",ROUND(IF(L93&gt;0,IF(M91&gt;0,M91,IF(M92&gt;0,ROUND((M92*AE91)/AE92,IF(N91=0,2,IF(N91=0.1,1,0))),ROUND((M93*AE91)/AE93,IF(N91=0,2,IF(N91=0.1,1,0))))),IF(M91&gt;0,M91,ROUND((M92*AE91)/AE92,IF(N91=0,2,IF(N91=0.1,1,0))))),2))</f>
        <v>18.37</v>
      </c>
      <c r="P91" s="100">
        <f>IF(OR(L91="",O91=""),"",IF($C91="1/2W",O91/2+O91/2*L91,IF($C91="1/2L",O91/2,IF(I91="Lay",(O91*(L91/(L91-1))-O91)*(1-_xlfn.XLOOKUP(K91,'Fevereiro 2023 - Valor Real'!A3:A15,'Fevereiro 2023 - Valor Real'!C3:C15,0))+O91,(O91*L91-O91)*(1-_xlfn.XLOOKUP(K91,'Fevereiro 2023 - Valor Real'!A3:A15,'Fevereiro 2023 - Valor Real'!C3:C15,0))+O91))))</f>
        <v>38.577000000000005</v>
      </c>
      <c r="Q91" s="101">
        <f>IF(K91="","",IF(_xlfn.XLOOKUP(K91,K$6:K86,$DJ$6:DJ86,0,,-1)=DJ91,_xlfn.XLOOKUP(K91,K$6:K86,Q$6:Q86,1,,-1)+1,1))</f>
        <v>3</v>
      </c>
      <c r="R91" s="102">
        <f>IF(K91="","",_xlfn.XLOOKUP(K91,K$6:K86,R$6:R86,0,,-1)+IF($C91=" ",1,0))</f>
        <v>0</v>
      </c>
      <c r="S91" s="474">
        <f>IF($B91="Anulado",0,ROUND(IF(OR($B91="LOSS",$B91="OK"),IF(OR($C91="W",$C91="1/2W",$C91="1/2L"),P91-O91,IF($C91="L",-O91,0))+IF(OR($C92="W",$C92="1/2W",$C92="1/2L"),P92-O92,IF($C92="L",-O92,0))+IF(OR($C93="W",$C93="1/2W",$C93="1/2L"),P93-O93,IF($C93="L",-O93,0)),IF(AND(OR($C91="W",$C91="1/2W",$C91="1/2L"),C92="W"),P91+P92-SUM(O91:O93)+_xlfn.XLOOKUP("X",C91:C93,O91:O93,0),IF(AND(C91=TRUE,C93="W"),P91+P93-SUM(O91:O93),IF(AND(C92="W",C93="W"),P92+P93-SUM(O91:O93)+_xlfn.XLOOKUP("X",C91:C93,O91:O93,0),IF(L93&gt;0,IF(OR($C91="W",$C91="1/2W",$C91="1/2L"),P91-SUM(O91:O93)+_xlfn.XLOOKUP("X",C91:C93,O91:O93,0),IF(OR($C91="W",$C91="1/2W",$C91="1/2L"),P92-SUM(O91:O93)+_xlfn.XLOOKUP("X",C91:C93,O91:O93,0),IF(OR($C91="W",$C91="1/2W",$C91="1/2L"),P93-SUM(O91:O93)+_xlfn.XLOOKUP("X",C91:C93,O91:O93,0),IF(SUM(P91:P93)/3-SUM(O91:O93)+_xlfn.XLOOKUP("X",C91:C93,O91:O93,0)&gt;0,SUM(P91:P93)/3-SUM(O91:O93)+_xlfn.XLOOKUP("X",C91:C93,O91:O93,0),LARGE(P91:P93,1)-SUM(O91:O93))))),IF(OR($C91="W",$C91="1/2W",$C91="1/2L"),P91-SUM(O91:O92)+_xlfn.XLOOKUP("X",C91:C93,O91:O93,0),IF(OR($C91="W",$C91="1/2W",$C91="1/2L"),P92-SUM(O91:O92)+_xlfn.XLOOKUP("X",C91:C93,O91:O93,0),SUM(P91:P92)/2-SUM(O91:O92)+_xlfn.XLOOKUP("X",C91:C93,O91:O93,0)))))))),2))</f>
        <v>2.0099999999999998</v>
      </c>
      <c r="T91" s="458">
        <f>IF(S91=0,0,S91/SUM(O91:O93))</f>
        <v>5.4963084495488097E-2</v>
      </c>
      <c r="U91" s="470">
        <f>IF($D91=$D88,IF(OR($B91="LOSS",$B91="OK",$B91="Anulada"),S91,0)+U88,IF(OR($B91="LOSS",$B91="OK",$B91="Anulada"),S91,0))</f>
        <v>26.019999999999996</v>
      </c>
      <c r="V91" s="470">
        <f>IF($D91="",0,IF($D91=$D88,IF($B91=" ",IF(I93="",IF(OR(AND(I91="DNB1",I92="DNB2"),AND(OR(I91="DNB1",I91="DNB2"),J92=0),AND(OR(I92="DNB1",I92="DNB2"),J91=0),AND(I91="DNB2",I92="DNB1"),AND(IF(J91=0,(J91+1)/ROUND(J91+1,0),J91/ROUND(J91,0))=1,IF(J92=0,(J92+1)/ROUND(IF(J92="",0,J92)+1,0),IF(J92="",0,J92)/ROUND(IF(J92="",1,J92),0))=1,OR(J91&lt;&gt;""),J92&lt;&gt;"")),0,IF(S91&lt;0,IF(I93="",SMALL(P91:P92,1)-SUM(O91:O92),0),SMALL(P91:P92,1)-SUM(O91:O92))),IF(S91&lt;0,IF(I93="",SMALL(P91:P93,1)-SUM(O91:O93),0),LARGE(P91:P93,1)-SUM(O91:O93))),S91)+V88,IF(I93="",IF(OR(AND(I91="DNB1",I92="DNB2"),AND(OR(I91="DNB1",I91="DNB2"),J92=0),AND(OR(I92="DNB1",I92="DNB2"),J91=0),AND(I91="DNB2",I92="DNB1"),AND(IF(J91=0,(J91+1)/ROUND(J91+1,0),J91/ROUND(J91,0))=1,IF(J92=0,(IF(J92="",0,J92)+1)/ROUND(IF(J92="",0,J92)+1,0),IF(J92="",0,J92)/ROUND(IF(J92="",0,J92)+1,0))=1,OR(J91&lt;&gt;""),J92&lt;&gt;"")),0,IF(S91&lt;0,IF(I93="",SMALL(P91:P92,1)-SUM(O91:O92),0),SMALL(P91:P93,1)-SUM(O91:O93))),IF(S91&lt;0,IF(I93="",SMALL(P91:P93,1)-SUM(O91:O93),0),LARGE(P91:P93,1)-SUM(O91:O93)))))</f>
        <v>25.96</v>
      </c>
      <c r="W91" s="470">
        <f>IF($D91=$D88,IF(S91&lt;0,IF(I93="",S91,0),S91)+W88,S91)</f>
        <v>26.019999999999996</v>
      </c>
      <c r="X91" s="480" t="str">
        <f>IF(OR(SUM(R91:R93)=0,V91=W91),ROUND(IF(W91=0,0,W91/Y91)*100,2)&amp;"%",ROUND(IF(V91=0,0,V91/Y91)*100,2)&amp;"% a "&amp;ROUND(IF(W91=0,0,W91/Y91)*100,2)&amp;"%")</f>
        <v>4,83%</v>
      </c>
      <c r="Y91" s="471">
        <f>IF($D91=$D88,Y88+SUM(O91:O93),SUM(O91:O93))</f>
        <v>539.05000000000007</v>
      </c>
      <c r="Z91" s="470">
        <f>IF($B91=" ",SUM(O91:O93),0)+Z88</f>
        <v>0</v>
      </c>
      <c r="AA91" s="470">
        <f>IF(G91="","",IF($B91="Anulado",LARGE(P91:P93,1)-SUM(O91:O93)+AA88,AA88))</f>
        <v>0.45899999999999785</v>
      </c>
      <c r="AB91" s="470">
        <f>IF($D91="","",AB88+S91)</f>
        <v>54.66999999999998</v>
      </c>
      <c r="AC91" s="472">
        <f ca="1">IF($D91="","",IF($B91=" ",IF(DAY(G91)=DAY(TODAY()),1+AC88,0+AC88),0+AC88))</f>
        <v>0</v>
      </c>
      <c r="AD91" s="103">
        <f>(((L92/(L92-1)-1)*(1-_xlfn.XLOOKUP(K92,'Fevereiro 2023 - Valor Real'!A3:A15,'Fevereiro 2023 - Valor Real'!C3:C15,0))+1))/(((L91-1)*(1-_xlfn.XLOOKUP(K91,'Fevereiro 2023 - Valor Real'!A3:A15,'Fevereiro 2023 - Valor Real'!C3:C15,0))+1)+((L92/(L92-1)-1)*(1-_xlfn.XLOOKUP(K92,'Fevereiro 2023 - Valor Real'!A3:A15,'Fevereiro 2023 - Valor Real'!C3:C15,0))+1))</f>
        <v>0.4740608228980322</v>
      </c>
      <c r="AE91" s="104">
        <f>IF(L91="","",IF(L93&gt;0,(SUM(((L91-1)*(1-_xlfn.XLOOKUP(K91,'Fevereiro 2023 - Valor Real'!A3:A15,'Fevereiro 2023 - Valor Real'!C3:C15,0))+1),((L92-1)*(1-_xlfn.XLOOKUP(K92,'Fevereiro 2023 - Valor Real'!A3:A15,'Fevereiro 2023 - Valor Real'!C3:C15,0))+1),((L93-1)*(1-_xlfn.XLOOKUP(K93,'Fevereiro 2023 - Valor Real'!A3:A15,'Fevereiro 2023 - Valor Real'!C3:C15,0))+1))/((L91-1)*(1-_xlfn.XLOOKUP(K91,'Fevereiro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Real'!C3:C15,0))+1))/((L91-1)*(1-_xlfn.XLOOKUP(K91,'Fevereiro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Real'!C3:C15,0))+1))/((L92-1)*(1-_xlfn.XLOOKUP(K92,'Fevereiro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Real'!C3:C15,0))+1))/((L93-1)*(1-_xlfn.XLOOKUP(K93,'Fevereiro 2023 - Valor Real'!A3:A15,'Fevereiro 2023 - Valor Real'!C3:C15,0))+1)),IF(I91="Lay",IF(I92="Lay",((L92/(L92-1)-1)*(1-_xlfn.XLOOKUP(K92,'Fevereiro 2023 - Valor Real'!A3:A15,'Fevereiro 2023 - Valor Real'!C3:C15,0))+1)/(((L92/(L92-1)-1)*(1-_xlfn.XLOOKUP(K92,'Fevereiro 2023 - Valor Real'!A3:A15,'Fevereiro 2023 - Valor Real'!C3:C15,0))+1)+((L91/(L91-1)-1)*(1-_xlfn.XLOOKUP(K91,'Fevereiro 2023 - Valor Real'!A3:A15,'Fevereiro 2023 - Valor Real'!C3:C15,0))+1)),((L92-1)*(1-_xlfn.XLOOKUP(K92,'Fevereiro 2023 - Valor Real'!A3:A15,'Fevereiro 2023 - Valor Real'!C3:C15,0))+1)/(((L92-1)*(1-_xlfn.XLOOKUP(K92,'Fevereiro 2023 - Valor Real'!A3:A15,'Fevereiro 2023 - Valor Real'!C3:C15,0))+1)+((L91/(L91-1)-1)*(1-_xlfn.XLOOKUP(K91,'Fevereiro 2023 - Valor Real'!A3:A15,'Fevereiro 2023 - Valor Real'!C3:C15,0))+1))),IF(I92="Lay",(((L92/(L92-1)-1)*(1-_xlfn.XLOOKUP(K92,'Fevereiro 2023 - Valor Real'!A3:A15,'Fevereiro 2023 - Valor Real'!C3:C15,0))+1))/(((L91-1)*(1-_xlfn.XLOOKUP(K91,'Fevereiro 2023 - Valor Real'!A3:A15,'Fevereiro 2023 - Valor Real'!C3:C15,0))+1)+((L92/(L92-1)-1)*(1-_xlfn.XLOOKUP(K92,'Fevereiro 2023 - Valor Real'!A3:A15,'Fevereiro 2023 - Valor Real'!C3:C15,0))+1)),((L92-1)*(1-_xlfn.XLOOKUP(K92,'Fevereiro 2023 - Valor Real'!A3:A15,'Fevereiro 2023 - Valor Real'!C3:C15,0))+1)/(((L92-1)*(1-_xlfn.XLOOKUP(K92,'Fevereiro 2023 - Valor Real'!A3:A15,'Fevereiro 2023 - Valor Real'!C3:C15,0))+1)+((L91-1)*(1-_xlfn.XLOOKUP(K91,'Fevereiro 2023 - Valor Real'!A3:A15,'Fevereiro 2023 - Valor Real'!C3:C15,0))+1))))))</f>
        <v>0.50236966824644547</v>
      </c>
      <c r="AF91" s="105">
        <f t="shared" si="183"/>
        <v>0</v>
      </c>
      <c r="AG91" s="106">
        <f t="shared" si="183"/>
        <v>-18.37</v>
      </c>
      <c r="AH91" s="106">
        <f t="shared" si="183"/>
        <v>0</v>
      </c>
      <c r="AI91" s="106">
        <f t="shared" si="183"/>
        <v>0</v>
      </c>
      <c r="AJ91" s="106">
        <f t="shared" si="183"/>
        <v>0</v>
      </c>
      <c r="AK91" s="106">
        <f t="shared" si="183"/>
        <v>0</v>
      </c>
      <c r="AL91" s="106">
        <f t="shared" si="183"/>
        <v>0</v>
      </c>
      <c r="AM91" s="106">
        <f t="shared" si="183"/>
        <v>0</v>
      </c>
      <c r="AN91" s="106">
        <f t="shared" si="183"/>
        <v>0</v>
      </c>
      <c r="AO91" s="106">
        <f t="shared" si="183"/>
        <v>0</v>
      </c>
      <c r="AP91" s="106">
        <f t="shared" si="183"/>
        <v>0</v>
      </c>
      <c r="AQ91" s="106">
        <f t="shared" si="183"/>
        <v>0</v>
      </c>
      <c r="AR91" s="107">
        <f t="shared" si="183"/>
        <v>0</v>
      </c>
      <c r="AS91" s="105">
        <f t="shared" ref="AS91:BE91" si="194">IF(AND($B91=" ",$K91=AS$3),$O91,0)</f>
        <v>0</v>
      </c>
      <c r="AT91" s="106">
        <f t="shared" si="194"/>
        <v>0</v>
      </c>
      <c r="AU91" s="106">
        <f t="shared" si="194"/>
        <v>0</v>
      </c>
      <c r="AV91" s="106">
        <f t="shared" si="194"/>
        <v>0</v>
      </c>
      <c r="AW91" s="106">
        <f t="shared" si="194"/>
        <v>0</v>
      </c>
      <c r="AX91" s="106">
        <f t="shared" si="194"/>
        <v>0</v>
      </c>
      <c r="AY91" s="108">
        <f t="shared" si="194"/>
        <v>0</v>
      </c>
      <c r="AZ91" s="109">
        <f t="shared" si="194"/>
        <v>0</v>
      </c>
      <c r="BA91" s="109">
        <f t="shared" si="194"/>
        <v>0</v>
      </c>
      <c r="BB91" s="109">
        <f t="shared" si="194"/>
        <v>0</v>
      </c>
      <c r="BC91" s="110">
        <f t="shared" si="194"/>
        <v>0</v>
      </c>
      <c r="BD91" s="106">
        <f t="shared" si="194"/>
        <v>0</v>
      </c>
      <c r="BE91" s="107">
        <f t="shared" si="194"/>
        <v>0</v>
      </c>
      <c r="BF91" s="111">
        <f t="shared" si="185"/>
        <v>0</v>
      </c>
      <c r="BG91" s="106">
        <f t="shared" si="185"/>
        <v>18.37</v>
      </c>
      <c r="BH91" s="106">
        <f t="shared" si="185"/>
        <v>0</v>
      </c>
      <c r="BI91" s="106">
        <f t="shared" si="185"/>
        <v>0</v>
      </c>
      <c r="BJ91" s="106">
        <f t="shared" si="185"/>
        <v>0</v>
      </c>
      <c r="BK91" s="106">
        <f t="shared" si="185"/>
        <v>0</v>
      </c>
      <c r="BL91" s="106">
        <f t="shared" si="185"/>
        <v>0</v>
      </c>
      <c r="BM91" s="108">
        <f t="shared" si="185"/>
        <v>0</v>
      </c>
      <c r="BN91" s="109">
        <f t="shared" si="185"/>
        <v>0</v>
      </c>
      <c r="BO91" s="109">
        <f t="shared" si="185"/>
        <v>0</v>
      </c>
      <c r="BP91" s="109">
        <f t="shared" si="185"/>
        <v>0</v>
      </c>
      <c r="BQ91" s="110">
        <f t="shared" si="185"/>
        <v>0</v>
      </c>
      <c r="BR91" s="107">
        <f t="shared" si="185"/>
        <v>0</v>
      </c>
      <c r="BS91" s="463">
        <f>IF($B91="LOSS",IF(AND($K91=BS$3,$C91="L"),-$O91,0)+IF(AND($K92=BS$3,$C92="L"),-$O92,0)+IF(AND($K93=BS$3,$C93="L"),-$O93,0),IF(OR(AND($K91=BS$3,OR($C91="W",$C91="1/2W")),AND($K92=BS$3,OR($C92="W",$C92="1/2W")),AND($K93=BS$3,OR($C93="W",$C93="1/2W"))),$S91,0))</f>
        <v>0</v>
      </c>
      <c r="BT91" s="462">
        <f>IF($B91="LOSS",IF(AND($K91=BT$3,$C91="L"),-$O91,0)+IF(AND($K92=BT$3,$C92="L"),-$O92,0)+IF(AND($K92=BT$3,$C93="L"),-$O93,0),IF(OR(AND($K92=BT$3,OR($C91="W",$C91="1/2W")),AND($K92=BT$3,OR($C92="W",$C92="1/2W")),AND($K92=BT$3,OR($C93="W",$C93="1/2W"))),$S91,0))</f>
        <v>0</v>
      </c>
      <c r="BU91" s="462">
        <f>IF($B91="LOSS",IF(AND($K91=BU$3,$C91="L"),-$O91,0)+IF(AND($K92=BU$3,$C92="L"),-$O92,0)+IF(AND($K92=BU$3,$C93="L"),-$O93,0),IF(OR(AND($K92=BU$3,OR($C91="W",$C91="1/2W")),AND($K92=BU$3,OR($C92="W",$C92="1/2W")),AND($K92=BU$3,OR($C93="W",$C93="1/2W"))),$S91,0))</f>
        <v>0</v>
      </c>
      <c r="BV91" s="462">
        <f t="shared" ref="BV91:CE91" si="195">IF($B91="LOSS",IF(AND($K91=BV$3,$C91="L"),-$O91,0)+IF(AND($K92=BV$3,$C92="L"),-$O92,0)+IF(AND($K93=BV$3,$C93="L"),-$O93,0),IF(OR(AND($K91=BV$3,OR($C91="W",$C91="1/2W")),AND($K92=BV$3,OR($C92="W",$C92="1/2W")),AND($K93=BV$3,OR($C93="W",$C93="1/2W"))),$S91,0))</f>
        <v>0</v>
      </c>
      <c r="BW91" s="462">
        <f t="shared" si="195"/>
        <v>0</v>
      </c>
      <c r="BX91" s="462">
        <f t="shared" si="195"/>
        <v>0</v>
      </c>
      <c r="BY91" s="462">
        <f t="shared" si="195"/>
        <v>0</v>
      </c>
      <c r="BZ91" s="460">
        <f t="shared" si="195"/>
        <v>0</v>
      </c>
      <c r="CA91" s="460">
        <f t="shared" si="195"/>
        <v>0</v>
      </c>
      <c r="CB91" s="460">
        <f t="shared" si="195"/>
        <v>0</v>
      </c>
      <c r="CC91" s="460">
        <f t="shared" si="195"/>
        <v>0</v>
      </c>
      <c r="CD91" s="473">
        <f t="shared" si="195"/>
        <v>2.0099999999999998</v>
      </c>
      <c r="CE91" s="479">
        <f t="shared" si="195"/>
        <v>0</v>
      </c>
      <c r="CF91" s="113">
        <f t="shared" si="131"/>
        <v>0</v>
      </c>
      <c r="CG91" s="114">
        <f t="shared" si="132"/>
        <v>0</v>
      </c>
      <c r="CH91" s="114">
        <f t="shared" si="133"/>
        <v>0</v>
      </c>
      <c r="CI91" s="114">
        <f t="shared" si="134"/>
        <v>1</v>
      </c>
      <c r="CJ91" s="114">
        <f t="shared" si="135"/>
        <v>0</v>
      </c>
      <c r="CK91" s="114">
        <f t="shared" si="136"/>
        <v>0</v>
      </c>
      <c r="CL91" s="114">
        <f t="shared" si="137"/>
        <v>0</v>
      </c>
      <c r="CM91" s="114">
        <f t="shared" si="138"/>
        <v>0</v>
      </c>
      <c r="CN91" s="114">
        <f t="shared" si="139"/>
        <v>0</v>
      </c>
      <c r="CO91" s="114">
        <f t="shared" si="140"/>
        <v>0</v>
      </c>
      <c r="CP91" s="114">
        <f t="shared" si="141"/>
        <v>0</v>
      </c>
      <c r="CQ91" s="114">
        <f t="shared" si="142"/>
        <v>0</v>
      </c>
      <c r="CR91" s="114">
        <f t="shared" si="143"/>
        <v>0</v>
      </c>
      <c r="CS91" s="114">
        <f t="shared" si="144"/>
        <v>0</v>
      </c>
      <c r="CT91" s="115">
        <f t="shared" si="145"/>
        <v>0</v>
      </c>
      <c r="CU91" s="116">
        <f t="shared" si="146"/>
        <v>0</v>
      </c>
      <c r="CV91" s="116">
        <f t="shared" si="147"/>
        <v>0</v>
      </c>
      <c r="CW91" s="116">
        <f t="shared" si="148"/>
        <v>0</v>
      </c>
      <c r="CX91" s="116">
        <f t="shared" si="149"/>
        <v>0</v>
      </c>
      <c r="CY91" s="116">
        <f t="shared" si="150"/>
        <v>0</v>
      </c>
      <c r="CZ91" s="116">
        <f t="shared" si="151"/>
        <v>0</v>
      </c>
      <c r="DA91" s="116">
        <f t="shared" si="152"/>
        <v>0</v>
      </c>
      <c r="DB91" s="116">
        <f t="shared" si="153"/>
        <v>0</v>
      </c>
      <c r="DC91" s="116">
        <f t="shared" si="154"/>
        <v>0</v>
      </c>
      <c r="DD91" s="116">
        <f t="shared" si="155"/>
        <v>0</v>
      </c>
      <c r="DE91" s="117">
        <f t="shared" si="156"/>
        <v>0</v>
      </c>
      <c r="DF91" s="118">
        <f t="shared" si="158"/>
        <v>11</v>
      </c>
      <c r="DG91" s="106">
        <f t="shared" si="159"/>
        <v>14.450000000000001</v>
      </c>
      <c r="DH91" s="116">
        <f t="shared" si="160"/>
        <v>0</v>
      </c>
      <c r="DI91" s="106">
        <f t="shared" si="161"/>
        <v>0</v>
      </c>
      <c r="DJ91" s="201" t="str">
        <f>IF($D91="","",$D91)</f>
        <v>2</v>
      </c>
      <c r="DK91" s="465">
        <f>IF(AND($B91=" ",$D91&lt;&gt;""),1,0)</f>
        <v>0</v>
      </c>
    </row>
    <row r="92" spans="1:115" ht="14.5" customHeight="1" x14ac:dyDescent="0.2">
      <c r="A92" s="389"/>
      <c r="B92" s="456"/>
      <c r="C92" s="120" t="s">
        <v>54</v>
      </c>
      <c r="D92" s="374"/>
      <c r="E92" s="386"/>
      <c r="F92" s="377"/>
      <c r="G92" s="483"/>
      <c r="H92" s="476"/>
      <c r="I92" s="121" t="s">
        <v>52</v>
      </c>
      <c r="J92" s="122">
        <f>IF(OR(I91="TO",I91="TU",I91="TO1",I91="TU1",I91="TO2",I91="TU2"),J91,IF(OR(I91="AH1",I91="AH2"),IF(OR(I92="AH1",I92="AH2"),-J91,IF(OR(I92="EH1",I92="EH2"),-J91+0.5,"")),IF(OR(I91="EH1",I91="EH2"),IF(OR(I92="AH1",I92="AH2"),-J91+0.5,IF(OR(I92="EH1",I92="EH2"),-J91+1,"")),IF(AND(OR(I91="DNB1",I91="DNB2"),OR(I92="AH1",I92="AH2")),0,IF(AND(I91="Not ScoreBoth",OR(I92="TO1",I92="TO2")),0.5,"")))))</f>
        <v>8.5</v>
      </c>
      <c r="K92" s="123" t="s">
        <v>47</v>
      </c>
      <c r="L92" s="124">
        <v>2.12</v>
      </c>
      <c r="M92" s="125">
        <v>18.2</v>
      </c>
      <c r="N92" s="406"/>
      <c r="O92" s="126">
        <f>IF(OR(AE91="",AE92=""),"",ROUND(IF(L93&gt;0,IF(M92&gt;0,M92,IF(M91&gt;0,IF(N91=TRUE,ROUND((M91*AE92)/AE91,0),(M91*AE92)/AE91),IF(M92&gt;0,ROUND(M92,IF(N91=0,2,IF(N91=0.1,1,0))),IF(M93&gt;0,ROUND(O93*AE92/AE93,IF(N91=0,2,IF(N91=0.1,1,0))),0)))),IF(M92&gt;0,M92,ROUND((M91*AE92)/AE91,IF(N91=0,2,IF(N91=0.1,1,0))))),2))</f>
        <v>18.2</v>
      </c>
      <c r="P92" s="127">
        <f>IF(OR(L92="",O92=""),"",IF($C92="1/2W",O92/2+O92/2*L92,IF($C92="1/2L",O92/2,IF(I92="Lay",((O92*(L92/(L92-1)))-O92)*(1-_xlfn.XLOOKUP(K92,'Fevereiro 2023 - Valor Real'!A3:A15,'Fevereiro 2023 - Valor Real'!C3:C15,0))+O92,(O92*L92-O92)*(1-_xlfn.XLOOKUP(K92,'Fevereiro 2023 - Valor Real'!A3:A15,'Fevereiro 2023 - Valor Real'!C3:C15,0))+O92))))</f>
        <v>38.584000000000003</v>
      </c>
      <c r="Q92" s="128">
        <f>IF(K92="","",IF(_xlfn.XLOOKUP(K92,K$7:K86,$DJ$7:DJ86,0,,-1)=DJ92,_xlfn.XLOOKUP(K92,K$7:K86,Q$7:Q86,1,,-1)+1,1))</f>
        <v>6</v>
      </c>
      <c r="R92" s="129">
        <f>IF(K92="","",_xlfn.XLOOKUP(K92,K$7:K86,R$7:R86,0,,-1)+IF($C92=" ",1,0))</f>
        <v>0</v>
      </c>
      <c r="S92" s="403"/>
      <c r="T92" s="380"/>
      <c r="U92" s="380"/>
      <c r="V92" s="481"/>
      <c r="W92" s="380"/>
      <c r="X92" s="452"/>
      <c r="Y92" s="383"/>
      <c r="Z92" s="384"/>
      <c r="AA92" s="384"/>
      <c r="AB92" s="384"/>
      <c r="AC92" s="384"/>
      <c r="AD92" s="130">
        <f>(((L92/(L92-1)-1)*(1-_xlfn.XLOOKUP(K92,'Fevereiro 2023 - Valor Real'!A3:A15,'Fevereiro 2023 - Valor Real'!C3:C15,0))+1))</f>
        <v>1.8928571428571428</v>
      </c>
      <c r="AE92" s="131">
        <f>IF(L92="","",IF(L93&gt;0,(SUM(((L91-1)*(1-_xlfn.XLOOKUP(K91,'Fevereiro 2023 - Valor Real'!A3:A15,'Fevereiro 2023 - Valor Real'!C3:C15,0))+1),((L92-1)*(1-_xlfn.XLOOKUP(K92,'Fevereiro 2023 - Valor Real'!A3:A15,'Fevereiro 2023 - Valor Real'!C3:C15,0))+1),((L93-1)*(1-_xlfn.XLOOKUP(K93,'Fevereiro 2023 - Valor Real'!A3:A15,'Fevereiro 2023 - Valor Real'!C3:C15,0))+1))/((L92-1)*(1-_xlfn.XLOOKUP(K92,'Fevereiro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Real'!C3:C15,0))+1))/((L91-1)*(1-_xlfn.XLOOKUP(K91,'Fevereiro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Real'!C3:C15,0))+1))/((L92-1)*(1-_xlfn.XLOOKUP(K92,'Fevereiro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Real'!C3:C15,0))+1))/((L93-1)*(1-_xlfn.XLOOKUP(K93,'Fevereiro 2023 - Valor Real'!A3:A15,'Fevereiro 2023 - Valor Real'!C3:C15,0))+1)),IF(I92="Lay",IF(I91="Lay",((L91/(L91-1)-1)*(1-_xlfn.XLOOKUP(K91,'Fevereiro 2023 - Valor Real'!A3:A15,'Fevereiro 2023 - Valor Real'!C3:C15,0))+1)/(((L91/(L91-1)-1)*(1-_xlfn.XLOOKUP(K91,'Fevereiro 2023 - Valor Real'!A3:A15,'Fevereiro 2023 - Valor Real'!C3:C15,0))+1)+((L92/(L92-1)-1)*(1-_xlfn.XLOOKUP(K92,'Fevereiro 2023 - Valor Real'!A3:A15,'Fevereiro 2023 - Valor Real'!C3:C15,0))+1)),((L91-1)*(1-_xlfn.XLOOKUP(K91,'Fevereiro 2023 - Valor Real'!A3:A15,'Fevereiro 2023 - Valor Real'!C3:C15,0))+1)/(((L91-1)*(1-_xlfn.XLOOKUP(K91,'Fevereiro 2023 - Valor Real'!A3:A15,'Fevereiro 2023 - Valor Real'!C3:C15,0))+1)+((L92/(L92-1)-1)*(1-_xlfn.XLOOKUP(K92,'Fevereiro 2023 - Valor Real'!A3:A15,'Fevereiro 2023 - Valor Real'!C3:C15,0))+1))),IF(I91="Lay",((L91/(L91-1)-1)*(1-_xlfn.XLOOKUP(K91,'Fevereiro 2023 - Valor Real'!A3:A15,'Fevereiro 2023 - Valor Real'!C3:C15,0))+1)/((((L91/(L91-1)-1)*(1-_xlfn.XLOOKUP(K91,'Fevereiro 2023 - Valor Real'!A3:A15,'Fevereiro 2023 - Valor Real'!C3:C15,0))+1))+((L92-1)*(1-_xlfn.XLOOKUP(K92,'Fevereiro 2023 - Valor Real'!A3:A15,'Fevereiro 2023 - Valor Real'!C3:C15,0))+1)),((L91-1)*(1-_xlfn.XLOOKUP(K91,'Fevereiro 2023 - Valor Real'!A3:A15,'Fevereiro 2023 - Valor Real'!C3:C15,0))+1)/(((L91-1)*(1-_xlfn.XLOOKUP(K91,'Fevereiro 2023 - Valor Real'!A3:A15,'Fevereiro 2023 - Valor Real'!C3:C15,0))+1)+((L92-1)*(1-_xlfn.XLOOKUP(K92,'Fevereiro 2023 - Valor Real'!A3:A15,'Fevereiro 2023 - Valor Real'!C3:C15,0))+1))))))</f>
        <v>0.49763033175355442</v>
      </c>
      <c r="AF92" s="105">
        <f t="shared" si="183"/>
        <v>0</v>
      </c>
      <c r="AG92" s="106">
        <f t="shared" si="183"/>
        <v>0</v>
      </c>
      <c r="AH92" s="106">
        <f t="shared" si="183"/>
        <v>0</v>
      </c>
      <c r="AI92" s="106">
        <f t="shared" si="183"/>
        <v>0</v>
      </c>
      <c r="AJ92" s="106">
        <f t="shared" si="183"/>
        <v>0</v>
      </c>
      <c r="AK92" s="106">
        <f t="shared" si="183"/>
        <v>0</v>
      </c>
      <c r="AL92" s="106">
        <f t="shared" si="183"/>
        <v>0</v>
      </c>
      <c r="AM92" s="106">
        <f t="shared" si="183"/>
        <v>0</v>
      </c>
      <c r="AN92" s="106">
        <f t="shared" si="183"/>
        <v>0</v>
      </c>
      <c r="AO92" s="106">
        <f t="shared" si="183"/>
        <v>0</v>
      </c>
      <c r="AP92" s="106">
        <f t="shared" si="183"/>
        <v>0</v>
      </c>
      <c r="AQ92" s="106">
        <f t="shared" si="183"/>
        <v>20.38</v>
      </c>
      <c r="AR92" s="107">
        <f t="shared" si="183"/>
        <v>0</v>
      </c>
      <c r="AS92" s="105">
        <f>IF(AND($B91=" ",$K92=AS$3),$O92,0)</f>
        <v>0</v>
      </c>
      <c r="AT92" s="106">
        <f>IF(AND($B91=" ",K92=AT$3),$O92,0)</f>
        <v>0</v>
      </c>
      <c r="AU92" s="106">
        <f t="shared" ref="AU92:BE92" si="196">IF(AND($B91=" ",$K92=AU$3),$O92,0)</f>
        <v>0</v>
      </c>
      <c r="AV92" s="106">
        <f t="shared" si="196"/>
        <v>0</v>
      </c>
      <c r="AW92" s="106">
        <f t="shared" si="196"/>
        <v>0</v>
      </c>
      <c r="AX92" s="106">
        <f t="shared" si="196"/>
        <v>0</v>
      </c>
      <c r="AY92" s="108">
        <f t="shared" si="196"/>
        <v>0</v>
      </c>
      <c r="AZ92" s="109">
        <f t="shared" si="196"/>
        <v>0</v>
      </c>
      <c r="BA92" s="109">
        <f t="shared" si="196"/>
        <v>0</v>
      </c>
      <c r="BB92" s="109">
        <f t="shared" si="196"/>
        <v>0</v>
      </c>
      <c r="BC92" s="110">
        <f t="shared" si="196"/>
        <v>0</v>
      </c>
      <c r="BD92" s="106">
        <f t="shared" si="196"/>
        <v>0</v>
      </c>
      <c r="BE92" s="107">
        <f t="shared" si="196"/>
        <v>0</v>
      </c>
      <c r="BF92" s="105">
        <f t="shared" si="185"/>
        <v>0</v>
      </c>
      <c r="BG92" s="106">
        <f t="shared" si="185"/>
        <v>0</v>
      </c>
      <c r="BH92" s="106">
        <f t="shared" si="185"/>
        <v>0</v>
      </c>
      <c r="BI92" s="106">
        <f t="shared" si="185"/>
        <v>0</v>
      </c>
      <c r="BJ92" s="106">
        <f t="shared" si="185"/>
        <v>0</v>
      </c>
      <c r="BK92" s="106">
        <f t="shared" si="185"/>
        <v>0</v>
      </c>
      <c r="BL92" s="106">
        <f t="shared" si="185"/>
        <v>0</v>
      </c>
      <c r="BM92" s="132">
        <f t="shared" si="185"/>
        <v>0</v>
      </c>
      <c r="BN92" s="112">
        <f t="shared" si="185"/>
        <v>0</v>
      </c>
      <c r="BO92" s="112">
        <f t="shared" si="185"/>
        <v>0</v>
      </c>
      <c r="BP92" s="112">
        <f t="shared" si="185"/>
        <v>0</v>
      </c>
      <c r="BQ92" s="110">
        <f t="shared" si="185"/>
        <v>18.2</v>
      </c>
      <c r="BR92" s="107">
        <f t="shared" si="185"/>
        <v>0</v>
      </c>
      <c r="BS92" s="464"/>
      <c r="BT92" s="461"/>
      <c r="BU92" s="392"/>
      <c r="BV92" s="461"/>
      <c r="BW92" s="392"/>
      <c r="BX92" s="392"/>
      <c r="BY92" s="392"/>
      <c r="BZ92" s="461"/>
      <c r="CA92" s="392"/>
      <c r="CB92" s="392"/>
      <c r="CC92" s="392"/>
      <c r="CD92" s="401"/>
      <c r="CE92" s="409"/>
      <c r="CF92" s="133">
        <f t="shared" si="131"/>
        <v>0</v>
      </c>
      <c r="CG92" s="134">
        <f t="shared" si="132"/>
        <v>0</v>
      </c>
      <c r="CH92" s="134">
        <f t="shared" si="133"/>
        <v>0</v>
      </c>
      <c r="CI92" s="134">
        <f t="shared" si="134"/>
        <v>0</v>
      </c>
      <c r="CJ92" s="134">
        <f t="shared" si="135"/>
        <v>0</v>
      </c>
      <c r="CK92" s="134">
        <f t="shared" si="136"/>
        <v>0</v>
      </c>
      <c r="CL92" s="134">
        <f t="shared" si="137"/>
        <v>0</v>
      </c>
      <c r="CM92" s="134">
        <f t="shared" si="138"/>
        <v>0</v>
      </c>
      <c r="CN92" s="134">
        <f t="shared" si="139"/>
        <v>0</v>
      </c>
      <c r="CO92" s="134">
        <f t="shared" si="140"/>
        <v>0</v>
      </c>
      <c r="CP92" s="134">
        <f t="shared" si="141"/>
        <v>0</v>
      </c>
      <c r="CQ92" s="134">
        <f t="shared" si="142"/>
        <v>0</v>
      </c>
      <c r="CR92" s="134">
        <f t="shared" si="143"/>
        <v>0</v>
      </c>
      <c r="CS92" s="134">
        <f t="shared" si="144"/>
        <v>0</v>
      </c>
      <c r="CT92" s="115">
        <f t="shared" si="145"/>
        <v>0</v>
      </c>
      <c r="CU92" s="116">
        <f t="shared" si="146"/>
        <v>0</v>
      </c>
      <c r="CV92" s="116">
        <f t="shared" si="147"/>
        <v>0</v>
      </c>
      <c r="CW92" s="116">
        <f t="shared" si="148"/>
        <v>0</v>
      </c>
      <c r="CX92" s="116">
        <f t="shared" si="149"/>
        <v>0</v>
      </c>
      <c r="CY92" s="116">
        <f t="shared" si="150"/>
        <v>0</v>
      </c>
      <c r="CZ92" s="116">
        <f t="shared" si="151"/>
        <v>0</v>
      </c>
      <c r="DA92" s="116">
        <f t="shared" si="152"/>
        <v>0</v>
      </c>
      <c r="DB92" s="116">
        <f t="shared" si="153"/>
        <v>1</v>
      </c>
      <c r="DC92" s="116">
        <f t="shared" si="154"/>
        <v>0</v>
      </c>
      <c r="DD92" s="116">
        <f t="shared" si="155"/>
        <v>0</v>
      </c>
      <c r="DE92" s="117">
        <f t="shared" si="156"/>
        <v>0</v>
      </c>
      <c r="DF92" s="118">
        <f t="shared" si="158"/>
        <v>11</v>
      </c>
      <c r="DG92" s="106">
        <f t="shared" si="159"/>
        <v>14.450000000000001</v>
      </c>
      <c r="DH92" s="116">
        <f t="shared" si="160"/>
        <v>0</v>
      </c>
      <c r="DI92" s="106">
        <f t="shared" si="161"/>
        <v>0</v>
      </c>
      <c r="DJ92" s="201" t="str">
        <f>IF($D91="","",$D91)</f>
        <v>2</v>
      </c>
      <c r="DK92" s="466"/>
    </row>
    <row r="93" spans="1:115" ht="14.5" customHeight="1" x14ac:dyDescent="0.2">
      <c r="A93" s="390"/>
      <c r="B93" s="457"/>
      <c r="C93" s="135" t="s">
        <v>53</v>
      </c>
      <c r="D93" s="375"/>
      <c r="E93" s="387"/>
      <c r="F93" s="378"/>
      <c r="G93" s="484"/>
      <c r="H93" s="477"/>
      <c r="I93" s="136"/>
      <c r="J93" s="137"/>
      <c r="K93" s="138"/>
      <c r="L93" s="139"/>
      <c r="M93" s="140"/>
      <c r="N93" s="407"/>
      <c r="O93" s="141" t="str">
        <f>IF(OR(AE91="",AE92=""),"",IF(L93&gt;0,ROUND(IF(M93&gt;0,M93,IF(M91&gt;0,ROUND((M91*AE93)/AE91,IF(N91=0,2,IF(N91=0.1,1,0))),IF(M92&gt;0,ROUND((M92*AE93)/AE92,IF(N91=0,2,IF(N91=0.1,1,0))),IF(M93&gt;0,M93,0)))),2),""))</f>
        <v/>
      </c>
      <c r="P93" s="142" t="str">
        <f>IF(I92="Lay",O92*(L92/(L92-1))-O92,IF(I91="Lay",O91*(L91/(L91-1))-O91,IF(OR(L93="",O93=""),"",IF($C93="1/2W",O93/2+O93/2*L93,IF($C93="1/2L",O93/2,(O93*L93-O93)*(1-_xlfn.XLOOKUP(K93,'Fevereiro 2023 - Valor Real'!A3:A15,'Fevereiro 2023 - Valor Real'!C3:C15,0))+O93)))))</f>
        <v/>
      </c>
      <c r="Q93" s="143" t="str">
        <f>IF(K93="","",IF(_xlfn.XLOOKUP(K93,K$8:K86,$DJ$8:DJ86,0,,-1)=DJ93,_xlfn.XLOOKUP(K93,K$8:K86,Q$8:Q86,1,,-1)+1,1))</f>
        <v/>
      </c>
      <c r="R93" s="144" t="str">
        <f>IF(K93="","",_xlfn.XLOOKUP(K93,K$8:K86,R$8:R86,0,,-1)+IF($C93=" ",1,0))</f>
        <v/>
      </c>
      <c r="S93" s="404"/>
      <c r="T93" s="378"/>
      <c r="U93" s="378"/>
      <c r="V93" s="404"/>
      <c r="W93" s="378"/>
      <c r="X93" s="453"/>
      <c r="Y93" s="383"/>
      <c r="Z93" s="384"/>
      <c r="AA93" s="384"/>
      <c r="AB93" s="384"/>
      <c r="AC93" s="384"/>
      <c r="AD93" s="145">
        <f>((L92/(L92-1)-1))</f>
        <v>0.89285714285714279</v>
      </c>
      <c r="AE93" s="146" t="str">
        <f>IF(L93="","",(SUM(((L91-1)*(1-_xlfn.XLOOKUP(K91,'Fevereiro 2023 - Valor Real'!A3:A15,'Fevereiro 2023 - Valor Real'!C3:C15,0))+1),((L92-1)*(1-_xlfn.XLOOKUP(K92,'Fevereiro 2023 - Valor Real'!A3:A15,'Fevereiro 2023 - Valor Real'!C3:C15,0))+1),((L93-1)*(1-_xlfn.XLOOKUP(K93,'Fevereiro 2023 - Valor Real'!A3:A15,'Fevereiro 2023 - Valor Real'!C3:C15,0))+1))/((L93-1)*(1-_xlfn.XLOOKUP(K93,'Fevereiro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Real'!C3:C15,0))+1))/((L91-1)*(1-_xlfn.XLOOKUP(K91,'Fevereiro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Real'!C3:C15,0))+1))/((L92-1)*(1-_xlfn.XLOOKUP(K92,'Fevereiro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Real'!C3:C15,0))+1))/((L93-1)*(1-_xlfn.XLOOKUP(K93,'Fevereiro 2023 - Valor Real'!A3:A15,'Fevereiro 2023 - Valor Real'!C3:C15,0))+1)))</f>
        <v/>
      </c>
      <c r="AF93" s="105">
        <f t="shared" si="183"/>
        <v>0</v>
      </c>
      <c r="AG93" s="106">
        <f t="shared" si="183"/>
        <v>0</v>
      </c>
      <c r="AH93" s="106">
        <f t="shared" si="183"/>
        <v>0</v>
      </c>
      <c r="AI93" s="106">
        <f t="shared" si="183"/>
        <v>0</v>
      </c>
      <c r="AJ93" s="106">
        <f t="shared" si="183"/>
        <v>0</v>
      </c>
      <c r="AK93" s="106">
        <f t="shared" si="183"/>
        <v>0</v>
      </c>
      <c r="AL93" s="106">
        <f t="shared" si="183"/>
        <v>0</v>
      </c>
      <c r="AM93" s="106">
        <f t="shared" si="183"/>
        <v>0</v>
      </c>
      <c r="AN93" s="106">
        <f t="shared" si="183"/>
        <v>0</v>
      </c>
      <c r="AO93" s="106">
        <f t="shared" si="183"/>
        <v>0</v>
      </c>
      <c r="AP93" s="106">
        <f t="shared" si="183"/>
        <v>0</v>
      </c>
      <c r="AQ93" s="106">
        <f t="shared" si="183"/>
        <v>0</v>
      </c>
      <c r="AR93" s="107">
        <f t="shared" si="183"/>
        <v>0</v>
      </c>
      <c r="AS93" s="105">
        <f>IF(AND($B91=" ",$K93=AS$3),$O93,0)</f>
        <v>0</v>
      </c>
      <c r="AT93" s="106">
        <f>IF(AND($B91=" ",K93=AT$3),$O93,0)</f>
        <v>0</v>
      </c>
      <c r="AU93" s="106">
        <f t="shared" ref="AU93:BE93" si="197">IF(AND($B91=" ",$K93=AU$3),$O93,0)</f>
        <v>0</v>
      </c>
      <c r="AV93" s="106">
        <f t="shared" si="197"/>
        <v>0</v>
      </c>
      <c r="AW93" s="106">
        <f t="shared" si="197"/>
        <v>0</v>
      </c>
      <c r="AX93" s="106">
        <f t="shared" si="197"/>
        <v>0</v>
      </c>
      <c r="AY93" s="108">
        <f t="shared" si="197"/>
        <v>0</v>
      </c>
      <c r="AZ93" s="109">
        <f t="shared" si="197"/>
        <v>0</v>
      </c>
      <c r="BA93" s="109">
        <f t="shared" si="197"/>
        <v>0</v>
      </c>
      <c r="BB93" s="109">
        <f t="shared" si="197"/>
        <v>0</v>
      </c>
      <c r="BC93" s="110">
        <f t="shared" si="197"/>
        <v>0</v>
      </c>
      <c r="BD93" s="106">
        <f t="shared" si="197"/>
        <v>0</v>
      </c>
      <c r="BE93" s="107">
        <f t="shared" si="197"/>
        <v>0</v>
      </c>
      <c r="BF93" s="105">
        <f t="shared" si="185"/>
        <v>0</v>
      </c>
      <c r="BG93" s="106">
        <f t="shared" si="185"/>
        <v>0</v>
      </c>
      <c r="BH93" s="106">
        <f t="shared" si="185"/>
        <v>0</v>
      </c>
      <c r="BI93" s="106">
        <f t="shared" si="185"/>
        <v>0</v>
      </c>
      <c r="BJ93" s="106">
        <f t="shared" si="185"/>
        <v>0</v>
      </c>
      <c r="BK93" s="106">
        <f t="shared" si="185"/>
        <v>0</v>
      </c>
      <c r="BL93" s="106">
        <f t="shared" si="185"/>
        <v>0</v>
      </c>
      <c r="BM93" s="108">
        <f t="shared" si="185"/>
        <v>0</v>
      </c>
      <c r="BN93" s="109">
        <f t="shared" si="185"/>
        <v>0</v>
      </c>
      <c r="BO93" s="109">
        <f t="shared" si="185"/>
        <v>0</v>
      </c>
      <c r="BP93" s="109">
        <f t="shared" si="185"/>
        <v>0</v>
      </c>
      <c r="BQ93" s="110">
        <f t="shared" si="185"/>
        <v>0</v>
      </c>
      <c r="BR93" s="107">
        <f t="shared" si="185"/>
        <v>0</v>
      </c>
      <c r="BS93" s="464"/>
      <c r="BT93" s="461"/>
      <c r="BU93" s="392"/>
      <c r="BV93" s="461"/>
      <c r="BW93" s="392"/>
      <c r="BX93" s="392"/>
      <c r="BY93" s="392"/>
      <c r="BZ93" s="461"/>
      <c r="CA93" s="392"/>
      <c r="CB93" s="392"/>
      <c r="CC93" s="392"/>
      <c r="CD93" s="401"/>
      <c r="CE93" s="409"/>
      <c r="CF93" s="133">
        <f t="shared" si="131"/>
        <v>0</v>
      </c>
      <c r="CG93" s="134">
        <f t="shared" si="132"/>
        <v>0</v>
      </c>
      <c r="CH93" s="134">
        <f t="shared" si="133"/>
        <v>0</v>
      </c>
      <c r="CI93" s="134">
        <f t="shared" si="134"/>
        <v>0</v>
      </c>
      <c r="CJ93" s="134">
        <f t="shared" si="135"/>
        <v>0</v>
      </c>
      <c r="CK93" s="134">
        <f t="shared" si="136"/>
        <v>0</v>
      </c>
      <c r="CL93" s="134">
        <f t="shared" si="137"/>
        <v>0</v>
      </c>
      <c r="CM93" s="134">
        <f t="shared" si="138"/>
        <v>0</v>
      </c>
      <c r="CN93" s="134">
        <f t="shared" si="139"/>
        <v>0</v>
      </c>
      <c r="CO93" s="134">
        <f t="shared" si="140"/>
        <v>0</v>
      </c>
      <c r="CP93" s="134">
        <f t="shared" si="141"/>
        <v>0</v>
      </c>
      <c r="CQ93" s="134">
        <f t="shared" si="142"/>
        <v>0</v>
      </c>
      <c r="CR93" s="134">
        <f t="shared" si="143"/>
        <v>0</v>
      </c>
      <c r="CS93" s="134">
        <f t="shared" si="144"/>
        <v>0</v>
      </c>
      <c r="CT93" s="115">
        <f t="shared" si="145"/>
        <v>0</v>
      </c>
      <c r="CU93" s="116">
        <f t="shared" si="146"/>
        <v>0</v>
      </c>
      <c r="CV93" s="116">
        <f t="shared" si="147"/>
        <v>0</v>
      </c>
      <c r="CW93" s="116">
        <f t="shared" si="148"/>
        <v>0</v>
      </c>
      <c r="CX93" s="116">
        <f t="shared" si="149"/>
        <v>0</v>
      </c>
      <c r="CY93" s="116">
        <f t="shared" si="150"/>
        <v>0</v>
      </c>
      <c r="CZ93" s="116">
        <f t="shared" si="151"/>
        <v>0</v>
      </c>
      <c r="DA93" s="116">
        <f t="shared" si="152"/>
        <v>0</v>
      </c>
      <c r="DB93" s="116">
        <f t="shared" si="153"/>
        <v>0</v>
      </c>
      <c r="DC93" s="116">
        <f t="shared" si="154"/>
        <v>0</v>
      </c>
      <c r="DD93" s="116">
        <f t="shared" si="155"/>
        <v>0</v>
      </c>
      <c r="DE93" s="117">
        <f t="shared" si="156"/>
        <v>0</v>
      </c>
      <c r="DF93" s="118">
        <f t="shared" si="158"/>
        <v>11</v>
      </c>
      <c r="DG93" s="106">
        <f t="shared" si="159"/>
        <v>14.450000000000001</v>
      </c>
      <c r="DH93" s="116">
        <f t="shared" si="160"/>
        <v>0</v>
      </c>
      <c r="DI93" s="106">
        <f t="shared" si="161"/>
        <v>0</v>
      </c>
      <c r="DJ93" s="201" t="str">
        <f>IF($D91="","",$D91)</f>
        <v>2</v>
      </c>
      <c r="DK93" s="466"/>
    </row>
    <row r="94" spans="1:115" ht="14.5" customHeight="1" x14ac:dyDescent="0.2">
      <c r="A94" s="487">
        <f>$A91+1</f>
        <v>31</v>
      </c>
      <c r="B94" s="506" t="str">
        <f>IF(OR(C94="W",C95="W",C96="W",C94="1/2W",C95="1/2W",C96="1/2W",C94="1/2L",C95="1/2L",C96="1/2L"),"OK",IF(OR(C94="L",C95="L",C96="L"),"LOSS",IF(OR(C94="X",C95="X",C96="X"),"Anulado"," ")))</f>
        <v>OK</v>
      </c>
      <c r="C94" s="147" t="s">
        <v>54</v>
      </c>
      <c r="D94" s="494" t="str">
        <f>IF(G94="","",$D91)</f>
        <v>2</v>
      </c>
      <c r="E94" s="511" t="str">
        <f>IF(G94=""," ","– "&amp;COUNTIF(D$4:D96,$D94))</f>
        <v>– 14</v>
      </c>
      <c r="F94" s="510" t="str">
        <f ca="1">IF(G94="","",IF(OR(AND($C94&lt;&gt;" ",$C95=" "),AND($C95&lt;&gt;" ",$C94=" "),AND(L96&gt;0,OR(AND($C96&lt;&gt;" ",OR($C94=" ",$C95=" ")),AND($C96=" ",OR($C94&lt;&gt;" ",$C95&lt;&gt;" "))))),IF(SUM(F$9:F86)=0,1,LARGE(F$9:F86,1)+1),IF(MONTH(G94)=MONTH(TODAY()),IF(AND(DAY(G94)&lt;DAY(TODAY()),$B94=" "),IF(SUM(F$9:F86)=0,1,LARGE(F$9:F86,1)+1),IF($B94=" ",IF(AND(DAY(G94)=DAY(TODAY()),HOUR(G94)&lt;=HOUR(NOW())+1),IF(AND(HOUR(G94)+2&lt;=HOUR(NOW()),DAY(G94)&lt;=DAY(TODAY()),MINUTE(G94)&lt;=MINUTE(NOW())),IF(SUM(F$9:F86)=0,1,LARGE(F$9:F86,1)+1),IF(OR(MINUTE(G94)&lt;=MINUTE(NOW()),HOUR(G94)&lt;=HOUR(NOW())),"!!!","")),""),"")),"")))</f>
        <v/>
      </c>
      <c r="G94" s="508">
        <v>44988.583333333336</v>
      </c>
      <c r="H94" s="502" t="s">
        <v>83</v>
      </c>
      <c r="I94" s="180" t="s">
        <v>72</v>
      </c>
      <c r="J94" s="149"/>
      <c r="K94" s="150" t="s">
        <v>40</v>
      </c>
      <c r="L94" s="151">
        <v>1.73</v>
      </c>
      <c r="M94" s="152">
        <v>12.33</v>
      </c>
      <c r="N94" s="503">
        <v>0</v>
      </c>
      <c r="O94" s="153">
        <f>IF(OR(AE94="",AE95=""),"",ROUND(IF(L96&gt;0,IF(M94&gt;0,M94,IF(M95&gt;0,ROUND((M95*AE94)/AE95,IF(N94=0,2,IF(N94=0.1,1,0))),ROUND((M96*AE94)/AE96,IF(N94=0,2,IF(N94=0.1,1,0))))),IF(M94&gt;0,M94,ROUND((M95*AE94)/AE95,IF(N94=0,2,IF(N94=0.1,1,0))))),2))</f>
        <v>12.33</v>
      </c>
      <c r="P94" s="154">
        <f>IF(OR(L94="",O94=""),"",IF($C94="1/2W",O94/2+O94/2*L94,IF($C94="1/2L",O94/2,IF(I94="Lay",(O94*(L94/(L94-1))-O94)*(1-_xlfn.XLOOKUP(K94,'Fevereiro 2023 - Valor Real'!A3:A15,'Fevereiro 2023 - Valor Real'!C3:C15,0))+O94,(O94*L94-O94)*(1-_xlfn.XLOOKUP(K94,'Fevereiro 2023 - Valor Real'!A3:A15,'Fevereiro 2023 - Valor Real'!C3:C15,0))+O94))))</f>
        <v>21.3309</v>
      </c>
      <c r="Q94" s="155">
        <f>IF(K94="","",IF(_xlfn.XLOOKUP(K94,K$9:K86,$DJ$9:DJ86,0,,-1)=DJ94,_xlfn.XLOOKUP(K94,K$9:K86,Q$9:Q86,1,,-1)+1,1))</f>
        <v>6</v>
      </c>
      <c r="R94" s="156">
        <f>IF(K94="","",_xlfn.XLOOKUP(K94,K$9:K86,R$9:R86,0,,-1)+IF($C94=" ",1,0))</f>
        <v>0</v>
      </c>
      <c r="S94" s="501">
        <f>IF($B94="Anulado",0,ROUND(IF(OR($B94="LOSS",$B94="OK"),IF(OR($C94="W",$C94="1/2W",$C94="1/2L"),P94-O94,IF($C94="L",-O94,0))+IF(OR($C95="W",$C95="1/2W",$C95="1/2L"),P95-O95,IF($C95="L",-O95,0))+IF(OR($C96="W",$C96="1/2W",$C96="1/2L"),P96-O96,IF($C96="L",-O96,0)),IF(AND(OR($C94="W",$C94="1/2W",$C94="1/2L"),C95="W"),P94+P95-SUM(O94:O96)+_xlfn.XLOOKUP("X",C94:C96,O94:O96,0),IF(AND(C94=TRUE,C96="W"),P94+P96-SUM(O94:O96),IF(AND(C95="W",C96="W"),P95+P96-SUM(O94:O96)+_xlfn.XLOOKUP("X",C94:C96,O94:O96,0),IF(L96&gt;0,IF(OR($C94="W",$C94="1/2W",$C94="1/2L"),P94-SUM(O94:O96)+_xlfn.XLOOKUP("X",C94:C96,O94:O96,0),IF(OR($C94="W",$C94="1/2W",$C94="1/2L"),P95-SUM(O94:O96)+_xlfn.XLOOKUP("X",C94:C96,O94:O96,0),IF(OR($C94="W",$C94="1/2W",$C94="1/2L"),P96-SUM(O94:O96)+_xlfn.XLOOKUP("X",C94:C96,O94:O96,0),IF(SUM(P94:P96)/3-SUM(O94:O96)+_xlfn.XLOOKUP("X",C94:C96,O94:O96,0)&gt;0,SUM(P94:P96)/3-SUM(O94:O96)+_xlfn.XLOOKUP("X",C94:C96,O94:O96,0),LARGE(P94:P96,1)-SUM(O94:O96))))),IF(OR($C94="W",$C94="1/2W",$C94="1/2L"),P94-SUM(O94:O95)+_xlfn.XLOOKUP("X",C94:C96,O94:O96,0),IF(OR($C94="W",$C94="1/2W",$C94="1/2L"),P95-SUM(O94:O95)+_xlfn.XLOOKUP("X",C94:C96,O94:O96,0),SUM(P94:P95)/2-SUM(O94:O95)+_xlfn.XLOOKUP("X",C94:C96,O94:O96,0)))))))),2))</f>
        <v>1.38</v>
      </c>
      <c r="T94" s="486">
        <f>IF(S94=0,0,S94/SUM(O94:O96))</f>
        <v>6.9172932330827067E-2</v>
      </c>
      <c r="U94" s="496">
        <f>IF($D94=$D91,IF(OR($B94="LOSS",$B94="OK",$B94="Anulada"),S94,0)+U91,IF(OR($B94="LOSS",$B94="OK",$B94="Anulada"),S94,0))</f>
        <v>27.399999999999995</v>
      </c>
      <c r="V94" s="496">
        <f>IF($D94="",0,IF($D94=$D91,IF($B94=" ",IF(I96="",IF(OR(AND(I94="DNB1",I95="DNB2"),AND(OR(I94="DNB1",I94="DNB2"),J95=0),AND(OR(I95="DNB1",I95="DNB2"),J94=0),AND(I94="DNB2",I95="DNB1"),AND(IF(J94=0,(J94+1)/ROUND(J94+1,0),J94/ROUND(J94,0))=1,IF(J95=0,(J95+1)/ROUND(IF(J95="",0,J95)+1,0),IF(J95="",0,J95)/ROUND(IF(J95="",1,J95),0))=1,OR(J94&lt;&gt;""),J95&lt;&gt;"")),0,IF(S94&lt;0,IF(I96="",SMALL(P94:P95,1)-SUM(O94:O95),0),SMALL(P94:P95,1)-SUM(O94:O95))),IF(S94&lt;0,IF(I96="",SMALL(P94:P96,1)-SUM(O94:O96),0),LARGE(P94:P96,1)-SUM(O94:O96))),S94)+V91,IF(I96="",IF(OR(AND(I94="DNB1",I95="DNB2"),AND(OR(I94="DNB1",I94="DNB2"),J95=0),AND(OR(I95="DNB1",I95="DNB2"),J94=0),AND(I94="DNB2",I95="DNB1"),AND(IF(J94=0,(J94+1)/ROUND(J94+1,0),J94/ROUND(J94,0))=1,IF(J95=0,(IF(J95="",0,J95)+1)/ROUND(IF(J95="",0,J95)+1,0),IF(J95="",0,J95)/ROUND(IF(J95="",0,J95)+1,0))=1,OR(J94&lt;&gt;""),J95&lt;&gt;"")),0,IF(S94&lt;0,IF(I96="",SMALL(P94:P95,1)-SUM(O94:O95),0),SMALL(P94:P96,1)-SUM(O94:O96))),IF(S94&lt;0,IF(I96="",SMALL(P94:P96,1)-SUM(O94:O96),0),LARGE(P94:P96,1)-SUM(O94:O96)))))</f>
        <v>27.34</v>
      </c>
      <c r="W94" s="496">
        <f>IF($D94=$D91,IF(S94&lt;0,IF(I96="",S94,0),S94)+W91,S94)</f>
        <v>27.399999999999995</v>
      </c>
      <c r="X94" s="505" t="str">
        <f>IF(OR(SUM(R94:R96)=0,V94=W94),ROUND(IF(W94=0,0,W94/Y94)*100,2)&amp;"%",ROUND(IF(V94=0,0,V94/Y94)*100,2)&amp;"% a "&amp;ROUND(IF(W94=0,0,W94/Y94)*100,2)&amp;"%")</f>
        <v>4,9%</v>
      </c>
      <c r="Y94" s="497">
        <f>IF($D94=$D91,Y91+SUM(O94:O96),SUM(O94:O96))</f>
        <v>559.00000000000011</v>
      </c>
      <c r="Z94" s="496">
        <f>IF($B94=" ",SUM(O94:O96),0)+Z91</f>
        <v>0</v>
      </c>
      <c r="AA94" s="496">
        <f>IF(G94="","",IF($B94="Anulado",LARGE(P94:P96,1)-SUM(O94:O96)+AA91,AA91))</f>
        <v>0.45899999999999785</v>
      </c>
      <c r="AB94" s="496">
        <f>IF($D94="","",AB91+S94)</f>
        <v>56.049999999999983</v>
      </c>
      <c r="AC94" s="499">
        <f ca="1">IF($D94="","",IF($B94=" ",IF(DAY(G94)=DAY(TODAY()),1+AC91,0+AC91),0+AC91))</f>
        <v>0</v>
      </c>
      <c r="AD94" s="157">
        <f>(1-_xlfn.XLOOKUP(K92,'Fevereiro 2023 - Valor Real'!A3:A15,'Fevereiro 2023 - Valor Real'!C3:C15,0))+1</f>
        <v>2</v>
      </c>
      <c r="AE94" s="158">
        <f>IF(L94="","",IF(L96&gt;0,(SUM(((L94-1)*(1-_xlfn.XLOOKUP(K94,'Fevereiro 2023 - Valor Real'!A3:A15,'Fevereiro 2023 - Valor Real'!C3:C15,0))+1),((L95-1)*(1-_xlfn.XLOOKUP(K95,'Fevereiro 2023 - Valor Real'!A3:A15,'Fevereiro 2023 - Valor Real'!C3:C15,0))+1),((L96-1)*(1-_xlfn.XLOOKUP(K96,'Fevereiro 2023 - Valor Real'!A3:A15,'Fevereiro 2023 - Valor Real'!C3:C15,0))+1))/((L94-1)*(1-_xlfn.XLOOKUP(K94,'Fevereiro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Real'!C3:C15,0))+1))/((L94-1)*(1-_xlfn.XLOOKUP(K94,'Fevereiro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Real'!C3:C15,0))+1))/((L95-1)*(1-_xlfn.XLOOKUP(K95,'Fevereiro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Real'!C3:C15,0))+1))/((L96-1)*(1-_xlfn.XLOOKUP(K96,'Fevereiro 2023 - Valor Real'!A3:A15,'Fevereiro 2023 - Valor Real'!C3:C15,0))+1)),IF(I94="Lay",IF(I95="Lay",((L95/(L95-1)-1)*(1-_xlfn.XLOOKUP(K95,'Fevereiro 2023 - Valor Real'!A3:A15,'Fevereiro 2023 - Valor Real'!C3:C15,0))+1)/(((L95/(L95-1)-1)*(1-_xlfn.XLOOKUP(K95,'Fevereiro 2023 - Valor Real'!A3:A15,'Fevereiro 2023 - Valor Real'!C3:C15,0))+1)+((L94/(L94-1)-1)*(1-_xlfn.XLOOKUP(K94,'Fevereiro 2023 - Valor Real'!A3:A15,'Fevereiro 2023 - Valor Real'!C3:C15,0))+1)),((L95-1)*(1-_xlfn.XLOOKUP(K95,'Fevereiro 2023 - Valor Real'!A3:A15,'Fevereiro 2023 - Valor Real'!C3:C15,0))+1)/(((L95-1)*(1-_xlfn.XLOOKUP(K95,'Fevereiro 2023 - Valor Real'!A3:A15,'Fevereiro 2023 - Valor Real'!C3:C15,0))+1)+((L94/(L94-1)-1)*(1-_xlfn.XLOOKUP(K94,'Fevereiro 2023 - Valor Real'!A3:A15,'Fevereiro 2023 - Valor Real'!C3:C15,0))+1))),IF(I95="Lay",(((L95/(L95-1)-1)*(1-_xlfn.XLOOKUP(K95,'Fevereiro 2023 - Valor Real'!A3:A15,'Fevereiro 2023 - Valor Real'!C3:C15,0))+1))/(((L94-1)*(1-_xlfn.XLOOKUP(K94,'Fevereiro 2023 - Valor Real'!A3:A15,'Fevereiro 2023 - Valor Real'!C3:C15,0))+1)+((L95/(L95-1)-1)*(1-_xlfn.XLOOKUP(K95,'Fevereiro 2023 - Valor Real'!A3:A15,'Fevereiro 2023 - Valor Real'!C3:C15,0))+1)),((L95-1)*(1-_xlfn.XLOOKUP(K95,'Fevereiro 2023 - Valor Real'!A3:A15,'Fevereiro 2023 - Valor Real'!C3:C15,0))+1)/(((L95-1)*(1-_xlfn.XLOOKUP(K95,'Fevereiro 2023 - Valor Real'!A3:A15,'Fevereiro 2023 - Valor Real'!C3:C15,0))+1)+((L94-1)*(1-_xlfn.XLOOKUP(K94,'Fevereiro 2023 - Valor Real'!A3:A15,'Fevereiro 2023 - Valor Real'!C3:C15,0))+1))))))</f>
        <v>0.61810154525386318</v>
      </c>
      <c r="AF94" s="66">
        <f t="shared" ref="AF94:AR103" si="198">IF($K94=AF$3,ROUND(IF(OR($C94="W",$C94="1/2W",$C94="1/2L"),$P94-$O94,IF($C94="X",0,-$O94)),2),0)</f>
        <v>0</v>
      </c>
      <c r="AG94" s="67">
        <f t="shared" si="198"/>
        <v>0</v>
      </c>
      <c r="AH94" s="67">
        <f t="shared" si="198"/>
        <v>0</v>
      </c>
      <c r="AI94" s="67">
        <f t="shared" si="198"/>
        <v>0</v>
      </c>
      <c r="AJ94" s="67">
        <f t="shared" si="198"/>
        <v>9</v>
      </c>
      <c r="AK94" s="67">
        <f t="shared" si="198"/>
        <v>0</v>
      </c>
      <c r="AL94" s="67">
        <f t="shared" si="198"/>
        <v>0</v>
      </c>
      <c r="AM94" s="67">
        <f t="shared" si="198"/>
        <v>0</v>
      </c>
      <c r="AN94" s="67">
        <f t="shared" si="198"/>
        <v>0</v>
      </c>
      <c r="AO94" s="67">
        <f t="shared" si="198"/>
        <v>0</v>
      </c>
      <c r="AP94" s="67">
        <f t="shared" si="198"/>
        <v>0</v>
      </c>
      <c r="AQ94" s="67">
        <f t="shared" si="198"/>
        <v>0</v>
      </c>
      <c r="AR94" s="68">
        <f t="shared" si="198"/>
        <v>0</v>
      </c>
      <c r="AS94" s="66">
        <f t="shared" ref="AS94:BE94" si="199">IF(AND($B94=" ",$K94=AS$3),$O94,0)</f>
        <v>0</v>
      </c>
      <c r="AT94" s="67">
        <f t="shared" si="199"/>
        <v>0</v>
      </c>
      <c r="AU94" s="67">
        <f t="shared" si="199"/>
        <v>0</v>
      </c>
      <c r="AV94" s="67">
        <f t="shared" si="199"/>
        <v>0</v>
      </c>
      <c r="AW94" s="67">
        <f t="shared" si="199"/>
        <v>0</v>
      </c>
      <c r="AX94" s="67">
        <f t="shared" si="199"/>
        <v>0</v>
      </c>
      <c r="AY94" s="69">
        <f t="shared" si="199"/>
        <v>0</v>
      </c>
      <c r="AZ94" s="70">
        <f t="shared" si="199"/>
        <v>0</v>
      </c>
      <c r="BA94" s="70">
        <f t="shared" si="199"/>
        <v>0</v>
      </c>
      <c r="BB94" s="70">
        <f t="shared" si="199"/>
        <v>0</v>
      </c>
      <c r="BC94" s="71">
        <f t="shared" si="199"/>
        <v>0</v>
      </c>
      <c r="BD94" s="67">
        <f t="shared" si="199"/>
        <v>0</v>
      </c>
      <c r="BE94" s="68">
        <f t="shared" si="199"/>
        <v>0</v>
      </c>
      <c r="BF94" s="66">
        <f t="shared" ref="BF94:BR103" si="200">IF($K94=BF$3,IF($C94="X",0,$O94),0)</f>
        <v>0</v>
      </c>
      <c r="BG94" s="67">
        <f t="shared" si="200"/>
        <v>0</v>
      </c>
      <c r="BH94" s="67">
        <f t="shared" si="200"/>
        <v>0</v>
      </c>
      <c r="BI94" s="67">
        <f t="shared" si="200"/>
        <v>0</v>
      </c>
      <c r="BJ94" s="67">
        <f t="shared" si="200"/>
        <v>12.33</v>
      </c>
      <c r="BK94" s="67">
        <f t="shared" si="200"/>
        <v>0</v>
      </c>
      <c r="BL94" s="67">
        <f t="shared" si="200"/>
        <v>0</v>
      </c>
      <c r="BM94" s="69">
        <f t="shared" si="200"/>
        <v>0</v>
      </c>
      <c r="BN94" s="70">
        <f t="shared" si="200"/>
        <v>0</v>
      </c>
      <c r="BO94" s="70">
        <f t="shared" si="200"/>
        <v>0</v>
      </c>
      <c r="BP94" s="70">
        <f t="shared" si="200"/>
        <v>0</v>
      </c>
      <c r="BQ94" s="71">
        <f t="shared" si="200"/>
        <v>0</v>
      </c>
      <c r="BR94" s="68">
        <f t="shared" si="200"/>
        <v>0</v>
      </c>
      <c r="BS94" s="490">
        <f>IF($B94="LOSS",IF(AND($K94=BS$3,$C94="L"),-$O94,0)+IF(AND($K95=BS$3,$C95="L"),-$O95,0)+IF(AND($K96=BS$3,$C96="L"),-$O96,0),IF(OR(AND($K94=BS$3,OR($C94="W",$C94="1/2W")),AND($K95=BS$3,OR($C95="W",$C95="1/2W")),AND($K96=BS$3,OR($C96="W",$C96="1/2W"))),$S94,0))</f>
        <v>0</v>
      </c>
      <c r="BT94" s="498">
        <f>IF($B94="LOSS",IF(AND($K94=BT$3,$C94="L"),-$O94,0)+IF(AND($K95=BT$3,$C95="L"),-$O95,0)+IF(AND($K95=BT$3,$C96="L"),-$O96,0),IF(OR(AND($K95=BT$3,OR($C94="W",$C94="1/2W")),AND($K95=BT$3,OR($C95="W",$C95="1/2W")),AND($K95=BT$3,OR($C96="W",$C96="1/2W"))),$S94,0))</f>
        <v>1.38</v>
      </c>
      <c r="BU94" s="488">
        <f>IF($B94="LOSS",IF(AND($K94=BU$3,$C94="L"),-$O94,0)+IF(AND($K95=BU$3,$C95="L"),-$O95,0)+IF(AND($K95=BU$3,$C96="L"),-$O96,0),IF(OR(AND($K95=BU$3,OR($C94="W",$C94="1/2W")),AND($K95=BU$3,OR($C95="W",$C95="1/2W")),AND($K95=BU$3,OR($C96="W",$C96="1/2W"))),$S94,0))</f>
        <v>0</v>
      </c>
      <c r="BV94" s="488">
        <f t="shared" ref="BV94:CE94" si="201">IF($B94="LOSS",IF(AND($K94=BV$3,$C94="L"),-$O94,0)+IF(AND($K95=BV$3,$C95="L"),-$O95,0)+IF(AND($K96=BV$3,$C96="L"),-$O96,0),IF(OR(AND($K94=BV$3,OR($C94="W",$C94="1/2W")),AND($K95=BV$3,OR($C95="W",$C95="1/2W")),AND($K96=BV$3,OR($C96="W",$C96="1/2W"))),$S94,0))</f>
        <v>0</v>
      </c>
      <c r="BW94" s="488">
        <f t="shared" si="201"/>
        <v>1.38</v>
      </c>
      <c r="BX94" s="488">
        <f t="shared" si="201"/>
        <v>0</v>
      </c>
      <c r="BY94" s="488">
        <f t="shared" si="201"/>
        <v>0</v>
      </c>
      <c r="BZ94" s="488">
        <f t="shared" si="201"/>
        <v>0</v>
      </c>
      <c r="CA94" s="488">
        <f t="shared" si="201"/>
        <v>0</v>
      </c>
      <c r="CB94" s="488">
        <f t="shared" si="201"/>
        <v>0</v>
      </c>
      <c r="CC94" s="488">
        <f t="shared" si="201"/>
        <v>0</v>
      </c>
      <c r="CD94" s="500">
        <f t="shared" si="201"/>
        <v>0</v>
      </c>
      <c r="CE94" s="504">
        <f t="shared" si="201"/>
        <v>0</v>
      </c>
      <c r="CF94" s="160">
        <f t="shared" si="131"/>
        <v>0</v>
      </c>
      <c r="CG94" s="161">
        <f t="shared" si="132"/>
        <v>0</v>
      </c>
      <c r="CH94" s="161">
        <f t="shared" si="133"/>
        <v>0</v>
      </c>
      <c r="CI94" s="161">
        <f t="shared" si="134"/>
        <v>0</v>
      </c>
      <c r="CJ94" s="161">
        <f t="shared" si="135"/>
        <v>0</v>
      </c>
      <c r="CK94" s="161">
        <f t="shared" si="136"/>
        <v>0</v>
      </c>
      <c r="CL94" s="161">
        <f t="shared" si="137"/>
        <v>0</v>
      </c>
      <c r="CM94" s="161">
        <f t="shared" si="138"/>
        <v>0</v>
      </c>
      <c r="CN94" s="161">
        <f t="shared" si="139"/>
        <v>1</v>
      </c>
      <c r="CO94" s="161">
        <f t="shared" si="140"/>
        <v>0</v>
      </c>
      <c r="CP94" s="161">
        <f t="shared" si="141"/>
        <v>0</v>
      </c>
      <c r="CQ94" s="161">
        <f t="shared" si="142"/>
        <v>0</v>
      </c>
      <c r="CR94" s="161">
        <f t="shared" si="143"/>
        <v>0</v>
      </c>
      <c r="CS94" s="161">
        <f t="shared" si="144"/>
        <v>0</v>
      </c>
      <c r="CT94" s="75">
        <f t="shared" si="145"/>
        <v>0</v>
      </c>
      <c r="CU94" s="76">
        <f t="shared" si="146"/>
        <v>0</v>
      </c>
      <c r="CV94" s="76">
        <f t="shared" si="147"/>
        <v>0</v>
      </c>
      <c r="CW94" s="76">
        <f t="shared" si="148"/>
        <v>0</v>
      </c>
      <c r="CX94" s="76">
        <f t="shared" si="149"/>
        <v>0</v>
      </c>
      <c r="CY94" s="76">
        <f t="shared" si="150"/>
        <v>0</v>
      </c>
      <c r="CZ94" s="76">
        <f t="shared" si="151"/>
        <v>0</v>
      </c>
      <c r="DA94" s="76">
        <f t="shared" si="152"/>
        <v>0</v>
      </c>
      <c r="DB94" s="76">
        <f t="shared" si="153"/>
        <v>0</v>
      </c>
      <c r="DC94" s="76">
        <f t="shared" si="154"/>
        <v>0</v>
      </c>
      <c r="DD94" s="76">
        <f t="shared" si="155"/>
        <v>0</v>
      </c>
      <c r="DE94" s="77">
        <f t="shared" si="156"/>
        <v>0</v>
      </c>
      <c r="DF94" s="73">
        <f t="shared" si="158"/>
        <v>11</v>
      </c>
      <c r="DG94" s="67">
        <f t="shared" si="159"/>
        <v>14.450000000000001</v>
      </c>
      <c r="DH94" s="76">
        <f t="shared" si="160"/>
        <v>0</v>
      </c>
      <c r="DI94" s="67">
        <f t="shared" si="161"/>
        <v>0</v>
      </c>
      <c r="DJ94" s="202" t="str">
        <f>IF($D94="","",$D94)</f>
        <v>2</v>
      </c>
      <c r="DK94" s="492">
        <f>IF(AND($B94=" ",$D94&lt;&gt;""),1,0)</f>
        <v>0</v>
      </c>
    </row>
    <row r="95" spans="1:115" ht="14.5" customHeight="1" x14ac:dyDescent="0.2">
      <c r="A95" s="389"/>
      <c r="B95" s="456"/>
      <c r="C95" s="53" t="s">
        <v>55</v>
      </c>
      <c r="D95" s="374"/>
      <c r="E95" s="386"/>
      <c r="F95" s="377"/>
      <c r="G95" s="508"/>
      <c r="H95" s="476"/>
      <c r="I95" s="182" t="s">
        <v>51</v>
      </c>
      <c r="J95" s="56">
        <v>0.5</v>
      </c>
      <c r="K95" s="57" t="s">
        <v>37</v>
      </c>
      <c r="L95" s="164">
        <v>2.8</v>
      </c>
      <c r="M95" s="165"/>
      <c r="N95" s="406"/>
      <c r="O95" s="60">
        <f>IF(OR(AE94="",AE95=""),"",ROUND(IF(L96&gt;0,IF(M95&gt;0,M95,IF(M94&gt;0,IF(N94=TRUE,ROUND((M94*AE95)/AE94,0),(M94*AE95)/AE94),IF(M95&gt;0,ROUND(M95,IF(N94=0,2,IF(N94=0.1,1,0))),IF(M96&gt;0,ROUND(O96*AE95/AE96,IF(N94=0,2,IF(N94=0.1,1,0))),0)))),IF(M95&gt;0,M95,ROUND((M94*AE95)/AE94,IF(N94=0,2,IF(N94=0.1,1,0))))),2))</f>
        <v>7.62</v>
      </c>
      <c r="P95" s="61">
        <f>IF(OR(L95="",O95=""),"",IF($C95="1/2W",O95/2+O95/2*L95,IF($C95="1/2L",O95/2,IF(I95="Lay",((O95*(L95/(L95-1)))-O95)*(1-_xlfn.XLOOKUP(K95,'Fevereiro 2023 - Valor Real'!A3:A15,'Fevereiro 2023 - Valor Real'!C3:C15,0))+O95,(O95*L95-O95)*(1-_xlfn.XLOOKUP(K95,'Fevereiro 2023 - Valor Real'!A3:A15,'Fevereiro 2023 - Valor Real'!C3:C15,0))+O95))))</f>
        <v>21.335999999999999</v>
      </c>
      <c r="Q95" s="166">
        <f>IF(K95="","",IF(_xlfn.XLOOKUP(K95,K$10:K86,$DJ$10:DJ86,0,,-1)=DJ95,_xlfn.XLOOKUP(K95,K$10:K86,Q$10:Q86,1,,-1)+1,1))</f>
        <v>3</v>
      </c>
      <c r="R95" s="167">
        <f>IF(K95="","",_xlfn.XLOOKUP(K95,K$10:K86,R$10:R86,0,,-1)+IF($C95=" ",1,0))</f>
        <v>0</v>
      </c>
      <c r="S95" s="403"/>
      <c r="T95" s="380"/>
      <c r="U95" s="380"/>
      <c r="V95" s="481"/>
      <c r="W95" s="380"/>
      <c r="X95" s="452"/>
      <c r="Y95" s="383"/>
      <c r="Z95" s="384"/>
      <c r="AA95" s="384"/>
      <c r="AB95" s="384"/>
      <c r="AC95" s="384"/>
      <c r="AD95" s="64"/>
      <c r="AE95" s="65">
        <f>IF(L95="","",IF(L96&gt;0,(SUM(((L94-1)*(1-_xlfn.XLOOKUP(K94,'Fevereiro 2023 - Valor Real'!A3:A15,'Fevereiro 2023 - Valor Real'!C3:C15,0))+1),((L95-1)*(1-_xlfn.XLOOKUP(K95,'Fevereiro 2023 - Valor Real'!A3:A15,'Fevereiro 2023 - Valor Real'!C3:C15,0))+1),((L96-1)*(1-_xlfn.XLOOKUP(K96,'Fevereiro 2023 - Valor Real'!A3:A15,'Fevereiro 2023 - Valor Real'!C3:C15,0))+1))/((L95-1)*(1-_xlfn.XLOOKUP(K95,'Fevereiro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Real'!C3:C15,0))+1))/((L94-1)*(1-_xlfn.XLOOKUP(K94,'Fevereiro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Real'!C3:C15,0))+1))/((L95-1)*(1-_xlfn.XLOOKUP(K95,'Fevereiro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Real'!C3:C15,0))+1))/((L96-1)*(1-_xlfn.XLOOKUP(K96,'Fevereiro 2023 - Valor Real'!A3:A15,'Fevereiro 2023 - Valor Real'!C3:C15,0))+1)),IF(I95="Lay",IF(I94="Lay",((L94/(L94-1)-1)*(1-_xlfn.XLOOKUP(K94,'Fevereiro 2023 - Valor Real'!A3:A15,'Fevereiro 2023 - Valor Real'!C3:C15,0))+1)/(((L94/(L94-1)-1)*(1-_xlfn.XLOOKUP(K94,'Fevereiro 2023 - Valor Real'!A3:A15,'Fevereiro 2023 - Valor Real'!C3:C15,0))+1)+((L95/(L95-1)-1)*(1-_xlfn.XLOOKUP(K95,'Fevereiro 2023 - Valor Real'!A3:A15,'Fevereiro 2023 - Valor Real'!C3:C15,0))+1)),((L94-1)*(1-_xlfn.XLOOKUP(K94,'Fevereiro 2023 - Valor Real'!A3:A15,'Fevereiro 2023 - Valor Real'!C3:C15,0))+1)/(((L94-1)*(1-_xlfn.XLOOKUP(K94,'Fevereiro 2023 - Valor Real'!A3:A15,'Fevereiro 2023 - Valor Real'!C3:C15,0))+1)+((L95/(L95-1)-1)*(1-_xlfn.XLOOKUP(K95,'Fevereiro 2023 - Valor Real'!A3:A15,'Fevereiro 2023 - Valor Real'!C3:C15,0))+1))),IF(I94="Lay",((L94/(L94-1)-1)*(1-_xlfn.XLOOKUP(K94,'Fevereiro 2023 - Valor Real'!A3:A15,'Fevereiro 2023 - Valor Real'!C3:C15,0))+1)/((((L94/(L94-1)-1)*(1-_xlfn.XLOOKUP(K94,'Fevereiro 2023 - Valor Real'!A3:A15,'Fevereiro 2023 - Valor Real'!C3:C15,0))+1))+((L95-1)*(1-_xlfn.XLOOKUP(K95,'Fevereiro 2023 - Valor Real'!A3:A15,'Fevereiro 2023 - Valor Real'!C3:C15,0))+1)),((L94-1)*(1-_xlfn.XLOOKUP(K94,'Fevereiro 2023 - Valor Real'!A3:A15,'Fevereiro 2023 - Valor Real'!C3:C15,0))+1)/(((L94-1)*(1-_xlfn.XLOOKUP(K94,'Fevereiro 2023 - Valor Real'!A3:A15,'Fevereiro 2023 - Valor Real'!C3:C15,0))+1)+((L95-1)*(1-_xlfn.XLOOKUP(K95,'Fevereiro 2023 - Valor Real'!A3:A15,'Fevereiro 2023 - Valor Real'!C3:C15,0))+1))))))</f>
        <v>0.38189845474613693</v>
      </c>
      <c r="AF95" s="66">
        <f t="shared" si="198"/>
        <v>0</v>
      </c>
      <c r="AG95" s="67">
        <f t="shared" si="198"/>
        <v>-7.62</v>
      </c>
      <c r="AH95" s="67">
        <f t="shared" si="198"/>
        <v>0</v>
      </c>
      <c r="AI95" s="67">
        <f t="shared" si="198"/>
        <v>0</v>
      </c>
      <c r="AJ95" s="67">
        <f t="shared" si="198"/>
        <v>0</v>
      </c>
      <c r="AK95" s="67">
        <f t="shared" si="198"/>
        <v>0</v>
      </c>
      <c r="AL95" s="67">
        <f t="shared" si="198"/>
        <v>0</v>
      </c>
      <c r="AM95" s="67">
        <f t="shared" si="198"/>
        <v>0</v>
      </c>
      <c r="AN95" s="67">
        <f t="shared" si="198"/>
        <v>0</v>
      </c>
      <c r="AO95" s="67">
        <f t="shared" si="198"/>
        <v>0</v>
      </c>
      <c r="AP95" s="67">
        <f t="shared" si="198"/>
        <v>0</v>
      </c>
      <c r="AQ95" s="67">
        <f t="shared" si="198"/>
        <v>0</v>
      </c>
      <c r="AR95" s="68">
        <f t="shared" si="198"/>
        <v>0</v>
      </c>
      <c r="AS95" s="66">
        <f>IF(AND($B94=" ",$K95=AS$3),$O95,0)</f>
        <v>0</v>
      </c>
      <c r="AT95" s="67">
        <f>IF(AND($B94=" ",K95=AT$3),$O95,0)</f>
        <v>0</v>
      </c>
      <c r="AU95" s="67">
        <f t="shared" ref="AU95:BE95" si="202">IF(AND($B94=" ",$K95=AU$3),$O95,0)</f>
        <v>0</v>
      </c>
      <c r="AV95" s="67">
        <f t="shared" si="202"/>
        <v>0</v>
      </c>
      <c r="AW95" s="67">
        <f t="shared" si="202"/>
        <v>0</v>
      </c>
      <c r="AX95" s="67">
        <f t="shared" si="202"/>
        <v>0</v>
      </c>
      <c r="AY95" s="69">
        <f t="shared" si="202"/>
        <v>0</v>
      </c>
      <c r="AZ95" s="70">
        <f t="shared" si="202"/>
        <v>0</v>
      </c>
      <c r="BA95" s="70">
        <f t="shared" si="202"/>
        <v>0</v>
      </c>
      <c r="BB95" s="70">
        <f t="shared" si="202"/>
        <v>0</v>
      </c>
      <c r="BC95" s="71">
        <f t="shared" si="202"/>
        <v>0</v>
      </c>
      <c r="BD95" s="67">
        <f t="shared" si="202"/>
        <v>0</v>
      </c>
      <c r="BE95" s="68">
        <f t="shared" si="202"/>
        <v>0</v>
      </c>
      <c r="BF95" s="66">
        <f t="shared" si="200"/>
        <v>0</v>
      </c>
      <c r="BG95" s="168">
        <f t="shared" si="200"/>
        <v>7.62</v>
      </c>
      <c r="BH95" s="67">
        <f t="shared" si="200"/>
        <v>0</v>
      </c>
      <c r="BI95" s="67">
        <f t="shared" si="200"/>
        <v>0</v>
      </c>
      <c r="BJ95" s="67">
        <f t="shared" si="200"/>
        <v>0</v>
      </c>
      <c r="BK95" s="67">
        <f t="shared" si="200"/>
        <v>0</v>
      </c>
      <c r="BL95" s="67">
        <f t="shared" si="200"/>
        <v>0</v>
      </c>
      <c r="BM95" s="69">
        <f t="shared" si="200"/>
        <v>0</v>
      </c>
      <c r="BN95" s="70">
        <f t="shared" si="200"/>
        <v>0</v>
      </c>
      <c r="BO95" s="70">
        <f t="shared" si="200"/>
        <v>0</v>
      </c>
      <c r="BP95" s="70">
        <f t="shared" si="200"/>
        <v>0</v>
      </c>
      <c r="BQ95" s="71">
        <f t="shared" si="200"/>
        <v>0</v>
      </c>
      <c r="BR95" s="68">
        <f t="shared" si="200"/>
        <v>0</v>
      </c>
      <c r="BS95" s="491"/>
      <c r="BT95" s="489"/>
      <c r="BU95" s="392"/>
      <c r="BV95" s="489"/>
      <c r="BW95" s="392"/>
      <c r="BX95" s="392"/>
      <c r="BY95" s="392"/>
      <c r="BZ95" s="489"/>
      <c r="CA95" s="392"/>
      <c r="CB95" s="392"/>
      <c r="CC95" s="392"/>
      <c r="CD95" s="401"/>
      <c r="CE95" s="409"/>
      <c r="CF95" s="169">
        <f t="shared" si="131"/>
        <v>0</v>
      </c>
      <c r="CG95" s="170">
        <f t="shared" si="132"/>
        <v>0</v>
      </c>
      <c r="CH95" s="170">
        <f t="shared" si="133"/>
        <v>0</v>
      </c>
      <c r="CI95" s="170">
        <f t="shared" si="134"/>
        <v>1</v>
      </c>
      <c r="CJ95" s="170">
        <f t="shared" si="135"/>
        <v>0</v>
      </c>
      <c r="CK95" s="170">
        <f t="shared" si="136"/>
        <v>0</v>
      </c>
      <c r="CL95" s="170">
        <f t="shared" si="137"/>
        <v>0</v>
      </c>
      <c r="CM95" s="170">
        <f t="shared" si="138"/>
        <v>0</v>
      </c>
      <c r="CN95" s="170">
        <f t="shared" si="139"/>
        <v>0</v>
      </c>
      <c r="CO95" s="170">
        <f t="shared" si="140"/>
        <v>0</v>
      </c>
      <c r="CP95" s="170">
        <f t="shared" si="141"/>
        <v>0</v>
      </c>
      <c r="CQ95" s="170">
        <f t="shared" si="142"/>
        <v>0</v>
      </c>
      <c r="CR95" s="170">
        <f t="shared" si="143"/>
        <v>0</v>
      </c>
      <c r="CS95" s="170">
        <f t="shared" si="144"/>
        <v>0</v>
      </c>
      <c r="CT95" s="75">
        <f t="shared" si="145"/>
        <v>0</v>
      </c>
      <c r="CU95" s="76">
        <f t="shared" si="146"/>
        <v>0</v>
      </c>
      <c r="CV95" s="76">
        <f t="shared" si="147"/>
        <v>0</v>
      </c>
      <c r="CW95" s="76">
        <f t="shared" si="148"/>
        <v>0</v>
      </c>
      <c r="CX95" s="76">
        <f t="shared" si="149"/>
        <v>0</v>
      </c>
      <c r="CY95" s="76">
        <f t="shared" si="150"/>
        <v>0</v>
      </c>
      <c r="CZ95" s="76">
        <f t="shared" si="151"/>
        <v>0</v>
      </c>
      <c r="DA95" s="76">
        <f t="shared" si="152"/>
        <v>0</v>
      </c>
      <c r="DB95" s="76">
        <f t="shared" si="153"/>
        <v>0</v>
      </c>
      <c r="DC95" s="76">
        <f t="shared" si="154"/>
        <v>0</v>
      </c>
      <c r="DD95" s="76">
        <f t="shared" si="155"/>
        <v>0</v>
      </c>
      <c r="DE95" s="77">
        <f t="shared" si="156"/>
        <v>0</v>
      </c>
      <c r="DF95" s="73">
        <f t="shared" si="158"/>
        <v>11</v>
      </c>
      <c r="DG95" s="67">
        <f t="shared" si="159"/>
        <v>14.450000000000001</v>
      </c>
      <c r="DH95" s="76">
        <f t="shared" si="160"/>
        <v>0</v>
      </c>
      <c r="DI95" s="67">
        <f t="shared" si="161"/>
        <v>0</v>
      </c>
      <c r="DJ95" s="202" t="str">
        <f>IF($D94="","",$D94)</f>
        <v>2</v>
      </c>
      <c r="DK95" s="493"/>
    </row>
    <row r="96" spans="1:115" ht="14.5" customHeight="1" x14ac:dyDescent="0.2">
      <c r="A96" s="390"/>
      <c r="B96" s="457"/>
      <c r="C96" s="79" t="s">
        <v>53</v>
      </c>
      <c r="D96" s="375"/>
      <c r="E96" s="387"/>
      <c r="F96" s="378"/>
      <c r="G96" s="508"/>
      <c r="H96" s="477"/>
      <c r="I96" s="171"/>
      <c r="J96" s="172"/>
      <c r="K96" s="81"/>
      <c r="L96" s="173"/>
      <c r="M96" s="174"/>
      <c r="N96" s="407"/>
      <c r="O96" s="86" t="str">
        <f>IF(OR(AE94="",AE95=""),"",IF(L96&gt;0,ROUND(IF(M96&gt;0,M96,IF(M94&gt;0,ROUND((M94*AE96)/AE94,IF(N94=0,2,IF(N94=0.1,1,0))),IF(M95&gt;0,ROUND((M95*AE96)/AE95,IF(N94=0,2,IF(N94=0.1,1,0))),IF(M96&gt;0,M96,0)))),2),""))</f>
        <v/>
      </c>
      <c r="P96" s="87" t="str">
        <f>IF(I95="Lay",O95*(L95/(L95-1))-O95,IF(I94="Lay",O94*(L94/(L94-1))-O94,IF(OR(L96="",O96=""),"",IF($C96="1/2W",O96/2+O96/2*L96,IF($C96="1/2L",O96/2,(O96*L96-O96)*(1-_xlfn.XLOOKUP(K96,'Fevereiro 2023 - Valor Real'!A3:A15,'Fevereiro 2023 - Valor Real'!C3:C15,0))+O96)))))</f>
        <v/>
      </c>
      <c r="Q96" s="54" t="str">
        <f>IF(K96="","",IF(_xlfn.XLOOKUP(K96,K$11:K86,$DJ$11:DJ86,0,,-1)=DJ96,_xlfn.XLOOKUP(K96,K$11:K86,Q$11:Q86,1,,-1)+1,1))</f>
        <v/>
      </c>
      <c r="R96" s="87" t="str">
        <f>IF(K96="","",_xlfn.XLOOKUP(K96,K$11:K86,R$11:R86,0,,-1)+IF($C96=" ",1,0))</f>
        <v/>
      </c>
      <c r="S96" s="404"/>
      <c r="T96" s="378"/>
      <c r="U96" s="378"/>
      <c r="V96" s="404"/>
      <c r="W96" s="378"/>
      <c r="X96" s="453"/>
      <c r="Y96" s="383"/>
      <c r="Z96" s="384"/>
      <c r="AA96" s="384"/>
      <c r="AB96" s="384"/>
      <c r="AC96" s="384"/>
      <c r="AD96" s="90"/>
      <c r="AE96" s="91" t="str">
        <f>IF(L96="","",(SUM(((L94-1)*(1-_xlfn.XLOOKUP(K94,'Fevereiro 2023 - Valor Real'!A3:A15,'Fevereiro 2023 - Valor Real'!C3:C15,0))+1),((L95-1)*(1-_xlfn.XLOOKUP(K95,'Fevereiro 2023 - Valor Real'!A3:A15,'Fevereiro 2023 - Valor Real'!C3:C15,0))+1),((L96-1)*(1-_xlfn.XLOOKUP(K96,'Fevereiro 2023 - Valor Real'!A3:A15,'Fevereiro 2023 - Valor Real'!C3:C15,0))+1))/((L96-1)*(1-_xlfn.XLOOKUP(K96,'Fevereiro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Real'!C3:C15,0))+1))/((L94-1)*(1-_xlfn.XLOOKUP(K94,'Fevereiro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Real'!C3:C15,0))+1))/((L95-1)*(1-_xlfn.XLOOKUP(K95,'Fevereiro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Real'!C3:C15,0))+1))/((L96-1)*(1-_xlfn.XLOOKUP(K96,'Fevereiro 2023 - Valor Real'!A3:A15,'Fevereiro 2023 - Valor Real'!C3:C15,0))+1)))</f>
        <v/>
      </c>
      <c r="AF96" s="66">
        <f t="shared" si="198"/>
        <v>0</v>
      </c>
      <c r="AG96" s="67">
        <f t="shared" si="198"/>
        <v>0</v>
      </c>
      <c r="AH96" s="67">
        <f t="shared" si="198"/>
        <v>0</v>
      </c>
      <c r="AI96" s="67">
        <f t="shared" si="198"/>
        <v>0</v>
      </c>
      <c r="AJ96" s="67">
        <f t="shared" si="198"/>
        <v>0</v>
      </c>
      <c r="AK96" s="67">
        <f t="shared" si="198"/>
        <v>0</v>
      </c>
      <c r="AL96" s="67">
        <f t="shared" si="198"/>
        <v>0</v>
      </c>
      <c r="AM96" s="67">
        <f t="shared" si="198"/>
        <v>0</v>
      </c>
      <c r="AN96" s="67">
        <f t="shared" si="198"/>
        <v>0</v>
      </c>
      <c r="AO96" s="67">
        <f t="shared" si="198"/>
        <v>0</v>
      </c>
      <c r="AP96" s="67">
        <f t="shared" si="198"/>
        <v>0</v>
      </c>
      <c r="AQ96" s="67">
        <f t="shared" si="198"/>
        <v>0</v>
      </c>
      <c r="AR96" s="68">
        <f t="shared" si="198"/>
        <v>0</v>
      </c>
      <c r="AS96" s="66">
        <f>IF(AND($B94=" ",$K96=AS$3),$O96,0)</f>
        <v>0</v>
      </c>
      <c r="AT96" s="67">
        <f>IF(AND($B94=" ",K96=AT$3),$O96,0)</f>
        <v>0</v>
      </c>
      <c r="AU96" s="67">
        <f t="shared" ref="AU96:BE96" si="203">IF(AND($B94=" ",$K96=AU$3),$O96,0)</f>
        <v>0</v>
      </c>
      <c r="AV96" s="67">
        <f t="shared" si="203"/>
        <v>0</v>
      </c>
      <c r="AW96" s="67">
        <f t="shared" si="203"/>
        <v>0</v>
      </c>
      <c r="AX96" s="67">
        <f t="shared" si="203"/>
        <v>0</v>
      </c>
      <c r="AY96" s="69">
        <f t="shared" si="203"/>
        <v>0</v>
      </c>
      <c r="AZ96" s="70">
        <f t="shared" si="203"/>
        <v>0</v>
      </c>
      <c r="BA96" s="70">
        <f t="shared" si="203"/>
        <v>0</v>
      </c>
      <c r="BB96" s="70">
        <f t="shared" si="203"/>
        <v>0</v>
      </c>
      <c r="BC96" s="71">
        <f t="shared" si="203"/>
        <v>0</v>
      </c>
      <c r="BD96" s="67">
        <f t="shared" si="203"/>
        <v>0</v>
      </c>
      <c r="BE96" s="68">
        <f t="shared" si="203"/>
        <v>0</v>
      </c>
      <c r="BF96" s="66">
        <f t="shared" si="200"/>
        <v>0</v>
      </c>
      <c r="BG96" s="168">
        <f t="shared" si="200"/>
        <v>0</v>
      </c>
      <c r="BH96" s="67">
        <f t="shared" si="200"/>
        <v>0</v>
      </c>
      <c r="BI96" s="67">
        <f t="shared" si="200"/>
        <v>0</v>
      </c>
      <c r="BJ96" s="67">
        <f t="shared" si="200"/>
        <v>0</v>
      </c>
      <c r="BK96" s="67">
        <f t="shared" si="200"/>
        <v>0</v>
      </c>
      <c r="BL96" s="67">
        <f t="shared" si="200"/>
        <v>0</v>
      </c>
      <c r="BM96" s="69">
        <f t="shared" si="200"/>
        <v>0</v>
      </c>
      <c r="BN96" s="70">
        <f t="shared" si="200"/>
        <v>0</v>
      </c>
      <c r="BO96" s="70">
        <f t="shared" si="200"/>
        <v>0</v>
      </c>
      <c r="BP96" s="70">
        <f t="shared" si="200"/>
        <v>0</v>
      </c>
      <c r="BQ96" s="71">
        <f t="shared" si="200"/>
        <v>0</v>
      </c>
      <c r="BR96" s="68">
        <f t="shared" si="200"/>
        <v>0</v>
      </c>
      <c r="BS96" s="491"/>
      <c r="BT96" s="489"/>
      <c r="BU96" s="392"/>
      <c r="BV96" s="489"/>
      <c r="BW96" s="392"/>
      <c r="BX96" s="392"/>
      <c r="BY96" s="392"/>
      <c r="BZ96" s="489"/>
      <c r="CA96" s="392"/>
      <c r="CB96" s="392"/>
      <c r="CC96" s="392"/>
      <c r="CD96" s="401"/>
      <c r="CE96" s="409"/>
      <c r="CF96" s="169">
        <f t="shared" si="131"/>
        <v>0</v>
      </c>
      <c r="CG96" s="170">
        <f t="shared" si="132"/>
        <v>0</v>
      </c>
      <c r="CH96" s="170">
        <f t="shared" si="133"/>
        <v>0</v>
      </c>
      <c r="CI96" s="170">
        <f t="shared" si="134"/>
        <v>0</v>
      </c>
      <c r="CJ96" s="170">
        <f t="shared" si="135"/>
        <v>0</v>
      </c>
      <c r="CK96" s="170">
        <f t="shared" si="136"/>
        <v>0</v>
      </c>
      <c r="CL96" s="170">
        <f t="shared" si="137"/>
        <v>0</v>
      </c>
      <c r="CM96" s="170">
        <f t="shared" si="138"/>
        <v>0</v>
      </c>
      <c r="CN96" s="170">
        <f t="shared" si="139"/>
        <v>0</v>
      </c>
      <c r="CO96" s="170">
        <f t="shared" si="140"/>
        <v>0</v>
      </c>
      <c r="CP96" s="170">
        <f t="shared" si="141"/>
        <v>0</v>
      </c>
      <c r="CQ96" s="170">
        <f t="shared" si="142"/>
        <v>0</v>
      </c>
      <c r="CR96" s="170">
        <f t="shared" si="143"/>
        <v>0</v>
      </c>
      <c r="CS96" s="170">
        <f t="shared" si="144"/>
        <v>0</v>
      </c>
      <c r="CT96" s="75">
        <f t="shared" si="145"/>
        <v>0</v>
      </c>
      <c r="CU96" s="76">
        <f t="shared" si="146"/>
        <v>0</v>
      </c>
      <c r="CV96" s="76">
        <f t="shared" si="147"/>
        <v>0</v>
      </c>
      <c r="CW96" s="76">
        <f t="shared" si="148"/>
        <v>0</v>
      </c>
      <c r="CX96" s="76">
        <f t="shared" si="149"/>
        <v>0</v>
      </c>
      <c r="CY96" s="76">
        <f t="shared" si="150"/>
        <v>0</v>
      </c>
      <c r="CZ96" s="76">
        <f t="shared" si="151"/>
        <v>0</v>
      </c>
      <c r="DA96" s="76">
        <f t="shared" si="152"/>
        <v>0</v>
      </c>
      <c r="DB96" s="76">
        <f t="shared" si="153"/>
        <v>0</v>
      </c>
      <c r="DC96" s="76">
        <f t="shared" si="154"/>
        <v>0</v>
      </c>
      <c r="DD96" s="76">
        <f t="shared" si="155"/>
        <v>0</v>
      </c>
      <c r="DE96" s="77">
        <f t="shared" si="156"/>
        <v>0</v>
      </c>
      <c r="DF96" s="73">
        <f t="shared" si="158"/>
        <v>11</v>
      </c>
      <c r="DG96" s="67">
        <f t="shared" si="159"/>
        <v>14.450000000000001</v>
      </c>
      <c r="DH96" s="76">
        <f t="shared" si="160"/>
        <v>0</v>
      </c>
      <c r="DI96" s="67">
        <f t="shared" si="161"/>
        <v>0</v>
      </c>
      <c r="DJ96" s="202" t="str">
        <f>IF($D94="","",$D94)</f>
        <v>2</v>
      </c>
      <c r="DK96" s="493"/>
    </row>
    <row r="97" spans="1:115" ht="14.5" customHeight="1" x14ac:dyDescent="0.2">
      <c r="A97" s="459">
        <f>$A94+1</f>
        <v>32</v>
      </c>
      <c r="B97" s="507" t="str">
        <f>IF(OR(C97="W",C98="W",C99="W",C97="1/2W",C98="1/2W",C99="1/2W",C97="1/2L",C98="1/2L",C99="1/2L"),"OK",IF(OR(C97="L",C98="L",C99="L"),"LOSS",IF(OR(C97="X",C98="X",C99="X"),"Anulado"," ")))</f>
        <v>OK</v>
      </c>
      <c r="C97" s="93" t="s">
        <v>55</v>
      </c>
      <c r="D97" s="468" t="str">
        <f>IF(G97="","",$D94)</f>
        <v>2</v>
      </c>
      <c r="E97" s="485" t="str">
        <f>IF(G97=""," ","– "&amp;COUNTIF(D$4:D99,$D97))</f>
        <v>– 15</v>
      </c>
      <c r="F97" s="509" t="str">
        <f ca="1">IF(G97="","",IF(OR(AND($C97&lt;&gt;" ",$C98=" "),AND($C98&lt;&gt;" ",$C97=" "),AND(L99&gt;0,OR(AND($C99&lt;&gt;" ",OR($C97=" ",$C98=" ")),AND($C99=" ",OR($C97&lt;&gt;" ",$C98&lt;&gt;" "))))),IF(SUM(F$6:F92)=0,1,LARGE(F$6:F92,1)+1),IF(MONTH(G97)=MONTH(TODAY()),IF(AND(DAY(G97)&lt;DAY(TODAY()),$B97=" "),IF(SUM(F$6:F92)=0,1,LARGE(F$6:F92,1)+1),IF($B97=" ",IF(AND(DAY(G97)=DAY(TODAY()),HOUR(G97)&lt;=HOUR(NOW())+1),IF(AND(HOUR(G97)+2&lt;=HOUR(NOW()),DAY(G97)&lt;=DAY(TODAY()),MINUTE(G97)&lt;=MINUTE(NOW())),IF(SUM(F$6:F92)=0,1,LARGE(F$6:F92,1)+1),IF(OR(MINUTE(G97)&lt;=MINUTE(NOW()),HOUR(G97)&lt;=HOUR(NOW())),"!!!","")),""),"")),"")))</f>
        <v/>
      </c>
      <c r="G97" s="482">
        <v>44988.416666666664</v>
      </c>
      <c r="H97" s="475" t="s">
        <v>84</v>
      </c>
      <c r="I97" s="94" t="s">
        <v>66</v>
      </c>
      <c r="J97" s="95">
        <v>0</v>
      </c>
      <c r="K97" s="96" t="s">
        <v>43</v>
      </c>
      <c r="L97" s="97">
        <v>1.869</v>
      </c>
      <c r="M97" s="98"/>
      <c r="N97" s="478">
        <v>0</v>
      </c>
      <c r="O97" s="99">
        <f>IF(OR(AE97="",AE98=""),"",ROUND(IF(L99&gt;0,IF(M97&gt;0,M97,IF(M98&gt;0,ROUND((M98*AE97)/AE98,IF(N97=0,2,IF(N97=0.1,1,0))),ROUND((M99*AE97)/AE99,IF(N97=0,2,IF(N97=0.1,1,0))))),IF(M97&gt;0,M97,ROUND((M98*AE97)/AE98,IF(N97=0,2,IF(N97=0.1,1,0))))),2))</f>
        <v>10.11</v>
      </c>
      <c r="P97" s="100">
        <f>IF(OR(L97="",O97=""),"",IF($C97="1/2W",O97/2+O97/2*L97,IF($C97="1/2L",O97/2,IF(I97="Lay",(O97*(L97/(L97-1))-O97)*(1-_xlfn.XLOOKUP(K97,'Fevereiro 2023 - Valor Real'!A3:A15,'Fevereiro 2023 - Valor Real'!C3:C15,0))+O97,(O97*L97-O97)*(1-_xlfn.XLOOKUP(K97,'Fevereiro 2023 - Valor Real'!A3:A15,'Fevereiro 2023 - Valor Real'!C3:C15,0))+O97))))</f>
        <v>18.895589999999999</v>
      </c>
      <c r="Q97" s="101">
        <f>IF(K97="","",IF(_xlfn.XLOOKUP(K97,K$6:K92,$DJ$6:DJ92,0,,-1)=DJ97,_xlfn.XLOOKUP(K97,K$6:K92,Q$6:Q92,1,,-1)+1,1))</f>
        <v>3</v>
      </c>
      <c r="R97" s="102">
        <f>IF(K97="","",_xlfn.XLOOKUP(K97,K$6:K92,R$6:R92,0,,-1)+IF($C97=" ",1,0))</f>
        <v>0</v>
      </c>
      <c r="S97" s="474">
        <f>IF($B97="Anulado",0,ROUND(IF(OR($B97="LOSS",$B97="OK"),IF(OR($C97="W",$C97="1/2W",$C97="1/2L"),P97-O97,IF($C97="L",-O97,0))+IF(OR($C98="W",$C98="1/2W",$C98="1/2L"),P98-O98,IF($C98="L",-O98,0))+IF(OR($C99="W",$C99="1/2W",$C99="1/2L"),P99-O99,IF($C99="L",-O99,0)),IF(AND(OR($C97="W",$C97="1/2W",$C97="1/2L"),C98="W"),P97+P98-SUM(O97:O99)+_xlfn.XLOOKUP("X",C97:C99,O97:O99,0),IF(AND(C97=TRUE,C99="W"),P97+P99-SUM(O97:O99),IF(AND(C98="W",C99="W"),P98+P99-SUM(O97:O99)+_xlfn.XLOOKUP("X",C97:C99,O97:O99,0),IF(L99&gt;0,IF(OR($C97="W",$C97="1/2W",$C97="1/2L"),P97-SUM(O97:O99)+_xlfn.XLOOKUP("X",C97:C99,O97:O99,0),IF(OR($C97="W",$C97="1/2W",$C97="1/2L"),P98-SUM(O97:O99)+_xlfn.XLOOKUP("X",C97:C99,O97:O99,0),IF(OR($C97="W",$C97="1/2W",$C97="1/2L"),P99-SUM(O97:O99)+_xlfn.XLOOKUP("X",C97:C99,O97:O99,0),IF(SUM(P97:P99)/3-SUM(O97:O99)+_xlfn.XLOOKUP("X",C97:C99,O97:O99,0)&gt;0,SUM(P97:P99)/3-SUM(O97:O99)+_xlfn.XLOOKUP("X",C97:C99,O97:O99,0),LARGE(P97:P99,1)-SUM(O97:O99))))),IF(OR($C97="W",$C97="1/2W",$C97="1/2L"),P97-SUM(O97:O98)+_xlfn.XLOOKUP("X",C97:C99,O97:O99,0),IF(OR($C97="W",$C97="1/2W",$C97="1/2L"),P98-SUM(O97:O98)+_xlfn.XLOOKUP("X",C97:C99,O97:O99,0),SUM(P97:P98)/2-SUM(O97:O98)+_xlfn.XLOOKUP("X",C97:C99,O97:O99,0)))))))),2))</f>
        <v>1.1399999999999999</v>
      </c>
      <c r="T97" s="458">
        <f>IF(S97=0,0,S97/SUM(O97:O99))</f>
        <v>6.4189189189189186E-2</v>
      </c>
      <c r="U97" s="470">
        <f>IF($D97=$D94,IF(OR($B97="LOSS",$B97="OK",$B97="Anulada"),S97,0)+U94,IF(OR($B97="LOSS",$B97="OK",$B97="Anulada"),S97,0))</f>
        <v>28.539999999999996</v>
      </c>
      <c r="V97" s="470">
        <f>IF($D97="",0,IF($D97=$D94,IF($B97=" ",IF(I99="",IF(OR(AND(I97="DNB1",I98="DNB2"),AND(OR(I97="DNB1",I97="DNB2"),J98=0),AND(OR(I98="DNB1",I98="DNB2"),J97=0),AND(I97="DNB2",I98="DNB1"),AND(IF(J97=0,(J97+1)/ROUND(J97+1,0),J97/ROUND(J97,0))=1,IF(J98=0,(J98+1)/ROUND(IF(J98="",0,J98)+1,0),IF(J98="",0,J98)/ROUND(IF(J98="",1,J98),0))=1,OR(J97&lt;&gt;""),J98&lt;&gt;"")),0,IF(S97&lt;0,IF(I99="",SMALL(P97:P98,1)-SUM(O97:O98),0),SMALL(P97:P98,1)-SUM(O97:O98))),IF(S97&lt;0,IF(I99="",SMALL(P97:P99,1)-SUM(O97:O99),0),LARGE(P97:P99,1)-SUM(O97:O99))),S97)+V94,IF(I99="",IF(OR(AND(I97="DNB1",I98="DNB2"),AND(OR(I97="DNB1",I97="DNB2"),J98=0),AND(OR(I98="DNB1",I98="DNB2"),J97=0),AND(I97="DNB2",I98="DNB1"),AND(IF(J97=0,(J97+1)/ROUND(J97+1,0),J97/ROUND(J97,0))=1,IF(J98=0,(IF(J98="",0,J98)+1)/ROUND(IF(J98="",0,J98)+1,0),IF(J98="",0,J98)/ROUND(IF(J98="",0,J98)+1,0))=1,OR(J97&lt;&gt;""),J98&lt;&gt;"")),0,IF(S97&lt;0,IF(I99="",SMALL(P97:P98,1)-SUM(O97:O98),0),SMALL(P97:P99,1)-SUM(O97:O99))),IF(S97&lt;0,IF(I99="",SMALL(P97:P99,1)-SUM(O97:O99),0),LARGE(P97:P99,1)-SUM(O97:O99)))))</f>
        <v>28.48</v>
      </c>
      <c r="W97" s="470">
        <f>IF($D97=$D94,IF(S97&lt;0,IF(I99="",S97,0),S97)+W94,S97)</f>
        <v>28.539999999999996</v>
      </c>
      <c r="X97" s="480" t="str">
        <f>IF(OR(SUM(R97:R99)=0,V97=W97),ROUND(IF(W97=0,0,W97/Y97)*100,2)&amp;"%",ROUND(IF(V97=0,0,V97/Y97)*100,2)&amp;"% a "&amp;ROUND(IF(W97=0,0,W97/Y97)*100,2)&amp;"%")</f>
        <v>4,95%</v>
      </c>
      <c r="Y97" s="471">
        <f>IF($D97=$D94,Y94+SUM(O97:O99),SUM(O97:O99))</f>
        <v>576.7600000000001</v>
      </c>
      <c r="Z97" s="470">
        <f>IF($B97=" ",SUM(O97:O99),0)+Z94</f>
        <v>0</v>
      </c>
      <c r="AA97" s="470">
        <f>IF(G97="","",IF($B97="Anulado",LARGE(P97:P99,1)-SUM(O97:O99)+AA94,AA94))</f>
        <v>0.45899999999999785</v>
      </c>
      <c r="AB97" s="470">
        <f>IF($D97="","",AB94+S97)</f>
        <v>57.189999999999984</v>
      </c>
      <c r="AC97" s="472">
        <f ca="1">IF($D97="","",IF($B97=" ",IF(DAY(G97)=DAY(TODAY()),1+AC94,0+AC94),0+AC94))</f>
        <v>0</v>
      </c>
      <c r="AD97" s="103">
        <f>(((L98/(L98-1)-1)*(1-_xlfn.XLOOKUP(K98,'Fevereiro 2023 - Valor Real'!A3:A15,'Fevereiro 2023 - Valor Real'!C3:C15,0))+1))/(((L97-1)*(1-_xlfn.XLOOKUP(K97,'Fevereiro 2023 - Valor Real'!A3:A15,'Fevereiro 2023 - Valor Real'!C3:C15,0))+1)+((L98/(L98-1)-1)*(1-_xlfn.XLOOKUP(K98,'Fevereiro 2023 - Valor Real'!A3:A15,'Fevereiro 2023 - Valor Real'!C3:C15,0))+1))</f>
        <v>0.47341315551909657</v>
      </c>
      <c r="AE97" s="104">
        <f>IF(L97="","",IF(L99&gt;0,(SUM(((L97-1)*(1-_xlfn.XLOOKUP(K97,'Fevereiro 2023 - Valor Real'!A3:A15,'Fevereiro 2023 - Valor Real'!C3:C15,0))+1),((L98-1)*(1-_xlfn.XLOOKUP(K98,'Fevereiro 2023 - Valor Real'!A3:A15,'Fevereiro 2023 - Valor Real'!C3:C15,0))+1),((L99-1)*(1-_xlfn.XLOOKUP(K99,'Fevereiro 2023 - Valor Real'!A3:A15,'Fevereiro 2023 - Valor Real'!C3:C15,0))+1))/((L97-1)*(1-_xlfn.XLOOKUP(K97,'Fevereiro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Real'!C3:C15,0))+1))/((L97-1)*(1-_xlfn.XLOOKUP(K97,'Fevereiro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Real'!C3:C15,0))+1))/((L98-1)*(1-_xlfn.XLOOKUP(K98,'Fevereiro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Real'!C3:C15,0))+1))/((L99-1)*(1-_xlfn.XLOOKUP(K99,'Fevereiro 2023 - Valor Real'!A3:A15,'Fevereiro 2023 - Valor Real'!C3:C15,0))+1)),IF(I97="Lay",IF(I98="Lay",((L98/(L98-1)-1)*(1-_xlfn.XLOOKUP(K98,'Fevereiro 2023 - Valor Real'!A3:A15,'Fevereiro 2023 - Valor Real'!C3:C15,0))+1)/(((L98/(L98-1)-1)*(1-_xlfn.XLOOKUP(K98,'Fevereiro 2023 - Valor Real'!A3:A15,'Fevereiro 2023 - Valor Real'!C3:C15,0))+1)+((L97/(L97-1)-1)*(1-_xlfn.XLOOKUP(K97,'Fevereiro 2023 - Valor Real'!A3:A15,'Fevereiro 2023 - Valor Real'!C3:C15,0))+1)),((L98-1)*(1-_xlfn.XLOOKUP(K98,'Fevereiro 2023 - Valor Real'!A3:A15,'Fevereiro 2023 - Valor Real'!C3:C15,0))+1)/(((L98-1)*(1-_xlfn.XLOOKUP(K98,'Fevereiro 2023 - Valor Real'!A3:A15,'Fevereiro 2023 - Valor Real'!C3:C15,0))+1)+((L97/(L97-1)-1)*(1-_xlfn.XLOOKUP(K97,'Fevereiro 2023 - Valor Real'!A3:A15,'Fevereiro 2023 - Valor Real'!C3:C15,0))+1))),IF(I98="Lay",(((L98/(L98-1)-1)*(1-_xlfn.XLOOKUP(K98,'Fevereiro 2023 - Valor Real'!A3:A15,'Fevereiro 2023 - Valor Real'!C3:C15,0))+1))/(((L97-1)*(1-_xlfn.XLOOKUP(K97,'Fevereiro 2023 - Valor Real'!A3:A15,'Fevereiro 2023 - Valor Real'!C3:C15,0))+1)+((L98/(L98-1)-1)*(1-_xlfn.XLOOKUP(K98,'Fevereiro 2023 - Valor Real'!A3:A15,'Fevereiro 2023 - Valor Real'!C3:C15,0))+1)),((L98-1)*(1-_xlfn.XLOOKUP(K98,'Fevereiro 2023 - Valor Real'!A3:A15,'Fevereiro 2023 - Valor Real'!C3:C15,0))+1)/(((L98-1)*(1-_xlfn.XLOOKUP(K98,'Fevereiro 2023 - Valor Real'!A3:A15,'Fevereiro 2023 - Valor Real'!C3:C15,0))+1)+((L97-1)*(1-_xlfn.XLOOKUP(K97,'Fevereiro 2023 - Valor Real'!A3:A15,'Fevereiro 2023 - Valor Real'!C3:C15,0))+1))))))</f>
        <v>0.5692555888453561</v>
      </c>
      <c r="AF97" s="105">
        <f t="shared" si="198"/>
        <v>0</v>
      </c>
      <c r="AG97" s="106">
        <f t="shared" si="198"/>
        <v>0</v>
      </c>
      <c r="AH97" s="106">
        <f t="shared" si="198"/>
        <v>0</v>
      </c>
      <c r="AI97" s="106">
        <f t="shared" si="198"/>
        <v>0</v>
      </c>
      <c r="AJ97" s="106">
        <f t="shared" si="198"/>
        <v>0</v>
      </c>
      <c r="AK97" s="106">
        <f t="shared" si="198"/>
        <v>0</v>
      </c>
      <c r="AL97" s="106">
        <f t="shared" si="198"/>
        <v>0</v>
      </c>
      <c r="AM97" s="106">
        <f t="shared" si="198"/>
        <v>-10.11</v>
      </c>
      <c r="AN97" s="106">
        <f t="shared" si="198"/>
        <v>0</v>
      </c>
      <c r="AO97" s="106">
        <f t="shared" si="198"/>
        <v>0</v>
      </c>
      <c r="AP97" s="106">
        <f t="shared" si="198"/>
        <v>0</v>
      </c>
      <c r="AQ97" s="106">
        <f t="shared" si="198"/>
        <v>0</v>
      </c>
      <c r="AR97" s="107">
        <f t="shared" si="198"/>
        <v>0</v>
      </c>
      <c r="AS97" s="105">
        <f t="shared" ref="AS97:BE97" si="204">IF(AND($B97=" ",$K97=AS$3),$O97,0)</f>
        <v>0</v>
      </c>
      <c r="AT97" s="106">
        <f t="shared" si="204"/>
        <v>0</v>
      </c>
      <c r="AU97" s="106">
        <f t="shared" si="204"/>
        <v>0</v>
      </c>
      <c r="AV97" s="106">
        <f t="shared" si="204"/>
        <v>0</v>
      </c>
      <c r="AW97" s="106">
        <f t="shared" si="204"/>
        <v>0</v>
      </c>
      <c r="AX97" s="106">
        <f t="shared" si="204"/>
        <v>0</v>
      </c>
      <c r="AY97" s="108">
        <f t="shared" si="204"/>
        <v>0</v>
      </c>
      <c r="AZ97" s="109">
        <f t="shared" si="204"/>
        <v>0</v>
      </c>
      <c r="BA97" s="109">
        <f t="shared" si="204"/>
        <v>0</v>
      </c>
      <c r="BB97" s="109">
        <f t="shared" si="204"/>
        <v>0</v>
      </c>
      <c r="BC97" s="110">
        <f t="shared" si="204"/>
        <v>0</v>
      </c>
      <c r="BD97" s="106">
        <f t="shared" si="204"/>
        <v>0</v>
      </c>
      <c r="BE97" s="107">
        <f t="shared" si="204"/>
        <v>0</v>
      </c>
      <c r="BF97" s="111">
        <f t="shared" si="200"/>
        <v>0</v>
      </c>
      <c r="BG97" s="106">
        <f t="shared" si="200"/>
        <v>0</v>
      </c>
      <c r="BH97" s="106">
        <f t="shared" si="200"/>
        <v>0</v>
      </c>
      <c r="BI97" s="106">
        <f t="shared" si="200"/>
        <v>0</v>
      </c>
      <c r="BJ97" s="106">
        <f t="shared" si="200"/>
        <v>0</v>
      </c>
      <c r="BK97" s="106">
        <f t="shared" si="200"/>
        <v>0</v>
      </c>
      <c r="BL97" s="106">
        <f t="shared" si="200"/>
        <v>0</v>
      </c>
      <c r="BM97" s="108">
        <f t="shared" si="200"/>
        <v>10.11</v>
      </c>
      <c r="BN97" s="109">
        <f t="shared" si="200"/>
        <v>0</v>
      </c>
      <c r="BO97" s="109">
        <f t="shared" si="200"/>
        <v>0</v>
      </c>
      <c r="BP97" s="109">
        <f t="shared" si="200"/>
        <v>0</v>
      </c>
      <c r="BQ97" s="110">
        <f t="shared" si="200"/>
        <v>0</v>
      </c>
      <c r="BR97" s="107">
        <f t="shared" si="200"/>
        <v>0</v>
      </c>
      <c r="BS97" s="463">
        <f>IF($B97="LOSS",IF(AND($K97=BS$3,$C97="L"),-$O97,0)+IF(AND($K98=BS$3,$C98="L"),-$O98,0)+IF(AND($K99=BS$3,$C99="L"),-$O99,0),IF(OR(AND($K97=BS$3,OR($C97="W",$C97="1/2W")),AND($K98=BS$3,OR($C98="W",$C98="1/2W")),AND($K99=BS$3,OR($C99="W",$C99="1/2W"))),$S97,0))</f>
        <v>0</v>
      </c>
      <c r="BT97" s="462">
        <f>IF($B97="LOSS",IF(AND($K97=BT$3,$C97="L"),-$O97,0)+IF(AND($K98=BT$3,$C98="L"),-$O98,0)+IF(AND($K98=BT$3,$C99="L"),-$O99,0),IF(OR(AND($K98=BT$3,OR($C97="W",$C97="1/2W")),AND($K98=BT$3,OR($C98="W",$C98="1/2W")),AND($K98=BT$3,OR($C99="W",$C99="1/2W"))),$S97,0))</f>
        <v>0</v>
      </c>
      <c r="BU97" s="462">
        <f>IF($B97="LOSS",IF(AND($K97=BU$3,$C97="L"),-$O97,0)+IF(AND($K98=BU$3,$C98="L"),-$O98,0)+IF(AND($K98=BU$3,$C99="L"),-$O99,0),IF(OR(AND($K98=BU$3,OR($C97="W",$C97="1/2W")),AND($K98=BU$3,OR($C98="W",$C98="1/2W")),AND($K98=BU$3,OR($C99="W",$C99="1/2W"))),$S97,0))</f>
        <v>0</v>
      </c>
      <c r="BV97" s="462">
        <f t="shared" ref="BV97:CE97" si="205">IF($B97="LOSS",IF(AND($K97=BV$3,$C97="L"),-$O97,0)+IF(AND($K98=BV$3,$C98="L"),-$O98,0)+IF(AND($K99=BV$3,$C99="L"),-$O99,0),IF(OR(AND($K97=BV$3,OR($C97="W",$C97="1/2W")),AND($K98=BV$3,OR($C98="W",$C98="1/2W")),AND($K99=BV$3,OR($C99="W",$C99="1/2W"))),$S97,0))</f>
        <v>0</v>
      </c>
      <c r="BW97" s="462">
        <f t="shared" si="205"/>
        <v>1.1399999999999999</v>
      </c>
      <c r="BX97" s="462">
        <f t="shared" si="205"/>
        <v>0</v>
      </c>
      <c r="BY97" s="462">
        <f t="shared" si="205"/>
        <v>0</v>
      </c>
      <c r="BZ97" s="460">
        <f t="shared" si="205"/>
        <v>0</v>
      </c>
      <c r="CA97" s="460">
        <f t="shared" si="205"/>
        <v>0</v>
      </c>
      <c r="CB97" s="460">
        <f t="shared" si="205"/>
        <v>0</v>
      </c>
      <c r="CC97" s="460">
        <f t="shared" si="205"/>
        <v>0</v>
      </c>
      <c r="CD97" s="473">
        <f t="shared" si="205"/>
        <v>0</v>
      </c>
      <c r="CE97" s="479">
        <f t="shared" si="205"/>
        <v>0</v>
      </c>
      <c r="CF97" s="113">
        <f t="shared" si="131"/>
        <v>0</v>
      </c>
      <c r="CG97" s="114">
        <f t="shared" si="132"/>
        <v>0</v>
      </c>
      <c r="CH97" s="114">
        <f t="shared" si="133"/>
        <v>0</v>
      </c>
      <c r="CI97" s="114">
        <f t="shared" si="134"/>
        <v>0</v>
      </c>
      <c r="CJ97" s="114">
        <f t="shared" si="135"/>
        <v>0</v>
      </c>
      <c r="CK97" s="114">
        <f t="shared" si="136"/>
        <v>0</v>
      </c>
      <c r="CL97" s="114">
        <f t="shared" si="137"/>
        <v>0</v>
      </c>
      <c r="CM97" s="114">
        <f t="shared" si="138"/>
        <v>0</v>
      </c>
      <c r="CN97" s="114">
        <f t="shared" si="139"/>
        <v>0</v>
      </c>
      <c r="CO97" s="114">
        <f t="shared" si="140"/>
        <v>0</v>
      </c>
      <c r="CP97" s="114">
        <f t="shared" si="141"/>
        <v>0</v>
      </c>
      <c r="CQ97" s="114">
        <f t="shared" si="142"/>
        <v>0</v>
      </c>
      <c r="CR97" s="114">
        <f t="shared" si="143"/>
        <v>0</v>
      </c>
      <c r="CS97" s="114">
        <f t="shared" si="144"/>
        <v>0</v>
      </c>
      <c r="CT97" s="115">
        <f t="shared" si="145"/>
        <v>0</v>
      </c>
      <c r="CU97" s="116">
        <f t="shared" si="146"/>
        <v>1</v>
      </c>
      <c r="CV97" s="116">
        <f t="shared" si="147"/>
        <v>0</v>
      </c>
      <c r="CW97" s="116">
        <f t="shared" si="148"/>
        <v>0</v>
      </c>
      <c r="CX97" s="116">
        <f t="shared" si="149"/>
        <v>0</v>
      </c>
      <c r="CY97" s="116">
        <f t="shared" si="150"/>
        <v>0</v>
      </c>
      <c r="CZ97" s="116">
        <f t="shared" si="151"/>
        <v>0</v>
      </c>
      <c r="DA97" s="116">
        <f t="shared" si="152"/>
        <v>0</v>
      </c>
      <c r="DB97" s="116">
        <f t="shared" si="153"/>
        <v>0</v>
      </c>
      <c r="DC97" s="116">
        <f t="shared" si="154"/>
        <v>0</v>
      </c>
      <c r="DD97" s="116">
        <f t="shared" si="155"/>
        <v>0</v>
      </c>
      <c r="DE97" s="117">
        <f t="shared" si="156"/>
        <v>0</v>
      </c>
      <c r="DF97" s="118">
        <f t="shared" si="158"/>
        <v>11</v>
      </c>
      <c r="DG97" s="106">
        <f t="shared" si="159"/>
        <v>14.450000000000001</v>
      </c>
      <c r="DH97" s="116">
        <f t="shared" si="160"/>
        <v>0</v>
      </c>
      <c r="DI97" s="106">
        <f t="shared" si="161"/>
        <v>0</v>
      </c>
      <c r="DJ97" s="201" t="str">
        <f>IF($D97="","",$D97)</f>
        <v>2</v>
      </c>
      <c r="DK97" s="465">
        <f>IF(AND($B97=" ",$D97&lt;&gt;""),1,0)</f>
        <v>0</v>
      </c>
    </row>
    <row r="98" spans="1:115" ht="14.5" customHeight="1" x14ac:dyDescent="0.2">
      <c r="A98" s="389"/>
      <c r="B98" s="456"/>
      <c r="C98" s="120" t="s">
        <v>54</v>
      </c>
      <c r="D98" s="374"/>
      <c r="E98" s="386"/>
      <c r="F98" s="377"/>
      <c r="G98" s="483"/>
      <c r="H98" s="476"/>
      <c r="I98" s="121" t="s">
        <v>76</v>
      </c>
      <c r="J98" s="122">
        <f>IF(OR(I97="TO",I97="TU",I97="TO1",I97="TU1",I97="TO2",I97="TU2"),J97,IF(OR(I97="AH1",I97="AH2"),IF(OR(I98="AH1",I98="AH2"),-J97,IF(OR(I98="EH1",I98="EH2"),-J97+0.5,"")),IF(OR(I97="EH1",I97="EH2"),IF(OR(I98="AH1",I98="AH2"),-J97+0.5,IF(OR(I98="EH1",I98="EH2"),-J97+1,"")),IF(AND(OR(I97="DNB1",I97="DNB2"),OR(I98="AH1",I98="AH2")),0,IF(AND(I97="Not ScoreBoth",OR(I98="TO1",I98="TO2")),0.5,"")))))</f>
        <v>0</v>
      </c>
      <c r="K98" s="123" t="s">
        <v>40</v>
      </c>
      <c r="L98" s="124">
        <v>2.4700000000000002</v>
      </c>
      <c r="M98" s="125">
        <v>7.65</v>
      </c>
      <c r="N98" s="406"/>
      <c r="O98" s="126">
        <f>IF(OR(AE97="",AE98=""),"",ROUND(IF(L99&gt;0,IF(M98&gt;0,M98,IF(M97&gt;0,IF(N97=TRUE,ROUND((M97*AE98)/AE97,0),(M97*AE98)/AE97),IF(M98&gt;0,ROUND(M98,IF(N97=0,2,IF(N97=0.1,1,0))),IF(M99&gt;0,ROUND(O99*AE98/AE99,IF(N97=0,2,IF(N97=0.1,1,0))),0)))),IF(M98&gt;0,M98,ROUND((M97*AE98)/AE97,IF(N97=0,2,IF(N97=0.1,1,0))))),2))</f>
        <v>7.65</v>
      </c>
      <c r="P98" s="127">
        <f>IF(OR(L98="",O98=""),"",IF($C98="1/2W",O98/2+O98/2*L98,IF($C98="1/2L",O98/2,IF(I98="Lay",((O98*(L98/(L98-1)))-O98)*(1-_xlfn.XLOOKUP(K98,'Fevereiro 2023 - Valor Real'!A3:A15,'Fevereiro 2023 - Valor Real'!C3:C15,0))+O98,(O98*L98-O98)*(1-_xlfn.XLOOKUP(K98,'Fevereiro 2023 - Valor Real'!A3:A15,'Fevereiro 2023 - Valor Real'!C3:C15,0))+O98))))</f>
        <v>18.895500000000002</v>
      </c>
      <c r="Q98" s="128">
        <f>IF(K98="","",IF(_xlfn.XLOOKUP(K98,K$7:K92,$DJ$7:DJ92,0,,-1)=DJ98,_xlfn.XLOOKUP(K98,K$7:K92,Q$7:Q92,1,,-1)+1,1))</f>
        <v>6</v>
      </c>
      <c r="R98" s="129">
        <f>IF(K98="","",_xlfn.XLOOKUP(K98,K$7:K92,R$7:R92,0,,-1)+IF($C98=" ",1,0))</f>
        <v>0</v>
      </c>
      <c r="S98" s="403"/>
      <c r="T98" s="380"/>
      <c r="U98" s="380"/>
      <c r="V98" s="481"/>
      <c r="W98" s="380"/>
      <c r="X98" s="452"/>
      <c r="Y98" s="383"/>
      <c r="Z98" s="384"/>
      <c r="AA98" s="384"/>
      <c r="AB98" s="384"/>
      <c r="AC98" s="384"/>
      <c r="AD98" s="130">
        <f>(((L98/(L98-1)-1)*(1-_xlfn.XLOOKUP(K98,'Fevereiro 2023 - Valor Real'!A3:A15,'Fevereiro 2023 - Valor Real'!C3:C15,0))+1))</f>
        <v>1.6802721088435373</v>
      </c>
      <c r="AE98" s="131">
        <f>IF(L98="","",IF(L99&gt;0,(SUM(((L97-1)*(1-_xlfn.XLOOKUP(K97,'Fevereiro 2023 - Valor Real'!A3:A15,'Fevereiro 2023 - Valor Real'!C3:C15,0))+1),((L98-1)*(1-_xlfn.XLOOKUP(K98,'Fevereiro 2023 - Valor Real'!A3:A15,'Fevereiro 2023 - Valor Real'!C3:C15,0))+1),((L99-1)*(1-_xlfn.XLOOKUP(K99,'Fevereiro 2023 - Valor Real'!A3:A15,'Fevereiro 2023 - Valor Real'!C3:C15,0))+1))/((L98-1)*(1-_xlfn.XLOOKUP(K98,'Fevereiro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Real'!C3:C15,0))+1))/((L97-1)*(1-_xlfn.XLOOKUP(K97,'Fevereiro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Real'!C3:C15,0))+1))/((L98-1)*(1-_xlfn.XLOOKUP(K98,'Fevereiro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Real'!C3:C15,0))+1))/((L99-1)*(1-_xlfn.XLOOKUP(K99,'Fevereiro 2023 - Valor Real'!A3:A15,'Fevereiro 2023 - Valor Real'!C3:C15,0))+1)),IF(I98="Lay",IF(I97="Lay",((L97/(L97-1)-1)*(1-_xlfn.XLOOKUP(K97,'Fevereiro 2023 - Valor Real'!A3:A15,'Fevereiro 2023 - Valor Real'!C3:C15,0))+1)/(((L97/(L97-1)-1)*(1-_xlfn.XLOOKUP(K97,'Fevereiro 2023 - Valor Real'!A3:A15,'Fevereiro 2023 - Valor Real'!C3:C15,0))+1)+((L98/(L98-1)-1)*(1-_xlfn.XLOOKUP(K98,'Fevereiro 2023 - Valor Real'!A3:A15,'Fevereiro 2023 - Valor Real'!C3:C15,0))+1)),((L97-1)*(1-_xlfn.XLOOKUP(K97,'Fevereiro 2023 - Valor Real'!A3:A15,'Fevereiro 2023 - Valor Real'!C3:C15,0))+1)/(((L97-1)*(1-_xlfn.XLOOKUP(K97,'Fevereiro 2023 - Valor Real'!A3:A15,'Fevereiro 2023 - Valor Real'!C3:C15,0))+1)+((L98/(L98-1)-1)*(1-_xlfn.XLOOKUP(K98,'Fevereiro 2023 - Valor Real'!A3:A15,'Fevereiro 2023 - Valor Real'!C3:C15,0))+1))),IF(I97="Lay",((L97/(L97-1)-1)*(1-_xlfn.XLOOKUP(K97,'Fevereiro 2023 - Valor Real'!A3:A15,'Fevereiro 2023 - Valor Real'!C3:C15,0))+1)/((((L97/(L97-1)-1)*(1-_xlfn.XLOOKUP(K97,'Fevereiro 2023 - Valor Real'!A3:A15,'Fevereiro 2023 - Valor Real'!C3:C15,0))+1))+((L98-1)*(1-_xlfn.XLOOKUP(K98,'Fevereiro 2023 - Valor Real'!A3:A15,'Fevereiro 2023 - Valor Real'!C3:C15,0))+1)),((L97-1)*(1-_xlfn.XLOOKUP(K97,'Fevereiro 2023 - Valor Real'!A3:A15,'Fevereiro 2023 - Valor Real'!C3:C15,0))+1)/(((L97-1)*(1-_xlfn.XLOOKUP(K97,'Fevereiro 2023 - Valor Real'!A3:A15,'Fevereiro 2023 - Valor Real'!C3:C15,0))+1)+((L98-1)*(1-_xlfn.XLOOKUP(K98,'Fevereiro 2023 - Valor Real'!A3:A15,'Fevereiro 2023 - Valor Real'!C3:C15,0))+1))))))</f>
        <v>0.4307444111546439</v>
      </c>
      <c r="AF98" s="105">
        <f t="shared" si="198"/>
        <v>0</v>
      </c>
      <c r="AG98" s="106">
        <f t="shared" si="198"/>
        <v>0</v>
      </c>
      <c r="AH98" s="106">
        <f t="shared" si="198"/>
        <v>0</v>
      </c>
      <c r="AI98" s="106">
        <f t="shared" si="198"/>
        <v>0</v>
      </c>
      <c r="AJ98" s="106">
        <f t="shared" si="198"/>
        <v>11.25</v>
      </c>
      <c r="AK98" s="106">
        <f t="shared" si="198"/>
        <v>0</v>
      </c>
      <c r="AL98" s="106">
        <f t="shared" si="198"/>
        <v>0</v>
      </c>
      <c r="AM98" s="106">
        <f t="shared" si="198"/>
        <v>0</v>
      </c>
      <c r="AN98" s="106">
        <f t="shared" si="198"/>
        <v>0</v>
      </c>
      <c r="AO98" s="106">
        <f t="shared" si="198"/>
        <v>0</v>
      </c>
      <c r="AP98" s="106">
        <f t="shared" si="198"/>
        <v>0</v>
      </c>
      <c r="AQ98" s="106">
        <f t="shared" si="198"/>
        <v>0</v>
      </c>
      <c r="AR98" s="107">
        <f t="shared" si="198"/>
        <v>0</v>
      </c>
      <c r="AS98" s="105">
        <f>IF(AND($B97=" ",$K98=AS$3),$O98,0)</f>
        <v>0</v>
      </c>
      <c r="AT98" s="106">
        <f>IF(AND($B97=" ",K98=AT$3),$O98,0)</f>
        <v>0</v>
      </c>
      <c r="AU98" s="106">
        <f t="shared" ref="AU98:BE98" si="206">IF(AND($B97=" ",$K98=AU$3),$O98,0)</f>
        <v>0</v>
      </c>
      <c r="AV98" s="106">
        <f t="shared" si="206"/>
        <v>0</v>
      </c>
      <c r="AW98" s="106">
        <f t="shared" si="206"/>
        <v>0</v>
      </c>
      <c r="AX98" s="106">
        <f t="shared" si="206"/>
        <v>0</v>
      </c>
      <c r="AY98" s="108">
        <f t="shared" si="206"/>
        <v>0</v>
      </c>
      <c r="AZ98" s="109">
        <f t="shared" si="206"/>
        <v>0</v>
      </c>
      <c r="BA98" s="109">
        <f t="shared" si="206"/>
        <v>0</v>
      </c>
      <c r="BB98" s="109">
        <f t="shared" si="206"/>
        <v>0</v>
      </c>
      <c r="BC98" s="110">
        <f t="shared" si="206"/>
        <v>0</v>
      </c>
      <c r="BD98" s="106">
        <f t="shared" si="206"/>
        <v>0</v>
      </c>
      <c r="BE98" s="107">
        <f t="shared" si="206"/>
        <v>0</v>
      </c>
      <c r="BF98" s="105">
        <f t="shared" si="200"/>
        <v>0</v>
      </c>
      <c r="BG98" s="106">
        <f t="shared" si="200"/>
        <v>0</v>
      </c>
      <c r="BH98" s="106">
        <f t="shared" si="200"/>
        <v>0</v>
      </c>
      <c r="BI98" s="106">
        <f t="shared" si="200"/>
        <v>0</v>
      </c>
      <c r="BJ98" s="106">
        <f t="shared" si="200"/>
        <v>7.65</v>
      </c>
      <c r="BK98" s="106">
        <f t="shared" si="200"/>
        <v>0</v>
      </c>
      <c r="BL98" s="106">
        <f t="shared" si="200"/>
        <v>0</v>
      </c>
      <c r="BM98" s="132">
        <f t="shared" si="200"/>
        <v>0</v>
      </c>
      <c r="BN98" s="112">
        <f t="shared" si="200"/>
        <v>0</v>
      </c>
      <c r="BO98" s="112">
        <f t="shared" si="200"/>
        <v>0</v>
      </c>
      <c r="BP98" s="112">
        <f t="shared" si="200"/>
        <v>0</v>
      </c>
      <c r="BQ98" s="110">
        <f t="shared" si="200"/>
        <v>0</v>
      </c>
      <c r="BR98" s="107">
        <f t="shared" si="200"/>
        <v>0</v>
      </c>
      <c r="BS98" s="464"/>
      <c r="BT98" s="461"/>
      <c r="BU98" s="392"/>
      <c r="BV98" s="461"/>
      <c r="BW98" s="392"/>
      <c r="BX98" s="392"/>
      <c r="BY98" s="392"/>
      <c r="BZ98" s="461"/>
      <c r="CA98" s="392"/>
      <c r="CB98" s="392"/>
      <c r="CC98" s="392"/>
      <c r="CD98" s="401"/>
      <c r="CE98" s="409"/>
      <c r="CF98" s="133">
        <f t="shared" si="131"/>
        <v>0</v>
      </c>
      <c r="CG98" s="134">
        <f t="shared" si="132"/>
        <v>0</v>
      </c>
      <c r="CH98" s="134">
        <f t="shared" si="133"/>
        <v>0</v>
      </c>
      <c r="CI98" s="134">
        <f t="shared" si="134"/>
        <v>0</v>
      </c>
      <c r="CJ98" s="134">
        <f t="shared" si="135"/>
        <v>0</v>
      </c>
      <c r="CK98" s="134">
        <f t="shared" si="136"/>
        <v>0</v>
      </c>
      <c r="CL98" s="134">
        <f t="shared" si="137"/>
        <v>0</v>
      </c>
      <c r="CM98" s="134">
        <f t="shared" si="138"/>
        <v>0</v>
      </c>
      <c r="CN98" s="134">
        <f t="shared" si="139"/>
        <v>1</v>
      </c>
      <c r="CO98" s="134">
        <f t="shared" si="140"/>
        <v>0</v>
      </c>
      <c r="CP98" s="134">
        <f t="shared" si="141"/>
        <v>0</v>
      </c>
      <c r="CQ98" s="134">
        <f t="shared" si="142"/>
        <v>0</v>
      </c>
      <c r="CR98" s="134">
        <f t="shared" si="143"/>
        <v>0</v>
      </c>
      <c r="CS98" s="134">
        <f t="shared" si="144"/>
        <v>0</v>
      </c>
      <c r="CT98" s="115">
        <f t="shared" si="145"/>
        <v>0</v>
      </c>
      <c r="CU98" s="116">
        <f t="shared" si="146"/>
        <v>0</v>
      </c>
      <c r="CV98" s="116">
        <f t="shared" si="147"/>
        <v>0</v>
      </c>
      <c r="CW98" s="116">
        <f t="shared" si="148"/>
        <v>0</v>
      </c>
      <c r="CX98" s="116">
        <f t="shared" si="149"/>
        <v>0</v>
      </c>
      <c r="CY98" s="116">
        <f t="shared" si="150"/>
        <v>0</v>
      </c>
      <c r="CZ98" s="116">
        <f t="shared" si="151"/>
        <v>0</v>
      </c>
      <c r="DA98" s="116">
        <f t="shared" si="152"/>
        <v>0</v>
      </c>
      <c r="DB98" s="116">
        <f t="shared" si="153"/>
        <v>0</v>
      </c>
      <c r="DC98" s="116">
        <f t="shared" si="154"/>
        <v>0</v>
      </c>
      <c r="DD98" s="116">
        <f t="shared" si="155"/>
        <v>0</v>
      </c>
      <c r="DE98" s="117">
        <f t="shared" si="156"/>
        <v>0</v>
      </c>
      <c r="DF98" s="118">
        <f t="shared" si="158"/>
        <v>11</v>
      </c>
      <c r="DG98" s="106">
        <f t="shared" si="159"/>
        <v>14.450000000000001</v>
      </c>
      <c r="DH98" s="116">
        <f t="shared" si="160"/>
        <v>0</v>
      </c>
      <c r="DI98" s="106">
        <f t="shared" si="161"/>
        <v>0</v>
      </c>
      <c r="DJ98" s="201" t="str">
        <f>IF($D97="","",$D97)</f>
        <v>2</v>
      </c>
      <c r="DK98" s="466"/>
    </row>
    <row r="99" spans="1:115" ht="14.5" customHeight="1" x14ac:dyDescent="0.2">
      <c r="A99" s="390"/>
      <c r="B99" s="457"/>
      <c r="C99" s="135" t="s">
        <v>53</v>
      </c>
      <c r="D99" s="375"/>
      <c r="E99" s="387"/>
      <c r="F99" s="378"/>
      <c r="G99" s="484"/>
      <c r="H99" s="477"/>
      <c r="I99" s="136"/>
      <c r="J99" s="137"/>
      <c r="K99" s="138"/>
      <c r="L99" s="139"/>
      <c r="M99" s="140"/>
      <c r="N99" s="407"/>
      <c r="O99" s="141" t="str">
        <f>IF(OR(AE97="",AE98=""),"",IF(L99&gt;0,ROUND(IF(M99&gt;0,M99,IF(M97&gt;0,ROUND((M97*AE99)/AE97,IF(N97=0,2,IF(N97=0.1,1,0))),IF(M98&gt;0,ROUND((M98*AE99)/AE98,IF(N97=0,2,IF(N97=0.1,1,0))),IF(M99&gt;0,M99,0)))),2),""))</f>
        <v/>
      </c>
      <c r="P99" s="142" t="str">
        <f>IF(I98="Lay",O98*(L98/(L98-1))-O98,IF(I97="Lay",O97*(L97/(L97-1))-O97,IF(OR(L99="",O99=""),"",IF($C99="1/2W",O99/2+O99/2*L99,IF($C99="1/2L",O99/2,(O99*L99-O99)*(1-_xlfn.XLOOKUP(K99,'Fevereiro 2023 - Valor Real'!A3:A15,'Fevereiro 2023 - Valor Real'!C3:C15,0))+O99)))))</f>
        <v/>
      </c>
      <c r="Q99" s="143" t="str">
        <f>IF(K99="","",IF(_xlfn.XLOOKUP(K99,K$8:K92,$DJ$8:DJ92,0,,-1)=DJ99,_xlfn.XLOOKUP(K99,K$8:K92,Q$8:Q92,1,,-1)+1,1))</f>
        <v/>
      </c>
      <c r="R99" s="144" t="str">
        <f>IF(K99="","",_xlfn.XLOOKUP(K99,K$8:K92,R$8:R92,0,,-1)+IF($C99=" ",1,0))</f>
        <v/>
      </c>
      <c r="S99" s="404"/>
      <c r="T99" s="378"/>
      <c r="U99" s="378"/>
      <c r="V99" s="404"/>
      <c r="W99" s="378"/>
      <c r="X99" s="453"/>
      <c r="Y99" s="383"/>
      <c r="Z99" s="384"/>
      <c r="AA99" s="384"/>
      <c r="AB99" s="384"/>
      <c r="AC99" s="384"/>
      <c r="AD99" s="145">
        <f>((L98/(L98-1)-1))</f>
        <v>0.68027210884353728</v>
      </c>
      <c r="AE99" s="146" t="str">
        <f>IF(L99="","",(SUM(((L97-1)*(1-_xlfn.XLOOKUP(K97,'Fevereiro 2023 - Valor Real'!A3:A15,'Fevereiro 2023 - Valor Real'!C3:C15,0))+1),((L98-1)*(1-_xlfn.XLOOKUP(K98,'Fevereiro 2023 - Valor Real'!A3:A15,'Fevereiro 2023 - Valor Real'!C3:C15,0))+1),((L99-1)*(1-_xlfn.XLOOKUP(K99,'Fevereiro 2023 - Valor Real'!A3:A15,'Fevereiro 2023 - Valor Real'!C3:C15,0))+1))/((L99-1)*(1-_xlfn.XLOOKUP(K99,'Fevereiro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Real'!C3:C15,0))+1))/((L97-1)*(1-_xlfn.XLOOKUP(K97,'Fevereiro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Real'!C3:C15,0))+1))/((L98-1)*(1-_xlfn.XLOOKUP(K98,'Fevereiro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Real'!C3:C15,0))+1))/((L99-1)*(1-_xlfn.XLOOKUP(K99,'Fevereiro 2023 - Valor Real'!A3:A15,'Fevereiro 2023 - Valor Real'!C3:C15,0))+1)))</f>
        <v/>
      </c>
      <c r="AF99" s="105">
        <f t="shared" si="198"/>
        <v>0</v>
      </c>
      <c r="AG99" s="106">
        <f t="shared" si="198"/>
        <v>0</v>
      </c>
      <c r="AH99" s="106">
        <f t="shared" si="198"/>
        <v>0</v>
      </c>
      <c r="AI99" s="106">
        <f t="shared" si="198"/>
        <v>0</v>
      </c>
      <c r="AJ99" s="106">
        <f t="shared" si="198"/>
        <v>0</v>
      </c>
      <c r="AK99" s="106">
        <f t="shared" si="198"/>
        <v>0</v>
      </c>
      <c r="AL99" s="106">
        <f t="shared" si="198"/>
        <v>0</v>
      </c>
      <c r="AM99" s="106">
        <f t="shared" si="198"/>
        <v>0</v>
      </c>
      <c r="AN99" s="106">
        <f t="shared" si="198"/>
        <v>0</v>
      </c>
      <c r="AO99" s="106">
        <f t="shared" si="198"/>
        <v>0</v>
      </c>
      <c r="AP99" s="106">
        <f t="shared" si="198"/>
        <v>0</v>
      </c>
      <c r="AQ99" s="106">
        <f t="shared" si="198"/>
        <v>0</v>
      </c>
      <c r="AR99" s="107">
        <f t="shared" si="198"/>
        <v>0</v>
      </c>
      <c r="AS99" s="105">
        <f>IF(AND($B97=" ",$K99=AS$3),$O99,0)</f>
        <v>0</v>
      </c>
      <c r="AT99" s="106">
        <f>IF(AND($B97=" ",K99=AT$3),$O99,0)</f>
        <v>0</v>
      </c>
      <c r="AU99" s="106">
        <f t="shared" ref="AU99:BE99" si="207">IF(AND($B97=" ",$K99=AU$3),$O99,0)</f>
        <v>0</v>
      </c>
      <c r="AV99" s="106">
        <f t="shared" si="207"/>
        <v>0</v>
      </c>
      <c r="AW99" s="106">
        <f t="shared" si="207"/>
        <v>0</v>
      </c>
      <c r="AX99" s="106">
        <f t="shared" si="207"/>
        <v>0</v>
      </c>
      <c r="AY99" s="108">
        <f t="shared" si="207"/>
        <v>0</v>
      </c>
      <c r="AZ99" s="109">
        <f t="shared" si="207"/>
        <v>0</v>
      </c>
      <c r="BA99" s="109">
        <f t="shared" si="207"/>
        <v>0</v>
      </c>
      <c r="BB99" s="109">
        <f t="shared" si="207"/>
        <v>0</v>
      </c>
      <c r="BC99" s="110">
        <f t="shared" si="207"/>
        <v>0</v>
      </c>
      <c r="BD99" s="106">
        <f t="shared" si="207"/>
        <v>0</v>
      </c>
      <c r="BE99" s="107">
        <f t="shared" si="207"/>
        <v>0</v>
      </c>
      <c r="BF99" s="105">
        <f t="shared" si="200"/>
        <v>0</v>
      </c>
      <c r="BG99" s="106">
        <f t="shared" si="200"/>
        <v>0</v>
      </c>
      <c r="BH99" s="106">
        <f t="shared" si="200"/>
        <v>0</v>
      </c>
      <c r="BI99" s="106">
        <f t="shared" si="200"/>
        <v>0</v>
      </c>
      <c r="BJ99" s="106">
        <f t="shared" si="200"/>
        <v>0</v>
      </c>
      <c r="BK99" s="106">
        <f t="shared" si="200"/>
        <v>0</v>
      </c>
      <c r="BL99" s="106">
        <f t="shared" si="200"/>
        <v>0</v>
      </c>
      <c r="BM99" s="108">
        <f t="shared" si="200"/>
        <v>0</v>
      </c>
      <c r="BN99" s="109">
        <f t="shared" si="200"/>
        <v>0</v>
      </c>
      <c r="BO99" s="109">
        <f t="shared" si="200"/>
        <v>0</v>
      </c>
      <c r="BP99" s="109">
        <f t="shared" si="200"/>
        <v>0</v>
      </c>
      <c r="BQ99" s="110">
        <f t="shared" si="200"/>
        <v>0</v>
      </c>
      <c r="BR99" s="107">
        <f t="shared" si="200"/>
        <v>0</v>
      </c>
      <c r="BS99" s="464"/>
      <c r="BT99" s="461"/>
      <c r="BU99" s="392"/>
      <c r="BV99" s="461"/>
      <c r="BW99" s="392"/>
      <c r="BX99" s="392"/>
      <c r="BY99" s="392"/>
      <c r="BZ99" s="461"/>
      <c r="CA99" s="392"/>
      <c r="CB99" s="392"/>
      <c r="CC99" s="392"/>
      <c r="CD99" s="401"/>
      <c r="CE99" s="409"/>
      <c r="CF99" s="133">
        <f t="shared" si="131"/>
        <v>0</v>
      </c>
      <c r="CG99" s="134">
        <f t="shared" si="132"/>
        <v>0</v>
      </c>
      <c r="CH99" s="134">
        <f t="shared" si="133"/>
        <v>0</v>
      </c>
      <c r="CI99" s="134">
        <f t="shared" si="134"/>
        <v>0</v>
      </c>
      <c r="CJ99" s="134">
        <f t="shared" si="135"/>
        <v>0</v>
      </c>
      <c r="CK99" s="134">
        <f t="shared" si="136"/>
        <v>0</v>
      </c>
      <c r="CL99" s="134">
        <f t="shared" si="137"/>
        <v>0</v>
      </c>
      <c r="CM99" s="134">
        <f t="shared" si="138"/>
        <v>0</v>
      </c>
      <c r="CN99" s="134">
        <f t="shared" si="139"/>
        <v>0</v>
      </c>
      <c r="CO99" s="134">
        <f t="shared" si="140"/>
        <v>0</v>
      </c>
      <c r="CP99" s="134">
        <f t="shared" si="141"/>
        <v>0</v>
      </c>
      <c r="CQ99" s="134">
        <f t="shared" si="142"/>
        <v>0</v>
      </c>
      <c r="CR99" s="134">
        <f t="shared" si="143"/>
        <v>0</v>
      </c>
      <c r="CS99" s="134">
        <f t="shared" si="144"/>
        <v>0</v>
      </c>
      <c r="CT99" s="115">
        <f t="shared" si="145"/>
        <v>0</v>
      </c>
      <c r="CU99" s="116">
        <f t="shared" si="146"/>
        <v>0</v>
      </c>
      <c r="CV99" s="116">
        <f t="shared" si="147"/>
        <v>0</v>
      </c>
      <c r="CW99" s="116">
        <f t="shared" si="148"/>
        <v>0</v>
      </c>
      <c r="CX99" s="116">
        <f t="shared" si="149"/>
        <v>0</v>
      </c>
      <c r="CY99" s="116">
        <f t="shared" si="150"/>
        <v>0</v>
      </c>
      <c r="CZ99" s="116">
        <f t="shared" si="151"/>
        <v>0</v>
      </c>
      <c r="DA99" s="116">
        <f t="shared" si="152"/>
        <v>0</v>
      </c>
      <c r="DB99" s="116">
        <f t="shared" si="153"/>
        <v>0</v>
      </c>
      <c r="DC99" s="116">
        <f t="shared" si="154"/>
        <v>0</v>
      </c>
      <c r="DD99" s="116">
        <f t="shared" si="155"/>
        <v>0</v>
      </c>
      <c r="DE99" s="117">
        <f t="shared" si="156"/>
        <v>0</v>
      </c>
      <c r="DF99" s="118">
        <f t="shared" si="158"/>
        <v>11</v>
      </c>
      <c r="DG99" s="106">
        <f t="shared" si="159"/>
        <v>14.450000000000001</v>
      </c>
      <c r="DH99" s="116">
        <f t="shared" si="160"/>
        <v>0</v>
      </c>
      <c r="DI99" s="106">
        <f t="shared" si="161"/>
        <v>0</v>
      </c>
      <c r="DJ99" s="201" t="str">
        <f>IF($D97="","",$D97)</f>
        <v>2</v>
      </c>
      <c r="DK99" s="466"/>
    </row>
    <row r="100" spans="1:115" ht="14.5" customHeight="1" x14ac:dyDescent="0.2">
      <c r="A100" s="487">
        <f>$A97+1</f>
        <v>33</v>
      </c>
      <c r="B100" s="506" t="str">
        <f>IF(OR(C100="W",C101="W",C102="W",C100="1/2W",C101="1/2W",C102="1/2W",C100="1/2L",C101="1/2L",C102="1/2L"),"OK",IF(OR(C100="L",C101="L",C102="L"),"LOSS",IF(OR(C100="X",C101="X",C102="X"),"Anulado"," ")))</f>
        <v>OK</v>
      </c>
      <c r="C100" s="147" t="s">
        <v>55</v>
      </c>
      <c r="D100" s="494" t="str">
        <f>IF(G100="","",$D97)</f>
        <v>2</v>
      </c>
      <c r="E100" s="511" t="str">
        <f>IF(G100=""," ","– "&amp;COUNTIF(D$4:D102,$D100))</f>
        <v>– 16</v>
      </c>
      <c r="F100" s="510" t="str">
        <f ca="1">IF(G100="","",IF(OR(AND($C100&lt;&gt;" ",$C101=" "),AND($C101&lt;&gt;" ",$C100=" "),AND(L102&gt;0,OR(AND($C102&lt;&gt;" ",OR($C100=" ",$C101=" ")),AND($C102=" ",OR($C100&lt;&gt;" ",$C101&lt;&gt;" "))))),IF(SUM(F$9:F92)=0,1,LARGE(F$9:F92,1)+1),IF(MONTH(G100)=MONTH(TODAY()),IF(AND(DAY(G100)&lt;DAY(TODAY()),$B100=" "),IF(SUM(F$9:F92)=0,1,LARGE(F$9:F92,1)+1),IF($B100=" ",IF(AND(DAY(G100)=DAY(TODAY()),HOUR(G100)&lt;=HOUR(NOW())+1),IF(AND(HOUR(G100)+2&lt;=HOUR(NOW()),DAY(G100)&lt;=DAY(TODAY()),MINUTE(G100)&lt;=MINUTE(NOW())),IF(SUM(F$9:F92)=0,1,LARGE(F$9:F92,1)+1),IF(OR(MINUTE(G100)&lt;=MINUTE(NOW()),HOUR(G100)&lt;=HOUR(NOW())),"!!!","")),""),"")),"")))</f>
        <v/>
      </c>
      <c r="G100" s="508">
        <v>44989.5</v>
      </c>
      <c r="H100" s="502" t="s">
        <v>85</v>
      </c>
      <c r="I100" s="180" t="s">
        <v>66</v>
      </c>
      <c r="J100" s="181">
        <v>0</v>
      </c>
      <c r="K100" s="150" t="s">
        <v>43</v>
      </c>
      <c r="L100" s="151">
        <v>1.8919999999999999</v>
      </c>
      <c r="M100" s="152">
        <v>41.41</v>
      </c>
      <c r="N100" s="503">
        <v>0</v>
      </c>
      <c r="O100" s="153">
        <f>IF(OR(AE100="",AE101=""),"",ROUND(IF(L102&gt;0,IF(M100&gt;0,M100,IF(M101&gt;0,ROUND((M101*AE100)/AE101,IF(N100=0,2,IF(N100=0.1,1,0))),ROUND((M102*AE100)/AE102,IF(N100=0,2,IF(N100=0.1,1,0))))),IF(M100&gt;0,M100,ROUND((M101*AE100)/AE101,IF(N100=0,2,IF(N100=0.1,1,0))))),2))</f>
        <v>41.41</v>
      </c>
      <c r="P100" s="154">
        <f>IF(OR(L100="",O100=""),"",IF($C100="1/2W",O100/2+O100/2*L100,IF($C100="1/2L",O100/2,IF(I100="Lay",(O100*(L100/(L100-1))-O100)*(1-_xlfn.XLOOKUP(K100,'Fevereiro 2023 - Valor Real'!A3:A15,'Fevereiro 2023 - Valor Real'!C3:C15,0))+O100,(O100*L100-O100)*(1-_xlfn.XLOOKUP(K100,'Fevereiro 2023 - Valor Real'!A3:A15,'Fevereiro 2023 - Valor Real'!C3:C15,0))+O100))))</f>
        <v>78.347719999999995</v>
      </c>
      <c r="Q100" s="155">
        <f>IF(K100="","",IF(_xlfn.XLOOKUP(K100,K$9:K92,$DJ$9:DJ92,0,,-1)=DJ100,_xlfn.XLOOKUP(K100,K$9:K92,Q$9:Q92,1,,-1)+1,1))</f>
        <v>3</v>
      </c>
      <c r="R100" s="156">
        <f>IF(K100="","",_xlfn.XLOOKUP(K100,K$9:K92,R$9:R92,0,,-1)+IF($C100=" ",1,0))</f>
        <v>0</v>
      </c>
      <c r="S100" s="501">
        <f>IF($B100="Anulado",0,ROUND(IF(OR($B100="LOSS",$B100="OK"),IF(OR($C100="W",$C100="1/2W",$C100="1/2L"),P100-O100,IF($C100="L",-O100,0))+IF(OR($C101="W",$C101="1/2W",$C101="1/2L"),P101-O101,IF($C101="L",-O101,0))+IF(OR($C102="W",$C102="1/2W",$C102="1/2L"),P102-O102,IF($C102="L",-O102,0)),IF(AND(OR($C100="W",$C100="1/2W",$C100="1/2L"),C101="W"),P100+P101-SUM(O100:O102)+_xlfn.XLOOKUP("X",C100:C102,O100:O102,0),IF(AND(C100=TRUE,C102="W"),P100+P102-SUM(O100:O102),IF(AND(C101="W",C102="W"),P101+P102-SUM(O100:O102)+_xlfn.XLOOKUP("X",C100:C102,O100:O102,0),IF(L102&gt;0,IF(OR($C100="W",$C100="1/2W",$C100="1/2L"),P100-SUM(O100:O102)+_xlfn.XLOOKUP("X",C100:C102,O100:O102,0),IF(OR($C100="W",$C100="1/2W",$C100="1/2L"),P101-SUM(O100:O102)+_xlfn.XLOOKUP("X",C100:C102,O100:O102,0),IF(OR($C100="W",$C100="1/2W",$C100="1/2L"),P102-SUM(O100:O102)+_xlfn.XLOOKUP("X",C100:C102,O100:O102,0),IF(SUM(P100:P102)/3-SUM(O100:O102)+_xlfn.XLOOKUP("X",C100:C102,O100:O102,0)&gt;0,SUM(P100:P102)/3-SUM(O100:O102)+_xlfn.XLOOKUP("X",C100:C102,O100:O102,0),LARGE(P100:P102,1)-SUM(O100:O102))))),IF(OR($C100="W",$C100="1/2W",$C100="1/2L"),P100-SUM(O100:O101)+_xlfn.XLOOKUP("X",C100:C102,O100:O102,0),IF(OR($C100="W",$C100="1/2W",$C100="1/2L"),P101-SUM(O100:O101)+_xlfn.XLOOKUP("X",C100:C102,O100:O102,0),SUM(P100:P101)/2-SUM(O100:O101)+_xlfn.XLOOKUP("X",C100:C102,O100:O102,0)))))))),2))</f>
        <v>0.25</v>
      </c>
      <c r="T100" s="486">
        <f>IF(S100=0,0,S100/SUM(O100:O102))</f>
        <v>3.6448461874908885E-3</v>
      </c>
      <c r="U100" s="496">
        <f>IF($D100=$D97,IF(OR($B100="LOSS",$B100="OK",$B100="Anulada"),S100,0)+U97,IF(OR($B100="LOSS",$B100="OK",$B100="Anulada"),S100,0))</f>
        <v>28.789999999999996</v>
      </c>
      <c r="V100" s="496">
        <f>IF($D100="",0,IF($D100=$D97,IF($B100=" ",IF(I102="",IF(OR(AND(I100="DNB1",I101="DNB2"),AND(OR(I100="DNB1",I100="DNB2"),J101=0),AND(OR(I101="DNB1",I101="DNB2"),J100=0),AND(I100="DNB2",I101="DNB1"),AND(IF(J100=0,(J100+1)/ROUND(J100+1,0),J100/ROUND(J100,0))=1,IF(J101=0,(J101+1)/ROUND(IF(J101="",0,J101)+1,0),IF(J101="",0,J101)/ROUND(IF(J101="",1,J101),0))=1,OR(J100&lt;&gt;""),J101&lt;&gt;"")),0,IF(S100&lt;0,IF(I102="",SMALL(P100:P101,1)-SUM(O100:O101),0),SMALL(P100:P101,1)-SUM(O100:O101))),IF(S100&lt;0,IF(I102="",SMALL(P100:P102,1)-SUM(O100:O102),0),LARGE(P100:P102,1)-SUM(O100:O102))),S100)+V97,IF(I102="",IF(OR(AND(I100="DNB1",I101="DNB2"),AND(OR(I100="DNB1",I100="DNB2"),J101=0),AND(OR(I101="DNB1",I101="DNB2"),J100=0),AND(I100="DNB2",I101="DNB1"),AND(IF(J100=0,(J100+1)/ROUND(J100+1,0),J100/ROUND(J100,0))=1,IF(J101=0,(IF(J101="",0,J101)+1)/ROUND(IF(J101="",0,J101)+1,0),IF(J101="",0,J101)/ROUND(IF(J101="",0,J101)+1,0))=1,OR(J100&lt;&gt;""),J101&lt;&gt;"")),0,IF(S100&lt;0,IF(I102="",SMALL(P100:P101,1)-SUM(O100:O101),0),SMALL(P100:P102,1)-SUM(O100:O102))),IF(S100&lt;0,IF(I102="",SMALL(P100:P102,1)-SUM(O100:O102),0),LARGE(P100:P102,1)-SUM(O100:O102)))))</f>
        <v>28.73</v>
      </c>
      <c r="W100" s="496">
        <f>IF($D100=$D97,IF(S100&lt;0,IF(I102="",S100,0),S100)+W97,S100)</f>
        <v>28.789999999999996</v>
      </c>
      <c r="X100" s="505" t="str">
        <f>IF(OR(SUM(R100:R102)=0,V100=W100),ROUND(IF(W100=0,0,W100/Y100)*100,2)&amp;"%",ROUND(IF(V100=0,0,V100/Y100)*100,2)&amp;"% a "&amp;ROUND(IF(W100=0,0,W100/Y100)*100,2)&amp;"%")</f>
        <v>4,46%</v>
      </c>
      <c r="Y100" s="497">
        <f>IF($D100=$D97,Y97+SUM(O100:O102),SUM(O100:O102))</f>
        <v>645.35000000000014</v>
      </c>
      <c r="Z100" s="496">
        <f>IF($B100=" ",SUM(O100:O102),0)+Z97</f>
        <v>0</v>
      </c>
      <c r="AA100" s="496">
        <f>IF(G100="","",IF($B100="Anulado",LARGE(P100:P102,1)-SUM(O100:O102)+AA97,AA97))</f>
        <v>0.45899999999999785</v>
      </c>
      <c r="AB100" s="496">
        <f>IF($D100="","",AB97+S100)</f>
        <v>57.439999999999984</v>
      </c>
      <c r="AC100" s="499">
        <f ca="1">IF($D100="","",IF($B100=" ",IF(DAY(G100)=DAY(TODAY()),1+AC97,0+AC97),0+AC97))</f>
        <v>0</v>
      </c>
      <c r="AD100" s="157">
        <f>(1-_xlfn.XLOOKUP(K98,'Fevereiro 2023 - Valor Real'!A3:A15,'Fevereiro 2023 - Valor Real'!C3:C15,0))+1</f>
        <v>2</v>
      </c>
      <c r="AE100" s="158">
        <f>IF(L100="","",IF(L102&gt;0,(SUM(((L100-1)*(1-_xlfn.XLOOKUP(K100,'Fevereiro 2023 - Valor Real'!A3:A15,'Fevereiro 2023 - Valor Real'!C3:C15,0))+1),((L101-1)*(1-_xlfn.XLOOKUP(K101,'Fevereiro 2023 - Valor Real'!A3:A15,'Fevereiro 2023 - Valor Real'!C3:C15,0))+1),((L102-1)*(1-_xlfn.XLOOKUP(K102,'Fevereiro 2023 - Valor Real'!A3:A15,'Fevereiro 2023 - Valor Real'!C3:C15,0))+1))/((L100-1)*(1-_xlfn.XLOOKUP(K100,'Fevereiro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Real'!C3:C15,0))+1))/((L100-1)*(1-_xlfn.XLOOKUP(K100,'Fevereiro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Real'!C3:C15,0))+1))/((L101-1)*(1-_xlfn.XLOOKUP(K101,'Fevereiro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Real'!C3:C15,0))+1))/((L102-1)*(1-_xlfn.XLOOKUP(K102,'Fevereiro 2023 - Valor Real'!A3:A15,'Fevereiro 2023 - Valor Real'!C3:C15,0))+1)),IF(I100="Lay",IF(I101="Lay",((L101/(L101-1)-1)*(1-_xlfn.XLOOKUP(K101,'Fevereiro 2023 - Valor Real'!A3:A15,'Fevereiro 2023 - Valor Real'!C3:C15,0))+1)/(((L101/(L101-1)-1)*(1-_xlfn.XLOOKUP(K101,'Fevereiro 2023 - Valor Real'!A3:A15,'Fevereiro 2023 - Valor Real'!C3:C15,0))+1)+((L100/(L100-1)-1)*(1-_xlfn.XLOOKUP(K100,'Fevereiro 2023 - Valor Real'!A3:A15,'Fevereiro 2023 - Valor Real'!C3:C15,0))+1)),((L101-1)*(1-_xlfn.XLOOKUP(K101,'Fevereiro 2023 - Valor Real'!A3:A15,'Fevereiro 2023 - Valor Real'!C3:C15,0))+1)/(((L101-1)*(1-_xlfn.XLOOKUP(K101,'Fevereiro 2023 - Valor Real'!A3:A15,'Fevereiro 2023 - Valor Real'!C3:C15,0))+1)+((L100/(L100-1)-1)*(1-_xlfn.XLOOKUP(K100,'Fevereiro 2023 - Valor Real'!A3:A15,'Fevereiro 2023 - Valor Real'!C3:C15,0))+1))),IF(I101="Lay",(((L101/(L101-1)-1)*(1-_xlfn.XLOOKUP(K101,'Fevereiro 2023 - Valor Real'!A3:A15,'Fevereiro 2023 - Valor Real'!C3:C15,0))+1))/(((L100-1)*(1-_xlfn.XLOOKUP(K100,'Fevereiro 2023 - Valor Real'!A3:A15,'Fevereiro 2023 - Valor Real'!C3:C15,0))+1)+((L101/(L101-1)-1)*(1-_xlfn.XLOOKUP(K101,'Fevereiro 2023 - Valor Real'!A3:A15,'Fevereiro 2023 - Valor Real'!C3:C15,0))+1)),((L101-1)*(1-_xlfn.XLOOKUP(K101,'Fevereiro 2023 - Valor Real'!A3:A15,'Fevereiro 2023 - Valor Real'!C3:C15,0))+1)/(((L101-1)*(1-_xlfn.XLOOKUP(K101,'Fevereiro 2023 - Valor Real'!A3:A15,'Fevereiro 2023 - Valor Real'!C3:C15,0))+1)+((L100-1)*(1-_xlfn.XLOOKUP(K100,'Fevereiro 2023 - Valor Real'!A3:A15,'Fevereiro 2023 - Valor Real'!C3:C15,0))+1))))))</f>
        <v>0.38790612357715398</v>
      </c>
      <c r="AF100" s="66">
        <f t="shared" si="198"/>
        <v>0</v>
      </c>
      <c r="AG100" s="67">
        <f t="shared" si="198"/>
        <v>0</v>
      </c>
      <c r="AH100" s="67">
        <f t="shared" si="198"/>
        <v>0</v>
      </c>
      <c r="AI100" s="67">
        <f t="shared" si="198"/>
        <v>0</v>
      </c>
      <c r="AJ100" s="67">
        <f t="shared" si="198"/>
        <v>0</v>
      </c>
      <c r="AK100" s="67">
        <f t="shared" si="198"/>
        <v>0</v>
      </c>
      <c r="AL100" s="67">
        <f t="shared" si="198"/>
        <v>0</v>
      </c>
      <c r="AM100" s="67">
        <f t="shared" si="198"/>
        <v>-41.41</v>
      </c>
      <c r="AN100" s="67">
        <f t="shared" si="198"/>
        <v>0</v>
      </c>
      <c r="AO100" s="67">
        <f t="shared" si="198"/>
        <v>0</v>
      </c>
      <c r="AP100" s="67">
        <f t="shared" si="198"/>
        <v>0</v>
      </c>
      <c r="AQ100" s="67">
        <f t="shared" si="198"/>
        <v>0</v>
      </c>
      <c r="AR100" s="68">
        <f t="shared" si="198"/>
        <v>0</v>
      </c>
      <c r="AS100" s="66">
        <f t="shared" ref="AS100:BE100" si="208">IF(AND($B100=" ",$K100=AS$3),$O100,0)</f>
        <v>0</v>
      </c>
      <c r="AT100" s="67">
        <f t="shared" si="208"/>
        <v>0</v>
      </c>
      <c r="AU100" s="67">
        <f t="shared" si="208"/>
        <v>0</v>
      </c>
      <c r="AV100" s="67">
        <f t="shared" si="208"/>
        <v>0</v>
      </c>
      <c r="AW100" s="67">
        <f t="shared" si="208"/>
        <v>0</v>
      </c>
      <c r="AX100" s="67">
        <f t="shared" si="208"/>
        <v>0</v>
      </c>
      <c r="AY100" s="69">
        <f t="shared" si="208"/>
        <v>0</v>
      </c>
      <c r="AZ100" s="70">
        <f t="shared" si="208"/>
        <v>0</v>
      </c>
      <c r="BA100" s="70">
        <f t="shared" si="208"/>
        <v>0</v>
      </c>
      <c r="BB100" s="70">
        <f t="shared" si="208"/>
        <v>0</v>
      </c>
      <c r="BC100" s="71">
        <f t="shared" si="208"/>
        <v>0</v>
      </c>
      <c r="BD100" s="67">
        <f t="shared" si="208"/>
        <v>0</v>
      </c>
      <c r="BE100" s="68">
        <f t="shared" si="208"/>
        <v>0</v>
      </c>
      <c r="BF100" s="66">
        <f t="shared" si="200"/>
        <v>0</v>
      </c>
      <c r="BG100" s="67">
        <f t="shared" si="200"/>
        <v>0</v>
      </c>
      <c r="BH100" s="67">
        <f t="shared" si="200"/>
        <v>0</v>
      </c>
      <c r="BI100" s="67">
        <f t="shared" si="200"/>
        <v>0</v>
      </c>
      <c r="BJ100" s="67">
        <f t="shared" si="200"/>
        <v>0</v>
      </c>
      <c r="BK100" s="67">
        <f t="shared" si="200"/>
        <v>0</v>
      </c>
      <c r="BL100" s="67">
        <f t="shared" si="200"/>
        <v>0</v>
      </c>
      <c r="BM100" s="69">
        <f t="shared" si="200"/>
        <v>41.41</v>
      </c>
      <c r="BN100" s="70">
        <f t="shared" si="200"/>
        <v>0</v>
      </c>
      <c r="BO100" s="70">
        <f t="shared" si="200"/>
        <v>0</v>
      </c>
      <c r="BP100" s="70">
        <f t="shared" si="200"/>
        <v>0</v>
      </c>
      <c r="BQ100" s="71">
        <f t="shared" si="200"/>
        <v>0</v>
      </c>
      <c r="BR100" s="68">
        <f t="shared" si="200"/>
        <v>0</v>
      </c>
      <c r="BS100" s="490">
        <f>IF($B100="LOSS",IF(AND($K100=BS$3,$C100="L"),-$O100,0)+IF(AND($K101=BS$3,$C101="L"),-$O101,0)+IF(AND($K102=BS$3,$C102="L"),-$O102,0),IF(OR(AND($K100=BS$3,OR($C100="W",$C100="1/2W")),AND($K101=BS$3,OR($C101="W",$C101="1/2W")),AND($K102=BS$3,OR($C102="W",$C102="1/2W"))),$S100,0))</f>
        <v>0.25</v>
      </c>
      <c r="BT100" s="498">
        <f>IF($B100="LOSS",IF(AND($K100=BT$3,$C100="L"),-$O100,0)+IF(AND($K101=BT$3,$C101="L"),-$O101,0)+IF(AND($K101=BT$3,$C102="L"),-$O102,0),IF(OR(AND($K101=BT$3,OR($C100="W",$C100="1/2W")),AND($K101=BT$3,OR($C101="W",$C101="1/2W")),AND($K101=BT$3,OR($C102="W",$C102="1/2W"))),$S100,0))</f>
        <v>0</v>
      </c>
      <c r="BU100" s="488">
        <f>IF($B100="LOSS",IF(AND($K100=BU$3,$C100="L"),-$O100,0)+IF(AND($K101=BU$3,$C101="L"),-$O101,0)+IF(AND($K101=BU$3,$C102="L"),-$O102,0),IF(OR(AND($K101=BU$3,OR($C100="W",$C100="1/2W")),AND($K101=BU$3,OR($C101="W",$C101="1/2W")),AND($K101=BU$3,OR($C102="W",$C102="1/2W"))),$S100,0))</f>
        <v>0</v>
      </c>
      <c r="BV100" s="488">
        <f t="shared" ref="BV100:CE100" si="209">IF($B100="LOSS",IF(AND($K100=BV$3,$C100="L"),-$O100,0)+IF(AND($K101=BV$3,$C101="L"),-$O101,0)+IF(AND($K102=BV$3,$C102="L"),-$O102,0),IF(OR(AND($K100=BV$3,OR($C100="W",$C100="1/2W")),AND($K101=BV$3,OR($C101="W",$C101="1/2W")),AND($K102=BV$3,OR($C102="W",$C102="1/2W"))),$S100,0))</f>
        <v>0</v>
      </c>
      <c r="BW100" s="488">
        <f t="shared" si="209"/>
        <v>0</v>
      </c>
      <c r="BX100" s="488">
        <f t="shared" si="209"/>
        <v>0</v>
      </c>
      <c r="BY100" s="488">
        <f t="shared" si="209"/>
        <v>0</v>
      </c>
      <c r="BZ100" s="488">
        <f t="shared" si="209"/>
        <v>0</v>
      </c>
      <c r="CA100" s="488">
        <f t="shared" si="209"/>
        <v>0</v>
      </c>
      <c r="CB100" s="488">
        <f t="shared" si="209"/>
        <v>0</v>
      </c>
      <c r="CC100" s="488">
        <f t="shared" si="209"/>
        <v>0</v>
      </c>
      <c r="CD100" s="500">
        <f t="shared" si="209"/>
        <v>0</v>
      </c>
      <c r="CE100" s="504">
        <f t="shared" si="209"/>
        <v>0</v>
      </c>
      <c r="CF100" s="160">
        <f t="shared" si="131"/>
        <v>0</v>
      </c>
      <c r="CG100" s="161">
        <f t="shared" si="132"/>
        <v>0</v>
      </c>
      <c r="CH100" s="161">
        <f t="shared" si="133"/>
        <v>0</v>
      </c>
      <c r="CI100" s="161">
        <f t="shared" si="134"/>
        <v>0</v>
      </c>
      <c r="CJ100" s="161">
        <f t="shared" si="135"/>
        <v>0</v>
      </c>
      <c r="CK100" s="161">
        <f t="shared" si="136"/>
        <v>0</v>
      </c>
      <c r="CL100" s="161">
        <f t="shared" si="137"/>
        <v>0</v>
      </c>
      <c r="CM100" s="161">
        <f t="shared" si="138"/>
        <v>0</v>
      </c>
      <c r="CN100" s="161">
        <f t="shared" si="139"/>
        <v>0</v>
      </c>
      <c r="CO100" s="161">
        <f t="shared" si="140"/>
        <v>0</v>
      </c>
      <c r="CP100" s="161">
        <f t="shared" si="141"/>
        <v>0</v>
      </c>
      <c r="CQ100" s="161">
        <f t="shared" si="142"/>
        <v>0</v>
      </c>
      <c r="CR100" s="161">
        <f t="shared" si="143"/>
        <v>0</v>
      </c>
      <c r="CS100" s="161">
        <f t="shared" si="144"/>
        <v>0</v>
      </c>
      <c r="CT100" s="75">
        <f t="shared" si="145"/>
        <v>0</v>
      </c>
      <c r="CU100" s="76">
        <f t="shared" si="146"/>
        <v>1</v>
      </c>
      <c r="CV100" s="76">
        <f t="shared" si="147"/>
        <v>0</v>
      </c>
      <c r="CW100" s="76">
        <f t="shared" si="148"/>
        <v>0</v>
      </c>
      <c r="CX100" s="76">
        <f t="shared" si="149"/>
        <v>0</v>
      </c>
      <c r="CY100" s="76">
        <f t="shared" si="150"/>
        <v>0</v>
      </c>
      <c r="CZ100" s="76">
        <f t="shared" si="151"/>
        <v>0</v>
      </c>
      <c r="DA100" s="76">
        <f t="shared" si="152"/>
        <v>0</v>
      </c>
      <c r="DB100" s="76">
        <f t="shared" si="153"/>
        <v>0</v>
      </c>
      <c r="DC100" s="76">
        <f t="shared" si="154"/>
        <v>0</v>
      </c>
      <c r="DD100" s="76">
        <f t="shared" si="155"/>
        <v>0</v>
      </c>
      <c r="DE100" s="77">
        <f t="shared" si="156"/>
        <v>0</v>
      </c>
      <c r="DF100" s="73">
        <f t="shared" si="158"/>
        <v>11</v>
      </c>
      <c r="DG100" s="67">
        <f t="shared" si="159"/>
        <v>14.450000000000001</v>
      </c>
      <c r="DH100" s="76">
        <f t="shared" si="160"/>
        <v>0</v>
      </c>
      <c r="DI100" s="67">
        <f t="shared" si="161"/>
        <v>0</v>
      </c>
      <c r="DJ100" s="202" t="str">
        <f>IF($D100="","",$D100)</f>
        <v>2</v>
      </c>
      <c r="DK100" s="492">
        <f>IF(AND($B100=" ",$D100&lt;&gt;""),1,0)</f>
        <v>0</v>
      </c>
    </row>
    <row r="101" spans="1:115" ht="14.5" customHeight="1" x14ac:dyDescent="0.2">
      <c r="A101" s="389"/>
      <c r="B101" s="456"/>
      <c r="C101" s="53" t="s">
        <v>54</v>
      </c>
      <c r="D101" s="374"/>
      <c r="E101" s="386"/>
      <c r="F101" s="377"/>
      <c r="G101" s="508"/>
      <c r="H101" s="476"/>
      <c r="I101" s="182" t="s">
        <v>76</v>
      </c>
      <c r="J101" s="56">
        <v>0.5</v>
      </c>
      <c r="K101" s="57" t="s">
        <v>36</v>
      </c>
      <c r="L101" s="164">
        <v>1.9</v>
      </c>
      <c r="M101" s="165">
        <v>14.44</v>
      </c>
      <c r="N101" s="406"/>
      <c r="O101" s="60">
        <f>IF(OR(AE100="",AE101=""),"",ROUND(IF(L102&gt;0,IF(M101&gt;0,M101,IF(M100&gt;0,IF(N100=TRUE,ROUND((M100*AE101)/AE100,0),(M100*AE101)/AE100),IF(M101&gt;0,ROUND(M101,IF(N100=0,2,IF(N100=0.1,1,0))),IF(M102&gt;0,ROUND(O102*AE101/AE102,IF(N100=0,2,IF(N100=0.1,1,0))),0)))),IF(M101&gt;0,M101,ROUND((M100*AE101)/AE100,IF(N100=0,2,IF(N100=0.1,1,0))))),2))</f>
        <v>14.44</v>
      </c>
      <c r="P101" s="61">
        <f>IF(OR(L101="",O101=""),"",IF($C101="1/2W",O101/2+O101/2*L101,IF($C101="1/2L",O101/2,IF(I101="Lay",((O101*(L101/(L101-1)))-O101)*(1-_xlfn.XLOOKUP(K101,'Fevereiro 2023 - Valor Real'!A3:A15,'Fevereiro 2023 - Valor Real'!C3:C15,0))+O101,(O101*L101-O101)*(1-_xlfn.XLOOKUP(K101,'Fevereiro 2023 - Valor Real'!A3:A15,'Fevereiro 2023 - Valor Real'!C3:C15,0))+O101))))</f>
        <v>27.435999999999996</v>
      </c>
      <c r="Q101" s="166">
        <f>IF(K101="","",IF(_xlfn.XLOOKUP(K101,K$10:K92,$DJ$10:DJ92,0,,-1)=DJ101,_xlfn.XLOOKUP(K101,K$10:K92,Q$10:Q92,1,,-1)+1,1))</f>
        <v>4</v>
      </c>
      <c r="R101" s="167">
        <f>IF(K101="","",_xlfn.XLOOKUP(K101,K$10:K92,R$10:R92,0,,-1)+IF($C101=" ",1,0))</f>
        <v>0</v>
      </c>
      <c r="S101" s="403"/>
      <c r="T101" s="380"/>
      <c r="U101" s="380"/>
      <c r="V101" s="481"/>
      <c r="W101" s="380"/>
      <c r="X101" s="452"/>
      <c r="Y101" s="383"/>
      <c r="Z101" s="384"/>
      <c r="AA101" s="384"/>
      <c r="AB101" s="384"/>
      <c r="AC101" s="384"/>
      <c r="AD101" s="64"/>
      <c r="AE101" s="65">
        <f>IF(L101="","",IF(L102&gt;0,(SUM(((L100-1)*(1-_xlfn.XLOOKUP(K100,'Fevereiro 2023 - Valor Real'!A3:A15,'Fevereiro 2023 - Valor Real'!C3:C15,0))+1),((L101-1)*(1-_xlfn.XLOOKUP(K101,'Fevereiro 2023 - Valor Real'!A3:A15,'Fevereiro 2023 - Valor Real'!C3:C15,0))+1),((L102-1)*(1-_xlfn.XLOOKUP(K102,'Fevereiro 2023 - Valor Real'!A3:A15,'Fevereiro 2023 - Valor Real'!C3:C15,0))+1))/((L101-1)*(1-_xlfn.XLOOKUP(K101,'Fevereiro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Real'!C3:C15,0))+1))/((L100-1)*(1-_xlfn.XLOOKUP(K100,'Fevereiro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Real'!C3:C15,0))+1))/((L101-1)*(1-_xlfn.XLOOKUP(K101,'Fevereiro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Real'!C3:C15,0))+1))/((L102-1)*(1-_xlfn.XLOOKUP(K102,'Fevereiro 2023 - Valor Real'!A3:A15,'Fevereiro 2023 - Valor Real'!C3:C15,0))+1)),IF(I101="Lay",IF(I100="Lay",((L100/(L100-1)-1)*(1-_xlfn.XLOOKUP(K100,'Fevereiro 2023 - Valor Real'!A3:A15,'Fevereiro 2023 - Valor Real'!C3:C15,0))+1)/(((L100/(L100-1)-1)*(1-_xlfn.XLOOKUP(K100,'Fevereiro 2023 - Valor Real'!A3:A15,'Fevereiro 2023 - Valor Real'!C3:C15,0))+1)+((L101/(L101-1)-1)*(1-_xlfn.XLOOKUP(K101,'Fevereiro 2023 - Valor Real'!A3:A15,'Fevereiro 2023 - Valor Real'!C3:C15,0))+1)),((L100-1)*(1-_xlfn.XLOOKUP(K100,'Fevereiro 2023 - Valor Real'!A3:A15,'Fevereiro 2023 - Valor Real'!C3:C15,0))+1)/(((L100-1)*(1-_xlfn.XLOOKUP(K100,'Fevereiro 2023 - Valor Real'!A3:A15,'Fevereiro 2023 - Valor Real'!C3:C15,0))+1)+((L101/(L101-1)-1)*(1-_xlfn.XLOOKUP(K101,'Fevereiro 2023 - Valor Real'!A3:A15,'Fevereiro 2023 - Valor Real'!C3:C15,0))+1))),IF(I100="Lay",((L100/(L100-1)-1)*(1-_xlfn.XLOOKUP(K100,'Fevereiro 2023 - Valor Real'!A3:A15,'Fevereiro 2023 - Valor Real'!C3:C15,0))+1)/((((L100/(L100-1)-1)*(1-_xlfn.XLOOKUP(K100,'Fevereiro 2023 - Valor Real'!A3:A15,'Fevereiro 2023 - Valor Real'!C3:C15,0))+1))+((L101-1)*(1-_xlfn.XLOOKUP(K101,'Fevereiro 2023 - Valor Real'!A3:A15,'Fevereiro 2023 - Valor Real'!C3:C15,0))+1)),((L100-1)*(1-_xlfn.XLOOKUP(K100,'Fevereiro 2023 - Valor Real'!A3:A15,'Fevereiro 2023 - Valor Real'!C3:C15,0))+1)/(((L100-1)*(1-_xlfn.XLOOKUP(K100,'Fevereiro 2023 - Valor Real'!A3:A15,'Fevereiro 2023 - Valor Real'!C3:C15,0))+1)+((L101-1)*(1-_xlfn.XLOOKUP(K101,'Fevereiro 2023 - Valor Real'!A3:A15,'Fevereiro 2023 - Valor Real'!C3:C15,0))+1))))))</f>
        <v>0.3862728346357765</v>
      </c>
      <c r="AF101" s="66">
        <f t="shared" si="198"/>
        <v>13</v>
      </c>
      <c r="AG101" s="67">
        <f t="shared" si="198"/>
        <v>0</v>
      </c>
      <c r="AH101" s="67">
        <f t="shared" si="198"/>
        <v>0</v>
      </c>
      <c r="AI101" s="67">
        <f t="shared" si="198"/>
        <v>0</v>
      </c>
      <c r="AJ101" s="67">
        <f t="shared" si="198"/>
        <v>0</v>
      </c>
      <c r="AK101" s="67">
        <f t="shared" si="198"/>
        <v>0</v>
      </c>
      <c r="AL101" s="67">
        <f t="shared" si="198"/>
        <v>0</v>
      </c>
      <c r="AM101" s="67">
        <f t="shared" si="198"/>
        <v>0</v>
      </c>
      <c r="AN101" s="67">
        <f t="shared" si="198"/>
        <v>0</v>
      </c>
      <c r="AO101" s="67">
        <f t="shared" si="198"/>
        <v>0</v>
      </c>
      <c r="AP101" s="67">
        <f t="shared" si="198"/>
        <v>0</v>
      </c>
      <c r="AQ101" s="67">
        <f t="shared" si="198"/>
        <v>0</v>
      </c>
      <c r="AR101" s="68">
        <f t="shared" si="198"/>
        <v>0</v>
      </c>
      <c r="AS101" s="66">
        <f>IF(AND($B100=" ",$K101=AS$3),$O101,0)</f>
        <v>0</v>
      </c>
      <c r="AT101" s="67">
        <f>IF(AND($B100=" ",K101=AT$3),$O101,0)</f>
        <v>0</v>
      </c>
      <c r="AU101" s="67">
        <f t="shared" ref="AU101:BE101" si="210">IF(AND($B100=" ",$K101=AU$3),$O101,0)</f>
        <v>0</v>
      </c>
      <c r="AV101" s="67">
        <f t="shared" si="210"/>
        <v>0</v>
      </c>
      <c r="AW101" s="67">
        <f t="shared" si="210"/>
        <v>0</v>
      </c>
      <c r="AX101" s="67">
        <f t="shared" si="210"/>
        <v>0</v>
      </c>
      <c r="AY101" s="69">
        <f t="shared" si="210"/>
        <v>0</v>
      </c>
      <c r="AZ101" s="70">
        <f t="shared" si="210"/>
        <v>0</v>
      </c>
      <c r="BA101" s="70">
        <f t="shared" si="210"/>
        <v>0</v>
      </c>
      <c r="BB101" s="70">
        <f t="shared" si="210"/>
        <v>0</v>
      </c>
      <c r="BC101" s="71">
        <f t="shared" si="210"/>
        <v>0</v>
      </c>
      <c r="BD101" s="67">
        <f t="shared" si="210"/>
        <v>0</v>
      </c>
      <c r="BE101" s="68">
        <f t="shared" si="210"/>
        <v>0</v>
      </c>
      <c r="BF101" s="66">
        <f t="shared" si="200"/>
        <v>14.44</v>
      </c>
      <c r="BG101" s="168">
        <f t="shared" si="200"/>
        <v>0</v>
      </c>
      <c r="BH101" s="67">
        <f t="shared" si="200"/>
        <v>0</v>
      </c>
      <c r="BI101" s="67">
        <f t="shared" si="200"/>
        <v>0</v>
      </c>
      <c r="BJ101" s="67">
        <f t="shared" si="200"/>
        <v>0</v>
      </c>
      <c r="BK101" s="67">
        <f t="shared" si="200"/>
        <v>0</v>
      </c>
      <c r="BL101" s="67">
        <f t="shared" si="200"/>
        <v>0</v>
      </c>
      <c r="BM101" s="69">
        <f t="shared" si="200"/>
        <v>0</v>
      </c>
      <c r="BN101" s="70">
        <f t="shared" si="200"/>
        <v>0</v>
      </c>
      <c r="BO101" s="70">
        <f t="shared" si="200"/>
        <v>0</v>
      </c>
      <c r="BP101" s="70">
        <f t="shared" si="200"/>
        <v>0</v>
      </c>
      <c r="BQ101" s="71">
        <f t="shared" si="200"/>
        <v>0</v>
      </c>
      <c r="BR101" s="68">
        <f t="shared" si="200"/>
        <v>0</v>
      </c>
      <c r="BS101" s="491"/>
      <c r="BT101" s="489"/>
      <c r="BU101" s="392"/>
      <c r="BV101" s="489"/>
      <c r="BW101" s="392"/>
      <c r="BX101" s="392"/>
      <c r="BY101" s="392"/>
      <c r="BZ101" s="489"/>
      <c r="CA101" s="392"/>
      <c r="CB101" s="392"/>
      <c r="CC101" s="392"/>
      <c r="CD101" s="401"/>
      <c r="CE101" s="409"/>
      <c r="CF101" s="169">
        <f t="shared" si="131"/>
        <v>1</v>
      </c>
      <c r="CG101" s="170">
        <f t="shared" si="132"/>
        <v>0</v>
      </c>
      <c r="CH101" s="170">
        <f t="shared" si="133"/>
        <v>0</v>
      </c>
      <c r="CI101" s="170">
        <f t="shared" si="134"/>
        <v>0</v>
      </c>
      <c r="CJ101" s="170">
        <f t="shared" si="135"/>
        <v>0</v>
      </c>
      <c r="CK101" s="170">
        <f t="shared" si="136"/>
        <v>0</v>
      </c>
      <c r="CL101" s="170">
        <f t="shared" si="137"/>
        <v>0</v>
      </c>
      <c r="CM101" s="170">
        <f t="shared" si="138"/>
        <v>0</v>
      </c>
      <c r="CN101" s="170">
        <f t="shared" si="139"/>
        <v>0</v>
      </c>
      <c r="CO101" s="170">
        <f t="shared" si="140"/>
        <v>0</v>
      </c>
      <c r="CP101" s="170">
        <f t="shared" si="141"/>
        <v>0</v>
      </c>
      <c r="CQ101" s="170">
        <f t="shared" si="142"/>
        <v>0</v>
      </c>
      <c r="CR101" s="170">
        <f t="shared" si="143"/>
        <v>0</v>
      </c>
      <c r="CS101" s="170">
        <f t="shared" si="144"/>
        <v>0</v>
      </c>
      <c r="CT101" s="75">
        <f t="shared" si="145"/>
        <v>0</v>
      </c>
      <c r="CU101" s="76">
        <f t="shared" si="146"/>
        <v>0</v>
      </c>
      <c r="CV101" s="76">
        <f t="shared" si="147"/>
        <v>0</v>
      </c>
      <c r="CW101" s="76">
        <f t="shared" si="148"/>
        <v>0</v>
      </c>
      <c r="CX101" s="76">
        <f t="shared" si="149"/>
        <v>0</v>
      </c>
      <c r="CY101" s="76">
        <f t="shared" si="150"/>
        <v>0</v>
      </c>
      <c r="CZ101" s="76">
        <f t="shared" si="151"/>
        <v>0</v>
      </c>
      <c r="DA101" s="76">
        <f t="shared" si="152"/>
        <v>0</v>
      </c>
      <c r="DB101" s="76">
        <f t="shared" si="153"/>
        <v>0</v>
      </c>
      <c r="DC101" s="76">
        <f t="shared" si="154"/>
        <v>0</v>
      </c>
      <c r="DD101" s="76">
        <f t="shared" si="155"/>
        <v>0</v>
      </c>
      <c r="DE101" s="77">
        <f t="shared" si="156"/>
        <v>0</v>
      </c>
      <c r="DF101" s="73">
        <f t="shared" si="158"/>
        <v>11</v>
      </c>
      <c r="DG101" s="67">
        <f t="shared" si="159"/>
        <v>14.450000000000001</v>
      </c>
      <c r="DH101" s="76">
        <f t="shared" si="160"/>
        <v>0</v>
      </c>
      <c r="DI101" s="67">
        <f t="shared" si="161"/>
        <v>0</v>
      </c>
      <c r="DJ101" s="202" t="str">
        <f>IF($D100="","",$D100)</f>
        <v>2</v>
      </c>
      <c r="DK101" s="493"/>
    </row>
    <row r="102" spans="1:115" ht="14.5" customHeight="1" x14ac:dyDescent="0.2">
      <c r="A102" s="390"/>
      <c r="B102" s="457"/>
      <c r="C102" s="79" t="s">
        <v>54</v>
      </c>
      <c r="D102" s="375"/>
      <c r="E102" s="387"/>
      <c r="F102" s="378"/>
      <c r="G102" s="508"/>
      <c r="H102" s="477"/>
      <c r="I102" s="183" t="s">
        <v>67</v>
      </c>
      <c r="J102" s="184">
        <v>0</v>
      </c>
      <c r="K102" s="185" t="s">
        <v>36</v>
      </c>
      <c r="L102" s="186">
        <v>3.25</v>
      </c>
      <c r="M102" s="174">
        <v>12.74</v>
      </c>
      <c r="N102" s="407"/>
      <c r="O102" s="187">
        <f>IF(OR(AE100="",AE101=""),"",IF(L102&gt;0,ROUND(IF(M102&gt;0,M102,IF(M100&gt;0,ROUND((M100*AE102)/AE100,IF(N100=0,2,IF(N100=0.1,1,0))),IF(M101&gt;0,ROUND((M101*AE102)/AE101,IF(N100=0,2,IF(N100=0.1,1,0))),IF(M102&gt;0,M102,0)))),2),""))</f>
        <v>12.74</v>
      </c>
      <c r="P102" s="188">
        <f>IF(I101="Lay",O101*(L101/(L101-1))-O101,IF(I100="Lay",O100*(L100/(L100-1))-O100,IF(OR(L102="",O102=""),"",IF($C102="1/2W",O102/2+O102/2*L102,IF($C102="1/2L",O102/2,(O102*L102-O102)*(1-_xlfn.XLOOKUP(K102,'Fevereiro 2023 - Valor Real'!A3:A15,'Fevereiro 2023 - Valor Real'!C3:C15,0))+O102)))))</f>
        <v>41.405000000000001</v>
      </c>
      <c r="Q102" s="166">
        <f>IF(K102="","",IF(_xlfn.XLOOKUP(K102,K$11:K92,$DJ$11:DJ92,0,,-1)=DJ102,_xlfn.XLOOKUP(K102,K$11:K92,Q$11:Q92,1,,-1)+1,1))</f>
        <v>4</v>
      </c>
      <c r="R102" s="189">
        <f>IF(K102="","",_xlfn.XLOOKUP(K102,K$11:K92,R$11:R92,0,,-1)+IF($C102=" ",1,0))</f>
        <v>0</v>
      </c>
      <c r="S102" s="404"/>
      <c r="T102" s="378"/>
      <c r="U102" s="378"/>
      <c r="V102" s="404"/>
      <c r="W102" s="378"/>
      <c r="X102" s="453"/>
      <c r="Y102" s="383"/>
      <c r="Z102" s="384"/>
      <c r="AA102" s="384"/>
      <c r="AB102" s="384"/>
      <c r="AC102" s="384"/>
      <c r="AD102" s="90"/>
      <c r="AE102" s="190">
        <f>IF(L102="","",(SUM(((L100-1)*(1-_xlfn.XLOOKUP(K100,'Fevereiro 2023 - Valor Real'!A3:A15,'Fevereiro 2023 - Valor Real'!C3:C15,0))+1),((L101-1)*(1-_xlfn.XLOOKUP(K101,'Fevereiro 2023 - Valor Real'!A3:A15,'Fevereiro 2023 - Valor Real'!C3:C15,0))+1),((L102-1)*(1-_xlfn.XLOOKUP(K102,'Fevereiro 2023 - Valor Real'!A3:A15,'Fevereiro 2023 - Valor Real'!C3:C15,0))+1))/((L102-1)*(1-_xlfn.XLOOKUP(K102,'Fevereiro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Real'!C3:C15,0))+1))/((L100-1)*(1-_xlfn.XLOOKUP(K100,'Fevereiro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Real'!C3:C15,0))+1))/((L101-1)*(1-_xlfn.XLOOKUP(K101,'Fevereiro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Real'!C3:C15,0))+1))/((L102-1)*(1-_xlfn.XLOOKUP(K102,'Fevereiro 2023 - Valor Real'!A3:A15,'Fevereiro 2023 - Valor Real'!C3:C15,0))+1)))</f>
        <v>0.22582104178706935</v>
      </c>
      <c r="AF102" s="66">
        <f t="shared" si="198"/>
        <v>28.67</v>
      </c>
      <c r="AG102" s="67">
        <f t="shared" si="198"/>
        <v>0</v>
      </c>
      <c r="AH102" s="67">
        <f t="shared" si="198"/>
        <v>0</v>
      </c>
      <c r="AI102" s="67">
        <f t="shared" si="198"/>
        <v>0</v>
      </c>
      <c r="AJ102" s="67">
        <f t="shared" si="198"/>
        <v>0</v>
      </c>
      <c r="AK102" s="67">
        <f t="shared" si="198"/>
        <v>0</v>
      </c>
      <c r="AL102" s="67">
        <f t="shared" si="198"/>
        <v>0</v>
      </c>
      <c r="AM102" s="67">
        <f t="shared" si="198"/>
        <v>0</v>
      </c>
      <c r="AN102" s="67">
        <f t="shared" si="198"/>
        <v>0</v>
      </c>
      <c r="AO102" s="67">
        <f t="shared" si="198"/>
        <v>0</v>
      </c>
      <c r="AP102" s="67">
        <f t="shared" si="198"/>
        <v>0</v>
      </c>
      <c r="AQ102" s="67">
        <f t="shared" si="198"/>
        <v>0</v>
      </c>
      <c r="AR102" s="68">
        <f t="shared" si="198"/>
        <v>0</v>
      </c>
      <c r="AS102" s="66">
        <f>IF(AND($B100=" ",$K102=AS$3),$O102,0)</f>
        <v>0</v>
      </c>
      <c r="AT102" s="67">
        <f>IF(AND($B100=" ",K102=AT$3),$O102,0)</f>
        <v>0</v>
      </c>
      <c r="AU102" s="67">
        <f t="shared" ref="AU102:BE102" si="211">IF(AND($B100=" ",$K102=AU$3),$O102,0)</f>
        <v>0</v>
      </c>
      <c r="AV102" s="67">
        <f t="shared" si="211"/>
        <v>0</v>
      </c>
      <c r="AW102" s="67">
        <f t="shared" si="211"/>
        <v>0</v>
      </c>
      <c r="AX102" s="67">
        <f t="shared" si="211"/>
        <v>0</v>
      </c>
      <c r="AY102" s="69">
        <f t="shared" si="211"/>
        <v>0</v>
      </c>
      <c r="AZ102" s="70">
        <f t="shared" si="211"/>
        <v>0</v>
      </c>
      <c r="BA102" s="70">
        <f t="shared" si="211"/>
        <v>0</v>
      </c>
      <c r="BB102" s="70">
        <f t="shared" si="211"/>
        <v>0</v>
      </c>
      <c r="BC102" s="71">
        <f t="shared" si="211"/>
        <v>0</v>
      </c>
      <c r="BD102" s="67">
        <f t="shared" si="211"/>
        <v>0</v>
      </c>
      <c r="BE102" s="68">
        <f t="shared" si="211"/>
        <v>0</v>
      </c>
      <c r="BF102" s="66">
        <f t="shared" si="200"/>
        <v>12.74</v>
      </c>
      <c r="BG102" s="168">
        <f t="shared" si="200"/>
        <v>0</v>
      </c>
      <c r="BH102" s="67">
        <f t="shared" si="200"/>
        <v>0</v>
      </c>
      <c r="BI102" s="67">
        <f t="shared" si="200"/>
        <v>0</v>
      </c>
      <c r="BJ102" s="67">
        <f t="shared" si="200"/>
        <v>0</v>
      </c>
      <c r="BK102" s="67">
        <f t="shared" si="200"/>
        <v>0</v>
      </c>
      <c r="BL102" s="67">
        <f t="shared" si="200"/>
        <v>0</v>
      </c>
      <c r="BM102" s="69">
        <f t="shared" si="200"/>
        <v>0</v>
      </c>
      <c r="BN102" s="70">
        <f t="shared" si="200"/>
        <v>0</v>
      </c>
      <c r="BO102" s="70">
        <f t="shared" si="200"/>
        <v>0</v>
      </c>
      <c r="BP102" s="70">
        <f t="shared" si="200"/>
        <v>0</v>
      </c>
      <c r="BQ102" s="71">
        <f t="shared" si="200"/>
        <v>0</v>
      </c>
      <c r="BR102" s="68">
        <f t="shared" si="200"/>
        <v>0</v>
      </c>
      <c r="BS102" s="491"/>
      <c r="BT102" s="489"/>
      <c r="BU102" s="392"/>
      <c r="BV102" s="489"/>
      <c r="BW102" s="392"/>
      <c r="BX102" s="392"/>
      <c r="BY102" s="392"/>
      <c r="BZ102" s="489"/>
      <c r="CA102" s="392"/>
      <c r="CB102" s="392"/>
      <c r="CC102" s="392"/>
      <c r="CD102" s="401"/>
      <c r="CE102" s="409"/>
      <c r="CF102" s="169">
        <f t="shared" si="131"/>
        <v>1</v>
      </c>
      <c r="CG102" s="170">
        <f t="shared" si="132"/>
        <v>0</v>
      </c>
      <c r="CH102" s="170">
        <f t="shared" si="133"/>
        <v>0</v>
      </c>
      <c r="CI102" s="170">
        <f t="shared" si="134"/>
        <v>0</v>
      </c>
      <c r="CJ102" s="170">
        <f t="shared" si="135"/>
        <v>0</v>
      </c>
      <c r="CK102" s="170">
        <f t="shared" si="136"/>
        <v>0</v>
      </c>
      <c r="CL102" s="170">
        <f t="shared" si="137"/>
        <v>0</v>
      </c>
      <c r="CM102" s="170">
        <f t="shared" si="138"/>
        <v>0</v>
      </c>
      <c r="CN102" s="170">
        <f t="shared" si="139"/>
        <v>0</v>
      </c>
      <c r="CO102" s="170">
        <f t="shared" si="140"/>
        <v>0</v>
      </c>
      <c r="CP102" s="170">
        <f t="shared" si="141"/>
        <v>0</v>
      </c>
      <c r="CQ102" s="170">
        <f t="shared" si="142"/>
        <v>0</v>
      </c>
      <c r="CR102" s="170">
        <f t="shared" si="143"/>
        <v>0</v>
      </c>
      <c r="CS102" s="170">
        <f t="shared" si="144"/>
        <v>0</v>
      </c>
      <c r="CT102" s="75">
        <f t="shared" si="145"/>
        <v>0</v>
      </c>
      <c r="CU102" s="76">
        <f t="shared" si="146"/>
        <v>0</v>
      </c>
      <c r="CV102" s="76">
        <f t="shared" si="147"/>
        <v>0</v>
      </c>
      <c r="CW102" s="76">
        <f t="shared" si="148"/>
        <v>0</v>
      </c>
      <c r="CX102" s="76">
        <f t="shared" si="149"/>
        <v>0</v>
      </c>
      <c r="CY102" s="76">
        <f t="shared" si="150"/>
        <v>0</v>
      </c>
      <c r="CZ102" s="76">
        <f t="shared" si="151"/>
        <v>0</v>
      </c>
      <c r="DA102" s="76">
        <f t="shared" si="152"/>
        <v>0</v>
      </c>
      <c r="DB102" s="76">
        <f t="shared" si="153"/>
        <v>0</v>
      </c>
      <c r="DC102" s="76">
        <f t="shared" si="154"/>
        <v>0</v>
      </c>
      <c r="DD102" s="76">
        <f t="shared" si="155"/>
        <v>0</v>
      </c>
      <c r="DE102" s="77">
        <f t="shared" si="156"/>
        <v>0</v>
      </c>
      <c r="DF102" s="73">
        <f t="shared" si="158"/>
        <v>11</v>
      </c>
      <c r="DG102" s="67">
        <f t="shared" si="159"/>
        <v>14.450000000000001</v>
      </c>
      <c r="DH102" s="76">
        <f t="shared" si="160"/>
        <v>0</v>
      </c>
      <c r="DI102" s="67">
        <f t="shared" si="161"/>
        <v>0</v>
      </c>
      <c r="DJ102" s="202" t="str">
        <f>IF($D100="","",$D100)</f>
        <v>2</v>
      </c>
      <c r="DK102" s="493"/>
    </row>
    <row r="103" spans="1:115" ht="14.5" customHeight="1" x14ac:dyDescent="0.2">
      <c r="A103" s="459">
        <f>$A100+1</f>
        <v>34</v>
      </c>
      <c r="B103" s="507" t="str">
        <f>IF(OR(C103="W",C104="W",C105="W",C103="1/2W",C104="1/2W",C105="1/2W",C103="1/2L",C104="1/2L",C105="1/2L"),"OK",IF(OR(C103="L",C104="L",C105="L"),"LOSS",IF(OR(C103="X",C104="X",C105="X"),"Anulado"," ")))</f>
        <v>OK</v>
      </c>
      <c r="C103" s="93" t="s">
        <v>54</v>
      </c>
      <c r="D103" s="468" t="str">
        <f>IF(G103="","",$D100)</f>
        <v>2</v>
      </c>
      <c r="E103" s="485" t="str">
        <f>IF(G103=""," ","– "&amp;COUNTIF(D$4:D105,$D103))</f>
        <v>– 17</v>
      </c>
      <c r="F103" s="509" t="str">
        <f ca="1">IF(G103="","",IF(OR(AND($C103&lt;&gt;" ",$C104=" "),AND($C104&lt;&gt;" ",$C103=" "),AND(L105&gt;0,OR(AND($C105&lt;&gt;" ",OR($C103=" ",$C104=" ")),AND($C105=" ",OR($C103&lt;&gt;" ",$C104&lt;&gt;" "))))),IF(SUM(F$4:F102)=0,1,LARGE(F$4:F102,1)+1),IF(MONTH(G103)=MONTH(TODAY()),IF(AND(DAY(G103)&lt;DAY(TODAY()),$B103=" "),IF(SUM(F$4:F102)=0,1,LARGE(F$4:F102,1)+1),IF($B103=" ",IF(AND(DAY(G103)=DAY(TODAY()),HOUR(G103)&lt;=HOUR(NOW())+1),IF(AND(HOUR(G103)+2&lt;=HOUR(NOW()),DAY(G103)&lt;=DAY(TODAY()),MINUTE(G103)&lt;=MINUTE(NOW())),IF(SUM(F$4:F102)=0,1,LARGE(F$4:F102,1)+1),IF(OR(MINUTE(G103)&lt;=MINUTE(NOW()),HOUR(G103)&lt;=HOUR(NOW())),"!!!","")),""),"")),"")))</f>
        <v/>
      </c>
      <c r="G103" s="482">
        <v>44994.614583333336</v>
      </c>
      <c r="H103" s="475" t="s">
        <v>86</v>
      </c>
      <c r="I103" s="175">
        <v>1</v>
      </c>
      <c r="J103" s="176"/>
      <c r="K103" s="96" t="s">
        <v>47</v>
      </c>
      <c r="L103" s="97">
        <v>2.04</v>
      </c>
      <c r="M103" s="98">
        <v>251.36</v>
      </c>
      <c r="N103" s="478">
        <v>0</v>
      </c>
      <c r="O103" s="99">
        <f>IF(OR(AE103="",AE104=""),"",ROUND(IF(L105&gt;0,IF(M103&gt;0,M103,IF(M104&gt;0,ROUND((M104*AE103)/AE104,IF(N103=0,2,IF(N103=0.1,1,0))),ROUND((M105*AE103)/AE105,IF(N103=0,2,IF(N103=0.1,1,0))))),IF(M103&gt;0,M103,ROUND((M104*AE103)/AE104,IF(N103=0,2,IF(N103=0.1,1,0))))),2))</f>
        <v>251.36</v>
      </c>
      <c r="P103" s="100">
        <f>IF(OR(L103="",O103=""),"",IF($C103="1/2W",O103/2+O103/2*L103,IF($C103="1/2L",O103/2,IF(I103="Lay",(O103*(L103/(L103-1))-O103)*(1-_xlfn.XLOOKUP(K103,'Fevereiro 2023 - Valor Real'!A3:A15,'Fevereiro 2023 - Valor Real'!C3:C15,0))+O103,(O103*L103-O103)*(1-_xlfn.XLOOKUP(K103,'Fevereiro 2023 - Valor Real'!A3:A15,'Fevereiro 2023 - Valor Real'!C3:C15,0))+O103))))</f>
        <v>512.77440000000001</v>
      </c>
      <c r="Q103" s="101">
        <f>IF(K103="","",IF(_xlfn.XLOOKUP(K103,K$4:K102,$DJ$4:DJ102,0,,-1)=DJ103,_xlfn.XLOOKUP(K103,K$4:K102,Q$4:Q102,1,,-1)+1,1))</f>
        <v>7</v>
      </c>
      <c r="R103" s="102">
        <f>IF(K103="","",_xlfn.XLOOKUP(K103,K$4:K102,R$4:R102,0,,-1)+IF($C103=" ",1,0))</f>
        <v>0</v>
      </c>
      <c r="S103" s="474">
        <f>IF($B103="Anulado",0,ROUND(IF(OR($B103="LOSS",$B103="OK"),IF(OR($C103="W",$C103="1/2W",$C103="1/2L"),P103-O103,IF($C103="L",-O103,0))+IF(OR($C104="W",$C104="1/2W",$C104="1/2L"),P104-O104,IF($C104="L",-O104,0))+IF(OR($C105="W",$C105="1/2W",$C105="1/2L"),P105-O105,IF($C105="L",-O105,0)),IF(AND(OR($C103="W",$C103="1/2W",$C103="1/2L"),C104="W"),P103+P104-SUM(O103:O105)+_xlfn.XLOOKUP("X",C103:C105,O103:O105,0),IF(AND(C103=TRUE,C105="W"),P103+P105-SUM(O103:O105),IF(AND(C104="W",C105="W"),P104+P105-SUM(O103:O105)+_xlfn.XLOOKUP("X",C103:C105,O103:O105,0),IF(L105&gt;0,IF(OR($C103="W",$C103="1/2W",$C103="1/2L"),P103-SUM(O103:O105)+_xlfn.XLOOKUP("X",C103:C105,O103:O105,0),IF(OR($C103="W",$C103="1/2W",$C103="1/2L"),P104-SUM(O103:O105)+_xlfn.XLOOKUP("X",C103:C105,O103:O105,0),IF(OR($C103="W",$C103="1/2W",$C103="1/2L"),P105-SUM(O103:O105)+_xlfn.XLOOKUP("X",C103:C105,O103:O105,0),IF(SUM(P103:P105)/3-SUM(O103:O105)+_xlfn.XLOOKUP("X",C103:C105,O103:O105,0)&gt;0,SUM(P103:P105)/3-SUM(O103:O105)+_xlfn.XLOOKUP("X",C103:C105,O103:O105,0),LARGE(P103:P105,1)-SUM(O103:O105))))),IF(OR($C103="W",$C103="1/2W",$C103="1/2L"),P103-SUM(O103:O104)+_xlfn.XLOOKUP("X",C103:C105,O103:O105,0),IF(OR($C103="W",$C103="1/2W",$C103="1/2L"),P104-SUM(O103:O104)+_xlfn.XLOOKUP("X",C103:C105,O103:O105,0),SUM(P103:P104)/2-SUM(O103:O104)+_xlfn.XLOOKUP("X",C103:C105,O103:O105,0)))))))),2))</f>
        <v>20.66</v>
      </c>
      <c r="T103" s="458">
        <f>IF(S103=0,0,S103/SUM(O103:O105))</f>
        <v>4.1982483591067037E-2</v>
      </c>
      <c r="U103" s="470">
        <f>IF($D103=$D100,IF(OR($B103="LOSS",$B103="OK",$B103="Anulada"),S103,0)+U100,IF(OR($B103="LOSS",$B103="OK",$B103="Anulada"),S103,0))</f>
        <v>49.449999999999996</v>
      </c>
      <c r="V103" s="470">
        <f>IF($D103="",0,IF($D103=$D100,IF($B103=" ",IF(I105="",IF(OR(AND(I103="DNB1",I104="DNB2"),AND(OR(I103="DNB1",I103="DNB2"),J104=0),AND(OR(I104="DNB1",I104="DNB2"),J103=0),AND(I103="DNB2",I104="DNB1"),AND(IF(J103=0,(J103+1)/ROUND(J103+1,0),J103/ROUND(J103,0))=1,IF(J104=0,(J104+1)/ROUND(IF(J104="",0,J104)+1,0),IF(J104="",0,J104)/ROUND(IF(J104="",1,J104),0))=1,OR(J103&lt;&gt;""),J104&lt;&gt;"")),0,IF(S103&lt;0,IF(I105="",SMALL(P103:P104,1)-SUM(O103:O104),0),SMALL(P103:P104,1)-SUM(O103:O104))),IF(S103&lt;0,IF(I105="",SMALL(P103:P105,1)-SUM(O103:O105),0),LARGE(P103:P105,1)-SUM(O103:O105))),S103)+V100,IF(I105="",IF(OR(AND(I103="DNB1",I104="DNB2"),AND(OR(I103="DNB1",I103="DNB2"),J104=0),AND(OR(I104="DNB1",I104="DNB2"),J103=0),AND(I103="DNB2",I104="DNB1"),AND(IF(J103=0,(J103+1)/ROUND(J103+1,0),J103/ROUND(J103,0))=1,IF(J104=0,(IF(J104="",0,J104)+1)/ROUND(IF(J104="",0,J104)+1,0),IF(J104="",0,J104)/ROUND(IF(J104="",0,J104)+1,0))=1,OR(J103&lt;&gt;""),J104&lt;&gt;"")),0,IF(S103&lt;0,IF(I105="",SMALL(P103:P104,1)-SUM(O103:O104),0),SMALL(P103:P105,1)-SUM(O103:O105))),IF(S103&lt;0,IF(I105="",SMALL(P103:P105,1)-SUM(O103:O105),0),LARGE(P103:P105,1)-SUM(O103:O105)))))</f>
        <v>49.39</v>
      </c>
      <c r="W103" s="470">
        <f>IF($D103=$D100,IF(S103&lt;0,IF(I105="",S103,0),S103)+W100,S103)</f>
        <v>49.449999999999996</v>
      </c>
      <c r="X103" s="480" t="str">
        <f>IF(OR(SUM(R103:R105)=0,V103=W103),ROUND(IF(W103=0,0,W103/Y103)*100,2)&amp;"%",ROUND(IF(V103=0,0,V103/Y103)*100,2)&amp;"% a "&amp;ROUND(IF(W103=0,0,W103/Y103)*100,2)&amp;"%")</f>
        <v>4,35%</v>
      </c>
      <c r="Y103" s="471">
        <f>IF($D103=$D100,Y100+SUM(O103:O105),SUM(O103:O105))</f>
        <v>1137.46</v>
      </c>
      <c r="Z103" s="470">
        <f>IF($B103=" ",SUM(O103:O105),0)+Z100</f>
        <v>0</v>
      </c>
      <c r="AA103" s="470">
        <f>IF(G103="","",IF($B103="Anulado",LARGE(P103:P105,1)-SUM(O103:O105)+AA100,AA100))</f>
        <v>0.45899999999999785</v>
      </c>
      <c r="AB103" s="470">
        <f>IF($D103="","",AB100+S103)</f>
        <v>78.09999999999998</v>
      </c>
      <c r="AC103" s="472">
        <f ca="1">IF($D103="","",IF($B103=" ",IF(DAY(G103)=DAY(TODAY()),1+AC100,0+AC100),0+AC100))</f>
        <v>0</v>
      </c>
      <c r="AD103" s="103">
        <f>(((L104/(L104-1)-1)*(1-_xlfn.XLOOKUP(K104,'Fevereiro 2023 - Valor Real'!A3:A15,'Fevereiro 2023 - Valor Real'!C3:C15,0))+1))/(((L103-1)*(1-_xlfn.XLOOKUP(K103,'Fevereiro 2023 - Valor Real'!A3:A15,'Fevereiro 2023 - Valor Real'!C3:C15,0))+1)+((L104/(L104-1)-1)*(1-_xlfn.XLOOKUP(K104,'Fevereiro 2023 - Valor Real'!A3:A15,'Fevereiro 2023 - Valor Real'!C3:C15,0))+1))</f>
        <v>0.48024891774891776</v>
      </c>
      <c r="AE103" s="104">
        <f>IF(L103="","",IF(L105&gt;0,(SUM(((L103-1)*(1-_xlfn.XLOOKUP(K103,'Fevereiro 2023 - Valor Real'!A3:A15,'Fevereiro 2023 - Valor Real'!C3:C15,0))+1),((L104-1)*(1-_xlfn.XLOOKUP(K104,'Fevereiro 2023 - Valor Real'!A3:A15,'Fevereiro 2023 - Valor Real'!C3:C15,0))+1),((L105-1)*(1-_xlfn.XLOOKUP(K105,'Fevereiro 2023 - Valor Real'!A3:A15,'Fevereiro 2023 - Valor Real'!C3:C15,0))+1))/((L103-1)*(1-_xlfn.XLOOKUP(K103,'Fevereiro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Real'!C3:C15,0))+1))/((L103-1)*(1-_xlfn.XLOOKUP(K103,'Fevereiro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Real'!C3:C15,0))+1))/((L104-1)*(1-_xlfn.XLOOKUP(K104,'Fevereiro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Real'!C3:C15,0))+1))/((L105-1)*(1-_xlfn.XLOOKUP(K105,'Fevereiro 2023 - Valor Real'!A3:A15,'Fevereiro 2023 - Valor Real'!C3:C15,0))+1)),IF(I103="Lay",IF(I104="Lay",((L104/(L104-1)-1)*(1-_xlfn.XLOOKUP(K104,'Fevereiro 2023 - Valor Real'!A3:A15,'Fevereiro 2023 - Valor Real'!C3:C15,0))+1)/(((L104/(L104-1)-1)*(1-_xlfn.XLOOKUP(K104,'Fevereiro 2023 - Valor Real'!A3:A15,'Fevereiro 2023 - Valor Real'!C3:C15,0))+1)+((L103/(L103-1)-1)*(1-_xlfn.XLOOKUP(K103,'Fevereiro 2023 - Valor Real'!A3:A15,'Fevereiro 2023 - Valor Real'!C3:C15,0))+1)),((L104-1)*(1-_xlfn.XLOOKUP(K104,'Fevereiro 2023 - Valor Real'!A3:A15,'Fevereiro 2023 - Valor Real'!C3:C15,0))+1)/(((L104-1)*(1-_xlfn.XLOOKUP(K104,'Fevereiro 2023 - Valor Real'!A3:A15,'Fevereiro 2023 - Valor Real'!C3:C15,0))+1)+((L103/(L103-1)-1)*(1-_xlfn.XLOOKUP(K103,'Fevereiro 2023 - Valor Real'!A3:A15,'Fevereiro 2023 - Valor Real'!C3:C15,0))+1))),IF(I104="Lay",(((L104/(L104-1)-1)*(1-_xlfn.XLOOKUP(K104,'Fevereiro 2023 - Valor Real'!A3:A15,'Fevereiro 2023 - Valor Real'!C3:C15,0))+1))/(((L103-1)*(1-_xlfn.XLOOKUP(K103,'Fevereiro 2023 - Valor Real'!A3:A15,'Fevereiro 2023 - Valor Real'!C3:C15,0))+1)+((L104/(L104-1)-1)*(1-_xlfn.XLOOKUP(K104,'Fevereiro 2023 - Valor Real'!A3:A15,'Fevereiro 2023 - Valor Real'!C3:C15,0))+1)),((L104-1)*(1-_xlfn.XLOOKUP(K104,'Fevereiro 2023 - Valor Real'!A3:A15,'Fevereiro 2023 - Valor Real'!C3:C15,0))+1)/(((L104-1)*(1-_xlfn.XLOOKUP(K104,'Fevereiro 2023 - Valor Real'!A3:A15,'Fevereiro 2023 - Valor Real'!C3:C15,0))+1)+((L103-1)*(1-_xlfn.XLOOKUP(K103,'Fevereiro 2023 - Valor Real'!A3:A15,'Fevereiro 2023 - Valor Real'!C3:C15,0))+1))))))</f>
        <v>0.51079136690647475</v>
      </c>
      <c r="AF103" s="105">
        <f t="shared" si="198"/>
        <v>0</v>
      </c>
      <c r="AG103" s="106">
        <f t="shared" si="198"/>
        <v>0</v>
      </c>
      <c r="AH103" s="106">
        <f t="shared" si="198"/>
        <v>0</v>
      </c>
      <c r="AI103" s="106">
        <f t="shared" si="198"/>
        <v>0</v>
      </c>
      <c r="AJ103" s="106">
        <f t="shared" si="198"/>
        <v>0</v>
      </c>
      <c r="AK103" s="106">
        <f t="shared" si="198"/>
        <v>0</v>
      </c>
      <c r="AL103" s="106">
        <f t="shared" si="198"/>
        <v>0</v>
      </c>
      <c r="AM103" s="106">
        <f t="shared" si="198"/>
        <v>0</v>
      </c>
      <c r="AN103" s="106">
        <f t="shared" si="198"/>
        <v>0</v>
      </c>
      <c r="AO103" s="106">
        <f t="shared" si="198"/>
        <v>0</v>
      </c>
      <c r="AP103" s="106">
        <f t="shared" si="198"/>
        <v>0</v>
      </c>
      <c r="AQ103" s="106">
        <f t="shared" si="198"/>
        <v>261.41000000000003</v>
      </c>
      <c r="AR103" s="107">
        <f t="shared" si="198"/>
        <v>0</v>
      </c>
      <c r="AS103" s="105">
        <f t="shared" ref="AS103:BE103" si="212">IF(AND($B103=" ",$K103=AS$3),$O103,0)</f>
        <v>0</v>
      </c>
      <c r="AT103" s="106">
        <f t="shared" si="212"/>
        <v>0</v>
      </c>
      <c r="AU103" s="106">
        <f t="shared" si="212"/>
        <v>0</v>
      </c>
      <c r="AV103" s="106">
        <f t="shared" si="212"/>
        <v>0</v>
      </c>
      <c r="AW103" s="106">
        <f t="shared" si="212"/>
        <v>0</v>
      </c>
      <c r="AX103" s="106">
        <f t="shared" si="212"/>
        <v>0</v>
      </c>
      <c r="AY103" s="108">
        <f t="shared" si="212"/>
        <v>0</v>
      </c>
      <c r="AZ103" s="109">
        <f t="shared" si="212"/>
        <v>0</v>
      </c>
      <c r="BA103" s="109">
        <f t="shared" si="212"/>
        <v>0</v>
      </c>
      <c r="BB103" s="109">
        <f t="shared" si="212"/>
        <v>0</v>
      </c>
      <c r="BC103" s="110">
        <f t="shared" si="212"/>
        <v>0</v>
      </c>
      <c r="BD103" s="106">
        <f t="shared" si="212"/>
        <v>0</v>
      </c>
      <c r="BE103" s="107">
        <f t="shared" si="212"/>
        <v>0</v>
      </c>
      <c r="BF103" s="111">
        <f t="shared" si="200"/>
        <v>0</v>
      </c>
      <c r="BG103" s="106">
        <f t="shared" si="200"/>
        <v>0</v>
      </c>
      <c r="BH103" s="106">
        <f t="shared" si="200"/>
        <v>0</v>
      </c>
      <c r="BI103" s="106">
        <f t="shared" si="200"/>
        <v>0</v>
      </c>
      <c r="BJ103" s="106">
        <f t="shared" si="200"/>
        <v>0</v>
      </c>
      <c r="BK103" s="106">
        <f t="shared" si="200"/>
        <v>0</v>
      </c>
      <c r="BL103" s="106">
        <f t="shared" si="200"/>
        <v>0</v>
      </c>
      <c r="BM103" s="108">
        <f t="shared" si="200"/>
        <v>0</v>
      </c>
      <c r="BN103" s="109">
        <f t="shared" si="200"/>
        <v>0</v>
      </c>
      <c r="BO103" s="109">
        <f t="shared" si="200"/>
        <v>0</v>
      </c>
      <c r="BP103" s="109">
        <f t="shared" si="200"/>
        <v>0</v>
      </c>
      <c r="BQ103" s="110">
        <f t="shared" si="200"/>
        <v>251.36</v>
      </c>
      <c r="BR103" s="107">
        <f t="shared" si="200"/>
        <v>0</v>
      </c>
      <c r="BS103" s="463">
        <f>IF($B103="LOSS",IF(AND($K103=BS$3,$C103="L"),-$O103,0)+IF(AND($K104=BS$3,$C104="L"),-$O104,0)+IF(AND($K105=BS$3,$C105="L"),-$O105,0),IF(OR(AND($K103=BS$3,OR($C103="W",$C103="1/2W")),AND($K104=BS$3,OR($C104="W",$C104="1/2W")),AND($K105=BS$3,OR($C105="W",$C105="1/2W"))),$S103,0))</f>
        <v>0</v>
      </c>
      <c r="BT103" s="462">
        <f>IF($B103="LOSS",IF(AND($K103=BT$3,$C103="L"),-$O103,0)+IF(AND($K104=BT$3,$C104="L"),-$O104,0)+IF(AND($K104=BT$3,$C105="L"),-$O105,0),IF(OR(AND($K104=BT$3,OR($C103="W",$C103="1/2W")),AND($K104=BT$3,OR($C104="W",$C104="1/2W")),AND($K104=BT$3,OR($C105="W",$C105="1/2W"))),$S103,0))</f>
        <v>0</v>
      </c>
      <c r="BU103" s="462">
        <f>IF($B103="LOSS",IF(AND($K103=BU$3,$C103="L"),-$O103,0)+IF(AND($K104=BU$3,$C104="L"),-$O104,0)+IF(AND($K104=BU$3,$C105="L"),-$O105,0),IF(OR(AND($K104=BU$3,OR($C103="W",$C103="1/2W")),AND($K104=BU$3,OR($C104="W",$C104="1/2W")),AND($K104=BU$3,OR($C105="W",$C105="1/2W"))),$S103,0))</f>
        <v>0</v>
      </c>
      <c r="BV103" s="462">
        <f t="shared" ref="BV103:CE103" si="213">IF($B103="LOSS",IF(AND($K103=BV$3,$C103="L"),-$O103,0)+IF(AND($K104=BV$3,$C104="L"),-$O104,0)+IF(AND($K105=BV$3,$C105="L"),-$O105,0),IF(OR(AND($K103=BV$3,OR($C103="W",$C103="1/2W")),AND($K104=BV$3,OR($C104="W",$C104="1/2W")),AND($K105=BV$3,OR($C105="W",$C105="1/2W"))),$S103,0))</f>
        <v>0</v>
      </c>
      <c r="BW103" s="462">
        <f t="shared" si="213"/>
        <v>0</v>
      </c>
      <c r="BX103" s="462">
        <f t="shared" si="213"/>
        <v>0</v>
      </c>
      <c r="BY103" s="462">
        <f t="shared" si="213"/>
        <v>0</v>
      </c>
      <c r="BZ103" s="460">
        <f t="shared" si="213"/>
        <v>0</v>
      </c>
      <c r="CA103" s="460">
        <f t="shared" si="213"/>
        <v>0</v>
      </c>
      <c r="CB103" s="460">
        <f t="shared" si="213"/>
        <v>0</v>
      </c>
      <c r="CC103" s="460">
        <f t="shared" si="213"/>
        <v>0</v>
      </c>
      <c r="CD103" s="473">
        <f t="shared" si="213"/>
        <v>20.66</v>
      </c>
      <c r="CE103" s="479">
        <f t="shared" si="213"/>
        <v>0</v>
      </c>
      <c r="CF103" s="113">
        <f t="shared" si="131"/>
        <v>0</v>
      </c>
      <c r="CG103" s="114">
        <f t="shared" si="132"/>
        <v>0</v>
      </c>
      <c r="CH103" s="114">
        <f t="shared" si="133"/>
        <v>0</v>
      </c>
      <c r="CI103" s="114">
        <f t="shared" si="134"/>
        <v>0</v>
      </c>
      <c r="CJ103" s="114">
        <f t="shared" si="135"/>
        <v>0</v>
      </c>
      <c r="CK103" s="114">
        <f t="shared" si="136"/>
        <v>0</v>
      </c>
      <c r="CL103" s="114">
        <f t="shared" si="137"/>
        <v>0</v>
      </c>
      <c r="CM103" s="114">
        <f t="shared" si="138"/>
        <v>0</v>
      </c>
      <c r="CN103" s="114">
        <f t="shared" si="139"/>
        <v>0</v>
      </c>
      <c r="CO103" s="114">
        <f t="shared" si="140"/>
        <v>0</v>
      </c>
      <c r="CP103" s="114">
        <f t="shared" si="141"/>
        <v>0</v>
      </c>
      <c r="CQ103" s="114">
        <f t="shared" si="142"/>
        <v>0</v>
      </c>
      <c r="CR103" s="114">
        <f t="shared" si="143"/>
        <v>0</v>
      </c>
      <c r="CS103" s="114">
        <f t="shared" si="144"/>
        <v>0</v>
      </c>
      <c r="CT103" s="115">
        <f t="shared" si="145"/>
        <v>0</v>
      </c>
      <c r="CU103" s="116">
        <f t="shared" si="146"/>
        <v>0</v>
      </c>
      <c r="CV103" s="116">
        <f t="shared" si="147"/>
        <v>0</v>
      </c>
      <c r="CW103" s="116">
        <f t="shared" si="148"/>
        <v>0</v>
      </c>
      <c r="CX103" s="116">
        <f t="shared" si="149"/>
        <v>0</v>
      </c>
      <c r="CY103" s="116">
        <f t="shared" si="150"/>
        <v>0</v>
      </c>
      <c r="CZ103" s="116">
        <f t="shared" si="151"/>
        <v>0</v>
      </c>
      <c r="DA103" s="116">
        <f t="shared" si="152"/>
        <v>0</v>
      </c>
      <c r="DB103" s="116">
        <f t="shared" si="153"/>
        <v>1</v>
      </c>
      <c r="DC103" s="116">
        <f t="shared" si="154"/>
        <v>0</v>
      </c>
      <c r="DD103" s="116">
        <f t="shared" si="155"/>
        <v>0</v>
      </c>
      <c r="DE103" s="117">
        <f t="shared" si="156"/>
        <v>0</v>
      </c>
      <c r="DF103" s="118">
        <f t="shared" si="158"/>
        <v>11</v>
      </c>
      <c r="DG103" s="106">
        <f t="shared" si="159"/>
        <v>14.450000000000001</v>
      </c>
      <c r="DH103" s="116">
        <f t="shared" si="160"/>
        <v>0</v>
      </c>
      <c r="DI103" s="106">
        <f t="shared" si="161"/>
        <v>0</v>
      </c>
      <c r="DJ103" s="201" t="str">
        <f>IF($D103="","",$D103)</f>
        <v>2</v>
      </c>
      <c r="DK103" s="465">
        <f>IF(AND($B103=" ",$D103&lt;&gt;""),1,0)</f>
        <v>0</v>
      </c>
    </row>
    <row r="104" spans="1:115" ht="14.5" customHeight="1" x14ac:dyDescent="0.2">
      <c r="A104" s="389"/>
      <c r="B104" s="456"/>
      <c r="C104" s="120" t="s">
        <v>55</v>
      </c>
      <c r="D104" s="374"/>
      <c r="E104" s="386"/>
      <c r="F104" s="377"/>
      <c r="G104" s="483"/>
      <c r="H104" s="476"/>
      <c r="I104" s="178">
        <v>2</v>
      </c>
      <c r="J104" s="179" t="str">
        <f>IF(OR(I103="TO",I103="TU",I103="TO1",I103="TU1",I103="TO2",I103="TU2"),J103,IF(OR(I103="AH1",I103="AH2"),IF(OR(I104="AH1",I104="AH2"),-J103,IF(OR(I104="EH1",I104="EH2"),-J103+0.5,"")),IF(OR(I103="EH1",I103="EH2"),IF(OR(I104="AH1",I104="AH2"),-J103+0.5,IF(OR(I104="EH1",I104="EH2"),-J103+1,"")),IF(AND(OR(I103="DNB1",I103="DNB2"),OR(I104="AH1",I104="AH2")),0,IF(AND(I103="Not ScoreBoth",OR(I104="TO1",I104="TO2")),0.5,"")))))</f>
        <v/>
      </c>
      <c r="K104" s="123" t="s">
        <v>40</v>
      </c>
      <c r="L104" s="124">
        <v>2.13</v>
      </c>
      <c r="M104" s="125">
        <v>240.75</v>
      </c>
      <c r="N104" s="406"/>
      <c r="O104" s="126">
        <f>IF(OR(AE103="",AE104=""),"",ROUND(IF(L105&gt;0,IF(M104&gt;0,M104,IF(M103&gt;0,IF(N103=TRUE,ROUND((M103*AE104)/AE103,0),(M103*AE104)/AE103),IF(M104&gt;0,ROUND(M104,IF(N103=0,2,IF(N103=0.1,1,0))),IF(M105&gt;0,ROUND(O105*AE104/AE105,IF(N103=0,2,IF(N103=0.1,1,0))),0)))),IF(M104&gt;0,M104,ROUND((M103*AE104)/AE103,IF(N103=0,2,IF(N103=0.1,1,0))))),2))</f>
        <v>240.75</v>
      </c>
      <c r="P104" s="127">
        <f>IF(OR(L104="",O104=""),"",IF($C104="1/2W",O104/2+O104/2*L104,IF($C104="1/2L",O104/2,IF(I104="Lay",((O104*(L104/(L104-1)))-O104)*(1-_xlfn.XLOOKUP(K104,'Fevereiro 2023 - Valor Real'!A3:A15,'Fevereiro 2023 - Valor Real'!C3:C15,0))+O104,(O104*L104-O104)*(1-_xlfn.XLOOKUP(K104,'Fevereiro 2023 - Valor Real'!A3:A15,'Fevereiro 2023 - Valor Real'!C3:C15,0))+O104))))</f>
        <v>512.79750000000001</v>
      </c>
      <c r="Q104" s="128">
        <f>IF(K104="","",IF(_xlfn.XLOOKUP(K104,K$4:K103,$DJ$4:DJ103,0,,-1)=DJ104,_xlfn.XLOOKUP(K104,K$4:K103,Q$4:Q103,1,,-1)+1,1))</f>
        <v>7</v>
      </c>
      <c r="R104" s="129">
        <f>IF(K104="","",_xlfn.XLOOKUP(K104,K$4:K103,R$4:R103,0,,-1)+IF($C104=" ",1,0))</f>
        <v>0</v>
      </c>
      <c r="S104" s="403"/>
      <c r="T104" s="380"/>
      <c r="U104" s="380"/>
      <c r="V104" s="481"/>
      <c r="W104" s="380"/>
      <c r="X104" s="452"/>
      <c r="Y104" s="383"/>
      <c r="Z104" s="384"/>
      <c r="AA104" s="384"/>
      <c r="AB104" s="384"/>
      <c r="AC104" s="384"/>
      <c r="AD104" s="130">
        <f>(((L104/(L104-1)-1)*(1-_xlfn.XLOOKUP(K104,'Fevereiro 2023 - Valor Real'!A3:A15,'Fevereiro 2023 - Valor Real'!C3:C15,0))+1))</f>
        <v>1.8849557522123894</v>
      </c>
      <c r="AE104" s="131">
        <f>IF(L104="","",IF(L105&gt;0,(SUM(((L103-1)*(1-_xlfn.XLOOKUP(K103,'Fevereiro 2023 - Valor Real'!A3:A15,'Fevereiro 2023 - Valor Real'!C3:C15,0))+1),((L104-1)*(1-_xlfn.XLOOKUP(K104,'Fevereiro 2023 - Valor Real'!A3:A15,'Fevereiro 2023 - Valor Real'!C3:C15,0))+1),((L105-1)*(1-_xlfn.XLOOKUP(K105,'Fevereiro 2023 - Valor Real'!A3:A15,'Fevereiro 2023 - Valor Real'!C3:C15,0))+1))/((L104-1)*(1-_xlfn.XLOOKUP(K104,'Fevereiro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Real'!C3:C15,0))+1))/((L103-1)*(1-_xlfn.XLOOKUP(K103,'Fevereiro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Real'!C3:C15,0))+1))/((L104-1)*(1-_xlfn.XLOOKUP(K104,'Fevereiro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Real'!C3:C15,0))+1))/((L105-1)*(1-_xlfn.XLOOKUP(K105,'Fevereiro 2023 - Valor Real'!A3:A15,'Fevereiro 2023 - Valor Real'!C3:C15,0))+1)),IF(I104="Lay",IF(I103="Lay",((L103/(L103-1)-1)*(1-_xlfn.XLOOKUP(K103,'Fevereiro 2023 - Valor Real'!A3:A15,'Fevereiro 2023 - Valor Real'!C3:C15,0))+1)/(((L103/(L103-1)-1)*(1-_xlfn.XLOOKUP(K103,'Fevereiro 2023 - Valor Real'!A3:A15,'Fevereiro 2023 - Valor Real'!C3:C15,0))+1)+((L104/(L104-1)-1)*(1-_xlfn.XLOOKUP(K104,'Fevereiro 2023 - Valor Real'!A3:A15,'Fevereiro 2023 - Valor Real'!C3:C15,0))+1)),((L103-1)*(1-_xlfn.XLOOKUP(K103,'Fevereiro 2023 - Valor Real'!A3:A15,'Fevereiro 2023 - Valor Real'!C3:C15,0))+1)/(((L103-1)*(1-_xlfn.XLOOKUP(K103,'Fevereiro 2023 - Valor Real'!A3:A15,'Fevereiro 2023 - Valor Real'!C3:C15,0))+1)+((L104/(L104-1)-1)*(1-_xlfn.XLOOKUP(K104,'Fevereiro 2023 - Valor Real'!A3:A15,'Fevereiro 2023 - Valor Real'!C3:C15,0))+1))),IF(I103="Lay",((L103/(L103-1)-1)*(1-_xlfn.XLOOKUP(K103,'Fevereiro 2023 - Valor Real'!A3:A15,'Fevereiro 2023 - Valor Real'!C3:C15,0))+1)/((((L103/(L103-1)-1)*(1-_xlfn.XLOOKUP(K103,'Fevereiro 2023 - Valor Real'!A3:A15,'Fevereiro 2023 - Valor Real'!C3:C15,0))+1))+((L104-1)*(1-_xlfn.XLOOKUP(K104,'Fevereiro 2023 - Valor Real'!A3:A15,'Fevereiro 2023 - Valor Real'!C3:C15,0))+1)),((L103-1)*(1-_xlfn.XLOOKUP(K103,'Fevereiro 2023 - Valor Real'!A3:A15,'Fevereiro 2023 - Valor Real'!C3:C15,0))+1)/(((L103-1)*(1-_xlfn.XLOOKUP(K103,'Fevereiro 2023 - Valor Real'!A3:A15,'Fevereiro 2023 - Valor Real'!C3:C15,0))+1)+((L104-1)*(1-_xlfn.XLOOKUP(K104,'Fevereiro 2023 - Valor Real'!A3:A15,'Fevereiro 2023 - Valor Real'!C3:C15,0))+1))))))</f>
        <v>0.48920863309352519</v>
      </c>
      <c r="AF104" s="105">
        <f t="shared" ref="AF104:AR113" si="214">IF($K104=AF$3,ROUND(IF(OR($C104="W",$C104="1/2W",$C104="1/2L"),$P104-$O104,IF($C104="X",0,-$O104)),2),0)</f>
        <v>0</v>
      </c>
      <c r="AG104" s="106">
        <f t="shared" si="214"/>
        <v>0</v>
      </c>
      <c r="AH104" s="106">
        <f t="shared" si="214"/>
        <v>0</v>
      </c>
      <c r="AI104" s="106">
        <f t="shared" si="214"/>
        <v>0</v>
      </c>
      <c r="AJ104" s="106">
        <f t="shared" si="214"/>
        <v>-240.75</v>
      </c>
      <c r="AK104" s="106">
        <f t="shared" si="214"/>
        <v>0</v>
      </c>
      <c r="AL104" s="106">
        <f t="shared" si="214"/>
        <v>0</v>
      </c>
      <c r="AM104" s="106">
        <f t="shared" si="214"/>
        <v>0</v>
      </c>
      <c r="AN104" s="106">
        <f t="shared" si="214"/>
        <v>0</v>
      </c>
      <c r="AO104" s="106">
        <f t="shared" si="214"/>
        <v>0</v>
      </c>
      <c r="AP104" s="106">
        <f t="shared" si="214"/>
        <v>0</v>
      </c>
      <c r="AQ104" s="106">
        <f t="shared" si="214"/>
        <v>0</v>
      </c>
      <c r="AR104" s="107">
        <f t="shared" si="214"/>
        <v>0</v>
      </c>
      <c r="AS104" s="105">
        <f>IF(AND($B103=" ",$K104=AS$3),$O104,0)</f>
        <v>0</v>
      </c>
      <c r="AT104" s="106">
        <f>IF(AND($B103=" ",K104=AT$3),$O104,0)</f>
        <v>0</v>
      </c>
      <c r="AU104" s="106">
        <f t="shared" ref="AU104:BE104" si="215">IF(AND($B103=" ",$K104=AU$3),$O104,0)</f>
        <v>0</v>
      </c>
      <c r="AV104" s="106">
        <f t="shared" si="215"/>
        <v>0</v>
      </c>
      <c r="AW104" s="106">
        <f t="shared" si="215"/>
        <v>0</v>
      </c>
      <c r="AX104" s="106">
        <f t="shared" si="215"/>
        <v>0</v>
      </c>
      <c r="AY104" s="108">
        <f t="shared" si="215"/>
        <v>0</v>
      </c>
      <c r="AZ104" s="109">
        <f t="shared" si="215"/>
        <v>0</v>
      </c>
      <c r="BA104" s="109">
        <f t="shared" si="215"/>
        <v>0</v>
      </c>
      <c r="BB104" s="109">
        <f t="shared" si="215"/>
        <v>0</v>
      </c>
      <c r="BC104" s="110">
        <f t="shared" si="215"/>
        <v>0</v>
      </c>
      <c r="BD104" s="106">
        <f t="shared" si="215"/>
        <v>0</v>
      </c>
      <c r="BE104" s="107">
        <f t="shared" si="215"/>
        <v>0</v>
      </c>
      <c r="BF104" s="105">
        <f t="shared" ref="BF104:BR113" si="216">IF($K104=BF$3,IF($C104="X",0,$O104),0)</f>
        <v>0</v>
      </c>
      <c r="BG104" s="106">
        <f t="shared" si="216"/>
        <v>0</v>
      </c>
      <c r="BH104" s="106">
        <f t="shared" si="216"/>
        <v>0</v>
      </c>
      <c r="BI104" s="106">
        <f t="shared" si="216"/>
        <v>0</v>
      </c>
      <c r="BJ104" s="106">
        <f t="shared" si="216"/>
        <v>240.75</v>
      </c>
      <c r="BK104" s="106">
        <f t="shared" si="216"/>
        <v>0</v>
      </c>
      <c r="BL104" s="106">
        <f t="shared" si="216"/>
        <v>0</v>
      </c>
      <c r="BM104" s="132">
        <f t="shared" si="216"/>
        <v>0</v>
      </c>
      <c r="BN104" s="112">
        <f t="shared" si="216"/>
        <v>0</v>
      </c>
      <c r="BO104" s="112">
        <f t="shared" si="216"/>
        <v>0</v>
      </c>
      <c r="BP104" s="112">
        <f t="shared" si="216"/>
        <v>0</v>
      </c>
      <c r="BQ104" s="110">
        <f t="shared" si="216"/>
        <v>0</v>
      </c>
      <c r="BR104" s="107">
        <f t="shared" si="216"/>
        <v>0</v>
      </c>
      <c r="BS104" s="464"/>
      <c r="BT104" s="461"/>
      <c r="BU104" s="392"/>
      <c r="BV104" s="461"/>
      <c r="BW104" s="392"/>
      <c r="BX104" s="392"/>
      <c r="BY104" s="392"/>
      <c r="BZ104" s="461"/>
      <c r="CA104" s="392"/>
      <c r="CB104" s="392"/>
      <c r="CC104" s="392"/>
      <c r="CD104" s="401"/>
      <c r="CE104" s="409"/>
      <c r="CF104" s="133">
        <f t="shared" si="131"/>
        <v>0</v>
      </c>
      <c r="CG104" s="134">
        <f t="shared" si="132"/>
        <v>0</v>
      </c>
      <c r="CH104" s="134">
        <f t="shared" si="133"/>
        <v>0</v>
      </c>
      <c r="CI104" s="134">
        <f t="shared" si="134"/>
        <v>0</v>
      </c>
      <c r="CJ104" s="134">
        <f t="shared" si="135"/>
        <v>0</v>
      </c>
      <c r="CK104" s="134">
        <f t="shared" si="136"/>
        <v>0</v>
      </c>
      <c r="CL104" s="134">
        <f t="shared" si="137"/>
        <v>0</v>
      </c>
      <c r="CM104" s="134">
        <f t="shared" si="138"/>
        <v>0</v>
      </c>
      <c r="CN104" s="134">
        <f t="shared" si="139"/>
        <v>0</v>
      </c>
      <c r="CO104" s="134">
        <f t="shared" si="140"/>
        <v>1</v>
      </c>
      <c r="CP104" s="134">
        <f t="shared" si="141"/>
        <v>0</v>
      </c>
      <c r="CQ104" s="134">
        <f t="shared" si="142"/>
        <v>0</v>
      </c>
      <c r="CR104" s="134">
        <f t="shared" si="143"/>
        <v>0</v>
      </c>
      <c r="CS104" s="134">
        <f t="shared" si="144"/>
        <v>0</v>
      </c>
      <c r="CT104" s="115">
        <f t="shared" si="145"/>
        <v>0</v>
      </c>
      <c r="CU104" s="116">
        <f t="shared" si="146"/>
        <v>0</v>
      </c>
      <c r="CV104" s="116">
        <f t="shared" si="147"/>
        <v>0</v>
      </c>
      <c r="CW104" s="116">
        <f t="shared" si="148"/>
        <v>0</v>
      </c>
      <c r="CX104" s="116">
        <f t="shared" si="149"/>
        <v>0</v>
      </c>
      <c r="CY104" s="116">
        <f t="shared" si="150"/>
        <v>0</v>
      </c>
      <c r="CZ104" s="116">
        <f t="shared" si="151"/>
        <v>0</v>
      </c>
      <c r="DA104" s="116">
        <f t="shared" si="152"/>
        <v>0</v>
      </c>
      <c r="DB104" s="116">
        <f t="shared" si="153"/>
        <v>0</v>
      </c>
      <c r="DC104" s="116">
        <f t="shared" si="154"/>
        <v>0</v>
      </c>
      <c r="DD104" s="116">
        <f t="shared" si="155"/>
        <v>0</v>
      </c>
      <c r="DE104" s="117">
        <f t="shared" si="156"/>
        <v>0</v>
      </c>
      <c r="DF104" s="118">
        <f t="shared" si="158"/>
        <v>11</v>
      </c>
      <c r="DG104" s="106">
        <f t="shared" si="159"/>
        <v>14.450000000000001</v>
      </c>
      <c r="DH104" s="116">
        <f t="shared" si="160"/>
        <v>0</v>
      </c>
      <c r="DI104" s="106">
        <f t="shared" si="161"/>
        <v>0</v>
      </c>
      <c r="DJ104" s="201" t="str">
        <f>IF($D103="","",$D103)</f>
        <v>2</v>
      </c>
      <c r="DK104" s="466"/>
    </row>
    <row r="105" spans="1:115" ht="14.5" customHeight="1" x14ac:dyDescent="0.2">
      <c r="A105" s="390"/>
      <c r="B105" s="457"/>
      <c r="C105" s="135" t="s">
        <v>53</v>
      </c>
      <c r="D105" s="375"/>
      <c r="E105" s="387"/>
      <c r="F105" s="378"/>
      <c r="G105" s="484"/>
      <c r="H105" s="477"/>
      <c r="I105" s="136"/>
      <c r="J105" s="137"/>
      <c r="K105" s="138"/>
      <c r="L105" s="139"/>
      <c r="M105" s="140"/>
      <c r="N105" s="407"/>
      <c r="O105" s="141" t="str">
        <f>IF(OR(AE103="",AE104=""),"",IF(L105&gt;0,ROUND(IF(M105&gt;0,M105,IF(M103&gt;0,ROUND((M103*AE105)/AE103,IF(N103=0,2,IF(N103=0.1,1,0))),IF(M104&gt;0,ROUND((M104*AE105)/AE104,IF(N103=0,2,IF(N103=0.1,1,0))),IF(M105&gt;0,M105,0)))),2),""))</f>
        <v/>
      </c>
      <c r="P105" s="142" t="str">
        <f>IF(I104="Lay",O104*(L104/(L104-1))-O104,IF(I103="Lay",O103*(L103/(L103-1))-O103,IF(OR(L105="",O105=""),"",IF($C105="1/2W",O105/2+O105/2*L105,IF($C105="1/2L",O105/2,(O105*L105-O105)*(1-_xlfn.XLOOKUP(K105,'Fevereiro 2023 - Valor Real'!A3:A15,'Fevereiro 2023 - Valor Real'!C3:C15,0))+O105)))))</f>
        <v/>
      </c>
      <c r="Q105" s="143" t="str">
        <f>IF(K105="","",IF(_xlfn.XLOOKUP(K105,K$4:K104,$DJ$4:DJ104,0,,-1)=DJ105,_xlfn.XLOOKUP(K105,K$4:K104,Q$4:Q104,1,,-1)+1,1))</f>
        <v/>
      </c>
      <c r="R105" s="144" t="str">
        <f>IF(K105="","",_xlfn.XLOOKUP(K105,K$4:K104,R$4:R104,0,,-1)+IF($C105=" ",1,0))</f>
        <v/>
      </c>
      <c r="S105" s="404"/>
      <c r="T105" s="378"/>
      <c r="U105" s="378"/>
      <c r="V105" s="404"/>
      <c r="W105" s="378"/>
      <c r="X105" s="453"/>
      <c r="Y105" s="383"/>
      <c r="Z105" s="384"/>
      <c r="AA105" s="384"/>
      <c r="AB105" s="384"/>
      <c r="AC105" s="384"/>
      <c r="AD105" s="145">
        <f>((L104/(L104-1)-1))</f>
        <v>0.88495575221238942</v>
      </c>
      <c r="AE105" s="146" t="str">
        <f>IF(L105="","",(SUM(((L103-1)*(1-_xlfn.XLOOKUP(K103,'Fevereiro 2023 - Valor Real'!A3:A15,'Fevereiro 2023 - Valor Real'!C3:C15,0))+1),((L104-1)*(1-_xlfn.XLOOKUP(K104,'Fevereiro 2023 - Valor Real'!A3:A15,'Fevereiro 2023 - Valor Real'!C3:C15,0))+1),((L105-1)*(1-_xlfn.XLOOKUP(K105,'Fevereiro 2023 - Valor Real'!A3:A15,'Fevereiro 2023 - Valor Real'!C3:C15,0))+1))/((L105-1)*(1-_xlfn.XLOOKUP(K105,'Fevereiro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Real'!C3:C15,0))+1))/((L103-1)*(1-_xlfn.XLOOKUP(K103,'Fevereiro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Real'!C3:C15,0))+1))/((L104-1)*(1-_xlfn.XLOOKUP(K104,'Fevereiro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Real'!C3:C15,0))+1))/((L105-1)*(1-_xlfn.XLOOKUP(K105,'Fevereiro 2023 - Valor Real'!A3:A15,'Fevereiro 2023 - Valor Real'!C3:C15,0))+1)))</f>
        <v/>
      </c>
      <c r="AF105" s="105">
        <f t="shared" si="214"/>
        <v>0</v>
      </c>
      <c r="AG105" s="106">
        <f t="shared" si="214"/>
        <v>0</v>
      </c>
      <c r="AH105" s="106">
        <f t="shared" si="214"/>
        <v>0</v>
      </c>
      <c r="AI105" s="106">
        <f t="shared" si="214"/>
        <v>0</v>
      </c>
      <c r="AJ105" s="106">
        <f t="shared" si="214"/>
        <v>0</v>
      </c>
      <c r="AK105" s="106">
        <f t="shared" si="214"/>
        <v>0</v>
      </c>
      <c r="AL105" s="106">
        <f t="shared" si="214"/>
        <v>0</v>
      </c>
      <c r="AM105" s="106">
        <f t="shared" si="214"/>
        <v>0</v>
      </c>
      <c r="AN105" s="106">
        <f t="shared" si="214"/>
        <v>0</v>
      </c>
      <c r="AO105" s="106">
        <f t="shared" si="214"/>
        <v>0</v>
      </c>
      <c r="AP105" s="106">
        <f t="shared" si="214"/>
        <v>0</v>
      </c>
      <c r="AQ105" s="106">
        <f t="shared" si="214"/>
        <v>0</v>
      </c>
      <c r="AR105" s="107">
        <f t="shared" si="214"/>
        <v>0</v>
      </c>
      <c r="AS105" s="105">
        <f>IF(AND($B103=" ",$K105=AS$3),$O105,0)</f>
        <v>0</v>
      </c>
      <c r="AT105" s="106">
        <f>IF(AND($B103=" ",K105=AT$3),$O105,0)</f>
        <v>0</v>
      </c>
      <c r="AU105" s="106">
        <f t="shared" ref="AU105:BE105" si="217">IF(AND($B103=" ",$K105=AU$3),$O105,0)</f>
        <v>0</v>
      </c>
      <c r="AV105" s="106">
        <f t="shared" si="217"/>
        <v>0</v>
      </c>
      <c r="AW105" s="106">
        <f t="shared" si="217"/>
        <v>0</v>
      </c>
      <c r="AX105" s="106">
        <f t="shared" si="217"/>
        <v>0</v>
      </c>
      <c r="AY105" s="108">
        <f t="shared" si="217"/>
        <v>0</v>
      </c>
      <c r="AZ105" s="109">
        <f t="shared" si="217"/>
        <v>0</v>
      </c>
      <c r="BA105" s="109">
        <f t="shared" si="217"/>
        <v>0</v>
      </c>
      <c r="BB105" s="109">
        <f t="shared" si="217"/>
        <v>0</v>
      </c>
      <c r="BC105" s="110">
        <f t="shared" si="217"/>
        <v>0</v>
      </c>
      <c r="BD105" s="106">
        <f t="shared" si="217"/>
        <v>0</v>
      </c>
      <c r="BE105" s="107">
        <f t="shared" si="217"/>
        <v>0</v>
      </c>
      <c r="BF105" s="105">
        <f t="shared" si="216"/>
        <v>0</v>
      </c>
      <c r="BG105" s="106">
        <f t="shared" si="216"/>
        <v>0</v>
      </c>
      <c r="BH105" s="106">
        <f t="shared" si="216"/>
        <v>0</v>
      </c>
      <c r="BI105" s="106">
        <f t="shared" si="216"/>
        <v>0</v>
      </c>
      <c r="BJ105" s="106">
        <f t="shared" si="216"/>
        <v>0</v>
      </c>
      <c r="BK105" s="106">
        <f t="shared" si="216"/>
        <v>0</v>
      </c>
      <c r="BL105" s="106">
        <f t="shared" si="216"/>
        <v>0</v>
      </c>
      <c r="BM105" s="108">
        <f t="shared" si="216"/>
        <v>0</v>
      </c>
      <c r="BN105" s="109">
        <f t="shared" si="216"/>
        <v>0</v>
      </c>
      <c r="BO105" s="109">
        <f t="shared" si="216"/>
        <v>0</v>
      </c>
      <c r="BP105" s="109">
        <f t="shared" si="216"/>
        <v>0</v>
      </c>
      <c r="BQ105" s="110">
        <f t="shared" si="216"/>
        <v>0</v>
      </c>
      <c r="BR105" s="107">
        <f t="shared" si="216"/>
        <v>0</v>
      </c>
      <c r="BS105" s="464"/>
      <c r="BT105" s="461"/>
      <c r="BU105" s="392"/>
      <c r="BV105" s="461"/>
      <c r="BW105" s="392"/>
      <c r="BX105" s="392"/>
      <c r="BY105" s="392"/>
      <c r="BZ105" s="461"/>
      <c r="CA105" s="392"/>
      <c r="CB105" s="392"/>
      <c r="CC105" s="392"/>
      <c r="CD105" s="401"/>
      <c r="CE105" s="409"/>
      <c r="CF105" s="133">
        <f t="shared" si="131"/>
        <v>0</v>
      </c>
      <c r="CG105" s="134">
        <f t="shared" si="132"/>
        <v>0</v>
      </c>
      <c r="CH105" s="134">
        <f t="shared" si="133"/>
        <v>0</v>
      </c>
      <c r="CI105" s="134">
        <f t="shared" si="134"/>
        <v>0</v>
      </c>
      <c r="CJ105" s="134">
        <f t="shared" si="135"/>
        <v>0</v>
      </c>
      <c r="CK105" s="134">
        <f t="shared" si="136"/>
        <v>0</v>
      </c>
      <c r="CL105" s="134">
        <f t="shared" si="137"/>
        <v>0</v>
      </c>
      <c r="CM105" s="134">
        <f t="shared" si="138"/>
        <v>0</v>
      </c>
      <c r="CN105" s="134">
        <f t="shared" si="139"/>
        <v>0</v>
      </c>
      <c r="CO105" s="134">
        <f t="shared" si="140"/>
        <v>0</v>
      </c>
      <c r="CP105" s="134">
        <f t="shared" si="141"/>
        <v>0</v>
      </c>
      <c r="CQ105" s="134">
        <f t="shared" si="142"/>
        <v>0</v>
      </c>
      <c r="CR105" s="134">
        <f t="shared" si="143"/>
        <v>0</v>
      </c>
      <c r="CS105" s="134">
        <f t="shared" si="144"/>
        <v>0</v>
      </c>
      <c r="CT105" s="115">
        <f t="shared" si="145"/>
        <v>0</v>
      </c>
      <c r="CU105" s="116">
        <f t="shared" si="146"/>
        <v>0</v>
      </c>
      <c r="CV105" s="116">
        <f t="shared" si="147"/>
        <v>0</v>
      </c>
      <c r="CW105" s="116">
        <f t="shared" si="148"/>
        <v>0</v>
      </c>
      <c r="CX105" s="116">
        <f t="shared" si="149"/>
        <v>0</v>
      </c>
      <c r="CY105" s="116">
        <f t="shared" si="150"/>
        <v>0</v>
      </c>
      <c r="CZ105" s="116">
        <f t="shared" si="151"/>
        <v>0</v>
      </c>
      <c r="DA105" s="116">
        <f t="shared" si="152"/>
        <v>0</v>
      </c>
      <c r="DB105" s="116">
        <f t="shared" si="153"/>
        <v>0</v>
      </c>
      <c r="DC105" s="116">
        <f t="shared" si="154"/>
        <v>0</v>
      </c>
      <c r="DD105" s="116">
        <f t="shared" si="155"/>
        <v>0</v>
      </c>
      <c r="DE105" s="117">
        <f t="shared" si="156"/>
        <v>0</v>
      </c>
      <c r="DF105" s="118">
        <f t="shared" si="158"/>
        <v>11</v>
      </c>
      <c r="DG105" s="106">
        <f t="shared" si="159"/>
        <v>14.450000000000001</v>
      </c>
      <c r="DH105" s="116">
        <f t="shared" si="160"/>
        <v>0</v>
      </c>
      <c r="DI105" s="106">
        <f t="shared" si="161"/>
        <v>0</v>
      </c>
      <c r="DJ105" s="201" t="str">
        <f>IF($D103="","",$D103)</f>
        <v>2</v>
      </c>
      <c r="DK105" s="466"/>
    </row>
    <row r="106" spans="1:115" ht="14.5" customHeight="1" x14ac:dyDescent="0.2">
      <c r="A106" s="487">
        <f>$A103+1</f>
        <v>35</v>
      </c>
      <c r="B106" s="506" t="str">
        <f>IF(OR(C106="W",C107="W",C108="W",C106="1/2W",C107="1/2W",C108="1/2W",C106="1/2L",C107="1/2L",C108="1/2L"),"OK",IF(OR(C106="L",C107="L",C108="L"),"LOSS",IF(OR(C106="X",C107="X",C108="X"),"Anulado"," ")))</f>
        <v>OK</v>
      </c>
      <c r="C106" s="147" t="s">
        <v>54</v>
      </c>
      <c r="D106" s="494" t="str">
        <f>IF(G106="","",$D103)</f>
        <v>2</v>
      </c>
      <c r="E106" s="511" t="str">
        <f>IF(G106=""," ","– "&amp;COUNTIF(D$4:D108,$D106))</f>
        <v>– 18</v>
      </c>
      <c r="F106" s="510" t="str">
        <f ca="1">IF(G106="","",IF(OR(AND($C106&lt;&gt;" ",$C107=" "),AND($C107&lt;&gt;" ",$C106=" "),AND(L108&gt;0,OR(AND($C108&lt;&gt;" ",OR($C106=" ",$C107=" ")),AND($C108=" ",OR($C106&lt;&gt;" ",$C107&lt;&gt;" "))))),IF(SUM(F$4:F105)=0,1,LARGE(F$4:F105,1)+1),IF(MONTH(G106)=MONTH(TODAY()),IF(AND(DAY(G106)&lt;DAY(TODAY()),$B106=" "),IF(SUM(F$4:F105)=0,1,LARGE(F$4:F105,1)+1),IF($B106=" ",IF(AND(DAY(G106)=DAY(TODAY()),HOUR(G106)&lt;=HOUR(NOW())+1),IF(AND(HOUR(G106)+2&lt;=HOUR(NOW()),DAY(G106)&lt;=DAY(TODAY()),MINUTE(G106)&lt;=MINUTE(NOW())),IF(SUM(F$4:F105)=0,1,LARGE(F$4:F105,1)+1),IF(OR(MINUTE(G106)&lt;=MINUTE(NOW()),HOUR(G106)&lt;=HOUR(NOW())),"!!!","")),""),"")),"")))</f>
        <v/>
      </c>
      <c r="G106" s="508">
        <v>44987.697916666664</v>
      </c>
      <c r="H106" s="502" t="s">
        <v>87</v>
      </c>
      <c r="I106" s="180" t="s">
        <v>51</v>
      </c>
      <c r="J106" s="181">
        <v>148.5</v>
      </c>
      <c r="K106" s="150" t="s">
        <v>37</v>
      </c>
      <c r="L106" s="151">
        <v>1.88</v>
      </c>
      <c r="M106" s="152"/>
      <c r="N106" s="503">
        <v>0.1</v>
      </c>
      <c r="O106" s="153">
        <f>IF(OR(AE106="",AE107=""),"",ROUND(IF(L108&gt;0,IF(M106&gt;0,M106,IF(M107&gt;0,ROUND((M107*AE106)/AE107,IF(N106=0,2,IF(N106=0.1,1,0))),ROUND((M108*AE106)/AE108,IF(N106=0,2,IF(N106=0.1,1,0))))),IF(M106&gt;0,M106,ROUND((M107*AE106)/AE107,IF(N106=0,2,IF(N106=0.1,1,0))))),2))</f>
        <v>8</v>
      </c>
      <c r="P106" s="154">
        <f>IF(OR(L106="",O106=""),"",IF($C106="1/2W",O106/2+O106/2*L106,IF($C106="1/2L",O106/2,IF(I106="Lay",(O106*(L106/(L106-1))-O106)*(1-_xlfn.XLOOKUP(K106,'Fevereiro 2023 - Valor Real'!A3:A15,'Fevereiro 2023 - Valor Real'!C3:C15,0))+O106,(O106*L106-O106)*(1-_xlfn.XLOOKUP(K106,'Fevereiro 2023 - Valor Real'!A3:A15,'Fevereiro 2023 - Valor Real'!C3:C15,0))+O106))))</f>
        <v>15.04</v>
      </c>
      <c r="Q106" s="155">
        <f>IF(K106="","",IF(_xlfn.XLOOKUP(K106,K$4:K105,$DJ$4:DJ105,0,,-1)=DJ106,_xlfn.XLOOKUP(K106,K$4:K105,Q$4:Q105,1,,-1)+1,1))</f>
        <v>4</v>
      </c>
      <c r="R106" s="156">
        <f>IF(K106="","",_xlfn.XLOOKUP(K106,K$4:K105,R$4:R105,0,,-1)+IF($C106=" ",1,0))</f>
        <v>0</v>
      </c>
      <c r="S106" s="501">
        <f>IF($B106="Anulado",0,ROUND(IF(OR($B106="LOSS",$B106="OK"),IF(OR($C106="W",$C106="1/2W",$C106="1/2L"),P106-O106,IF($C106="L",-O106,0))+IF(OR($C107="W",$C107="1/2W",$C107="1/2L"),P107-O107,IF($C107="L",-O107,0))+IF(OR($C108="W",$C108="1/2W",$C108="1/2L"),P108-O108,IF($C108="L",-O108,0)),IF(AND(OR($C106="W",$C106="1/2W",$C106="1/2L"),C107="W"),P106+P107-SUM(O106:O108)+_xlfn.XLOOKUP("X",C106:C108,O106:O108,0),IF(AND(C106=TRUE,C108="W"),P106+P108-SUM(O106:O108),IF(AND(C107="W",C108="W"),P107+P108-SUM(O106:O108)+_xlfn.XLOOKUP("X",C106:C108,O106:O108,0),IF(L108&gt;0,IF(OR($C106="W",$C106="1/2W",$C106="1/2L"),P106-SUM(O106:O108)+_xlfn.XLOOKUP("X",C106:C108,O106:O108,0),IF(OR($C106="W",$C106="1/2W",$C106="1/2L"),P107-SUM(O106:O108)+_xlfn.XLOOKUP("X",C106:C108,O106:O108,0),IF(OR($C106="W",$C106="1/2W",$C106="1/2L"),P108-SUM(O106:O108)+_xlfn.XLOOKUP("X",C106:C108,O106:O108,0),IF(SUM(P106:P108)/3-SUM(O106:O108)+_xlfn.XLOOKUP("X",C106:C108,O106:O108,0)&gt;0,SUM(P106:P108)/3-SUM(O106:O108)+_xlfn.XLOOKUP("X",C106:C108,O106:O108,0),LARGE(P106:P108,1)-SUM(O106:O108))))),IF(OR($C106="W",$C106="1/2W",$C106="1/2L"),P106-SUM(O106:O107)+_xlfn.XLOOKUP("X",C106:C108,O106:O108,0),IF(OR($C106="W",$C106="1/2W",$C106="1/2L"),P107-SUM(O106:O107)+_xlfn.XLOOKUP("X",C106:C108,O106:O108,0),SUM(P106:P107)/2-SUM(O106:O107)+_xlfn.XLOOKUP("X",C106:C108,O106:O108,0)))))))),2))</f>
        <v>2.31</v>
      </c>
      <c r="T106" s="486">
        <f>IF(S106=0,0,S106/SUM(O106:O108))</f>
        <v>0.18146111547525531</v>
      </c>
      <c r="U106" s="496">
        <f>IF($D106=$D103,IF(OR($B106="LOSS",$B106="OK",$B106="Anulada"),S106,0)+U103,IF(OR($B106="LOSS",$B106="OK",$B106="Anulada"),S106,0))</f>
        <v>51.76</v>
      </c>
      <c r="V106" s="496">
        <f>IF($D106="",0,IF($D106=$D103,IF($B106=" ",IF(I108="",IF(OR(AND(I106="DNB1",I107="DNB2"),AND(OR(I106="DNB1",I106="DNB2"),J107=0),AND(OR(I107="DNB1",I107="DNB2"),J106=0),AND(I106="DNB2",I107="DNB1"),AND(IF(J106=0,(J106+1)/ROUND(J106+1,0),J106/ROUND(J106,0))=1,IF(J107=0,(J107+1)/ROUND(IF(J107="",0,J107)+1,0),IF(J107="",0,J107)/ROUND(IF(J107="",1,J107),0))=1,OR(J106&lt;&gt;""),J107&lt;&gt;"")),0,IF(S106&lt;0,IF(I108="",SMALL(P106:P107,1)-SUM(O106:O107),0),SMALL(P106:P107,1)-SUM(O106:O107))),IF(S106&lt;0,IF(I108="",SMALL(P106:P108,1)-SUM(O106:O108),0),LARGE(P106:P108,1)-SUM(O106:O108))),S106)+V103,IF(I108="",IF(OR(AND(I106="DNB1",I107="DNB2"),AND(OR(I106="DNB1",I106="DNB2"),J107=0),AND(OR(I107="DNB1",I107="DNB2"),J106=0),AND(I106="DNB2",I107="DNB1"),AND(IF(J106=0,(J106+1)/ROUND(J106+1,0),J106/ROUND(J106,0))=1,IF(J107=0,(IF(J107="",0,J107)+1)/ROUND(IF(J107="",0,J107)+1,0),IF(J107="",0,J107)/ROUND(IF(J107="",0,J107)+1,0))=1,OR(J106&lt;&gt;""),J107&lt;&gt;"")),0,IF(S106&lt;0,IF(I108="",SMALL(P106:P107,1)-SUM(O106:O107),0),SMALL(P106:P108,1)-SUM(O106:O108))),IF(S106&lt;0,IF(I108="",SMALL(P106:P108,1)-SUM(O106:O108),0),LARGE(P106:P108,1)-SUM(O106:O108)))))</f>
        <v>51.7</v>
      </c>
      <c r="W106" s="496">
        <f>IF($D106=$D103,IF(S106&lt;0,IF(I108="",S106,0),S106)+W103,S106)</f>
        <v>51.76</v>
      </c>
      <c r="X106" s="505" t="str">
        <f>IF(OR(SUM(R106:R108)=0,V106=W106),ROUND(IF(W106=0,0,W106/Y106)*100,2)&amp;"%",ROUND(IF(V106=0,0,V106/Y106)*100,2)&amp;"% a "&amp;ROUND(IF(W106=0,0,W106/Y106)*100,2)&amp;"%")</f>
        <v>4,5%</v>
      </c>
      <c r="Y106" s="497">
        <f>IF($D106=$D103,Y103+SUM(O106:O108),SUM(O106:O108))</f>
        <v>1150.19</v>
      </c>
      <c r="Z106" s="496">
        <f>IF($B106=" ",SUM(O106:O108),0)+Z103</f>
        <v>0</v>
      </c>
      <c r="AA106" s="496">
        <f>IF(G106="","",IF($B106="Anulado",LARGE(P106:P108,1)-SUM(O106:O108)+AA103,AA103))</f>
        <v>0.45899999999999785</v>
      </c>
      <c r="AB106" s="496">
        <f>IF($D106="","",AB103+S106)</f>
        <v>80.409999999999982</v>
      </c>
      <c r="AC106" s="499">
        <f ca="1">IF($D106="","",IF($B106=" ",IF(DAY(G106)=DAY(TODAY()),1+AC103,0+AC103),0+AC103))</f>
        <v>0</v>
      </c>
      <c r="AD106" s="157">
        <f>(1-_xlfn.XLOOKUP(K104,'Fevereiro 2023 - Valor Real'!A3:A15,'Fevereiro 2023 - Valor Real'!C3:C15,0))+1</f>
        <v>2</v>
      </c>
      <c r="AE106" s="158">
        <f>IF(L106="","",IF(L108&gt;0,(SUM(((L106-1)*(1-_xlfn.XLOOKUP(K106,'Fevereiro 2023 - Valor Real'!A3:A15,'Fevereiro 2023 - Valor Real'!C3:C15,0))+1),((L107-1)*(1-_xlfn.XLOOKUP(K107,'Fevereiro 2023 - Valor Real'!A3:A15,'Fevereiro 2023 - Valor Real'!C3:C15,0))+1),((L108-1)*(1-_xlfn.XLOOKUP(K108,'Fevereiro 2023 - Valor Real'!A3:A15,'Fevereiro 2023 - Valor Real'!C3:C15,0))+1))/((L106-1)*(1-_xlfn.XLOOKUP(K106,'Fevereiro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Real'!C3:C15,0))+1))/((L106-1)*(1-_xlfn.XLOOKUP(K106,'Fevereiro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Real'!C3:C15,0))+1))/((L107-1)*(1-_xlfn.XLOOKUP(K107,'Fevereiro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Real'!C3:C15,0))+1))/((L108-1)*(1-_xlfn.XLOOKUP(K108,'Fevereiro 2023 - Valor Real'!A3:A15,'Fevereiro 2023 - Valor Real'!C3:C15,0))+1)),IF(I106="Lay",IF(I107="Lay",((L107/(L107-1)-1)*(1-_xlfn.XLOOKUP(K107,'Fevereiro 2023 - Valor Real'!A3:A15,'Fevereiro 2023 - Valor Real'!C3:C15,0))+1)/(((L107/(L107-1)-1)*(1-_xlfn.XLOOKUP(K107,'Fevereiro 2023 - Valor Real'!A3:A15,'Fevereiro 2023 - Valor Real'!C3:C15,0))+1)+((L106/(L106-1)-1)*(1-_xlfn.XLOOKUP(K106,'Fevereiro 2023 - Valor Real'!A3:A15,'Fevereiro 2023 - Valor Real'!C3:C15,0))+1)),((L107-1)*(1-_xlfn.XLOOKUP(K107,'Fevereiro 2023 - Valor Real'!A3:A15,'Fevereiro 2023 - Valor Real'!C3:C15,0))+1)/(((L107-1)*(1-_xlfn.XLOOKUP(K107,'Fevereiro 2023 - Valor Real'!A3:A15,'Fevereiro 2023 - Valor Real'!C3:C15,0))+1)+((L106/(L106-1)-1)*(1-_xlfn.XLOOKUP(K106,'Fevereiro 2023 - Valor Real'!A3:A15,'Fevereiro 2023 - Valor Real'!C3:C15,0))+1))),IF(I107="Lay",(((L107/(L107-1)-1)*(1-_xlfn.XLOOKUP(K107,'Fevereiro 2023 - Valor Real'!A3:A15,'Fevereiro 2023 - Valor Real'!C3:C15,0))+1))/(((L106-1)*(1-_xlfn.XLOOKUP(K106,'Fevereiro 2023 - Valor Real'!A3:A15,'Fevereiro 2023 - Valor Real'!C3:C15,0))+1)+((L107/(L107-1)-1)*(1-_xlfn.XLOOKUP(K107,'Fevereiro 2023 - Valor Real'!A3:A15,'Fevereiro 2023 - Valor Real'!C3:C15,0))+1)),((L107-1)*(1-_xlfn.XLOOKUP(K107,'Fevereiro 2023 - Valor Real'!A3:A15,'Fevereiro 2023 - Valor Real'!C3:C15,0))+1)/(((L107-1)*(1-_xlfn.XLOOKUP(K107,'Fevereiro 2023 - Valor Real'!A3:A15,'Fevereiro 2023 - Valor Real'!C3:C15,0))+1)+((L106-1)*(1-_xlfn.XLOOKUP(K106,'Fevereiro 2023 - Valor Real'!A3:A15,'Fevereiro 2023 - Valor Real'!C3:C15,0))+1))))))</f>
        <v>0.62804821937977362</v>
      </c>
      <c r="AF106" s="66">
        <f t="shared" si="214"/>
        <v>0</v>
      </c>
      <c r="AG106" s="67">
        <f t="shared" si="214"/>
        <v>7.04</v>
      </c>
      <c r="AH106" s="67">
        <f t="shared" si="214"/>
        <v>0</v>
      </c>
      <c r="AI106" s="67">
        <f t="shared" si="214"/>
        <v>0</v>
      </c>
      <c r="AJ106" s="67">
        <f t="shared" si="214"/>
        <v>0</v>
      </c>
      <c r="AK106" s="67">
        <f t="shared" si="214"/>
        <v>0</v>
      </c>
      <c r="AL106" s="67">
        <f t="shared" si="214"/>
        <v>0</v>
      </c>
      <c r="AM106" s="67">
        <f t="shared" si="214"/>
        <v>0</v>
      </c>
      <c r="AN106" s="67">
        <f t="shared" si="214"/>
        <v>0</v>
      </c>
      <c r="AO106" s="67">
        <f t="shared" si="214"/>
        <v>0</v>
      </c>
      <c r="AP106" s="67">
        <f t="shared" si="214"/>
        <v>0</v>
      </c>
      <c r="AQ106" s="67">
        <f t="shared" si="214"/>
        <v>0</v>
      </c>
      <c r="AR106" s="68">
        <f t="shared" si="214"/>
        <v>0</v>
      </c>
      <c r="AS106" s="66">
        <f t="shared" ref="AS106:BE106" si="218">IF(AND($B106=" ",$K106=AS$3),$O106,0)</f>
        <v>0</v>
      </c>
      <c r="AT106" s="67">
        <f t="shared" si="218"/>
        <v>0</v>
      </c>
      <c r="AU106" s="67">
        <f t="shared" si="218"/>
        <v>0</v>
      </c>
      <c r="AV106" s="67">
        <f t="shared" si="218"/>
        <v>0</v>
      </c>
      <c r="AW106" s="67">
        <f t="shared" si="218"/>
        <v>0</v>
      </c>
      <c r="AX106" s="67">
        <f t="shared" si="218"/>
        <v>0</v>
      </c>
      <c r="AY106" s="69">
        <f t="shared" si="218"/>
        <v>0</v>
      </c>
      <c r="AZ106" s="70">
        <f t="shared" si="218"/>
        <v>0</v>
      </c>
      <c r="BA106" s="70">
        <f t="shared" si="218"/>
        <v>0</v>
      </c>
      <c r="BB106" s="70">
        <f t="shared" si="218"/>
        <v>0</v>
      </c>
      <c r="BC106" s="71">
        <f t="shared" si="218"/>
        <v>0</v>
      </c>
      <c r="BD106" s="67">
        <f t="shared" si="218"/>
        <v>0</v>
      </c>
      <c r="BE106" s="68">
        <f t="shared" si="218"/>
        <v>0</v>
      </c>
      <c r="BF106" s="66">
        <f t="shared" si="216"/>
        <v>0</v>
      </c>
      <c r="BG106" s="67">
        <f t="shared" si="216"/>
        <v>8</v>
      </c>
      <c r="BH106" s="67">
        <f t="shared" si="216"/>
        <v>0</v>
      </c>
      <c r="BI106" s="67">
        <f t="shared" si="216"/>
        <v>0</v>
      </c>
      <c r="BJ106" s="67">
        <f t="shared" si="216"/>
        <v>0</v>
      </c>
      <c r="BK106" s="67">
        <f t="shared" si="216"/>
        <v>0</v>
      </c>
      <c r="BL106" s="67">
        <f t="shared" si="216"/>
        <v>0</v>
      </c>
      <c r="BM106" s="69">
        <f t="shared" si="216"/>
        <v>0</v>
      </c>
      <c r="BN106" s="70">
        <f t="shared" si="216"/>
        <v>0</v>
      </c>
      <c r="BO106" s="70">
        <f t="shared" si="216"/>
        <v>0</v>
      </c>
      <c r="BP106" s="70">
        <f t="shared" si="216"/>
        <v>0</v>
      </c>
      <c r="BQ106" s="71">
        <f t="shared" si="216"/>
        <v>0</v>
      </c>
      <c r="BR106" s="68">
        <f t="shared" si="216"/>
        <v>0</v>
      </c>
      <c r="BS106" s="490">
        <f>IF($B106="LOSS",IF(AND($K106=BS$3,$C106="L"),-$O106,0)+IF(AND($K107=BS$3,$C107="L"),-$O107,0)+IF(AND($K108=BS$3,$C108="L"),-$O108,0),IF(OR(AND($K106=BS$3,OR($C106="W",$C106="1/2W")),AND($K107=BS$3,OR($C107="W",$C107="1/2W")),AND($K108=BS$3,OR($C108="W",$C108="1/2W"))),$S106,0))</f>
        <v>0</v>
      </c>
      <c r="BT106" s="498">
        <f>IF($B106="LOSS",IF(AND($K106=BT$3,$C106="L"),-$O106,0)+IF(AND($K107=BT$3,$C107="L"),-$O107,0)+IF(AND($K107=BT$3,$C108="L"),-$O108,0),IF(OR(AND($K107=BT$3,OR($C106="W",$C106="1/2W")),AND($K107=BT$3,OR($C107="W",$C107="1/2W")),AND($K107=BT$3,OR($C108="W",$C108="1/2W"))),$S106,0))</f>
        <v>0</v>
      </c>
      <c r="BU106" s="488">
        <f>IF($B106="LOSS",IF(AND($K106=BU$3,$C106="L"),-$O106,0)+IF(AND($K107=BU$3,$C107="L"),-$O107,0)+IF(AND($K107=BU$3,$C108="L"),-$O108,0),IF(OR(AND($K107=BU$3,OR($C106="W",$C106="1/2W")),AND($K107=BU$3,OR($C107="W",$C107="1/2W")),AND($K107=BU$3,OR($C108="W",$C108="1/2W"))),$S106,0))</f>
        <v>2.31</v>
      </c>
      <c r="BV106" s="488">
        <f t="shared" ref="BV106:CE106" si="219">IF($B106="LOSS",IF(AND($K106=BV$3,$C106="L"),-$O106,0)+IF(AND($K107=BV$3,$C107="L"),-$O107,0)+IF(AND($K108=BV$3,$C108="L"),-$O108,0),IF(OR(AND($K106=BV$3,OR($C106="W",$C106="1/2W")),AND($K107=BV$3,OR($C107="W",$C107="1/2W")),AND($K108=BV$3,OR($C108="W",$C108="1/2W"))),$S106,0))</f>
        <v>0</v>
      </c>
      <c r="BW106" s="488">
        <f t="shared" si="219"/>
        <v>0</v>
      </c>
      <c r="BX106" s="488">
        <f t="shared" si="219"/>
        <v>0</v>
      </c>
      <c r="BY106" s="488">
        <f t="shared" si="219"/>
        <v>0</v>
      </c>
      <c r="BZ106" s="488">
        <f t="shared" si="219"/>
        <v>0</v>
      </c>
      <c r="CA106" s="488">
        <f t="shared" si="219"/>
        <v>0</v>
      </c>
      <c r="CB106" s="488">
        <f t="shared" si="219"/>
        <v>0</v>
      </c>
      <c r="CC106" s="488">
        <f t="shared" si="219"/>
        <v>0</v>
      </c>
      <c r="CD106" s="500">
        <f t="shared" si="219"/>
        <v>0</v>
      </c>
      <c r="CE106" s="504">
        <f t="shared" si="219"/>
        <v>0</v>
      </c>
      <c r="CF106" s="160">
        <f t="shared" si="131"/>
        <v>0</v>
      </c>
      <c r="CG106" s="161">
        <f t="shared" si="132"/>
        <v>0</v>
      </c>
      <c r="CH106" s="161">
        <f t="shared" si="133"/>
        <v>1</v>
      </c>
      <c r="CI106" s="161">
        <f t="shared" si="134"/>
        <v>0</v>
      </c>
      <c r="CJ106" s="161">
        <f t="shared" si="135"/>
        <v>0</v>
      </c>
      <c r="CK106" s="161">
        <f t="shared" si="136"/>
        <v>0</v>
      </c>
      <c r="CL106" s="161">
        <f t="shared" si="137"/>
        <v>0</v>
      </c>
      <c r="CM106" s="161">
        <f t="shared" si="138"/>
        <v>0</v>
      </c>
      <c r="CN106" s="161">
        <f t="shared" si="139"/>
        <v>0</v>
      </c>
      <c r="CO106" s="161">
        <f t="shared" si="140"/>
        <v>0</v>
      </c>
      <c r="CP106" s="161">
        <f t="shared" si="141"/>
        <v>0</v>
      </c>
      <c r="CQ106" s="161">
        <f t="shared" si="142"/>
        <v>0</v>
      </c>
      <c r="CR106" s="161">
        <f t="shared" si="143"/>
        <v>0</v>
      </c>
      <c r="CS106" s="161">
        <f t="shared" si="144"/>
        <v>0</v>
      </c>
      <c r="CT106" s="75">
        <f t="shared" si="145"/>
        <v>0</v>
      </c>
      <c r="CU106" s="76">
        <f t="shared" si="146"/>
        <v>0</v>
      </c>
      <c r="CV106" s="76">
        <f t="shared" si="147"/>
        <v>0</v>
      </c>
      <c r="CW106" s="76">
        <f t="shared" si="148"/>
        <v>0</v>
      </c>
      <c r="CX106" s="76">
        <f t="shared" si="149"/>
        <v>0</v>
      </c>
      <c r="CY106" s="76">
        <f t="shared" si="150"/>
        <v>0</v>
      </c>
      <c r="CZ106" s="76">
        <f t="shared" si="151"/>
        <v>0</v>
      </c>
      <c r="DA106" s="76">
        <f t="shared" si="152"/>
        <v>0</v>
      </c>
      <c r="DB106" s="76">
        <f t="shared" si="153"/>
        <v>0</v>
      </c>
      <c r="DC106" s="76">
        <f t="shared" si="154"/>
        <v>0</v>
      </c>
      <c r="DD106" s="76">
        <f t="shared" si="155"/>
        <v>0</v>
      </c>
      <c r="DE106" s="77">
        <f t="shared" si="156"/>
        <v>0</v>
      </c>
      <c r="DF106" s="73">
        <f t="shared" si="158"/>
        <v>11</v>
      </c>
      <c r="DG106" s="67">
        <f t="shared" si="159"/>
        <v>14.450000000000001</v>
      </c>
      <c r="DH106" s="76">
        <f t="shared" si="160"/>
        <v>0</v>
      </c>
      <c r="DI106" s="67">
        <f t="shared" si="161"/>
        <v>0</v>
      </c>
      <c r="DJ106" s="202" t="str">
        <f>IF($D106="","",$D106)</f>
        <v>2</v>
      </c>
      <c r="DK106" s="492">
        <f>IF(AND($B106=" ",$D106&lt;&gt;""),1,0)</f>
        <v>0</v>
      </c>
    </row>
    <row r="107" spans="1:115" ht="14.5" customHeight="1" x14ac:dyDescent="0.2">
      <c r="A107" s="389"/>
      <c r="B107" s="456"/>
      <c r="C107" s="53" t="s">
        <v>55</v>
      </c>
      <c r="D107" s="374"/>
      <c r="E107" s="386"/>
      <c r="F107" s="377"/>
      <c r="G107" s="508"/>
      <c r="H107" s="476"/>
      <c r="I107" s="182" t="s">
        <v>88</v>
      </c>
      <c r="J107" s="56">
        <f>IF(OR(I106="TO",I106="TU",I106="TO1",I106="TU1",I106="TO2",I106="TU2"),J106,IF(OR(I106="AH1",I106="AH2"),IF(OR(I107="AH1",I107="AH2"),-J106,IF(OR(I107="EH1",I107="EH2"),-J106+0.5,"")),IF(OR(I106="EH1",I106="EH2"),IF(OR(I107="AH1",I107="AH2"),-J106+0.5,IF(OR(I107="EH1",I107="EH2"),-J106+1,"")),IF(AND(OR(I106="DNB1",I106="DNB2"),OR(I107="AH1",I107="AH2")),0,IF(AND(I106="Not ScoreBoth",OR(I107="TO1",I107="TO2")),0.5,"")))))</f>
        <v>148.5</v>
      </c>
      <c r="K107" s="57" t="s">
        <v>38</v>
      </c>
      <c r="L107" s="164">
        <v>1.43</v>
      </c>
      <c r="M107" s="165">
        <v>4.7300000000000004</v>
      </c>
      <c r="N107" s="406"/>
      <c r="O107" s="60">
        <f>IF(OR(AE106="",AE107=""),"",ROUND(IF(L108&gt;0,IF(M107&gt;0,M107,IF(M106&gt;0,IF(N106=TRUE,ROUND((M106*AE107)/AE106,0),(M106*AE107)/AE106),IF(M107&gt;0,ROUND(M107,IF(N106=0,2,IF(N106=0.1,1,0))),IF(M108&gt;0,ROUND(O108*AE107/AE108,IF(N106=0,2,IF(N106=0.1,1,0))),0)))),IF(M107&gt;0,M107,ROUND((M106*AE107)/AE106,IF(N106=0,2,IF(N106=0.1,1,0))))),2))</f>
        <v>4.7300000000000004</v>
      </c>
      <c r="P107" s="61">
        <f>IF(OR(L107="",O107=""),"",IF($C107="1/2W",O107/2+O107/2*L107,IF($C107="1/2L",O107/2,IF(I107="Lay",((O107*(L107/(L107-1)))-O107)*(1-_xlfn.XLOOKUP(K107,'Fevereiro 2023 - Valor Real'!A3:A15,'Fevereiro 2023 - Valor Real'!C3:C15,0))+O107,(O107*L107-O107)*(1-_xlfn.XLOOKUP(K107,'Fevereiro 2023 - Valor Real'!A3:A15,'Fevereiro 2023 - Valor Real'!C3:C15,0))+O107))))</f>
        <v>15.015000000000002</v>
      </c>
      <c r="Q107" s="166">
        <f>IF(K107="","",IF(_xlfn.XLOOKUP(K107,K$4:K106,$DJ$4:DJ106,0,,-1)=DJ107,_xlfn.XLOOKUP(K107,K$4:K106,Q$4:Q106,1,,-1)+1,1))</f>
        <v>2</v>
      </c>
      <c r="R107" s="167">
        <f>IF(K107="","",_xlfn.XLOOKUP(K107,K$4:K106,R$4:R106,0,,-1)+IF($C107=" ",1,0))</f>
        <v>0</v>
      </c>
      <c r="S107" s="403"/>
      <c r="T107" s="380"/>
      <c r="U107" s="380"/>
      <c r="V107" s="481"/>
      <c r="W107" s="380"/>
      <c r="X107" s="452"/>
      <c r="Y107" s="383"/>
      <c r="Z107" s="384"/>
      <c r="AA107" s="384"/>
      <c r="AB107" s="384"/>
      <c r="AC107" s="384"/>
      <c r="AD107" s="64"/>
      <c r="AE107" s="65">
        <f>IF(L107="","",IF(L108&gt;0,(SUM(((L106-1)*(1-_xlfn.XLOOKUP(K106,'Fevereiro 2023 - Valor Real'!A3:A15,'Fevereiro 2023 - Valor Real'!C3:C15,0))+1),((L107-1)*(1-_xlfn.XLOOKUP(K107,'Fevereiro 2023 - Valor Real'!A3:A15,'Fevereiro 2023 - Valor Real'!C3:C15,0))+1),((L108-1)*(1-_xlfn.XLOOKUP(K108,'Fevereiro 2023 - Valor Real'!A3:A15,'Fevereiro 2023 - Valor Real'!C3:C15,0))+1))/((L107-1)*(1-_xlfn.XLOOKUP(K107,'Fevereiro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Real'!C3:C15,0))+1))/((L106-1)*(1-_xlfn.XLOOKUP(K106,'Fevereiro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Real'!C3:C15,0))+1))/((L107-1)*(1-_xlfn.XLOOKUP(K107,'Fevereiro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Real'!C3:C15,0))+1))/((L108-1)*(1-_xlfn.XLOOKUP(K108,'Fevereiro 2023 - Valor Real'!A3:A15,'Fevereiro 2023 - Valor Real'!C3:C15,0))+1)),IF(I107="Lay",IF(I106="Lay",((L106/(L106-1)-1)*(1-_xlfn.XLOOKUP(K106,'Fevereiro 2023 - Valor Real'!A3:A15,'Fevereiro 2023 - Valor Real'!C3:C15,0))+1)/(((L106/(L106-1)-1)*(1-_xlfn.XLOOKUP(K106,'Fevereiro 2023 - Valor Real'!A3:A15,'Fevereiro 2023 - Valor Real'!C3:C15,0))+1)+((L107/(L107-1)-1)*(1-_xlfn.XLOOKUP(K107,'Fevereiro 2023 - Valor Real'!A3:A15,'Fevereiro 2023 - Valor Real'!C3:C15,0))+1)),((L106-1)*(1-_xlfn.XLOOKUP(K106,'Fevereiro 2023 - Valor Real'!A3:A15,'Fevereiro 2023 - Valor Real'!C3:C15,0))+1)/(((L106-1)*(1-_xlfn.XLOOKUP(K106,'Fevereiro 2023 - Valor Real'!A3:A15,'Fevereiro 2023 - Valor Real'!C3:C15,0))+1)+((L107/(L107-1)-1)*(1-_xlfn.XLOOKUP(K107,'Fevereiro 2023 - Valor Real'!A3:A15,'Fevereiro 2023 - Valor Real'!C3:C15,0))+1))),IF(I106="Lay",((L106/(L106-1)-1)*(1-_xlfn.XLOOKUP(K106,'Fevereiro 2023 - Valor Real'!A3:A15,'Fevereiro 2023 - Valor Real'!C3:C15,0))+1)/((((L106/(L106-1)-1)*(1-_xlfn.XLOOKUP(K106,'Fevereiro 2023 - Valor Real'!A3:A15,'Fevereiro 2023 - Valor Real'!C3:C15,0))+1))+((L107-1)*(1-_xlfn.XLOOKUP(K107,'Fevereiro 2023 - Valor Real'!A3:A15,'Fevereiro 2023 - Valor Real'!C3:C15,0))+1)),((L106-1)*(1-_xlfn.XLOOKUP(K106,'Fevereiro 2023 - Valor Real'!A3:A15,'Fevereiro 2023 - Valor Real'!C3:C15,0))+1)/(((L106-1)*(1-_xlfn.XLOOKUP(K106,'Fevereiro 2023 - Valor Real'!A3:A15,'Fevereiro 2023 - Valor Real'!C3:C15,0))+1)+((L107-1)*(1-_xlfn.XLOOKUP(K107,'Fevereiro 2023 - Valor Real'!A3:A15,'Fevereiro 2023 - Valor Real'!C3:C15,0))+1))))))</f>
        <v>0.37195178062022632</v>
      </c>
      <c r="AF107" s="66">
        <f t="shared" si="214"/>
        <v>0</v>
      </c>
      <c r="AG107" s="67">
        <f t="shared" si="214"/>
        <v>0</v>
      </c>
      <c r="AH107" s="67">
        <f t="shared" si="214"/>
        <v>-4.7300000000000004</v>
      </c>
      <c r="AI107" s="67">
        <f t="shared" si="214"/>
        <v>0</v>
      </c>
      <c r="AJ107" s="67">
        <f t="shared" si="214"/>
        <v>0</v>
      </c>
      <c r="AK107" s="67">
        <f t="shared" si="214"/>
        <v>0</v>
      </c>
      <c r="AL107" s="67">
        <f t="shared" si="214"/>
        <v>0</v>
      </c>
      <c r="AM107" s="67">
        <f t="shared" si="214"/>
        <v>0</v>
      </c>
      <c r="AN107" s="67">
        <f t="shared" si="214"/>
        <v>0</v>
      </c>
      <c r="AO107" s="67">
        <f t="shared" si="214"/>
        <v>0</v>
      </c>
      <c r="AP107" s="67">
        <f t="shared" si="214"/>
        <v>0</v>
      </c>
      <c r="AQ107" s="67">
        <f t="shared" si="214"/>
        <v>0</v>
      </c>
      <c r="AR107" s="68">
        <f t="shared" si="214"/>
        <v>0</v>
      </c>
      <c r="AS107" s="66">
        <f>IF(AND($B106=" ",$K107=AS$3),$O107,0)</f>
        <v>0</v>
      </c>
      <c r="AT107" s="67">
        <f>IF(AND($B106=" ",K107=AT$3),$O107,0)</f>
        <v>0</v>
      </c>
      <c r="AU107" s="67">
        <f t="shared" ref="AU107:BE107" si="220">IF(AND($B106=" ",$K107=AU$3),$O107,0)</f>
        <v>0</v>
      </c>
      <c r="AV107" s="67">
        <f t="shared" si="220"/>
        <v>0</v>
      </c>
      <c r="AW107" s="67">
        <f t="shared" si="220"/>
        <v>0</v>
      </c>
      <c r="AX107" s="67">
        <f t="shared" si="220"/>
        <v>0</v>
      </c>
      <c r="AY107" s="69">
        <f t="shared" si="220"/>
        <v>0</v>
      </c>
      <c r="AZ107" s="70">
        <f t="shared" si="220"/>
        <v>0</v>
      </c>
      <c r="BA107" s="70">
        <f t="shared" si="220"/>
        <v>0</v>
      </c>
      <c r="BB107" s="70">
        <f t="shared" si="220"/>
        <v>0</v>
      </c>
      <c r="BC107" s="71">
        <f t="shared" si="220"/>
        <v>0</v>
      </c>
      <c r="BD107" s="67">
        <f t="shared" si="220"/>
        <v>0</v>
      </c>
      <c r="BE107" s="68">
        <f t="shared" si="220"/>
        <v>0</v>
      </c>
      <c r="BF107" s="66">
        <f t="shared" si="216"/>
        <v>0</v>
      </c>
      <c r="BG107" s="168">
        <f t="shared" si="216"/>
        <v>0</v>
      </c>
      <c r="BH107" s="67">
        <f t="shared" si="216"/>
        <v>4.7300000000000004</v>
      </c>
      <c r="BI107" s="67">
        <f t="shared" si="216"/>
        <v>0</v>
      </c>
      <c r="BJ107" s="67">
        <f t="shared" si="216"/>
        <v>0</v>
      </c>
      <c r="BK107" s="67">
        <f t="shared" si="216"/>
        <v>0</v>
      </c>
      <c r="BL107" s="67">
        <f t="shared" si="216"/>
        <v>0</v>
      </c>
      <c r="BM107" s="69">
        <f t="shared" si="216"/>
        <v>0</v>
      </c>
      <c r="BN107" s="70">
        <f t="shared" si="216"/>
        <v>0</v>
      </c>
      <c r="BO107" s="70">
        <f t="shared" si="216"/>
        <v>0</v>
      </c>
      <c r="BP107" s="70">
        <f t="shared" si="216"/>
        <v>0</v>
      </c>
      <c r="BQ107" s="71">
        <f t="shared" si="216"/>
        <v>0</v>
      </c>
      <c r="BR107" s="68">
        <f t="shared" si="216"/>
        <v>0</v>
      </c>
      <c r="BS107" s="491"/>
      <c r="BT107" s="489"/>
      <c r="BU107" s="392"/>
      <c r="BV107" s="489"/>
      <c r="BW107" s="392"/>
      <c r="BX107" s="392"/>
      <c r="BY107" s="392"/>
      <c r="BZ107" s="489"/>
      <c r="CA107" s="392"/>
      <c r="CB107" s="392"/>
      <c r="CC107" s="392"/>
      <c r="CD107" s="401"/>
      <c r="CE107" s="409"/>
      <c r="CF107" s="169">
        <f t="shared" si="131"/>
        <v>0</v>
      </c>
      <c r="CG107" s="170">
        <f t="shared" si="132"/>
        <v>0</v>
      </c>
      <c r="CH107" s="170">
        <f t="shared" si="133"/>
        <v>0</v>
      </c>
      <c r="CI107" s="170">
        <f t="shared" si="134"/>
        <v>0</v>
      </c>
      <c r="CJ107" s="170">
        <f t="shared" si="135"/>
        <v>0</v>
      </c>
      <c r="CK107" s="170">
        <f t="shared" si="136"/>
        <v>1</v>
      </c>
      <c r="CL107" s="170">
        <f t="shared" si="137"/>
        <v>0</v>
      </c>
      <c r="CM107" s="170">
        <f t="shared" si="138"/>
        <v>0</v>
      </c>
      <c r="CN107" s="170">
        <f t="shared" si="139"/>
        <v>0</v>
      </c>
      <c r="CO107" s="170">
        <f t="shared" si="140"/>
        <v>0</v>
      </c>
      <c r="CP107" s="170">
        <f t="shared" si="141"/>
        <v>0</v>
      </c>
      <c r="CQ107" s="170">
        <f t="shared" si="142"/>
        <v>0</v>
      </c>
      <c r="CR107" s="170">
        <f t="shared" si="143"/>
        <v>0</v>
      </c>
      <c r="CS107" s="170">
        <f t="shared" si="144"/>
        <v>0</v>
      </c>
      <c r="CT107" s="75">
        <f t="shared" si="145"/>
        <v>0</v>
      </c>
      <c r="CU107" s="76">
        <f t="shared" si="146"/>
        <v>0</v>
      </c>
      <c r="CV107" s="76">
        <f t="shared" si="147"/>
        <v>0</v>
      </c>
      <c r="CW107" s="76">
        <f t="shared" si="148"/>
        <v>0</v>
      </c>
      <c r="CX107" s="76">
        <f t="shared" si="149"/>
        <v>0</v>
      </c>
      <c r="CY107" s="76">
        <f t="shared" si="150"/>
        <v>0</v>
      </c>
      <c r="CZ107" s="76">
        <f t="shared" si="151"/>
        <v>0</v>
      </c>
      <c r="DA107" s="76">
        <f t="shared" si="152"/>
        <v>0</v>
      </c>
      <c r="DB107" s="76">
        <f t="shared" si="153"/>
        <v>0</v>
      </c>
      <c r="DC107" s="76">
        <f t="shared" si="154"/>
        <v>0</v>
      </c>
      <c r="DD107" s="76">
        <f t="shared" si="155"/>
        <v>0</v>
      </c>
      <c r="DE107" s="77">
        <f t="shared" si="156"/>
        <v>0</v>
      </c>
      <c r="DF107" s="73">
        <f t="shared" si="158"/>
        <v>11</v>
      </c>
      <c r="DG107" s="67">
        <f t="shared" si="159"/>
        <v>14.450000000000001</v>
      </c>
      <c r="DH107" s="76">
        <f t="shared" si="160"/>
        <v>0</v>
      </c>
      <c r="DI107" s="67">
        <f t="shared" si="161"/>
        <v>0</v>
      </c>
      <c r="DJ107" s="202" t="str">
        <f>IF($D106="","",$D106)</f>
        <v>2</v>
      </c>
      <c r="DK107" s="493"/>
    </row>
    <row r="108" spans="1:115" ht="24.5" customHeight="1" x14ac:dyDescent="0.2">
      <c r="A108" s="390"/>
      <c r="B108" s="457"/>
      <c r="C108" s="79" t="s">
        <v>53</v>
      </c>
      <c r="D108" s="375"/>
      <c r="E108" s="387"/>
      <c r="F108" s="378"/>
      <c r="G108" s="508"/>
      <c r="H108" s="477"/>
      <c r="I108" s="171"/>
      <c r="J108" s="172"/>
      <c r="K108" s="81"/>
      <c r="L108" s="173"/>
      <c r="M108" s="174"/>
      <c r="N108" s="407"/>
      <c r="O108" s="86" t="str">
        <f>IF(OR(AE106="",AE107=""),"",IF(L108&gt;0,ROUND(IF(M108&gt;0,M108,IF(M106&gt;0,ROUND((M106*AE108)/AE106,IF(N106=0,2,IF(N106=0.1,1,0))),IF(M107&gt;0,ROUND((M107*AE108)/AE107,IF(N106=0,2,IF(N106=0.1,1,0))),IF(M108&gt;0,M108,0)))),2),""))</f>
        <v/>
      </c>
      <c r="P108" s="188">
        <f>IF(I107="Lay",O107*(L107/(L107-1))-O107,IF(I106="Lay",O106*(L106/(L106-1))-O106,IF(OR(L108="",O108=""),"",IF($C108="1/2W",O108/2+O108/2*L108,IF($C108="1/2L",O108/2,(O108*L108-O108)*(1-_xlfn.XLOOKUP(K108,'Fevereiro 2023 - Valor Real'!A3:A15,'Fevereiro 2023 - Valor Real'!C3:C15,0))+O108)))))</f>
        <v>11.000000000000002</v>
      </c>
      <c r="Q108" s="54" t="str">
        <f>IF(K108="","",IF(_xlfn.XLOOKUP(K108,K$4:K107,$DJ$4:DJ107,0,,-1)=DJ108,_xlfn.XLOOKUP(K108,K$4:K107,Q$4:Q107,1,,-1)+1,1))</f>
        <v/>
      </c>
      <c r="R108" s="87" t="str">
        <f>IF(K108="","",_xlfn.XLOOKUP(K108,K$4:K107,R$4:R107,0,,-1)+IF($C108=" ",1,0))</f>
        <v/>
      </c>
      <c r="S108" s="404"/>
      <c r="T108" s="378"/>
      <c r="U108" s="378"/>
      <c r="V108" s="404"/>
      <c r="W108" s="378"/>
      <c r="X108" s="453"/>
      <c r="Y108" s="383"/>
      <c r="Z108" s="384"/>
      <c r="AA108" s="384"/>
      <c r="AB108" s="384"/>
      <c r="AC108" s="384"/>
      <c r="AD108" s="90"/>
      <c r="AE108" s="91" t="str">
        <f>IF(L108="","",(SUM(((L106-1)*(1-_xlfn.XLOOKUP(K106,'Fevereiro 2023 - Valor Real'!A3:A15,'Fevereiro 2023 - Valor Real'!C3:C15,0))+1),((L107-1)*(1-_xlfn.XLOOKUP(K107,'Fevereiro 2023 - Valor Real'!A3:A15,'Fevereiro 2023 - Valor Real'!C3:C15,0))+1),((L108-1)*(1-_xlfn.XLOOKUP(K108,'Fevereiro 2023 - Valor Real'!A3:A15,'Fevereiro 2023 - Valor Real'!C3:C15,0))+1))/((L108-1)*(1-_xlfn.XLOOKUP(K108,'Fevereiro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Real'!C3:C15,0))+1))/((L106-1)*(1-_xlfn.XLOOKUP(K106,'Fevereiro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Real'!C3:C15,0))+1))/((L107-1)*(1-_xlfn.XLOOKUP(K107,'Fevereiro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Real'!C3:C15,0))+1))/((L108-1)*(1-_xlfn.XLOOKUP(K108,'Fevereiro 2023 - Valor Real'!A3:A15,'Fevereiro 2023 - Valor Real'!C3:C15,0))+1)))</f>
        <v/>
      </c>
      <c r="AF108" s="66">
        <f t="shared" si="214"/>
        <v>0</v>
      </c>
      <c r="AG108" s="67">
        <f t="shared" si="214"/>
        <v>0</v>
      </c>
      <c r="AH108" s="67">
        <f t="shared" si="214"/>
        <v>0</v>
      </c>
      <c r="AI108" s="67">
        <f t="shared" si="214"/>
        <v>0</v>
      </c>
      <c r="AJ108" s="67">
        <f t="shared" si="214"/>
        <v>0</v>
      </c>
      <c r="AK108" s="67">
        <f t="shared" si="214"/>
        <v>0</v>
      </c>
      <c r="AL108" s="67">
        <f t="shared" si="214"/>
        <v>0</v>
      </c>
      <c r="AM108" s="67">
        <f t="shared" si="214"/>
        <v>0</v>
      </c>
      <c r="AN108" s="67">
        <f t="shared" si="214"/>
        <v>0</v>
      </c>
      <c r="AO108" s="67">
        <f t="shared" si="214"/>
        <v>0</v>
      </c>
      <c r="AP108" s="67">
        <f t="shared" si="214"/>
        <v>0</v>
      </c>
      <c r="AQ108" s="67">
        <f t="shared" si="214"/>
        <v>0</v>
      </c>
      <c r="AR108" s="68">
        <f t="shared" si="214"/>
        <v>0</v>
      </c>
      <c r="AS108" s="66">
        <f>IF(AND($B106=" ",$K108=AS$3),$O108,0)</f>
        <v>0</v>
      </c>
      <c r="AT108" s="67">
        <f>IF(AND($B106=" ",K108=AT$3),$O108,0)</f>
        <v>0</v>
      </c>
      <c r="AU108" s="67">
        <f t="shared" ref="AU108:BE108" si="221">IF(AND($B106=" ",$K108=AU$3),$O108,0)</f>
        <v>0</v>
      </c>
      <c r="AV108" s="67">
        <f t="shared" si="221"/>
        <v>0</v>
      </c>
      <c r="AW108" s="67">
        <f t="shared" si="221"/>
        <v>0</v>
      </c>
      <c r="AX108" s="67">
        <f t="shared" si="221"/>
        <v>0</v>
      </c>
      <c r="AY108" s="69">
        <f t="shared" si="221"/>
        <v>0</v>
      </c>
      <c r="AZ108" s="70">
        <f t="shared" si="221"/>
        <v>0</v>
      </c>
      <c r="BA108" s="70">
        <f t="shared" si="221"/>
        <v>0</v>
      </c>
      <c r="BB108" s="70">
        <f t="shared" si="221"/>
        <v>0</v>
      </c>
      <c r="BC108" s="71">
        <f t="shared" si="221"/>
        <v>0</v>
      </c>
      <c r="BD108" s="67">
        <f t="shared" si="221"/>
        <v>0</v>
      </c>
      <c r="BE108" s="68">
        <f t="shared" si="221"/>
        <v>0</v>
      </c>
      <c r="BF108" s="66">
        <f t="shared" si="216"/>
        <v>0</v>
      </c>
      <c r="BG108" s="168">
        <f t="shared" si="216"/>
        <v>0</v>
      </c>
      <c r="BH108" s="67">
        <f t="shared" si="216"/>
        <v>0</v>
      </c>
      <c r="BI108" s="67">
        <f t="shared" si="216"/>
        <v>0</v>
      </c>
      <c r="BJ108" s="67">
        <f t="shared" si="216"/>
        <v>0</v>
      </c>
      <c r="BK108" s="67">
        <f t="shared" si="216"/>
        <v>0</v>
      </c>
      <c r="BL108" s="67">
        <f t="shared" si="216"/>
        <v>0</v>
      </c>
      <c r="BM108" s="69">
        <f t="shared" si="216"/>
        <v>0</v>
      </c>
      <c r="BN108" s="70">
        <f t="shared" si="216"/>
        <v>0</v>
      </c>
      <c r="BO108" s="70">
        <f t="shared" si="216"/>
        <v>0</v>
      </c>
      <c r="BP108" s="70">
        <f t="shared" si="216"/>
        <v>0</v>
      </c>
      <c r="BQ108" s="71">
        <f t="shared" si="216"/>
        <v>0</v>
      </c>
      <c r="BR108" s="68">
        <f t="shared" si="216"/>
        <v>0</v>
      </c>
      <c r="BS108" s="491"/>
      <c r="BT108" s="489"/>
      <c r="BU108" s="392"/>
      <c r="BV108" s="489"/>
      <c r="BW108" s="392"/>
      <c r="BX108" s="392"/>
      <c r="BY108" s="392"/>
      <c r="BZ108" s="489"/>
      <c r="CA108" s="392"/>
      <c r="CB108" s="392"/>
      <c r="CC108" s="392"/>
      <c r="CD108" s="401"/>
      <c r="CE108" s="409"/>
      <c r="CF108" s="169">
        <f t="shared" si="131"/>
        <v>0</v>
      </c>
      <c r="CG108" s="170">
        <f t="shared" si="132"/>
        <v>0</v>
      </c>
      <c r="CH108" s="170">
        <f t="shared" si="133"/>
        <v>0</v>
      </c>
      <c r="CI108" s="170">
        <f t="shared" si="134"/>
        <v>0</v>
      </c>
      <c r="CJ108" s="170">
        <f t="shared" si="135"/>
        <v>0</v>
      </c>
      <c r="CK108" s="170">
        <f t="shared" si="136"/>
        <v>0</v>
      </c>
      <c r="CL108" s="170">
        <f t="shared" si="137"/>
        <v>0</v>
      </c>
      <c r="CM108" s="170">
        <f t="shared" si="138"/>
        <v>0</v>
      </c>
      <c r="CN108" s="170">
        <f t="shared" si="139"/>
        <v>0</v>
      </c>
      <c r="CO108" s="170">
        <f t="shared" si="140"/>
        <v>0</v>
      </c>
      <c r="CP108" s="170">
        <f t="shared" si="141"/>
        <v>0</v>
      </c>
      <c r="CQ108" s="170">
        <f t="shared" si="142"/>
        <v>0</v>
      </c>
      <c r="CR108" s="170">
        <f t="shared" si="143"/>
        <v>0</v>
      </c>
      <c r="CS108" s="170">
        <f t="shared" si="144"/>
        <v>0</v>
      </c>
      <c r="CT108" s="75">
        <f t="shared" si="145"/>
        <v>0</v>
      </c>
      <c r="CU108" s="76">
        <f t="shared" si="146"/>
        <v>0</v>
      </c>
      <c r="CV108" s="76">
        <f t="shared" si="147"/>
        <v>0</v>
      </c>
      <c r="CW108" s="76">
        <f t="shared" si="148"/>
        <v>0</v>
      </c>
      <c r="CX108" s="76">
        <f t="shared" si="149"/>
        <v>0</v>
      </c>
      <c r="CY108" s="76">
        <f t="shared" si="150"/>
        <v>0</v>
      </c>
      <c r="CZ108" s="76">
        <f t="shared" si="151"/>
        <v>0</v>
      </c>
      <c r="DA108" s="76">
        <f t="shared" si="152"/>
        <v>0</v>
      </c>
      <c r="DB108" s="76">
        <f t="shared" si="153"/>
        <v>0</v>
      </c>
      <c r="DC108" s="76">
        <f t="shared" si="154"/>
        <v>0</v>
      </c>
      <c r="DD108" s="76">
        <f t="shared" si="155"/>
        <v>0</v>
      </c>
      <c r="DE108" s="77">
        <f t="shared" si="156"/>
        <v>0</v>
      </c>
      <c r="DF108" s="73">
        <f t="shared" si="158"/>
        <v>11</v>
      </c>
      <c r="DG108" s="67">
        <f t="shared" si="159"/>
        <v>14.450000000000001</v>
      </c>
      <c r="DH108" s="76">
        <f t="shared" si="160"/>
        <v>0</v>
      </c>
      <c r="DI108" s="67">
        <f t="shared" si="161"/>
        <v>0</v>
      </c>
      <c r="DJ108" s="202" t="str">
        <f>IF($D106="","",$D106)</f>
        <v>2</v>
      </c>
      <c r="DK108" s="493"/>
    </row>
    <row r="109" spans="1:115" ht="14.5" customHeight="1" x14ac:dyDescent="0.2">
      <c r="A109" s="459">
        <f>$A106+1</f>
        <v>36</v>
      </c>
      <c r="B109" s="507" t="str">
        <f>IF(OR(C109="W",C110="W",C111="W",C109="1/2W",C110="1/2W",C111="1/2W",C109="1/2L",C110="1/2L",C111="1/2L"),"OK",IF(OR(C109="L",C110="L",C111="L"),"LOSS",IF(OR(C109="X",C110="X",C111="X"),"Anulado"," ")))</f>
        <v>OK</v>
      </c>
      <c r="C109" s="93" t="s">
        <v>54</v>
      </c>
      <c r="D109" s="468" t="str">
        <f>IF(G109="","",$D106)</f>
        <v>2</v>
      </c>
      <c r="E109" s="485" t="str">
        <f>IF(G109=""," ","– "&amp;COUNTIF(D$4:D111,$D109))</f>
        <v>– 19</v>
      </c>
      <c r="F109" s="509" t="str">
        <f ca="1">IF(G109="","",IF(OR(AND($C109&lt;&gt;" ",$C110=" "),AND($C110&lt;&gt;" ",$C109=" "),AND(L111&gt;0,OR(AND($C111&lt;&gt;" ",OR($C109=" ",$C110=" ")),AND($C111=" ",OR($C109&lt;&gt;" ",$C110&lt;&gt;" "))))),IF(SUM(F$4:F108)=0,1,LARGE(F$4:F108,1)+1),IF(MONTH(G109)=MONTH(TODAY()),IF(AND(DAY(G109)&lt;DAY(TODAY()),$B109=" "),IF(SUM(F$4:F108)=0,1,LARGE(F$4:F108,1)+1),IF($B109=" ",IF(AND(DAY(G109)=DAY(TODAY()),HOUR(G109)&lt;=HOUR(NOW())+1),IF(AND(HOUR(G109)+2&lt;=HOUR(NOW()),DAY(G109)&lt;=DAY(TODAY()),MINUTE(G109)&lt;=MINUTE(NOW())),IF(SUM(F$4:F108)=0,1,LARGE(F$4:F108,1)+1),IF(OR(MINUTE(G109)&lt;=MINUTE(NOW()),HOUR(G109)&lt;=HOUR(NOW())),"!!!","")),""),"")),"")))</f>
        <v/>
      </c>
      <c r="G109" s="482">
        <v>44989.625</v>
      </c>
      <c r="H109" s="475" t="s">
        <v>89</v>
      </c>
      <c r="I109" s="94" t="s">
        <v>76</v>
      </c>
      <c r="J109" s="95">
        <v>1.5</v>
      </c>
      <c r="K109" s="96" t="s">
        <v>37</v>
      </c>
      <c r="L109" s="97">
        <v>1.67</v>
      </c>
      <c r="M109" s="98">
        <v>8.69</v>
      </c>
      <c r="N109" s="478">
        <v>0</v>
      </c>
      <c r="O109" s="99">
        <f>IF(OR(AE109="",AE110=""),"",ROUND(IF(L111&gt;0,IF(M109&gt;0,M109,IF(M110&gt;0,ROUND((M110*AE109)/AE110,IF(N109=0,2,IF(N109=0.1,1,0))),ROUND((M111*AE109)/AE111,IF(N109=0,2,IF(N109=0.1,1,0))))),IF(M109&gt;0,M109,ROUND((M110*AE109)/AE110,IF(N109=0,2,IF(N109=0.1,1,0))))),2))</f>
        <v>8.69</v>
      </c>
      <c r="P109" s="100">
        <f>IF(OR(L109="",O109=""),"",IF($C109="1/2W",O109/2+O109/2*L109,IF($C109="1/2L",O109/2,IF(I109="Lay",(O109*(L109/(L109-1))-O109)*(1-_xlfn.XLOOKUP(K109,'Fevereiro 2023 - Valor Real'!A3:A15,'Fevereiro 2023 - Valor Real'!C3:C15,0))+O109,(O109*L109-O109)*(1-_xlfn.XLOOKUP(K109,'Fevereiro 2023 - Valor Real'!A3:A15,'Fevereiro 2023 - Valor Real'!C3:C15,0))+O109))))</f>
        <v>14.512299999999998</v>
      </c>
      <c r="Q109" s="101">
        <f>IF(K109="","",IF(_xlfn.XLOOKUP(K109,K$4:K108,$DJ$4:DJ108,0,,-1)=DJ109,_xlfn.XLOOKUP(K109,K$4:K108,Q$4:Q108,1,,-1)+1,1))</f>
        <v>5</v>
      </c>
      <c r="R109" s="102">
        <f>IF(K109="","",_xlfn.XLOOKUP(K109,K$4:K108,R$4:R108,0,,-1)+IF($C109=" ",1,0))</f>
        <v>0</v>
      </c>
      <c r="S109" s="474">
        <f>IF($B109="Anulado",0,ROUND(IF(OR($B109="LOSS",$B109="OK"),IF(OR($C109="W",$C109="1/2W",$C109="1/2L"),P109-O109,IF($C109="L",-O109,0))+IF(OR($C110="W",$C110="1/2W",$C110="1/2L"),P110-O110,IF($C110="L",-O110,0))+IF(OR($C111="W",$C111="1/2W",$C111="1/2L"),P111-O111,IF($C111="L",-O111,0)),IF(AND(OR($C109="W",$C109="1/2W",$C109="1/2L"),C110="W"),P109+P110-SUM(O109:O111)+_xlfn.XLOOKUP("X",C109:C111,O109:O111,0),IF(AND(C109=TRUE,C111="W"),P109+P111-SUM(O109:O111),IF(AND(C110="W",C111="W"),P110+P111-SUM(O109:O111)+_xlfn.XLOOKUP("X",C109:C111,O109:O111,0),IF(L111&gt;0,IF(OR($C109="W",$C109="1/2W",$C109="1/2L"),P109-SUM(O109:O111)+_xlfn.XLOOKUP("X",C109:C111,O109:O111,0),IF(OR($C109="W",$C109="1/2W",$C109="1/2L"),P110-SUM(O109:O111)+_xlfn.XLOOKUP("X",C109:C111,O109:O111,0),IF(OR($C109="W",$C109="1/2W",$C109="1/2L"),P111-SUM(O109:O111)+_xlfn.XLOOKUP("X",C109:C111,O109:O111,0),IF(SUM(P109:P111)/3-SUM(O109:O111)+_xlfn.XLOOKUP("X",C109:C111,O109:O111,0)&gt;0,SUM(P109:P111)/3-SUM(O109:O111)+_xlfn.XLOOKUP("X",C109:C111,O109:O111,0),LARGE(P109:P111,1)-SUM(O109:O111))))),IF(OR($C109="W",$C109="1/2W",$C109="1/2L"),P109-SUM(O109:O110)+_xlfn.XLOOKUP("X",C109:C111,O109:O111,0),IF(OR($C109="W",$C109="1/2W",$C109="1/2L"),P110-SUM(O109:O110)+_xlfn.XLOOKUP("X",C109:C111,O109:O111,0),SUM(P109:P110)/2-SUM(O109:O110)+_xlfn.XLOOKUP("X",C109:C111,O109:O111,0)))))))),2))</f>
        <v>0.73</v>
      </c>
      <c r="T109" s="458">
        <f>IF(S109=0,0,S109/SUM(O109:O111))</f>
        <v>5.2975326560232225E-2</v>
      </c>
      <c r="U109" s="470">
        <f>IF($D109=$D106,IF(OR($B109="LOSS",$B109="OK",$B109="Anulada"),S109,0)+U106,IF(OR($B109="LOSS",$B109="OK",$B109="Anulada"),S109,0))</f>
        <v>52.489999999999995</v>
      </c>
      <c r="V109" s="470">
        <f>IF($D109="",0,IF($D109=$D106,IF($B109=" ",IF(I111="",IF(OR(AND(I109="DNB1",I110="DNB2"),AND(OR(I109="DNB1",I109="DNB2"),J110=0),AND(OR(I110="DNB1",I110="DNB2"),J109=0),AND(I109="DNB2",I110="DNB1"),AND(IF(J109=0,(J109+1)/ROUND(J109+1,0),J109/ROUND(J109,0))=1,IF(J110=0,(J110+1)/ROUND(IF(J110="",0,J110)+1,0),IF(J110="",0,J110)/ROUND(IF(J110="",1,J110),0))=1,OR(J109&lt;&gt;""),J110&lt;&gt;"")),0,IF(S109&lt;0,IF(I111="",SMALL(P109:P110,1)-SUM(O109:O110),0),SMALL(P109:P110,1)-SUM(O109:O110))),IF(S109&lt;0,IF(I111="",SMALL(P109:P111,1)-SUM(O109:O111),0),LARGE(P109:P111,1)-SUM(O109:O111))),S109)+V106,IF(I111="",IF(OR(AND(I109="DNB1",I110="DNB2"),AND(OR(I109="DNB1",I109="DNB2"),J110=0),AND(OR(I110="DNB1",I110="DNB2"),J109=0),AND(I109="DNB2",I110="DNB1"),AND(IF(J109=0,(J109+1)/ROUND(J109+1,0),J109/ROUND(J109,0))=1,IF(J110=0,(IF(J110="",0,J110)+1)/ROUND(IF(J110="",0,J110)+1,0),IF(J110="",0,J110)/ROUND(IF(J110="",0,J110)+1,0))=1,OR(J109&lt;&gt;""),J110&lt;&gt;"")),0,IF(S109&lt;0,IF(I111="",SMALL(P109:P110,1)-SUM(O109:O110),0),SMALL(P109:P111,1)-SUM(O109:O111))),IF(S109&lt;0,IF(I111="",SMALL(P109:P111,1)-SUM(O109:O111),0),LARGE(P109:P111,1)-SUM(O109:O111)))))</f>
        <v>52.43</v>
      </c>
      <c r="W109" s="470">
        <f>IF($D109=$D106,IF(S109&lt;0,IF(I111="",S109,0),S109)+W106,S109)</f>
        <v>52.489999999999995</v>
      </c>
      <c r="X109" s="480" t="str">
        <f>IF(OR(SUM(R109:R111)=0,V109=W109),ROUND(IF(W109=0,0,W109/Y109)*100,2)&amp;"%",ROUND(IF(V109=0,0,V109/Y109)*100,2)&amp;"% a "&amp;ROUND(IF(W109=0,0,W109/Y109)*100,2)&amp;"%")</f>
        <v>4,51%</v>
      </c>
      <c r="Y109" s="471">
        <f>IF($D109=$D106,Y106+SUM(O109:O111),SUM(O109:O111))</f>
        <v>1163.97</v>
      </c>
      <c r="Z109" s="470">
        <f>IF($B109=" ",SUM(O109:O111),0)+Z106</f>
        <v>0</v>
      </c>
      <c r="AA109" s="470">
        <f>IF(G109="","",IF($B109="Anulado",LARGE(P109:P111,1)-SUM(O109:O111)+AA106,AA106))</f>
        <v>0.45899999999999785</v>
      </c>
      <c r="AB109" s="470">
        <f>IF($D109="","",AB106+S109)</f>
        <v>81.139999999999986</v>
      </c>
      <c r="AC109" s="472">
        <f ca="1">IF($D109="","",IF($B109=" ",IF(DAY(G109)=DAY(TODAY()),1+AC106,0+AC106),0+AC106))</f>
        <v>0</v>
      </c>
      <c r="AD109" s="103">
        <f>(((L110/(L110-1)-1)*(1-_xlfn.XLOOKUP(K110,'Fevereiro 2023 - Valor Real'!A3:A15,'Fevereiro 2023 - Valor Real'!C3:C15,0))+1))/(((L109-1)*(1-_xlfn.XLOOKUP(K109,'Fevereiro 2023 - Valor Real'!A3:A15,'Fevereiro 2023 - Valor Real'!C3:C15,0))+1)+((L110/(L110-1)-1)*(1-_xlfn.XLOOKUP(K110,'Fevereiro 2023 - Valor Real'!A3:A15,'Fevereiro 2023 - Valor Real'!C3:C15,0))+1))</f>
        <v>0.47983837023318465</v>
      </c>
      <c r="AE109" s="104">
        <f>IF(L109="","",IF(L111&gt;0,(SUM(((L109-1)*(1-_xlfn.XLOOKUP(K109,'Fevereiro 2023 - Valor Real'!A3:A15,'Fevereiro 2023 - Valor Real'!C3:C15,0))+1),((L110-1)*(1-_xlfn.XLOOKUP(K110,'Fevereiro 2023 - Valor Real'!A3:A15,'Fevereiro 2023 - Valor Real'!C3:C15,0))+1),((L111-1)*(1-_xlfn.XLOOKUP(K111,'Fevereiro 2023 - Valor Real'!A3:A15,'Fevereiro 2023 - Valor Real'!C3:C15,0))+1))/((L109-1)*(1-_xlfn.XLOOKUP(K109,'Fevereiro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Real'!C3:C15,0))+1))/((L109-1)*(1-_xlfn.XLOOKUP(K109,'Fevereiro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Real'!C3:C15,0))+1))/((L110-1)*(1-_xlfn.XLOOKUP(K110,'Fevereiro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Real'!C3:C15,0))+1))/((L111-1)*(1-_xlfn.XLOOKUP(K111,'Fevereiro 2023 - Valor Real'!A3:A15,'Fevereiro 2023 - Valor Real'!C3:C15,0))+1)),IF(I109="Lay",IF(I110="Lay",((L110/(L110-1)-1)*(1-_xlfn.XLOOKUP(K110,'Fevereiro 2023 - Valor Real'!A3:A15,'Fevereiro 2023 - Valor Real'!C3:C15,0))+1)/(((L110/(L110-1)-1)*(1-_xlfn.XLOOKUP(K110,'Fevereiro 2023 - Valor Real'!A3:A15,'Fevereiro 2023 - Valor Real'!C3:C15,0))+1)+((L109/(L109-1)-1)*(1-_xlfn.XLOOKUP(K109,'Fevereiro 2023 - Valor Real'!A3:A15,'Fevereiro 2023 - Valor Real'!C3:C15,0))+1)),((L110-1)*(1-_xlfn.XLOOKUP(K110,'Fevereiro 2023 - Valor Real'!A3:A15,'Fevereiro 2023 - Valor Real'!C3:C15,0))+1)/(((L110-1)*(1-_xlfn.XLOOKUP(K110,'Fevereiro 2023 - Valor Real'!A3:A15,'Fevereiro 2023 - Valor Real'!C3:C15,0))+1)+((L109/(L109-1)-1)*(1-_xlfn.XLOOKUP(K109,'Fevereiro 2023 - Valor Real'!A3:A15,'Fevereiro 2023 - Valor Real'!C3:C15,0))+1))),IF(I110="Lay",(((L110/(L110-1)-1)*(1-_xlfn.XLOOKUP(K110,'Fevereiro 2023 - Valor Real'!A3:A15,'Fevereiro 2023 - Valor Real'!C3:C15,0))+1))/(((L109-1)*(1-_xlfn.XLOOKUP(K109,'Fevereiro 2023 - Valor Real'!A3:A15,'Fevereiro 2023 - Valor Real'!C3:C15,0))+1)+((L110/(L110-1)-1)*(1-_xlfn.XLOOKUP(K110,'Fevereiro 2023 - Valor Real'!A3:A15,'Fevereiro 2023 - Valor Real'!C3:C15,0))+1)),((L110-1)*(1-_xlfn.XLOOKUP(K110,'Fevereiro 2023 - Valor Real'!A3:A15,'Fevereiro 2023 - Valor Real'!C3:C15,0))+1)/(((L110-1)*(1-_xlfn.XLOOKUP(K110,'Fevereiro 2023 - Valor Real'!A3:A15,'Fevereiro 2023 - Valor Real'!C3:C15,0))+1)+((L109-1)*(1-_xlfn.XLOOKUP(K109,'Fevereiro 2023 - Valor Real'!A3:A15,'Fevereiro 2023 - Valor Real'!C3:C15,0))+1))))))</f>
        <v>0.63053097345132747</v>
      </c>
      <c r="AF109" s="105">
        <f t="shared" si="214"/>
        <v>0</v>
      </c>
      <c r="AG109" s="106">
        <f t="shared" si="214"/>
        <v>5.82</v>
      </c>
      <c r="AH109" s="106">
        <f t="shared" si="214"/>
        <v>0</v>
      </c>
      <c r="AI109" s="106">
        <f t="shared" si="214"/>
        <v>0</v>
      </c>
      <c r="AJ109" s="106">
        <f t="shared" si="214"/>
        <v>0</v>
      </c>
      <c r="AK109" s="106">
        <f t="shared" si="214"/>
        <v>0</v>
      </c>
      <c r="AL109" s="106">
        <f t="shared" si="214"/>
        <v>0</v>
      </c>
      <c r="AM109" s="106">
        <f t="shared" si="214"/>
        <v>0</v>
      </c>
      <c r="AN109" s="106">
        <f t="shared" si="214"/>
        <v>0</v>
      </c>
      <c r="AO109" s="106">
        <f t="shared" si="214"/>
        <v>0</v>
      </c>
      <c r="AP109" s="106">
        <f t="shared" si="214"/>
        <v>0</v>
      </c>
      <c r="AQ109" s="106">
        <f t="shared" si="214"/>
        <v>0</v>
      </c>
      <c r="AR109" s="107">
        <f t="shared" si="214"/>
        <v>0</v>
      </c>
      <c r="AS109" s="105">
        <f t="shared" ref="AS109:BE109" si="222">IF(AND($B109=" ",$K109=AS$3),$O109,0)</f>
        <v>0</v>
      </c>
      <c r="AT109" s="106">
        <f t="shared" si="222"/>
        <v>0</v>
      </c>
      <c r="AU109" s="106">
        <f t="shared" si="222"/>
        <v>0</v>
      </c>
      <c r="AV109" s="106">
        <f t="shared" si="222"/>
        <v>0</v>
      </c>
      <c r="AW109" s="106">
        <f t="shared" si="222"/>
        <v>0</v>
      </c>
      <c r="AX109" s="106">
        <f t="shared" si="222"/>
        <v>0</v>
      </c>
      <c r="AY109" s="108">
        <f t="shared" si="222"/>
        <v>0</v>
      </c>
      <c r="AZ109" s="109">
        <f t="shared" si="222"/>
        <v>0</v>
      </c>
      <c r="BA109" s="109">
        <f t="shared" si="222"/>
        <v>0</v>
      </c>
      <c r="BB109" s="109">
        <f t="shared" si="222"/>
        <v>0</v>
      </c>
      <c r="BC109" s="110">
        <f t="shared" si="222"/>
        <v>0</v>
      </c>
      <c r="BD109" s="106">
        <f t="shared" si="222"/>
        <v>0</v>
      </c>
      <c r="BE109" s="107">
        <f t="shared" si="222"/>
        <v>0</v>
      </c>
      <c r="BF109" s="111">
        <f t="shared" si="216"/>
        <v>0</v>
      </c>
      <c r="BG109" s="106">
        <f t="shared" si="216"/>
        <v>8.69</v>
      </c>
      <c r="BH109" s="106">
        <f t="shared" si="216"/>
        <v>0</v>
      </c>
      <c r="BI109" s="106">
        <f t="shared" si="216"/>
        <v>0</v>
      </c>
      <c r="BJ109" s="106">
        <f t="shared" si="216"/>
        <v>0</v>
      </c>
      <c r="BK109" s="106">
        <f t="shared" si="216"/>
        <v>0</v>
      </c>
      <c r="BL109" s="106">
        <f t="shared" si="216"/>
        <v>0</v>
      </c>
      <c r="BM109" s="108">
        <f t="shared" si="216"/>
        <v>0</v>
      </c>
      <c r="BN109" s="109">
        <f t="shared" si="216"/>
        <v>0</v>
      </c>
      <c r="BO109" s="109">
        <f t="shared" si="216"/>
        <v>0</v>
      </c>
      <c r="BP109" s="109">
        <f t="shared" si="216"/>
        <v>0</v>
      </c>
      <c r="BQ109" s="110">
        <f t="shared" si="216"/>
        <v>0</v>
      </c>
      <c r="BR109" s="107">
        <f t="shared" si="216"/>
        <v>0</v>
      </c>
      <c r="BS109" s="463">
        <f>IF($B109="LOSS",IF(AND($K109=BS$3,$C109="L"),-$O109,0)+IF(AND($K110=BS$3,$C110="L"),-$O110,0)+IF(AND($K111=BS$3,$C111="L"),-$O111,0),IF(OR(AND($K109=BS$3,OR($C109="W",$C109="1/2W")),AND($K110=BS$3,OR($C110="W",$C110="1/2W")),AND($K111=BS$3,OR($C111="W",$C111="1/2W"))),$S109,0))</f>
        <v>0</v>
      </c>
      <c r="BT109" s="462">
        <f>IF($B109="LOSS",IF(AND($K109=BT$3,$C109="L"),-$O109,0)+IF(AND($K110=BT$3,$C110="L"),-$O110,0)+IF(AND($K110=BT$3,$C111="L"),-$O111,0),IF(OR(AND($K110=BT$3,OR($C109="W",$C109="1/2W")),AND($K110=BT$3,OR($C110="W",$C110="1/2W")),AND($K110=BT$3,OR($C111="W",$C111="1/2W"))),$S109,0))</f>
        <v>0</v>
      </c>
      <c r="BU109" s="462">
        <f>IF($B109="LOSS",IF(AND($K109=BU$3,$C109="L"),-$O109,0)+IF(AND($K110=BU$3,$C110="L"),-$O110,0)+IF(AND($K110=BU$3,$C111="L"),-$O111,0),IF(OR(AND($K110=BU$3,OR($C109="W",$C109="1/2W")),AND($K110=BU$3,OR($C110="W",$C110="1/2W")),AND($K110=BU$3,OR($C111="W",$C111="1/2W"))),$S109,0))</f>
        <v>0</v>
      </c>
      <c r="BV109" s="462">
        <f t="shared" ref="BV109:CE109" si="223">IF($B109="LOSS",IF(AND($K109=BV$3,$C109="L"),-$O109,0)+IF(AND($K110=BV$3,$C110="L"),-$O110,0)+IF(AND($K111=BV$3,$C111="L"),-$O111,0),IF(OR(AND($K109=BV$3,OR($C109="W",$C109="1/2W")),AND($K110=BV$3,OR($C110="W",$C110="1/2W")),AND($K111=BV$3,OR($C111="W",$C111="1/2W"))),$S109,0))</f>
        <v>0</v>
      </c>
      <c r="BW109" s="462">
        <f t="shared" si="223"/>
        <v>0</v>
      </c>
      <c r="BX109" s="462">
        <f t="shared" si="223"/>
        <v>0</v>
      </c>
      <c r="BY109" s="462">
        <f t="shared" si="223"/>
        <v>0</v>
      </c>
      <c r="BZ109" s="460">
        <f t="shared" si="223"/>
        <v>0</v>
      </c>
      <c r="CA109" s="460">
        <f t="shared" si="223"/>
        <v>0</v>
      </c>
      <c r="CB109" s="460">
        <f t="shared" si="223"/>
        <v>0</v>
      </c>
      <c r="CC109" s="460">
        <f t="shared" si="223"/>
        <v>0</v>
      </c>
      <c r="CD109" s="473">
        <f t="shared" si="223"/>
        <v>0</v>
      </c>
      <c r="CE109" s="479">
        <f t="shared" si="223"/>
        <v>0</v>
      </c>
      <c r="CF109" s="113">
        <f t="shared" si="131"/>
        <v>0</v>
      </c>
      <c r="CG109" s="114">
        <f t="shared" si="132"/>
        <v>0</v>
      </c>
      <c r="CH109" s="114">
        <f t="shared" si="133"/>
        <v>1</v>
      </c>
      <c r="CI109" s="114">
        <f t="shared" si="134"/>
        <v>0</v>
      </c>
      <c r="CJ109" s="114">
        <f t="shared" si="135"/>
        <v>0</v>
      </c>
      <c r="CK109" s="114">
        <f t="shared" si="136"/>
        <v>0</v>
      </c>
      <c r="CL109" s="114">
        <f t="shared" si="137"/>
        <v>0</v>
      </c>
      <c r="CM109" s="114">
        <f t="shared" si="138"/>
        <v>0</v>
      </c>
      <c r="CN109" s="114">
        <f t="shared" si="139"/>
        <v>0</v>
      </c>
      <c r="CO109" s="114">
        <f t="shared" si="140"/>
        <v>0</v>
      </c>
      <c r="CP109" s="114">
        <f t="shared" si="141"/>
        <v>0</v>
      </c>
      <c r="CQ109" s="114">
        <f t="shared" si="142"/>
        <v>0</v>
      </c>
      <c r="CR109" s="114">
        <f t="shared" si="143"/>
        <v>0</v>
      </c>
      <c r="CS109" s="114">
        <f t="shared" si="144"/>
        <v>0</v>
      </c>
      <c r="CT109" s="115">
        <f t="shared" si="145"/>
        <v>0</v>
      </c>
      <c r="CU109" s="116">
        <f t="shared" si="146"/>
        <v>0</v>
      </c>
      <c r="CV109" s="116">
        <f t="shared" si="147"/>
        <v>0</v>
      </c>
      <c r="CW109" s="116">
        <f t="shared" si="148"/>
        <v>0</v>
      </c>
      <c r="CX109" s="116">
        <f t="shared" si="149"/>
        <v>0</v>
      </c>
      <c r="CY109" s="116">
        <f t="shared" si="150"/>
        <v>0</v>
      </c>
      <c r="CZ109" s="116">
        <f t="shared" si="151"/>
        <v>0</v>
      </c>
      <c r="DA109" s="116">
        <f t="shared" si="152"/>
        <v>0</v>
      </c>
      <c r="DB109" s="116">
        <f t="shared" si="153"/>
        <v>0</v>
      </c>
      <c r="DC109" s="116">
        <f t="shared" si="154"/>
        <v>0</v>
      </c>
      <c r="DD109" s="116">
        <f t="shared" si="155"/>
        <v>0</v>
      </c>
      <c r="DE109" s="117">
        <f t="shared" si="156"/>
        <v>0</v>
      </c>
      <c r="DF109" s="118">
        <f t="shared" si="158"/>
        <v>11</v>
      </c>
      <c r="DG109" s="106">
        <f t="shared" si="159"/>
        <v>14.450000000000001</v>
      </c>
      <c r="DH109" s="116">
        <f t="shared" si="160"/>
        <v>0</v>
      </c>
      <c r="DI109" s="106">
        <f t="shared" si="161"/>
        <v>0</v>
      </c>
      <c r="DJ109" s="201" t="str">
        <f>IF($D109="","",$D109)</f>
        <v>2</v>
      </c>
      <c r="DK109" s="465">
        <f>IF(AND($B109=" ",$D109&lt;&gt;""),1,0)</f>
        <v>0</v>
      </c>
    </row>
    <row r="110" spans="1:115" ht="14.5" customHeight="1" x14ac:dyDescent="0.2">
      <c r="A110" s="389"/>
      <c r="B110" s="456"/>
      <c r="C110" s="120" t="s">
        <v>55</v>
      </c>
      <c r="D110" s="374"/>
      <c r="E110" s="386"/>
      <c r="F110" s="377"/>
      <c r="G110" s="483"/>
      <c r="H110" s="476"/>
      <c r="I110" s="121" t="s">
        <v>66</v>
      </c>
      <c r="J110" s="122">
        <f>IF(OR(I109="TO",I109="TU",I109="TO1",I109="TU1",I109="TO2",I109="TU2"),J109,IF(OR(I109="AH1",I109="AH2"),IF(OR(I110="AH1",I110="AH2"),-J109,IF(OR(I110="EH1",I110="EH2"),-J109+0.5,"")),IF(OR(I109="EH1",I109="EH2"),IF(OR(I110="AH1",I110="AH2"),-J109+0.5,IF(OR(I110="EH1",I110="EH2"),-J109+1,"")),IF(AND(OR(I109="DNB1",I109="DNB2"),OR(I110="AH1",I110="AH2")),0,IF(AND(I109="Not ScoreBoth",OR(I110="TO1",I110="TO2")),0.5,"")))))</f>
        <v>-1.5</v>
      </c>
      <c r="K110" s="123" t="s">
        <v>43</v>
      </c>
      <c r="L110" s="124">
        <v>2.85</v>
      </c>
      <c r="M110" s="125"/>
      <c r="N110" s="406"/>
      <c r="O110" s="126">
        <f>IF(OR(AE109="",AE110=""),"",ROUND(IF(L111&gt;0,IF(M110&gt;0,M110,IF(M109&gt;0,IF(N109=TRUE,ROUND((M109*AE110)/AE109,0),(M109*AE110)/AE109),IF(M110&gt;0,ROUND(M110,IF(N109=0,2,IF(N109=0.1,1,0))),IF(M111&gt;0,ROUND(O111*AE110/AE111,IF(N109=0,2,IF(N109=0.1,1,0))),0)))),IF(M110&gt;0,M110,ROUND((M109*AE110)/AE109,IF(N109=0,2,IF(N109=0.1,1,0))))),2))</f>
        <v>5.09</v>
      </c>
      <c r="P110" s="127">
        <f>IF(OR(L110="",O110=""),"",IF($C110="1/2W",O110/2+O110/2*L110,IF($C110="1/2L",O110/2,IF(I110="Lay",((O110*(L110/(L110-1)))-O110)*(1-_xlfn.XLOOKUP(K110,'Fevereiro 2023 - Valor Real'!A3:A15,'Fevereiro 2023 - Valor Real'!C3:C15,0))+O110,(O110*L110-O110)*(1-_xlfn.XLOOKUP(K110,'Fevereiro 2023 - Valor Real'!A3:A15,'Fevereiro 2023 - Valor Real'!C3:C15,0))+O110))))</f>
        <v>14.506500000000001</v>
      </c>
      <c r="Q110" s="128">
        <f>IF(K110="","",IF(_xlfn.XLOOKUP(K110,K$4:K109,$DJ$4:DJ109,0,,-1)=DJ110,_xlfn.XLOOKUP(K110,K$4:K109,Q$4:Q109,1,,-1)+1,1))</f>
        <v>4</v>
      </c>
      <c r="R110" s="129">
        <f>IF(K110="","",_xlfn.XLOOKUP(K110,K$4:K109,R$4:R109,0,,-1)+IF($C110=" ",1,0))</f>
        <v>0</v>
      </c>
      <c r="S110" s="403"/>
      <c r="T110" s="380"/>
      <c r="U110" s="380"/>
      <c r="V110" s="481"/>
      <c r="W110" s="380"/>
      <c r="X110" s="452"/>
      <c r="Y110" s="383"/>
      <c r="Z110" s="384"/>
      <c r="AA110" s="384"/>
      <c r="AB110" s="384"/>
      <c r="AC110" s="384"/>
      <c r="AD110" s="130">
        <f>(((L110/(L110-1)-1)*(1-_xlfn.XLOOKUP(K110,'Fevereiro 2023 - Valor Real'!A3:A15,'Fevereiro 2023 - Valor Real'!C3:C15,0))+1))</f>
        <v>1.5405405405405406</v>
      </c>
      <c r="AE110" s="131">
        <f>IF(L110="","",IF(L111&gt;0,(SUM(((L109-1)*(1-_xlfn.XLOOKUP(K109,'Fevereiro 2023 - Valor Real'!A3:A15,'Fevereiro 2023 - Valor Real'!C3:C15,0))+1),((L110-1)*(1-_xlfn.XLOOKUP(K110,'Fevereiro 2023 - Valor Real'!A3:A15,'Fevereiro 2023 - Valor Real'!C3:C15,0))+1),((L111-1)*(1-_xlfn.XLOOKUP(K111,'Fevereiro 2023 - Valor Real'!A3:A15,'Fevereiro 2023 - Valor Real'!C3:C15,0))+1))/((L110-1)*(1-_xlfn.XLOOKUP(K110,'Fevereiro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Real'!C3:C15,0))+1))/((L109-1)*(1-_xlfn.XLOOKUP(K109,'Fevereiro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Real'!C3:C15,0))+1))/((L110-1)*(1-_xlfn.XLOOKUP(K110,'Fevereiro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Real'!C3:C15,0))+1))/((L111-1)*(1-_xlfn.XLOOKUP(K111,'Fevereiro 2023 - Valor Real'!A3:A15,'Fevereiro 2023 - Valor Real'!C3:C15,0))+1)),IF(I110="Lay",IF(I109="Lay",((L109/(L109-1)-1)*(1-_xlfn.XLOOKUP(K109,'Fevereiro 2023 - Valor Real'!A3:A15,'Fevereiro 2023 - Valor Real'!C3:C15,0))+1)/(((L109/(L109-1)-1)*(1-_xlfn.XLOOKUP(K109,'Fevereiro 2023 - Valor Real'!A3:A15,'Fevereiro 2023 - Valor Real'!C3:C15,0))+1)+((L110/(L110-1)-1)*(1-_xlfn.XLOOKUP(K110,'Fevereiro 2023 - Valor Real'!A3:A15,'Fevereiro 2023 - Valor Real'!C3:C15,0))+1)),((L109-1)*(1-_xlfn.XLOOKUP(K109,'Fevereiro 2023 - Valor Real'!A3:A15,'Fevereiro 2023 - Valor Real'!C3:C15,0))+1)/(((L109-1)*(1-_xlfn.XLOOKUP(K109,'Fevereiro 2023 - Valor Real'!A3:A15,'Fevereiro 2023 - Valor Real'!C3:C15,0))+1)+((L110/(L110-1)-1)*(1-_xlfn.XLOOKUP(K110,'Fevereiro 2023 - Valor Real'!A3:A15,'Fevereiro 2023 - Valor Real'!C3:C15,0))+1))),IF(I109="Lay",((L109/(L109-1)-1)*(1-_xlfn.XLOOKUP(K109,'Fevereiro 2023 - Valor Real'!A3:A15,'Fevereiro 2023 - Valor Real'!C3:C15,0))+1)/((((L109/(L109-1)-1)*(1-_xlfn.XLOOKUP(K109,'Fevereiro 2023 - Valor Real'!A3:A15,'Fevereiro 2023 - Valor Real'!C3:C15,0))+1))+((L110-1)*(1-_xlfn.XLOOKUP(K110,'Fevereiro 2023 - Valor Real'!A3:A15,'Fevereiro 2023 - Valor Real'!C3:C15,0))+1)),((L109-1)*(1-_xlfn.XLOOKUP(K109,'Fevereiro 2023 - Valor Real'!A3:A15,'Fevereiro 2023 - Valor Real'!C3:C15,0))+1)/(((L109-1)*(1-_xlfn.XLOOKUP(K109,'Fevereiro 2023 - Valor Real'!A3:A15,'Fevereiro 2023 - Valor Real'!C3:C15,0))+1)+((L110-1)*(1-_xlfn.XLOOKUP(K110,'Fevereiro 2023 - Valor Real'!A3:A15,'Fevereiro 2023 - Valor Real'!C3:C15,0))+1))))))</f>
        <v>0.36946902654867259</v>
      </c>
      <c r="AF110" s="105">
        <f t="shared" si="214"/>
        <v>0</v>
      </c>
      <c r="AG110" s="106">
        <f t="shared" si="214"/>
        <v>0</v>
      </c>
      <c r="AH110" s="106">
        <f t="shared" si="214"/>
        <v>0</v>
      </c>
      <c r="AI110" s="106">
        <f t="shared" si="214"/>
        <v>0</v>
      </c>
      <c r="AJ110" s="106">
        <f t="shared" si="214"/>
        <v>0</v>
      </c>
      <c r="AK110" s="106">
        <f t="shared" si="214"/>
        <v>0</v>
      </c>
      <c r="AL110" s="106">
        <f t="shared" si="214"/>
        <v>0</v>
      </c>
      <c r="AM110" s="106">
        <f t="shared" si="214"/>
        <v>-5.09</v>
      </c>
      <c r="AN110" s="106">
        <f t="shared" si="214"/>
        <v>0</v>
      </c>
      <c r="AO110" s="106">
        <f t="shared" si="214"/>
        <v>0</v>
      </c>
      <c r="AP110" s="106">
        <f t="shared" si="214"/>
        <v>0</v>
      </c>
      <c r="AQ110" s="106">
        <f t="shared" si="214"/>
        <v>0</v>
      </c>
      <c r="AR110" s="107">
        <f t="shared" si="214"/>
        <v>0</v>
      </c>
      <c r="AS110" s="105">
        <f>IF(AND($B109=" ",$K110=AS$3),$O110,0)</f>
        <v>0</v>
      </c>
      <c r="AT110" s="106">
        <f>IF(AND($B109=" ",K110=AT$3),$O110,0)</f>
        <v>0</v>
      </c>
      <c r="AU110" s="106">
        <f t="shared" ref="AU110:BE110" si="224">IF(AND($B109=" ",$K110=AU$3),$O110,0)</f>
        <v>0</v>
      </c>
      <c r="AV110" s="106">
        <f t="shared" si="224"/>
        <v>0</v>
      </c>
      <c r="AW110" s="106">
        <f t="shared" si="224"/>
        <v>0</v>
      </c>
      <c r="AX110" s="106">
        <f t="shared" si="224"/>
        <v>0</v>
      </c>
      <c r="AY110" s="108">
        <f t="shared" si="224"/>
        <v>0</v>
      </c>
      <c r="AZ110" s="109">
        <f t="shared" si="224"/>
        <v>0</v>
      </c>
      <c r="BA110" s="109">
        <f t="shared" si="224"/>
        <v>0</v>
      </c>
      <c r="BB110" s="109">
        <f t="shared" si="224"/>
        <v>0</v>
      </c>
      <c r="BC110" s="110">
        <f t="shared" si="224"/>
        <v>0</v>
      </c>
      <c r="BD110" s="106">
        <f t="shared" si="224"/>
        <v>0</v>
      </c>
      <c r="BE110" s="107">
        <f t="shared" si="224"/>
        <v>0</v>
      </c>
      <c r="BF110" s="105">
        <f t="shared" si="216"/>
        <v>0</v>
      </c>
      <c r="BG110" s="106">
        <f t="shared" si="216"/>
        <v>0</v>
      </c>
      <c r="BH110" s="106">
        <f t="shared" si="216"/>
        <v>0</v>
      </c>
      <c r="BI110" s="106">
        <f t="shared" si="216"/>
        <v>0</v>
      </c>
      <c r="BJ110" s="106">
        <f t="shared" si="216"/>
        <v>0</v>
      </c>
      <c r="BK110" s="106">
        <f t="shared" si="216"/>
        <v>0</v>
      </c>
      <c r="BL110" s="106">
        <f t="shared" si="216"/>
        <v>0</v>
      </c>
      <c r="BM110" s="132">
        <f t="shared" si="216"/>
        <v>5.09</v>
      </c>
      <c r="BN110" s="112">
        <f t="shared" si="216"/>
        <v>0</v>
      </c>
      <c r="BO110" s="112">
        <f t="shared" si="216"/>
        <v>0</v>
      </c>
      <c r="BP110" s="112">
        <f t="shared" si="216"/>
        <v>0</v>
      </c>
      <c r="BQ110" s="110">
        <f t="shared" si="216"/>
        <v>0</v>
      </c>
      <c r="BR110" s="107">
        <f t="shared" si="216"/>
        <v>0</v>
      </c>
      <c r="BS110" s="464"/>
      <c r="BT110" s="461"/>
      <c r="BU110" s="392"/>
      <c r="BV110" s="461"/>
      <c r="BW110" s="392"/>
      <c r="BX110" s="392"/>
      <c r="BY110" s="392"/>
      <c r="BZ110" s="461"/>
      <c r="CA110" s="392"/>
      <c r="CB110" s="392"/>
      <c r="CC110" s="392"/>
      <c r="CD110" s="401"/>
      <c r="CE110" s="409"/>
      <c r="CF110" s="133">
        <f t="shared" si="131"/>
        <v>0</v>
      </c>
      <c r="CG110" s="134">
        <f t="shared" si="132"/>
        <v>0</v>
      </c>
      <c r="CH110" s="134">
        <f t="shared" si="133"/>
        <v>0</v>
      </c>
      <c r="CI110" s="134">
        <f t="shared" si="134"/>
        <v>0</v>
      </c>
      <c r="CJ110" s="134">
        <f t="shared" si="135"/>
        <v>0</v>
      </c>
      <c r="CK110" s="134">
        <f t="shared" si="136"/>
        <v>0</v>
      </c>
      <c r="CL110" s="134">
        <f t="shared" si="137"/>
        <v>0</v>
      </c>
      <c r="CM110" s="134">
        <f t="shared" si="138"/>
        <v>0</v>
      </c>
      <c r="CN110" s="134">
        <f t="shared" si="139"/>
        <v>0</v>
      </c>
      <c r="CO110" s="134">
        <f t="shared" si="140"/>
        <v>0</v>
      </c>
      <c r="CP110" s="134">
        <f t="shared" si="141"/>
        <v>0</v>
      </c>
      <c r="CQ110" s="134">
        <f t="shared" si="142"/>
        <v>0</v>
      </c>
      <c r="CR110" s="134">
        <f t="shared" si="143"/>
        <v>0</v>
      </c>
      <c r="CS110" s="134">
        <f t="shared" si="144"/>
        <v>0</v>
      </c>
      <c r="CT110" s="115">
        <f t="shared" si="145"/>
        <v>0</v>
      </c>
      <c r="CU110" s="116">
        <f t="shared" si="146"/>
        <v>1</v>
      </c>
      <c r="CV110" s="116">
        <f t="shared" si="147"/>
        <v>0</v>
      </c>
      <c r="CW110" s="116">
        <f t="shared" si="148"/>
        <v>0</v>
      </c>
      <c r="CX110" s="116">
        <f t="shared" si="149"/>
        <v>0</v>
      </c>
      <c r="CY110" s="116">
        <f t="shared" si="150"/>
        <v>0</v>
      </c>
      <c r="CZ110" s="116">
        <f t="shared" si="151"/>
        <v>0</v>
      </c>
      <c r="DA110" s="116">
        <f t="shared" si="152"/>
        <v>0</v>
      </c>
      <c r="DB110" s="116">
        <f t="shared" si="153"/>
        <v>0</v>
      </c>
      <c r="DC110" s="116">
        <f t="shared" si="154"/>
        <v>0</v>
      </c>
      <c r="DD110" s="116">
        <f t="shared" si="155"/>
        <v>0</v>
      </c>
      <c r="DE110" s="117">
        <f t="shared" si="156"/>
        <v>0</v>
      </c>
      <c r="DF110" s="118">
        <f t="shared" si="158"/>
        <v>11</v>
      </c>
      <c r="DG110" s="106">
        <f t="shared" si="159"/>
        <v>14.450000000000001</v>
      </c>
      <c r="DH110" s="116">
        <f t="shared" si="160"/>
        <v>0</v>
      </c>
      <c r="DI110" s="106">
        <f t="shared" si="161"/>
        <v>0</v>
      </c>
      <c r="DJ110" s="201" t="str">
        <f>IF($D109="","",$D109)</f>
        <v>2</v>
      </c>
      <c r="DK110" s="466"/>
    </row>
    <row r="111" spans="1:115" ht="14.5" customHeight="1" x14ac:dyDescent="0.2">
      <c r="A111" s="390"/>
      <c r="B111" s="457"/>
      <c r="C111" s="135" t="s">
        <v>53</v>
      </c>
      <c r="D111" s="375"/>
      <c r="E111" s="387"/>
      <c r="F111" s="378"/>
      <c r="G111" s="484"/>
      <c r="H111" s="477"/>
      <c r="I111" s="136"/>
      <c r="J111" s="137"/>
      <c r="K111" s="138"/>
      <c r="L111" s="139"/>
      <c r="M111" s="140"/>
      <c r="N111" s="407"/>
      <c r="O111" s="141" t="str">
        <f>IF(OR(AE109="",AE110=""),"",IF(L111&gt;0,ROUND(IF(M111&gt;0,M111,IF(M109&gt;0,ROUND((M109*AE111)/AE109,IF(N109=0,2,IF(N109=0.1,1,0))),IF(M110&gt;0,ROUND((M110*AE111)/AE110,IF(N109=0,2,IF(N109=0.1,1,0))),IF(M111&gt;0,M111,0)))),2),""))</f>
        <v/>
      </c>
      <c r="P111" s="142" t="str">
        <f>IF(I110="Lay",O110*(L110/(L110-1))-O110,IF(I109="Lay",O109*(L109/(L109-1))-O109,IF(OR(L111="",O111=""),"",IF($C111="1/2W",O111/2+O111/2*L111,IF($C111="1/2L",O111/2,(O111*L111-O111)*(1-_xlfn.XLOOKUP(K111,'Fevereiro 2023 - Valor Real'!A3:A15,'Fevereiro 2023 - Valor Real'!C3:C15,0))+O111)))))</f>
        <v/>
      </c>
      <c r="Q111" s="143" t="str">
        <f>IF(K111="","",IF(_xlfn.XLOOKUP(K111,K$4:K110,$DJ$4:DJ110,0,,-1)=DJ111,_xlfn.XLOOKUP(K111,K$4:K110,Q$4:Q110,1,,-1)+1,1))</f>
        <v/>
      </c>
      <c r="R111" s="144" t="str">
        <f>IF(K111="","",_xlfn.XLOOKUP(K111,K$4:K110,R$4:R110,0,,-1)+IF($C111=" ",1,0))</f>
        <v/>
      </c>
      <c r="S111" s="404"/>
      <c r="T111" s="378"/>
      <c r="U111" s="378"/>
      <c r="V111" s="404"/>
      <c r="W111" s="378"/>
      <c r="X111" s="453"/>
      <c r="Y111" s="383"/>
      <c r="Z111" s="384"/>
      <c r="AA111" s="384"/>
      <c r="AB111" s="384"/>
      <c r="AC111" s="384"/>
      <c r="AD111" s="145">
        <f>((L110/(L110-1)-1))</f>
        <v>0.54054054054054057</v>
      </c>
      <c r="AE111" s="146" t="str">
        <f>IF(L111="","",(SUM(((L109-1)*(1-_xlfn.XLOOKUP(K109,'Fevereiro 2023 - Valor Real'!A3:A15,'Fevereiro 2023 - Valor Real'!C3:C15,0))+1),((L110-1)*(1-_xlfn.XLOOKUP(K110,'Fevereiro 2023 - Valor Real'!A3:A15,'Fevereiro 2023 - Valor Real'!C3:C15,0))+1),((L111-1)*(1-_xlfn.XLOOKUP(K111,'Fevereiro 2023 - Valor Real'!A3:A15,'Fevereiro 2023 - Valor Real'!C3:C15,0))+1))/((L111-1)*(1-_xlfn.XLOOKUP(K111,'Fevereiro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Real'!C3:C15,0))+1))/((L109-1)*(1-_xlfn.XLOOKUP(K109,'Fevereiro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Real'!C3:C15,0))+1))/((L110-1)*(1-_xlfn.XLOOKUP(K110,'Fevereiro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Real'!C3:C15,0))+1))/((L111-1)*(1-_xlfn.XLOOKUP(K111,'Fevereiro 2023 - Valor Real'!A3:A15,'Fevereiro 2023 - Valor Real'!C3:C15,0))+1)))</f>
        <v/>
      </c>
      <c r="AF111" s="105">
        <f t="shared" si="214"/>
        <v>0</v>
      </c>
      <c r="AG111" s="106">
        <f t="shared" si="214"/>
        <v>0</v>
      </c>
      <c r="AH111" s="106">
        <f t="shared" si="214"/>
        <v>0</v>
      </c>
      <c r="AI111" s="106">
        <f t="shared" si="214"/>
        <v>0</v>
      </c>
      <c r="AJ111" s="106">
        <f t="shared" si="214"/>
        <v>0</v>
      </c>
      <c r="AK111" s="106">
        <f t="shared" si="214"/>
        <v>0</v>
      </c>
      <c r="AL111" s="106">
        <f t="shared" si="214"/>
        <v>0</v>
      </c>
      <c r="AM111" s="106">
        <f t="shared" si="214"/>
        <v>0</v>
      </c>
      <c r="AN111" s="106">
        <f t="shared" si="214"/>
        <v>0</v>
      </c>
      <c r="AO111" s="106">
        <f t="shared" si="214"/>
        <v>0</v>
      </c>
      <c r="AP111" s="106">
        <f t="shared" si="214"/>
        <v>0</v>
      </c>
      <c r="AQ111" s="106">
        <f t="shared" si="214"/>
        <v>0</v>
      </c>
      <c r="AR111" s="107">
        <f t="shared" si="214"/>
        <v>0</v>
      </c>
      <c r="AS111" s="105">
        <f>IF(AND($B109=" ",$K111=AS$3),$O111,0)</f>
        <v>0</v>
      </c>
      <c r="AT111" s="106">
        <f>IF(AND($B109=" ",K111=AT$3),$O111,0)</f>
        <v>0</v>
      </c>
      <c r="AU111" s="106">
        <f t="shared" ref="AU111:BE111" si="225">IF(AND($B109=" ",$K111=AU$3),$O111,0)</f>
        <v>0</v>
      </c>
      <c r="AV111" s="106">
        <f t="shared" si="225"/>
        <v>0</v>
      </c>
      <c r="AW111" s="106">
        <f t="shared" si="225"/>
        <v>0</v>
      </c>
      <c r="AX111" s="106">
        <f t="shared" si="225"/>
        <v>0</v>
      </c>
      <c r="AY111" s="108">
        <f t="shared" si="225"/>
        <v>0</v>
      </c>
      <c r="AZ111" s="109">
        <f t="shared" si="225"/>
        <v>0</v>
      </c>
      <c r="BA111" s="109">
        <f t="shared" si="225"/>
        <v>0</v>
      </c>
      <c r="BB111" s="109">
        <f t="shared" si="225"/>
        <v>0</v>
      </c>
      <c r="BC111" s="110">
        <f t="shared" si="225"/>
        <v>0</v>
      </c>
      <c r="BD111" s="106">
        <f t="shared" si="225"/>
        <v>0</v>
      </c>
      <c r="BE111" s="107">
        <f t="shared" si="225"/>
        <v>0</v>
      </c>
      <c r="BF111" s="105">
        <f t="shared" si="216"/>
        <v>0</v>
      </c>
      <c r="BG111" s="106">
        <f t="shared" si="216"/>
        <v>0</v>
      </c>
      <c r="BH111" s="106">
        <f t="shared" si="216"/>
        <v>0</v>
      </c>
      <c r="BI111" s="106">
        <f t="shared" si="216"/>
        <v>0</v>
      </c>
      <c r="BJ111" s="106">
        <f t="shared" si="216"/>
        <v>0</v>
      </c>
      <c r="BK111" s="106">
        <f t="shared" si="216"/>
        <v>0</v>
      </c>
      <c r="BL111" s="106">
        <f t="shared" si="216"/>
        <v>0</v>
      </c>
      <c r="BM111" s="108">
        <f t="shared" si="216"/>
        <v>0</v>
      </c>
      <c r="BN111" s="109">
        <f t="shared" si="216"/>
        <v>0</v>
      </c>
      <c r="BO111" s="109">
        <f t="shared" si="216"/>
        <v>0</v>
      </c>
      <c r="BP111" s="109">
        <f t="shared" si="216"/>
        <v>0</v>
      </c>
      <c r="BQ111" s="110">
        <f t="shared" si="216"/>
        <v>0</v>
      </c>
      <c r="BR111" s="107">
        <f t="shared" si="216"/>
        <v>0</v>
      </c>
      <c r="BS111" s="464"/>
      <c r="BT111" s="461"/>
      <c r="BU111" s="392"/>
      <c r="BV111" s="461"/>
      <c r="BW111" s="392"/>
      <c r="BX111" s="392"/>
      <c r="BY111" s="392"/>
      <c r="BZ111" s="461"/>
      <c r="CA111" s="392"/>
      <c r="CB111" s="392"/>
      <c r="CC111" s="392"/>
      <c r="CD111" s="401"/>
      <c r="CE111" s="409"/>
      <c r="CF111" s="133">
        <f t="shared" si="131"/>
        <v>0</v>
      </c>
      <c r="CG111" s="134">
        <f t="shared" si="132"/>
        <v>0</v>
      </c>
      <c r="CH111" s="134">
        <f t="shared" si="133"/>
        <v>0</v>
      </c>
      <c r="CI111" s="134">
        <f t="shared" si="134"/>
        <v>0</v>
      </c>
      <c r="CJ111" s="134">
        <f t="shared" si="135"/>
        <v>0</v>
      </c>
      <c r="CK111" s="134">
        <f t="shared" si="136"/>
        <v>0</v>
      </c>
      <c r="CL111" s="134">
        <f t="shared" si="137"/>
        <v>0</v>
      </c>
      <c r="CM111" s="134">
        <f t="shared" si="138"/>
        <v>0</v>
      </c>
      <c r="CN111" s="134">
        <f t="shared" si="139"/>
        <v>0</v>
      </c>
      <c r="CO111" s="134">
        <f t="shared" si="140"/>
        <v>0</v>
      </c>
      <c r="CP111" s="134">
        <f t="shared" si="141"/>
        <v>0</v>
      </c>
      <c r="CQ111" s="134">
        <f t="shared" si="142"/>
        <v>0</v>
      </c>
      <c r="CR111" s="134">
        <f t="shared" si="143"/>
        <v>0</v>
      </c>
      <c r="CS111" s="134">
        <f t="shared" si="144"/>
        <v>0</v>
      </c>
      <c r="CT111" s="115">
        <f t="shared" si="145"/>
        <v>0</v>
      </c>
      <c r="CU111" s="116">
        <f t="shared" si="146"/>
        <v>0</v>
      </c>
      <c r="CV111" s="116">
        <f t="shared" si="147"/>
        <v>0</v>
      </c>
      <c r="CW111" s="116">
        <f t="shared" si="148"/>
        <v>0</v>
      </c>
      <c r="CX111" s="116">
        <f t="shared" si="149"/>
        <v>0</v>
      </c>
      <c r="CY111" s="116">
        <f t="shared" si="150"/>
        <v>0</v>
      </c>
      <c r="CZ111" s="116">
        <f t="shared" si="151"/>
        <v>0</v>
      </c>
      <c r="DA111" s="116">
        <f t="shared" si="152"/>
        <v>0</v>
      </c>
      <c r="DB111" s="116">
        <f t="shared" si="153"/>
        <v>0</v>
      </c>
      <c r="DC111" s="116">
        <f t="shared" si="154"/>
        <v>0</v>
      </c>
      <c r="DD111" s="116">
        <f t="shared" si="155"/>
        <v>0</v>
      </c>
      <c r="DE111" s="117">
        <f t="shared" si="156"/>
        <v>0</v>
      </c>
      <c r="DF111" s="118">
        <f t="shared" si="158"/>
        <v>11</v>
      </c>
      <c r="DG111" s="106">
        <f t="shared" si="159"/>
        <v>14.450000000000001</v>
      </c>
      <c r="DH111" s="116">
        <f t="shared" si="160"/>
        <v>0</v>
      </c>
      <c r="DI111" s="106">
        <f t="shared" si="161"/>
        <v>0</v>
      </c>
      <c r="DJ111" s="201" t="str">
        <f>IF($D109="","",$D109)</f>
        <v>2</v>
      </c>
      <c r="DK111" s="466"/>
    </row>
    <row r="112" spans="1:115" ht="14.5" customHeight="1" x14ac:dyDescent="0.2">
      <c r="A112" s="487">
        <f>$A109+1</f>
        <v>37</v>
      </c>
      <c r="B112" s="506" t="str">
        <f>IF(OR(C112="W",C113="W",C114="W",C112="1/2W",C113="1/2W",C114="1/2W",C112="1/2L",C113="1/2L",C114="1/2L"),"OK",IF(OR(C112="L",C113="L",C114="L"),"LOSS",IF(OR(C112="X",C113="X",C114="X"),"Anulado"," ")))</f>
        <v>OK</v>
      </c>
      <c r="C112" s="147" t="s">
        <v>54</v>
      </c>
      <c r="D112" s="494" t="str">
        <f>IF(G112="","",$D109)</f>
        <v>2</v>
      </c>
      <c r="E112" s="511" t="str">
        <f>IF(G112=""," ","– "&amp;COUNTIF(D$4:D114,$D112))</f>
        <v>– 20</v>
      </c>
      <c r="F112" s="510" t="str">
        <f ca="1">IF(G112="","",IF(OR(AND($C112&lt;&gt;" ",$C113=" "),AND($C113&lt;&gt;" ",$C112=" "),AND(L114&gt;0,OR(AND($C114&lt;&gt;" ",OR($C112=" ",$C113=" ")),AND($C114=" ",OR($C112&lt;&gt;" ",$C113&lt;&gt;" "))))),IF(SUM(F$4:F111)=0,1,LARGE(F$4:F111,1)+1),IF(MONTH(G112)=MONTH(TODAY()),IF(AND(DAY(G112)&lt;DAY(TODAY()),$B112=" "),IF(SUM(F$4:F111)=0,1,LARGE(F$4:F111,1)+1),IF($B112=" ",IF(AND(DAY(G112)=DAY(TODAY()),HOUR(G112)&lt;=HOUR(NOW())+1),IF(AND(HOUR(G112)+2&lt;=HOUR(NOW()),DAY(G112)&lt;=DAY(TODAY()),MINUTE(G112)&lt;=MINUTE(NOW())),IF(SUM(F$4:F111)=0,1,LARGE(F$4:F111,1)+1),IF(OR(MINUTE(G112)&lt;=MINUTE(NOW()),HOUR(G112)&lt;=HOUR(NOW())),"!!!","")),""),"")),"")))</f>
        <v/>
      </c>
      <c r="G112" s="508">
        <v>44988.625</v>
      </c>
      <c r="H112" s="502" t="s">
        <v>90</v>
      </c>
      <c r="I112" s="180" t="s">
        <v>51</v>
      </c>
      <c r="J112" s="181">
        <v>47.5</v>
      </c>
      <c r="K112" s="150" t="s">
        <v>40</v>
      </c>
      <c r="L112" s="151">
        <v>1.92</v>
      </c>
      <c r="M112" s="152"/>
      <c r="N112" s="503">
        <v>0</v>
      </c>
      <c r="O112" s="153">
        <f>IF(OR(AE112="",AE113=""),"",ROUND(IF(L114&gt;0,IF(M112&gt;0,M112,IF(M113&gt;0,ROUND((M113*AE112)/AE113,IF(N112=0,2,IF(N112=0.1,1,0))),ROUND((M114*AE112)/AE114,IF(N112=0,2,IF(N112=0.1,1,0))))),IF(M112&gt;0,M112,ROUND((M113*AE112)/AE113,IF(N112=0,2,IF(N112=0.1,1,0))))),2))</f>
        <v>18.23</v>
      </c>
      <c r="P112" s="154">
        <f>IF(OR(L112="",O112=""),"",IF($C112="1/2W",O112/2+O112/2*L112,IF($C112="1/2L",O112/2,IF(I112="Lay",(O112*(L112/(L112-1))-O112)*(1-_xlfn.XLOOKUP(K112,'Fevereiro 2023 - Valor Real'!A3:A15,'Fevereiro 2023 - Valor Real'!C3:C15,0))+O112,(O112*L112-O112)*(1-_xlfn.XLOOKUP(K112,'Fevereiro 2023 - Valor Real'!A3:A15,'Fevereiro 2023 - Valor Real'!C3:C15,0))+O112))))</f>
        <v>35.001599999999996</v>
      </c>
      <c r="Q112" s="155">
        <f>IF(K112="","",IF(_xlfn.XLOOKUP(K112,K$4:K111,$DJ$4:DJ111,0,,-1)=DJ112,_xlfn.XLOOKUP(K112,K$4:K111,Q$4:Q111,1,,-1)+1,1))</f>
        <v>8</v>
      </c>
      <c r="R112" s="156">
        <f>IF(K112="","",_xlfn.XLOOKUP(K112,K$4:K111,R$4:R111,0,,-1)+IF($C112=" ",1,0))</f>
        <v>0</v>
      </c>
      <c r="S112" s="501">
        <f>IF($B112="Anulado",0,ROUND(IF(OR($B112="LOSS",$B112="OK"),IF(OR($C112="W",$C112="1/2W",$C112="1/2L"),P112-O112,IF($C112="L",-O112,0))+IF(OR($C113="W",$C113="1/2W",$C113="1/2L"),P113-O113,IF($C113="L",-O113,0))+IF(OR($C114="W",$C114="1/2W",$C114="1/2L"),P114-O114,IF($C114="L",-O114,0)),IF(AND(OR($C112="W",$C112="1/2W",$C112="1/2L"),C113="W"),P112+P113-SUM(O112:O114)+_xlfn.XLOOKUP("X",C112:C114,O112:O114,0),IF(AND(C112=TRUE,C114="W"),P112+P114-SUM(O112:O114),IF(AND(C113="W",C114="W"),P113+P114-SUM(O112:O114)+_xlfn.XLOOKUP("X",C112:C114,O112:O114,0),IF(L114&gt;0,IF(OR($C112="W",$C112="1/2W",$C112="1/2L"),P112-SUM(O112:O114)+_xlfn.XLOOKUP("X",C112:C114,O112:O114,0),IF(OR($C112="W",$C112="1/2W",$C112="1/2L"),P113-SUM(O112:O114)+_xlfn.XLOOKUP("X",C112:C114,O112:O114,0),IF(OR($C112="W",$C112="1/2W",$C112="1/2L"),P114-SUM(O112:O114)+_xlfn.XLOOKUP("X",C112:C114,O112:O114,0),IF(SUM(P112:P114)/3-SUM(O112:O114)+_xlfn.XLOOKUP("X",C112:C114,O112:O114,0)&gt;0,SUM(P112:P114)/3-SUM(O112:O114)+_xlfn.XLOOKUP("X",C112:C114,O112:O114,0),LARGE(P112:P114,1)-SUM(O112:O114))))),IF(OR($C112="W",$C112="1/2W",$C112="1/2L"),P112-SUM(O112:O113)+_xlfn.XLOOKUP("X",C112:C114,O112:O114,0),IF(OR($C112="W",$C112="1/2W",$C112="1/2L"),P113-SUM(O112:O113)+_xlfn.XLOOKUP("X",C112:C114,O112:O114,0),SUM(P112:P113)/2-SUM(O112:O113)+_xlfn.XLOOKUP("X",C112:C114,O112:O114,0)))))))),2))</f>
        <v>2.77</v>
      </c>
      <c r="T112" s="486">
        <f>IF(S112=0,0,S112/SUM(O112:O114))</f>
        <v>8.5944771951597887E-2</v>
      </c>
      <c r="U112" s="496">
        <f>IF($D112=$D109,IF(OR($B112="LOSS",$B112="OK",$B112="Anulada"),S112,0)+U109,IF(OR($B112="LOSS",$B112="OK",$B112="Anulada"),S112,0))</f>
        <v>55.26</v>
      </c>
      <c r="V112" s="496">
        <f>IF($D112="",0,IF($D112=$D109,IF($B112=" ",IF(I114="",IF(OR(AND(I112="DNB1",I113="DNB2"),AND(OR(I112="DNB1",I112="DNB2"),J113=0),AND(OR(I113="DNB1",I113="DNB2"),J112=0),AND(I112="DNB2",I113="DNB1"),AND(IF(J112=0,(J112+1)/ROUND(J112+1,0),J112/ROUND(J112,0))=1,IF(J113=0,(J113+1)/ROUND(IF(J113="",0,J113)+1,0),IF(J113="",0,J113)/ROUND(IF(J113="",1,J113),0))=1,OR(J112&lt;&gt;""),J113&lt;&gt;"")),0,IF(S112&lt;0,IF(I114="",SMALL(P112:P113,1)-SUM(O112:O113),0),SMALL(P112:P113,1)-SUM(O112:O113))),IF(S112&lt;0,IF(I114="",SMALL(P112:P114,1)-SUM(O112:O114),0),LARGE(P112:P114,1)-SUM(O112:O114))),S112)+V109,IF(I114="",IF(OR(AND(I112="DNB1",I113="DNB2"),AND(OR(I112="DNB1",I112="DNB2"),J113=0),AND(OR(I113="DNB1",I113="DNB2"),J112=0),AND(I112="DNB2",I113="DNB1"),AND(IF(J112=0,(J112+1)/ROUND(J112+1,0),J112/ROUND(J112,0))=1,IF(J113=0,(IF(J113="",0,J113)+1)/ROUND(IF(J113="",0,J113)+1,0),IF(J113="",0,J113)/ROUND(IF(J113="",0,J113)+1,0))=1,OR(J112&lt;&gt;""),J113&lt;&gt;"")),0,IF(S112&lt;0,IF(I114="",SMALL(P112:P113,1)-SUM(O112:O113),0),SMALL(P112:P114,1)-SUM(O112:O114))),IF(S112&lt;0,IF(I114="",SMALL(P112:P114,1)-SUM(O112:O114),0),LARGE(P112:P114,1)-SUM(O112:O114)))))</f>
        <v>55.2</v>
      </c>
      <c r="W112" s="496">
        <f>IF($D112=$D109,IF(S112&lt;0,IF(I114="",S112,0),S112)+W109,S112)</f>
        <v>55.26</v>
      </c>
      <c r="X112" s="505" t="str">
        <f>IF(OR(SUM(R112:R114)=0,V112=W112),ROUND(IF(W112=0,0,W112/Y112)*100,2)&amp;"%",ROUND(IF(V112=0,0,V112/Y112)*100,2)&amp;"% a "&amp;ROUND(IF(W112=0,0,W112/Y112)*100,2)&amp;"%")</f>
        <v>4,62%</v>
      </c>
      <c r="Y112" s="497">
        <f>IF($D112=$D109,Y109+SUM(O112:O114),SUM(O112:O114))</f>
        <v>1196.2</v>
      </c>
      <c r="Z112" s="496">
        <f>IF($B112=" ",SUM(O112:O114),0)+Z109</f>
        <v>0</v>
      </c>
      <c r="AA112" s="496">
        <f>IF(G112="","",IF($B112="Anulado",LARGE(P112:P114,1)-SUM(O112:O114)+AA109,AA109))</f>
        <v>0.45899999999999785</v>
      </c>
      <c r="AB112" s="496">
        <f>IF($D112="","",AB109+S112)</f>
        <v>83.909999999999982</v>
      </c>
      <c r="AC112" s="499">
        <f ca="1">IF($D112="","",IF($B112=" ",IF(DAY(G112)=DAY(TODAY()),1+AC109,0+AC109),0+AC109))</f>
        <v>0</v>
      </c>
      <c r="AD112" s="157">
        <f>(1-_xlfn.XLOOKUP(K110,'Fevereiro 2023 - Valor Real'!A3:A15,'Fevereiro 2023 - Valor Real'!C3:C15,0))+1</f>
        <v>2</v>
      </c>
      <c r="AE112" s="158">
        <f>IF(L112="","",IF(L114&gt;0,(SUM(((L112-1)*(1-_xlfn.XLOOKUP(K112,'Fevereiro 2023 - Valor Real'!A3:A15,'Fevereiro 2023 - Valor Real'!C3:C15,0))+1),((L113-1)*(1-_xlfn.XLOOKUP(K113,'Fevereiro 2023 - Valor Real'!A3:A15,'Fevereiro 2023 - Valor Real'!C3:C15,0))+1),((L114-1)*(1-_xlfn.XLOOKUP(K114,'Fevereiro 2023 - Valor Real'!A3:A15,'Fevereiro 2023 - Valor Real'!C3:C15,0))+1))/((L112-1)*(1-_xlfn.XLOOKUP(K112,'Fevereiro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Real'!C3:C15,0))+1))/((L112-1)*(1-_xlfn.XLOOKUP(K112,'Fevereiro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Real'!C3:C15,0))+1))/((L113-1)*(1-_xlfn.XLOOKUP(K113,'Fevereiro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Real'!C3:C15,0))+1))/((L114-1)*(1-_xlfn.XLOOKUP(K114,'Fevereiro 2023 - Valor Real'!A3:A15,'Fevereiro 2023 - Valor Real'!C3:C15,0))+1)),IF(I112="Lay",IF(I113="Lay",((L113/(L113-1)-1)*(1-_xlfn.XLOOKUP(K113,'Fevereiro 2023 - Valor Real'!A3:A15,'Fevereiro 2023 - Valor Real'!C3:C15,0))+1)/(((L113/(L113-1)-1)*(1-_xlfn.XLOOKUP(K113,'Fevereiro 2023 - Valor Real'!A3:A15,'Fevereiro 2023 - Valor Real'!C3:C15,0))+1)+((L112/(L112-1)-1)*(1-_xlfn.XLOOKUP(K112,'Fevereiro 2023 - Valor Real'!A3:A15,'Fevereiro 2023 - Valor Real'!C3:C15,0))+1)),((L113-1)*(1-_xlfn.XLOOKUP(K113,'Fevereiro 2023 - Valor Real'!A3:A15,'Fevereiro 2023 - Valor Real'!C3:C15,0))+1)/(((L113-1)*(1-_xlfn.XLOOKUP(K113,'Fevereiro 2023 - Valor Real'!A3:A15,'Fevereiro 2023 - Valor Real'!C3:C15,0))+1)+((L112/(L112-1)-1)*(1-_xlfn.XLOOKUP(K112,'Fevereiro 2023 - Valor Real'!A3:A15,'Fevereiro 2023 - Valor Real'!C3:C15,0))+1))),IF(I113="Lay",(((L113/(L113-1)-1)*(1-_xlfn.XLOOKUP(K113,'Fevereiro 2023 - Valor Real'!A3:A15,'Fevereiro 2023 - Valor Real'!C3:C15,0))+1))/(((L112-1)*(1-_xlfn.XLOOKUP(K112,'Fevereiro 2023 - Valor Real'!A3:A15,'Fevereiro 2023 - Valor Real'!C3:C15,0))+1)+((L113/(L113-1)-1)*(1-_xlfn.XLOOKUP(K113,'Fevereiro 2023 - Valor Real'!A3:A15,'Fevereiro 2023 - Valor Real'!C3:C15,0))+1)),((L113-1)*(1-_xlfn.XLOOKUP(K113,'Fevereiro 2023 - Valor Real'!A3:A15,'Fevereiro 2023 - Valor Real'!C3:C15,0))+1)/(((L113-1)*(1-_xlfn.XLOOKUP(K113,'Fevereiro 2023 - Valor Real'!A3:A15,'Fevereiro 2023 - Valor Real'!C3:C15,0))+1)+((L112-1)*(1-_xlfn.XLOOKUP(K112,'Fevereiro 2023 - Valor Real'!A3:A15,'Fevereiro 2023 - Valor Real'!C3:C15,0))+1))))))</f>
        <v>0.56561085972850678</v>
      </c>
      <c r="AF112" s="66">
        <f t="shared" si="214"/>
        <v>0</v>
      </c>
      <c r="AG112" s="67">
        <f t="shared" si="214"/>
        <v>0</v>
      </c>
      <c r="AH112" s="67">
        <f t="shared" si="214"/>
        <v>0</v>
      </c>
      <c r="AI112" s="67">
        <f t="shared" si="214"/>
        <v>0</v>
      </c>
      <c r="AJ112" s="67">
        <f t="shared" si="214"/>
        <v>16.77</v>
      </c>
      <c r="AK112" s="67">
        <f t="shared" si="214"/>
        <v>0</v>
      </c>
      <c r="AL112" s="67">
        <f t="shared" si="214"/>
        <v>0</v>
      </c>
      <c r="AM112" s="67">
        <f t="shared" si="214"/>
        <v>0</v>
      </c>
      <c r="AN112" s="67">
        <f t="shared" si="214"/>
        <v>0</v>
      </c>
      <c r="AO112" s="67">
        <f t="shared" si="214"/>
        <v>0</v>
      </c>
      <c r="AP112" s="67">
        <f t="shared" si="214"/>
        <v>0</v>
      </c>
      <c r="AQ112" s="67">
        <f t="shared" si="214"/>
        <v>0</v>
      </c>
      <c r="AR112" s="68">
        <f t="shared" si="214"/>
        <v>0</v>
      </c>
      <c r="AS112" s="66">
        <f t="shared" ref="AS112:BE112" si="226">IF(AND($B112=" ",$K112=AS$3),$O112,0)</f>
        <v>0</v>
      </c>
      <c r="AT112" s="67">
        <f t="shared" si="226"/>
        <v>0</v>
      </c>
      <c r="AU112" s="67">
        <f t="shared" si="226"/>
        <v>0</v>
      </c>
      <c r="AV112" s="67">
        <f t="shared" si="226"/>
        <v>0</v>
      </c>
      <c r="AW112" s="67">
        <f t="shared" si="226"/>
        <v>0</v>
      </c>
      <c r="AX112" s="67">
        <f t="shared" si="226"/>
        <v>0</v>
      </c>
      <c r="AY112" s="69">
        <f t="shared" si="226"/>
        <v>0</v>
      </c>
      <c r="AZ112" s="70">
        <f t="shared" si="226"/>
        <v>0</v>
      </c>
      <c r="BA112" s="70">
        <f t="shared" si="226"/>
        <v>0</v>
      </c>
      <c r="BB112" s="70">
        <f t="shared" si="226"/>
        <v>0</v>
      </c>
      <c r="BC112" s="71">
        <f t="shared" si="226"/>
        <v>0</v>
      </c>
      <c r="BD112" s="67">
        <f t="shared" si="226"/>
        <v>0</v>
      </c>
      <c r="BE112" s="68">
        <f t="shared" si="226"/>
        <v>0</v>
      </c>
      <c r="BF112" s="66">
        <f t="shared" si="216"/>
        <v>0</v>
      </c>
      <c r="BG112" s="67">
        <f t="shared" si="216"/>
        <v>0</v>
      </c>
      <c r="BH112" s="67">
        <f t="shared" si="216"/>
        <v>0</v>
      </c>
      <c r="BI112" s="67">
        <f t="shared" si="216"/>
        <v>0</v>
      </c>
      <c r="BJ112" s="67">
        <f t="shared" si="216"/>
        <v>18.23</v>
      </c>
      <c r="BK112" s="67">
        <f t="shared" si="216"/>
        <v>0</v>
      </c>
      <c r="BL112" s="67">
        <f t="shared" si="216"/>
        <v>0</v>
      </c>
      <c r="BM112" s="69">
        <f t="shared" si="216"/>
        <v>0</v>
      </c>
      <c r="BN112" s="70">
        <f t="shared" si="216"/>
        <v>0</v>
      </c>
      <c r="BO112" s="70">
        <f t="shared" si="216"/>
        <v>0</v>
      </c>
      <c r="BP112" s="70">
        <f t="shared" si="216"/>
        <v>0</v>
      </c>
      <c r="BQ112" s="71">
        <f t="shared" si="216"/>
        <v>0</v>
      </c>
      <c r="BR112" s="68">
        <f t="shared" si="216"/>
        <v>0</v>
      </c>
      <c r="BS112" s="490">
        <f>IF($B112="LOSS",IF(AND($K112=BS$3,$C112="L"),-$O112,0)+IF(AND($K113=BS$3,$C113="L"),-$O113,0)+IF(AND($K114=BS$3,$C114="L"),-$O114,0),IF(OR(AND($K112=BS$3,OR($C112="W",$C112="1/2W")),AND($K113=BS$3,OR($C113="W",$C113="1/2W")),AND($K114=BS$3,OR($C114="W",$C114="1/2W"))),$S112,0))</f>
        <v>0</v>
      </c>
      <c r="BT112" s="498">
        <f>IF($B112="LOSS",IF(AND($K112=BT$3,$C112="L"),-$O112,0)+IF(AND($K113=BT$3,$C113="L"),-$O113,0)+IF(AND($K113=BT$3,$C114="L"),-$O114,0),IF(OR(AND($K113=BT$3,OR($C112="W",$C112="1/2W")),AND($K113=BT$3,OR($C113="W",$C113="1/2W")),AND($K113=BT$3,OR($C114="W",$C114="1/2W"))),$S112,0))</f>
        <v>0</v>
      </c>
      <c r="BU112" s="488">
        <f>IF($B112="LOSS",IF(AND($K112=BU$3,$C112="L"),-$O112,0)+IF(AND($K113=BU$3,$C113="L"),-$O113,0)+IF(AND($K113=BU$3,$C114="L"),-$O114,0),IF(OR(AND($K113=BU$3,OR($C112="W",$C112="1/2W")),AND($K113=BU$3,OR($C113="W",$C113="1/2W")),AND($K113=BU$3,OR($C114="W",$C114="1/2W"))),$S112,0))</f>
        <v>0</v>
      </c>
      <c r="BV112" s="488">
        <f t="shared" ref="BV112:CE112" si="227">IF($B112="LOSS",IF(AND($K112=BV$3,$C112="L"),-$O112,0)+IF(AND($K113=BV$3,$C113="L"),-$O113,0)+IF(AND($K114=BV$3,$C114="L"),-$O114,0),IF(OR(AND($K112=BV$3,OR($C112="W",$C112="1/2W")),AND($K113=BV$3,OR($C113="W",$C113="1/2W")),AND($K114=BV$3,OR($C114="W",$C114="1/2W"))),$S112,0))</f>
        <v>0</v>
      </c>
      <c r="BW112" s="488">
        <f t="shared" si="227"/>
        <v>2.77</v>
      </c>
      <c r="BX112" s="488">
        <f t="shared" si="227"/>
        <v>0</v>
      </c>
      <c r="BY112" s="488">
        <f t="shared" si="227"/>
        <v>0</v>
      </c>
      <c r="BZ112" s="488">
        <f t="shared" si="227"/>
        <v>0</v>
      </c>
      <c r="CA112" s="488">
        <f t="shared" si="227"/>
        <v>0</v>
      </c>
      <c r="CB112" s="488">
        <f t="shared" si="227"/>
        <v>0</v>
      </c>
      <c r="CC112" s="488">
        <f t="shared" si="227"/>
        <v>0</v>
      </c>
      <c r="CD112" s="500">
        <f t="shared" si="227"/>
        <v>0</v>
      </c>
      <c r="CE112" s="504">
        <f t="shared" si="227"/>
        <v>0</v>
      </c>
      <c r="CF112" s="160">
        <f t="shared" si="131"/>
        <v>0</v>
      </c>
      <c r="CG112" s="161">
        <f t="shared" si="132"/>
        <v>0</v>
      </c>
      <c r="CH112" s="161">
        <f t="shared" si="133"/>
        <v>0</v>
      </c>
      <c r="CI112" s="161">
        <f t="shared" si="134"/>
        <v>0</v>
      </c>
      <c r="CJ112" s="161">
        <f t="shared" si="135"/>
        <v>0</v>
      </c>
      <c r="CK112" s="161">
        <f t="shared" si="136"/>
        <v>0</v>
      </c>
      <c r="CL112" s="161">
        <f t="shared" si="137"/>
        <v>0</v>
      </c>
      <c r="CM112" s="161">
        <f t="shared" si="138"/>
        <v>0</v>
      </c>
      <c r="CN112" s="161">
        <f t="shared" si="139"/>
        <v>1</v>
      </c>
      <c r="CO112" s="161">
        <f t="shared" si="140"/>
        <v>0</v>
      </c>
      <c r="CP112" s="161">
        <f t="shared" si="141"/>
        <v>0</v>
      </c>
      <c r="CQ112" s="161">
        <f t="shared" si="142"/>
        <v>0</v>
      </c>
      <c r="CR112" s="161">
        <f t="shared" si="143"/>
        <v>0</v>
      </c>
      <c r="CS112" s="161">
        <f t="shared" si="144"/>
        <v>0</v>
      </c>
      <c r="CT112" s="75">
        <f t="shared" si="145"/>
        <v>0</v>
      </c>
      <c r="CU112" s="76">
        <f t="shared" si="146"/>
        <v>0</v>
      </c>
      <c r="CV112" s="76">
        <f t="shared" si="147"/>
        <v>0</v>
      </c>
      <c r="CW112" s="76">
        <f t="shared" si="148"/>
        <v>0</v>
      </c>
      <c r="CX112" s="76">
        <f t="shared" si="149"/>
        <v>0</v>
      </c>
      <c r="CY112" s="76">
        <f t="shared" si="150"/>
        <v>0</v>
      </c>
      <c r="CZ112" s="76">
        <f t="shared" si="151"/>
        <v>0</v>
      </c>
      <c r="DA112" s="76">
        <f t="shared" si="152"/>
        <v>0</v>
      </c>
      <c r="DB112" s="76">
        <f t="shared" si="153"/>
        <v>0</v>
      </c>
      <c r="DC112" s="76">
        <f t="shared" si="154"/>
        <v>0</v>
      </c>
      <c r="DD112" s="76">
        <f t="shared" si="155"/>
        <v>0</v>
      </c>
      <c r="DE112" s="77">
        <f t="shared" si="156"/>
        <v>0</v>
      </c>
      <c r="DF112" s="73">
        <f t="shared" si="158"/>
        <v>11</v>
      </c>
      <c r="DG112" s="67">
        <f t="shared" si="159"/>
        <v>14.450000000000001</v>
      </c>
      <c r="DH112" s="76">
        <f t="shared" si="160"/>
        <v>0</v>
      </c>
      <c r="DI112" s="67">
        <f t="shared" si="161"/>
        <v>0</v>
      </c>
      <c r="DJ112" s="202" t="str">
        <f>IF($D112="","",$D112)</f>
        <v>2</v>
      </c>
      <c r="DK112" s="492">
        <f>IF(AND($B112=" ",$D112&lt;&gt;""),1,0)</f>
        <v>0</v>
      </c>
    </row>
    <row r="113" spans="1:115" ht="14.5" customHeight="1" x14ac:dyDescent="0.2">
      <c r="A113" s="389"/>
      <c r="B113" s="456"/>
      <c r="C113" s="53" t="s">
        <v>55</v>
      </c>
      <c r="D113" s="374"/>
      <c r="E113" s="386"/>
      <c r="F113" s="377"/>
      <c r="G113" s="508"/>
      <c r="H113" s="476"/>
      <c r="I113" s="182" t="s">
        <v>52</v>
      </c>
      <c r="J113" s="56">
        <f>IF(OR(I112="TO",I112="TU",I112="TO1",I112="TU1",I112="TO2",I112="TU2"),J112,IF(OR(I112="AH1",I112="AH2"),IF(OR(I113="AH1",I113="AH2"),-J112,IF(OR(I113="EH1",I113="EH2"),-J112+0.5,"")),IF(OR(I112="EH1",I112="EH2"),IF(OR(I113="AH1",I113="AH2"),-J112+0.5,IF(OR(I113="EH1",I113="EH2"),-J112+1,"")),IF(AND(OR(I112="DNB1",I112="DNB2"),OR(I113="AH1",I113="AH2")),0,IF(AND(I112="Not ScoreBoth",OR(I113="TO1",I113="TO2")),0.5,"")))))</f>
        <v>47.5</v>
      </c>
      <c r="K113" s="57" t="s">
        <v>36</v>
      </c>
      <c r="L113" s="164">
        <v>2.5</v>
      </c>
      <c r="M113" s="165">
        <v>14</v>
      </c>
      <c r="N113" s="406"/>
      <c r="O113" s="60">
        <f>IF(OR(AE112="",AE113=""),"",ROUND(IF(L114&gt;0,IF(M113&gt;0,M113,IF(M112&gt;0,IF(N112=TRUE,ROUND((M112*AE113)/AE112,0),(M112*AE113)/AE112),IF(M113&gt;0,ROUND(M113,IF(N112=0,2,IF(N112=0.1,1,0))),IF(M114&gt;0,ROUND(O114*AE113/AE114,IF(N112=0,2,IF(N112=0.1,1,0))),0)))),IF(M113&gt;0,M113,ROUND((M112*AE113)/AE112,IF(N112=0,2,IF(N112=0.1,1,0))))),2))</f>
        <v>14</v>
      </c>
      <c r="P113" s="61">
        <f>IF(OR(L113="",O113=""),"",IF($C113="1/2W",O113/2+O113/2*L113,IF($C113="1/2L",O113/2,IF(I113="Lay",((O113*(L113/(L113-1)))-O113)*(1-_xlfn.XLOOKUP(K113,'Fevereiro 2023 - Valor Real'!A3:A15,'Fevereiro 2023 - Valor Real'!C3:C15,0))+O113,(O113*L113-O113)*(1-_xlfn.XLOOKUP(K113,'Fevereiro 2023 - Valor Real'!A3:A15,'Fevereiro 2023 - Valor Real'!C3:C15,0))+O113))))</f>
        <v>35</v>
      </c>
      <c r="Q113" s="166">
        <f>IF(K113="","",IF(_xlfn.XLOOKUP(K113,K$4:K112,$DJ$4:DJ112,0,,-1)=DJ113,_xlfn.XLOOKUP(K113,K$4:K112,Q$4:Q112,1,,-1)+1,1))</f>
        <v>5</v>
      </c>
      <c r="R113" s="167">
        <f>IF(K113="","",_xlfn.XLOOKUP(K113,K$4:K112,R$4:R112,0,,-1)+IF($C113=" ",1,0))</f>
        <v>0</v>
      </c>
      <c r="S113" s="403"/>
      <c r="T113" s="380"/>
      <c r="U113" s="380"/>
      <c r="V113" s="481"/>
      <c r="W113" s="380"/>
      <c r="X113" s="452"/>
      <c r="Y113" s="383"/>
      <c r="Z113" s="384"/>
      <c r="AA113" s="384"/>
      <c r="AB113" s="384"/>
      <c r="AC113" s="384"/>
      <c r="AD113" s="64"/>
      <c r="AE113" s="65">
        <f>IF(L113="","",IF(L114&gt;0,(SUM(((L112-1)*(1-_xlfn.XLOOKUP(K112,'Fevereiro 2023 - Valor Real'!A3:A15,'Fevereiro 2023 - Valor Real'!C3:C15,0))+1),((L113-1)*(1-_xlfn.XLOOKUP(K113,'Fevereiro 2023 - Valor Real'!A3:A15,'Fevereiro 2023 - Valor Real'!C3:C15,0))+1),((L114-1)*(1-_xlfn.XLOOKUP(K114,'Fevereiro 2023 - Valor Real'!A3:A15,'Fevereiro 2023 - Valor Real'!C3:C15,0))+1))/((L113-1)*(1-_xlfn.XLOOKUP(K113,'Fevereiro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Real'!C3:C15,0))+1))/((L112-1)*(1-_xlfn.XLOOKUP(K112,'Fevereiro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Real'!C3:C15,0))+1))/((L113-1)*(1-_xlfn.XLOOKUP(K113,'Fevereiro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Real'!C3:C15,0))+1))/((L114-1)*(1-_xlfn.XLOOKUP(K114,'Fevereiro 2023 - Valor Real'!A3:A15,'Fevereiro 2023 - Valor Real'!C3:C15,0))+1)),IF(I113="Lay",IF(I112="Lay",((L112/(L112-1)-1)*(1-_xlfn.XLOOKUP(K112,'Fevereiro 2023 - Valor Real'!A3:A15,'Fevereiro 2023 - Valor Real'!C3:C15,0))+1)/(((L112/(L112-1)-1)*(1-_xlfn.XLOOKUP(K112,'Fevereiro 2023 - Valor Real'!A3:A15,'Fevereiro 2023 - Valor Real'!C3:C15,0))+1)+((L113/(L113-1)-1)*(1-_xlfn.XLOOKUP(K113,'Fevereiro 2023 - Valor Real'!A3:A15,'Fevereiro 2023 - Valor Real'!C3:C15,0))+1)),((L112-1)*(1-_xlfn.XLOOKUP(K112,'Fevereiro 2023 - Valor Real'!A3:A15,'Fevereiro 2023 - Valor Real'!C3:C15,0))+1)/(((L112-1)*(1-_xlfn.XLOOKUP(K112,'Fevereiro 2023 - Valor Real'!A3:A15,'Fevereiro 2023 - Valor Real'!C3:C15,0))+1)+((L113/(L113-1)-1)*(1-_xlfn.XLOOKUP(K113,'Fevereiro 2023 - Valor Real'!A3:A15,'Fevereiro 2023 - Valor Real'!C3:C15,0))+1))),IF(I112="Lay",((L112/(L112-1)-1)*(1-_xlfn.XLOOKUP(K112,'Fevereiro 2023 - Valor Real'!A3:A15,'Fevereiro 2023 - Valor Real'!C3:C15,0))+1)/((((L112/(L112-1)-1)*(1-_xlfn.XLOOKUP(K112,'Fevereiro 2023 - Valor Real'!A3:A15,'Fevereiro 2023 - Valor Real'!C3:C15,0))+1))+((L113-1)*(1-_xlfn.XLOOKUP(K113,'Fevereiro 2023 - Valor Real'!A3:A15,'Fevereiro 2023 - Valor Real'!C3:C15,0))+1)),((L112-1)*(1-_xlfn.XLOOKUP(K112,'Fevereiro 2023 - Valor Real'!A3:A15,'Fevereiro 2023 - Valor Real'!C3:C15,0))+1)/(((L112-1)*(1-_xlfn.XLOOKUP(K112,'Fevereiro 2023 - Valor Real'!A3:A15,'Fevereiro 2023 - Valor Real'!C3:C15,0))+1)+((L113-1)*(1-_xlfn.XLOOKUP(K113,'Fevereiro 2023 - Valor Real'!A3:A15,'Fevereiro 2023 - Valor Real'!C3:C15,0))+1))))))</f>
        <v>0.43438914027149322</v>
      </c>
      <c r="AF113" s="66">
        <f t="shared" si="214"/>
        <v>-14</v>
      </c>
      <c r="AG113" s="67">
        <f t="shared" si="214"/>
        <v>0</v>
      </c>
      <c r="AH113" s="67">
        <f t="shared" si="214"/>
        <v>0</v>
      </c>
      <c r="AI113" s="67">
        <f t="shared" si="214"/>
        <v>0</v>
      </c>
      <c r="AJ113" s="67">
        <f t="shared" si="214"/>
        <v>0</v>
      </c>
      <c r="AK113" s="67">
        <f t="shared" si="214"/>
        <v>0</v>
      </c>
      <c r="AL113" s="67">
        <f t="shared" si="214"/>
        <v>0</v>
      </c>
      <c r="AM113" s="67">
        <f t="shared" si="214"/>
        <v>0</v>
      </c>
      <c r="AN113" s="67">
        <f t="shared" si="214"/>
        <v>0</v>
      </c>
      <c r="AO113" s="67">
        <f t="shared" si="214"/>
        <v>0</v>
      </c>
      <c r="AP113" s="67">
        <f t="shared" si="214"/>
        <v>0</v>
      </c>
      <c r="AQ113" s="67">
        <f t="shared" si="214"/>
        <v>0</v>
      </c>
      <c r="AR113" s="68">
        <f t="shared" si="214"/>
        <v>0</v>
      </c>
      <c r="AS113" s="66">
        <f>IF(AND($B112=" ",$K113=AS$3),$O113,0)</f>
        <v>0</v>
      </c>
      <c r="AT113" s="67">
        <f>IF(AND($B112=" ",K113=AT$3),$O113,0)</f>
        <v>0</v>
      </c>
      <c r="AU113" s="67">
        <f t="shared" ref="AU113:BE113" si="228">IF(AND($B112=" ",$K113=AU$3),$O113,0)</f>
        <v>0</v>
      </c>
      <c r="AV113" s="67">
        <f t="shared" si="228"/>
        <v>0</v>
      </c>
      <c r="AW113" s="67">
        <f t="shared" si="228"/>
        <v>0</v>
      </c>
      <c r="AX113" s="67">
        <f t="shared" si="228"/>
        <v>0</v>
      </c>
      <c r="AY113" s="69">
        <f t="shared" si="228"/>
        <v>0</v>
      </c>
      <c r="AZ113" s="70">
        <f t="shared" si="228"/>
        <v>0</v>
      </c>
      <c r="BA113" s="70">
        <f t="shared" si="228"/>
        <v>0</v>
      </c>
      <c r="BB113" s="70">
        <f t="shared" si="228"/>
        <v>0</v>
      </c>
      <c r="BC113" s="71">
        <f t="shared" si="228"/>
        <v>0</v>
      </c>
      <c r="BD113" s="67">
        <f t="shared" si="228"/>
        <v>0</v>
      </c>
      <c r="BE113" s="68">
        <f t="shared" si="228"/>
        <v>0</v>
      </c>
      <c r="BF113" s="66">
        <f t="shared" si="216"/>
        <v>14</v>
      </c>
      <c r="BG113" s="168">
        <f t="shared" si="216"/>
        <v>0</v>
      </c>
      <c r="BH113" s="67">
        <f t="shared" si="216"/>
        <v>0</v>
      </c>
      <c r="BI113" s="67">
        <f t="shared" si="216"/>
        <v>0</v>
      </c>
      <c r="BJ113" s="67">
        <f t="shared" si="216"/>
        <v>0</v>
      </c>
      <c r="BK113" s="67">
        <f t="shared" si="216"/>
        <v>0</v>
      </c>
      <c r="BL113" s="67">
        <f t="shared" si="216"/>
        <v>0</v>
      </c>
      <c r="BM113" s="69">
        <f t="shared" si="216"/>
        <v>0</v>
      </c>
      <c r="BN113" s="70">
        <f t="shared" si="216"/>
        <v>0</v>
      </c>
      <c r="BO113" s="70">
        <f t="shared" si="216"/>
        <v>0</v>
      </c>
      <c r="BP113" s="70">
        <f t="shared" si="216"/>
        <v>0</v>
      </c>
      <c r="BQ113" s="71">
        <f t="shared" si="216"/>
        <v>0</v>
      </c>
      <c r="BR113" s="68">
        <f t="shared" si="216"/>
        <v>0</v>
      </c>
      <c r="BS113" s="491"/>
      <c r="BT113" s="489"/>
      <c r="BU113" s="392"/>
      <c r="BV113" s="489"/>
      <c r="BW113" s="392"/>
      <c r="BX113" s="392"/>
      <c r="BY113" s="392"/>
      <c r="BZ113" s="489"/>
      <c r="CA113" s="392"/>
      <c r="CB113" s="392"/>
      <c r="CC113" s="392"/>
      <c r="CD113" s="401"/>
      <c r="CE113" s="409"/>
      <c r="CF113" s="169">
        <f t="shared" si="131"/>
        <v>0</v>
      </c>
      <c r="CG113" s="170">
        <f t="shared" si="132"/>
        <v>1</v>
      </c>
      <c r="CH113" s="170">
        <f t="shared" si="133"/>
        <v>0</v>
      </c>
      <c r="CI113" s="170">
        <f t="shared" si="134"/>
        <v>0</v>
      </c>
      <c r="CJ113" s="170">
        <f t="shared" si="135"/>
        <v>0</v>
      </c>
      <c r="CK113" s="170">
        <f t="shared" si="136"/>
        <v>0</v>
      </c>
      <c r="CL113" s="170">
        <f t="shared" si="137"/>
        <v>0</v>
      </c>
      <c r="CM113" s="170">
        <f t="shared" si="138"/>
        <v>0</v>
      </c>
      <c r="CN113" s="170">
        <f t="shared" si="139"/>
        <v>0</v>
      </c>
      <c r="CO113" s="170">
        <f t="shared" si="140"/>
        <v>0</v>
      </c>
      <c r="CP113" s="170">
        <f t="shared" si="141"/>
        <v>0</v>
      </c>
      <c r="CQ113" s="170">
        <f t="shared" si="142"/>
        <v>0</v>
      </c>
      <c r="CR113" s="170">
        <f t="shared" si="143"/>
        <v>0</v>
      </c>
      <c r="CS113" s="170">
        <f t="shared" si="144"/>
        <v>0</v>
      </c>
      <c r="CT113" s="75">
        <f t="shared" si="145"/>
        <v>0</v>
      </c>
      <c r="CU113" s="76">
        <f t="shared" si="146"/>
        <v>0</v>
      </c>
      <c r="CV113" s="76">
        <f t="shared" si="147"/>
        <v>0</v>
      </c>
      <c r="CW113" s="76">
        <f t="shared" si="148"/>
        <v>0</v>
      </c>
      <c r="CX113" s="76">
        <f t="shared" si="149"/>
        <v>0</v>
      </c>
      <c r="CY113" s="76">
        <f t="shared" si="150"/>
        <v>0</v>
      </c>
      <c r="CZ113" s="76">
        <f t="shared" si="151"/>
        <v>0</v>
      </c>
      <c r="DA113" s="76">
        <f t="shared" si="152"/>
        <v>0</v>
      </c>
      <c r="DB113" s="76">
        <f t="shared" si="153"/>
        <v>0</v>
      </c>
      <c r="DC113" s="76">
        <f t="shared" si="154"/>
        <v>0</v>
      </c>
      <c r="DD113" s="76">
        <f t="shared" si="155"/>
        <v>0</v>
      </c>
      <c r="DE113" s="77">
        <f t="shared" si="156"/>
        <v>0</v>
      </c>
      <c r="DF113" s="73">
        <f t="shared" si="158"/>
        <v>11</v>
      </c>
      <c r="DG113" s="67">
        <f t="shared" si="159"/>
        <v>14.450000000000001</v>
      </c>
      <c r="DH113" s="76">
        <f t="shared" si="160"/>
        <v>0</v>
      </c>
      <c r="DI113" s="67">
        <f t="shared" si="161"/>
        <v>0</v>
      </c>
      <c r="DJ113" s="202" t="str">
        <f>IF($D112="","",$D112)</f>
        <v>2</v>
      </c>
      <c r="DK113" s="493"/>
    </row>
    <row r="114" spans="1:115" ht="14.5" customHeight="1" x14ac:dyDescent="0.2">
      <c r="A114" s="390"/>
      <c r="B114" s="457"/>
      <c r="C114" s="79" t="s">
        <v>53</v>
      </c>
      <c r="D114" s="375"/>
      <c r="E114" s="387"/>
      <c r="F114" s="378"/>
      <c r="G114" s="508"/>
      <c r="H114" s="477"/>
      <c r="I114" s="171"/>
      <c r="J114" s="172"/>
      <c r="K114" s="81"/>
      <c r="L114" s="173"/>
      <c r="M114" s="174"/>
      <c r="N114" s="407"/>
      <c r="O114" s="86" t="str">
        <f>IF(OR(AE112="",AE113=""),"",IF(L114&gt;0,ROUND(IF(M114&gt;0,M114,IF(M112&gt;0,ROUND((M112*AE114)/AE112,IF(N112=0,2,IF(N112=0.1,1,0))),IF(M113&gt;0,ROUND((M113*AE114)/AE113,IF(N112=0,2,IF(N112=0.1,1,0))),IF(M114&gt;0,M114,0)))),2),""))</f>
        <v/>
      </c>
      <c r="P114" s="87" t="str">
        <f>IF(I113="Lay",O113*(L113/(L113-1))-O113,IF(I112="Lay",O112*(L112/(L112-1))-O112,IF(OR(L114="",O114=""),"",IF($C114="1/2W",O114/2+O114/2*L114,IF($C114="1/2L",O114/2,(O114*L114-O114)*(1-_xlfn.XLOOKUP(K114,'Fevereiro 2023 - Valor Real'!A3:A15,'Fevereiro 2023 - Valor Real'!C3:C15,0))+O114)))))</f>
        <v/>
      </c>
      <c r="Q114" s="80" t="str">
        <f>IF(K114="","",IF(_xlfn.XLOOKUP(K114,K$4:K113,$DJ$4:DJ113,0,,-1)=DJ114,_xlfn.XLOOKUP(K114,K$4:K113,Q$4:Q113,1,,-1)+1,1))</f>
        <v/>
      </c>
      <c r="R114" s="87" t="str">
        <f>IF(K114="","",_xlfn.XLOOKUP(K114,K$4:K113,R$4:R113,0,,-1)+IF($C114=" ",1,0))</f>
        <v/>
      </c>
      <c r="S114" s="404"/>
      <c r="T114" s="378"/>
      <c r="U114" s="378"/>
      <c r="V114" s="404"/>
      <c r="W114" s="378"/>
      <c r="X114" s="453"/>
      <c r="Y114" s="383"/>
      <c r="Z114" s="384"/>
      <c r="AA114" s="384"/>
      <c r="AB114" s="384"/>
      <c r="AC114" s="384"/>
      <c r="AD114" s="90"/>
      <c r="AE114" s="91" t="str">
        <f>IF(L114="","",(SUM(((L112-1)*(1-_xlfn.XLOOKUP(K112,'Fevereiro 2023 - Valor Real'!A3:A15,'Fevereiro 2023 - Valor Real'!C3:C15,0))+1),((L113-1)*(1-_xlfn.XLOOKUP(K113,'Fevereiro 2023 - Valor Real'!A3:A15,'Fevereiro 2023 - Valor Real'!C3:C15,0))+1),((L114-1)*(1-_xlfn.XLOOKUP(K114,'Fevereiro 2023 - Valor Real'!A3:A15,'Fevereiro 2023 - Valor Real'!C3:C15,0))+1))/((L114-1)*(1-_xlfn.XLOOKUP(K114,'Fevereiro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Real'!C3:C15,0))+1))/((L112-1)*(1-_xlfn.XLOOKUP(K112,'Fevereiro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Real'!C3:C15,0))+1))/((L113-1)*(1-_xlfn.XLOOKUP(K113,'Fevereiro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Real'!C3:C15,0))+1))/((L114-1)*(1-_xlfn.XLOOKUP(K114,'Fevereiro 2023 - Valor Real'!A3:A15,'Fevereiro 2023 - Valor Real'!C3:C15,0))+1)))</f>
        <v/>
      </c>
      <c r="AF114" s="66">
        <f t="shared" ref="AF114:AR123" si="229">IF($K114=AF$3,ROUND(IF(OR($C114="W",$C114="1/2W",$C114="1/2L"),$P114-$O114,IF($C114="X",0,-$O114)),2),0)</f>
        <v>0</v>
      </c>
      <c r="AG114" s="67">
        <f t="shared" si="229"/>
        <v>0</v>
      </c>
      <c r="AH114" s="67">
        <f t="shared" si="229"/>
        <v>0</v>
      </c>
      <c r="AI114" s="67">
        <f t="shared" si="229"/>
        <v>0</v>
      </c>
      <c r="AJ114" s="67">
        <f t="shared" si="229"/>
        <v>0</v>
      </c>
      <c r="AK114" s="67">
        <f t="shared" si="229"/>
        <v>0</v>
      </c>
      <c r="AL114" s="67">
        <f t="shared" si="229"/>
        <v>0</v>
      </c>
      <c r="AM114" s="67">
        <f t="shared" si="229"/>
        <v>0</v>
      </c>
      <c r="AN114" s="67">
        <f t="shared" si="229"/>
        <v>0</v>
      </c>
      <c r="AO114" s="67">
        <f t="shared" si="229"/>
        <v>0</v>
      </c>
      <c r="AP114" s="67">
        <f t="shared" si="229"/>
        <v>0</v>
      </c>
      <c r="AQ114" s="67">
        <f t="shared" si="229"/>
        <v>0</v>
      </c>
      <c r="AR114" s="68">
        <f t="shared" si="229"/>
        <v>0</v>
      </c>
      <c r="AS114" s="66">
        <f>IF(AND($B112=" ",$K114=AS$3),$O114,0)</f>
        <v>0</v>
      </c>
      <c r="AT114" s="67">
        <f>IF(AND($B112=" ",K114=AT$3),$O114,0)</f>
        <v>0</v>
      </c>
      <c r="AU114" s="67">
        <f t="shared" ref="AU114:BE114" si="230">IF(AND($B112=" ",$K114=AU$3),$O114,0)</f>
        <v>0</v>
      </c>
      <c r="AV114" s="67">
        <f t="shared" si="230"/>
        <v>0</v>
      </c>
      <c r="AW114" s="67">
        <f t="shared" si="230"/>
        <v>0</v>
      </c>
      <c r="AX114" s="67">
        <f t="shared" si="230"/>
        <v>0</v>
      </c>
      <c r="AY114" s="69">
        <f t="shared" si="230"/>
        <v>0</v>
      </c>
      <c r="AZ114" s="70">
        <f t="shared" si="230"/>
        <v>0</v>
      </c>
      <c r="BA114" s="70">
        <f t="shared" si="230"/>
        <v>0</v>
      </c>
      <c r="BB114" s="70">
        <f t="shared" si="230"/>
        <v>0</v>
      </c>
      <c r="BC114" s="71">
        <f t="shared" si="230"/>
        <v>0</v>
      </c>
      <c r="BD114" s="67">
        <f t="shared" si="230"/>
        <v>0</v>
      </c>
      <c r="BE114" s="68">
        <f t="shared" si="230"/>
        <v>0</v>
      </c>
      <c r="BF114" s="66">
        <f t="shared" ref="BF114:BR123" si="231">IF($K114=BF$3,IF($C114="X",0,$O114),0)</f>
        <v>0</v>
      </c>
      <c r="BG114" s="168">
        <f t="shared" si="231"/>
        <v>0</v>
      </c>
      <c r="BH114" s="67">
        <f t="shared" si="231"/>
        <v>0</v>
      </c>
      <c r="BI114" s="67">
        <f t="shared" si="231"/>
        <v>0</v>
      </c>
      <c r="BJ114" s="67">
        <f t="shared" si="231"/>
        <v>0</v>
      </c>
      <c r="BK114" s="67">
        <f t="shared" si="231"/>
        <v>0</v>
      </c>
      <c r="BL114" s="67">
        <f t="shared" si="231"/>
        <v>0</v>
      </c>
      <c r="BM114" s="69">
        <f t="shared" si="231"/>
        <v>0</v>
      </c>
      <c r="BN114" s="70">
        <f t="shared" si="231"/>
        <v>0</v>
      </c>
      <c r="BO114" s="70">
        <f t="shared" si="231"/>
        <v>0</v>
      </c>
      <c r="BP114" s="70">
        <f t="shared" si="231"/>
        <v>0</v>
      </c>
      <c r="BQ114" s="71">
        <f t="shared" si="231"/>
        <v>0</v>
      </c>
      <c r="BR114" s="68">
        <f t="shared" si="231"/>
        <v>0</v>
      </c>
      <c r="BS114" s="491"/>
      <c r="BT114" s="489"/>
      <c r="BU114" s="392"/>
      <c r="BV114" s="489"/>
      <c r="BW114" s="392"/>
      <c r="BX114" s="392"/>
      <c r="BY114" s="392"/>
      <c r="BZ114" s="489"/>
      <c r="CA114" s="392"/>
      <c r="CB114" s="392"/>
      <c r="CC114" s="392"/>
      <c r="CD114" s="401"/>
      <c r="CE114" s="409"/>
      <c r="CF114" s="169">
        <f t="shared" si="131"/>
        <v>0</v>
      </c>
      <c r="CG114" s="170">
        <f t="shared" si="132"/>
        <v>0</v>
      </c>
      <c r="CH114" s="170">
        <f t="shared" si="133"/>
        <v>0</v>
      </c>
      <c r="CI114" s="170">
        <f t="shared" si="134"/>
        <v>0</v>
      </c>
      <c r="CJ114" s="170">
        <f t="shared" si="135"/>
        <v>0</v>
      </c>
      <c r="CK114" s="170">
        <f t="shared" si="136"/>
        <v>0</v>
      </c>
      <c r="CL114" s="170">
        <f t="shared" si="137"/>
        <v>0</v>
      </c>
      <c r="CM114" s="170">
        <f t="shared" si="138"/>
        <v>0</v>
      </c>
      <c r="CN114" s="170">
        <f t="shared" si="139"/>
        <v>0</v>
      </c>
      <c r="CO114" s="170">
        <f t="shared" si="140"/>
        <v>0</v>
      </c>
      <c r="CP114" s="170">
        <f t="shared" si="141"/>
        <v>0</v>
      </c>
      <c r="CQ114" s="170">
        <f t="shared" si="142"/>
        <v>0</v>
      </c>
      <c r="CR114" s="170">
        <f t="shared" si="143"/>
        <v>0</v>
      </c>
      <c r="CS114" s="170">
        <f t="shared" si="144"/>
        <v>0</v>
      </c>
      <c r="CT114" s="75">
        <f t="shared" si="145"/>
        <v>0</v>
      </c>
      <c r="CU114" s="76">
        <f t="shared" si="146"/>
        <v>0</v>
      </c>
      <c r="CV114" s="76">
        <f t="shared" si="147"/>
        <v>0</v>
      </c>
      <c r="CW114" s="76">
        <f t="shared" si="148"/>
        <v>0</v>
      </c>
      <c r="CX114" s="76">
        <f t="shared" si="149"/>
        <v>0</v>
      </c>
      <c r="CY114" s="76">
        <f t="shared" si="150"/>
        <v>0</v>
      </c>
      <c r="CZ114" s="76">
        <f t="shared" si="151"/>
        <v>0</v>
      </c>
      <c r="DA114" s="76">
        <f t="shared" si="152"/>
        <v>0</v>
      </c>
      <c r="DB114" s="76">
        <f t="shared" si="153"/>
        <v>0</v>
      </c>
      <c r="DC114" s="76">
        <f t="shared" si="154"/>
        <v>0</v>
      </c>
      <c r="DD114" s="76">
        <f t="shared" si="155"/>
        <v>0</v>
      </c>
      <c r="DE114" s="77">
        <f t="shared" si="156"/>
        <v>0</v>
      </c>
      <c r="DF114" s="73">
        <f t="shared" si="158"/>
        <v>11</v>
      </c>
      <c r="DG114" s="67">
        <f t="shared" si="159"/>
        <v>14.450000000000001</v>
      </c>
      <c r="DH114" s="76">
        <f t="shared" si="160"/>
        <v>0</v>
      </c>
      <c r="DI114" s="67">
        <f t="shared" si="161"/>
        <v>0</v>
      </c>
      <c r="DJ114" s="202" t="str">
        <f>IF($D112="","",$D112)</f>
        <v>2</v>
      </c>
      <c r="DK114" s="493"/>
    </row>
    <row r="115" spans="1:115" ht="14.5" customHeight="1" x14ac:dyDescent="0.2">
      <c r="A115" s="459">
        <f>$A112+1</f>
        <v>38</v>
      </c>
      <c r="B115" s="507" t="str">
        <f>IF(OR(C115="W",C116="W",C117="W",C115="1/2W",C116="1/2W",C117="1/2W",C115="1/2L",C116="1/2L",C117="1/2L"),"OK",IF(OR(C115="L",C116="L",C117="L"),"LOSS",IF(OR(C115="X",C116="X",C117="X"),"Anulado"," ")))</f>
        <v>OK</v>
      </c>
      <c r="C115" s="93" t="s">
        <v>55</v>
      </c>
      <c r="D115" s="468" t="str">
        <f>IF(G115="","",$D112)</f>
        <v>2</v>
      </c>
      <c r="E115" s="485" t="str">
        <f>IF(G115=""," ","– "&amp;COUNTIF(D$4:D117,$D115))</f>
        <v>– 21</v>
      </c>
      <c r="F115" s="509" t="str">
        <f ca="1">IF(G115="","",IF(OR(AND($C115&lt;&gt;" ",$C116=" "),AND($C116&lt;&gt;" ",$C115=" "),AND(L117&gt;0,OR(AND($C117&lt;&gt;" ",OR($C115=" ",$C116=" ")),AND($C117=" ",OR($C115&lt;&gt;" ",$C116&lt;&gt;" "))))),IF(SUM(F$6:F110)=0,1,LARGE(F$6:F110,1)+1),IF(MONTH(G115)=MONTH(TODAY()),IF(AND(DAY(G115)&lt;DAY(TODAY()),$B115=" "),IF(SUM(F$6:F110)=0,1,LARGE(F$6:F110,1)+1),IF($B115=" ",IF(AND(DAY(G115)=DAY(TODAY()),HOUR(G115)&lt;=HOUR(NOW())+1),IF(AND(HOUR(G115)+2&lt;=HOUR(NOW()),DAY(G115)&lt;=DAY(TODAY()),MINUTE(G115)&lt;=MINUTE(NOW())),IF(SUM(F$6:F110)=0,1,LARGE(F$6:F110,1)+1),IF(OR(MINUTE(G115)&lt;=MINUTE(NOW()),HOUR(G115)&lt;=HOUR(NOW())),"!!!","")),""),"")),"")))</f>
        <v/>
      </c>
      <c r="G115" s="482">
        <f>IF(H115="","",_xlfn.XLOOKUP(H115,$H$4:H114,$G$4:G114,""))</f>
        <v>44988.625</v>
      </c>
      <c r="H115" s="475" t="s">
        <v>90</v>
      </c>
      <c r="I115" s="94" t="s">
        <v>51</v>
      </c>
      <c r="J115" s="95">
        <v>47.5</v>
      </c>
      <c r="K115" s="96" t="s">
        <v>40</v>
      </c>
      <c r="L115" s="97">
        <v>1.92</v>
      </c>
      <c r="M115" s="98"/>
      <c r="N115" s="478">
        <v>0</v>
      </c>
      <c r="O115" s="99">
        <f>IF(OR(AE115="",AE116=""),"",ROUND(IF(L117&gt;0,IF(M115&gt;0,M115,IF(M116&gt;0,ROUND((M116*AE115)/AE116,IF(N115=0,2,IF(N115=0.1,1,0))),ROUND((M117*AE115)/AE117,IF(N115=0,2,IF(N115=0.1,1,0))))),IF(M115&gt;0,M115,ROUND((M116*AE115)/AE116,IF(N115=0,2,IF(N115=0.1,1,0))))),2))</f>
        <v>18.23</v>
      </c>
      <c r="P115" s="100">
        <f>IF(OR(L115="",O115=""),"",IF($C115="1/2W",O115/2+O115/2*L115,IF($C115="1/2L",O115/2,IF(I115="Lay",(O115*(L115/(L115-1))-O115)*(1-_xlfn.XLOOKUP(K115,'Fevereiro 2023 - Valor Real'!A3:A15,'Fevereiro 2023 - Valor Real'!C3:C15,0))+O115,(O115*L115-O115)*(1-_xlfn.XLOOKUP(K115,'Fevereiro 2023 - Valor Real'!A3:A15,'Fevereiro 2023 - Valor Real'!C3:C15,0))+O115))))</f>
        <v>35.001599999999996</v>
      </c>
      <c r="Q115" s="177">
        <f>IF(K115="","",IF(_xlfn.XLOOKUP(K115,K$6:K110,$DJ$6:DJ110,0,,-1)=DJ115,_xlfn.XLOOKUP(K115,K$6:K110,Q$6:Q110,1,,-1)+1,1))</f>
        <v>8</v>
      </c>
      <c r="R115" s="102">
        <f>IF(K115="","",_xlfn.XLOOKUP(K115,K$6:K110,R$6:R110,0,,-1)+IF($C115=" ",1,0))</f>
        <v>0</v>
      </c>
      <c r="S115" s="474">
        <f>IF($B115="Anulado",0,ROUND(IF(OR($B115="LOSS",$B115="OK"),IF(OR($C115="W",$C115="1/2W",$C115="1/2L"),P115-O115,IF($C115="L",-O115,0))+IF(OR($C116="W",$C116="1/2W",$C116="1/2L"),P116-O116,IF($C116="L",-O116,0))+IF(OR($C117="W",$C117="1/2W",$C117="1/2L"),P117-O117,IF($C117="L",-O117,0)),IF(AND(OR($C115="W",$C115="1/2W",$C115="1/2L"),C116="W"),P115+P116-SUM(O115:O117)+_xlfn.XLOOKUP("X",C115:C117,O115:O117,0),IF(AND(C115=TRUE,C117="W"),P115+P117-SUM(O115:O117),IF(AND(C116="W",C117="W"),P116+P117-SUM(O115:O117)+_xlfn.XLOOKUP("X",C115:C117,O115:O117,0),IF(L117&gt;0,IF(OR($C115="W",$C115="1/2W",$C115="1/2L"),P115-SUM(O115:O117)+_xlfn.XLOOKUP("X",C115:C117,O115:O117,0),IF(OR($C115="W",$C115="1/2W",$C115="1/2L"),P116-SUM(O115:O117)+_xlfn.XLOOKUP("X",C115:C117,O115:O117,0),IF(OR($C115="W",$C115="1/2W",$C115="1/2L"),P117-SUM(O115:O117)+_xlfn.XLOOKUP("X",C115:C117,O115:O117,0),IF(SUM(P115:P117)/3-SUM(O115:O117)+_xlfn.XLOOKUP("X",C115:C117,O115:O117,0)&gt;0,SUM(P115:P117)/3-SUM(O115:O117)+_xlfn.XLOOKUP("X",C115:C117,O115:O117,0),LARGE(P115:P117,1)-SUM(O115:O117))))),IF(OR($C115="W",$C115="1/2W",$C115="1/2L"),P115-SUM(O115:O116)+_xlfn.XLOOKUP("X",C115:C117,O115:O117,0),IF(OR($C115="W",$C115="1/2W",$C115="1/2L"),P116-SUM(O115:O116)+_xlfn.XLOOKUP("X",C115:C117,O115:O117,0),SUM(P115:P116)/2-SUM(O115:O116)+_xlfn.XLOOKUP("X",C115:C117,O115:O117,0)))))))),2))</f>
        <v>2.77</v>
      </c>
      <c r="T115" s="458">
        <f>IF(S115=0,0,S115/SUM(O115:O117))</f>
        <v>8.5944771951597887E-2</v>
      </c>
      <c r="U115" s="470">
        <f>IF($D115=$D112,IF(OR($B115="LOSS",$B115="OK",$B115="Anulada"),S115,0)+U112,IF(OR($B115="LOSS",$B115="OK",$B115="Anulada"),S115,0))</f>
        <v>58.03</v>
      </c>
      <c r="V115" s="470">
        <f>IF($D115="",0,IF($D115=$D112,IF($B115=" ",IF(I117="",IF(OR(AND(I115="DNB1",I116="DNB2"),AND(OR(I115="DNB1",I115="DNB2"),J116=0),AND(OR(I116="DNB1",I116="DNB2"),J115=0),AND(I115="DNB2",I116="DNB1"),AND(IF(J115=0,(J115+1)/ROUND(J115+1,0),J115/ROUND(J115,0))=1,IF(J116=0,(J116+1)/ROUND(IF(J116="",0,J116)+1,0),IF(J116="",0,J116)/ROUND(IF(J116="",1,J116),0))=1,OR(J115&lt;&gt;""),J116&lt;&gt;"")),0,IF(S115&lt;0,IF(I117="",SMALL(P115:P116,1)-SUM(O115:O116),0),SMALL(P115:P116,1)-SUM(O115:O116))),IF(S115&lt;0,IF(I117="",SMALL(P115:P117,1)-SUM(O115:O117),0),LARGE(P115:P117,1)-SUM(O115:O117))),S115)+V112,IF(I117="",IF(OR(AND(I115="DNB1",I116="DNB2"),AND(OR(I115="DNB1",I115="DNB2"),J116=0),AND(OR(I116="DNB1",I116="DNB2"),J115=0),AND(I115="DNB2",I116="DNB1"),AND(IF(J115=0,(J115+1)/ROUND(J115+1,0),J115/ROUND(J115,0))=1,IF(J116=0,(IF(J116="",0,J116)+1)/ROUND(IF(J116="",0,J116)+1,0),IF(J116="",0,J116)/ROUND(IF(J116="",0,J116)+1,0))=1,OR(J115&lt;&gt;""),J116&lt;&gt;"")),0,IF(S115&lt;0,IF(I117="",SMALL(P115:P116,1)-SUM(O115:O116),0),SMALL(P115:P117,1)-SUM(O115:O117))),IF(S115&lt;0,IF(I117="",SMALL(P115:P117,1)-SUM(O115:O117),0),LARGE(P115:P117,1)-SUM(O115:O117)))))</f>
        <v>57.970000000000006</v>
      </c>
      <c r="W115" s="470">
        <f>IF($D115=$D112,IF(S115&lt;0,IF(I117="",S115,0),S115)+W112,S115)</f>
        <v>58.03</v>
      </c>
      <c r="X115" s="480" t="str">
        <f>IF(OR(SUM(R115:R117)=0,V115=W115),ROUND(IF(W115=0,0,W115/Y115)*100,2)&amp;"%",ROUND(IF(V115=0,0,V115/Y115)*100,2)&amp;"% a "&amp;ROUND(IF(W115=0,0,W115/Y115)*100,2)&amp;"%")</f>
        <v>4,72%</v>
      </c>
      <c r="Y115" s="471">
        <f>IF($D115=$D112,Y112+SUM(O115:O117),SUM(O115:O117))</f>
        <v>1228.43</v>
      </c>
      <c r="Z115" s="470">
        <f>IF($B115=" ",SUM(O115:O117),0)+Z112</f>
        <v>0</v>
      </c>
      <c r="AA115" s="470">
        <f>IF(G115="","",IF($B115="Anulado",LARGE(P115:P117,1)-SUM(O115:O117)+AA112,AA112))</f>
        <v>0.45899999999999785</v>
      </c>
      <c r="AB115" s="470">
        <f>IF($D115="","",AB112+S115)</f>
        <v>86.679999999999978</v>
      </c>
      <c r="AC115" s="472">
        <f ca="1">IF($D115="","",IF($B115=" ",IF(DAY(G115)=DAY(TODAY()),1+AC112,0+AC112),0+AC112))</f>
        <v>0</v>
      </c>
      <c r="AD115" s="103">
        <f>(((L116/(L116-1)-1)*(1-_xlfn.XLOOKUP(K116,'Fevereiro 2023 - Valor Real'!A3:A15,'Fevereiro 2023 - Valor Real'!C3:C15,0))+1))/(((L115-1)*(1-_xlfn.XLOOKUP(K115,'Fevereiro 2023 - Valor Real'!A3:A15,'Fevereiro 2023 - Valor Real'!C3:C15,0))+1)+((L116/(L116-1)-1)*(1-_xlfn.XLOOKUP(K116,'Fevereiro 2023 - Valor Real'!A3:A15,'Fevereiro 2023 - Valor Real'!C3:C15,0))+1))</f>
        <v>0.46468401486988847</v>
      </c>
      <c r="AE115" s="104">
        <f>IF(L115="","",IF(L117&gt;0,(SUM(((L115-1)*(1-_xlfn.XLOOKUP(K115,'Fevereiro 2023 - Valor Real'!A3:A15,'Fevereiro 2023 - Valor Real'!C3:C15,0))+1),((L116-1)*(1-_xlfn.XLOOKUP(K116,'Fevereiro 2023 - Valor Real'!A3:A15,'Fevereiro 2023 - Valor Real'!C3:C15,0))+1),((L117-1)*(1-_xlfn.XLOOKUP(K117,'Fevereiro 2023 - Valor Real'!A3:A15,'Fevereiro 2023 - Valor Real'!C3:C15,0))+1))/((L115-1)*(1-_xlfn.XLOOKUP(K115,'Fevereiro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Real'!C3:C15,0))+1))/((L115-1)*(1-_xlfn.XLOOKUP(K115,'Fevereiro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Real'!C3:C15,0))+1))/((L116-1)*(1-_xlfn.XLOOKUP(K116,'Fevereiro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Real'!C3:C15,0))+1))/((L117-1)*(1-_xlfn.XLOOKUP(K117,'Fevereiro 2023 - Valor Real'!A3:A15,'Fevereiro 2023 - Valor Real'!C3:C15,0))+1)),IF(I115="Lay",IF(I116="Lay",((L116/(L116-1)-1)*(1-_xlfn.XLOOKUP(K116,'Fevereiro 2023 - Valor Real'!A3:A15,'Fevereiro 2023 - Valor Real'!C3:C15,0))+1)/(((L116/(L116-1)-1)*(1-_xlfn.XLOOKUP(K116,'Fevereiro 2023 - Valor Real'!A3:A15,'Fevereiro 2023 - Valor Real'!C3:C15,0))+1)+((L115/(L115-1)-1)*(1-_xlfn.XLOOKUP(K115,'Fevereiro 2023 - Valor Real'!A3:A15,'Fevereiro 2023 - Valor Real'!C3:C15,0))+1)),((L116-1)*(1-_xlfn.XLOOKUP(K116,'Fevereiro 2023 - Valor Real'!A3:A15,'Fevereiro 2023 - Valor Real'!C3:C15,0))+1)/(((L116-1)*(1-_xlfn.XLOOKUP(K116,'Fevereiro 2023 - Valor Real'!A3:A15,'Fevereiro 2023 - Valor Real'!C3:C15,0))+1)+((L115/(L115-1)-1)*(1-_xlfn.XLOOKUP(K115,'Fevereiro 2023 - Valor Real'!A3:A15,'Fevereiro 2023 - Valor Real'!C3:C15,0))+1))),IF(I116="Lay",(((L116/(L116-1)-1)*(1-_xlfn.XLOOKUP(K116,'Fevereiro 2023 - Valor Real'!A3:A15,'Fevereiro 2023 - Valor Real'!C3:C15,0))+1))/(((L115-1)*(1-_xlfn.XLOOKUP(K115,'Fevereiro 2023 - Valor Real'!A3:A15,'Fevereiro 2023 - Valor Real'!C3:C15,0))+1)+((L116/(L116-1)-1)*(1-_xlfn.XLOOKUP(K116,'Fevereiro 2023 - Valor Real'!A3:A15,'Fevereiro 2023 - Valor Real'!C3:C15,0))+1)),((L116-1)*(1-_xlfn.XLOOKUP(K116,'Fevereiro 2023 - Valor Real'!A3:A15,'Fevereiro 2023 - Valor Real'!C3:C15,0))+1)/(((L116-1)*(1-_xlfn.XLOOKUP(K116,'Fevereiro 2023 - Valor Real'!A3:A15,'Fevereiro 2023 - Valor Real'!C3:C15,0))+1)+((L115-1)*(1-_xlfn.XLOOKUP(K115,'Fevereiro 2023 - Valor Real'!A3:A15,'Fevereiro 2023 - Valor Real'!C3:C15,0))+1))))))</f>
        <v>0.56561085972850678</v>
      </c>
      <c r="AF115" s="105">
        <f t="shared" si="229"/>
        <v>0</v>
      </c>
      <c r="AG115" s="106">
        <f t="shared" si="229"/>
        <v>0</v>
      </c>
      <c r="AH115" s="106">
        <f t="shared" si="229"/>
        <v>0</v>
      </c>
      <c r="AI115" s="106">
        <f t="shared" si="229"/>
        <v>0</v>
      </c>
      <c r="AJ115" s="106">
        <f t="shared" si="229"/>
        <v>-18.23</v>
      </c>
      <c r="AK115" s="106">
        <f t="shared" si="229"/>
        <v>0</v>
      </c>
      <c r="AL115" s="106">
        <f t="shared" si="229"/>
        <v>0</v>
      </c>
      <c r="AM115" s="106">
        <f t="shared" si="229"/>
        <v>0</v>
      </c>
      <c r="AN115" s="106">
        <f t="shared" si="229"/>
        <v>0</v>
      </c>
      <c r="AO115" s="106">
        <f t="shared" si="229"/>
        <v>0</v>
      </c>
      <c r="AP115" s="106">
        <f t="shared" si="229"/>
        <v>0</v>
      </c>
      <c r="AQ115" s="106">
        <f t="shared" si="229"/>
        <v>0</v>
      </c>
      <c r="AR115" s="107">
        <f t="shared" si="229"/>
        <v>0</v>
      </c>
      <c r="AS115" s="105">
        <f t="shared" ref="AS115:BE115" si="232">IF(AND($B115=" ",$K115=AS$3),$O115,0)</f>
        <v>0</v>
      </c>
      <c r="AT115" s="106">
        <f t="shared" si="232"/>
        <v>0</v>
      </c>
      <c r="AU115" s="106">
        <f t="shared" si="232"/>
        <v>0</v>
      </c>
      <c r="AV115" s="106">
        <f t="shared" si="232"/>
        <v>0</v>
      </c>
      <c r="AW115" s="106">
        <f t="shared" si="232"/>
        <v>0</v>
      </c>
      <c r="AX115" s="106">
        <f t="shared" si="232"/>
        <v>0</v>
      </c>
      <c r="AY115" s="108">
        <f t="shared" si="232"/>
        <v>0</v>
      </c>
      <c r="AZ115" s="109">
        <f t="shared" si="232"/>
        <v>0</v>
      </c>
      <c r="BA115" s="109">
        <f t="shared" si="232"/>
        <v>0</v>
      </c>
      <c r="BB115" s="109">
        <f t="shared" si="232"/>
        <v>0</v>
      </c>
      <c r="BC115" s="110">
        <f t="shared" si="232"/>
        <v>0</v>
      </c>
      <c r="BD115" s="106">
        <f t="shared" si="232"/>
        <v>0</v>
      </c>
      <c r="BE115" s="107">
        <f t="shared" si="232"/>
        <v>0</v>
      </c>
      <c r="BF115" s="111">
        <f t="shared" si="231"/>
        <v>0</v>
      </c>
      <c r="BG115" s="106">
        <f t="shared" si="231"/>
        <v>0</v>
      </c>
      <c r="BH115" s="106">
        <f t="shared" si="231"/>
        <v>0</v>
      </c>
      <c r="BI115" s="106">
        <f t="shared" si="231"/>
        <v>0</v>
      </c>
      <c r="BJ115" s="106">
        <f t="shared" si="231"/>
        <v>18.23</v>
      </c>
      <c r="BK115" s="106">
        <f t="shared" si="231"/>
        <v>0</v>
      </c>
      <c r="BL115" s="106">
        <f t="shared" si="231"/>
        <v>0</v>
      </c>
      <c r="BM115" s="108">
        <f t="shared" si="231"/>
        <v>0</v>
      </c>
      <c r="BN115" s="109">
        <f t="shared" si="231"/>
        <v>0</v>
      </c>
      <c r="BO115" s="109">
        <f t="shared" si="231"/>
        <v>0</v>
      </c>
      <c r="BP115" s="109">
        <f t="shared" si="231"/>
        <v>0</v>
      </c>
      <c r="BQ115" s="110">
        <f t="shared" si="231"/>
        <v>0</v>
      </c>
      <c r="BR115" s="107">
        <f t="shared" si="231"/>
        <v>0</v>
      </c>
      <c r="BS115" s="463">
        <f>IF($B115="LOSS",IF(AND($K115=BS$3,$C115="L"),-$O115,0)+IF(AND($K116=BS$3,$C116="L"),-$O116,0)+IF(AND($K117=BS$3,$C117="L"),-$O117,0),IF(OR(AND($K115=BS$3,OR($C115="W",$C115="1/2W")),AND($K116=BS$3,OR($C116="W",$C116="1/2W")),AND($K117=BS$3,OR($C117="W",$C117="1/2W"))),$S115,0))</f>
        <v>2.77</v>
      </c>
      <c r="BT115" s="462">
        <f>IF($B115="LOSS",IF(AND($K115=BT$3,$C115="L"),-$O115,0)+IF(AND($K116=BT$3,$C116="L"),-$O116,0)+IF(AND($K116=BT$3,$C117="L"),-$O117,0),IF(OR(AND($K116=BT$3,OR($C115="W",$C115="1/2W")),AND($K116=BT$3,OR($C116="W",$C116="1/2W")),AND($K116=BT$3,OR($C117="W",$C117="1/2W"))),$S115,0))</f>
        <v>0</v>
      </c>
      <c r="BU115" s="462">
        <f>IF($B115="LOSS",IF(AND($K115=BU$3,$C115="L"),-$O115,0)+IF(AND($K116=BU$3,$C116="L"),-$O116,0)+IF(AND($K116=BU$3,$C117="L"),-$O117,0),IF(OR(AND($K116=BU$3,OR($C115="W",$C115="1/2W")),AND($K116=BU$3,OR($C116="W",$C116="1/2W")),AND($K116=BU$3,OR($C117="W",$C117="1/2W"))),$S115,0))</f>
        <v>0</v>
      </c>
      <c r="BV115" s="462">
        <f t="shared" ref="BV115:CE115" si="233">IF($B115="LOSS",IF(AND($K115=BV$3,$C115="L"),-$O115,0)+IF(AND($K116=BV$3,$C116="L"),-$O116,0)+IF(AND($K117=BV$3,$C117="L"),-$O117,0),IF(OR(AND($K115=BV$3,OR($C115="W",$C115="1/2W")),AND($K116=BV$3,OR($C116="W",$C116="1/2W")),AND($K117=BV$3,OR($C117="W",$C117="1/2W"))),$S115,0))</f>
        <v>0</v>
      </c>
      <c r="BW115" s="462">
        <f t="shared" si="233"/>
        <v>0</v>
      </c>
      <c r="BX115" s="462">
        <f t="shared" si="233"/>
        <v>0</v>
      </c>
      <c r="BY115" s="462">
        <f t="shared" si="233"/>
        <v>0</v>
      </c>
      <c r="BZ115" s="460">
        <f t="shared" si="233"/>
        <v>0</v>
      </c>
      <c r="CA115" s="460">
        <f t="shared" si="233"/>
        <v>0</v>
      </c>
      <c r="CB115" s="460">
        <f t="shared" si="233"/>
        <v>0</v>
      </c>
      <c r="CC115" s="460">
        <f t="shared" si="233"/>
        <v>0</v>
      </c>
      <c r="CD115" s="473">
        <f t="shared" si="233"/>
        <v>0</v>
      </c>
      <c r="CE115" s="479">
        <f t="shared" si="233"/>
        <v>0</v>
      </c>
      <c r="CF115" s="113">
        <f t="shared" si="131"/>
        <v>0</v>
      </c>
      <c r="CG115" s="114">
        <f t="shared" si="132"/>
        <v>0</v>
      </c>
      <c r="CH115" s="114">
        <f t="shared" si="133"/>
        <v>0</v>
      </c>
      <c r="CI115" s="114">
        <f t="shared" si="134"/>
        <v>0</v>
      </c>
      <c r="CJ115" s="114">
        <f t="shared" si="135"/>
        <v>0</v>
      </c>
      <c r="CK115" s="114">
        <f t="shared" si="136"/>
        <v>0</v>
      </c>
      <c r="CL115" s="114">
        <f t="shared" si="137"/>
        <v>0</v>
      </c>
      <c r="CM115" s="114">
        <f t="shared" si="138"/>
        <v>0</v>
      </c>
      <c r="CN115" s="114">
        <f t="shared" si="139"/>
        <v>0</v>
      </c>
      <c r="CO115" s="114">
        <f t="shared" si="140"/>
        <v>1</v>
      </c>
      <c r="CP115" s="114">
        <f t="shared" si="141"/>
        <v>0</v>
      </c>
      <c r="CQ115" s="114">
        <f t="shared" si="142"/>
        <v>0</v>
      </c>
      <c r="CR115" s="114">
        <f t="shared" si="143"/>
        <v>0</v>
      </c>
      <c r="CS115" s="114">
        <f t="shared" si="144"/>
        <v>0</v>
      </c>
      <c r="CT115" s="115">
        <f t="shared" si="145"/>
        <v>0</v>
      </c>
      <c r="CU115" s="116">
        <f t="shared" si="146"/>
        <v>0</v>
      </c>
      <c r="CV115" s="116">
        <f t="shared" si="147"/>
        <v>0</v>
      </c>
      <c r="CW115" s="116">
        <f t="shared" si="148"/>
        <v>0</v>
      </c>
      <c r="CX115" s="116">
        <f t="shared" si="149"/>
        <v>0</v>
      </c>
      <c r="CY115" s="116">
        <f t="shared" si="150"/>
        <v>0</v>
      </c>
      <c r="CZ115" s="116">
        <f t="shared" si="151"/>
        <v>0</v>
      </c>
      <c r="DA115" s="116">
        <f t="shared" si="152"/>
        <v>0</v>
      </c>
      <c r="DB115" s="116">
        <f t="shared" si="153"/>
        <v>0</v>
      </c>
      <c r="DC115" s="116">
        <f t="shared" si="154"/>
        <v>0</v>
      </c>
      <c r="DD115" s="116">
        <f t="shared" si="155"/>
        <v>0</v>
      </c>
      <c r="DE115" s="117">
        <f t="shared" si="156"/>
        <v>0</v>
      </c>
      <c r="DF115" s="118">
        <f t="shared" si="158"/>
        <v>11</v>
      </c>
      <c r="DG115" s="106">
        <f t="shared" si="159"/>
        <v>14.450000000000001</v>
      </c>
      <c r="DH115" s="116">
        <f t="shared" si="160"/>
        <v>0</v>
      </c>
      <c r="DI115" s="106">
        <f t="shared" si="161"/>
        <v>0</v>
      </c>
      <c r="DJ115" s="201" t="str">
        <f>IF($D115="","",$D115)</f>
        <v>2</v>
      </c>
      <c r="DK115" s="465">
        <f>IF(AND($B115=" ",$D115&lt;&gt;""),1,0)</f>
        <v>0</v>
      </c>
    </row>
    <row r="116" spans="1:115" ht="14.5" customHeight="1" x14ac:dyDescent="0.2">
      <c r="A116" s="389"/>
      <c r="B116" s="456"/>
      <c r="C116" s="120" t="s">
        <v>54</v>
      </c>
      <c r="D116" s="374"/>
      <c r="E116" s="386"/>
      <c r="F116" s="377"/>
      <c r="G116" s="483"/>
      <c r="H116" s="476"/>
      <c r="I116" s="121" t="s">
        <v>52</v>
      </c>
      <c r="J116" s="122">
        <f>IF(OR(I115="TO",I115="TU",I115="TO1",I115="TU1",I115="TO2",I115="TU2"),J115,IF(OR(I115="AH1",I115="AH2"),IF(OR(I116="AH1",I116="AH2"),-J115,IF(OR(I116="EH1",I116="EH2"),-J115+0.5,"")),IF(OR(I115="EH1",I115="EH2"),IF(OR(I116="AH1",I116="AH2"),-J115+0.5,IF(OR(I116="EH1",I116="EH2"),-J115+1,"")),IF(AND(OR(I115="DNB1",I115="DNB2"),OR(I116="AH1",I116="AH2")),0,IF(AND(I115="Not ScoreBoth",OR(I116="TO1",I116="TO2")),0.5,"")))))</f>
        <v>47.5</v>
      </c>
      <c r="K116" s="123" t="s">
        <v>36</v>
      </c>
      <c r="L116" s="124">
        <v>2.5</v>
      </c>
      <c r="M116" s="125">
        <v>14</v>
      </c>
      <c r="N116" s="406"/>
      <c r="O116" s="126">
        <f>IF(OR(AE115="",AE116=""),"",ROUND(IF(L117&gt;0,IF(M116&gt;0,M116,IF(M115&gt;0,IF(N115=TRUE,ROUND((M115*AE116)/AE115,0),(M115*AE116)/AE115),IF(M116&gt;0,ROUND(M116,IF(N115=0,2,IF(N115=0.1,1,0))),IF(M117&gt;0,ROUND(O117*AE116/AE117,IF(N115=0,2,IF(N115=0.1,1,0))),0)))),IF(M116&gt;0,M116,ROUND((M115*AE116)/AE115,IF(N115=0,2,IF(N115=0.1,1,0))))),2))</f>
        <v>14</v>
      </c>
      <c r="P116" s="127">
        <f>IF(OR(L116="",O116=""),"",IF($C116="1/2W",O116/2+O116/2*L116,IF($C116="1/2L",O116/2,IF(I116="Lay",((O116*(L116/(L116-1)))-O116)*(1-_xlfn.XLOOKUP(K116,'Fevereiro 2023 - Valor Real'!A3:A15,'Fevereiro 2023 - Valor Real'!C3:C15,0))+O116,(O116*L116-O116)*(1-_xlfn.XLOOKUP(K116,'Fevereiro 2023 - Valor Real'!A3:A15,'Fevereiro 2023 - Valor Real'!C3:C15,0))+O116))))</f>
        <v>35</v>
      </c>
      <c r="Q116" s="128">
        <f>IF(K116="","",IF(_xlfn.XLOOKUP(K116,K$7:K110,$DJ$7:DJ110,0,,-1)=DJ116,_xlfn.XLOOKUP(K116,K$7:K110,Q$7:Q110,1,,-1)+1,1))</f>
        <v>5</v>
      </c>
      <c r="R116" s="129">
        <f>IF(K116="","",_xlfn.XLOOKUP(K116,K$7:K110,R$7:R110,0,,-1)+IF($C116=" ",1,0))</f>
        <v>0</v>
      </c>
      <c r="S116" s="403"/>
      <c r="T116" s="380"/>
      <c r="U116" s="380"/>
      <c r="V116" s="481"/>
      <c r="W116" s="380"/>
      <c r="X116" s="452"/>
      <c r="Y116" s="383"/>
      <c r="Z116" s="384"/>
      <c r="AA116" s="384"/>
      <c r="AB116" s="384"/>
      <c r="AC116" s="384"/>
      <c r="AD116" s="130">
        <f>(((L116/(L116-1)-1)*(1-_xlfn.XLOOKUP(K116,'Fevereiro 2023 - Valor Real'!A3:A15,'Fevereiro 2023 - Valor Real'!C3:C15,0))+1))</f>
        <v>1.6666666666666667</v>
      </c>
      <c r="AE116" s="131">
        <f>IF(L116="","",IF(L117&gt;0,(SUM(((L115-1)*(1-_xlfn.XLOOKUP(K115,'Fevereiro 2023 - Valor Real'!A3:A15,'Fevereiro 2023 - Valor Real'!C3:C15,0))+1),((L116-1)*(1-_xlfn.XLOOKUP(K116,'Fevereiro 2023 - Valor Real'!A3:A15,'Fevereiro 2023 - Valor Real'!C3:C15,0))+1),((L117-1)*(1-_xlfn.XLOOKUP(K117,'Fevereiro 2023 - Valor Real'!A3:A15,'Fevereiro 2023 - Valor Real'!C3:C15,0))+1))/((L116-1)*(1-_xlfn.XLOOKUP(K116,'Fevereiro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Real'!C3:C15,0))+1))/((L115-1)*(1-_xlfn.XLOOKUP(K115,'Fevereiro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Real'!C3:C15,0))+1))/((L116-1)*(1-_xlfn.XLOOKUP(K116,'Fevereiro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Real'!C3:C15,0))+1))/((L117-1)*(1-_xlfn.XLOOKUP(K117,'Fevereiro 2023 - Valor Real'!A3:A15,'Fevereiro 2023 - Valor Real'!C3:C15,0))+1)),IF(I116="Lay",IF(I115="Lay",((L115/(L115-1)-1)*(1-_xlfn.XLOOKUP(K115,'Fevereiro 2023 - Valor Real'!A3:A15,'Fevereiro 2023 - Valor Real'!C3:C15,0))+1)/(((L115/(L115-1)-1)*(1-_xlfn.XLOOKUP(K115,'Fevereiro 2023 - Valor Real'!A3:A15,'Fevereiro 2023 - Valor Real'!C3:C15,0))+1)+((L116/(L116-1)-1)*(1-_xlfn.XLOOKUP(K116,'Fevereiro 2023 - Valor Real'!A3:A15,'Fevereiro 2023 - Valor Real'!C3:C15,0))+1)),((L115-1)*(1-_xlfn.XLOOKUP(K115,'Fevereiro 2023 - Valor Real'!A3:A15,'Fevereiro 2023 - Valor Real'!C3:C15,0))+1)/(((L115-1)*(1-_xlfn.XLOOKUP(K115,'Fevereiro 2023 - Valor Real'!A3:A15,'Fevereiro 2023 - Valor Real'!C3:C15,0))+1)+((L116/(L116-1)-1)*(1-_xlfn.XLOOKUP(K116,'Fevereiro 2023 - Valor Real'!A3:A15,'Fevereiro 2023 - Valor Real'!C3:C15,0))+1))),IF(I115="Lay",((L115/(L115-1)-1)*(1-_xlfn.XLOOKUP(K115,'Fevereiro 2023 - Valor Real'!A3:A15,'Fevereiro 2023 - Valor Real'!C3:C15,0))+1)/((((L115/(L115-1)-1)*(1-_xlfn.XLOOKUP(K115,'Fevereiro 2023 - Valor Real'!A3:A15,'Fevereiro 2023 - Valor Real'!C3:C15,0))+1))+((L116-1)*(1-_xlfn.XLOOKUP(K116,'Fevereiro 2023 - Valor Real'!A3:A15,'Fevereiro 2023 - Valor Real'!C3:C15,0))+1)),((L115-1)*(1-_xlfn.XLOOKUP(K115,'Fevereiro 2023 - Valor Real'!A3:A15,'Fevereiro 2023 - Valor Real'!C3:C15,0))+1)/(((L115-1)*(1-_xlfn.XLOOKUP(K115,'Fevereiro 2023 - Valor Real'!A3:A15,'Fevereiro 2023 - Valor Real'!C3:C15,0))+1)+((L116-1)*(1-_xlfn.XLOOKUP(K116,'Fevereiro 2023 - Valor Real'!A3:A15,'Fevereiro 2023 - Valor Real'!C3:C15,0))+1))))))</f>
        <v>0.43438914027149322</v>
      </c>
      <c r="AF116" s="105">
        <f t="shared" si="229"/>
        <v>21</v>
      </c>
      <c r="AG116" s="106">
        <f t="shared" si="229"/>
        <v>0</v>
      </c>
      <c r="AH116" s="106">
        <f t="shared" si="229"/>
        <v>0</v>
      </c>
      <c r="AI116" s="106">
        <f t="shared" si="229"/>
        <v>0</v>
      </c>
      <c r="AJ116" s="106">
        <f t="shared" si="229"/>
        <v>0</v>
      </c>
      <c r="AK116" s="106">
        <f t="shared" si="229"/>
        <v>0</v>
      </c>
      <c r="AL116" s="106">
        <f t="shared" si="229"/>
        <v>0</v>
      </c>
      <c r="AM116" s="106">
        <f t="shared" si="229"/>
        <v>0</v>
      </c>
      <c r="AN116" s="106">
        <f t="shared" si="229"/>
        <v>0</v>
      </c>
      <c r="AO116" s="106">
        <f t="shared" si="229"/>
        <v>0</v>
      </c>
      <c r="AP116" s="106">
        <f t="shared" si="229"/>
        <v>0</v>
      </c>
      <c r="AQ116" s="106">
        <f t="shared" si="229"/>
        <v>0</v>
      </c>
      <c r="AR116" s="107">
        <f t="shared" si="229"/>
        <v>0</v>
      </c>
      <c r="AS116" s="105">
        <f>IF(AND($B115=" ",$K116=AS$3),$O116,0)</f>
        <v>0</v>
      </c>
      <c r="AT116" s="106">
        <f>IF(AND($B115=" ",K116=AT$3),$O116,0)</f>
        <v>0</v>
      </c>
      <c r="AU116" s="106">
        <f t="shared" ref="AU116:BE116" si="234">IF(AND($B115=" ",$K116=AU$3),$O116,0)</f>
        <v>0</v>
      </c>
      <c r="AV116" s="106">
        <f t="shared" si="234"/>
        <v>0</v>
      </c>
      <c r="AW116" s="106">
        <f t="shared" si="234"/>
        <v>0</v>
      </c>
      <c r="AX116" s="106">
        <f t="shared" si="234"/>
        <v>0</v>
      </c>
      <c r="AY116" s="108">
        <f t="shared" si="234"/>
        <v>0</v>
      </c>
      <c r="AZ116" s="109">
        <f t="shared" si="234"/>
        <v>0</v>
      </c>
      <c r="BA116" s="109">
        <f t="shared" si="234"/>
        <v>0</v>
      </c>
      <c r="BB116" s="109">
        <f t="shared" si="234"/>
        <v>0</v>
      </c>
      <c r="BC116" s="110">
        <f t="shared" si="234"/>
        <v>0</v>
      </c>
      <c r="BD116" s="106">
        <f t="shared" si="234"/>
        <v>0</v>
      </c>
      <c r="BE116" s="107">
        <f t="shared" si="234"/>
        <v>0</v>
      </c>
      <c r="BF116" s="105">
        <f t="shared" si="231"/>
        <v>14</v>
      </c>
      <c r="BG116" s="106">
        <f t="shared" si="231"/>
        <v>0</v>
      </c>
      <c r="BH116" s="106">
        <f t="shared" si="231"/>
        <v>0</v>
      </c>
      <c r="BI116" s="106">
        <f t="shared" si="231"/>
        <v>0</v>
      </c>
      <c r="BJ116" s="106">
        <f t="shared" si="231"/>
        <v>0</v>
      </c>
      <c r="BK116" s="106">
        <f t="shared" si="231"/>
        <v>0</v>
      </c>
      <c r="BL116" s="106">
        <f t="shared" si="231"/>
        <v>0</v>
      </c>
      <c r="BM116" s="132">
        <f t="shared" si="231"/>
        <v>0</v>
      </c>
      <c r="BN116" s="112">
        <f t="shared" si="231"/>
        <v>0</v>
      </c>
      <c r="BO116" s="112">
        <f t="shared" si="231"/>
        <v>0</v>
      </c>
      <c r="BP116" s="112">
        <f t="shared" si="231"/>
        <v>0</v>
      </c>
      <c r="BQ116" s="110">
        <f t="shared" si="231"/>
        <v>0</v>
      </c>
      <c r="BR116" s="107">
        <f t="shared" si="231"/>
        <v>0</v>
      </c>
      <c r="BS116" s="464"/>
      <c r="BT116" s="461"/>
      <c r="BU116" s="392"/>
      <c r="BV116" s="461"/>
      <c r="BW116" s="392"/>
      <c r="BX116" s="392"/>
      <c r="BY116" s="392"/>
      <c r="BZ116" s="461"/>
      <c r="CA116" s="392"/>
      <c r="CB116" s="392"/>
      <c r="CC116" s="392"/>
      <c r="CD116" s="401"/>
      <c r="CE116" s="409"/>
      <c r="CF116" s="133">
        <f t="shared" si="131"/>
        <v>1</v>
      </c>
      <c r="CG116" s="134">
        <f t="shared" si="132"/>
        <v>0</v>
      </c>
      <c r="CH116" s="134">
        <f t="shared" si="133"/>
        <v>0</v>
      </c>
      <c r="CI116" s="134">
        <f t="shared" si="134"/>
        <v>0</v>
      </c>
      <c r="CJ116" s="134">
        <f t="shared" si="135"/>
        <v>0</v>
      </c>
      <c r="CK116" s="134">
        <f t="shared" si="136"/>
        <v>0</v>
      </c>
      <c r="CL116" s="134">
        <f t="shared" si="137"/>
        <v>0</v>
      </c>
      <c r="CM116" s="134">
        <f t="shared" si="138"/>
        <v>0</v>
      </c>
      <c r="CN116" s="134">
        <f t="shared" si="139"/>
        <v>0</v>
      </c>
      <c r="CO116" s="134">
        <f t="shared" si="140"/>
        <v>0</v>
      </c>
      <c r="CP116" s="134">
        <f t="shared" si="141"/>
        <v>0</v>
      </c>
      <c r="CQ116" s="134">
        <f t="shared" si="142"/>
        <v>0</v>
      </c>
      <c r="CR116" s="134">
        <f t="shared" si="143"/>
        <v>0</v>
      </c>
      <c r="CS116" s="134">
        <f t="shared" si="144"/>
        <v>0</v>
      </c>
      <c r="CT116" s="115">
        <f t="shared" si="145"/>
        <v>0</v>
      </c>
      <c r="CU116" s="116">
        <f t="shared" si="146"/>
        <v>0</v>
      </c>
      <c r="CV116" s="116">
        <f t="shared" si="147"/>
        <v>0</v>
      </c>
      <c r="CW116" s="116">
        <f t="shared" si="148"/>
        <v>0</v>
      </c>
      <c r="CX116" s="116">
        <f t="shared" si="149"/>
        <v>0</v>
      </c>
      <c r="CY116" s="116">
        <f t="shared" si="150"/>
        <v>0</v>
      </c>
      <c r="CZ116" s="116">
        <f t="shared" si="151"/>
        <v>0</v>
      </c>
      <c r="DA116" s="116">
        <f t="shared" si="152"/>
        <v>0</v>
      </c>
      <c r="DB116" s="116">
        <f t="shared" si="153"/>
        <v>0</v>
      </c>
      <c r="DC116" s="116">
        <f t="shared" si="154"/>
        <v>0</v>
      </c>
      <c r="DD116" s="116">
        <f t="shared" si="155"/>
        <v>0</v>
      </c>
      <c r="DE116" s="117">
        <f t="shared" si="156"/>
        <v>0</v>
      </c>
      <c r="DF116" s="118">
        <f t="shared" si="158"/>
        <v>11</v>
      </c>
      <c r="DG116" s="106">
        <f t="shared" si="159"/>
        <v>14.450000000000001</v>
      </c>
      <c r="DH116" s="116">
        <f t="shared" si="160"/>
        <v>0</v>
      </c>
      <c r="DI116" s="106">
        <f t="shared" si="161"/>
        <v>0</v>
      </c>
      <c r="DJ116" s="201" t="str">
        <f>IF($D115="","",$D115)</f>
        <v>2</v>
      </c>
      <c r="DK116" s="466"/>
    </row>
    <row r="117" spans="1:115" ht="14.5" customHeight="1" x14ac:dyDescent="0.2">
      <c r="A117" s="390"/>
      <c r="B117" s="457"/>
      <c r="C117" s="135" t="s">
        <v>53</v>
      </c>
      <c r="D117" s="375"/>
      <c r="E117" s="387"/>
      <c r="F117" s="378"/>
      <c r="G117" s="484"/>
      <c r="H117" s="477"/>
      <c r="I117" s="136"/>
      <c r="J117" s="137"/>
      <c r="K117" s="138"/>
      <c r="L117" s="139"/>
      <c r="M117" s="140"/>
      <c r="N117" s="407"/>
      <c r="O117" s="141" t="str">
        <f>IF(OR(AE115="",AE116=""),"",IF(L117&gt;0,ROUND(IF(M117&gt;0,M117,IF(M115&gt;0,ROUND((M115*AE117)/AE115,IF(N115=0,2,IF(N115=0.1,1,0))),IF(M116&gt;0,ROUND((M116*AE117)/AE116,IF(N115=0,2,IF(N115=0.1,1,0))),IF(M117&gt;0,M117,0)))),2),""))</f>
        <v/>
      </c>
      <c r="P117" s="142" t="str">
        <f>IF(I116="Lay",O116*(L116/(L116-1))-O116,IF(I115="Lay",O115*(L115/(L115-1))-O115,IF(OR(L117="",O117=""),"",IF($C117="1/2W",O117/2+O117/2*L117,IF($C117="1/2L",O117/2,(O117*L117-O117)*(1-_xlfn.XLOOKUP(K117,'Fevereiro 2023 - Valor Real'!A3:A15,'Fevereiro 2023 - Valor Real'!C3:C15,0))+O117)))))</f>
        <v/>
      </c>
      <c r="Q117" s="143" t="str">
        <f>IF(K117="","",IF(_xlfn.XLOOKUP(K117,K$8:K110,$DJ$8:DJ110,0,,-1)=DJ117,_xlfn.XLOOKUP(K117,K$8:K110,Q$8:Q110,1,,-1)+1,1))</f>
        <v/>
      </c>
      <c r="R117" s="144" t="str">
        <f>IF(K117="","",_xlfn.XLOOKUP(K117,K$8:K110,R$8:R110,0,,-1)+IF($C117=" ",1,0))</f>
        <v/>
      </c>
      <c r="S117" s="404"/>
      <c r="T117" s="378"/>
      <c r="U117" s="378"/>
      <c r="V117" s="404"/>
      <c r="W117" s="378"/>
      <c r="X117" s="453"/>
      <c r="Y117" s="383"/>
      <c r="Z117" s="384"/>
      <c r="AA117" s="384"/>
      <c r="AB117" s="384"/>
      <c r="AC117" s="384"/>
      <c r="AD117" s="145">
        <f>((L116/(L116-1)-1))</f>
        <v>0.66666666666666674</v>
      </c>
      <c r="AE117" s="146" t="str">
        <f>IF(L117="","",(SUM(((L115-1)*(1-_xlfn.XLOOKUP(K115,'Fevereiro 2023 - Valor Real'!A3:A15,'Fevereiro 2023 - Valor Real'!C3:C15,0))+1),((L116-1)*(1-_xlfn.XLOOKUP(K116,'Fevereiro 2023 - Valor Real'!A3:A15,'Fevereiro 2023 - Valor Real'!C3:C15,0))+1),((L117-1)*(1-_xlfn.XLOOKUP(K117,'Fevereiro 2023 - Valor Real'!A3:A15,'Fevereiro 2023 - Valor Real'!C3:C15,0))+1))/((L117-1)*(1-_xlfn.XLOOKUP(K117,'Fevereiro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Real'!C3:C15,0))+1))/((L115-1)*(1-_xlfn.XLOOKUP(K115,'Fevereiro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Real'!C3:C15,0))+1))/((L116-1)*(1-_xlfn.XLOOKUP(K116,'Fevereiro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Real'!C3:C15,0))+1))/((L117-1)*(1-_xlfn.XLOOKUP(K117,'Fevereiro 2023 - Valor Real'!A3:A15,'Fevereiro 2023 - Valor Real'!C3:C15,0))+1)))</f>
        <v/>
      </c>
      <c r="AF117" s="105">
        <f t="shared" si="229"/>
        <v>0</v>
      </c>
      <c r="AG117" s="106">
        <f t="shared" si="229"/>
        <v>0</v>
      </c>
      <c r="AH117" s="106">
        <f t="shared" si="229"/>
        <v>0</v>
      </c>
      <c r="AI117" s="106">
        <f t="shared" si="229"/>
        <v>0</v>
      </c>
      <c r="AJ117" s="106">
        <f t="shared" si="229"/>
        <v>0</v>
      </c>
      <c r="AK117" s="106">
        <f t="shared" si="229"/>
        <v>0</v>
      </c>
      <c r="AL117" s="106">
        <f t="shared" si="229"/>
        <v>0</v>
      </c>
      <c r="AM117" s="106">
        <f t="shared" si="229"/>
        <v>0</v>
      </c>
      <c r="AN117" s="106">
        <f t="shared" si="229"/>
        <v>0</v>
      </c>
      <c r="AO117" s="106">
        <f t="shared" si="229"/>
        <v>0</v>
      </c>
      <c r="AP117" s="106">
        <f t="shared" si="229"/>
        <v>0</v>
      </c>
      <c r="AQ117" s="106">
        <f t="shared" si="229"/>
        <v>0</v>
      </c>
      <c r="AR117" s="107">
        <f t="shared" si="229"/>
        <v>0</v>
      </c>
      <c r="AS117" s="105">
        <f>IF(AND($B115=" ",$K117=AS$3),$O117,0)</f>
        <v>0</v>
      </c>
      <c r="AT117" s="106">
        <f>IF(AND($B115=" ",K117=AT$3),$O117,0)</f>
        <v>0</v>
      </c>
      <c r="AU117" s="106">
        <f t="shared" ref="AU117:BE117" si="235">IF(AND($B115=" ",$K117=AU$3),$O117,0)</f>
        <v>0</v>
      </c>
      <c r="AV117" s="106">
        <f t="shared" si="235"/>
        <v>0</v>
      </c>
      <c r="AW117" s="106">
        <f t="shared" si="235"/>
        <v>0</v>
      </c>
      <c r="AX117" s="106">
        <f t="shared" si="235"/>
        <v>0</v>
      </c>
      <c r="AY117" s="108">
        <f t="shared" si="235"/>
        <v>0</v>
      </c>
      <c r="AZ117" s="109">
        <f t="shared" si="235"/>
        <v>0</v>
      </c>
      <c r="BA117" s="109">
        <f t="shared" si="235"/>
        <v>0</v>
      </c>
      <c r="BB117" s="109">
        <f t="shared" si="235"/>
        <v>0</v>
      </c>
      <c r="BC117" s="110">
        <f t="shared" si="235"/>
        <v>0</v>
      </c>
      <c r="BD117" s="106">
        <f t="shared" si="235"/>
        <v>0</v>
      </c>
      <c r="BE117" s="107">
        <f t="shared" si="235"/>
        <v>0</v>
      </c>
      <c r="BF117" s="105">
        <f t="shared" si="231"/>
        <v>0</v>
      </c>
      <c r="BG117" s="106">
        <f t="shared" si="231"/>
        <v>0</v>
      </c>
      <c r="BH117" s="106">
        <f t="shared" si="231"/>
        <v>0</v>
      </c>
      <c r="BI117" s="106">
        <f t="shared" si="231"/>
        <v>0</v>
      </c>
      <c r="BJ117" s="106">
        <f t="shared" si="231"/>
        <v>0</v>
      </c>
      <c r="BK117" s="106">
        <f t="shared" si="231"/>
        <v>0</v>
      </c>
      <c r="BL117" s="106">
        <f t="shared" si="231"/>
        <v>0</v>
      </c>
      <c r="BM117" s="108">
        <f t="shared" si="231"/>
        <v>0</v>
      </c>
      <c r="BN117" s="109">
        <f t="shared" si="231"/>
        <v>0</v>
      </c>
      <c r="BO117" s="109">
        <f t="shared" si="231"/>
        <v>0</v>
      </c>
      <c r="BP117" s="109">
        <f t="shared" si="231"/>
        <v>0</v>
      </c>
      <c r="BQ117" s="110">
        <f t="shared" si="231"/>
        <v>0</v>
      </c>
      <c r="BR117" s="107">
        <f t="shared" si="231"/>
        <v>0</v>
      </c>
      <c r="BS117" s="464"/>
      <c r="BT117" s="461"/>
      <c r="BU117" s="392"/>
      <c r="BV117" s="461"/>
      <c r="BW117" s="392"/>
      <c r="BX117" s="392"/>
      <c r="BY117" s="392"/>
      <c r="BZ117" s="461"/>
      <c r="CA117" s="392"/>
      <c r="CB117" s="392"/>
      <c r="CC117" s="392"/>
      <c r="CD117" s="401"/>
      <c r="CE117" s="409"/>
      <c r="CF117" s="133">
        <f t="shared" si="131"/>
        <v>0</v>
      </c>
      <c r="CG117" s="134">
        <f t="shared" si="132"/>
        <v>0</v>
      </c>
      <c r="CH117" s="134">
        <f t="shared" si="133"/>
        <v>0</v>
      </c>
      <c r="CI117" s="134">
        <f t="shared" si="134"/>
        <v>0</v>
      </c>
      <c r="CJ117" s="134">
        <f t="shared" si="135"/>
        <v>0</v>
      </c>
      <c r="CK117" s="134">
        <f t="shared" si="136"/>
        <v>0</v>
      </c>
      <c r="CL117" s="134">
        <f t="shared" si="137"/>
        <v>0</v>
      </c>
      <c r="CM117" s="134">
        <f t="shared" si="138"/>
        <v>0</v>
      </c>
      <c r="CN117" s="134">
        <f t="shared" si="139"/>
        <v>0</v>
      </c>
      <c r="CO117" s="134">
        <f t="shared" si="140"/>
        <v>0</v>
      </c>
      <c r="CP117" s="134">
        <f t="shared" si="141"/>
        <v>0</v>
      </c>
      <c r="CQ117" s="134">
        <f t="shared" si="142"/>
        <v>0</v>
      </c>
      <c r="CR117" s="134">
        <f t="shared" si="143"/>
        <v>0</v>
      </c>
      <c r="CS117" s="134">
        <f t="shared" si="144"/>
        <v>0</v>
      </c>
      <c r="CT117" s="115">
        <f t="shared" si="145"/>
        <v>0</v>
      </c>
      <c r="CU117" s="116">
        <f t="shared" si="146"/>
        <v>0</v>
      </c>
      <c r="CV117" s="116">
        <f t="shared" si="147"/>
        <v>0</v>
      </c>
      <c r="CW117" s="116">
        <f t="shared" si="148"/>
        <v>0</v>
      </c>
      <c r="CX117" s="116">
        <f t="shared" si="149"/>
        <v>0</v>
      </c>
      <c r="CY117" s="116">
        <f t="shared" si="150"/>
        <v>0</v>
      </c>
      <c r="CZ117" s="116">
        <f t="shared" si="151"/>
        <v>0</v>
      </c>
      <c r="DA117" s="116">
        <f t="shared" si="152"/>
        <v>0</v>
      </c>
      <c r="DB117" s="116">
        <f t="shared" si="153"/>
        <v>0</v>
      </c>
      <c r="DC117" s="116">
        <f t="shared" si="154"/>
        <v>0</v>
      </c>
      <c r="DD117" s="116">
        <f t="shared" si="155"/>
        <v>0</v>
      </c>
      <c r="DE117" s="117">
        <f t="shared" si="156"/>
        <v>0</v>
      </c>
      <c r="DF117" s="118">
        <f t="shared" si="158"/>
        <v>11</v>
      </c>
      <c r="DG117" s="106">
        <f t="shared" si="159"/>
        <v>14.450000000000001</v>
      </c>
      <c r="DH117" s="116">
        <f t="shared" si="160"/>
        <v>0</v>
      </c>
      <c r="DI117" s="106">
        <f t="shared" si="161"/>
        <v>0</v>
      </c>
      <c r="DJ117" s="201" t="str">
        <f>IF($D115="","",$D115)</f>
        <v>2</v>
      </c>
      <c r="DK117" s="466"/>
    </row>
    <row r="118" spans="1:115" ht="14.5" customHeight="1" x14ac:dyDescent="0.2">
      <c r="A118" s="487">
        <f>$A115+1</f>
        <v>39</v>
      </c>
      <c r="B118" s="506" t="str">
        <f>IF(OR(C118="W",C119="W",C120="W",C118="1/2W",C119="1/2W",C120="1/2W",C118="1/2L",C119="1/2L",C120="1/2L"),"OK",IF(OR(C118="L",C119="L",C120="L"),"LOSS",IF(OR(C118="X",C119="X",C120="X"),"Anulado"," ")))</f>
        <v>OK</v>
      </c>
      <c r="C118" s="147" t="s">
        <v>54</v>
      </c>
      <c r="D118" s="494" t="str">
        <f>IF(G118="","",$D115)</f>
        <v>2</v>
      </c>
      <c r="E118" s="511" t="str">
        <f>IF(G118=""," ","– "&amp;COUNTIF(D$4:D120,$D118))</f>
        <v>– 22</v>
      </c>
      <c r="F118" s="510" t="str">
        <f ca="1">IF(G118="","",IF(OR(AND($C118&lt;&gt;" ",$C119=" "),AND($C119&lt;&gt;" ",$C118=" "),AND(L120&gt;0,OR(AND($C120&lt;&gt;" ",OR($C118=" ",$C119=" ")),AND($C120=" ",OR($C118&lt;&gt;" ",$C119&lt;&gt;" "))))),IF(SUM(F$9:F110)=0,1,LARGE(F$9:F110,1)+1),IF(MONTH(G118)=MONTH(TODAY()),IF(AND(DAY(G118)&lt;DAY(TODAY()),$B118=" "),IF(SUM(F$9:F110)=0,1,LARGE(F$9:F110,1)+1),IF($B118=" ",IF(AND(DAY(G118)=DAY(TODAY()),HOUR(G118)&lt;=HOUR(NOW())+1),IF(AND(HOUR(G118)+2&lt;=HOUR(NOW()),DAY(G118)&lt;=DAY(TODAY()),MINUTE(G118)&lt;=MINUTE(NOW())),IF(SUM(F$9:F110)=0,1,LARGE(F$9:F110,1)+1),IF(OR(MINUTE(G118)&lt;=MINUTE(NOW()),HOUR(G118)&lt;=HOUR(NOW())),"!!!","")),""),"")),"")))</f>
        <v/>
      </c>
      <c r="G118" s="508">
        <v>44994.614583333336</v>
      </c>
      <c r="H118" s="502" t="s">
        <v>91</v>
      </c>
      <c r="I118" s="148">
        <v>1</v>
      </c>
      <c r="J118" s="149"/>
      <c r="K118" s="150" t="s">
        <v>47</v>
      </c>
      <c r="L118" s="151">
        <v>3.9</v>
      </c>
      <c r="M118" s="152">
        <v>90.14</v>
      </c>
      <c r="N118" s="503">
        <v>1</v>
      </c>
      <c r="O118" s="153">
        <f>IF(OR(AE118="",AE119=""),"",ROUND(IF(L120&gt;0,IF(M118&gt;0,M118,IF(M119&gt;0,ROUND((M119*AE118)/AE119,IF(N118=0,2,IF(N118=0.1,1,0))),ROUND((M120*AE118)/AE120,IF(N118=0,2,IF(N118=0.1,1,0))))),IF(M118&gt;0,M118,ROUND((M119*AE118)/AE119,IF(N118=0,2,IF(N118=0.1,1,0))))),2))</f>
        <v>90.14</v>
      </c>
      <c r="P118" s="154">
        <f>IF(OR(L118="",O118=""),"",IF($C118="1/2W",O118/2+O118/2*L118,IF($C118="1/2L",O118/2,IF(I118="Lay",(O118*(L118/(L118-1))-O118)*(1-_xlfn.XLOOKUP(K118,'Fevereiro 2023 - Valor Real'!A3:A15,'Fevereiro 2023 - Valor Real'!C3:C15,0))+O118,(O118*L118-O118)*(1-_xlfn.XLOOKUP(K118,'Fevereiro 2023 - Valor Real'!A3:A15,'Fevereiro 2023 - Valor Real'!C3:C15,0))+O118))))</f>
        <v>351.54599999999999</v>
      </c>
      <c r="Q118" s="155">
        <f>IF(K118="","",IF(_xlfn.XLOOKUP(K118,K$9:K110,$DJ$9:DJ110,0,,-1)=DJ118,_xlfn.XLOOKUP(K118,K$9:K110,Q$9:Q110,1,,-1)+1,1))</f>
        <v>8</v>
      </c>
      <c r="R118" s="156">
        <f>IF(K118="","",_xlfn.XLOOKUP(K118,K$9:K110,R$9:R110,0,,-1)+IF($C118=" ",1,0))</f>
        <v>0</v>
      </c>
      <c r="S118" s="501">
        <f>IF($B118="Anulado",0,ROUND(IF(OR($B118="LOSS",$B118="OK"),IF(OR($C118="W",$C118="1/2W",$C118="1/2L"),P118-O118,IF($C118="L",-O118,0))+IF(OR($C119="W",$C119="1/2W",$C119="1/2L"),P119-O119,IF($C119="L",-O119,0))+IF(OR($C120="W",$C120="1/2W",$C120="1/2L"),P120-O120,IF($C120="L",-O120,0)),IF(AND(OR($C118="W",$C118="1/2W",$C118="1/2L"),C119="W"),P118+P119-SUM(O118:O120)+_xlfn.XLOOKUP("X",C118:C120,O118:O120,0),IF(AND(C118=TRUE,C120="W"),P118+P120-SUM(O118:O120),IF(AND(C119="W",C120="W"),P119+P120-SUM(O118:O120)+_xlfn.XLOOKUP("X",C118:C120,O118:O120,0),IF(L120&gt;0,IF(OR($C118="W",$C118="1/2W",$C118="1/2L"),P118-SUM(O118:O120)+_xlfn.XLOOKUP("X",C118:C120,O118:O120,0),IF(OR($C118="W",$C118="1/2W",$C118="1/2L"),P119-SUM(O118:O120)+_xlfn.XLOOKUP("X",C118:C120,O118:O120,0),IF(OR($C118="W",$C118="1/2W",$C118="1/2L"),P120-SUM(O118:O120)+_xlfn.XLOOKUP("X",C118:C120,O118:O120,0),IF(SUM(P118:P120)/3-SUM(O118:O120)+_xlfn.XLOOKUP("X",C118:C120,O118:O120,0)&gt;0,SUM(P118:P120)/3-SUM(O118:O120)+_xlfn.XLOOKUP("X",C118:C120,O118:O120,0),LARGE(P118:P120,1)-SUM(O118:O120))))),IF(OR($C118="W",$C118="1/2W",$C118="1/2L"),P118-SUM(O118:O119)+_xlfn.XLOOKUP("X",C118:C120,O118:O120,0),IF(OR($C118="W",$C118="1/2W",$C118="1/2L"),P119-SUM(O118:O119)+_xlfn.XLOOKUP("X",C118:C120,O118:O120,0),SUM(P118:P119)/2-SUM(O118:O119)+_xlfn.XLOOKUP("X",C118:C120,O118:O120,0)))))))),2))</f>
        <v>11.41</v>
      </c>
      <c r="T118" s="486">
        <f>IF(S118=0,0,S118/SUM(O118:O120))</f>
        <v>3.3545010877873815E-2</v>
      </c>
      <c r="U118" s="496">
        <f>IF($D118=$D115,IF(OR($B118="LOSS",$B118="OK",$B118="Anulada"),S118,0)+U115,IF(OR($B118="LOSS",$B118="OK",$B118="Anulada"),S118,0))</f>
        <v>69.44</v>
      </c>
      <c r="V118" s="496">
        <f>IF($D118="",0,IF($D118=$D115,IF($B118=" ",IF(I120="",IF(OR(AND(I118="DNB1",I119="DNB2"),AND(OR(I118="DNB1",I118="DNB2"),J119=0),AND(OR(I119="DNB1",I119="DNB2"),J118=0),AND(I118="DNB2",I119="DNB1"),AND(IF(J118=0,(J118+1)/ROUND(J118+1,0),J118/ROUND(J118,0))=1,IF(J119=0,(J119+1)/ROUND(IF(J119="",0,J119)+1,0),IF(J119="",0,J119)/ROUND(IF(J119="",1,J119),0))=1,OR(J118&lt;&gt;""),J119&lt;&gt;"")),0,IF(S118&lt;0,IF(I120="",SMALL(P118:P119,1)-SUM(O118:O119),0),SMALL(P118:P119,1)-SUM(O118:O119))),IF(S118&lt;0,IF(I120="",SMALL(P118:P120,1)-SUM(O118:O120),0),LARGE(P118:P120,1)-SUM(O118:O120))),S118)+V115,IF(I120="",IF(OR(AND(I118="DNB1",I119="DNB2"),AND(OR(I118="DNB1",I118="DNB2"),J119=0),AND(OR(I119="DNB1",I119="DNB2"),J118=0),AND(I118="DNB2",I119="DNB1"),AND(IF(J118=0,(J118+1)/ROUND(J118+1,0),J118/ROUND(J118,0))=1,IF(J119=0,(IF(J119="",0,J119)+1)/ROUND(IF(J119="",0,J119)+1,0),IF(J119="",0,J119)/ROUND(IF(J119="",0,J119)+1,0))=1,OR(J118&lt;&gt;""),J119&lt;&gt;"")),0,IF(S118&lt;0,IF(I120="",SMALL(P118:P119,1)-SUM(O118:O119),0),SMALL(P118:P120,1)-SUM(O118:O120))),IF(S118&lt;0,IF(I120="",SMALL(P118:P120,1)-SUM(O118:O120),0),LARGE(P118:P120,1)-SUM(O118:O120)))))</f>
        <v>69.38000000000001</v>
      </c>
      <c r="W118" s="496">
        <f>IF($D118=$D115,IF(S118&lt;0,IF(I120="",S118,0),S118)+W115,S118)</f>
        <v>69.44</v>
      </c>
      <c r="X118" s="505" t="str">
        <f>IF(OR(SUM(R118:R120)=0,V118=W118),ROUND(IF(W118=0,0,W118/Y118)*100,2)&amp;"%",ROUND(IF(V118=0,0,V118/Y118)*100,2)&amp;"% a "&amp;ROUND(IF(W118=0,0,W118/Y118)*100,2)&amp;"%")</f>
        <v>4,43%</v>
      </c>
      <c r="Y118" s="497">
        <f>IF($D118=$D115,Y115+SUM(O118:O120),SUM(O118:O120))</f>
        <v>1568.5700000000002</v>
      </c>
      <c r="Z118" s="496">
        <f>IF($B118=" ",SUM(O118:O120),0)+Z115</f>
        <v>0</v>
      </c>
      <c r="AA118" s="496">
        <f>IF(G118="","",IF($B118="Anulado",LARGE(P118:P120,1)-SUM(O118:O120)+AA115,AA115))</f>
        <v>0.45899999999999785</v>
      </c>
      <c r="AB118" s="496">
        <f>IF($D118="","",AB115+S118)</f>
        <v>98.089999999999975</v>
      </c>
      <c r="AC118" s="499">
        <f ca="1">IF($D118="","",IF($B118=" ",IF(DAY(G118)=DAY(TODAY()),1+AC115,0+AC115),0+AC115))</f>
        <v>0</v>
      </c>
      <c r="AD118" s="157">
        <f>(1-_xlfn.XLOOKUP(K116,'Fevereiro 2023 - Valor Real'!A3:A15,'Fevereiro 2023 - Valor Real'!C3:C15,0))+1</f>
        <v>2</v>
      </c>
      <c r="AE118" s="158">
        <f>IF(L118="","",IF(L120&gt;0,(SUM(((L118-1)*(1-_xlfn.XLOOKUP(K118,'Fevereiro 2023 - Valor Real'!A3:A15,'Fevereiro 2023 - Valor Real'!C3:C15,0))+1),((L119-1)*(1-_xlfn.XLOOKUP(K119,'Fevereiro 2023 - Valor Real'!A3:A15,'Fevereiro 2023 - Valor Real'!C3:C15,0))+1),((L120-1)*(1-_xlfn.XLOOKUP(K120,'Fevereiro 2023 - Valor Real'!A3:A15,'Fevereiro 2023 - Valor Real'!C3:C15,0))+1))/((L118-1)*(1-_xlfn.XLOOKUP(K118,'Fevereiro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Real'!C3:C15,0))+1))/((L118-1)*(1-_xlfn.XLOOKUP(K118,'Fevereiro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Real'!C3:C15,0))+1))/((L119-1)*(1-_xlfn.XLOOKUP(K119,'Fevereiro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Real'!C3:C15,0))+1))/((L120-1)*(1-_xlfn.XLOOKUP(K120,'Fevereiro 2023 - Valor Real'!A3:A15,'Fevereiro 2023 - Valor Real'!C3:C15,0))+1)),IF(I118="Lay",IF(I119="Lay",((L119/(L119-1)-1)*(1-_xlfn.XLOOKUP(K119,'Fevereiro 2023 - Valor Real'!A3:A15,'Fevereiro 2023 - Valor Real'!C3:C15,0))+1)/(((L119/(L119-1)-1)*(1-_xlfn.XLOOKUP(K119,'Fevereiro 2023 - Valor Real'!A3:A15,'Fevereiro 2023 - Valor Real'!C3:C15,0))+1)+((L118/(L118-1)-1)*(1-_xlfn.XLOOKUP(K118,'Fevereiro 2023 - Valor Real'!A3:A15,'Fevereiro 2023 - Valor Real'!C3:C15,0))+1)),((L119-1)*(1-_xlfn.XLOOKUP(K119,'Fevereiro 2023 - Valor Real'!A3:A15,'Fevereiro 2023 - Valor Real'!C3:C15,0))+1)/(((L119-1)*(1-_xlfn.XLOOKUP(K119,'Fevereiro 2023 - Valor Real'!A3:A15,'Fevereiro 2023 - Valor Real'!C3:C15,0))+1)+((L118/(L118-1)-1)*(1-_xlfn.XLOOKUP(K118,'Fevereiro 2023 - Valor Real'!A3:A15,'Fevereiro 2023 - Valor Real'!C3:C15,0))+1))),IF(I119="Lay",(((L119/(L119-1)-1)*(1-_xlfn.XLOOKUP(K119,'Fevereiro 2023 - Valor Real'!A3:A15,'Fevereiro 2023 - Valor Real'!C3:C15,0))+1))/(((L118-1)*(1-_xlfn.XLOOKUP(K118,'Fevereiro 2023 - Valor Real'!A3:A15,'Fevereiro 2023 - Valor Real'!C3:C15,0))+1)+((L119/(L119-1)-1)*(1-_xlfn.XLOOKUP(K119,'Fevereiro 2023 - Valor Real'!A3:A15,'Fevereiro 2023 - Valor Real'!C3:C15,0))+1)),((L119-1)*(1-_xlfn.XLOOKUP(K119,'Fevereiro 2023 - Valor Real'!A3:A15,'Fevereiro 2023 - Valor Real'!C3:C15,0))+1)/(((L119-1)*(1-_xlfn.XLOOKUP(K119,'Fevereiro 2023 - Valor Real'!A3:A15,'Fevereiro 2023 - Valor Real'!C3:C15,0))+1)+((L118-1)*(1-_xlfn.XLOOKUP(K118,'Fevereiro 2023 - Valor Real'!A3:A15,'Fevereiro 2023 - Valor Real'!C3:C15,0))+1))))))</f>
        <v>0.2655367231638418</v>
      </c>
      <c r="AF118" s="66">
        <f t="shared" si="229"/>
        <v>0</v>
      </c>
      <c r="AG118" s="67">
        <f t="shared" si="229"/>
        <v>0</v>
      </c>
      <c r="AH118" s="67">
        <f t="shared" si="229"/>
        <v>0</v>
      </c>
      <c r="AI118" s="67">
        <f t="shared" si="229"/>
        <v>0</v>
      </c>
      <c r="AJ118" s="67">
        <f t="shared" si="229"/>
        <v>0</v>
      </c>
      <c r="AK118" s="67">
        <f t="shared" si="229"/>
        <v>0</v>
      </c>
      <c r="AL118" s="67">
        <f t="shared" si="229"/>
        <v>0</v>
      </c>
      <c r="AM118" s="67">
        <f t="shared" si="229"/>
        <v>0</v>
      </c>
      <c r="AN118" s="67">
        <f t="shared" si="229"/>
        <v>0</v>
      </c>
      <c r="AO118" s="67">
        <f t="shared" si="229"/>
        <v>0</v>
      </c>
      <c r="AP118" s="67">
        <f t="shared" si="229"/>
        <v>0</v>
      </c>
      <c r="AQ118" s="67">
        <f t="shared" si="229"/>
        <v>261.41000000000003</v>
      </c>
      <c r="AR118" s="68">
        <f t="shared" si="229"/>
        <v>0</v>
      </c>
      <c r="AS118" s="66">
        <f t="shared" ref="AS118:BE118" si="236">IF(AND($B118=" ",$K118=AS$3),$O118,0)</f>
        <v>0</v>
      </c>
      <c r="AT118" s="67">
        <f t="shared" si="236"/>
        <v>0</v>
      </c>
      <c r="AU118" s="67">
        <f t="shared" si="236"/>
        <v>0</v>
      </c>
      <c r="AV118" s="67">
        <f t="shared" si="236"/>
        <v>0</v>
      </c>
      <c r="AW118" s="67">
        <f t="shared" si="236"/>
        <v>0</v>
      </c>
      <c r="AX118" s="67">
        <f t="shared" si="236"/>
        <v>0</v>
      </c>
      <c r="AY118" s="69">
        <f t="shared" si="236"/>
        <v>0</v>
      </c>
      <c r="AZ118" s="70">
        <f t="shared" si="236"/>
        <v>0</v>
      </c>
      <c r="BA118" s="70">
        <f t="shared" si="236"/>
        <v>0</v>
      </c>
      <c r="BB118" s="70">
        <f t="shared" si="236"/>
        <v>0</v>
      </c>
      <c r="BC118" s="71">
        <f t="shared" si="236"/>
        <v>0</v>
      </c>
      <c r="BD118" s="67">
        <f t="shared" si="236"/>
        <v>0</v>
      </c>
      <c r="BE118" s="68">
        <f t="shared" si="236"/>
        <v>0</v>
      </c>
      <c r="BF118" s="66">
        <f t="shared" si="231"/>
        <v>0</v>
      </c>
      <c r="BG118" s="67">
        <f t="shared" si="231"/>
        <v>0</v>
      </c>
      <c r="BH118" s="67">
        <f t="shared" si="231"/>
        <v>0</v>
      </c>
      <c r="BI118" s="67">
        <f t="shared" si="231"/>
        <v>0</v>
      </c>
      <c r="BJ118" s="67">
        <f t="shared" si="231"/>
        <v>0</v>
      </c>
      <c r="BK118" s="67">
        <f t="shared" si="231"/>
        <v>0</v>
      </c>
      <c r="BL118" s="67">
        <f t="shared" si="231"/>
        <v>0</v>
      </c>
      <c r="BM118" s="69">
        <f t="shared" si="231"/>
        <v>0</v>
      </c>
      <c r="BN118" s="70">
        <f t="shared" si="231"/>
        <v>0</v>
      </c>
      <c r="BO118" s="70">
        <f t="shared" si="231"/>
        <v>0</v>
      </c>
      <c r="BP118" s="70">
        <f t="shared" si="231"/>
        <v>0</v>
      </c>
      <c r="BQ118" s="71">
        <f t="shared" si="231"/>
        <v>90.14</v>
      </c>
      <c r="BR118" s="68">
        <f t="shared" si="231"/>
        <v>0</v>
      </c>
      <c r="BS118" s="490">
        <f>IF($B118="LOSS",IF(AND($K118=BS$3,$C118="L"),-$O118,0)+IF(AND($K119=BS$3,$C119="L"),-$O119,0)+IF(AND($K120=BS$3,$C120="L"),-$O120,0),IF(OR(AND($K118=BS$3,OR($C118="W",$C118="1/2W")),AND($K119=BS$3,OR($C119="W",$C119="1/2W")),AND($K120=BS$3,OR($C120="W",$C120="1/2W"))),$S118,0))</f>
        <v>0</v>
      </c>
      <c r="BT118" s="498">
        <f>IF($B118="LOSS",IF(AND($K118=BT$3,$C118="L"),-$O118,0)+IF(AND($K119=BT$3,$C119="L"),-$O119,0)+IF(AND($K119=BT$3,$C120="L"),-$O120,0),IF(OR(AND($K119=BT$3,OR($C118="W",$C118="1/2W")),AND($K119=BT$3,OR($C119="W",$C119="1/2W")),AND($K119=BT$3,OR($C120="W",$C120="1/2W"))),$S118,0))</f>
        <v>0</v>
      </c>
      <c r="BU118" s="488">
        <f>IF($B118="LOSS",IF(AND($K118=BU$3,$C118="L"),-$O118,0)+IF(AND($K119=BU$3,$C119="L"),-$O119,0)+IF(AND($K119=BU$3,$C120="L"),-$O120,0),IF(OR(AND($K119=BU$3,OR($C118="W",$C118="1/2W")),AND($K119=BU$3,OR($C119="W",$C119="1/2W")),AND($K119=BU$3,OR($C120="W",$C120="1/2W"))),$S118,0))</f>
        <v>0</v>
      </c>
      <c r="BV118" s="488">
        <f t="shared" ref="BV118:CE118" si="237">IF($B118="LOSS",IF(AND($K118=BV$3,$C118="L"),-$O118,0)+IF(AND($K119=BV$3,$C119="L"),-$O119,0)+IF(AND($K120=BV$3,$C120="L"),-$O120,0),IF(OR(AND($K118=BV$3,OR($C118="W",$C118="1/2W")),AND($K119=BV$3,OR($C119="W",$C119="1/2W")),AND($K120=BV$3,OR($C120="W",$C120="1/2W"))),$S118,0))</f>
        <v>0</v>
      </c>
      <c r="BW118" s="488">
        <f t="shared" si="237"/>
        <v>0</v>
      </c>
      <c r="BX118" s="488">
        <f t="shared" si="237"/>
        <v>0</v>
      </c>
      <c r="BY118" s="488">
        <f t="shared" si="237"/>
        <v>0</v>
      </c>
      <c r="BZ118" s="488">
        <f t="shared" si="237"/>
        <v>0</v>
      </c>
      <c r="CA118" s="488">
        <f t="shared" si="237"/>
        <v>0</v>
      </c>
      <c r="CB118" s="488">
        <f t="shared" si="237"/>
        <v>0</v>
      </c>
      <c r="CC118" s="488">
        <f t="shared" si="237"/>
        <v>0</v>
      </c>
      <c r="CD118" s="500">
        <f t="shared" si="237"/>
        <v>11.41</v>
      </c>
      <c r="CE118" s="504">
        <f t="shared" si="237"/>
        <v>0</v>
      </c>
      <c r="CF118" s="160">
        <f t="shared" si="131"/>
        <v>0</v>
      </c>
      <c r="CG118" s="161">
        <f t="shared" si="132"/>
        <v>0</v>
      </c>
      <c r="CH118" s="161">
        <f t="shared" si="133"/>
        <v>0</v>
      </c>
      <c r="CI118" s="161">
        <f t="shared" si="134"/>
        <v>0</v>
      </c>
      <c r="CJ118" s="161">
        <f t="shared" si="135"/>
        <v>0</v>
      </c>
      <c r="CK118" s="161">
        <f t="shared" si="136"/>
        <v>0</v>
      </c>
      <c r="CL118" s="161">
        <f t="shared" si="137"/>
        <v>0</v>
      </c>
      <c r="CM118" s="161">
        <f t="shared" si="138"/>
        <v>0</v>
      </c>
      <c r="CN118" s="161">
        <f t="shared" si="139"/>
        <v>0</v>
      </c>
      <c r="CO118" s="161">
        <f t="shared" si="140"/>
        <v>0</v>
      </c>
      <c r="CP118" s="161">
        <f t="shared" si="141"/>
        <v>0</v>
      </c>
      <c r="CQ118" s="161">
        <f t="shared" si="142"/>
        <v>0</v>
      </c>
      <c r="CR118" s="161">
        <f t="shared" si="143"/>
        <v>0</v>
      </c>
      <c r="CS118" s="161">
        <f t="shared" si="144"/>
        <v>0</v>
      </c>
      <c r="CT118" s="75">
        <f t="shared" si="145"/>
        <v>0</v>
      </c>
      <c r="CU118" s="76">
        <f t="shared" si="146"/>
        <v>0</v>
      </c>
      <c r="CV118" s="76">
        <f t="shared" si="147"/>
        <v>0</v>
      </c>
      <c r="CW118" s="76">
        <f t="shared" si="148"/>
        <v>0</v>
      </c>
      <c r="CX118" s="76">
        <f t="shared" si="149"/>
        <v>0</v>
      </c>
      <c r="CY118" s="76">
        <f t="shared" si="150"/>
        <v>0</v>
      </c>
      <c r="CZ118" s="76">
        <f t="shared" si="151"/>
        <v>0</v>
      </c>
      <c r="DA118" s="76">
        <f t="shared" si="152"/>
        <v>0</v>
      </c>
      <c r="DB118" s="76">
        <f t="shared" si="153"/>
        <v>1</v>
      </c>
      <c r="DC118" s="76">
        <f t="shared" si="154"/>
        <v>0</v>
      </c>
      <c r="DD118" s="76">
        <f t="shared" si="155"/>
        <v>0</v>
      </c>
      <c r="DE118" s="77">
        <f t="shared" si="156"/>
        <v>0</v>
      </c>
      <c r="DF118" s="73">
        <f t="shared" si="158"/>
        <v>11</v>
      </c>
      <c r="DG118" s="67">
        <f t="shared" si="159"/>
        <v>14.450000000000001</v>
      </c>
      <c r="DH118" s="76">
        <f t="shared" si="160"/>
        <v>1</v>
      </c>
      <c r="DI118" s="67">
        <f t="shared" si="161"/>
        <v>3.9</v>
      </c>
      <c r="DJ118" s="202" t="str">
        <f>IF($D118="","",$D118)</f>
        <v>2</v>
      </c>
      <c r="DK118" s="492">
        <f>IF(AND($B118=" ",$D118&lt;&gt;""),1,0)</f>
        <v>0</v>
      </c>
    </row>
    <row r="119" spans="1:115" ht="14.5" customHeight="1" x14ac:dyDescent="0.2">
      <c r="A119" s="389"/>
      <c r="B119" s="456"/>
      <c r="C119" s="53" t="s">
        <v>55</v>
      </c>
      <c r="D119" s="374"/>
      <c r="E119" s="386"/>
      <c r="F119" s="377"/>
      <c r="G119" s="508"/>
      <c r="H119" s="476"/>
      <c r="I119" s="162">
        <v>2</v>
      </c>
      <c r="J119" s="163" t="str">
        <f>IF(OR(I118="TO",I118="TU",I118="TO1",I118="TU1",I118="TO2",I118="TU2"),J118,IF(OR(I118="AH1",I118="AH2"),IF(OR(I119="AH1",I119="AH2"),-J118,IF(OR(I119="EH1",I119="EH2"),-J118+0.5,"")),IF(OR(I118="EH1",I118="EH2"),IF(OR(I119="AH1",I119="AH2"),-J118+0.5,IF(OR(I119="EH1",I119="EH2"),-J118+1,"")),IF(AND(OR(I118="DNB1",I118="DNB2"),OR(I119="AH1",I119="AH2")),0,IF(AND(I118="Not ScoreBoth",OR(I119="TO1",I119="TO2")),0.5,"")))))</f>
        <v/>
      </c>
      <c r="K119" s="57" t="s">
        <v>40</v>
      </c>
      <c r="L119" s="164">
        <v>1.41</v>
      </c>
      <c r="M119" s="165">
        <v>250</v>
      </c>
      <c r="N119" s="406"/>
      <c r="O119" s="60">
        <f>IF(OR(AE118="",AE119=""),"",ROUND(IF(L120&gt;0,IF(M119&gt;0,M119,IF(M118&gt;0,IF(N118=TRUE,ROUND((M118*AE119)/AE118,0),(M118*AE119)/AE118),IF(M119&gt;0,ROUND(M119,IF(N118=0,2,IF(N118=0.1,1,0))),IF(M120&gt;0,ROUND(O120*AE119/AE120,IF(N118=0,2,IF(N118=0.1,1,0))),0)))),IF(M119&gt;0,M119,ROUND((M118*AE119)/AE118,IF(N118=0,2,IF(N118=0.1,1,0))))),2))</f>
        <v>250</v>
      </c>
      <c r="P119" s="61">
        <f>IF(OR(L119="",O119=""),"",IF($C119="1/2W",O119/2+O119/2*L119,IF($C119="1/2L",O119/2,IF(I119="Lay",((O119*(L119/(L119-1)))-O119)*(1-_xlfn.XLOOKUP(K119,'Fevereiro 2023 - Valor Real'!A3:A15,'Fevereiro 2023 - Valor Real'!C3:C15,0))+O119,(O119*L119-O119)*(1-_xlfn.XLOOKUP(K119,'Fevereiro 2023 - Valor Real'!A3:A15,'Fevereiro 2023 - Valor Real'!C3:C15,0))+O119))))</f>
        <v>352.5</v>
      </c>
      <c r="Q119" s="166">
        <f>IF(K119="","",IF(_xlfn.XLOOKUP(K119,K$10:K110,$DJ$10:DJ110,0,,-1)=DJ119,_xlfn.XLOOKUP(K119,K$10:K110,Q$10:Q110,1,,-1)+1,1))</f>
        <v>8</v>
      </c>
      <c r="R119" s="167">
        <f>IF(K119="","",_xlfn.XLOOKUP(K119,K$10:K110,R$10:R110,0,,-1)+IF($C119=" ",1,0))</f>
        <v>0</v>
      </c>
      <c r="S119" s="403"/>
      <c r="T119" s="380"/>
      <c r="U119" s="380"/>
      <c r="V119" s="481"/>
      <c r="W119" s="380"/>
      <c r="X119" s="452"/>
      <c r="Y119" s="383"/>
      <c r="Z119" s="384"/>
      <c r="AA119" s="384"/>
      <c r="AB119" s="384"/>
      <c r="AC119" s="384"/>
      <c r="AD119" s="64"/>
      <c r="AE119" s="65">
        <f>IF(L119="","",IF(L120&gt;0,(SUM(((L118-1)*(1-_xlfn.XLOOKUP(K118,'Fevereiro 2023 - Valor Real'!A3:A15,'Fevereiro 2023 - Valor Real'!C3:C15,0))+1),((L119-1)*(1-_xlfn.XLOOKUP(K119,'Fevereiro 2023 - Valor Real'!A3:A15,'Fevereiro 2023 - Valor Real'!C3:C15,0))+1),((L120-1)*(1-_xlfn.XLOOKUP(K120,'Fevereiro 2023 - Valor Real'!A3:A15,'Fevereiro 2023 - Valor Real'!C3:C15,0))+1))/((L119-1)*(1-_xlfn.XLOOKUP(K119,'Fevereiro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Real'!C3:C15,0))+1))/((L118-1)*(1-_xlfn.XLOOKUP(K118,'Fevereiro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Real'!C3:C15,0))+1))/((L119-1)*(1-_xlfn.XLOOKUP(K119,'Fevereiro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Real'!C3:C15,0))+1))/((L120-1)*(1-_xlfn.XLOOKUP(K120,'Fevereiro 2023 - Valor Real'!A3:A15,'Fevereiro 2023 - Valor Real'!C3:C15,0))+1)),IF(I119="Lay",IF(I118="Lay",((L118/(L118-1)-1)*(1-_xlfn.XLOOKUP(K118,'Fevereiro 2023 - Valor Real'!A3:A15,'Fevereiro 2023 - Valor Real'!C3:C15,0))+1)/(((L118/(L118-1)-1)*(1-_xlfn.XLOOKUP(K118,'Fevereiro 2023 - Valor Real'!A3:A15,'Fevereiro 2023 - Valor Real'!C3:C15,0))+1)+((L119/(L119-1)-1)*(1-_xlfn.XLOOKUP(K119,'Fevereiro 2023 - Valor Real'!A3:A15,'Fevereiro 2023 - Valor Real'!C3:C15,0))+1)),((L118-1)*(1-_xlfn.XLOOKUP(K118,'Fevereiro 2023 - Valor Real'!A3:A15,'Fevereiro 2023 - Valor Real'!C3:C15,0))+1)/(((L118-1)*(1-_xlfn.XLOOKUP(K118,'Fevereiro 2023 - Valor Real'!A3:A15,'Fevereiro 2023 - Valor Real'!C3:C15,0))+1)+((L119/(L119-1)-1)*(1-_xlfn.XLOOKUP(K119,'Fevereiro 2023 - Valor Real'!A3:A15,'Fevereiro 2023 - Valor Real'!C3:C15,0))+1))),IF(I118="Lay",((L118/(L118-1)-1)*(1-_xlfn.XLOOKUP(K118,'Fevereiro 2023 - Valor Real'!A3:A15,'Fevereiro 2023 - Valor Real'!C3:C15,0))+1)/((((L118/(L118-1)-1)*(1-_xlfn.XLOOKUP(K118,'Fevereiro 2023 - Valor Real'!A3:A15,'Fevereiro 2023 - Valor Real'!C3:C15,0))+1))+((L119-1)*(1-_xlfn.XLOOKUP(K119,'Fevereiro 2023 - Valor Real'!A3:A15,'Fevereiro 2023 - Valor Real'!C3:C15,0))+1)),((L118-1)*(1-_xlfn.XLOOKUP(K118,'Fevereiro 2023 - Valor Real'!A3:A15,'Fevereiro 2023 - Valor Real'!C3:C15,0))+1)/(((L118-1)*(1-_xlfn.XLOOKUP(K118,'Fevereiro 2023 - Valor Real'!A3:A15,'Fevereiro 2023 - Valor Real'!C3:C15,0))+1)+((L119-1)*(1-_xlfn.XLOOKUP(K119,'Fevereiro 2023 - Valor Real'!A3:A15,'Fevereiro 2023 - Valor Real'!C3:C15,0))+1))))))</f>
        <v>0.7344632768361582</v>
      </c>
      <c r="AF119" s="66">
        <f t="shared" si="229"/>
        <v>0</v>
      </c>
      <c r="AG119" s="67">
        <f t="shared" si="229"/>
        <v>0</v>
      </c>
      <c r="AH119" s="67">
        <f t="shared" si="229"/>
        <v>0</v>
      </c>
      <c r="AI119" s="67">
        <f t="shared" si="229"/>
        <v>0</v>
      </c>
      <c r="AJ119" s="67">
        <f t="shared" si="229"/>
        <v>-250</v>
      </c>
      <c r="AK119" s="67">
        <f t="shared" si="229"/>
        <v>0</v>
      </c>
      <c r="AL119" s="67">
        <f t="shared" si="229"/>
        <v>0</v>
      </c>
      <c r="AM119" s="67">
        <f t="shared" si="229"/>
        <v>0</v>
      </c>
      <c r="AN119" s="67">
        <f t="shared" si="229"/>
        <v>0</v>
      </c>
      <c r="AO119" s="67">
        <f t="shared" si="229"/>
        <v>0</v>
      </c>
      <c r="AP119" s="67">
        <f t="shared" si="229"/>
        <v>0</v>
      </c>
      <c r="AQ119" s="67">
        <f t="shared" si="229"/>
        <v>0</v>
      </c>
      <c r="AR119" s="68">
        <f t="shared" si="229"/>
        <v>0</v>
      </c>
      <c r="AS119" s="66">
        <f>IF(AND($B118=" ",$K119=AS$3),$O119,0)</f>
        <v>0</v>
      </c>
      <c r="AT119" s="67">
        <f>IF(AND($B118=" ",K119=AT$3),$O119,0)</f>
        <v>0</v>
      </c>
      <c r="AU119" s="67">
        <f t="shared" ref="AU119:BE119" si="238">IF(AND($B118=" ",$K119=AU$3),$O119,0)</f>
        <v>0</v>
      </c>
      <c r="AV119" s="67">
        <f t="shared" si="238"/>
        <v>0</v>
      </c>
      <c r="AW119" s="67">
        <f t="shared" si="238"/>
        <v>0</v>
      </c>
      <c r="AX119" s="67">
        <f t="shared" si="238"/>
        <v>0</v>
      </c>
      <c r="AY119" s="69">
        <f t="shared" si="238"/>
        <v>0</v>
      </c>
      <c r="AZ119" s="70">
        <f t="shared" si="238"/>
        <v>0</v>
      </c>
      <c r="BA119" s="70">
        <f t="shared" si="238"/>
        <v>0</v>
      </c>
      <c r="BB119" s="70">
        <f t="shared" si="238"/>
        <v>0</v>
      </c>
      <c r="BC119" s="71">
        <f t="shared" si="238"/>
        <v>0</v>
      </c>
      <c r="BD119" s="67">
        <f t="shared" si="238"/>
        <v>0</v>
      </c>
      <c r="BE119" s="68">
        <f t="shared" si="238"/>
        <v>0</v>
      </c>
      <c r="BF119" s="66">
        <f t="shared" si="231"/>
        <v>0</v>
      </c>
      <c r="BG119" s="168">
        <f t="shared" si="231"/>
        <v>0</v>
      </c>
      <c r="BH119" s="67">
        <f t="shared" si="231"/>
        <v>0</v>
      </c>
      <c r="BI119" s="67">
        <f t="shared" si="231"/>
        <v>0</v>
      </c>
      <c r="BJ119" s="67">
        <f t="shared" si="231"/>
        <v>250</v>
      </c>
      <c r="BK119" s="67">
        <f t="shared" si="231"/>
        <v>0</v>
      </c>
      <c r="BL119" s="67">
        <f t="shared" si="231"/>
        <v>0</v>
      </c>
      <c r="BM119" s="69">
        <f t="shared" si="231"/>
        <v>0</v>
      </c>
      <c r="BN119" s="70">
        <f t="shared" si="231"/>
        <v>0</v>
      </c>
      <c r="BO119" s="70">
        <f t="shared" si="231"/>
        <v>0</v>
      </c>
      <c r="BP119" s="70">
        <f t="shared" si="231"/>
        <v>0</v>
      </c>
      <c r="BQ119" s="71">
        <f t="shared" si="231"/>
        <v>0</v>
      </c>
      <c r="BR119" s="68">
        <f t="shared" si="231"/>
        <v>0</v>
      </c>
      <c r="BS119" s="491"/>
      <c r="BT119" s="489"/>
      <c r="BU119" s="392"/>
      <c r="BV119" s="489"/>
      <c r="BW119" s="392"/>
      <c r="BX119" s="392"/>
      <c r="BY119" s="392"/>
      <c r="BZ119" s="489"/>
      <c r="CA119" s="392"/>
      <c r="CB119" s="392"/>
      <c r="CC119" s="392"/>
      <c r="CD119" s="401"/>
      <c r="CE119" s="409"/>
      <c r="CF119" s="169">
        <f t="shared" si="131"/>
        <v>0</v>
      </c>
      <c r="CG119" s="170">
        <f t="shared" si="132"/>
        <v>0</v>
      </c>
      <c r="CH119" s="170">
        <f t="shared" si="133"/>
        <v>0</v>
      </c>
      <c r="CI119" s="170">
        <f t="shared" si="134"/>
        <v>0</v>
      </c>
      <c r="CJ119" s="170">
        <f t="shared" si="135"/>
        <v>0</v>
      </c>
      <c r="CK119" s="170">
        <f t="shared" si="136"/>
        <v>0</v>
      </c>
      <c r="CL119" s="170">
        <f t="shared" si="137"/>
        <v>0</v>
      </c>
      <c r="CM119" s="170">
        <f t="shared" si="138"/>
        <v>0</v>
      </c>
      <c r="CN119" s="170">
        <f t="shared" si="139"/>
        <v>0</v>
      </c>
      <c r="CO119" s="170">
        <f t="shared" si="140"/>
        <v>1</v>
      </c>
      <c r="CP119" s="170">
        <f t="shared" si="141"/>
        <v>0</v>
      </c>
      <c r="CQ119" s="170">
        <f t="shared" si="142"/>
        <v>0</v>
      </c>
      <c r="CR119" s="170">
        <f t="shared" si="143"/>
        <v>0</v>
      </c>
      <c r="CS119" s="170">
        <f t="shared" si="144"/>
        <v>0</v>
      </c>
      <c r="CT119" s="75">
        <f t="shared" si="145"/>
        <v>0</v>
      </c>
      <c r="CU119" s="76">
        <f t="shared" si="146"/>
        <v>0</v>
      </c>
      <c r="CV119" s="76">
        <f t="shared" si="147"/>
        <v>0</v>
      </c>
      <c r="CW119" s="76">
        <f t="shared" si="148"/>
        <v>0</v>
      </c>
      <c r="CX119" s="76">
        <f t="shared" si="149"/>
        <v>0</v>
      </c>
      <c r="CY119" s="76">
        <f t="shared" si="150"/>
        <v>0</v>
      </c>
      <c r="CZ119" s="76">
        <f t="shared" si="151"/>
        <v>0</v>
      </c>
      <c r="DA119" s="76">
        <f t="shared" si="152"/>
        <v>0</v>
      </c>
      <c r="DB119" s="76">
        <f t="shared" si="153"/>
        <v>0</v>
      </c>
      <c r="DC119" s="76">
        <f t="shared" si="154"/>
        <v>0</v>
      </c>
      <c r="DD119" s="76">
        <f t="shared" si="155"/>
        <v>0</v>
      </c>
      <c r="DE119" s="77">
        <f t="shared" si="156"/>
        <v>0</v>
      </c>
      <c r="DF119" s="73">
        <f t="shared" si="158"/>
        <v>11</v>
      </c>
      <c r="DG119" s="67">
        <f t="shared" si="159"/>
        <v>14.450000000000001</v>
      </c>
      <c r="DH119" s="76">
        <f t="shared" si="160"/>
        <v>1</v>
      </c>
      <c r="DI119" s="67">
        <f t="shared" si="161"/>
        <v>3.9</v>
      </c>
      <c r="DJ119" s="202" t="str">
        <f>IF($D118="","",$D118)</f>
        <v>2</v>
      </c>
      <c r="DK119" s="493"/>
    </row>
    <row r="120" spans="1:115" ht="14.5" customHeight="1" x14ac:dyDescent="0.2">
      <c r="A120" s="390"/>
      <c r="B120" s="457"/>
      <c r="C120" s="79" t="s">
        <v>53</v>
      </c>
      <c r="D120" s="375"/>
      <c r="E120" s="387"/>
      <c r="F120" s="378"/>
      <c r="G120" s="508"/>
      <c r="H120" s="477"/>
      <c r="I120" s="171"/>
      <c r="J120" s="172"/>
      <c r="K120" s="81"/>
      <c r="L120" s="173"/>
      <c r="M120" s="174"/>
      <c r="N120" s="407"/>
      <c r="O120" s="86" t="str">
        <f>IF(OR(AE118="",AE119=""),"",IF(L120&gt;0,ROUND(IF(M120&gt;0,M120,IF(M118&gt;0,ROUND((M118*AE120)/AE118,IF(N118=0,2,IF(N118=0.1,1,0))),IF(M119&gt;0,ROUND((M119*AE120)/AE119,IF(N118=0,2,IF(N118=0.1,1,0))),IF(M120&gt;0,M120,0)))),2),""))</f>
        <v/>
      </c>
      <c r="P120" s="87" t="str">
        <f>IF(I119="Lay",O119*(L119/(L119-1))-O119,IF(I118="Lay",O118*(L118/(L118-1))-O118,IF(OR(L120="",O120=""),"",IF($C120="1/2W",O120/2+O120/2*L120,IF($C120="1/2L",O120/2,(O120*L120-O120)*(1-_xlfn.XLOOKUP(K120,'Fevereiro 2023 - Valor Real'!A3:A15,'Fevereiro 2023 - Valor Real'!C3:C15,0))+O120)))))</f>
        <v/>
      </c>
      <c r="Q120" s="54" t="str">
        <f>IF(K120="","",IF(_xlfn.XLOOKUP(K120,K$11:K110,$DJ$11:DJ110,0,,-1)=DJ120,_xlfn.XLOOKUP(K120,K$11:K110,Q$11:Q110,1,,-1)+1,1))</f>
        <v/>
      </c>
      <c r="R120" s="87" t="str">
        <f>IF(K120="","",_xlfn.XLOOKUP(K120,K$11:K110,R$11:R110,0,,-1)+IF($C120=" ",1,0))</f>
        <v/>
      </c>
      <c r="S120" s="404"/>
      <c r="T120" s="378"/>
      <c r="U120" s="378"/>
      <c r="V120" s="404"/>
      <c r="W120" s="378"/>
      <c r="X120" s="453"/>
      <c r="Y120" s="383"/>
      <c r="Z120" s="384"/>
      <c r="AA120" s="384"/>
      <c r="AB120" s="384"/>
      <c r="AC120" s="384"/>
      <c r="AD120" s="90"/>
      <c r="AE120" s="91" t="str">
        <f>IF(L120="","",(SUM(((L118-1)*(1-_xlfn.XLOOKUP(K118,'Fevereiro 2023 - Valor Real'!A3:A15,'Fevereiro 2023 - Valor Real'!C3:C15,0))+1),((L119-1)*(1-_xlfn.XLOOKUP(K119,'Fevereiro 2023 - Valor Real'!A3:A15,'Fevereiro 2023 - Valor Real'!C3:C15,0))+1),((L120-1)*(1-_xlfn.XLOOKUP(K120,'Fevereiro 2023 - Valor Real'!A3:A15,'Fevereiro 2023 - Valor Real'!C3:C15,0))+1))/((L120-1)*(1-_xlfn.XLOOKUP(K120,'Fevereiro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Real'!C3:C15,0))+1))/((L118-1)*(1-_xlfn.XLOOKUP(K118,'Fevereiro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Real'!C3:C15,0))+1))/((L119-1)*(1-_xlfn.XLOOKUP(K119,'Fevereiro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Real'!C3:C15,0))+1))/((L120-1)*(1-_xlfn.XLOOKUP(K120,'Fevereiro 2023 - Valor Real'!A3:A15,'Fevereiro 2023 - Valor Real'!C3:C15,0))+1)))</f>
        <v/>
      </c>
      <c r="AF120" s="66">
        <f t="shared" si="229"/>
        <v>0</v>
      </c>
      <c r="AG120" s="67">
        <f t="shared" si="229"/>
        <v>0</v>
      </c>
      <c r="AH120" s="67">
        <f t="shared" si="229"/>
        <v>0</v>
      </c>
      <c r="AI120" s="67">
        <f t="shared" si="229"/>
        <v>0</v>
      </c>
      <c r="AJ120" s="67">
        <f t="shared" si="229"/>
        <v>0</v>
      </c>
      <c r="AK120" s="67">
        <f t="shared" si="229"/>
        <v>0</v>
      </c>
      <c r="AL120" s="67">
        <f t="shared" si="229"/>
        <v>0</v>
      </c>
      <c r="AM120" s="67">
        <f t="shared" si="229"/>
        <v>0</v>
      </c>
      <c r="AN120" s="67">
        <f t="shared" si="229"/>
        <v>0</v>
      </c>
      <c r="AO120" s="67">
        <f t="shared" si="229"/>
        <v>0</v>
      </c>
      <c r="AP120" s="67">
        <f t="shared" si="229"/>
        <v>0</v>
      </c>
      <c r="AQ120" s="67">
        <f t="shared" si="229"/>
        <v>0</v>
      </c>
      <c r="AR120" s="68">
        <f t="shared" si="229"/>
        <v>0</v>
      </c>
      <c r="AS120" s="66">
        <f>IF(AND($B118=" ",$K120=AS$3),$O120,0)</f>
        <v>0</v>
      </c>
      <c r="AT120" s="67">
        <f>IF(AND($B118=" ",K120=AT$3),$O120,0)</f>
        <v>0</v>
      </c>
      <c r="AU120" s="67">
        <f t="shared" ref="AU120:BE120" si="239">IF(AND($B118=" ",$K120=AU$3),$O120,0)</f>
        <v>0</v>
      </c>
      <c r="AV120" s="67">
        <f t="shared" si="239"/>
        <v>0</v>
      </c>
      <c r="AW120" s="67">
        <f t="shared" si="239"/>
        <v>0</v>
      </c>
      <c r="AX120" s="67">
        <f t="shared" si="239"/>
        <v>0</v>
      </c>
      <c r="AY120" s="69">
        <f t="shared" si="239"/>
        <v>0</v>
      </c>
      <c r="AZ120" s="70">
        <f t="shared" si="239"/>
        <v>0</v>
      </c>
      <c r="BA120" s="70">
        <f t="shared" si="239"/>
        <v>0</v>
      </c>
      <c r="BB120" s="70">
        <f t="shared" si="239"/>
        <v>0</v>
      </c>
      <c r="BC120" s="71">
        <f t="shared" si="239"/>
        <v>0</v>
      </c>
      <c r="BD120" s="67">
        <f t="shared" si="239"/>
        <v>0</v>
      </c>
      <c r="BE120" s="68">
        <f t="shared" si="239"/>
        <v>0</v>
      </c>
      <c r="BF120" s="66">
        <f t="shared" si="231"/>
        <v>0</v>
      </c>
      <c r="BG120" s="168">
        <f t="shared" si="231"/>
        <v>0</v>
      </c>
      <c r="BH120" s="67">
        <f t="shared" si="231"/>
        <v>0</v>
      </c>
      <c r="BI120" s="67">
        <f t="shared" si="231"/>
        <v>0</v>
      </c>
      <c r="BJ120" s="67">
        <f t="shared" si="231"/>
        <v>0</v>
      </c>
      <c r="BK120" s="67">
        <f t="shared" si="231"/>
        <v>0</v>
      </c>
      <c r="BL120" s="67">
        <f t="shared" si="231"/>
        <v>0</v>
      </c>
      <c r="BM120" s="69">
        <f t="shared" si="231"/>
        <v>0</v>
      </c>
      <c r="BN120" s="70">
        <f t="shared" si="231"/>
        <v>0</v>
      </c>
      <c r="BO120" s="70">
        <f t="shared" si="231"/>
        <v>0</v>
      </c>
      <c r="BP120" s="70">
        <f t="shared" si="231"/>
        <v>0</v>
      </c>
      <c r="BQ120" s="71">
        <f t="shared" si="231"/>
        <v>0</v>
      </c>
      <c r="BR120" s="68">
        <f t="shared" si="231"/>
        <v>0</v>
      </c>
      <c r="BS120" s="491"/>
      <c r="BT120" s="489"/>
      <c r="BU120" s="392"/>
      <c r="BV120" s="489"/>
      <c r="BW120" s="392"/>
      <c r="BX120" s="392"/>
      <c r="BY120" s="392"/>
      <c r="BZ120" s="489"/>
      <c r="CA120" s="392"/>
      <c r="CB120" s="392"/>
      <c r="CC120" s="392"/>
      <c r="CD120" s="401"/>
      <c r="CE120" s="409"/>
      <c r="CF120" s="169">
        <f t="shared" si="131"/>
        <v>0</v>
      </c>
      <c r="CG120" s="170">
        <f t="shared" si="132"/>
        <v>0</v>
      </c>
      <c r="CH120" s="170">
        <f t="shared" si="133"/>
        <v>0</v>
      </c>
      <c r="CI120" s="170">
        <f t="shared" si="134"/>
        <v>0</v>
      </c>
      <c r="CJ120" s="170">
        <f t="shared" si="135"/>
        <v>0</v>
      </c>
      <c r="CK120" s="170">
        <f t="shared" si="136"/>
        <v>0</v>
      </c>
      <c r="CL120" s="170">
        <f t="shared" si="137"/>
        <v>0</v>
      </c>
      <c r="CM120" s="170">
        <f t="shared" si="138"/>
        <v>0</v>
      </c>
      <c r="CN120" s="170">
        <f t="shared" si="139"/>
        <v>0</v>
      </c>
      <c r="CO120" s="170">
        <f t="shared" si="140"/>
        <v>0</v>
      </c>
      <c r="CP120" s="170">
        <f t="shared" si="141"/>
        <v>0</v>
      </c>
      <c r="CQ120" s="170">
        <f t="shared" si="142"/>
        <v>0</v>
      </c>
      <c r="CR120" s="170">
        <f t="shared" si="143"/>
        <v>0</v>
      </c>
      <c r="CS120" s="170">
        <f t="shared" si="144"/>
        <v>0</v>
      </c>
      <c r="CT120" s="75">
        <f t="shared" si="145"/>
        <v>0</v>
      </c>
      <c r="CU120" s="76">
        <f t="shared" si="146"/>
        <v>0</v>
      </c>
      <c r="CV120" s="76">
        <f t="shared" si="147"/>
        <v>0</v>
      </c>
      <c r="CW120" s="76">
        <f t="shared" si="148"/>
        <v>0</v>
      </c>
      <c r="CX120" s="76">
        <f t="shared" si="149"/>
        <v>0</v>
      </c>
      <c r="CY120" s="76">
        <f t="shared" si="150"/>
        <v>0</v>
      </c>
      <c r="CZ120" s="76">
        <f t="shared" si="151"/>
        <v>0</v>
      </c>
      <c r="DA120" s="76">
        <f t="shared" si="152"/>
        <v>0</v>
      </c>
      <c r="DB120" s="76">
        <f t="shared" si="153"/>
        <v>0</v>
      </c>
      <c r="DC120" s="76">
        <f t="shared" si="154"/>
        <v>0</v>
      </c>
      <c r="DD120" s="76">
        <f t="shared" si="155"/>
        <v>0</v>
      </c>
      <c r="DE120" s="77">
        <f t="shared" si="156"/>
        <v>0</v>
      </c>
      <c r="DF120" s="73">
        <f t="shared" si="158"/>
        <v>11</v>
      </c>
      <c r="DG120" s="67">
        <f t="shared" si="159"/>
        <v>14.450000000000001</v>
      </c>
      <c r="DH120" s="76">
        <f t="shared" si="160"/>
        <v>1</v>
      </c>
      <c r="DI120" s="67">
        <f t="shared" si="161"/>
        <v>3.9</v>
      </c>
      <c r="DJ120" s="202" t="str">
        <f>IF($D118="","",$D118)</f>
        <v>2</v>
      </c>
      <c r="DK120" s="493"/>
    </row>
    <row r="121" spans="1:115" ht="14.5" customHeight="1" x14ac:dyDescent="0.2">
      <c r="A121" s="459">
        <f>$A118+1</f>
        <v>40</v>
      </c>
      <c r="B121" s="507" t="str">
        <f>IF(OR(C121="W",C122="W",C123="W",C121="1/2W",C122="1/2W",C123="1/2W",C121="1/2L",C122="1/2L",C123="1/2L"),"OK",IF(OR(C121="L",C122="L",C123="L"),"LOSS",IF(OR(C121="X",C122="X",C123="X"),"Anulado"," ")))</f>
        <v>OK</v>
      </c>
      <c r="C121" s="93" t="s">
        <v>54</v>
      </c>
      <c r="D121" s="468" t="str">
        <f>IF(G121="","",$D118)</f>
        <v>2</v>
      </c>
      <c r="E121" s="485" t="str">
        <f>IF(G121=""," ","– "&amp;COUNTIF(D$4:D123,$D121))</f>
        <v>– 23</v>
      </c>
      <c r="F121" s="509" t="str">
        <f ca="1">IF(G121="","",IF(OR(AND($C121&lt;&gt;" ",$C122=" "),AND($C122&lt;&gt;" ",$C121=" "),AND(L123&gt;0,OR(AND($C123&lt;&gt;" ",OR($C121=" ",$C122=" ")),AND($C123=" ",OR($C121&lt;&gt;" ",$C122&lt;&gt;" "))))),IF(SUM(F$6:F116)=0,1,LARGE(F$6:F116,1)+1),IF(MONTH(G121)=MONTH(TODAY()),IF(AND(DAY(G121)&lt;DAY(TODAY()),$B121=" "),IF(SUM(F$6:F116)=0,1,LARGE(F$6:F116,1)+1),IF($B121=" ",IF(AND(DAY(G121)=DAY(TODAY()),HOUR(G121)&lt;=HOUR(NOW())+1),IF(AND(HOUR(G121)+2&lt;=HOUR(NOW()),DAY(G121)&lt;=DAY(TODAY()),MINUTE(G121)&lt;=MINUTE(NOW())),IF(SUM(F$6:F116)=0,1,LARGE(F$6:F116,1)+1),IF(OR(MINUTE(G121)&lt;=MINUTE(NOW()),HOUR(G121)&lt;=HOUR(NOW())),"!!!","")),""),"")),"")))</f>
        <v/>
      </c>
      <c r="G121" s="482">
        <v>44989.604166666664</v>
      </c>
      <c r="H121" s="475" t="s">
        <v>92</v>
      </c>
      <c r="I121" s="94" t="s">
        <v>51</v>
      </c>
      <c r="J121" s="95">
        <v>6.5</v>
      </c>
      <c r="K121" s="96" t="s">
        <v>40</v>
      </c>
      <c r="L121" s="97">
        <v>1.87</v>
      </c>
      <c r="M121" s="98">
        <v>38.79</v>
      </c>
      <c r="N121" s="478">
        <v>0.1</v>
      </c>
      <c r="O121" s="99">
        <f>IF(OR(AE121="",AE122=""),"",ROUND(IF(L123&gt;0,IF(M121&gt;0,M121,IF(M122&gt;0,ROUND((M122*AE121)/AE122,IF(N121=0,2,IF(N121=0.1,1,0))),ROUND((M123*AE121)/AE123,IF(N121=0,2,IF(N121=0.1,1,0))))),IF(M121&gt;0,M121,ROUND((M122*AE121)/AE122,IF(N121=0,2,IF(N121=0.1,1,0))))),2))</f>
        <v>38.79</v>
      </c>
      <c r="P121" s="100">
        <f>IF(OR(L121="",O121=""),"",IF($C121="1/2W",O121/2+O121/2*L121,IF($C121="1/2L",O121/2,IF(I121="Lay",(O121*(L121/(L121-1))-O121)*(1-_xlfn.XLOOKUP(K121,'Fevereiro 2023 - Valor Real'!A3:A15,'Fevereiro 2023 - Valor Real'!C3:C15,0))+O121,(O121*L121-O121)*(1-_xlfn.XLOOKUP(K121,'Fevereiro 2023 - Valor Real'!A3:A15,'Fevereiro 2023 - Valor Real'!C3:C15,0))+O121))))</f>
        <v>72.537300000000002</v>
      </c>
      <c r="Q121" s="101">
        <f>IF(K121="","",IF(_xlfn.XLOOKUP(K121,K$6:K116,$DJ$6:DJ116,0,,-1)=DJ121,_xlfn.XLOOKUP(K121,K$6:K116,Q$6:Q116,1,,-1)+1,1))</f>
        <v>9</v>
      </c>
      <c r="R121" s="102">
        <f>IF(K121="","",_xlfn.XLOOKUP(K121,K$6:K116,R$6:R116,0,,-1)+IF($C121=" ",1,0))</f>
        <v>0</v>
      </c>
      <c r="S121" s="474">
        <f>IF($B121="Anulado",0,ROUND(IF(OR($B121="LOSS",$B121="OK"),IF(OR($C121="W",$C121="1/2W",$C121="1/2L"),P121-O121,IF($C121="L",-O121,0))+IF(OR($C122="W",$C122="1/2W",$C122="1/2L"),P122-O122,IF($C122="L",-O122,0))+IF(OR($C123="W",$C123="1/2W",$C123="1/2L"),P123-O123,IF($C123="L",-O123,0)),IF(AND(OR($C121="W",$C121="1/2W",$C121="1/2L"),C122="W"),P121+P122-SUM(O121:O123)+_xlfn.XLOOKUP("X",C121:C123,O121:O123,0),IF(AND(C121=TRUE,C123="W"),P121+P123-SUM(O121:O123),IF(AND(C122="W",C123="W"),P122+P123-SUM(O121:O123)+_xlfn.XLOOKUP("X",C121:C123,O121:O123,0),IF(L123&gt;0,IF(OR($C121="W",$C121="1/2W",$C121="1/2L"),P121-SUM(O121:O123)+_xlfn.XLOOKUP("X",C121:C123,O121:O123,0),IF(OR($C121="W",$C121="1/2W",$C121="1/2L"),P122-SUM(O121:O123)+_xlfn.XLOOKUP("X",C121:C123,O121:O123,0),IF(OR($C121="W",$C121="1/2W",$C121="1/2L"),P123-SUM(O121:O123)+_xlfn.XLOOKUP("X",C121:C123,O121:O123,0),IF(SUM(P121:P123)/3-SUM(O121:O123)+_xlfn.XLOOKUP("X",C121:C123,O121:O123,0)&gt;0,SUM(P121:P123)/3-SUM(O121:O123)+_xlfn.XLOOKUP("X",C121:C123,O121:O123,0),LARGE(P121:P123,1)-SUM(O121:O123))))),IF(OR($C121="W",$C121="1/2W",$C121="1/2L"),P121-SUM(O121:O122)+_xlfn.XLOOKUP("X",C121:C123,O121:O123,0),IF(OR($C121="W",$C121="1/2W",$C121="1/2L"),P122-SUM(O121:O122)+_xlfn.XLOOKUP("X",C121:C123,O121:O123,0),SUM(P121:P122)/2-SUM(O121:O122)+_xlfn.XLOOKUP("X",C121:C123,O121:O123,0)))))))),2))</f>
        <v>6.05</v>
      </c>
      <c r="T121" s="458">
        <f>IF(S121=0,0,S121/SUM(O121:O123))</f>
        <v>9.0991126485185744E-2</v>
      </c>
      <c r="U121" s="470">
        <f>IF($D121=$D118,IF(OR($B121="LOSS",$B121="OK",$B121="Anulada"),S121,0)+U118,IF(OR($B121="LOSS",$B121="OK",$B121="Anulada"),S121,0))</f>
        <v>75.489999999999995</v>
      </c>
      <c r="V121" s="470">
        <f>IF($D121="",0,IF($D121=$D118,IF($B121=" ",IF(I123="",IF(OR(AND(I121="DNB1",I122="DNB2"),AND(OR(I121="DNB1",I121="DNB2"),J122=0),AND(OR(I122="DNB1",I122="DNB2"),J121=0),AND(I121="DNB2",I122="DNB1"),AND(IF(J121=0,(J121+1)/ROUND(J121+1,0),J121/ROUND(J121,0))=1,IF(J122=0,(J122+1)/ROUND(IF(J122="",0,J122)+1,0),IF(J122="",0,J122)/ROUND(IF(J122="",1,J122),0))=1,OR(J121&lt;&gt;""),J122&lt;&gt;"")),0,IF(S121&lt;0,IF(I123="",SMALL(P121:P122,1)-SUM(O121:O122),0),SMALL(P121:P122,1)-SUM(O121:O122))),IF(S121&lt;0,IF(I123="",SMALL(P121:P123,1)-SUM(O121:O123),0),LARGE(P121:P123,1)-SUM(O121:O123))),S121)+V118,IF(I123="",IF(OR(AND(I121="DNB1",I122="DNB2"),AND(OR(I121="DNB1",I121="DNB2"),J122=0),AND(OR(I122="DNB1",I122="DNB2"),J121=0),AND(I121="DNB2",I122="DNB1"),AND(IF(J121=0,(J121+1)/ROUND(J121+1,0),J121/ROUND(J121,0))=1,IF(J122=0,(IF(J122="",0,J122)+1)/ROUND(IF(J122="",0,J122)+1,0),IF(J122="",0,J122)/ROUND(IF(J122="",0,J122)+1,0))=1,OR(J121&lt;&gt;""),J122&lt;&gt;"")),0,IF(S121&lt;0,IF(I123="",SMALL(P121:P122,1)-SUM(O121:O122),0),SMALL(P121:P123,1)-SUM(O121:O123))),IF(S121&lt;0,IF(I123="",SMALL(P121:P123,1)-SUM(O121:O123),0),LARGE(P121:P123,1)-SUM(O121:O123)))))</f>
        <v>75.430000000000007</v>
      </c>
      <c r="W121" s="470">
        <f>IF($D121=$D118,IF(S121&lt;0,IF(I123="",S121,0),S121)+W118,S121)</f>
        <v>75.489999999999995</v>
      </c>
      <c r="X121" s="480" t="str">
        <f>IF(OR(SUM(R121:R123)=0,V121=W121),ROUND(IF(W121=0,0,W121/Y121)*100,2)&amp;"%",ROUND(IF(V121=0,0,V121/Y121)*100,2)&amp;"% a "&amp;ROUND(IF(W121=0,0,W121/Y121)*100,2)&amp;"%")</f>
        <v>4,62%</v>
      </c>
      <c r="Y121" s="471">
        <f>IF($D121=$D118,Y118+SUM(O121:O123),SUM(O121:O123))</f>
        <v>1635.0600000000002</v>
      </c>
      <c r="Z121" s="470">
        <f>IF($B121=" ",SUM(O121:O123),0)+Z118</f>
        <v>0</v>
      </c>
      <c r="AA121" s="470">
        <f>IF(G121="","",IF($B121="Anulado",LARGE(P121:P123,1)-SUM(O121:O123)+AA118,AA118))</f>
        <v>0.45899999999999785</v>
      </c>
      <c r="AB121" s="470">
        <f>IF($D121="","",AB118+S121)</f>
        <v>104.13999999999997</v>
      </c>
      <c r="AC121" s="472">
        <f ca="1">IF($D121="","",IF($B121=" ",IF(DAY(G121)=DAY(TODAY()),1+AC118,0+AC118),0+AC118))</f>
        <v>0</v>
      </c>
      <c r="AD121" s="103">
        <f>(((L122/(L122-1)-1)*(1-_xlfn.XLOOKUP(K122,'Fevereiro 2023 - Valor Real'!A3:A15,'Fevereiro 2023 - Valor Real'!C3:C15,0))+1))/(((L121-1)*(1-_xlfn.XLOOKUP(K121,'Fevereiro 2023 - Valor Real'!A3:A15,'Fevereiro 2023 - Valor Real'!C3:C15,0))+1)+((L122/(L122-1)-1)*(1-_xlfn.XLOOKUP(K122,'Fevereiro 2023 - Valor Real'!A3:A15,'Fevereiro 2023 - Valor Real'!C3:C15,0))+1))</f>
        <v>0.46376606365277723</v>
      </c>
      <c r="AE121" s="104">
        <f>IF(L121="","",IF(L123&gt;0,(SUM(((L121-1)*(1-_xlfn.XLOOKUP(K121,'Fevereiro 2023 - Valor Real'!A3:A15,'Fevereiro 2023 - Valor Real'!C3:C15,0))+1),((L122-1)*(1-_xlfn.XLOOKUP(K122,'Fevereiro 2023 - Valor Real'!A3:A15,'Fevereiro 2023 - Valor Real'!C3:C15,0))+1),((L123-1)*(1-_xlfn.XLOOKUP(K123,'Fevereiro 2023 - Valor Real'!A3:A15,'Fevereiro 2023 - Valor Real'!C3:C15,0))+1))/((L121-1)*(1-_xlfn.XLOOKUP(K121,'Fevereiro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Real'!C3:C15,0))+1))/((L121-1)*(1-_xlfn.XLOOKUP(K121,'Fevereiro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Real'!C3:C15,0))+1))/((L122-1)*(1-_xlfn.XLOOKUP(K122,'Fevereiro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Real'!C3:C15,0))+1))/((L123-1)*(1-_xlfn.XLOOKUP(K123,'Fevereiro 2023 - Valor Real'!A3:A15,'Fevereiro 2023 - Valor Real'!C3:C15,0))+1)),IF(I121="Lay",IF(I122="Lay",((L122/(L122-1)-1)*(1-_xlfn.XLOOKUP(K122,'Fevereiro 2023 - Valor Real'!A3:A15,'Fevereiro 2023 - Valor Real'!C3:C15,0))+1)/(((L122/(L122-1)-1)*(1-_xlfn.XLOOKUP(K122,'Fevereiro 2023 - Valor Real'!A3:A15,'Fevereiro 2023 - Valor Real'!C3:C15,0))+1)+((L121/(L121-1)-1)*(1-_xlfn.XLOOKUP(K121,'Fevereiro 2023 - Valor Real'!A3:A15,'Fevereiro 2023 - Valor Real'!C3:C15,0))+1)),((L122-1)*(1-_xlfn.XLOOKUP(K122,'Fevereiro 2023 - Valor Real'!A3:A15,'Fevereiro 2023 - Valor Real'!C3:C15,0))+1)/(((L122-1)*(1-_xlfn.XLOOKUP(K122,'Fevereiro 2023 - Valor Real'!A3:A15,'Fevereiro 2023 - Valor Real'!C3:C15,0))+1)+((L121/(L121-1)-1)*(1-_xlfn.XLOOKUP(K121,'Fevereiro 2023 - Valor Real'!A3:A15,'Fevereiro 2023 - Valor Real'!C3:C15,0))+1))),IF(I122="Lay",(((L122/(L122-1)-1)*(1-_xlfn.XLOOKUP(K122,'Fevereiro 2023 - Valor Real'!A3:A15,'Fevereiro 2023 - Valor Real'!C3:C15,0))+1))/(((L121-1)*(1-_xlfn.XLOOKUP(K121,'Fevereiro 2023 - Valor Real'!A3:A15,'Fevereiro 2023 - Valor Real'!C3:C15,0))+1)+((L122/(L122-1)-1)*(1-_xlfn.XLOOKUP(K122,'Fevereiro 2023 - Valor Real'!A3:A15,'Fevereiro 2023 - Valor Real'!C3:C15,0))+1)),((L122-1)*(1-_xlfn.XLOOKUP(K122,'Fevereiro 2023 - Valor Real'!A3:A15,'Fevereiro 2023 - Valor Real'!C3:C15,0))+1)/(((L122-1)*(1-_xlfn.XLOOKUP(K122,'Fevereiro 2023 - Valor Real'!A3:A15,'Fevereiro 2023 - Valor Real'!C3:C15,0))+1)+((L121-1)*(1-_xlfn.XLOOKUP(K121,'Fevereiro 2023 - Valor Real'!A3:A15,'Fevereiro 2023 - Valor Real'!C3:C15,0))+1))))))</f>
        <v>0.5835189309576837</v>
      </c>
      <c r="AF121" s="105">
        <f t="shared" si="229"/>
        <v>0</v>
      </c>
      <c r="AG121" s="106">
        <f t="shared" si="229"/>
        <v>0</v>
      </c>
      <c r="AH121" s="106">
        <f t="shared" si="229"/>
        <v>0</v>
      </c>
      <c r="AI121" s="106">
        <f t="shared" si="229"/>
        <v>0</v>
      </c>
      <c r="AJ121" s="106">
        <f t="shared" si="229"/>
        <v>33.75</v>
      </c>
      <c r="AK121" s="106">
        <f t="shared" si="229"/>
        <v>0</v>
      </c>
      <c r="AL121" s="106">
        <f t="shared" si="229"/>
        <v>0</v>
      </c>
      <c r="AM121" s="106">
        <f t="shared" si="229"/>
        <v>0</v>
      </c>
      <c r="AN121" s="106">
        <f t="shared" si="229"/>
        <v>0</v>
      </c>
      <c r="AO121" s="106">
        <f t="shared" si="229"/>
        <v>0</v>
      </c>
      <c r="AP121" s="106">
        <f t="shared" si="229"/>
        <v>0</v>
      </c>
      <c r="AQ121" s="106">
        <f t="shared" si="229"/>
        <v>0</v>
      </c>
      <c r="AR121" s="107">
        <f t="shared" si="229"/>
        <v>0</v>
      </c>
      <c r="AS121" s="105">
        <f t="shared" ref="AS121:BE121" si="240">IF(AND($B121=" ",$K121=AS$3),$O121,0)</f>
        <v>0</v>
      </c>
      <c r="AT121" s="106">
        <f t="shared" si="240"/>
        <v>0</v>
      </c>
      <c r="AU121" s="106">
        <f t="shared" si="240"/>
        <v>0</v>
      </c>
      <c r="AV121" s="106">
        <f t="shared" si="240"/>
        <v>0</v>
      </c>
      <c r="AW121" s="106">
        <f t="shared" si="240"/>
        <v>0</v>
      </c>
      <c r="AX121" s="106">
        <f t="shared" si="240"/>
        <v>0</v>
      </c>
      <c r="AY121" s="108">
        <f t="shared" si="240"/>
        <v>0</v>
      </c>
      <c r="AZ121" s="109">
        <f t="shared" si="240"/>
        <v>0</v>
      </c>
      <c r="BA121" s="109">
        <f t="shared" si="240"/>
        <v>0</v>
      </c>
      <c r="BB121" s="109">
        <f t="shared" si="240"/>
        <v>0</v>
      </c>
      <c r="BC121" s="110">
        <f t="shared" si="240"/>
        <v>0</v>
      </c>
      <c r="BD121" s="106">
        <f t="shared" si="240"/>
        <v>0</v>
      </c>
      <c r="BE121" s="107">
        <f t="shared" si="240"/>
        <v>0</v>
      </c>
      <c r="BF121" s="111">
        <f t="shared" si="231"/>
        <v>0</v>
      </c>
      <c r="BG121" s="106">
        <f t="shared" si="231"/>
        <v>0</v>
      </c>
      <c r="BH121" s="106">
        <f t="shared" si="231"/>
        <v>0</v>
      </c>
      <c r="BI121" s="106">
        <f t="shared" si="231"/>
        <v>0</v>
      </c>
      <c r="BJ121" s="106">
        <f t="shared" si="231"/>
        <v>38.79</v>
      </c>
      <c r="BK121" s="106">
        <f t="shared" si="231"/>
        <v>0</v>
      </c>
      <c r="BL121" s="106">
        <f t="shared" si="231"/>
        <v>0</v>
      </c>
      <c r="BM121" s="108">
        <f t="shared" si="231"/>
        <v>0</v>
      </c>
      <c r="BN121" s="109">
        <f t="shared" si="231"/>
        <v>0</v>
      </c>
      <c r="BO121" s="109">
        <f t="shared" si="231"/>
        <v>0</v>
      </c>
      <c r="BP121" s="109">
        <f t="shared" si="231"/>
        <v>0</v>
      </c>
      <c r="BQ121" s="110">
        <f t="shared" si="231"/>
        <v>0</v>
      </c>
      <c r="BR121" s="107">
        <f t="shared" si="231"/>
        <v>0</v>
      </c>
      <c r="BS121" s="463">
        <f>IF($B121="LOSS",IF(AND($K121=BS$3,$C121="L"),-$O121,0)+IF(AND($K122=BS$3,$C122="L"),-$O122,0)+IF(AND($K123=BS$3,$C123="L"),-$O123,0),IF(OR(AND($K121=BS$3,OR($C121="W",$C121="1/2W")),AND($K122=BS$3,OR($C122="W",$C122="1/2W")),AND($K123=BS$3,OR($C123="W",$C123="1/2W"))),$S121,0))</f>
        <v>0</v>
      </c>
      <c r="BT121" s="462">
        <f>IF($B121="LOSS",IF(AND($K121=BT$3,$C121="L"),-$O121,0)+IF(AND($K122=BT$3,$C122="L"),-$O122,0)+IF(AND($K122=BT$3,$C123="L"),-$O123,0),IF(OR(AND($K122=BT$3,OR($C121="W",$C121="1/2W")),AND($K122=BT$3,OR($C122="W",$C122="1/2W")),AND($K122=BT$3,OR($C123="W",$C123="1/2W"))),$S121,0))</f>
        <v>0</v>
      </c>
      <c r="BU121" s="462">
        <f>IF($B121="LOSS",IF(AND($K121=BU$3,$C121="L"),-$O121,0)+IF(AND($K122=BU$3,$C122="L"),-$O122,0)+IF(AND($K122=BU$3,$C123="L"),-$O123,0),IF(OR(AND($K122=BU$3,OR($C121="W",$C121="1/2W")),AND($K122=BU$3,OR($C122="W",$C122="1/2W")),AND($K122=BU$3,OR($C123="W",$C123="1/2W"))),$S121,0))</f>
        <v>0</v>
      </c>
      <c r="BV121" s="462">
        <f t="shared" ref="BV121:CE121" si="241">IF($B121="LOSS",IF(AND($K121=BV$3,$C121="L"),-$O121,0)+IF(AND($K122=BV$3,$C122="L"),-$O122,0)+IF(AND($K123=BV$3,$C123="L"),-$O123,0),IF(OR(AND($K121=BV$3,OR($C121="W",$C121="1/2W")),AND($K122=BV$3,OR($C122="W",$C122="1/2W")),AND($K123=BV$3,OR($C123="W",$C123="1/2W"))),$S121,0))</f>
        <v>0</v>
      </c>
      <c r="BW121" s="462">
        <f t="shared" si="241"/>
        <v>6.05</v>
      </c>
      <c r="BX121" s="462">
        <f t="shared" si="241"/>
        <v>0</v>
      </c>
      <c r="BY121" s="462">
        <f t="shared" si="241"/>
        <v>0</v>
      </c>
      <c r="BZ121" s="460">
        <f t="shared" si="241"/>
        <v>0</v>
      </c>
      <c r="CA121" s="460">
        <f t="shared" si="241"/>
        <v>0</v>
      </c>
      <c r="CB121" s="460">
        <f t="shared" si="241"/>
        <v>0</v>
      </c>
      <c r="CC121" s="460">
        <f t="shared" si="241"/>
        <v>0</v>
      </c>
      <c r="CD121" s="473">
        <f t="shared" si="241"/>
        <v>0</v>
      </c>
      <c r="CE121" s="479">
        <f t="shared" si="241"/>
        <v>0</v>
      </c>
      <c r="CF121" s="113">
        <f t="shared" si="131"/>
        <v>0</v>
      </c>
      <c r="CG121" s="114">
        <f t="shared" si="132"/>
        <v>0</v>
      </c>
      <c r="CH121" s="114">
        <f t="shared" si="133"/>
        <v>0</v>
      </c>
      <c r="CI121" s="114">
        <f t="shared" si="134"/>
        <v>0</v>
      </c>
      <c r="CJ121" s="114">
        <f t="shared" si="135"/>
        <v>0</v>
      </c>
      <c r="CK121" s="114">
        <f t="shared" si="136"/>
        <v>0</v>
      </c>
      <c r="CL121" s="114">
        <f t="shared" si="137"/>
        <v>0</v>
      </c>
      <c r="CM121" s="114">
        <f t="shared" si="138"/>
        <v>0</v>
      </c>
      <c r="CN121" s="114">
        <f t="shared" si="139"/>
        <v>1</v>
      </c>
      <c r="CO121" s="114">
        <f t="shared" si="140"/>
        <v>0</v>
      </c>
      <c r="CP121" s="114">
        <f t="shared" si="141"/>
        <v>0</v>
      </c>
      <c r="CQ121" s="114">
        <f t="shared" si="142"/>
        <v>0</v>
      </c>
      <c r="CR121" s="114">
        <f t="shared" si="143"/>
        <v>0</v>
      </c>
      <c r="CS121" s="114">
        <f t="shared" si="144"/>
        <v>0</v>
      </c>
      <c r="CT121" s="115">
        <f t="shared" si="145"/>
        <v>0</v>
      </c>
      <c r="CU121" s="116">
        <f t="shared" si="146"/>
        <v>0</v>
      </c>
      <c r="CV121" s="116">
        <f t="shared" si="147"/>
        <v>0</v>
      </c>
      <c r="CW121" s="116">
        <f t="shared" si="148"/>
        <v>0</v>
      </c>
      <c r="CX121" s="116">
        <f t="shared" si="149"/>
        <v>0</v>
      </c>
      <c r="CY121" s="116">
        <f t="shared" si="150"/>
        <v>0</v>
      </c>
      <c r="CZ121" s="116">
        <f t="shared" si="151"/>
        <v>0</v>
      </c>
      <c r="DA121" s="116">
        <f t="shared" si="152"/>
        <v>0</v>
      </c>
      <c r="DB121" s="116">
        <f t="shared" si="153"/>
        <v>0</v>
      </c>
      <c r="DC121" s="116">
        <f t="shared" si="154"/>
        <v>0</v>
      </c>
      <c r="DD121" s="116">
        <f t="shared" si="155"/>
        <v>0</v>
      </c>
      <c r="DE121" s="117">
        <f t="shared" si="156"/>
        <v>0</v>
      </c>
      <c r="DF121" s="118">
        <f t="shared" si="158"/>
        <v>11</v>
      </c>
      <c r="DG121" s="106">
        <f t="shared" si="159"/>
        <v>14.450000000000001</v>
      </c>
      <c r="DH121" s="116">
        <f t="shared" si="160"/>
        <v>1</v>
      </c>
      <c r="DI121" s="106">
        <f t="shared" si="161"/>
        <v>3.9</v>
      </c>
      <c r="DJ121" s="201" t="str">
        <f>IF($D121="","",$D121)</f>
        <v>2</v>
      </c>
      <c r="DK121" s="465">
        <f>IF(AND($B121=" ",$D121&lt;&gt;""),1,0)</f>
        <v>0</v>
      </c>
    </row>
    <row r="122" spans="1:115" ht="14.5" customHeight="1" x14ac:dyDescent="0.2">
      <c r="A122" s="389"/>
      <c r="B122" s="456"/>
      <c r="C122" s="120" t="s">
        <v>55</v>
      </c>
      <c r="D122" s="374"/>
      <c r="E122" s="386"/>
      <c r="F122" s="377"/>
      <c r="G122" s="483"/>
      <c r="H122" s="476"/>
      <c r="I122" s="121" t="s">
        <v>52</v>
      </c>
      <c r="J122" s="122">
        <f>IF(OR(I121="TO",I121="TU",I121="TO1",I121="TU1",I121="TO2",I121="TU2"),J121,IF(OR(I121="AH1",I121="AH2"),IF(OR(I122="AH1",I122="AH2"),-J121,IF(OR(I122="EH1",I122="EH2"),-J121+0.5,"")),IF(OR(I121="EH1",I121="EH2"),IF(OR(I122="AH1",I122="AH2"),-J121+0.5,IF(OR(I122="EH1",I122="EH2"),-J121+1,"")),IF(AND(OR(I121="DNB1",I121="DNB2"),OR(I122="AH1",I122="AH2")),0,IF(AND(I121="Not ScoreBoth",OR(I122="TO1",I122="TO2")),0.5,"")))))</f>
        <v>6.5</v>
      </c>
      <c r="K122" s="123" t="s">
        <v>47</v>
      </c>
      <c r="L122" s="124">
        <v>2.62</v>
      </c>
      <c r="M122" s="125"/>
      <c r="N122" s="406"/>
      <c r="O122" s="126">
        <f>IF(OR(AE121="",AE122=""),"",ROUND(IF(L123&gt;0,IF(M122&gt;0,M122,IF(M121&gt;0,IF(N121=TRUE,ROUND((M121*AE122)/AE121,0),(M121*AE122)/AE121),IF(M122&gt;0,ROUND(M122,IF(N121=0,2,IF(N121=0.1,1,0))),IF(M123&gt;0,ROUND(O123*AE122/AE123,IF(N121=0,2,IF(N121=0.1,1,0))),0)))),IF(M122&gt;0,M122,ROUND((M121*AE122)/AE121,IF(N121=0,2,IF(N121=0.1,1,0))))),2))</f>
        <v>27.7</v>
      </c>
      <c r="P122" s="127">
        <f>IF(OR(L122="",O122=""),"",IF($C122="1/2W",O122/2+O122/2*L122,IF($C122="1/2L",O122/2,IF(I122="Lay",((O122*(L122/(L122-1)))-O122)*(1-_xlfn.XLOOKUP(K122,'Fevereiro 2023 - Valor Real'!A3:A15,'Fevereiro 2023 - Valor Real'!C3:C15,0))+O122,(O122*L122-O122)*(1-_xlfn.XLOOKUP(K122,'Fevereiro 2023 - Valor Real'!A3:A15,'Fevereiro 2023 - Valor Real'!C3:C15,0))+O122))))</f>
        <v>72.573999999999998</v>
      </c>
      <c r="Q122" s="128">
        <f>IF(K122="","",IF(_xlfn.XLOOKUP(K122,K$7:K116,$DJ$7:DJ116,0,,-1)=DJ122,_xlfn.XLOOKUP(K122,K$7:K116,Q$7:Q116,1,,-1)+1,1))</f>
        <v>8</v>
      </c>
      <c r="R122" s="129">
        <f>IF(K122="","",_xlfn.XLOOKUP(K122,K$7:K116,R$7:R116,0,,-1)+IF($C122=" ",1,0))</f>
        <v>0</v>
      </c>
      <c r="S122" s="403"/>
      <c r="T122" s="380"/>
      <c r="U122" s="380"/>
      <c r="V122" s="481"/>
      <c r="W122" s="380"/>
      <c r="X122" s="452"/>
      <c r="Y122" s="383"/>
      <c r="Z122" s="384"/>
      <c r="AA122" s="384"/>
      <c r="AB122" s="384"/>
      <c r="AC122" s="384"/>
      <c r="AD122" s="130">
        <f>(((L122/(L122-1)-1)*(1-_xlfn.XLOOKUP(K122,'Fevereiro 2023 - Valor Real'!A3:A15,'Fevereiro 2023 - Valor Real'!C3:C15,0))+1))</f>
        <v>1.6172839506172838</v>
      </c>
      <c r="AE122" s="131">
        <f>IF(L122="","",IF(L123&gt;0,(SUM(((L121-1)*(1-_xlfn.XLOOKUP(K121,'Fevereiro 2023 - Valor Real'!A3:A15,'Fevereiro 2023 - Valor Real'!C3:C15,0))+1),((L122-1)*(1-_xlfn.XLOOKUP(K122,'Fevereiro 2023 - Valor Real'!A3:A15,'Fevereiro 2023 - Valor Real'!C3:C15,0))+1),((L123-1)*(1-_xlfn.XLOOKUP(K123,'Fevereiro 2023 - Valor Real'!A3:A15,'Fevereiro 2023 - Valor Real'!C3:C15,0))+1))/((L122-1)*(1-_xlfn.XLOOKUP(K122,'Fevereiro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Real'!C3:C15,0))+1))/((L121-1)*(1-_xlfn.XLOOKUP(K121,'Fevereiro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Real'!C3:C15,0))+1))/((L122-1)*(1-_xlfn.XLOOKUP(K122,'Fevereiro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Real'!C3:C15,0))+1))/((L123-1)*(1-_xlfn.XLOOKUP(K123,'Fevereiro 2023 - Valor Real'!A3:A15,'Fevereiro 2023 - Valor Real'!C3:C15,0))+1)),IF(I122="Lay",IF(I121="Lay",((L121/(L121-1)-1)*(1-_xlfn.XLOOKUP(K121,'Fevereiro 2023 - Valor Real'!A3:A15,'Fevereiro 2023 - Valor Real'!C3:C15,0))+1)/(((L121/(L121-1)-1)*(1-_xlfn.XLOOKUP(K121,'Fevereiro 2023 - Valor Real'!A3:A15,'Fevereiro 2023 - Valor Real'!C3:C15,0))+1)+((L122/(L122-1)-1)*(1-_xlfn.XLOOKUP(K122,'Fevereiro 2023 - Valor Real'!A3:A15,'Fevereiro 2023 - Valor Real'!C3:C15,0))+1)),((L121-1)*(1-_xlfn.XLOOKUP(K121,'Fevereiro 2023 - Valor Real'!A3:A15,'Fevereiro 2023 - Valor Real'!C3:C15,0))+1)/(((L121-1)*(1-_xlfn.XLOOKUP(K121,'Fevereiro 2023 - Valor Real'!A3:A15,'Fevereiro 2023 - Valor Real'!C3:C15,0))+1)+((L122/(L122-1)-1)*(1-_xlfn.XLOOKUP(K122,'Fevereiro 2023 - Valor Real'!A3:A15,'Fevereiro 2023 - Valor Real'!C3:C15,0))+1))),IF(I121="Lay",((L121/(L121-1)-1)*(1-_xlfn.XLOOKUP(K121,'Fevereiro 2023 - Valor Real'!A3:A15,'Fevereiro 2023 - Valor Real'!C3:C15,0))+1)/((((L121/(L121-1)-1)*(1-_xlfn.XLOOKUP(K121,'Fevereiro 2023 - Valor Real'!A3:A15,'Fevereiro 2023 - Valor Real'!C3:C15,0))+1))+((L122-1)*(1-_xlfn.XLOOKUP(K122,'Fevereiro 2023 - Valor Real'!A3:A15,'Fevereiro 2023 - Valor Real'!C3:C15,0))+1)),((L121-1)*(1-_xlfn.XLOOKUP(K121,'Fevereiro 2023 - Valor Real'!A3:A15,'Fevereiro 2023 - Valor Real'!C3:C15,0))+1)/(((L121-1)*(1-_xlfn.XLOOKUP(K121,'Fevereiro 2023 - Valor Real'!A3:A15,'Fevereiro 2023 - Valor Real'!C3:C15,0))+1)+((L122-1)*(1-_xlfn.XLOOKUP(K122,'Fevereiro 2023 - Valor Real'!A3:A15,'Fevereiro 2023 - Valor Real'!C3:C15,0))+1))))))</f>
        <v>0.41648106904231624</v>
      </c>
      <c r="AF122" s="105">
        <f t="shared" si="229"/>
        <v>0</v>
      </c>
      <c r="AG122" s="106">
        <f t="shared" si="229"/>
        <v>0</v>
      </c>
      <c r="AH122" s="106">
        <f t="shared" si="229"/>
        <v>0</v>
      </c>
      <c r="AI122" s="106">
        <f t="shared" si="229"/>
        <v>0</v>
      </c>
      <c r="AJ122" s="106">
        <f t="shared" si="229"/>
        <v>0</v>
      </c>
      <c r="AK122" s="106">
        <f t="shared" si="229"/>
        <v>0</v>
      </c>
      <c r="AL122" s="106">
        <f t="shared" si="229"/>
        <v>0</v>
      </c>
      <c r="AM122" s="106">
        <f t="shared" si="229"/>
        <v>0</v>
      </c>
      <c r="AN122" s="106">
        <f t="shared" si="229"/>
        <v>0</v>
      </c>
      <c r="AO122" s="106">
        <f t="shared" si="229"/>
        <v>0</v>
      </c>
      <c r="AP122" s="106">
        <f t="shared" si="229"/>
        <v>0</v>
      </c>
      <c r="AQ122" s="106">
        <f t="shared" si="229"/>
        <v>-27.7</v>
      </c>
      <c r="AR122" s="107">
        <f t="shared" si="229"/>
        <v>0</v>
      </c>
      <c r="AS122" s="105">
        <f>IF(AND($B121=" ",$K122=AS$3),$O122,0)</f>
        <v>0</v>
      </c>
      <c r="AT122" s="106">
        <f>IF(AND($B121=" ",K122=AT$3),$O122,0)</f>
        <v>0</v>
      </c>
      <c r="AU122" s="106">
        <f t="shared" ref="AU122:BE122" si="242">IF(AND($B121=" ",$K122=AU$3),$O122,0)</f>
        <v>0</v>
      </c>
      <c r="AV122" s="106">
        <f t="shared" si="242"/>
        <v>0</v>
      </c>
      <c r="AW122" s="106">
        <f t="shared" si="242"/>
        <v>0</v>
      </c>
      <c r="AX122" s="106">
        <f t="shared" si="242"/>
        <v>0</v>
      </c>
      <c r="AY122" s="108">
        <f t="shared" si="242"/>
        <v>0</v>
      </c>
      <c r="AZ122" s="109">
        <f t="shared" si="242"/>
        <v>0</v>
      </c>
      <c r="BA122" s="109">
        <f t="shared" si="242"/>
        <v>0</v>
      </c>
      <c r="BB122" s="109">
        <f t="shared" si="242"/>
        <v>0</v>
      </c>
      <c r="BC122" s="110">
        <f t="shared" si="242"/>
        <v>0</v>
      </c>
      <c r="BD122" s="106">
        <f t="shared" si="242"/>
        <v>0</v>
      </c>
      <c r="BE122" s="107">
        <f t="shared" si="242"/>
        <v>0</v>
      </c>
      <c r="BF122" s="105">
        <f t="shared" si="231"/>
        <v>0</v>
      </c>
      <c r="BG122" s="106">
        <f t="shared" si="231"/>
        <v>0</v>
      </c>
      <c r="BH122" s="106">
        <f t="shared" si="231"/>
        <v>0</v>
      </c>
      <c r="BI122" s="106">
        <f t="shared" si="231"/>
        <v>0</v>
      </c>
      <c r="BJ122" s="106">
        <f t="shared" si="231"/>
        <v>0</v>
      </c>
      <c r="BK122" s="106">
        <f t="shared" si="231"/>
        <v>0</v>
      </c>
      <c r="BL122" s="106">
        <f t="shared" si="231"/>
        <v>0</v>
      </c>
      <c r="BM122" s="132">
        <f t="shared" si="231"/>
        <v>0</v>
      </c>
      <c r="BN122" s="112">
        <f t="shared" si="231"/>
        <v>0</v>
      </c>
      <c r="BO122" s="112">
        <f t="shared" si="231"/>
        <v>0</v>
      </c>
      <c r="BP122" s="112">
        <f t="shared" si="231"/>
        <v>0</v>
      </c>
      <c r="BQ122" s="110">
        <f t="shared" si="231"/>
        <v>27.7</v>
      </c>
      <c r="BR122" s="107">
        <f t="shared" si="231"/>
        <v>0</v>
      </c>
      <c r="BS122" s="464"/>
      <c r="BT122" s="461"/>
      <c r="BU122" s="392"/>
      <c r="BV122" s="461"/>
      <c r="BW122" s="392"/>
      <c r="BX122" s="392"/>
      <c r="BY122" s="392"/>
      <c r="BZ122" s="461"/>
      <c r="CA122" s="392"/>
      <c r="CB122" s="392"/>
      <c r="CC122" s="392"/>
      <c r="CD122" s="401"/>
      <c r="CE122" s="409"/>
      <c r="CF122" s="133">
        <f t="shared" si="131"/>
        <v>0</v>
      </c>
      <c r="CG122" s="134">
        <f t="shared" si="132"/>
        <v>0</v>
      </c>
      <c r="CH122" s="134">
        <f t="shared" si="133"/>
        <v>0</v>
      </c>
      <c r="CI122" s="134">
        <f t="shared" si="134"/>
        <v>0</v>
      </c>
      <c r="CJ122" s="134">
        <f t="shared" si="135"/>
        <v>0</v>
      </c>
      <c r="CK122" s="134">
        <f t="shared" si="136"/>
        <v>0</v>
      </c>
      <c r="CL122" s="134">
        <f t="shared" si="137"/>
        <v>0</v>
      </c>
      <c r="CM122" s="134">
        <f t="shared" si="138"/>
        <v>0</v>
      </c>
      <c r="CN122" s="134">
        <f t="shared" si="139"/>
        <v>0</v>
      </c>
      <c r="CO122" s="134">
        <f t="shared" si="140"/>
        <v>0</v>
      </c>
      <c r="CP122" s="134">
        <f t="shared" si="141"/>
        <v>0</v>
      </c>
      <c r="CQ122" s="134">
        <f t="shared" si="142"/>
        <v>0</v>
      </c>
      <c r="CR122" s="134">
        <f t="shared" si="143"/>
        <v>0</v>
      </c>
      <c r="CS122" s="134">
        <f t="shared" si="144"/>
        <v>0</v>
      </c>
      <c r="CT122" s="115">
        <f t="shared" si="145"/>
        <v>0</v>
      </c>
      <c r="CU122" s="116">
        <f t="shared" si="146"/>
        <v>0</v>
      </c>
      <c r="CV122" s="116">
        <f t="shared" si="147"/>
        <v>0</v>
      </c>
      <c r="CW122" s="116">
        <f t="shared" si="148"/>
        <v>0</v>
      </c>
      <c r="CX122" s="116">
        <f t="shared" si="149"/>
        <v>0</v>
      </c>
      <c r="CY122" s="116">
        <f t="shared" si="150"/>
        <v>0</v>
      </c>
      <c r="CZ122" s="116">
        <f t="shared" si="151"/>
        <v>0</v>
      </c>
      <c r="DA122" s="116">
        <f t="shared" si="152"/>
        <v>0</v>
      </c>
      <c r="DB122" s="116">
        <f t="shared" si="153"/>
        <v>0</v>
      </c>
      <c r="DC122" s="116">
        <f t="shared" si="154"/>
        <v>1</v>
      </c>
      <c r="DD122" s="116">
        <f t="shared" si="155"/>
        <v>0</v>
      </c>
      <c r="DE122" s="117">
        <f t="shared" si="156"/>
        <v>0</v>
      </c>
      <c r="DF122" s="118">
        <f t="shared" si="158"/>
        <v>11</v>
      </c>
      <c r="DG122" s="106">
        <f t="shared" si="159"/>
        <v>14.450000000000001</v>
      </c>
      <c r="DH122" s="116">
        <f t="shared" si="160"/>
        <v>1</v>
      </c>
      <c r="DI122" s="106">
        <f t="shared" si="161"/>
        <v>3.9</v>
      </c>
      <c r="DJ122" s="201" t="str">
        <f>IF($D121="","",$D121)</f>
        <v>2</v>
      </c>
      <c r="DK122" s="466"/>
    </row>
    <row r="123" spans="1:115" ht="14.5" customHeight="1" x14ac:dyDescent="0.2">
      <c r="A123" s="390"/>
      <c r="B123" s="457"/>
      <c r="C123" s="135" t="s">
        <v>53</v>
      </c>
      <c r="D123" s="375"/>
      <c r="E123" s="387"/>
      <c r="F123" s="378"/>
      <c r="G123" s="484"/>
      <c r="H123" s="477"/>
      <c r="I123" s="136"/>
      <c r="J123" s="137"/>
      <c r="K123" s="138"/>
      <c r="L123" s="139"/>
      <c r="M123" s="140"/>
      <c r="N123" s="407"/>
      <c r="O123" s="141" t="str">
        <f>IF(OR(AE121="",AE122=""),"",IF(L123&gt;0,ROUND(IF(M123&gt;0,M123,IF(M121&gt;0,ROUND((M121*AE123)/AE121,IF(N121=0,2,IF(N121=0.1,1,0))),IF(M122&gt;0,ROUND((M122*AE123)/AE122,IF(N121=0,2,IF(N121=0.1,1,0))),IF(M123&gt;0,M123,0)))),2),""))</f>
        <v/>
      </c>
      <c r="P123" s="142" t="str">
        <f>IF(I122="Lay",O122*(L122/(L122-1))-O122,IF(I121="Lay",O121*(L121/(L121-1))-O121,IF(OR(L123="",O123=""),"",IF($C123="1/2W",O123/2+O123/2*L123,IF($C123="1/2L",O123/2,(O123*L123-O123)*(1-_xlfn.XLOOKUP(K123,'Fevereiro 2023 - Valor Real'!A3:A15,'Fevereiro 2023 - Valor Real'!C3:C15,0))+O123)))))</f>
        <v/>
      </c>
      <c r="Q123" s="143" t="str">
        <f>IF(K123="","",IF(_xlfn.XLOOKUP(K123,K$8:K116,$DJ$8:DJ116,0,,-1)=DJ123,_xlfn.XLOOKUP(K123,K$8:K116,Q$8:Q116,1,,-1)+1,1))</f>
        <v/>
      </c>
      <c r="R123" s="144" t="str">
        <f>IF(K123="","",_xlfn.XLOOKUP(K123,K$8:K116,R$8:R116,0,,-1)+IF($C123=" ",1,0))</f>
        <v/>
      </c>
      <c r="S123" s="404"/>
      <c r="T123" s="378"/>
      <c r="U123" s="378"/>
      <c r="V123" s="404"/>
      <c r="W123" s="378"/>
      <c r="X123" s="453"/>
      <c r="Y123" s="383"/>
      <c r="Z123" s="384"/>
      <c r="AA123" s="384"/>
      <c r="AB123" s="384"/>
      <c r="AC123" s="384"/>
      <c r="AD123" s="145">
        <f>((L122/(L122-1)-1))</f>
        <v>0.61728395061728381</v>
      </c>
      <c r="AE123" s="146" t="str">
        <f>IF(L123="","",(SUM(((L121-1)*(1-_xlfn.XLOOKUP(K121,'Fevereiro 2023 - Valor Real'!A3:A15,'Fevereiro 2023 - Valor Real'!C3:C15,0))+1),((L122-1)*(1-_xlfn.XLOOKUP(K122,'Fevereiro 2023 - Valor Real'!A3:A15,'Fevereiro 2023 - Valor Real'!C3:C15,0))+1),((L123-1)*(1-_xlfn.XLOOKUP(K123,'Fevereiro 2023 - Valor Real'!A3:A15,'Fevereiro 2023 - Valor Real'!C3:C15,0))+1))/((L123-1)*(1-_xlfn.XLOOKUP(K123,'Fevereiro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Real'!C3:C15,0))+1))/((L121-1)*(1-_xlfn.XLOOKUP(K121,'Fevereiro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Real'!C3:C15,0))+1))/((L122-1)*(1-_xlfn.XLOOKUP(K122,'Fevereiro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Real'!C3:C15,0))+1))/((L123-1)*(1-_xlfn.XLOOKUP(K123,'Fevereiro 2023 - Valor Real'!A3:A15,'Fevereiro 2023 - Valor Real'!C3:C15,0))+1)))</f>
        <v/>
      </c>
      <c r="AF123" s="105">
        <f t="shared" si="229"/>
        <v>0</v>
      </c>
      <c r="AG123" s="106">
        <f t="shared" si="229"/>
        <v>0</v>
      </c>
      <c r="AH123" s="106">
        <f t="shared" si="229"/>
        <v>0</v>
      </c>
      <c r="AI123" s="106">
        <f t="shared" si="229"/>
        <v>0</v>
      </c>
      <c r="AJ123" s="106">
        <f t="shared" si="229"/>
        <v>0</v>
      </c>
      <c r="AK123" s="106">
        <f t="shared" si="229"/>
        <v>0</v>
      </c>
      <c r="AL123" s="106">
        <f t="shared" si="229"/>
        <v>0</v>
      </c>
      <c r="AM123" s="106">
        <f t="shared" si="229"/>
        <v>0</v>
      </c>
      <c r="AN123" s="106">
        <f t="shared" si="229"/>
        <v>0</v>
      </c>
      <c r="AO123" s="106">
        <f t="shared" si="229"/>
        <v>0</v>
      </c>
      <c r="AP123" s="106">
        <f t="shared" si="229"/>
        <v>0</v>
      </c>
      <c r="AQ123" s="106">
        <f t="shared" si="229"/>
        <v>0</v>
      </c>
      <c r="AR123" s="107">
        <f t="shared" si="229"/>
        <v>0</v>
      </c>
      <c r="AS123" s="105">
        <f>IF(AND($B121=" ",$K123=AS$3),$O123,0)</f>
        <v>0</v>
      </c>
      <c r="AT123" s="106">
        <f>IF(AND($B121=" ",K123=AT$3),$O123,0)</f>
        <v>0</v>
      </c>
      <c r="AU123" s="106">
        <f t="shared" ref="AU123:BE123" si="243">IF(AND($B121=" ",$K123=AU$3),$O123,0)</f>
        <v>0</v>
      </c>
      <c r="AV123" s="106">
        <f t="shared" si="243"/>
        <v>0</v>
      </c>
      <c r="AW123" s="106">
        <f t="shared" si="243"/>
        <v>0</v>
      </c>
      <c r="AX123" s="106">
        <f t="shared" si="243"/>
        <v>0</v>
      </c>
      <c r="AY123" s="108">
        <f t="shared" si="243"/>
        <v>0</v>
      </c>
      <c r="AZ123" s="109">
        <f t="shared" si="243"/>
        <v>0</v>
      </c>
      <c r="BA123" s="109">
        <f t="shared" si="243"/>
        <v>0</v>
      </c>
      <c r="BB123" s="109">
        <f t="shared" si="243"/>
        <v>0</v>
      </c>
      <c r="BC123" s="110">
        <f t="shared" si="243"/>
        <v>0</v>
      </c>
      <c r="BD123" s="106">
        <f t="shared" si="243"/>
        <v>0</v>
      </c>
      <c r="BE123" s="107">
        <f t="shared" si="243"/>
        <v>0</v>
      </c>
      <c r="BF123" s="105">
        <f t="shared" si="231"/>
        <v>0</v>
      </c>
      <c r="BG123" s="106">
        <f t="shared" si="231"/>
        <v>0</v>
      </c>
      <c r="BH123" s="106">
        <f t="shared" si="231"/>
        <v>0</v>
      </c>
      <c r="BI123" s="106">
        <f t="shared" si="231"/>
        <v>0</v>
      </c>
      <c r="BJ123" s="106">
        <f t="shared" si="231"/>
        <v>0</v>
      </c>
      <c r="BK123" s="106">
        <f t="shared" si="231"/>
        <v>0</v>
      </c>
      <c r="BL123" s="106">
        <f t="shared" si="231"/>
        <v>0</v>
      </c>
      <c r="BM123" s="108">
        <f t="shared" si="231"/>
        <v>0</v>
      </c>
      <c r="BN123" s="109">
        <f t="shared" si="231"/>
        <v>0</v>
      </c>
      <c r="BO123" s="109">
        <f t="shared" si="231"/>
        <v>0</v>
      </c>
      <c r="BP123" s="109">
        <f t="shared" si="231"/>
        <v>0</v>
      </c>
      <c r="BQ123" s="110">
        <f t="shared" si="231"/>
        <v>0</v>
      </c>
      <c r="BR123" s="107">
        <f t="shared" si="231"/>
        <v>0</v>
      </c>
      <c r="BS123" s="464"/>
      <c r="BT123" s="461"/>
      <c r="BU123" s="392"/>
      <c r="BV123" s="461"/>
      <c r="BW123" s="392"/>
      <c r="BX123" s="392"/>
      <c r="BY123" s="392"/>
      <c r="BZ123" s="461"/>
      <c r="CA123" s="392"/>
      <c r="CB123" s="392"/>
      <c r="CC123" s="392"/>
      <c r="CD123" s="401"/>
      <c r="CE123" s="409"/>
      <c r="CF123" s="133">
        <f t="shared" si="131"/>
        <v>0</v>
      </c>
      <c r="CG123" s="134">
        <f t="shared" si="132"/>
        <v>0</v>
      </c>
      <c r="CH123" s="134">
        <f t="shared" si="133"/>
        <v>0</v>
      </c>
      <c r="CI123" s="134">
        <f t="shared" si="134"/>
        <v>0</v>
      </c>
      <c r="CJ123" s="134">
        <f t="shared" si="135"/>
        <v>0</v>
      </c>
      <c r="CK123" s="134">
        <f t="shared" si="136"/>
        <v>0</v>
      </c>
      <c r="CL123" s="134">
        <f t="shared" si="137"/>
        <v>0</v>
      </c>
      <c r="CM123" s="134">
        <f t="shared" si="138"/>
        <v>0</v>
      </c>
      <c r="CN123" s="134">
        <f t="shared" si="139"/>
        <v>0</v>
      </c>
      <c r="CO123" s="134">
        <f t="shared" si="140"/>
        <v>0</v>
      </c>
      <c r="CP123" s="134">
        <f t="shared" si="141"/>
        <v>0</v>
      </c>
      <c r="CQ123" s="134">
        <f t="shared" si="142"/>
        <v>0</v>
      </c>
      <c r="CR123" s="134">
        <f t="shared" si="143"/>
        <v>0</v>
      </c>
      <c r="CS123" s="134">
        <f t="shared" si="144"/>
        <v>0</v>
      </c>
      <c r="CT123" s="115">
        <f t="shared" si="145"/>
        <v>0</v>
      </c>
      <c r="CU123" s="116">
        <f t="shared" si="146"/>
        <v>0</v>
      </c>
      <c r="CV123" s="116">
        <f t="shared" si="147"/>
        <v>0</v>
      </c>
      <c r="CW123" s="116">
        <f t="shared" si="148"/>
        <v>0</v>
      </c>
      <c r="CX123" s="116">
        <f t="shared" si="149"/>
        <v>0</v>
      </c>
      <c r="CY123" s="116">
        <f t="shared" si="150"/>
        <v>0</v>
      </c>
      <c r="CZ123" s="116">
        <f t="shared" si="151"/>
        <v>0</v>
      </c>
      <c r="DA123" s="116">
        <f t="shared" si="152"/>
        <v>0</v>
      </c>
      <c r="DB123" s="116">
        <f t="shared" si="153"/>
        <v>0</v>
      </c>
      <c r="DC123" s="116">
        <f t="shared" si="154"/>
        <v>0</v>
      </c>
      <c r="DD123" s="116">
        <f t="shared" si="155"/>
        <v>0</v>
      </c>
      <c r="DE123" s="117">
        <f t="shared" si="156"/>
        <v>0</v>
      </c>
      <c r="DF123" s="118">
        <f t="shared" si="158"/>
        <v>11</v>
      </c>
      <c r="DG123" s="106">
        <f t="shared" si="159"/>
        <v>14.450000000000001</v>
      </c>
      <c r="DH123" s="116">
        <f t="shared" si="160"/>
        <v>1</v>
      </c>
      <c r="DI123" s="106">
        <f t="shared" si="161"/>
        <v>3.9</v>
      </c>
      <c r="DJ123" s="201" t="str">
        <f>IF($D121="","",$D121)</f>
        <v>2</v>
      </c>
      <c r="DK123" s="466"/>
    </row>
    <row r="124" spans="1:115" ht="14.5" customHeight="1" x14ac:dyDescent="0.2">
      <c r="A124" s="487">
        <f>$A121+1</f>
        <v>41</v>
      </c>
      <c r="B124" s="506" t="str">
        <f>IF(OR(C124="W",C125="W",C126="W",C124="1/2W",C125="1/2W",C126="1/2W",C124="1/2L",C125="1/2L",C126="1/2L"),"OK",IF(OR(C124="L",C125="L",C126="L"),"LOSS",IF(OR(C124="X",C125="X",C126="X"),"Anulado"," ")))</f>
        <v>OK</v>
      </c>
      <c r="C124" s="147" t="s">
        <v>55</v>
      </c>
      <c r="D124" s="494" t="str">
        <f>IF(G124="","",$D121)</f>
        <v>2</v>
      </c>
      <c r="E124" s="511" t="str">
        <f>IF(G124=""," ","– "&amp;COUNTIF(D$4:D126,$D124))</f>
        <v>– 24</v>
      </c>
      <c r="F124" s="510" t="str">
        <f ca="1">IF(G124="","",IF(OR(AND($C124&lt;&gt;" ",$C125=" "),AND($C125&lt;&gt;" ",$C124=" "),AND(L126&gt;0,OR(AND($C126&lt;&gt;" ",OR($C124=" ",$C125=" ")),AND($C126=" ",OR($C124&lt;&gt;" ",$C125&lt;&gt;" "))))),IF(SUM(F$9:F116)=0,1,LARGE(F$9:F116,1)+1),IF(MONTH(G124)=MONTH(TODAY()),IF(AND(DAY(G124)&lt;DAY(TODAY()),$B124=" "),IF(SUM(F$9:F116)=0,1,LARGE(F$9:F116,1)+1),IF($B124=" ",IF(AND(DAY(G124)=DAY(TODAY()),HOUR(G124)&lt;=HOUR(NOW())+1),IF(AND(HOUR(G124)+2&lt;=HOUR(NOW()),DAY(G124)&lt;=DAY(TODAY()),MINUTE(G124)&lt;=MINUTE(NOW())),IF(SUM(F$9:F116)=0,1,LARGE(F$9:F116,1)+1),IF(OR(MINUTE(G124)&lt;=MINUTE(NOW()),HOUR(G124)&lt;=HOUR(NOW())),"!!!","")),""),"")),"")))</f>
        <v/>
      </c>
      <c r="G124" s="508">
        <v>44989.5</v>
      </c>
      <c r="H124" s="502" t="s">
        <v>93</v>
      </c>
      <c r="I124" s="180" t="s">
        <v>51</v>
      </c>
      <c r="J124" s="181">
        <v>1.5</v>
      </c>
      <c r="K124" s="150" t="s">
        <v>40</v>
      </c>
      <c r="L124" s="151">
        <v>2.77</v>
      </c>
      <c r="M124" s="152">
        <v>7.63</v>
      </c>
      <c r="N124" s="503">
        <v>0.1</v>
      </c>
      <c r="O124" s="153">
        <f>IF(OR(AE124="",AE125=""),"",ROUND(IF(L126&gt;0,IF(M124&gt;0,M124,IF(M125&gt;0,ROUND((M125*AE124)/AE125,IF(N124=0,2,IF(N124=0.1,1,0))),ROUND((M126*AE124)/AE126,IF(N124=0,2,IF(N124=0.1,1,0))))),IF(M124&gt;0,M124,ROUND((M125*AE124)/AE125,IF(N124=0,2,IF(N124=0.1,1,0))))),2))</f>
        <v>7.63</v>
      </c>
      <c r="P124" s="154">
        <f>IF(OR(L124="",O124=""),"",IF($C124="1/2W",O124/2+O124/2*L124,IF($C124="1/2L",O124/2,IF(I124="Lay",(O124*(L124/(L124-1))-O124)*(1-_xlfn.XLOOKUP(K124,'Fevereiro 2023 - Valor Real'!A3:A15,'Fevereiro 2023 - Valor Real'!C3:C15,0))+O124,(O124*L124-O124)*(1-_xlfn.XLOOKUP(K124,'Fevereiro 2023 - Valor Real'!A3:A15,'Fevereiro 2023 - Valor Real'!C3:C15,0))+O124))))</f>
        <v>21.135100000000001</v>
      </c>
      <c r="Q124" s="155">
        <f>IF(K124="","",IF(_xlfn.XLOOKUP(K124,K$9:K116,$DJ$9:DJ116,0,,-1)=DJ124,_xlfn.XLOOKUP(K124,K$9:K116,Q$9:Q116,1,,-1)+1,1))</f>
        <v>9</v>
      </c>
      <c r="R124" s="156">
        <f>IF(K124="","",_xlfn.XLOOKUP(K124,K$9:K116,R$9:R116,0,,-1)+IF($C124=" ",1,0))</f>
        <v>0</v>
      </c>
      <c r="S124" s="501">
        <f>IF($B124="Anulado",0,ROUND(IF(OR($B124="LOSS",$B124="OK"),IF(OR($C124="W",$C124="1/2W",$C124="1/2L"),P124-O124,IF($C124="L",-O124,0))+IF(OR($C125="W",$C125="1/2W",$C125="1/2L"),P125-O125,IF($C125="L",-O125,0))+IF(OR($C126="W",$C126="1/2W",$C126="1/2L"),P126-O126,IF($C126="L",-O126,0)),IF(AND(OR($C124="W",$C124="1/2W",$C124="1/2L"),C125="W"),P124+P125-SUM(O124:O126)+_xlfn.XLOOKUP("X",C124:C126,O124:O126,0),IF(AND(C124=TRUE,C126="W"),P124+P126-SUM(O124:O126),IF(AND(C125="W",C126="W"),P125+P126-SUM(O124:O126)+_xlfn.XLOOKUP("X",C124:C126,O124:O126,0),IF(L126&gt;0,IF(OR($C124="W",$C124="1/2W",$C124="1/2L"),P124-SUM(O124:O126)+_xlfn.XLOOKUP("X",C124:C126,O124:O126,0),IF(OR($C124="W",$C124="1/2W",$C124="1/2L"),P125-SUM(O124:O126)+_xlfn.XLOOKUP("X",C124:C126,O124:O126,0),IF(OR($C124="W",$C124="1/2W",$C124="1/2L"),P126-SUM(O124:O126)+_xlfn.XLOOKUP("X",C124:C126,O124:O126,0),IF(SUM(P124:P126)/3-SUM(O124:O126)+_xlfn.XLOOKUP("X",C124:C126,O124:O126,0)&gt;0,SUM(P124:P126)/3-SUM(O124:O126)+_xlfn.XLOOKUP("X",C124:C126,O124:O126,0),LARGE(P124:P126,1)-SUM(O124:O126))))),IF(OR($C124="W",$C124="1/2W",$C124="1/2L"),P124-SUM(O124:O125)+_xlfn.XLOOKUP("X",C124:C126,O124:O126,0),IF(OR($C124="W",$C124="1/2W",$C124="1/2L"),P125-SUM(O124:O125)+_xlfn.XLOOKUP("X",C124:C126,O124:O126,0),SUM(P124:P125)/2-SUM(O124:O125)+_xlfn.XLOOKUP("X",C124:C126,O124:O126,0)))))))),2))</f>
        <v>1.81</v>
      </c>
      <c r="T124" s="486">
        <f>IF(S124=0,0,S124/SUM(O124:O126))</f>
        <v>9.3154915079773554E-2</v>
      </c>
      <c r="U124" s="496">
        <f>IF($D124=$D121,IF(OR($B124="LOSS",$B124="OK",$B124="Anulada"),S124,0)+U121,IF(OR($B124="LOSS",$B124="OK",$B124="Anulada"),S124,0))</f>
        <v>77.3</v>
      </c>
      <c r="V124" s="496">
        <f>IF($D124="",0,IF($D124=$D121,IF($B124=" ",IF(I126="",IF(OR(AND(I124="DNB1",I125="DNB2"),AND(OR(I124="DNB1",I124="DNB2"),J125=0),AND(OR(I125="DNB1",I125="DNB2"),J124=0),AND(I124="DNB2",I125="DNB1"),AND(IF(J124=0,(J124+1)/ROUND(J124+1,0),J124/ROUND(J124,0))=1,IF(J125=0,(J125+1)/ROUND(IF(J125="",0,J125)+1,0),IF(J125="",0,J125)/ROUND(IF(J125="",1,J125),0))=1,OR(J124&lt;&gt;""),J125&lt;&gt;"")),0,IF(S124&lt;0,IF(I126="",SMALL(P124:P125,1)-SUM(O124:O125),0),SMALL(P124:P125,1)-SUM(O124:O125))),IF(S124&lt;0,IF(I126="",SMALL(P124:P126,1)-SUM(O124:O126),0),LARGE(P124:P126,1)-SUM(O124:O126))),S124)+V121,IF(I126="",IF(OR(AND(I124="DNB1",I125="DNB2"),AND(OR(I124="DNB1",I124="DNB2"),J125=0),AND(OR(I125="DNB1",I125="DNB2"),J124=0),AND(I124="DNB2",I125="DNB1"),AND(IF(J124=0,(J124+1)/ROUND(J124+1,0),J124/ROUND(J124,0))=1,IF(J125=0,(IF(J125="",0,J125)+1)/ROUND(IF(J125="",0,J125)+1,0),IF(J125="",0,J125)/ROUND(IF(J125="",0,J125)+1,0))=1,OR(J124&lt;&gt;""),J125&lt;&gt;"")),0,IF(S124&lt;0,IF(I126="",SMALL(P124:P125,1)-SUM(O124:O125),0),SMALL(P124:P126,1)-SUM(O124:O126))),IF(S124&lt;0,IF(I126="",SMALL(P124:P126,1)-SUM(O124:O126),0),LARGE(P124:P126,1)-SUM(O124:O126)))))</f>
        <v>77.240000000000009</v>
      </c>
      <c r="W124" s="496">
        <f>IF($D124=$D121,IF(S124&lt;0,IF(I126="",S124,0),S124)+W121,S124)</f>
        <v>77.3</v>
      </c>
      <c r="X124" s="505" t="str">
        <f>IF(OR(SUM(R124:R126)=0,V124=W124),ROUND(IF(W124=0,0,W124/Y124)*100,2)&amp;"%",ROUND(IF(V124=0,0,V124/Y124)*100,2)&amp;"% a "&amp;ROUND(IF(W124=0,0,W124/Y124)*100,2)&amp;"%")</f>
        <v>4,67%</v>
      </c>
      <c r="Y124" s="497">
        <f>IF($D124=$D121,Y121+SUM(O124:O126),SUM(O124:O126))</f>
        <v>1654.4900000000002</v>
      </c>
      <c r="Z124" s="496">
        <f>IF($B124=" ",SUM(O124:O126),0)+Z121</f>
        <v>0</v>
      </c>
      <c r="AA124" s="496">
        <f>IF(G124="","",IF($B124="Anulado",LARGE(P124:P126,1)-SUM(O124:O126)+AA121,AA121))</f>
        <v>0.45899999999999785</v>
      </c>
      <c r="AB124" s="496">
        <f>IF($D124="","",AB121+S124)</f>
        <v>105.94999999999997</v>
      </c>
      <c r="AC124" s="499">
        <f ca="1">IF($D124="","",IF($B124=" ",IF(DAY(G124)=DAY(TODAY()),1+AC121,0+AC121),0+AC121))</f>
        <v>0</v>
      </c>
      <c r="AD124" s="157">
        <f>(1-_xlfn.XLOOKUP(K122,'Fevereiro 2023 - Valor Real'!A3:A15,'Fevereiro 2023 - Valor Real'!C3:C15,0))+1</f>
        <v>2</v>
      </c>
      <c r="AE124" s="158">
        <f>IF(L124="","",IF(L126&gt;0,(SUM(((L124-1)*(1-_xlfn.XLOOKUP(K124,'Fevereiro 2023 - Valor Real'!A3:A15,'Fevereiro 2023 - Valor Real'!C3:C15,0))+1),((L125-1)*(1-_xlfn.XLOOKUP(K125,'Fevereiro 2023 - Valor Real'!A3:A15,'Fevereiro 2023 - Valor Real'!C3:C15,0))+1),((L126-1)*(1-_xlfn.XLOOKUP(K126,'Fevereiro 2023 - Valor Real'!A3:A15,'Fevereiro 2023 - Valor Real'!C3:C15,0))+1))/((L124-1)*(1-_xlfn.XLOOKUP(K124,'Fevereiro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Real'!C3:C15,0))+1))/((L124-1)*(1-_xlfn.XLOOKUP(K124,'Fevereiro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Real'!C3:C15,0))+1))/((L125-1)*(1-_xlfn.XLOOKUP(K125,'Fevereiro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Real'!C3:C15,0))+1))/((L126-1)*(1-_xlfn.XLOOKUP(K126,'Fevereiro 2023 - Valor Real'!A3:A15,'Fevereiro 2023 - Valor Real'!C3:C15,0))+1)),IF(I124="Lay",IF(I125="Lay",((L125/(L125-1)-1)*(1-_xlfn.XLOOKUP(K125,'Fevereiro 2023 - Valor Real'!A3:A15,'Fevereiro 2023 - Valor Real'!C3:C15,0))+1)/(((L125/(L125-1)-1)*(1-_xlfn.XLOOKUP(K125,'Fevereiro 2023 - Valor Real'!A3:A15,'Fevereiro 2023 - Valor Real'!C3:C15,0))+1)+((L124/(L124-1)-1)*(1-_xlfn.XLOOKUP(K124,'Fevereiro 2023 - Valor Real'!A3:A15,'Fevereiro 2023 - Valor Real'!C3:C15,0))+1)),((L125-1)*(1-_xlfn.XLOOKUP(K125,'Fevereiro 2023 - Valor Real'!A3:A15,'Fevereiro 2023 - Valor Real'!C3:C15,0))+1)/(((L125-1)*(1-_xlfn.XLOOKUP(K125,'Fevereiro 2023 - Valor Real'!A3:A15,'Fevereiro 2023 - Valor Real'!C3:C15,0))+1)+((L124/(L124-1)-1)*(1-_xlfn.XLOOKUP(K124,'Fevereiro 2023 - Valor Real'!A3:A15,'Fevereiro 2023 - Valor Real'!C3:C15,0))+1))),IF(I125="Lay",(((L125/(L125-1)-1)*(1-_xlfn.XLOOKUP(K125,'Fevereiro 2023 - Valor Real'!A3:A15,'Fevereiro 2023 - Valor Real'!C3:C15,0))+1))/(((L124-1)*(1-_xlfn.XLOOKUP(K124,'Fevereiro 2023 - Valor Real'!A3:A15,'Fevereiro 2023 - Valor Real'!C3:C15,0))+1)+((L125/(L125-1)-1)*(1-_xlfn.XLOOKUP(K125,'Fevereiro 2023 - Valor Real'!A3:A15,'Fevereiro 2023 - Valor Real'!C3:C15,0))+1)),((L125-1)*(1-_xlfn.XLOOKUP(K125,'Fevereiro 2023 - Valor Real'!A3:A15,'Fevereiro 2023 - Valor Real'!C3:C15,0))+1)/(((L125-1)*(1-_xlfn.XLOOKUP(K125,'Fevereiro 2023 - Valor Real'!A3:A15,'Fevereiro 2023 - Valor Real'!C3:C15,0))+1)+((L124-1)*(1-_xlfn.XLOOKUP(K124,'Fevereiro 2023 - Valor Real'!A3:A15,'Fevereiro 2023 - Valor Real'!C3:C15,0))+1))))))</f>
        <v>0.39387308533916848</v>
      </c>
      <c r="AF124" s="66">
        <f t="shared" ref="AF124:AR133" si="244">IF($K124=AF$3,ROUND(IF(OR($C124="W",$C124="1/2W",$C124="1/2L"),$P124-$O124,IF($C124="X",0,-$O124)),2),0)</f>
        <v>0</v>
      </c>
      <c r="AG124" s="67">
        <f t="shared" si="244"/>
        <v>0</v>
      </c>
      <c r="AH124" s="67">
        <f t="shared" si="244"/>
        <v>0</v>
      </c>
      <c r="AI124" s="67">
        <f t="shared" si="244"/>
        <v>0</v>
      </c>
      <c r="AJ124" s="67">
        <f t="shared" si="244"/>
        <v>-7.63</v>
      </c>
      <c r="AK124" s="67">
        <f t="shared" si="244"/>
        <v>0</v>
      </c>
      <c r="AL124" s="67">
        <f t="shared" si="244"/>
        <v>0</v>
      </c>
      <c r="AM124" s="67">
        <f t="shared" si="244"/>
        <v>0</v>
      </c>
      <c r="AN124" s="67">
        <f t="shared" si="244"/>
        <v>0</v>
      </c>
      <c r="AO124" s="67">
        <f t="shared" si="244"/>
        <v>0</v>
      </c>
      <c r="AP124" s="67">
        <f t="shared" si="244"/>
        <v>0</v>
      </c>
      <c r="AQ124" s="67">
        <f t="shared" si="244"/>
        <v>0</v>
      </c>
      <c r="AR124" s="68">
        <f t="shared" si="244"/>
        <v>0</v>
      </c>
      <c r="AS124" s="66">
        <f t="shared" ref="AS124:BE124" si="245">IF(AND($B124=" ",$K124=AS$3),$O124,0)</f>
        <v>0</v>
      </c>
      <c r="AT124" s="67">
        <f t="shared" si="245"/>
        <v>0</v>
      </c>
      <c r="AU124" s="67">
        <f t="shared" si="245"/>
        <v>0</v>
      </c>
      <c r="AV124" s="67">
        <f t="shared" si="245"/>
        <v>0</v>
      </c>
      <c r="AW124" s="67">
        <f t="shared" si="245"/>
        <v>0</v>
      </c>
      <c r="AX124" s="67">
        <f t="shared" si="245"/>
        <v>0</v>
      </c>
      <c r="AY124" s="69">
        <f t="shared" si="245"/>
        <v>0</v>
      </c>
      <c r="AZ124" s="70">
        <f t="shared" si="245"/>
        <v>0</v>
      </c>
      <c r="BA124" s="70">
        <f t="shared" si="245"/>
        <v>0</v>
      </c>
      <c r="BB124" s="70">
        <f t="shared" si="245"/>
        <v>0</v>
      </c>
      <c r="BC124" s="71">
        <f t="shared" si="245"/>
        <v>0</v>
      </c>
      <c r="BD124" s="67">
        <f t="shared" si="245"/>
        <v>0</v>
      </c>
      <c r="BE124" s="68">
        <f t="shared" si="245"/>
        <v>0</v>
      </c>
      <c r="BF124" s="66">
        <f t="shared" ref="BF124:BR133" si="246">IF($K124=BF$3,IF($C124="X",0,$O124),0)</f>
        <v>0</v>
      </c>
      <c r="BG124" s="67">
        <f t="shared" si="246"/>
        <v>0</v>
      </c>
      <c r="BH124" s="67">
        <f t="shared" si="246"/>
        <v>0</v>
      </c>
      <c r="BI124" s="67">
        <f t="shared" si="246"/>
        <v>0</v>
      </c>
      <c r="BJ124" s="67">
        <f t="shared" si="246"/>
        <v>7.63</v>
      </c>
      <c r="BK124" s="67">
        <f t="shared" si="246"/>
        <v>0</v>
      </c>
      <c r="BL124" s="67">
        <f t="shared" si="246"/>
        <v>0</v>
      </c>
      <c r="BM124" s="69">
        <f t="shared" si="246"/>
        <v>0</v>
      </c>
      <c r="BN124" s="70">
        <f t="shared" si="246"/>
        <v>0</v>
      </c>
      <c r="BO124" s="70">
        <f t="shared" si="246"/>
        <v>0</v>
      </c>
      <c r="BP124" s="70">
        <f t="shared" si="246"/>
        <v>0</v>
      </c>
      <c r="BQ124" s="71">
        <f t="shared" si="246"/>
        <v>0</v>
      </c>
      <c r="BR124" s="68">
        <f t="shared" si="246"/>
        <v>0</v>
      </c>
      <c r="BS124" s="490">
        <f>IF($B124="LOSS",IF(AND($K124=BS$3,$C124="L"),-$O124,0)+IF(AND($K125=BS$3,$C125="L"),-$O125,0)+IF(AND($K126=BS$3,$C126="L"),-$O126,0),IF(OR(AND($K124=BS$3,OR($C124="W",$C124="1/2W")),AND($K125=BS$3,OR($C125="W",$C125="1/2W")),AND($K126=BS$3,OR($C126="W",$C126="1/2W"))),$S124,0))</f>
        <v>1.81</v>
      </c>
      <c r="BT124" s="498">
        <f>IF($B124="LOSS",IF(AND($K124=BT$3,$C124="L"),-$O124,0)+IF(AND($K125=BT$3,$C125="L"),-$O125,0)+IF(AND($K125=BT$3,$C126="L"),-$O126,0),IF(OR(AND($K125=BT$3,OR($C124="W",$C124="1/2W")),AND($K125=BT$3,OR($C125="W",$C125="1/2W")),AND($K125=BT$3,OR($C126="W",$C126="1/2W"))),$S124,0))</f>
        <v>0</v>
      </c>
      <c r="BU124" s="488">
        <f>IF($B124="LOSS",IF(AND($K124=BU$3,$C124="L"),-$O124,0)+IF(AND($K125=BU$3,$C125="L"),-$O125,0)+IF(AND($K125=BU$3,$C126="L"),-$O126,0),IF(OR(AND($K125=BU$3,OR($C124="W",$C124="1/2W")),AND($K125=BU$3,OR($C125="W",$C125="1/2W")),AND($K125=BU$3,OR($C126="W",$C126="1/2W"))),$S124,0))</f>
        <v>0</v>
      </c>
      <c r="BV124" s="488">
        <f t="shared" ref="BV124:CE124" si="247">IF($B124="LOSS",IF(AND($K124=BV$3,$C124="L"),-$O124,0)+IF(AND($K125=BV$3,$C125="L"),-$O125,0)+IF(AND($K126=BV$3,$C126="L"),-$O126,0),IF(OR(AND($K124=BV$3,OR($C124="W",$C124="1/2W")),AND($K125=BV$3,OR($C125="W",$C125="1/2W")),AND($K126=BV$3,OR($C126="W",$C126="1/2W"))),$S124,0))</f>
        <v>0</v>
      </c>
      <c r="BW124" s="488">
        <f t="shared" si="247"/>
        <v>0</v>
      </c>
      <c r="BX124" s="488">
        <f t="shared" si="247"/>
        <v>0</v>
      </c>
      <c r="BY124" s="488">
        <f t="shared" si="247"/>
        <v>0</v>
      </c>
      <c r="BZ124" s="488">
        <f t="shared" si="247"/>
        <v>0</v>
      </c>
      <c r="CA124" s="488">
        <f t="shared" si="247"/>
        <v>0</v>
      </c>
      <c r="CB124" s="488">
        <f t="shared" si="247"/>
        <v>0</v>
      </c>
      <c r="CC124" s="488">
        <f t="shared" si="247"/>
        <v>0</v>
      </c>
      <c r="CD124" s="500">
        <f t="shared" si="247"/>
        <v>0</v>
      </c>
      <c r="CE124" s="504">
        <f t="shared" si="247"/>
        <v>0</v>
      </c>
      <c r="CF124" s="160">
        <f t="shared" si="131"/>
        <v>0</v>
      </c>
      <c r="CG124" s="161">
        <f t="shared" si="132"/>
        <v>0</v>
      </c>
      <c r="CH124" s="161">
        <f t="shared" si="133"/>
        <v>0</v>
      </c>
      <c r="CI124" s="161">
        <f t="shared" si="134"/>
        <v>0</v>
      </c>
      <c r="CJ124" s="161">
        <f t="shared" si="135"/>
        <v>0</v>
      </c>
      <c r="CK124" s="161">
        <f t="shared" si="136"/>
        <v>0</v>
      </c>
      <c r="CL124" s="161">
        <f t="shared" si="137"/>
        <v>0</v>
      </c>
      <c r="CM124" s="161">
        <f t="shared" si="138"/>
        <v>0</v>
      </c>
      <c r="CN124" s="161">
        <f t="shared" si="139"/>
        <v>0</v>
      </c>
      <c r="CO124" s="161">
        <f t="shared" si="140"/>
        <v>1</v>
      </c>
      <c r="CP124" s="161">
        <f t="shared" si="141"/>
        <v>0</v>
      </c>
      <c r="CQ124" s="161">
        <f t="shared" si="142"/>
        <v>0</v>
      </c>
      <c r="CR124" s="161">
        <f t="shared" si="143"/>
        <v>0</v>
      </c>
      <c r="CS124" s="161">
        <f t="shared" si="144"/>
        <v>0</v>
      </c>
      <c r="CT124" s="75">
        <f t="shared" si="145"/>
        <v>0</v>
      </c>
      <c r="CU124" s="76">
        <f t="shared" si="146"/>
        <v>0</v>
      </c>
      <c r="CV124" s="76">
        <f t="shared" si="147"/>
        <v>0</v>
      </c>
      <c r="CW124" s="76">
        <f t="shared" si="148"/>
        <v>0</v>
      </c>
      <c r="CX124" s="76">
        <f t="shared" si="149"/>
        <v>0</v>
      </c>
      <c r="CY124" s="76">
        <f t="shared" si="150"/>
        <v>0</v>
      </c>
      <c r="CZ124" s="76">
        <f t="shared" si="151"/>
        <v>0</v>
      </c>
      <c r="DA124" s="76">
        <f t="shared" si="152"/>
        <v>0</v>
      </c>
      <c r="DB124" s="76">
        <f t="shared" si="153"/>
        <v>0</v>
      </c>
      <c r="DC124" s="76">
        <f t="shared" si="154"/>
        <v>0</v>
      </c>
      <c r="DD124" s="76">
        <f t="shared" si="155"/>
        <v>0</v>
      </c>
      <c r="DE124" s="77">
        <f t="shared" si="156"/>
        <v>0</v>
      </c>
      <c r="DF124" s="73">
        <f t="shared" si="158"/>
        <v>11</v>
      </c>
      <c r="DG124" s="67">
        <f t="shared" si="159"/>
        <v>14.450000000000001</v>
      </c>
      <c r="DH124" s="76">
        <f t="shared" si="160"/>
        <v>1</v>
      </c>
      <c r="DI124" s="67">
        <f t="shared" si="161"/>
        <v>3.9</v>
      </c>
      <c r="DJ124" s="202" t="str">
        <f>IF($D124="","",$D124)</f>
        <v>2</v>
      </c>
      <c r="DK124" s="492">
        <f>IF(AND($B124=" ",$D124&lt;&gt;""),1,0)</f>
        <v>0</v>
      </c>
    </row>
    <row r="125" spans="1:115" ht="14.5" customHeight="1" x14ac:dyDescent="0.2">
      <c r="A125" s="389"/>
      <c r="B125" s="456"/>
      <c r="C125" s="53" t="s">
        <v>54</v>
      </c>
      <c r="D125" s="374"/>
      <c r="E125" s="386"/>
      <c r="F125" s="377"/>
      <c r="G125" s="508"/>
      <c r="H125" s="476"/>
      <c r="I125" s="182" t="s">
        <v>52</v>
      </c>
      <c r="J125" s="56">
        <f>IF(OR(I124="TO",I124="TU",I124="TO1",I124="TU1",I124="TO2",I124="TU2"),J124,IF(OR(I124="AH1",I124="AH2"),IF(OR(I125="AH1",I125="AH2"),-J124,IF(OR(I125="EH1",I125="EH2"),-J124+0.5,"")),IF(OR(I124="EH1",I124="EH2"),IF(OR(I125="AH1",I125="AH2"),-J124+0.5,IF(OR(I125="EH1",I125="EH2"),-J124+1,"")),IF(AND(OR(I124="DNB1",I124="DNB2"),OR(I125="AH1",I125="AH2")),0,IF(AND(I124="Not ScoreBoth",OR(I125="TO1",I125="TO2")),0.5,"")))))</f>
        <v>1.5</v>
      </c>
      <c r="K125" s="57" t="s">
        <v>36</v>
      </c>
      <c r="L125" s="164">
        <v>1.8</v>
      </c>
      <c r="M125" s="165">
        <v>11.8</v>
      </c>
      <c r="N125" s="406"/>
      <c r="O125" s="60">
        <f>IF(OR(AE124="",AE125=""),"",ROUND(IF(L126&gt;0,IF(M125&gt;0,M125,IF(M124&gt;0,IF(N124=TRUE,ROUND((M124*AE125)/AE124,0),(M124*AE125)/AE124),IF(M125&gt;0,ROUND(M125,IF(N124=0,2,IF(N124=0.1,1,0))),IF(M126&gt;0,ROUND(O126*AE125/AE126,IF(N124=0,2,IF(N124=0.1,1,0))),0)))),IF(M125&gt;0,M125,ROUND((M124*AE125)/AE124,IF(N124=0,2,IF(N124=0.1,1,0))))),2))</f>
        <v>11.8</v>
      </c>
      <c r="P125" s="61">
        <f>IF(OR(L125="",O125=""),"",IF($C125="1/2W",O125/2+O125/2*L125,IF($C125="1/2L",O125/2,IF(I125="Lay",((O125*(L125/(L125-1)))-O125)*(1-_xlfn.XLOOKUP(K125,'Fevereiro 2023 - Valor Real'!A3:A15,'Fevereiro 2023 - Valor Real'!C3:C15,0))+O125,(O125*L125-O125)*(1-_xlfn.XLOOKUP(K125,'Fevereiro 2023 - Valor Real'!A3:A15,'Fevereiro 2023 - Valor Real'!C3:C15,0))+O125))))</f>
        <v>21.240000000000002</v>
      </c>
      <c r="Q125" s="166">
        <f>IF(K125="","",IF(_xlfn.XLOOKUP(K125,K$10:K116,$DJ$10:DJ116,0,,-1)=DJ125,_xlfn.XLOOKUP(K125,K$10:K116,Q$10:Q116,1,,-1)+1,1))</f>
        <v>6</v>
      </c>
      <c r="R125" s="167">
        <f>IF(K125="","",_xlfn.XLOOKUP(K125,K$10:K116,R$10:R116,0,,-1)+IF($C125=" ",1,0))</f>
        <v>0</v>
      </c>
      <c r="S125" s="403"/>
      <c r="T125" s="380"/>
      <c r="U125" s="380"/>
      <c r="V125" s="481"/>
      <c r="W125" s="380"/>
      <c r="X125" s="452"/>
      <c r="Y125" s="383"/>
      <c r="Z125" s="384"/>
      <c r="AA125" s="384"/>
      <c r="AB125" s="384"/>
      <c r="AC125" s="384"/>
      <c r="AD125" s="64"/>
      <c r="AE125" s="65">
        <f>IF(L125="","",IF(L126&gt;0,(SUM(((L124-1)*(1-_xlfn.XLOOKUP(K124,'Fevereiro 2023 - Valor Real'!A3:A15,'Fevereiro 2023 - Valor Real'!C3:C15,0))+1),((L125-1)*(1-_xlfn.XLOOKUP(K125,'Fevereiro 2023 - Valor Real'!A3:A15,'Fevereiro 2023 - Valor Real'!C3:C15,0))+1),((L126-1)*(1-_xlfn.XLOOKUP(K126,'Fevereiro 2023 - Valor Real'!A3:A15,'Fevereiro 2023 - Valor Real'!C3:C15,0))+1))/((L125-1)*(1-_xlfn.XLOOKUP(K125,'Fevereiro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Real'!C3:C15,0))+1))/((L124-1)*(1-_xlfn.XLOOKUP(K124,'Fevereiro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Real'!C3:C15,0))+1))/((L125-1)*(1-_xlfn.XLOOKUP(K125,'Fevereiro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Real'!C3:C15,0))+1))/((L126-1)*(1-_xlfn.XLOOKUP(K126,'Fevereiro 2023 - Valor Real'!A3:A15,'Fevereiro 2023 - Valor Real'!C3:C15,0))+1)),IF(I125="Lay",IF(I124="Lay",((L124/(L124-1)-1)*(1-_xlfn.XLOOKUP(K124,'Fevereiro 2023 - Valor Real'!A3:A15,'Fevereiro 2023 - Valor Real'!C3:C15,0))+1)/(((L124/(L124-1)-1)*(1-_xlfn.XLOOKUP(K124,'Fevereiro 2023 - Valor Real'!A3:A15,'Fevereiro 2023 - Valor Real'!C3:C15,0))+1)+((L125/(L125-1)-1)*(1-_xlfn.XLOOKUP(K125,'Fevereiro 2023 - Valor Real'!A3:A15,'Fevereiro 2023 - Valor Real'!C3:C15,0))+1)),((L124-1)*(1-_xlfn.XLOOKUP(K124,'Fevereiro 2023 - Valor Real'!A3:A15,'Fevereiro 2023 - Valor Real'!C3:C15,0))+1)/(((L124-1)*(1-_xlfn.XLOOKUP(K124,'Fevereiro 2023 - Valor Real'!A3:A15,'Fevereiro 2023 - Valor Real'!C3:C15,0))+1)+((L125/(L125-1)-1)*(1-_xlfn.XLOOKUP(K125,'Fevereiro 2023 - Valor Real'!A3:A15,'Fevereiro 2023 - Valor Real'!C3:C15,0))+1))),IF(I124="Lay",((L124/(L124-1)-1)*(1-_xlfn.XLOOKUP(K124,'Fevereiro 2023 - Valor Real'!A3:A15,'Fevereiro 2023 - Valor Real'!C3:C15,0))+1)/((((L124/(L124-1)-1)*(1-_xlfn.XLOOKUP(K124,'Fevereiro 2023 - Valor Real'!A3:A15,'Fevereiro 2023 - Valor Real'!C3:C15,0))+1))+((L125-1)*(1-_xlfn.XLOOKUP(K125,'Fevereiro 2023 - Valor Real'!A3:A15,'Fevereiro 2023 - Valor Real'!C3:C15,0))+1)),((L124-1)*(1-_xlfn.XLOOKUP(K124,'Fevereiro 2023 - Valor Real'!A3:A15,'Fevereiro 2023 - Valor Real'!C3:C15,0))+1)/(((L124-1)*(1-_xlfn.XLOOKUP(K124,'Fevereiro 2023 - Valor Real'!A3:A15,'Fevereiro 2023 - Valor Real'!C3:C15,0))+1)+((L125-1)*(1-_xlfn.XLOOKUP(K125,'Fevereiro 2023 - Valor Real'!A3:A15,'Fevereiro 2023 - Valor Real'!C3:C15,0))+1))))))</f>
        <v>0.60612691466083146</v>
      </c>
      <c r="AF125" s="66">
        <f t="shared" si="244"/>
        <v>9.44</v>
      </c>
      <c r="AG125" s="67">
        <f t="shared" si="244"/>
        <v>0</v>
      </c>
      <c r="AH125" s="67">
        <f t="shared" si="244"/>
        <v>0</v>
      </c>
      <c r="AI125" s="67">
        <f t="shared" si="244"/>
        <v>0</v>
      </c>
      <c r="AJ125" s="67">
        <f t="shared" si="244"/>
        <v>0</v>
      </c>
      <c r="AK125" s="67">
        <f t="shared" si="244"/>
        <v>0</v>
      </c>
      <c r="AL125" s="67">
        <f t="shared" si="244"/>
        <v>0</v>
      </c>
      <c r="AM125" s="67">
        <f t="shared" si="244"/>
        <v>0</v>
      </c>
      <c r="AN125" s="67">
        <f t="shared" si="244"/>
        <v>0</v>
      </c>
      <c r="AO125" s="67">
        <f t="shared" si="244"/>
        <v>0</v>
      </c>
      <c r="AP125" s="67">
        <f t="shared" si="244"/>
        <v>0</v>
      </c>
      <c r="AQ125" s="67">
        <f t="shared" si="244"/>
        <v>0</v>
      </c>
      <c r="AR125" s="68">
        <f t="shared" si="244"/>
        <v>0</v>
      </c>
      <c r="AS125" s="66">
        <f>IF(AND($B124=" ",$K125=AS$3),$O125,0)</f>
        <v>0</v>
      </c>
      <c r="AT125" s="67">
        <f>IF(AND($B124=" ",K125=AT$3),$O125,0)</f>
        <v>0</v>
      </c>
      <c r="AU125" s="67">
        <f t="shared" ref="AU125:BE125" si="248">IF(AND($B124=" ",$K125=AU$3),$O125,0)</f>
        <v>0</v>
      </c>
      <c r="AV125" s="67">
        <f t="shared" si="248"/>
        <v>0</v>
      </c>
      <c r="AW125" s="67">
        <f t="shared" si="248"/>
        <v>0</v>
      </c>
      <c r="AX125" s="67">
        <f t="shared" si="248"/>
        <v>0</v>
      </c>
      <c r="AY125" s="69">
        <f t="shared" si="248"/>
        <v>0</v>
      </c>
      <c r="AZ125" s="70">
        <f t="shared" si="248"/>
        <v>0</v>
      </c>
      <c r="BA125" s="70">
        <f t="shared" si="248"/>
        <v>0</v>
      </c>
      <c r="BB125" s="70">
        <f t="shared" si="248"/>
        <v>0</v>
      </c>
      <c r="BC125" s="71">
        <f t="shared" si="248"/>
        <v>0</v>
      </c>
      <c r="BD125" s="67">
        <f t="shared" si="248"/>
        <v>0</v>
      </c>
      <c r="BE125" s="68">
        <f t="shared" si="248"/>
        <v>0</v>
      </c>
      <c r="BF125" s="66">
        <f t="shared" si="246"/>
        <v>11.8</v>
      </c>
      <c r="BG125" s="168">
        <f t="shared" si="246"/>
        <v>0</v>
      </c>
      <c r="BH125" s="67">
        <f t="shared" si="246"/>
        <v>0</v>
      </c>
      <c r="BI125" s="67">
        <f t="shared" si="246"/>
        <v>0</v>
      </c>
      <c r="BJ125" s="67">
        <f t="shared" si="246"/>
        <v>0</v>
      </c>
      <c r="BK125" s="67">
        <f t="shared" si="246"/>
        <v>0</v>
      </c>
      <c r="BL125" s="67">
        <f t="shared" si="246"/>
        <v>0</v>
      </c>
      <c r="BM125" s="69">
        <f t="shared" si="246"/>
        <v>0</v>
      </c>
      <c r="BN125" s="70">
        <f t="shared" si="246"/>
        <v>0</v>
      </c>
      <c r="BO125" s="70">
        <f t="shared" si="246"/>
        <v>0</v>
      </c>
      <c r="BP125" s="70">
        <f t="shared" si="246"/>
        <v>0</v>
      </c>
      <c r="BQ125" s="71">
        <f t="shared" si="246"/>
        <v>0</v>
      </c>
      <c r="BR125" s="68">
        <f t="shared" si="246"/>
        <v>0</v>
      </c>
      <c r="BS125" s="491"/>
      <c r="BT125" s="489"/>
      <c r="BU125" s="392"/>
      <c r="BV125" s="489"/>
      <c r="BW125" s="392"/>
      <c r="BX125" s="392"/>
      <c r="BY125" s="392"/>
      <c r="BZ125" s="489"/>
      <c r="CA125" s="392"/>
      <c r="CB125" s="392"/>
      <c r="CC125" s="392"/>
      <c r="CD125" s="401"/>
      <c r="CE125" s="409"/>
      <c r="CF125" s="169">
        <f t="shared" si="131"/>
        <v>1</v>
      </c>
      <c r="CG125" s="170">
        <f t="shared" si="132"/>
        <v>0</v>
      </c>
      <c r="CH125" s="170">
        <f t="shared" si="133"/>
        <v>0</v>
      </c>
      <c r="CI125" s="170">
        <f t="shared" si="134"/>
        <v>0</v>
      </c>
      <c r="CJ125" s="170">
        <f t="shared" si="135"/>
        <v>0</v>
      </c>
      <c r="CK125" s="170">
        <f t="shared" si="136"/>
        <v>0</v>
      </c>
      <c r="CL125" s="170">
        <f t="shared" si="137"/>
        <v>0</v>
      </c>
      <c r="CM125" s="170">
        <f t="shared" si="138"/>
        <v>0</v>
      </c>
      <c r="CN125" s="170">
        <f t="shared" si="139"/>
        <v>0</v>
      </c>
      <c r="CO125" s="170">
        <f t="shared" si="140"/>
        <v>0</v>
      </c>
      <c r="CP125" s="170">
        <f t="shared" si="141"/>
        <v>0</v>
      </c>
      <c r="CQ125" s="170">
        <f t="shared" si="142"/>
        <v>0</v>
      </c>
      <c r="CR125" s="170">
        <f t="shared" si="143"/>
        <v>0</v>
      </c>
      <c r="CS125" s="170">
        <f t="shared" si="144"/>
        <v>0</v>
      </c>
      <c r="CT125" s="75">
        <f t="shared" si="145"/>
        <v>0</v>
      </c>
      <c r="CU125" s="76">
        <f t="shared" si="146"/>
        <v>0</v>
      </c>
      <c r="CV125" s="76">
        <f t="shared" si="147"/>
        <v>0</v>
      </c>
      <c r="CW125" s="76">
        <f t="shared" si="148"/>
        <v>0</v>
      </c>
      <c r="CX125" s="76">
        <f t="shared" si="149"/>
        <v>0</v>
      </c>
      <c r="CY125" s="76">
        <f t="shared" si="150"/>
        <v>0</v>
      </c>
      <c r="CZ125" s="76">
        <f t="shared" si="151"/>
        <v>0</v>
      </c>
      <c r="DA125" s="76">
        <f t="shared" si="152"/>
        <v>0</v>
      </c>
      <c r="DB125" s="76">
        <f t="shared" si="153"/>
        <v>0</v>
      </c>
      <c r="DC125" s="76">
        <f t="shared" si="154"/>
        <v>0</v>
      </c>
      <c r="DD125" s="76">
        <f t="shared" si="155"/>
        <v>0</v>
      </c>
      <c r="DE125" s="77">
        <f t="shared" si="156"/>
        <v>0</v>
      </c>
      <c r="DF125" s="73">
        <f t="shared" si="158"/>
        <v>11</v>
      </c>
      <c r="DG125" s="67">
        <f t="shared" si="159"/>
        <v>14.450000000000001</v>
      </c>
      <c r="DH125" s="76">
        <f t="shared" si="160"/>
        <v>1</v>
      </c>
      <c r="DI125" s="67">
        <f t="shared" si="161"/>
        <v>3.9</v>
      </c>
      <c r="DJ125" s="202" t="str">
        <f>IF($D124="","",$D124)</f>
        <v>2</v>
      </c>
      <c r="DK125" s="493"/>
    </row>
    <row r="126" spans="1:115" ht="14.5" customHeight="1" x14ac:dyDescent="0.2">
      <c r="A126" s="390"/>
      <c r="B126" s="457"/>
      <c r="C126" s="79" t="s">
        <v>53</v>
      </c>
      <c r="D126" s="375"/>
      <c r="E126" s="387"/>
      <c r="F126" s="378"/>
      <c r="G126" s="508"/>
      <c r="H126" s="477"/>
      <c r="I126" s="171"/>
      <c r="J126" s="172"/>
      <c r="K126" s="81"/>
      <c r="L126" s="173"/>
      <c r="M126" s="174"/>
      <c r="N126" s="407"/>
      <c r="O126" s="86" t="str">
        <f>IF(OR(AE124="",AE125=""),"",IF(L126&gt;0,ROUND(IF(M126&gt;0,M126,IF(M124&gt;0,ROUND((M124*AE126)/AE124,IF(N124=0,2,IF(N124=0.1,1,0))),IF(M125&gt;0,ROUND((M125*AE126)/AE125,IF(N124=0,2,IF(N124=0.1,1,0))),IF(M126&gt;0,M126,0)))),2),""))</f>
        <v/>
      </c>
      <c r="P126" s="87" t="str">
        <f>IF(I125="Lay",O125*(L125/(L125-1))-O125,IF(I124="Lay",O124*(L124/(L124-1))-O124,IF(OR(L126="",O126=""),"",IF($C126="1/2W",O126/2+O126/2*L126,IF($C126="1/2L",O126/2,(O126*L126-O126)*(1-_xlfn.XLOOKUP(K126,'Fevereiro 2023 - Valor Real'!A3:A15,'Fevereiro 2023 - Valor Real'!C3:C15,0))+O126)))))</f>
        <v/>
      </c>
      <c r="Q126" s="54" t="str">
        <f>IF(K126="","",IF(_xlfn.XLOOKUP(K126,K$11:K116,$DJ$11:DJ116,0,,-1)=DJ126,_xlfn.XLOOKUP(K126,K$11:K116,Q$11:Q116,1,,-1)+1,1))</f>
        <v/>
      </c>
      <c r="R126" s="87" t="str">
        <f>IF(K126="","",_xlfn.XLOOKUP(K126,K$11:K116,R$11:R116,0,,-1)+IF($C126=" ",1,0))</f>
        <v/>
      </c>
      <c r="S126" s="404"/>
      <c r="T126" s="378"/>
      <c r="U126" s="378"/>
      <c r="V126" s="404"/>
      <c r="W126" s="378"/>
      <c r="X126" s="453"/>
      <c r="Y126" s="383"/>
      <c r="Z126" s="384"/>
      <c r="AA126" s="384"/>
      <c r="AB126" s="384"/>
      <c r="AC126" s="384"/>
      <c r="AD126" s="90"/>
      <c r="AE126" s="91" t="str">
        <f>IF(L126="","",(SUM(((L124-1)*(1-_xlfn.XLOOKUP(K124,'Fevereiro 2023 - Valor Real'!A3:A15,'Fevereiro 2023 - Valor Real'!C3:C15,0))+1),((L125-1)*(1-_xlfn.XLOOKUP(K125,'Fevereiro 2023 - Valor Real'!A3:A15,'Fevereiro 2023 - Valor Real'!C3:C15,0))+1),((L126-1)*(1-_xlfn.XLOOKUP(K126,'Fevereiro 2023 - Valor Real'!A3:A15,'Fevereiro 2023 - Valor Real'!C3:C15,0))+1))/((L126-1)*(1-_xlfn.XLOOKUP(K126,'Fevereiro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Real'!C3:C15,0))+1))/((L124-1)*(1-_xlfn.XLOOKUP(K124,'Fevereiro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Real'!C3:C15,0))+1))/((L125-1)*(1-_xlfn.XLOOKUP(K125,'Fevereiro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Real'!C3:C15,0))+1))/((L126-1)*(1-_xlfn.XLOOKUP(K126,'Fevereiro 2023 - Valor Real'!A3:A15,'Fevereiro 2023 - Valor Real'!C3:C15,0))+1)))</f>
        <v/>
      </c>
      <c r="AF126" s="66">
        <f t="shared" si="244"/>
        <v>0</v>
      </c>
      <c r="AG126" s="67">
        <f t="shared" si="244"/>
        <v>0</v>
      </c>
      <c r="AH126" s="67">
        <f t="shared" si="244"/>
        <v>0</v>
      </c>
      <c r="AI126" s="67">
        <f t="shared" si="244"/>
        <v>0</v>
      </c>
      <c r="AJ126" s="67">
        <f t="shared" si="244"/>
        <v>0</v>
      </c>
      <c r="AK126" s="67">
        <f t="shared" si="244"/>
        <v>0</v>
      </c>
      <c r="AL126" s="67">
        <f t="shared" si="244"/>
        <v>0</v>
      </c>
      <c r="AM126" s="67">
        <f t="shared" si="244"/>
        <v>0</v>
      </c>
      <c r="AN126" s="67">
        <f t="shared" si="244"/>
        <v>0</v>
      </c>
      <c r="AO126" s="67">
        <f t="shared" si="244"/>
        <v>0</v>
      </c>
      <c r="AP126" s="67">
        <f t="shared" si="244"/>
        <v>0</v>
      </c>
      <c r="AQ126" s="67">
        <f t="shared" si="244"/>
        <v>0</v>
      </c>
      <c r="AR126" s="68">
        <f t="shared" si="244"/>
        <v>0</v>
      </c>
      <c r="AS126" s="66">
        <f>IF(AND($B124=" ",$K126=AS$3),$O126,0)</f>
        <v>0</v>
      </c>
      <c r="AT126" s="67">
        <f>IF(AND($B124=" ",K126=AT$3),$O126,0)</f>
        <v>0</v>
      </c>
      <c r="AU126" s="67">
        <f t="shared" ref="AU126:BE126" si="249">IF(AND($B124=" ",$K126=AU$3),$O126,0)</f>
        <v>0</v>
      </c>
      <c r="AV126" s="67">
        <f t="shared" si="249"/>
        <v>0</v>
      </c>
      <c r="AW126" s="67">
        <f t="shared" si="249"/>
        <v>0</v>
      </c>
      <c r="AX126" s="67">
        <f t="shared" si="249"/>
        <v>0</v>
      </c>
      <c r="AY126" s="69">
        <f t="shared" si="249"/>
        <v>0</v>
      </c>
      <c r="AZ126" s="70">
        <f t="shared" si="249"/>
        <v>0</v>
      </c>
      <c r="BA126" s="70">
        <f t="shared" si="249"/>
        <v>0</v>
      </c>
      <c r="BB126" s="70">
        <f t="shared" si="249"/>
        <v>0</v>
      </c>
      <c r="BC126" s="71">
        <f t="shared" si="249"/>
        <v>0</v>
      </c>
      <c r="BD126" s="67">
        <f t="shared" si="249"/>
        <v>0</v>
      </c>
      <c r="BE126" s="68">
        <f t="shared" si="249"/>
        <v>0</v>
      </c>
      <c r="BF126" s="66">
        <f t="shared" si="246"/>
        <v>0</v>
      </c>
      <c r="BG126" s="168">
        <f t="shared" si="246"/>
        <v>0</v>
      </c>
      <c r="BH126" s="67">
        <f t="shared" si="246"/>
        <v>0</v>
      </c>
      <c r="BI126" s="67">
        <f t="shared" si="246"/>
        <v>0</v>
      </c>
      <c r="BJ126" s="67">
        <f t="shared" si="246"/>
        <v>0</v>
      </c>
      <c r="BK126" s="67">
        <f t="shared" si="246"/>
        <v>0</v>
      </c>
      <c r="BL126" s="67">
        <f t="shared" si="246"/>
        <v>0</v>
      </c>
      <c r="BM126" s="69">
        <f t="shared" si="246"/>
        <v>0</v>
      </c>
      <c r="BN126" s="70">
        <f t="shared" si="246"/>
        <v>0</v>
      </c>
      <c r="BO126" s="70">
        <f t="shared" si="246"/>
        <v>0</v>
      </c>
      <c r="BP126" s="70">
        <f t="shared" si="246"/>
        <v>0</v>
      </c>
      <c r="BQ126" s="71">
        <f t="shared" si="246"/>
        <v>0</v>
      </c>
      <c r="BR126" s="68">
        <f t="shared" si="246"/>
        <v>0</v>
      </c>
      <c r="BS126" s="491"/>
      <c r="BT126" s="489"/>
      <c r="BU126" s="392"/>
      <c r="BV126" s="489"/>
      <c r="BW126" s="392"/>
      <c r="BX126" s="392"/>
      <c r="BY126" s="392"/>
      <c r="BZ126" s="489"/>
      <c r="CA126" s="392"/>
      <c r="CB126" s="392"/>
      <c r="CC126" s="392"/>
      <c r="CD126" s="401"/>
      <c r="CE126" s="409"/>
      <c r="CF126" s="169">
        <f t="shared" si="131"/>
        <v>0</v>
      </c>
      <c r="CG126" s="170">
        <f t="shared" si="132"/>
        <v>0</v>
      </c>
      <c r="CH126" s="170">
        <f t="shared" si="133"/>
        <v>0</v>
      </c>
      <c r="CI126" s="170">
        <f t="shared" si="134"/>
        <v>0</v>
      </c>
      <c r="CJ126" s="170">
        <f t="shared" si="135"/>
        <v>0</v>
      </c>
      <c r="CK126" s="170">
        <f t="shared" si="136"/>
        <v>0</v>
      </c>
      <c r="CL126" s="170">
        <f t="shared" si="137"/>
        <v>0</v>
      </c>
      <c r="CM126" s="170">
        <f t="shared" si="138"/>
        <v>0</v>
      </c>
      <c r="CN126" s="170">
        <f t="shared" si="139"/>
        <v>0</v>
      </c>
      <c r="CO126" s="170">
        <f t="shared" si="140"/>
        <v>0</v>
      </c>
      <c r="CP126" s="170">
        <f t="shared" si="141"/>
        <v>0</v>
      </c>
      <c r="CQ126" s="170">
        <f t="shared" si="142"/>
        <v>0</v>
      </c>
      <c r="CR126" s="170">
        <f t="shared" si="143"/>
        <v>0</v>
      </c>
      <c r="CS126" s="170">
        <f t="shared" si="144"/>
        <v>0</v>
      </c>
      <c r="CT126" s="75">
        <f t="shared" si="145"/>
        <v>0</v>
      </c>
      <c r="CU126" s="76">
        <f t="shared" si="146"/>
        <v>0</v>
      </c>
      <c r="CV126" s="76">
        <f t="shared" si="147"/>
        <v>0</v>
      </c>
      <c r="CW126" s="76">
        <f t="shared" si="148"/>
        <v>0</v>
      </c>
      <c r="CX126" s="76">
        <f t="shared" si="149"/>
        <v>0</v>
      </c>
      <c r="CY126" s="76">
        <f t="shared" si="150"/>
        <v>0</v>
      </c>
      <c r="CZ126" s="76">
        <f t="shared" si="151"/>
        <v>0</v>
      </c>
      <c r="DA126" s="76">
        <f t="shared" si="152"/>
        <v>0</v>
      </c>
      <c r="DB126" s="76">
        <f t="shared" si="153"/>
        <v>0</v>
      </c>
      <c r="DC126" s="76">
        <f t="shared" si="154"/>
        <v>0</v>
      </c>
      <c r="DD126" s="76">
        <f t="shared" si="155"/>
        <v>0</v>
      </c>
      <c r="DE126" s="77">
        <f t="shared" si="156"/>
        <v>0</v>
      </c>
      <c r="DF126" s="73">
        <f t="shared" si="158"/>
        <v>11</v>
      </c>
      <c r="DG126" s="67">
        <f t="shared" si="159"/>
        <v>14.450000000000001</v>
      </c>
      <c r="DH126" s="76">
        <f t="shared" si="160"/>
        <v>1</v>
      </c>
      <c r="DI126" s="67">
        <f t="shared" si="161"/>
        <v>3.9</v>
      </c>
      <c r="DJ126" s="202" t="str">
        <f>IF($D124="","",$D124)</f>
        <v>2</v>
      </c>
      <c r="DK126" s="493"/>
    </row>
    <row r="127" spans="1:115" ht="14.5" customHeight="1" x14ac:dyDescent="0.2">
      <c r="A127" s="459">
        <f>$A124+1</f>
        <v>42</v>
      </c>
      <c r="B127" s="507" t="str">
        <f>IF(OR(C127="W",C128="W",C129="W",C127="1/2W",C128="1/2W",C129="1/2W",C127="1/2L",C128="1/2L",C129="1/2L"),"OK",IF(OR(C127="L",C128="L",C129="L"),"LOSS",IF(OR(C127="X",C128="X",C129="X"),"Anulado"," ")))</f>
        <v>OK</v>
      </c>
      <c r="C127" s="93" t="s">
        <v>54</v>
      </c>
      <c r="D127" s="468" t="str">
        <f>IF(G127="","",$D124)</f>
        <v>2</v>
      </c>
      <c r="E127" s="485" t="str">
        <f>IF(G127=""," ","– "&amp;COUNTIF(D$4:D129,$D127))</f>
        <v>– 25</v>
      </c>
      <c r="F127" s="509" t="str">
        <f ca="1">IF(G127="","",IF(OR(AND($C127&lt;&gt;" ",$C128=" "),AND($C128&lt;&gt;" ",$C127=" "),AND(L129&gt;0,OR(AND($C129&lt;&gt;" ",OR($C127=" ",$C128=" ")),AND($C129=" ",OR($C127&lt;&gt;" ",$C128&lt;&gt;" "))))),IF(SUM(F$6:F122)=0,1,LARGE(F$6:F122,1)+1),IF(MONTH(G127)=MONTH(TODAY()),IF(AND(DAY(G127)&lt;DAY(TODAY()),$B127=" "),IF(SUM(F$6:F122)=0,1,LARGE(F$6:F122,1)+1),IF($B127=" ",IF(AND(DAY(G127)=DAY(TODAY()),HOUR(G127)&lt;=HOUR(NOW())+1),IF(AND(HOUR(G127)+2&lt;=HOUR(NOW()),DAY(G127)&lt;=DAY(TODAY()),MINUTE(G127)&lt;=MINUTE(NOW())),IF(SUM(F$6:F122)=0,1,LARGE(F$6:F122,1)+1),IF(OR(MINUTE(G127)&lt;=MINUTE(NOW()),HOUR(G127)&lt;=HOUR(NOW())),"!!!","")),""),"")),"")))</f>
        <v/>
      </c>
      <c r="G127" s="482">
        <v>44989.645833333336</v>
      </c>
      <c r="H127" s="475" t="s">
        <v>94</v>
      </c>
      <c r="I127" s="94" t="s">
        <v>51</v>
      </c>
      <c r="J127" s="95">
        <v>56.5</v>
      </c>
      <c r="K127" s="96" t="s">
        <v>36</v>
      </c>
      <c r="L127" s="97">
        <v>1.85</v>
      </c>
      <c r="M127" s="98">
        <v>16.47</v>
      </c>
      <c r="N127" s="478">
        <v>0</v>
      </c>
      <c r="O127" s="99">
        <f>IF(OR(AE127="",AE128=""),"",ROUND(IF(L129&gt;0,IF(M127&gt;0,M127,IF(M128&gt;0,ROUND((M128*AE127)/AE128,IF(N127=0,2,IF(N127=0.1,1,0))),ROUND((M129*AE127)/AE129,IF(N127=0,2,IF(N127=0.1,1,0))))),IF(M127&gt;0,M127,ROUND((M128*AE127)/AE128,IF(N127=0,2,IF(N127=0.1,1,0))))),2))</f>
        <v>16.47</v>
      </c>
      <c r="P127" s="100">
        <f>IF(OR(L127="",O127=""),"",IF($C127="1/2W",O127/2+O127/2*L127,IF($C127="1/2L",O127/2,IF(I127="Lay",(O127*(L127/(L127-1))-O127)*(1-_xlfn.XLOOKUP(K127,'Fevereiro 2023 - Valor Real'!A3:A15,'Fevereiro 2023 - Valor Real'!C3:C15,0))+O127,(O127*L127-O127)*(1-_xlfn.XLOOKUP(K127,'Fevereiro 2023 - Valor Real'!A3:A15,'Fevereiro 2023 - Valor Real'!C3:C15,0))+O127))))</f>
        <v>30.4695</v>
      </c>
      <c r="Q127" s="101">
        <f>IF(K127="","",IF(_xlfn.XLOOKUP(K127,K$6:K122,$DJ$6:DJ122,0,,-1)=DJ127,_xlfn.XLOOKUP(K127,K$6:K122,Q$6:Q122,1,,-1)+1,1))</f>
        <v>6</v>
      </c>
      <c r="R127" s="102">
        <f>IF(K127="","",_xlfn.XLOOKUP(K127,K$6:K122,R$6:R122,0,,-1)+IF($C127=" ",1,0))</f>
        <v>0</v>
      </c>
      <c r="S127" s="474">
        <f>IF($B127="Anulado",0,ROUND(IF(OR($B127="LOSS",$B127="OK"),IF(OR($C127="W",$C127="1/2W",$C127="1/2L"),P127-O127,IF($C127="L",-O127,0))+IF(OR($C128="W",$C128="1/2W",$C128="1/2L"),P128-O128,IF($C128="L",-O128,0))+IF(OR($C129="W",$C129="1/2W",$C129="1/2L"),P129-O129,IF($C129="L",-O129,0)),IF(AND(OR($C127="W",$C127="1/2W",$C127="1/2L"),C128="W"),P127+P128-SUM(O127:O129)+_xlfn.XLOOKUP("X",C127:C129,O127:O129,0),IF(AND(C127=TRUE,C129="W"),P127+P129-SUM(O127:O129),IF(AND(C128="W",C129="W"),P128+P129-SUM(O127:O129)+_xlfn.XLOOKUP("X",C127:C129,O127:O129,0),IF(L129&gt;0,IF(OR($C127="W",$C127="1/2W",$C127="1/2L"),P127-SUM(O127:O129)+_xlfn.XLOOKUP("X",C127:C129,O127:O129,0),IF(OR($C127="W",$C127="1/2W",$C127="1/2L"),P128-SUM(O127:O129)+_xlfn.XLOOKUP("X",C127:C129,O127:O129,0),IF(OR($C127="W",$C127="1/2W",$C127="1/2L"),P129-SUM(O127:O129)+_xlfn.XLOOKUP("X",C127:C129,O127:O129,0),IF(SUM(P127:P129)/3-SUM(O127:O129)+_xlfn.XLOOKUP("X",C127:C129,O127:O129,0)&gt;0,SUM(P127:P129)/3-SUM(O127:O129)+_xlfn.XLOOKUP("X",C127:C129,O127:O129,0),LARGE(P127:P129,1)-SUM(O127:O129))))),IF(OR($C127="W",$C127="1/2W",$C127="1/2L"),P127-SUM(O127:O128)+_xlfn.XLOOKUP("X",C127:C129,O127:O129,0),IF(OR($C127="W",$C127="1/2W",$C127="1/2L"),P128-SUM(O127:O128)+_xlfn.XLOOKUP("X",C127:C129,O127:O129,0),SUM(P127:P128)/2-SUM(O127:O128)+_xlfn.XLOOKUP("X",C127:C129,O127:O129,0)))))))),2))</f>
        <v>1.1399999999999999</v>
      </c>
      <c r="T127" s="458">
        <f>IF(S127=0,0,S127/SUM(O127:O129))</f>
        <v>3.8868053187862253E-2</v>
      </c>
      <c r="U127" s="470">
        <f>IF($D127=$D124,IF(OR($B127="LOSS",$B127="OK",$B127="Anulada"),S127,0)+U124,IF(OR($B127="LOSS",$B127="OK",$B127="Anulada"),S127,0))</f>
        <v>78.44</v>
      </c>
      <c r="V127" s="470">
        <f>IF($D127="",0,IF($D127=$D124,IF($B127=" ",IF(I129="",IF(OR(AND(I127="DNB1",I128="DNB2"),AND(OR(I127="DNB1",I127="DNB2"),J128=0),AND(OR(I128="DNB1",I128="DNB2"),J127=0),AND(I127="DNB2",I128="DNB1"),AND(IF(J127=0,(J127+1)/ROUND(J127+1,0),J127/ROUND(J127,0))=1,IF(J128=0,(J128+1)/ROUND(IF(J128="",0,J128)+1,0),IF(J128="",0,J128)/ROUND(IF(J128="",1,J128),0))=1,OR(J127&lt;&gt;""),J128&lt;&gt;"")),0,IF(S127&lt;0,IF(I129="",SMALL(P127:P128,1)-SUM(O127:O128),0),SMALL(P127:P128,1)-SUM(O127:O128))),IF(S127&lt;0,IF(I129="",SMALL(P127:P129,1)-SUM(O127:O129),0),LARGE(P127:P129,1)-SUM(O127:O129))),S127)+V124,IF(I129="",IF(OR(AND(I127="DNB1",I128="DNB2"),AND(OR(I127="DNB1",I127="DNB2"),J128=0),AND(OR(I128="DNB1",I128="DNB2"),J127=0),AND(I127="DNB2",I128="DNB1"),AND(IF(J127=0,(J127+1)/ROUND(J127+1,0),J127/ROUND(J127,0))=1,IF(J128=0,(IF(J128="",0,J128)+1)/ROUND(IF(J128="",0,J128)+1,0),IF(J128="",0,J128)/ROUND(IF(J128="",0,J128)+1,0))=1,OR(J127&lt;&gt;""),J128&lt;&gt;"")),0,IF(S127&lt;0,IF(I129="",SMALL(P127:P128,1)-SUM(O127:O128),0),SMALL(P127:P129,1)-SUM(O127:O129))),IF(S127&lt;0,IF(I129="",SMALL(P127:P129,1)-SUM(O127:O129),0),LARGE(P127:P129,1)-SUM(O127:O129)))))</f>
        <v>78.38000000000001</v>
      </c>
      <c r="W127" s="470">
        <f>IF($D127=$D124,IF(S127&lt;0,IF(I129="",S127,0),S127)+W124,S127)</f>
        <v>78.44</v>
      </c>
      <c r="X127" s="480" t="str">
        <f>IF(OR(SUM(R127:R129)=0,V127=W127),ROUND(IF(W127=0,0,W127/Y127)*100,2)&amp;"%",ROUND(IF(V127=0,0,V127/Y127)*100,2)&amp;"% a "&amp;ROUND(IF(W127=0,0,W127/Y127)*100,2)&amp;"%")</f>
        <v>4,66%</v>
      </c>
      <c r="Y127" s="471">
        <f>IF($D127=$D124,Y124+SUM(O127:O129),SUM(O127:O129))</f>
        <v>1683.8200000000002</v>
      </c>
      <c r="Z127" s="470">
        <f>IF($B127=" ",SUM(O127:O129),0)+Z124</f>
        <v>0</v>
      </c>
      <c r="AA127" s="470">
        <f>IF(G127="","",IF($B127="Anulado",LARGE(P127:P129,1)-SUM(O127:O129)+AA124,AA124))</f>
        <v>0.45899999999999785</v>
      </c>
      <c r="AB127" s="470">
        <f>IF($D127="","",AB124+S127)</f>
        <v>107.08999999999997</v>
      </c>
      <c r="AC127" s="472">
        <f ca="1">IF($D127="","",IF($B127=" ",IF(DAY(G127)=DAY(TODAY()),1+AC124,0+AC124),0+AC124))</f>
        <v>0</v>
      </c>
      <c r="AD127" s="103">
        <f>(((L128/(L128-1)-1)*(1-_xlfn.XLOOKUP(K128,'Fevereiro 2023 - Valor Real'!A3:A15,'Fevereiro 2023 - Valor Real'!C3:C15,0))+1))/(((L127-1)*(1-_xlfn.XLOOKUP(K127,'Fevereiro 2023 - Valor Real'!A3:A15,'Fevereiro 2023 - Valor Real'!C3:C15,0))+1)+((L128/(L128-1)-1)*(1-_xlfn.XLOOKUP(K128,'Fevereiro 2023 - Valor Real'!A3:A15,'Fevereiro 2023 - Valor Real'!C3:C15,0))+1))</f>
        <v>0.48322968702212254</v>
      </c>
      <c r="AE127" s="104">
        <f>IF(L127="","",IF(L129&gt;0,(SUM(((L127-1)*(1-_xlfn.XLOOKUP(K127,'Fevereiro 2023 - Valor Real'!A3:A15,'Fevereiro 2023 - Valor Real'!C3:C15,0))+1),((L128-1)*(1-_xlfn.XLOOKUP(K128,'Fevereiro 2023 - Valor Real'!A3:A15,'Fevereiro 2023 - Valor Real'!C3:C15,0))+1),((L129-1)*(1-_xlfn.XLOOKUP(K129,'Fevereiro 2023 - Valor Real'!A3:A15,'Fevereiro 2023 - Valor Real'!C3:C15,0))+1))/((L127-1)*(1-_xlfn.XLOOKUP(K127,'Fevereiro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Real'!C3:C15,0))+1))/((L127-1)*(1-_xlfn.XLOOKUP(K127,'Fevereiro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Real'!C3:C15,0))+1))/((L128-1)*(1-_xlfn.XLOOKUP(K128,'Fevereiro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Real'!C3:C15,0))+1))/((L129-1)*(1-_xlfn.XLOOKUP(K129,'Fevereiro 2023 - Valor Real'!A3:A15,'Fevereiro 2023 - Valor Real'!C3:C15,0))+1)),IF(I127="Lay",IF(I128="Lay",((L128/(L128-1)-1)*(1-_xlfn.XLOOKUP(K128,'Fevereiro 2023 - Valor Real'!A3:A15,'Fevereiro 2023 - Valor Real'!C3:C15,0))+1)/(((L128/(L128-1)-1)*(1-_xlfn.XLOOKUP(K128,'Fevereiro 2023 - Valor Real'!A3:A15,'Fevereiro 2023 - Valor Real'!C3:C15,0))+1)+((L127/(L127-1)-1)*(1-_xlfn.XLOOKUP(K127,'Fevereiro 2023 - Valor Real'!A3:A15,'Fevereiro 2023 - Valor Real'!C3:C15,0))+1)),((L128-1)*(1-_xlfn.XLOOKUP(K128,'Fevereiro 2023 - Valor Real'!A3:A15,'Fevereiro 2023 - Valor Real'!C3:C15,0))+1)/(((L128-1)*(1-_xlfn.XLOOKUP(K128,'Fevereiro 2023 - Valor Real'!A3:A15,'Fevereiro 2023 - Valor Real'!C3:C15,0))+1)+((L127/(L127-1)-1)*(1-_xlfn.XLOOKUP(K127,'Fevereiro 2023 - Valor Real'!A3:A15,'Fevereiro 2023 - Valor Real'!C3:C15,0))+1))),IF(I128="Lay",(((L128/(L128-1)-1)*(1-_xlfn.XLOOKUP(K128,'Fevereiro 2023 - Valor Real'!A3:A15,'Fevereiro 2023 - Valor Real'!C3:C15,0))+1))/(((L127-1)*(1-_xlfn.XLOOKUP(K127,'Fevereiro 2023 - Valor Real'!A3:A15,'Fevereiro 2023 - Valor Real'!C3:C15,0))+1)+((L128/(L128-1)-1)*(1-_xlfn.XLOOKUP(K128,'Fevereiro 2023 - Valor Real'!A3:A15,'Fevereiro 2023 - Valor Real'!C3:C15,0))+1)),((L128-1)*(1-_xlfn.XLOOKUP(K128,'Fevereiro 2023 - Valor Real'!A3:A15,'Fevereiro 2023 - Valor Real'!C3:C15,0))+1)/(((L128-1)*(1-_xlfn.XLOOKUP(K128,'Fevereiro 2023 - Valor Real'!A3:A15,'Fevereiro 2023 - Valor Real'!C3:C15,0))+1)+((L127-1)*(1-_xlfn.XLOOKUP(K127,'Fevereiro 2023 - Valor Real'!A3:A15,'Fevereiro 2023 - Valor Real'!C3:C15,0))+1))))))</f>
        <v>0.56161137440758291</v>
      </c>
      <c r="AF127" s="105">
        <f t="shared" si="244"/>
        <v>14</v>
      </c>
      <c r="AG127" s="106">
        <f t="shared" si="244"/>
        <v>0</v>
      </c>
      <c r="AH127" s="106">
        <f t="shared" si="244"/>
        <v>0</v>
      </c>
      <c r="AI127" s="106">
        <f t="shared" si="244"/>
        <v>0</v>
      </c>
      <c r="AJ127" s="106">
        <f t="shared" si="244"/>
        <v>0</v>
      </c>
      <c r="AK127" s="106">
        <f t="shared" si="244"/>
        <v>0</v>
      </c>
      <c r="AL127" s="106">
        <f t="shared" si="244"/>
        <v>0</v>
      </c>
      <c r="AM127" s="106">
        <f t="shared" si="244"/>
        <v>0</v>
      </c>
      <c r="AN127" s="106">
        <f t="shared" si="244"/>
        <v>0</v>
      </c>
      <c r="AO127" s="106">
        <f t="shared" si="244"/>
        <v>0</v>
      </c>
      <c r="AP127" s="106">
        <f t="shared" si="244"/>
        <v>0</v>
      </c>
      <c r="AQ127" s="106">
        <f t="shared" si="244"/>
        <v>0</v>
      </c>
      <c r="AR127" s="107">
        <f t="shared" si="244"/>
        <v>0</v>
      </c>
      <c r="AS127" s="105">
        <f t="shared" ref="AS127:BE127" si="250">IF(AND($B127=" ",$K127=AS$3),$O127,0)</f>
        <v>0</v>
      </c>
      <c r="AT127" s="106">
        <f t="shared" si="250"/>
        <v>0</v>
      </c>
      <c r="AU127" s="106">
        <f t="shared" si="250"/>
        <v>0</v>
      </c>
      <c r="AV127" s="106">
        <f t="shared" si="250"/>
        <v>0</v>
      </c>
      <c r="AW127" s="106">
        <f t="shared" si="250"/>
        <v>0</v>
      </c>
      <c r="AX127" s="106">
        <f t="shared" si="250"/>
        <v>0</v>
      </c>
      <c r="AY127" s="108">
        <f t="shared" si="250"/>
        <v>0</v>
      </c>
      <c r="AZ127" s="109">
        <f t="shared" si="250"/>
        <v>0</v>
      </c>
      <c r="BA127" s="109">
        <f t="shared" si="250"/>
        <v>0</v>
      </c>
      <c r="BB127" s="109">
        <f t="shared" si="250"/>
        <v>0</v>
      </c>
      <c r="BC127" s="110">
        <f t="shared" si="250"/>
        <v>0</v>
      </c>
      <c r="BD127" s="106">
        <f t="shared" si="250"/>
        <v>0</v>
      </c>
      <c r="BE127" s="107">
        <f t="shared" si="250"/>
        <v>0</v>
      </c>
      <c r="BF127" s="111">
        <f t="shared" si="246"/>
        <v>16.47</v>
      </c>
      <c r="BG127" s="106">
        <f t="shared" si="246"/>
        <v>0</v>
      </c>
      <c r="BH127" s="106">
        <f t="shared" si="246"/>
        <v>0</v>
      </c>
      <c r="BI127" s="106">
        <f t="shared" si="246"/>
        <v>0</v>
      </c>
      <c r="BJ127" s="106">
        <f t="shared" si="246"/>
        <v>0</v>
      </c>
      <c r="BK127" s="106">
        <f t="shared" si="246"/>
        <v>0</v>
      </c>
      <c r="BL127" s="106">
        <f t="shared" si="246"/>
        <v>0</v>
      </c>
      <c r="BM127" s="108">
        <f t="shared" si="246"/>
        <v>0</v>
      </c>
      <c r="BN127" s="109">
        <f t="shared" si="246"/>
        <v>0</v>
      </c>
      <c r="BO127" s="109">
        <f t="shared" si="246"/>
        <v>0</v>
      </c>
      <c r="BP127" s="109">
        <f t="shared" si="246"/>
        <v>0</v>
      </c>
      <c r="BQ127" s="110">
        <f t="shared" si="246"/>
        <v>0</v>
      </c>
      <c r="BR127" s="107">
        <f t="shared" si="246"/>
        <v>0</v>
      </c>
      <c r="BS127" s="463">
        <f>IF($B127="LOSS",IF(AND($K127=BS$3,$C127="L"),-$O127,0)+IF(AND($K128=BS$3,$C128="L"),-$O128,0)+IF(AND($K129=BS$3,$C129="L"),-$O129,0),IF(OR(AND($K127=BS$3,OR($C127="W",$C127="1/2W")),AND($K128=BS$3,OR($C128="W",$C128="1/2W")),AND($K129=BS$3,OR($C129="W",$C129="1/2W"))),$S127,0))</f>
        <v>1.1399999999999999</v>
      </c>
      <c r="BT127" s="462">
        <f>IF($B127="LOSS",IF(AND($K127=BT$3,$C127="L"),-$O127,0)+IF(AND($K128=BT$3,$C128="L"),-$O128,0)+IF(AND($K128=BT$3,$C129="L"),-$O129,0),IF(OR(AND($K128=BT$3,OR($C127="W",$C127="1/2W")),AND($K128=BT$3,OR($C128="W",$C128="1/2W")),AND($K128=BT$3,OR($C129="W",$C129="1/2W"))),$S127,0))</f>
        <v>0</v>
      </c>
      <c r="BU127" s="462">
        <f>IF($B127="LOSS",IF(AND($K127=BU$3,$C127="L"),-$O127,0)+IF(AND($K128=BU$3,$C128="L"),-$O128,0)+IF(AND($K128=BU$3,$C129="L"),-$O129,0),IF(OR(AND($K128=BU$3,OR($C127="W",$C127="1/2W")),AND($K128=BU$3,OR($C128="W",$C128="1/2W")),AND($K128=BU$3,OR($C129="W",$C129="1/2W"))),$S127,0))</f>
        <v>0</v>
      </c>
      <c r="BV127" s="462">
        <f t="shared" ref="BV127:CE127" si="251">IF($B127="LOSS",IF(AND($K127=BV$3,$C127="L"),-$O127,0)+IF(AND($K128=BV$3,$C128="L"),-$O128,0)+IF(AND($K129=BV$3,$C129="L"),-$O129,0),IF(OR(AND($K127=BV$3,OR($C127="W",$C127="1/2W")),AND($K128=BV$3,OR($C128="W",$C128="1/2W")),AND($K129=BV$3,OR($C129="W",$C129="1/2W"))),$S127,0))</f>
        <v>0</v>
      </c>
      <c r="BW127" s="462">
        <f t="shared" si="251"/>
        <v>0</v>
      </c>
      <c r="BX127" s="462">
        <f t="shared" si="251"/>
        <v>0</v>
      </c>
      <c r="BY127" s="462">
        <f t="shared" si="251"/>
        <v>0</v>
      </c>
      <c r="BZ127" s="460">
        <f t="shared" si="251"/>
        <v>0</v>
      </c>
      <c r="CA127" s="460">
        <f t="shared" si="251"/>
        <v>0</v>
      </c>
      <c r="CB127" s="460">
        <f t="shared" si="251"/>
        <v>0</v>
      </c>
      <c r="CC127" s="460">
        <f t="shared" si="251"/>
        <v>0</v>
      </c>
      <c r="CD127" s="473">
        <f t="shared" si="251"/>
        <v>0</v>
      </c>
      <c r="CE127" s="479">
        <f t="shared" si="251"/>
        <v>0</v>
      </c>
      <c r="CF127" s="113">
        <f t="shared" si="131"/>
        <v>1</v>
      </c>
      <c r="CG127" s="114">
        <f t="shared" si="132"/>
        <v>0</v>
      </c>
      <c r="CH127" s="114">
        <f t="shared" si="133"/>
        <v>0</v>
      </c>
      <c r="CI127" s="114">
        <f t="shared" si="134"/>
        <v>0</v>
      </c>
      <c r="CJ127" s="114">
        <f t="shared" si="135"/>
        <v>0</v>
      </c>
      <c r="CK127" s="114">
        <f t="shared" si="136"/>
        <v>0</v>
      </c>
      <c r="CL127" s="114">
        <f t="shared" si="137"/>
        <v>0</v>
      </c>
      <c r="CM127" s="114">
        <f t="shared" si="138"/>
        <v>0</v>
      </c>
      <c r="CN127" s="114">
        <f t="shared" si="139"/>
        <v>0</v>
      </c>
      <c r="CO127" s="114">
        <f t="shared" si="140"/>
        <v>0</v>
      </c>
      <c r="CP127" s="114">
        <f t="shared" si="141"/>
        <v>0</v>
      </c>
      <c r="CQ127" s="114">
        <f t="shared" si="142"/>
        <v>0</v>
      </c>
      <c r="CR127" s="114">
        <f t="shared" si="143"/>
        <v>0</v>
      </c>
      <c r="CS127" s="114">
        <f t="shared" si="144"/>
        <v>0</v>
      </c>
      <c r="CT127" s="115">
        <f t="shared" si="145"/>
        <v>0</v>
      </c>
      <c r="CU127" s="116">
        <f t="shared" si="146"/>
        <v>0</v>
      </c>
      <c r="CV127" s="116">
        <f t="shared" si="147"/>
        <v>0</v>
      </c>
      <c r="CW127" s="116">
        <f t="shared" si="148"/>
        <v>0</v>
      </c>
      <c r="CX127" s="116">
        <f t="shared" si="149"/>
        <v>0</v>
      </c>
      <c r="CY127" s="116">
        <f t="shared" si="150"/>
        <v>0</v>
      </c>
      <c r="CZ127" s="116">
        <f t="shared" si="151"/>
        <v>0</v>
      </c>
      <c r="DA127" s="116">
        <f t="shared" si="152"/>
        <v>0</v>
      </c>
      <c r="DB127" s="116">
        <f t="shared" si="153"/>
        <v>0</v>
      </c>
      <c r="DC127" s="116">
        <f t="shared" si="154"/>
        <v>0</v>
      </c>
      <c r="DD127" s="116">
        <f t="shared" si="155"/>
        <v>0</v>
      </c>
      <c r="DE127" s="117">
        <f t="shared" si="156"/>
        <v>0</v>
      </c>
      <c r="DF127" s="118">
        <f t="shared" si="158"/>
        <v>11</v>
      </c>
      <c r="DG127" s="106">
        <f t="shared" si="159"/>
        <v>14.450000000000001</v>
      </c>
      <c r="DH127" s="116">
        <f t="shared" si="160"/>
        <v>1</v>
      </c>
      <c r="DI127" s="106">
        <f t="shared" si="161"/>
        <v>3.9</v>
      </c>
      <c r="DJ127" s="201" t="str">
        <f>IF($D127="","",$D127)</f>
        <v>2</v>
      </c>
      <c r="DK127" s="465">
        <f>IF(AND($B127=" ",$D127&lt;&gt;""),1,0)</f>
        <v>0</v>
      </c>
    </row>
    <row r="128" spans="1:115" ht="14.5" customHeight="1" x14ac:dyDescent="0.2">
      <c r="A128" s="389"/>
      <c r="B128" s="456"/>
      <c r="C128" s="120" t="s">
        <v>55</v>
      </c>
      <c r="D128" s="374"/>
      <c r="E128" s="386"/>
      <c r="F128" s="377"/>
      <c r="G128" s="483"/>
      <c r="H128" s="476"/>
      <c r="I128" s="121" t="s">
        <v>52</v>
      </c>
      <c r="J128" s="122">
        <f>IF(OR(I127="TO",I127="TU",I127="TO1",I127="TU1",I127="TO2",I127="TU2"),J127,IF(OR(I127="AH1",I127="AH2"),IF(OR(I128="AH1",I128="AH2"),-J127,IF(OR(I128="EH1",I128="EH2"),-J127+0.5,"")),IF(OR(I127="EH1",I127="EH2"),IF(OR(I128="AH1",I128="AH2"),-J127+0.5,IF(OR(I128="EH1",I128="EH2"),-J127+1,"")),IF(AND(OR(I127="DNB1",I127="DNB2"),OR(I128="AH1",I128="AH2")),0,IF(AND(I127="Not ScoreBoth",OR(I128="TO1",I128="TO2")),0.5,"")))))</f>
        <v>56.5</v>
      </c>
      <c r="K128" s="123" t="s">
        <v>43</v>
      </c>
      <c r="L128" s="124">
        <v>2.37</v>
      </c>
      <c r="M128" s="125"/>
      <c r="N128" s="406"/>
      <c r="O128" s="126">
        <f>IF(OR(AE127="",AE128=""),"",ROUND(IF(L129&gt;0,IF(M128&gt;0,M128,IF(M127&gt;0,IF(N127=TRUE,ROUND((M127*AE128)/AE127,0),(M127*AE128)/AE127),IF(M128&gt;0,ROUND(M128,IF(N127=0,2,IF(N127=0.1,1,0))),IF(M129&gt;0,ROUND(O129*AE128/AE129,IF(N127=0,2,IF(N127=0.1,1,0))),0)))),IF(M128&gt;0,M128,ROUND((M127*AE128)/AE127,IF(N127=0,2,IF(N127=0.1,1,0))))),2))</f>
        <v>12.86</v>
      </c>
      <c r="P128" s="127">
        <f>IF(OR(L128="",O128=""),"",IF($C128="1/2W",O128/2+O128/2*L128,IF($C128="1/2L",O128/2,IF(I128="Lay",((O128*(L128/(L128-1)))-O128)*(1-_xlfn.XLOOKUP(K128,'Fevereiro 2023 - Valor Real'!A3:A15,'Fevereiro 2023 - Valor Real'!C3:C15,0))+O128,(O128*L128-O128)*(1-_xlfn.XLOOKUP(K128,'Fevereiro 2023 - Valor Real'!A3:A15,'Fevereiro 2023 - Valor Real'!C3:C15,0))+O128))))</f>
        <v>30.478200000000001</v>
      </c>
      <c r="Q128" s="128">
        <f>IF(K128="","",IF(_xlfn.XLOOKUP(K128,K$7:K122,$DJ$7:DJ122,0,,-1)=DJ128,_xlfn.XLOOKUP(K128,K$7:K122,Q$7:Q122,1,,-1)+1,1))</f>
        <v>5</v>
      </c>
      <c r="R128" s="129">
        <f>IF(K128="","",_xlfn.XLOOKUP(K128,K$7:K122,R$7:R122,0,,-1)+IF($C128=" ",1,0))</f>
        <v>0</v>
      </c>
      <c r="S128" s="403"/>
      <c r="T128" s="380"/>
      <c r="U128" s="380"/>
      <c r="V128" s="481"/>
      <c r="W128" s="380"/>
      <c r="X128" s="452"/>
      <c r="Y128" s="383"/>
      <c r="Z128" s="384"/>
      <c r="AA128" s="384"/>
      <c r="AB128" s="384"/>
      <c r="AC128" s="384"/>
      <c r="AD128" s="130">
        <f>(((L128/(L128-1)-1)*(1-_xlfn.XLOOKUP(K128,'Fevereiro 2023 - Valor Real'!A3:A15,'Fevereiro 2023 - Valor Real'!C3:C15,0))+1))</f>
        <v>1.7299270072992701</v>
      </c>
      <c r="AE128" s="131">
        <f>IF(L128="","",IF(L129&gt;0,(SUM(((L127-1)*(1-_xlfn.XLOOKUP(K127,'Fevereiro 2023 - Valor Real'!A3:A15,'Fevereiro 2023 - Valor Real'!C3:C15,0))+1),((L128-1)*(1-_xlfn.XLOOKUP(K128,'Fevereiro 2023 - Valor Real'!A3:A15,'Fevereiro 2023 - Valor Real'!C3:C15,0))+1),((L129-1)*(1-_xlfn.XLOOKUP(K129,'Fevereiro 2023 - Valor Real'!A3:A15,'Fevereiro 2023 - Valor Real'!C3:C15,0))+1))/((L128-1)*(1-_xlfn.XLOOKUP(K128,'Fevereiro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Real'!C3:C15,0))+1))/((L127-1)*(1-_xlfn.XLOOKUP(K127,'Fevereiro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Real'!C3:C15,0))+1))/((L128-1)*(1-_xlfn.XLOOKUP(K128,'Fevereiro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Real'!C3:C15,0))+1))/((L129-1)*(1-_xlfn.XLOOKUP(K129,'Fevereiro 2023 - Valor Real'!A3:A15,'Fevereiro 2023 - Valor Real'!C3:C15,0))+1)),IF(I128="Lay",IF(I127="Lay",((L127/(L127-1)-1)*(1-_xlfn.XLOOKUP(K127,'Fevereiro 2023 - Valor Real'!A3:A15,'Fevereiro 2023 - Valor Real'!C3:C15,0))+1)/(((L127/(L127-1)-1)*(1-_xlfn.XLOOKUP(K127,'Fevereiro 2023 - Valor Real'!A3:A15,'Fevereiro 2023 - Valor Real'!C3:C15,0))+1)+((L128/(L128-1)-1)*(1-_xlfn.XLOOKUP(K128,'Fevereiro 2023 - Valor Real'!A3:A15,'Fevereiro 2023 - Valor Real'!C3:C15,0))+1)),((L127-1)*(1-_xlfn.XLOOKUP(K127,'Fevereiro 2023 - Valor Real'!A3:A15,'Fevereiro 2023 - Valor Real'!C3:C15,0))+1)/(((L127-1)*(1-_xlfn.XLOOKUP(K127,'Fevereiro 2023 - Valor Real'!A3:A15,'Fevereiro 2023 - Valor Real'!C3:C15,0))+1)+((L128/(L128-1)-1)*(1-_xlfn.XLOOKUP(K128,'Fevereiro 2023 - Valor Real'!A3:A15,'Fevereiro 2023 - Valor Real'!C3:C15,0))+1))),IF(I127="Lay",((L127/(L127-1)-1)*(1-_xlfn.XLOOKUP(K127,'Fevereiro 2023 - Valor Real'!A3:A15,'Fevereiro 2023 - Valor Real'!C3:C15,0))+1)/((((L127/(L127-1)-1)*(1-_xlfn.XLOOKUP(K127,'Fevereiro 2023 - Valor Real'!A3:A15,'Fevereiro 2023 - Valor Real'!C3:C15,0))+1))+((L128-1)*(1-_xlfn.XLOOKUP(K128,'Fevereiro 2023 - Valor Real'!A3:A15,'Fevereiro 2023 - Valor Real'!C3:C15,0))+1)),((L127-1)*(1-_xlfn.XLOOKUP(K127,'Fevereiro 2023 - Valor Real'!A3:A15,'Fevereiro 2023 - Valor Real'!C3:C15,0))+1)/(((L127-1)*(1-_xlfn.XLOOKUP(K127,'Fevereiro 2023 - Valor Real'!A3:A15,'Fevereiro 2023 - Valor Real'!C3:C15,0))+1)+((L128-1)*(1-_xlfn.XLOOKUP(K128,'Fevereiro 2023 - Valor Real'!A3:A15,'Fevereiro 2023 - Valor Real'!C3:C15,0))+1))))))</f>
        <v>0.43838862559241704</v>
      </c>
      <c r="AF128" s="105">
        <f t="shared" si="244"/>
        <v>0</v>
      </c>
      <c r="AG128" s="106">
        <f t="shared" si="244"/>
        <v>0</v>
      </c>
      <c r="AH128" s="106">
        <f t="shared" si="244"/>
        <v>0</v>
      </c>
      <c r="AI128" s="106">
        <f t="shared" si="244"/>
        <v>0</v>
      </c>
      <c r="AJ128" s="106">
        <f t="shared" si="244"/>
        <v>0</v>
      </c>
      <c r="AK128" s="106">
        <f t="shared" si="244"/>
        <v>0</v>
      </c>
      <c r="AL128" s="106">
        <f t="shared" si="244"/>
        <v>0</v>
      </c>
      <c r="AM128" s="106">
        <f t="shared" si="244"/>
        <v>-12.86</v>
      </c>
      <c r="AN128" s="106">
        <f t="shared" si="244"/>
        <v>0</v>
      </c>
      <c r="AO128" s="106">
        <f t="shared" si="244"/>
        <v>0</v>
      </c>
      <c r="AP128" s="106">
        <f t="shared" si="244"/>
        <v>0</v>
      </c>
      <c r="AQ128" s="106">
        <f t="shared" si="244"/>
        <v>0</v>
      </c>
      <c r="AR128" s="107">
        <f t="shared" si="244"/>
        <v>0</v>
      </c>
      <c r="AS128" s="105">
        <f>IF(AND($B127=" ",$K128=AS$3),$O128,0)</f>
        <v>0</v>
      </c>
      <c r="AT128" s="106">
        <f>IF(AND($B127=" ",K128=AT$3),$O128,0)</f>
        <v>0</v>
      </c>
      <c r="AU128" s="106">
        <f t="shared" ref="AU128:BE128" si="252">IF(AND($B127=" ",$K128=AU$3),$O128,0)</f>
        <v>0</v>
      </c>
      <c r="AV128" s="106">
        <f t="shared" si="252"/>
        <v>0</v>
      </c>
      <c r="AW128" s="106">
        <f t="shared" si="252"/>
        <v>0</v>
      </c>
      <c r="AX128" s="106">
        <f t="shared" si="252"/>
        <v>0</v>
      </c>
      <c r="AY128" s="108">
        <f t="shared" si="252"/>
        <v>0</v>
      </c>
      <c r="AZ128" s="109">
        <f t="shared" si="252"/>
        <v>0</v>
      </c>
      <c r="BA128" s="109">
        <f t="shared" si="252"/>
        <v>0</v>
      </c>
      <c r="BB128" s="109">
        <f t="shared" si="252"/>
        <v>0</v>
      </c>
      <c r="BC128" s="110">
        <f t="shared" si="252"/>
        <v>0</v>
      </c>
      <c r="BD128" s="106">
        <f t="shared" si="252"/>
        <v>0</v>
      </c>
      <c r="BE128" s="107">
        <f t="shared" si="252"/>
        <v>0</v>
      </c>
      <c r="BF128" s="105">
        <f t="shared" si="246"/>
        <v>0</v>
      </c>
      <c r="BG128" s="106">
        <f t="shared" si="246"/>
        <v>0</v>
      </c>
      <c r="BH128" s="106">
        <f t="shared" si="246"/>
        <v>0</v>
      </c>
      <c r="BI128" s="106">
        <f t="shared" si="246"/>
        <v>0</v>
      </c>
      <c r="BJ128" s="106">
        <f t="shared" si="246"/>
        <v>0</v>
      </c>
      <c r="BK128" s="106">
        <f t="shared" si="246"/>
        <v>0</v>
      </c>
      <c r="BL128" s="106">
        <f t="shared" si="246"/>
        <v>0</v>
      </c>
      <c r="BM128" s="132">
        <f t="shared" si="246"/>
        <v>12.86</v>
      </c>
      <c r="BN128" s="112">
        <f t="shared" si="246"/>
        <v>0</v>
      </c>
      <c r="BO128" s="112">
        <f t="shared" si="246"/>
        <v>0</v>
      </c>
      <c r="BP128" s="112">
        <f t="shared" si="246"/>
        <v>0</v>
      </c>
      <c r="BQ128" s="110">
        <f t="shared" si="246"/>
        <v>0</v>
      </c>
      <c r="BR128" s="107">
        <f t="shared" si="246"/>
        <v>0</v>
      </c>
      <c r="BS128" s="464"/>
      <c r="BT128" s="461"/>
      <c r="BU128" s="392"/>
      <c r="BV128" s="461"/>
      <c r="BW128" s="392"/>
      <c r="BX128" s="392"/>
      <c r="BY128" s="392"/>
      <c r="BZ128" s="461"/>
      <c r="CA128" s="392"/>
      <c r="CB128" s="392"/>
      <c r="CC128" s="392"/>
      <c r="CD128" s="401"/>
      <c r="CE128" s="409"/>
      <c r="CF128" s="133">
        <f t="shared" si="131"/>
        <v>0</v>
      </c>
      <c r="CG128" s="134">
        <f t="shared" si="132"/>
        <v>0</v>
      </c>
      <c r="CH128" s="134">
        <f t="shared" si="133"/>
        <v>0</v>
      </c>
      <c r="CI128" s="134">
        <f t="shared" si="134"/>
        <v>0</v>
      </c>
      <c r="CJ128" s="134">
        <f t="shared" si="135"/>
        <v>0</v>
      </c>
      <c r="CK128" s="134">
        <f t="shared" si="136"/>
        <v>0</v>
      </c>
      <c r="CL128" s="134">
        <f t="shared" si="137"/>
        <v>0</v>
      </c>
      <c r="CM128" s="134">
        <f t="shared" si="138"/>
        <v>0</v>
      </c>
      <c r="CN128" s="134">
        <f t="shared" si="139"/>
        <v>0</v>
      </c>
      <c r="CO128" s="134">
        <f t="shared" si="140"/>
        <v>0</v>
      </c>
      <c r="CP128" s="134">
        <f t="shared" si="141"/>
        <v>0</v>
      </c>
      <c r="CQ128" s="134">
        <f t="shared" si="142"/>
        <v>0</v>
      </c>
      <c r="CR128" s="134">
        <f t="shared" si="143"/>
        <v>0</v>
      </c>
      <c r="CS128" s="134">
        <f t="shared" si="144"/>
        <v>0</v>
      </c>
      <c r="CT128" s="115">
        <f t="shared" si="145"/>
        <v>0</v>
      </c>
      <c r="CU128" s="116">
        <f t="shared" si="146"/>
        <v>1</v>
      </c>
      <c r="CV128" s="116">
        <f t="shared" si="147"/>
        <v>0</v>
      </c>
      <c r="CW128" s="116">
        <f t="shared" si="148"/>
        <v>0</v>
      </c>
      <c r="CX128" s="116">
        <f t="shared" si="149"/>
        <v>0</v>
      </c>
      <c r="CY128" s="116">
        <f t="shared" si="150"/>
        <v>0</v>
      </c>
      <c r="CZ128" s="116">
        <f t="shared" si="151"/>
        <v>0</v>
      </c>
      <c r="DA128" s="116">
        <f t="shared" si="152"/>
        <v>0</v>
      </c>
      <c r="DB128" s="116">
        <f t="shared" si="153"/>
        <v>0</v>
      </c>
      <c r="DC128" s="116">
        <f t="shared" si="154"/>
        <v>0</v>
      </c>
      <c r="DD128" s="116">
        <f t="shared" si="155"/>
        <v>0</v>
      </c>
      <c r="DE128" s="117">
        <f t="shared" si="156"/>
        <v>0</v>
      </c>
      <c r="DF128" s="118">
        <f t="shared" si="158"/>
        <v>11</v>
      </c>
      <c r="DG128" s="106">
        <f t="shared" si="159"/>
        <v>14.450000000000001</v>
      </c>
      <c r="DH128" s="116">
        <f t="shared" si="160"/>
        <v>1</v>
      </c>
      <c r="DI128" s="106">
        <f t="shared" si="161"/>
        <v>3.9</v>
      </c>
      <c r="DJ128" s="201" t="str">
        <f>IF($D127="","",$D127)</f>
        <v>2</v>
      </c>
      <c r="DK128" s="466"/>
    </row>
    <row r="129" spans="1:115" ht="14.5" customHeight="1" x14ac:dyDescent="0.2">
      <c r="A129" s="390"/>
      <c r="B129" s="457"/>
      <c r="C129" s="135" t="s">
        <v>53</v>
      </c>
      <c r="D129" s="375"/>
      <c r="E129" s="387"/>
      <c r="F129" s="378"/>
      <c r="G129" s="484"/>
      <c r="H129" s="477"/>
      <c r="I129" s="136"/>
      <c r="J129" s="137"/>
      <c r="K129" s="138"/>
      <c r="L129" s="139"/>
      <c r="M129" s="140"/>
      <c r="N129" s="407"/>
      <c r="O129" s="141" t="str">
        <f>IF(OR(AE127="",AE128=""),"",IF(L129&gt;0,ROUND(IF(M129&gt;0,M129,IF(M127&gt;0,ROUND((M127*AE129)/AE127,IF(N127=0,2,IF(N127=0.1,1,0))),IF(M128&gt;0,ROUND((M128*AE129)/AE128,IF(N127=0,2,IF(N127=0.1,1,0))),IF(M129&gt;0,M129,0)))),2),""))</f>
        <v/>
      </c>
      <c r="P129" s="142" t="str">
        <f>IF(I128="Lay",O128*(L128/(L128-1))-O128,IF(I127="Lay",O127*(L127/(L127-1))-O127,IF(OR(L129="",O129=""),"",IF($C129="1/2W",O129/2+O129/2*L129,IF($C129="1/2L",O129/2,(O129*L129-O129)*(1-_xlfn.XLOOKUP(K129,'Fevereiro 2023 - Valor Real'!A3:A15,'Fevereiro 2023 - Valor Real'!C3:C15,0))+O129)))))</f>
        <v/>
      </c>
      <c r="Q129" s="143" t="str">
        <f>IF(K129="","",IF(_xlfn.XLOOKUP(K129,K$8:K122,$DJ$8:DJ122,0,,-1)=DJ129,_xlfn.XLOOKUP(K129,K$8:K122,Q$8:Q122,1,,-1)+1,1))</f>
        <v/>
      </c>
      <c r="R129" s="144" t="str">
        <f>IF(K129="","",_xlfn.XLOOKUP(K129,K$8:K122,R$8:R122,0,,-1)+IF($C129=" ",1,0))</f>
        <v/>
      </c>
      <c r="S129" s="404"/>
      <c r="T129" s="378"/>
      <c r="U129" s="378"/>
      <c r="V129" s="404"/>
      <c r="W129" s="378"/>
      <c r="X129" s="453"/>
      <c r="Y129" s="383"/>
      <c r="Z129" s="384"/>
      <c r="AA129" s="384"/>
      <c r="AB129" s="384"/>
      <c r="AC129" s="384"/>
      <c r="AD129" s="145">
        <f>((L128/(L128-1)-1))</f>
        <v>0.72992700729927007</v>
      </c>
      <c r="AE129" s="146" t="str">
        <f>IF(L129="","",(SUM(((L127-1)*(1-_xlfn.XLOOKUP(K127,'Fevereiro 2023 - Valor Real'!A3:A15,'Fevereiro 2023 - Valor Real'!C3:C15,0))+1),((L128-1)*(1-_xlfn.XLOOKUP(K128,'Fevereiro 2023 - Valor Real'!A3:A15,'Fevereiro 2023 - Valor Real'!C3:C15,0))+1),((L129-1)*(1-_xlfn.XLOOKUP(K129,'Fevereiro 2023 - Valor Real'!A3:A15,'Fevereiro 2023 - Valor Real'!C3:C15,0))+1))/((L129-1)*(1-_xlfn.XLOOKUP(K129,'Fevereiro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Real'!C3:C15,0))+1))/((L127-1)*(1-_xlfn.XLOOKUP(K127,'Fevereiro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Real'!C3:C15,0))+1))/((L128-1)*(1-_xlfn.XLOOKUP(K128,'Fevereiro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Real'!C3:C15,0))+1))/((L129-1)*(1-_xlfn.XLOOKUP(K129,'Fevereiro 2023 - Valor Real'!A3:A15,'Fevereiro 2023 - Valor Real'!C3:C15,0))+1)))</f>
        <v/>
      </c>
      <c r="AF129" s="105">
        <f t="shared" si="244"/>
        <v>0</v>
      </c>
      <c r="AG129" s="106">
        <f t="shared" si="244"/>
        <v>0</v>
      </c>
      <c r="AH129" s="106">
        <f t="shared" si="244"/>
        <v>0</v>
      </c>
      <c r="AI129" s="106">
        <f t="shared" si="244"/>
        <v>0</v>
      </c>
      <c r="AJ129" s="106">
        <f t="shared" si="244"/>
        <v>0</v>
      </c>
      <c r="AK129" s="106">
        <f t="shared" si="244"/>
        <v>0</v>
      </c>
      <c r="AL129" s="106">
        <f t="shared" si="244"/>
        <v>0</v>
      </c>
      <c r="AM129" s="106">
        <f t="shared" si="244"/>
        <v>0</v>
      </c>
      <c r="AN129" s="106">
        <f t="shared" si="244"/>
        <v>0</v>
      </c>
      <c r="AO129" s="106">
        <f t="shared" si="244"/>
        <v>0</v>
      </c>
      <c r="AP129" s="106">
        <f t="shared" si="244"/>
        <v>0</v>
      </c>
      <c r="AQ129" s="106">
        <f t="shared" si="244"/>
        <v>0</v>
      </c>
      <c r="AR129" s="107">
        <f t="shared" si="244"/>
        <v>0</v>
      </c>
      <c r="AS129" s="105">
        <f>IF(AND($B127=" ",$K129=AS$3),$O129,0)</f>
        <v>0</v>
      </c>
      <c r="AT129" s="106">
        <f>IF(AND($B127=" ",K129=AT$3),$O129,0)</f>
        <v>0</v>
      </c>
      <c r="AU129" s="106">
        <f t="shared" ref="AU129:BE129" si="253">IF(AND($B127=" ",$K129=AU$3),$O129,0)</f>
        <v>0</v>
      </c>
      <c r="AV129" s="106">
        <f t="shared" si="253"/>
        <v>0</v>
      </c>
      <c r="AW129" s="106">
        <f t="shared" si="253"/>
        <v>0</v>
      </c>
      <c r="AX129" s="106">
        <f t="shared" si="253"/>
        <v>0</v>
      </c>
      <c r="AY129" s="108">
        <f t="shared" si="253"/>
        <v>0</v>
      </c>
      <c r="AZ129" s="109">
        <f t="shared" si="253"/>
        <v>0</v>
      </c>
      <c r="BA129" s="109">
        <f t="shared" si="253"/>
        <v>0</v>
      </c>
      <c r="BB129" s="109">
        <f t="shared" si="253"/>
        <v>0</v>
      </c>
      <c r="BC129" s="110">
        <f t="shared" si="253"/>
        <v>0</v>
      </c>
      <c r="BD129" s="106">
        <f t="shared" si="253"/>
        <v>0</v>
      </c>
      <c r="BE129" s="107">
        <f t="shared" si="253"/>
        <v>0</v>
      </c>
      <c r="BF129" s="105">
        <f t="shared" si="246"/>
        <v>0</v>
      </c>
      <c r="BG129" s="106">
        <f t="shared" si="246"/>
        <v>0</v>
      </c>
      <c r="BH129" s="106">
        <f t="shared" si="246"/>
        <v>0</v>
      </c>
      <c r="BI129" s="106">
        <f t="shared" si="246"/>
        <v>0</v>
      </c>
      <c r="BJ129" s="106">
        <f t="shared" si="246"/>
        <v>0</v>
      </c>
      <c r="BK129" s="106">
        <f t="shared" si="246"/>
        <v>0</v>
      </c>
      <c r="BL129" s="106">
        <f t="shared" si="246"/>
        <v>0</v>
      </c>
      <c r="BM129" s="108">
        <f t="shared" si="246"/>
        <v>0</v>
      </c>
      <c r="BN129" s="109">
        <f t="shared" si="246"/>
        <v>0</v>
      </c>
      <c r="BO129" s="109">
        <f t="shared" si="246"/>
        <v>0</v>
      </c>
      <c r="BP129" s="109">
        <f t="shared" si="246"/>
        <v>0</v>
      </c>
      <c r="BQ129" s="110">
        <f t="shared" si="246"/>
        <v>0</v>
      </c>
      <c r="BR129" s="107">
        <f t="shared" si="246"/>
        <v>0</v>
      </c>
      <c r="BS129" s="464"/>
      <c r="BT129" s="461"/>
      <c r="BU129" s="392"/>
      <c r="BV129" s="461"/>
      <c r="BW129" s="392"/>
      <c r="BX129" s="392"/>
      <c r="BY129" s="392"/>
      <c r="BZ129" s="461"/>
      <c r="CA129" s="392"/>
      <c r="CB129" s="392"/>
      <c r="CC129" s="392"/>
      <c r="CD129" s="401"/>
      <c r="CE129" s="409"/>
      <c r="CF129" s="133">
        <f t="shared" si="131"/>
        <v>0</v>
      </c>
      <c r="CG129" s="134">
        <f t="shared" si="132"/>
        <v>0</v>
      </c>
      <c r="CH129" s="134">
        <f t="shared" si="133"/>
        <v>0</v>
      </c>
      <c r="CI129" s="134">
        <f t="shared" si="134"/>
        <v>0</v>
      </c>
      <c r="CJ129" s="134">
        <f t="shared" si="135"/>
        <v>0</v>
      </c>
      <c r="CK129" s="134">
        <f t="shared" si="136"/>
        <v>0</v>
      </c>
      <c r="CL129" s="134">
        <f t="shared" si="137"/>
        <v>0</v>
      </c>
      <c r="CM129" s="134">
        <f t="shared" si="138"/>
        <v>0</v>
      </c>
      <c r="CN129" s="134">
        <f t="shared" si="139"/>
        <v>0</v>
      </c>
      <c r="CO129" s="134">
        <f t="shared" si="140"/>
        <v>0</v>
      </c>
      <c r="CP129" s="134">
        <f t="shared" si="141"/>
        <v>0</v>
      </c>
      <c r="CQ129" s="134">
        <f t="shared" si="142"/>
        <v>0</v>
      </c>
      <c r="CR129" s="134">
        <f t="shared" si="143"/>
        <v>0</v>
      </c>
      <c r="CS129" s="134">
        <f t="shared" si="144"/>
        <v>0</v>
      </c>
      <c r="CT129" s="115">
        <f t="shared" si="145"/>
        <v>0</v>
      </c>
      <c r="CU129" s="116">
        <f t="shared" si="146"/>
        <v>0</v>
      </c>
      <c r="CV129" s="116">
        <f t="shared" si="147"/>
        <v>0</v>
      </c>
      <c r="CW129" s="116">
        <f t="shared" si="148"/>
        <v>0</v>
      </c>
      <c r="CX129" s="116">
        <f t="shared" si="149"/>
        <v>0</v>
      </c>
      <c r="CY129" s="116">
        <f t="shared" si="150"/>
        <v>0</v>
      </c>
      <c r="CZ129" s="116">
        <f t="shared" si="151"/>
        <v>0</v>
      </c>
      <c r="DA129" s="116">
        <f t="shared" si="152"/>
        <v>0</v>
      </c>
      <c r="DB129" s="116">
        <f t="shared" si="153"/>
        <v>0</v>
      </c>
      <c r="DC129" s="116">
        <f t="shared" si="154"/>
        <v>0</v>
      </c>
      <c r="DD129" s="116">
        <f t="shared" si="155"/>
        <v>0</v>
      </c>
      <c r="DE129" s="117">
        <f t="shared" si="156"/>
        <v>0</v>
      </c>
      <c r="DF129" s="118">
        <f t="shared" si="158"/>
        <v>11</v>
      </c>
      <c r="DG129" s="106">
        <f t="shared" si="159"/>
        <v>14.450000000000001</v>
      </c>
      <c r="DH129" s="116">
        <f t="shared" si="160"/>
        <v>1</v>
      </c>
      <c r="DI129" s="106">
        <f t="shared" si="161"/>
        <v>3.9</v>
      </c>
      <c r="DJ129" s="201" t="str">
        <f>IF($D127="","",$D127)</f>
        <v>2</v>
      </c>
      <c r="DK129" s="466"/>
    </row>
    <row r="130" spans="1:115" ht="14.5" customHeight="1" x14ac:dyDescent="0.2">
      <c r="A130" s="487">
        <f>$A127+1</f>
        <v>43</v>
      </c>
      <c r="B130" s="506" t="str">
        <f>IF(OR(C130="W",C131="W",C132="W",C130="1/2W",C131="1/2W",C132="1/2W",C130="1/2L",C131="1/2L",C132="1/2L"),"OK",IF(OR(C130="L",C131="L",C132="L"),"LOSS",IF(OR(C130="X",C131="X",C132="X"),"Anulado"," ")))</f>
        <v>OK</v>
      </c>
      <c r="C130" s="147" t="s">
        <v>55</v>
      </c>
      <c r="D130" s="494" t="str">
        <f>IF(G130="","",$D127)</f>
        <v>2</v>
      </c>
      <c r="E130" s="511" t="str">
        <f>IF(G130=""," ","– "&amp;COUNTIF(D$4:D132,$D130))</f>
        <v>– 26</v>
      </c>
      <c r="F130" s="510" t="str">
        <f ca="1">IF(G130="","",IF(OR(AND($C130&lt;&gt;" ",$C131=" "),AND($C131&lt;&gt;" ",$C130=" "),AND(L132&gt;0,OR(AND($C132&lt;&gt;" ",OR($C130=" ",$C131=" ")),AND($C132=" ",OR($C130&lt;&gt;" ",$C131&lt;&gt;" "))))),IF(SUM(F$9:F122)=0,1,LARGE(F$9:F122,1)+1),IF(MONTH(G130)=MONTH(TODAY()),IF(AND(DAY(G130)&lt;DAY(TODAY()),$B130=" "),IF(SUM(F$9:F122)=0,1,LARGE(F$9:F122,1)+1),IF($B130=" ",IF(AND(DAY(G130)=DAY(TODAY()),HOUR(G130)&lt;=HOUR(NOW())+1),IF(AND(HOUR(G130)+2&lt;=HOUR(NOW()),DAY(G130)&lt;=DAY(TODAY()),MINUTE(G130)&lt;=MINUTE(NOW())),IF(SUM(F$9:F122)=0,1,LARGE(F$9:F122,1)+1),IF(OR(MINUTE(G130)&lt;=MINUTE(NOW()),HOUR(G130)&lt;=HOUR(NOW())),"!!!","")),""),"")),"")))</f>
        <v/>
      </c>
      <c r="G130" s="508">
        <v>44988.729166666664</v>
      </c>
      <c r="H130" s="502" t="s">
        <v>95</v>
      </c>
      <c r="I130" s="180" t="s">
        <v>61</v>
      </c>
      <c r="J130" s="149"/>
      <c r="K130" s="150" t="s">
        <v>47</v>
      </c>
      <c r="L130" s="151">
        <v>4.42</v>
      </c>
      <c r="M130" s="152">
        <v>22.93</v>
      </c>
      <c r="N130" s="503">
        <v>0</v>
      </c>
      <c r="O130" s="153">
        <f>IF(OR(AE130="",AE131=""),"",ROUND(IF(L132&gt;0,IF(M130&gt;0,M130,IF(M131&gt;0,ROUND((M131*AE130)/AE131,IF(N130=0,2,IF(N130=0.1,1,0))),ROUND((M132*AE130)/AE132,IF(N130=0,2,IF(N130=0.1,1,0))))),IF(M130&gt;0,M130,ROUND((M131*AE130)/AE131,IF(N130=0,2,IF(N130=0.1,1,0))))),2))</f>
        <v>22.93</v>
      </c>
      <c r="P130" s="154">
        <f>IF(OR(L130="",O130=""),"",IF($C130="1/2W",O130/2+O130/2*L130,IF($C130="1/2L",O130/2,IF(I130="Lay",(O130*(L130/(L130-1))-O130)*(1-_xlfn.XLOOKUP(K130,'Fevereiro 2023 - Valor Real'!A3:A15,'Fevereiro 2023 - Valor Real'!C3:C15,0))+O130,(O130*L130-O130)*(1-_xlfn.XLOOKUP(K130,'Fevereiro 2023 - Valor Real'!A3:A15,'Fevereiro 2023 - Valor Real'!C3:C15,0))+O130))))</f>
        <v>101.35060000000001</v>
      </c>
      <c r="Q130" s="155">
        <f>IF(K130="","",IF(_xlfn.XLOOKUP(K130,K$9:K122,$DJ$9:DJ122,0,,-1)=DJ130,_xlfn.XLOOKUP(K130,K$9:K122,Q$9:Q122,1,,-1)+1,1))</f>
        <v>9</v>
      </c>
      <c r="R130" s="156">
        <f>IF(K130="","",_xlfn.XLOOKUP(K130,K$9:K122,R$9:R122,0,,-1)+IF($C130=" ",1,0))</f>
        <v>0</v>
      </c>
      <c r="S130" s="501">
        <f>IF($B130="Anulado",0,ROUND(IF(OR($B130="LOSS",$B130="OK"),IF(OR($C130="W",$C130="1/2W",$C130="1/2L"),P130-O130,IF($C130="L",-O130,0))+IF(OR($C131="W",$C131="1/2W",$C131="1/2L"),P131-O131,IF($C131="L",-O131,0))+IF(OR($C132="W",$C132="1/2W",$C132="1/2L"),P132-O132,IF($C132="L",-O132,0)),IF(AND(OR($C130="W",$C130="1/2W",$C130="1/2L"),C131="W"),P130+P131-SUM(O130:O132)+_xlfn.XLOOKUP("X",C130:C132,O130:O132,0),IF(AND(C130=TRUE,C132="W"),P130+P132-SUM(O130:O132),IF(AND(C131="W",C132="W"),P131+P132-SUM(O130:O132)+_xlfn.XLOOKUP("X",C130:C132,O130:O132,0),IF(L132&gt;0,IF(OR($C130="W",$C130="1/2W",$C130="1/2L"),P130-SUM(O130:O132)+_xlfn.XLOOKUP("X",C130:C132,O130:O132,0),IF(OR($C130="W",$C130="1/2W",$C130="1/2L"),P131-SUM(O130:O132)+_xlfn.XLOOKUP("X",C130:C132,O130:O132,0),IF(OR($C130="W",$C130="1/2W",$C130="1/2L"),P132-SUM(O130:O132)+_xlfn.XLOOKUP("X",C130:C132,O130:O132,0),IF(SUM(P130:P132)/3-SUM(O130:O132)+_xlfn.XLOOKUP("X",C130:C132,O130:O132,0)&gt;0,SUM(P130:P132)/3-SUM(O130:O132)+_xlfn.XLOOKUP("X",C130:C132,O130:O132,0),LARGE(P130:P132,1)-SUM(O130:O132))))),IF(OR($C130="W",$C130="1/2W",$C130="1/2L"),P130-SUM(O130:O131)+_xlfn.XLOOKUP("X",C130:C132,O130:O132,0),IF(OR($C130="W",$C130="1/2W",$C130="1/2L"),P131-SUM(O130:O131)+_xlfn.XLOOKUP("X",C130:C132,O130:O132,0),SUM(P130:P131)/2-SUM(O130:O131)+_xlfn.XLOOKUP("X",C130:C132,O130:O132,0)))))))),2))</f>
        <v>3.77</v>
      </c>
      <c r="T130" s="486">
        <f>IF(S130=0,0,S130/SUM(O130:O132))</f>
        <v>3.8496885530480952E-2</v>
      </c>
      <c r="U130" s="496">
        <f>IF($D130=$D127,IF(OR($B130="LOSS",$B130="OK",$B130="Anulada"),S130,0)+U127,IF(OR($B130="LOSS",$B130="OK",$B130="Anulada"),S130,0))</f>
        <v>82.21</v>
      </c>
      <c r="V130" s="496">
        <f>IF($D130="",0,IF($D130=$D127,IF($B130=" ",IF(I132="",IF(OR(AND(I130="DNB1",I131="DNB2"),AND(OR(I130="DNB1",I130="DNB2"),J131=0),AND(OR(I131="DNB1",I131="DNB2"),J130=0),AND(I130="DNB2",I131="DNB1"),AND(IF(J130=0,(J130+1)/ROUND(J130+1,0),J130/ROUND(J130,0))=1,IF(J131=0,(J131+1)/ROUND(IF(J131="",0,J131)+1,0),IF(J131="",0,J131)/ROUND(IF(J131="",1,J131),0))=1,OR(J130&lt;&gt;""),J131&lt;&gt;"")),0,IF(S130&lt;0,IF(I132="",SMALL(P130:P131,1)-SUM(O130:O131),0),SMALL(P130:P131,1)-SUM(O130:O131))),IF(S130&lt;0,IF(I132="",SMALL(P130:P132,1)-SUM(O130:O132),0),LARGE(P130:P132,1)-SUM(O130:O132))),S130)+V127,IF(I132="",IF(OR(AND(I130="DNB1",I131="DNB2"),AND(OR(I130="DNB1",I130="DNB2"),J131=0),AND(OR(I131="DNB1",I131="DNB2"),J130=0),AND(I130="DNB2",I131="DNB1"),AND(IF(J130=0,(J130+1)/ROUND(J130+1,0),J130/ROUND(J130,0))=1,IF(J131=0,(IF(J131="",0,J131)+1)/ROUND(IF(J131="",0,J131)+1,0),IF(J131="",0,J131)/ROUND(IF(J131="",0,J131)+1,0))=1,OR(J130&lt;&gt;""),J131&lt;&gt;"")),0,IF(S130&lt;0,IF(I132="",SMALL(P130:P131,1)-SUM(O130:O131),0),SMALL(P130:P132,1)-SUM(O130:O132))),IF(S130&lt;0,IF(I132="",SMALL(P130:P132,1)-SUM(O130:O132),0),LARGE(P130:P132,1)-SUM(O130:O132)))))</f>
        <v>82.15</v>
      </c>
      <c r="W130" s="496">
        <f>IF($D130=$D127,IF(S130&lt;0,IF(I132="",S130,0),S130)+W127,S130)</f>
        <v>82.21</v>
      </c>
      <c r="X130" s="505" t="str">
        <f>IF(OR(SUM(R130:R132)=0,V130=W130),ROUND(IF(W130=0,0,W130/Y130)*100,2)&amp;"%",ROUND(IF(V130=0,0,V130/Y130)*100,2)&amp;"% a "&amp;ROUND(IF(W130=0,0,W130/Y130)*100,2)&amp;"%")</f>
        <v>4,61%</v>
      </c>
      <c r="Y130" s="497">
        <f>IF($D130=$D127,Y127+SUM(O130:O132),SUM(O130:O132))</f>
        <v>1781.7500000000002</v>
      </c>
      <c r="Z130" s="496">
        <f>IF($B130=" ",SUM(O130:O132),0)+Z127</f>
        <v>0</v>
      </c>
      <c r="AA130" s="496">
        <f>IF(G130="","",IF($B130="Anulado",LARGE(P130:P132,1)-SUM(O130:O132)+AA127,AA127))</f>
        <v>0.45899999999999785</v>
      </c>
      <c r="AB130" s="496">
        <f>IF($D130="","",AB127+S130)</f>
        <v>110.85999999999997</v>
      </c>
      <c r="AC130" s="499">
        <f ca="1">IF($D130="","",IF($B130=" ",IF(DAY(G130)=DAY(TODAY()),1+AC127,0+AC127),0+AC127))</f>
        <v>0</v>
      </c>
      <c r="AD130" s="157">
        <f>(1-_xlfn.XLOOKUP(K128,'Fevereiro 2023 - Valor Real'!A3:A15,'Fevereiro 2023 - Valor Real'!C3:C15,0))+1</f>
        <v>2</v>
      </c>
      <c r="AE130" s="158">
        <f>IF(L130="","",IF(L132&gt;0,(SUM(((L130-1)*(1-_xlfn.XLOOKUP(K130,'Fevereiro 2023 - Valor Real'!A3:A15,'Fevereiro 2023 - Valor Real'!C3:C15,0))+1),((L131-1)*(1-_xlfn.XLOOKUP(K131,'Fevereiro 2023 - Valor Real'!A3:A15,'Fevereiro 2023 - Valor Real'!C3:C15,0))+1),((L132-1)*(1-_xlfn.XLOOKUP(K132,'Fevereiro 2023 - Valor Real'!A3:A15,'Fevereiro 2023 - Valor Real'!C3:C15,0))+1))/((L130-1)*(1-_xlfn.XLOOKUP(K130,'Fevereiro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Real'!C3:C15,0))+1))/((L130-1)*(1-_xlfn.XLOOKUP(K130,'Fevereiro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Real'!C3:C15,0))+1))/((L131-1)*(1-_xlfn.XLOOKUP(K131,'Fevereiro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Real'!C3:C15,0))+1))/((L132-1)*(1-_xlfn.XLOOKUP(K132,'Fevereiro 2023 - Valor Real'!A3:A15,'Fevereiro 2023 - Valor Real'!C3:C15,0))+1)),IF(I130="Lay",IF(I131="Lay",((L131/(L131-1)-1)*(1-_xlfn.XLOOKUP(K131,'Fevereiro 2023 - Valor Real'!A3:A15,'Fevereiro 2023 - Valor Real'!C3:C15,0))+1)/(((L131/(L131-1)-1)*(1-_xlfn.XLOOKUP(K131,'Fevereiro 2023 - Valor Real'!A3:A15,'Fevereiro 2023 - Valor Real'!C3:C15,0))+1)+((L130/(L130-1)-1)*(1-_xlfn.XLOOKUP(K130,'Fevereiro 2023 - Valor Real'!A3:A15,'Fevereiro 2023 - Valor Real'!C3:C15,0))+1)),((L131-1)*(1-_xlfn.XLOOKUP(K131,'Fevereiro 2023 - Valor Real'!A3:A15,'Fevereiro 2023 - Valor Real'!C3:C15,0))+1)/(((L131-1)*(1-_xlfn.XLOOKUP(K131,'Fevereiro 2023 - Valor Real'!A3:A15,'Fevereiro 2023 - Valor Real'!C3:C15,0))+1)+((L130/(L130-1)-1)*(1-_xlfn.XLOOKUP(K130,'Fevereiro 2023 - Valor Real'!A3:A15,'Fevereiro 2023 - Valor Real'!C3:C15,0))+1))),IF(I131="Lay",(((L131/(L131-1)-1)*(1-_xlfn.XLOOKUP(K131,'Fevereiro 2023 - Valor Real'!A3:A15,'Fevereiro 2023 - Valor Real'!C3:C15,0))+1))/(((L130-1)*(1-_xlfn.XLOOKUP(K130,'Fevereiro 2023 - Valor Real'!A3:A15,'Fevereiro 2023 - Valor Real'!C3:C15,0))+1)+((L131/(L131-1)-1)*(1-_xlfn.XLOOKUP(K131,'Fevereiro 2023 - Valor Real'!A3:A15,'Fevereiro 2023 - Valor Real'!C3:C15,0))+1)),((L131-1)*(1-_xlfn.XLOOKUP(K131,'Fevereiro 2023 - Valor Real'!A3:A15,'Fevereiro 2023 - Valor Real'!C3:C15,0))+1)/(((L131-1)*(1-_xlfn.XLOOKUP(K131,'Fevereiro 2023 - Valor Real'!A3:A15,'Fevereiro 2023 - Valor Real'!C3:C15,0))+1)+((L130-1)*(1-_xlfn.XLOOKUP(K130,'Fevereiro 2023 - Valor Real'!A3:A15,'Fevereiro 2023 - Valor Real'!C3:C15,0))+1))))))</f>
        <v>0.13804193124589448</v>
      </c>
      <c r="AF130" s="66">
        <f t="shared" si="244"/>
        <v>0</v>
      </c>
      <c r="AG130" s="67">
        <f t="shared" si="244"/>
        <v>0</v>
      </c>
      <c r="AH130" s="67">
        <f t="shared" si="244"/>
        <v>0</v>
      </c>
      <c r="AI130" s="67">
        <f t="shared" si="244"/>
        <v>0</v>
      </c>
      <c r="AJ130" s="67">
        <f t="shared" si="244"/>
        <v>0</v>
      </c>
      <c r="AK130" s="67">
        <f t="shared" si="244"/>
        <v>0</v>
      </c>
      <c r="AL130" s="67">
        <f t="shared" si="244"/>
        <v>0</v>
      </c>
      <c r="AM130" s="67">
        <f t="shared" si="244"/>
        <v>0</v>
      </c>
      <c r="AN130" s="67">
        <f t="shared" si="244"/>
        <v>0</v>
      </c>
      <c r="AO130" s="67">
        <f t="shared" si="244"/>
        <v>0</v>
      </c>
      <c r="AP130" s="67">
        <f t="shared" si="244"/>
        <v>0</v>
      </c>
      <c r="AQ130" s="67">
        <f t="shared" si="244"/>
        <v>-22.93</v>
      </c>
      <c r="AR130" s="68">
        <f t="shared" si="244"/>
        <v>0</v>
      </c>
      <c r="AS130" s="66">
        <f t="shared" ref="AS130:BE130" si="254">IF(AND($B130=" ",$K130=AS$3),$O130,0)</f>
        <v>0</v>
      </c>
      <c r="AT130" s="67">
        <f t="shared" si="254"/>
        <v>0</v>
      </c>
      <c r="AU130" s="67">
        <f t="shared" si="254"/>
        <v>0</v>
      </c>
      <c r="AV130" s="67">
        <f t="shared" si="254"/>
        <v>0</v>
      </c>
      <c r="AW130" s="67">
        <f t="shared" si="254"/>
        <v>0</v>
      </c>
      <c r="AX130" s="67">
        <f t="shared" si="254"/>
        <v>0</v>
      </c>
      <c r="AY130" s="69">
        <f t="shared" si="254"/>
        <v>0</v>
      </c>
      <c r="AZ130" s="70">
        <f t="shared" si="254"/>
        <v>0</v>
      </c>
      <c r="BA130" s="70">
        <f t="shared" si="254"/>
        <v>0</v>
      </c>
      <c r="BB130" s="70">
        <f t="shared" si="254"/>
        <v>0</v>
      </c>
      <c r="BC130" s="71">
        <f t="shared" si="254"/>
        <v>0</v>
      </c>
      <c r="BD130" s="67">
        <f t="shared" si="254"/>
        <v>0</v>
      </c>
      <c r="BE130" s="68">
        <f t="shared" si="254"/>
        <v>0</v>
      </c>
      <c r="BF130" s="66">
        <f t="shared" si="246"/>
        <v>0</v>
      </c>
      <c r="BG130" s="67">
        <f t="shared" si="246"/>
        <v>0</v>
      </c>
      <c r="BH130" s="67">
        <f t="shared" si="246"/>
        <v>0</v>
      </c>
      <c r="BI130" s="67">
        <f t="shared" si="246"/>
        <v>0</v>
      </c>
      <c r="BJ130" s="67">
        <f t="shared" si="246"/>
        <v>0</v>
      </c>
      <c r="BK130" s="67">
        <f t="shared" si="246"/>
        <v>0</v>
      </c>
      <c r="BL130" s="67">
        <f t="shared" si="246"/>
        <v>0</v>
      </c>
      <c r="BM130" s="69">
        <f t="shared" si="246"/>
        <v>0</v>
      </c>
      <c r="BN130" s="70">
        <f t="shared" si="246"/>
        <v>0</v>
      </c>
      <c r="BO130" s="70">
        <f t="shared" si="246"/>
        <v>0</v>
      </c>
      <c r="BP130" s="70">
        <f t="shared" si="246"/>
        <v>0</v>
      </c>
      <c r="BQ130" s="71">
        <f t="shared" si="246"/>
        <v>22.93</v>
      </c>
      <c r="BR130" s="68">
        <f t="shared" si="246"/>
        <v>0</v>
      </c>
      <c r="BS130" s="490">
        <f>IF($B130="LOSS",IF(AND($K130=BS$3,$C130="L"),-$O130,0)+IF(AND($K131=BS$3,$C131="L"),-$O131,0)+IF(AND($K132=BS$3,$C132="L"),-$O132,0),IF(OR(AND($K130=BS$3,OR($C130="W",$C130="1/2W")),AND($K131=BS$3,OR($C131="W",$C131="1/2W")),AND($K132=BS$3,OR($C132="W",$C132="1/2W"))),$S130,0))</f>
        <v>0</v>
      </c>
      <c r="BT130" s="498">
        <f>IF($B130="LOSS",IF(AND($K130=BT$3,$C130="L"),-$O130,0)+IF(AND($K131=BT$3,$C131="L"),-$O131,0)+IF(AND($K131=BT$3,$C132="L"),-$O132,0),IF(OR(AND($K131=BT$3,OR($C130="W",$C130="1/2W")),AND($K131=BT$3,OR($C131="W",$C131="1/2W")),AND($K131=BT$3,OR($C132="W",$C132="1/2W"))),$S130,0))</f>
        <v>0</v>
      </c>
      <c r="BU130" s="488">
        <f>IF($B130="LOSS",IF(AND($K130=BU$3,$C130="L"),-$O130,0)+IF(AND($K131=BU$3,$C131="L"),-$O131,0)+IF(AND($K131=BU$3,$C132="L"),-$O132,0),IF(OR(AND($K131=BU$3,OR($C130="W",$C130="1/2W")),AND($K131=BU$3,OR($C131="W",$C131="1/2W")),AND($K131=BU$3,OR($C132="W",$C132="1/2W"))),$S130,0))</f>
        <v>0</v>
      </c>
      <c r="BV130" s="488">
        <f t="shared" ref="BV130:CE130" si="255">IF($B130="LOSS",IF(AND($K130=BV$3,$C130="L"),-$O130,0)+IF(AND($K131=BV$3,$C131="L"),-$O131,0)+IF(AND($K132=BV$3,$C132="L"),-$O132,0),IF(OR(AND($K130=BV$3,OR($C130="W",$C130="1/2W")),AND($K131=BV$3,OR($C131="W",$C131="1/2W")),AND($K132=BV$3,OR($C132="W",$C132="1/2W"))),$S130,0))</f>
        <v>0</v>
      </c>
      <c r="BW130" s="488">
        <f t="shared" si="255"/>
        <v>3.77</v>
      </c>
      <c r="BX130" s="488">
        <f t="shared" si="255"/>
        <v>0</v>
      </c>
      <c r="BY130" s="488">
        <f t="shared" si="255"/>
        <v>0</v>
      </c>
      <c r="BZ130" s="488">
        <f t="shared" si="255"/>
        <v>0</v>
      </c>
      <c r="CA130" s="488">
        <f t="shared" si="255"/>
        <v>0</v>
      </c>
      <c r="CB130" s="488">
        <f t="shared" si="255"/>
        <v>0</v>
      </c>
      <c r="CC130" s="488">
        <f t="shared" si="255"/>
        <v>0</v>
      </c>
      <c r="CD130" s="500">
        <f t="shared" si="255"/>
        <v>0</v>
      </c>
      <c r="CE130" s="504">
        <f t="shared" si="255"/>
        <v>0</v>
      </c>
      <c r="CF130" s="160">
        <f t="shared" si="131"/>
        <v>0</v>
      </c>
      <c r="CG130" s="161">
        <f t="shared" si="132"/>
        <v>0</v>
      </c>
      <c r="CH130" s="161">
        <f t="shared" si="133"/>
        <v>0</v>
      </c>
      <c r="CI130" s="161">
        <f t="shared" si="134"/>
        <v>0</v>
      </c>
      <c r="CJ130" s="161">
        <f t="shared" si="135"/>
        <v>0</v>
      </c>
      <c r="CK130" s="161">
        <f t="shared" si="136"/>
        <v>0</v>
      </c>
      <c r="CL130" s="161">
        <f t="shared" si="137"/>
        <v>0</v>
      </c>
      <c r="CM130" s="161">
        <f t="shared" si="138"/>
        <v>0</v>
      </c>
      <c r="CN130" s="161">
        <f t="shared" si="139"/>
        <v>0</v>
      </c>
      <c r="CO130" s="161">
        <f t="shared" si="140"/>
        <v>0</v>
      </c>
      <c r="CP130" s="161">
        <f t="shared" si="141"/>
        <v>0</v>
      </c>
      <c r="CQ130" s="161">
        <f t="shared" si="142"/>
        <v>0</v>
      </c>
      <c r="CR130" s="161">
        <f t="shared" si="143"/>
        <v>0</v>
      </c>
      <c r="CS130" s="161">
        <f t="shared" si="144"/>
        <v>0</v>
      </c>
      <c r="CT130" s="75">
        <f t="shared" si="145"/>
        <v>0</v>
      </c>
      <c r="CU130" s="76">
        <f t="shared" si="146"/>
        <v>0</v>
      </c>
      <c r="CV130" s="76">
        <f t="shared" si="147"/>
        <v>0</v>
      </c>
      <c r="CW130" s="76">
        <f t="shared" si="148"/>
        <v>0</v>
      </c>
      <c r="CX130" s="76">
        <f t="shared" si="149"/>
        <v>0</v>
      </c>
      <c r="CY130" s="76">
        <f t="shared" si="150"/>
        <v>0</v>
      </c>
      <c r="CZ130" s="76">
        <f t="shared" si="151"/>
        <v>0</v>
      </c>
      <c r="DA130" s="76">
        <f t="shared" si="152"/>
        <v>0</v>
      </c>
      <c r="DB130" s="76">
        <f t="shared" si="153"/>
        <v>0</v>
      </c>
      <c r="DC130" s="76">
        <f t="shared" si="154"/>
        <v>1</v>
      </c>
      <c r="DD130" s="76">
        <f t="shared" si="155"/>
        <v>0</v>
      </c>
      <c r="DE130" s="77">
        <f t="shared" si="156"/>
        <v>0</v>
      </c>
      <c r="DF130" s="73">
        <f t="shared" si="158"/>
        <v>11</v>
      </c>
      <c r="DG130" s="67">
        <f t="shared" si="159"/>
        <v>14.450000000000001</v>
      </c>
      <c r="DH130" s="76">
        <f t="shared" si="160"/>
        <v>1</v>
      </c>
      <c r="DI130" s="67">
        <f t="shared" si="161"/>
        <v>3.9</v>
      </c>
      <c r="DJ130" s="202" t="str">
        <f>IF($D130="","",$D130)</f>
        <v>2</v>
      </c>
      <c r="DK130" s="492">
        <f>IF(AND($B130=" ",$D130&lt;&gt;""),1,0)</f>
        <v>0</v>
      </c>
    </row>
    <row r="131" spans="1:115" ht="14.5" customHeight="1" x14ac:dyDescent="0.2">
      <c r="A131" s="389"/>
      <c r="B131" s="456"/>
      <c r="C131" s="53" t="s">
        <v>54</v>
      </c>
      <c r="D131" s="374"/>
      <c r="E131" s="386"/>
      <c r="F131" s="377"/>
      <c r="G131" s="508"/>
      <c r="H131" s="476"/>
      <c r="I131" s="182" t="s">
        <v>59</v>
      </c>
      <c r="J131" s="163" t="str">
        <f>IF(OR(I130="TO",I130="TU",I130="TO1",I130="TU1",I130="TO2",I130="TU2"),J130,IF(OR(I130="AH1",I130="AH2"),IF(OR(I131="AH1",I131="AH2"),-J130,IF(OR(I131="EH1",I131="EH2"),-J130+0.5,"")),IF(OR(I130="EH1",I130="EH2"),IF(OR(I131="AH1",I131="AH2"),-J130+0.5,IF(OR(I131="EH1",I131="EH2"),-J130+1,"")),IF(AND(OR(I130="DNB1",I130="DNB2"),OR(I131="AH1",I131="AH2")),0,IF(AND(I130="Not ScoreBoth",OR(I131="TO1",I131="TO2")),0.5,"")))))</f>
        <v/>
      </c>
      <c r="K131" s="57" t="s">
        <v>40</v>
      </c>
      <c r="L131" s="164">
        <v>1.31</v>
      </c>
      <c r="M131" s="165">
        <v>60</v>
      </c>
      <c r="N131" s="406"/>
      <c r="O131" s="60">
        <f>IF(OR(AE130="",AE131=""),"",ROUND(IF(L132&gt;0,IF(M131&gt;0,M131,IF(M130&gt;0,IF(N130=TRUE,ROUND((M130*AE131)/AE130,0),(M130*AE131)/AE130),IF(M131&gt;0,ROUND(M131,IF(N130=0,2,IF(N130=0.1,1,0))),IF(M132&gt;0,ROUND(O132*AE131/AE132,IF(N130=0,2,IF(N130=0.1,1,0))),0)))),IF(M131&gt;0,M131,ROUND((M130*AE131)/AE130,IF(N130=0,2,IF(N130=0.1,1,0))))),2))</f>
        <v>60</v>
      </c>
      <c r="P131" s="61">
        <f>IF(OR(L131="",O131=""),"",IF($C131="1/2W",O131/2+O131/2*L131,IF($C131="1/2L",O131/2,IF(I131="Lay",((O131*(L131/(L131-1)))-O131)*(1-_xlfn.XLOOKUP(K131,'Fevereiro 2023 - Valor Real'!A3:A15,'Fevereiro 2023 - Valor Real'!C3:C15,0))+O131,(O131*L131-O131)*(1-_xlfn.XLOOKUP(K131,'Fevereiro 2023 - Valor Real'!A3:A15,'Fevereiro 2023 - Valor Real'!C3:C15,0))+O131))))</f>
        <v>78.600000000000009</v>
      </c>
      <c r="Q131" s="166">
        <f>IF(K131="","",IF(_xlfn.XLOOKUP(K131,K$10:K122,$DJ$10:DJ122,0,,-1)=DJ131,_xlfn.XLOOKUP(K131,K$10:K122,Q$10:Q122,1,,-1)+1,1))</f>
        <v>10</v>
      </c>
      <c r="R131" s="167">
        <f>IF(K131="","",_xlfn.XLOOKUP(K131,K$10:K122,R$10:R122,0,,-1)+IF($C131=" ",1,0))</f>
        <v>0</v>
      </c>
      <c r="S131" s="403"/>
      <c r="T131" s="380"/>
      <c r="U131" s="380"/>
      <c r="V131" s="481"/>
      <c r="W131" s="380"/>
      <c r="X131" s="452"/>
      <c r="Y131" s="383"/>
      <c r="Z131" s="384"/>
      <c r="AA131" s="384"/>
      <c r="AB131" s="384"/>
      <c r="AC131" s="384"/>
      <c r="AD131" s="64"/>
      <c r="AE131" s="65">
        <f>IF(L131="","",IF(L132&gt;0,(SUM(((L130-1)*(1-_xlfn.XLOOKUP(K130,'Fevereiro 2023 - Valor Real'!A3:A15,'Fevereiro 2023 - Valor Real'!C3:C15,0))+1),((L131-1)*(1-_xlfn.XLOOKUP(K131,'Fevereiro 2023 - Valor Real'!A3:A15,'Fevereiro 2023 - Valor Real'!C3:C15,0))+1),((L132-1)*(1-_xlfn.XLOOKUP(K132,'Fevereiro 2023 - Valor Real'!A3:A15,'Fevereiro 2023 - Valor Real'!C3:C15,0))+1))/((L131-1)*(1-_xlfn.XLOOKUP(K131,'Fevereiro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Real'!C3:C15,0))+1))/((L130-1)*(1-_xlfn.XLOOKUP(K130,'Fevereiro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Real'!C3:C15,0))+1))/((L131-1)*(1-_xlfn.XLOOKUP(K131,'Fevereiro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Real'!C3:C15,0))+1))/((L132-1)*(1-_xlfn.XLOOKUP(K132,'Fevereiro 2023 - Valor Real'!A3:A15,'Fevereiro 2023 - Valor Real'!C3:C15,0))+1)),IF(I131="Lay",IF(I130="Lay",((L130/(L130-1)-1)*(1-_xlfn.XLOOKUP(K130,'Fevereiro 2023 - Valor Real'!A3:A15,'Fevereiro 2023 - Valor Real'!C3:C15,0))+1)/(((L130/(L130-1)-1)*(1-_xlfn.XLOOKUP(K130,'Fevereiro 2023 - Valor Real'!A3:A15,'Fevereiro 2023 - Valor Real'!C3:C15,0))+1)+((L131/(L131-1)-1)*(1-_xlfn.XLOOKUP(K131,'Fevereiro 2023 - Valor Real'!A3:A15,'Fevereiro 2023 - Valor Real'!C3:C15,0))+1)),((L130-1)*(1-_xlfn.XLOOKUP(K130,'Fevereiro 2023 - Valor Real'!A3:A15,'Fevereiro 2023 - Valor Real'!C3:C15,0))+1)/(((L130-1)*(1-_xlfn.XLOOKUP(K130,'Fevereiro 2023 - Valor Real'!A3:A15,'Fevereiro 2023 - Valor Real'!C3:C15,0))+1)+((L131/(L131-1)-1)*(1-_xlfn.XLOOKUP(K131,'Fevereiro 2023 - Valor Real'!A3:A15,'Fevereiro 2023 - Valor Real'!C3:C15,0))+1))),IF(I130="Lay",((L130/(L130-1)-1)*(1-_xlfn.XLOOKUP(K130,'Fevereiro 2023 - Valor Real'!A3:A15,'Fevereiro 2023 - Valor Real'!C3:C15,0))+1)/((((L130/(L130-1)-1)*(1-_xlfn.XLOOKUP(K130,'Fevereiro 2023 - Valor Real'!A3:A15,'Fevereiro 2023 - Valor Real'!C3:C15,0))+1))+((L131-1)*(1-_xlfn.XLOOKUP(K131,'Fevereiro 2023 - Valor Real'!A3:A15,'Fevereiro 2023 - Valor Real'!C3:C15,0))+1)),((L130-1)*(1-_xlfn.XLOOKUP(K130,'Fevereiro 2023 - Valor Real'!A3:A15,'Fevereiro 2023 - Valor Real'!C3:C15,0))+1)/(((L130-1)*(1-_xlfn.XLOOKUP(K130,'Fevereiro 2023 - Valor Real'!A3:A15,'Fevereiro 2023 - Valor Real'!C3:C15,0))+1)+((L131-1)*(1-_xlfn.XLOOKUP(K131,'Fevereiro 2023 - Valor Real'!A3:A15,'Fevereiro 2023 - Valor Real'!C3:C15,0))+1))))))</f>
        <v>0.46575979855485</v>
      </c>
      <c r="AF131" s="66">
        <f t="shared" si="244"/>
        <v>0</v>
      </c>
      <c r="AG131" s="67">
        <f t="shared" si="244"/>
        <v>0</v>
      </c>
      <c r="AH131" s="67">
        <f t="shared" si="244"/>
        <v>0</v>
      </c>
      <c r="AI131" s="67">
        <f t="shared" si="244"/>
        <v>0</v>
      </c>
      <c r="AJ131" s="67">
        <f t="shared" si="244"/>
        <v>18.600000000000001</v>
      </c>
      <c r="AK131" s="67">
        <f t="shared" si="244"/>
        <v>0</v>
      </c>
      <c r="AL131" s="67">
        <f t="shared" si="244"/>
        <v>0</v>
      </c>
      <c r="AM131" s="67">
        <f t="shared" si="244"/>
        <v>0</v>
      </c>
      <c r="AN131" s="67">
        <f t="shared" si="244"/>
        <v>0</v>
      </c>
      <c r="AO131" s="67">
        <f t="shared" si="244"/>
        <v>0</v>
      </c>
      <c r="AP131" s="67">
        <f t="shared" si="244"/>
        <v>0</v>
      </c>
      <c r="AQ131" s="67">
        <f t="shared" si="244"/>
        <v>0</v>
      </c>
      <c r="AR131" s="68">
        <f t="shared" si="244"/>
        <v>0</v>
      </c>
      <c r="AS131" s="66">
        <f>IF(AND($B130=" ",$K131=AS$3),$O131,0)</f>
        <v>0</v>
      </c>
      <c r="AT131" s="67">
        <f>IF(AND($B130=" ",K131=AT$3),$O131,0)</f>
        <v>0</v>
      </c>
      <c r="AU131" s="67">
        <f t="shared" ref="AU131:BE131" si="256">IF(AND($B130=" ",$K131=AU$3),$O131,0)</f>
        <v>0</v>
      </c>
      <c r="AV131" s="67">
        <f t="shared" si="256"/>
        <v>0</v>
      </c>
      <c r="AW131" s="67">
        <f t="shared" si="256"/>
        <v>0</v>
      </c>
      <c r="AX131" s="67">
        <f t="shared" si="256"/>
        <v>0</v>
      </c>
      <c r="AY131" s="69">
        <f t="shared" si="256"/>
        <v>0</v>
      </c>
      <c r="AZ131" s="70">
        <f t="shared" si="256"/>
        <v>0</v>
      </c>
      <c r="BA131" s="70">
        <f t="shared" si="256"/>
        <v>0</v>
      </c>
      <c r="BB131" s="70">
        <f t="shared" si="256"/>
        <v>0</v>
      </c>
      <c r="BC131" s="71">
        <f t="shared" si="256"/>
        <v>0</v>
      </c>
      <c r="BD131" s="67">
        <f t="shared" si="256"/>
        <v>0</v>
      </c>
      <c r="BE131" s="68">
        <f t="shared" si="256"/>
        <v>0</v>
      </c>
      <c r="BF131" s="66">
        <f t="shared" si="246"/>
        <v>0</v>
      </c>
      <c r="BG131" s="168">
        <f t="shared" si="246"/>
        <v>0</v>
      </c>
      <c r="BH131" s="67">
        <f t="shared" si="246"/>
        <v>0</v>
      </c>
      <c r="BI131" s="67">
        <f t="shared" si="246"/>
        <v>0</v>
      </c>
      <c r="BJ131" s="67">
        <f t="shared" si="246"/>
        <v>60</v>
      </c>
      <c r="BK131" s="67">
        <f t="shared" si="246"/>
        <v>0</v>
      </c>
      <c r="BL131" s="67">
        <f t="shared" si="246"/>
        <v>0</v>
      </c>
      <c r="BM131" s="69">
        <f t="shared" si="246"/>
        <v>0</v>
      </c>
      <c r="BN131" s="70">
        <f t="shared" si="246"/>
        <v>0</v>
      </c>
      <c r="BO131" s="70">
        <f t="shared" si="246"/>
        <v>0</v>
      </c>
      <c r="BP131" s="70">
        <f t="shared" si="246"/>
        <v>0</v>
      </c>
      <c r="BQ131" s="71">
        <f t="shared" si="246"/>
        <v>0</v>
      </c>
      <c r="BR131" s="68">
        <f t="shared" si="246"/>
        <v>0</v>
      </c>
      <c r="BS131" s="491"/>
      <c r="BT131" s="489"/>
      <c r="BU131" s="392"/>
      <c r="BV131" s="489"/>
      <c r="BW131" s="392"/>
      <c r="BX131" s="392"/>
      <c r="BY131" s="392"/>
      <c r="BZ131" s="489"/>
      <c r="CA131" s="392"/>
      <c r="CB131" s="392"/>
      <c r="CC131" s="392"/>
      <c r="CD131" s="401"/>
      <c r="CE131" s="409"/>
      <c r="CF131" s="169">
        <f t="shared" si="131"/>
        <v>0</v>
      </c>
      <c r="CG131" s="170">
        <f t="shared" si="132"/>
        <v>0</v>
      </c>
      <c r="CH131" s="170">
        <f t="shared" si="133"/>
        <v>0</v>
      </c>
      <c r="CI131" s="170">
        <f t="shared" si="134"/>
        <v>0</v>
      </c>
      <c r="CJ131" s="170">
        <f t="shared" si="135"/>
        <v>0</v>
      </c>
      <c r="CK131" s="170">
        <f t="shared" si="136"/>
        <v>0</v>
      </c>
      <c r="CL131" s="170">
        <f t="shared" si="137"/>
        <v>0</v>
      </c>
      <c r="CM131" s="170">
        <f t="shared" si="138"/>
        <v>0</v>
      </c>
      <c r="CN131" s="170">
        <f t="shared" si="139"/>
        <v>1</v>
      </c>
      <c r="CO131" s="170">
        <f t="shared" si="140"/>
        <v>0</v>
      </c>
      <c r="CP131" s="170">
        <f t="shared" si="141"/>
        <v>0</v>
      </c>
      <c r="CQ131" s="170">
        <f t="shared" si="142"/>
        <v>0</v>
      </c>
      <c r="CR131" s="170">
        <f t="shared" si="143"/>
        <v>0</v>
      </c>
      <c r="CS131" s="170">
        <f t="shared" si="144"/>
        <v>0</v>
      </c>
      <c r="CT131" s="75">
        <f t="shared" si="145"/>
        <v>0</v>
      </c>
      <c r="CU131" s="76">
        <f t="shared" si="146"/>
        <v>0</v>
      </c>
      <c r="CV131" s="76">
        <f t="shared" si="147"/>
        <v>0</v>
      </c>
      <c r="CW131" s="76">
        <f t="shared" si="148"/>
        <v>0</v>
      </c>
      <c r="CX131" s="76">
        <f t="shared" si="149"/>
        <v>0</v>
      </c>
      <c r="CY131" s="76">
        <f t="shared" si="150"/>
        <v>0</v>
      </c>
      <c r="CZ131" s="76">
        <f t="shared" si="151"/>
        <v>0</v>
      </c>
      <c r="DA131" s="76">
        <f t="shared" si="152"/>
        <v>0</v>
      </c>
      <c r="DB131" s="76">
        <f t="shared" si="153"/>
        <v>0</v>
      </c>
      <c r="DC131" s="76">
        <f t="shared" si="154"/>
        <v>0</v>
      </c>
      <c r="DD131" s="76">
        <f t="shared" si="155"/>
        <v>0</v>
      </c>
      <c r="DE131" s="77">
        <f t="shared" si="156"/>
        <v>0</v>
      </c>
      <c r="DF131" s="73">
        <f t="shared" si="158"/>
        <v>12</v>
      </c>
      <c r="DG131" s="67">
        <f t="shared" si="159"/>
        <v>15.760000000000002</v>
      </c>
      <c r="DH131" s="76">
        <f t="shared" si="160"/>
        <v>1</v>
      </c>
      <c r="DI131" s="67">
        <f t="shared" si="161"/>
        <v>3.9</v>
      </c>
      <c r="DJ131" s="202" t="str">
        <f>IF($D130="","",$D130)</f>
        <v>2</v>
      </c>
      <c r="DK131" s="493"/>
    </row>
    <row r="132" spans="1:115" ht="14.5" customHeight="1" x14ac:dyDescent="0.2">
      <c r="A132" s="390"/>
      <c r="B132" s="457"/>
      <c r="C132" s="79" t="s">
        <v>54</v>
      </c>
      <c r="D132" s="375"/>
      <c r="E132" s="387"/>
      <c r="F132" s="378"/>
      <c r="G132" s="508"/>
      <c r="H132" s="477"/>
      <c r="I132" s="191">
        <v>1</v>
      </c>
      <c r="J132" s="172"/>
      <c r="K132" s="185" t="s">
        <v>40</v>
      </c>
      <c r="L132" s="186">
        <v>1.54</v>
      </c>
      <c r="M132" s="174">
        <v>15</v>
      </c>
      <c r="N132" s="407"/>
      <c r="O132" s="187">
        <f>IF(OR(AE130="",AE131=""),"",IF(L132&gt;0,ROUND(IF(M132&gt;0,M132,IF(M130&gt;0,ROUND((M130*AE132)/AE130,IF(N130=0,2,IF(N130=0.1,1,0))),IF(M131&gt;0,ROUND((M131*AE132)/AE131,IF(N130=0,2,IF(N130=0.1,1,0))),IF(M132&gt;0,M132,0)))),2),""))</f>
        <v>15</v>
      </c>
      <c r="P132" s="188">
        <f>IF(I131="Lay",O131*(L131/(L131-1))-O131,IF(I130="Lay",O130*(L130/(L130-1))-O130,IF(OR(L132="",O132=""),"",IF($C132="1/2W",O132/2+O132/2*L132,IF($C132="1/2L",O132/2,(O132*L132-O132)*(1-_xlfn.XLOOKUP(K132,'Fevereiro 2023 - Valor Real'!A3:A15,'Fevereiro 2023 - Valor Real'!C3:C15,0))+O132)))))</f>
        <v>23.1</v>
      </c>
      <c r="Q132" s="166">
        <f>IF(K132="","",IF(_xlfn.XLOOKUP(K132,K$11:K122,$DJ$11:DJ122,0,,-1)=DJ132,_xlfn.XLOOKUP(K132,K$11:K122,Q$11:Q122,1,,-1)+1,1))</f>
        <v>10</v>
      </c>
      <c r="R132" s="189">
        <f>IF(K132="","",_xlfn.XLOOKUP(K132,K$11:K122,R$11:R122,0,,-1)+IF($C132=" ",1,0))</f>
        <v>0</v>
      </c>
      <c r="S132" s="404"/>
      <c r="T132" s="378"/>
      <c r="U132" s="378"/>
      <c r="V132" s="404"/>
      <c r="W132" s="378"/>
      <c r="X132" s="453"/>
      <c r="Y132" s="383"/>
      <c r="Z132" s="384"/>
      <c r="AA132" s="384"/>
      <c r="AB132" s="384"/>
      <c r="AC132" s="384"/>
      <c r="AD132" s="90"/>
      <c r="AE132" s="190">
        <f>IF(L132="","",(SUM(((L130-1)*(1-_xlfn.XLOOKUP(K130,'Fevereiro 2023 - Valor Real'!A3:A15,'Fevereiro 2023 - Valor Real'!C3:C15,0))+1),((L131-1)*(1-_xlfn.XLOOKUP(K131,'Fevereiro 2023 - Valor Real'!A3:A15,'Fevereiro 2023 - Valor Real'!C3:C15,0))+1),((L132-1)*(1-_xlfn.XLOOKUP(K132,'Fevereiro 2023 - Valor Real'!A3:A15,'Fevereiro 2023 - Valor Real'!C3:C15,0))+1))/((L132-1)*(1-_xlfn.XLOOKUP(K132,'Fevereiro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Real'!C3:C15,0))+1))/((L130-1)*(1-_xlfn.XLOOKUP(K130,'Fevereiro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Real'!C3:C15,0))+1))/((L131-1)*(1-_xlfn.XLOOKUP(K131,'Fevereiro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Real'!C3:C15,0))+1))/((L132-1)*(1-_xlfn.XLOOKUP(K132,'Fevereiro 2023 - Valor Real'!A3:A15,'Fevereiro 2023 - Valor Real'!C3:C15,0))+1)))</f>
        <v>0.39619827019925558</v>
      </c>
      <c r="AF132" s="66">
        <f t="shared" si="244"/>
        <v>0</v>
      </c>
      <c r="AG132" s="67">
        <f t="shared" si="244"/>
        <v>0</v>
      </c>
      <c r="AH132" s="67">
        <f t="shared" si="244"/>
        <v>0</v>
      </c>
      <c r="AI132" s="67">
        <f t="shared" si="244"/>
        <v>0</v>
      </c>
      <c r="AJ132" s="67">
        <f t="shared" si="244"/>
        <v>8.1</v>
      </c>
      <c r="AK132" s="67">
        <f t="shared" si="244"/>
        <v>0</v>
      </c>
      <c r="AL132" s="67">
        <f t="shared" si="244"/>
        <v>0</v>
      </c>
      <c r="AM132" s="67">
        <f t="shared" si="244"/>
        <v>0</v>
      </c>
      <c r="AN132" s="67">
        <f t="shared" si="244"/>
        <v>0</v>
      </c>
      <c r="AO132" s="67">
        <f t="shared" si="244"/>
        <v>0</v>
      </c>
      <c r="AP132" s="67">
        <f t="shared" si="244"/>
        <v>0</v>
      </c>
      <c r="AQ132" s="67">
        <f t="shared" si="244"/>
        <v>0</v>
      </c>
      <c r="AR132" s="68">
        <f t="shared" si="244"/>
        <v>0</v>
      </c>
      <c r="AS132" s="66">
        <f>IF(AND($B130=" ",$K132=AS$3),$O132,0)</f>
        <v>0</v>
      </c>
      <c r="AT132" s="67">
        <f>IF(AND($B130=" ",K132=AT$3),$O132,0)</f>
        <v>0</v>
      </c>
      <c r="AU132" s="67">
        <f t="shared" ref="AU132:BE132" si="257">IF(AND($B130=" ",$K132=AU$3),$O132,0)</f>
        <v>0</v>
      </c>
      <c r="AV132" s="67">
        <f t="shared" si="257"/>
        <v>0</v>
      </c>
      <c r="AW132" s="67">
        <f t="shared" si="257"/>
        <v>0</v>
      </c>
      <c r="AX132" s="67">
        <f t="shared" si="257"/>
        <v>0</v>
      </c>
      <c r="AY132" s="69">
        <f t="shared" si="257"/>
        <v>0</v>
      </c>
      <c r="AZ132" s="70">
        <f t="shared" si="257"/>
        <v>0</v>
      </c>
      <c r="BA132" s="70">
        <f t="shared" si="257"/>
        <v>0</v>
      </c>
      <c r="BB132" s="70">
        <f t="shared" si="257"/>
        <v>0</v>
      </c>
      <c r="BC132" s="71">
        <f t="shared" si="257"/>
        <v>0</v>
      </c>
      <c r="BD132" s="67">
        <f t="shared" si="257"/>
        <v>0</v>
      </c>
      <c r="BE132" s="68">
        <f t="shared" si="257"/>
        <v>0</v>
      </c>
      <c r="BF132" s="66">
        <f t="shared" si="246"/>
        <v>0</v>
      </c>
      <c r="BG132" s="168">
        <f t="shared" si="246"/>
        <v>0</v>
      </c>
      <c r="BH132" s="67">
        <f t="shared" si="246"/>
        <v>0</v>
      </c>
      <c r="BI132" s="67">
        <f t="shared" si="246"/>
        <v>0</v>
      </c>
      <c r="BJ132" s="67">
        <f t="shared" si="246"/>
        <v>15</v>
      </c>
      <c r="BK132" s="67">
        <f t="shared" si="246"/>
        <v>0</v>
      </c>
      <c r="BL132" s="67">
        <f t="shared" si="246"/>
        <v>0</v>
      </c>
      <c r="BM132" s="69">
        <f t="shared" si="246"/>
        <v>0</v>
      </c>
      <c r="BN132" s="70">
        <f t="shared" si="246"/>
        <v>0</v>
      </c>
      <c r="BO132" s="70">
        <f t="shared" si="246"/>
        <v>0</v>
      </c>
      <c r="BP132" s="70">
        <f t="shared" si="246"/>
        <v>0</v>
      </c>
      <c r="BQ132" s="71">
        <f t="shared" si="246"/>
        <v>0</v>
      </c>
      <c r="BR132" s="68">
        <f t="shared" si="246"/>
        <v>0</v>
      </c>
      <c r="BS132" s="491"/>
      <c r="BT132" s="489"/>
      <c r="BU132" s="392"/>
      <c r="BV132" s="489"/>
      <c r="BW132" s="392"/>
      <c r="BX132" s="392"/>
      <c r="BY132" s="392"/>
      <c r="BZ132" s="489"/>
      <c r="CA132" s="392"/>
      <c r="CB132" s="392"/>
      <c r="CC132" s="392"/>
      <c r="CD132" s="401"/>
      <c r="CE132" s="409"/>
      <c r="CF132" s="169">
        <f t="shared" ref="CF132:CF195" si="258">IF(CF$3=$K132,IF($C132="W",1,IF($C132="1/2W",0.5,0)),0)</f>
        <v>0</v>
      </c>
      <c r="CG132" s="170">
        <f t="shared" ref="CG132:CG195" si="259">IF(CF$3=$K132,IF($C132="L",1,IF($C132="1/2L",0.5,0)),0)</f>
        <v>0</v>
      </c>
      <c r="CH132" s="170">
        <f t="shared" ref="CH132:CH195" si="260">IF(CH$3=$K132,IF($C132="W",1,IF($C132="1/2W",0.5,0)),0)</f>
        <v>0</v>
      </c>
      <c r="CI132" s="170">
        <f t="shared" ref="CI132:CI195" si="261">IF(CH$3=$K132,IF($C132="L",1,IF($C132="1/2L",0.5,0)),0)</f>
        <v>0</v>
      </c>
      <c r="CJ132" s="170">
        <f t="shared" ref="CJ132:CJ195" si="262">IF(CJ$3=$K132,IF($C132="W",1,IF($C132="1/2W",0.5,0)),0)</f>
        <v>0</v>
      </c>
      <c r="CK132" s="170">
        <f t="shared" ref="CK132:CK195" si="263">IF(CJ$3=$K132,IF($C132="L",1,IF($C132="1/2L",0.5,0)),0)</f>
        <v>0</v>
      </c>
      <c r="CL132" s="170">
        <f t="shared" ref="CL132:CL195" si="264">IF(CL$3=$K132,IF($C132="W",1,IF($C132="1/2W",0.5,0)),0)</f>
        <v>0</v>
      </c>
      <c r="CM132" s="170">
        <f t="shared" ref="CM132:CM195" si="265">IF(CL$3=$K132,IF($C132="L",1,IF($C132="1/2L",0.5,0)),0)</f>
        <v>0</v>
      </c>
      <c r="CN132" s="170">
        <f t="shared" ref="CN132:CN195" si="266">IF(CN$3=$K132,IF($C132="W",1,IF($C132="1/2W",0.5,0)),0)</f>
        <v>1</v>
      </c>
      <c r="CO132" s="170">
        <f t="shared" ref="CO132:CO195" si="267">IF(CN$3=$K132,IF($C132="L",1,IF($C132="1/2L",0.5,0)),0)</f>
        <v>0</v>
      </c>
      <c r="CP132" s="170">
        <f t="shared" ref="CP132:CP195" si="268">IF(CP$3=$K132,IF($C132="W",1,IF($C132="1/2W",0.5,0)),0)</f>
        <v>0</v>
      </c>
      <c r="CQ132" s="170">
        <f t="shared" ref="CQ132:CQ195" si="269">IF(CP$3=$K132,IF($C132="L",1,IF($C132="1/2L",0.5,0)),0)</f>
        <v>0</v>
      </c>
      <c r="CR132" s="170">
        <f t="shared" ref="CR132:CR195" si="270">IF(CR$3=$K132,IF($C132="W",1,IF($C132="1/2W",0.5,0)),0)</f>
        <v>0</v>
      </c>
      <c r="CS132" s="170">
        <f t="shared" ref="CS132:CS195" si="271">IF(CR$3=$K132,IF($C132="L",1,IF($C132="1/2L",0.5,0)),0)</f>
        <v>0</v>
      </c>
      <c r="CT132" s="75">
        <f t="shared" ref="CT132:CT195" si="272">IF(CT$3=$K132,IF($C132="W",1,IF($C132="1/2W",0.5,0)),0)</f>
        <v>0</v>
      </c>
      <c r="CU132" s="76">
        <f t="shared" ref="CU132:CU195" si="273">IF(CT$3=$K132,IF($C132="L",1,IF($C132="1/2L",0.5,0)),0)</f>
        <v>0</v>
      </c>
      <c r="CV132" s="76">
        <f t="shared" ref="CV132:CV195" si="274">IF(CV$3=$K132,IF($C132="W",1,IF($C132="1/2W",0.5,0)),0)</f>
        <v>0</v>
      </c>
      <c r="CW132" s="76">
        <f t="shared" ref="CW132:CW195" si="275">IF(CV$3=$K132,IF($C132="L",1,IF($C132="1/2L",0.5,0)),0)</f>
        <v>0</v>
      </c>
      <c r="CX132" s="76">
        <f t="shared" ref="CX132:CX195" si="276">IF(CX$3=$K132,IF($C132="W",1,IF($C132="1/2W",0.5,0)),0)</f>
        <v>0</v>
      </c>
      <c r="CY132" s="76">
        <f t="shared" ref="CY132:CY195" si="277">IF(CX$3=$K132,IF($C132="L",1,IF($C132="1/2L",0.5,0)),0)</f>
        <v>0</v>
      </c>
      <c r="CZ132" s="76">
        <f t="shared" ref="CZ132:CZ195" si="278">IF(CZ$3=$K132,IF($C132="W",1,IF($C132="1/2W",0.5,0)),0)</f>
        <v>0</v>
      </c>
      <c r="DA132" s="76">
        <f t="shared" ref="DA132:DA195" si="279">IF(CZ$3=$K132,IF($C132="L",1,IF($C132="1/2L",0.5,0)),0)</f>
        <v>0</v>
      </c>
      <c r="DB132" s="76">
        <f t="shared" ref="DB132:DB195" si="280">IF(DB$3=$K132,IF($C132="W",1,IF($C132="1/2W",0.5,0)),0)</f>
        <v>0</v>
      </c>
      <c r="DC132" s="76">
        <f t="shared" ref="DC132:DC195" si="281">IF(DB$3=$K132,IF($C132="L",1,IF($C132="1/2L",0.5,0)),0)</f>
        <v>0</v>
      </c>
      <c r="DD132" s="76">
        <f t="shared" ref="DD132:DD195" si="282">IF(DD$3=$K132,IF($C132="W",1,IF($C132="1/2W",0.5,0)),0)</f>
        <v>0</v>
      </c>
      <c r="DE132" s="77">
        <f t="shared" ref="DE132:DE195" si="283">IF(DD$3=$K132,IF($C132="L",1,IF($C132="1/2L",0.5,0)),0)</f>
        <v>0</v>
      </c>
      <c r="DF132" s="73">
        <f t="shared" si="158"/>
        <v>12</v>
      </c>
      <c r="DG132" s="67">
        <f t="shared" si="159"/>
        <v>15.760000000000002</v>
      </c>
      <c r="DH132" s="76">
        <f t="shared" si="160"/>
        <v>1</v>
      </c>
      <c r="DI132" s="67">
        <f t="shared" si="161"/>
        <v>3.9</v>
      </c>
      <c r="DJ132" s="202" t="str">
        <f>IF($D130="","",$D130)</f>
        <v>2</v>
      </c>
      <c r="DK132" s="493"/>
    </row>
    <row r="133" spans="1:115" ht="14.5" customHeight="1" x14ac:dyDescent="0.2">
      <c r="A133" s="459">
        <f>$A130+1</f>
        <v>44</v>
      </c>
      <c r="B133" s="507" t="str">
        <f>IF(OR(C133="W",C134="W",C135="W",C133="1/2W",C134="1/2W",C135="1/2W",C133="1/2L",C134="1/2L",C135="1/2L"),"OK",IF(OR(C133="L",C134="L",C135="L"),"LOSS",IF(OR(C133="X",C134="X",C135="X"),"Anulado"," ")))</f>
        <v>OK</v>
      </c>
      <c r="C133" s="93" t="s">
        <v>55</v>
      </c>
      <c r="D133" s="468" t="s">
        <v>96</v>
      </c>
      <c r="E133" s="485" t="str">
        <f>IF(G133=""," ","– "&amp;COUNTIF(D$4:D135,$D133))</f>
        <v>– 1</v>
      </c>
      <c r="F133" s="509" t="str">
        <f ca="1">IF(G133="","",IF(OR(AND($C133&lt;&gt;" ",$C134=" "),AND($C134&lt;&gt;" ",$C133=" "),AND(L135&gt;0,OR(AND($C135&lt;&gt;" ",OR($C133=" ",$C134=" ")),AND($C135=" ",OR($C133&lt;&gt;" ",$C134&lt;&gt;" "))))),IF(SUM(F$6:F128)=0,1,LARGE(F$6:F128,1)+1),IF(MONTH(G133)=MONTH(TODAY()),IF(AND(DAY(G133)&lt;DAY(TODAY()),$B133=" "),IF(SUM(F$6:F128)=0,1,LARGE(F$6:F128,1)+1),IF($B133=" ",IF(AND(DAY(G133)=DAY(TODAY()),HOUR(G133)&lt;=HOUR(NOW())+1),IF(AND(HOUR(G133)+2&lt;=HOUR(NOW()),DAY(G133)&lt;=DAY(TODAY()),MINUTE(G133)&lt;=MINUTE(NOW())),IF(SUM(F$6:F128)=0,1,LARGE(F$6:F128,1)+1),IF(OR(MINUTE(G133)&lt;=MINUTE(NOW()),HOUR(G133)&lt;=HOUR(NOW())),"!!!","")),""),"")),"")))</f>
        <v/>
      </c>
      <c r="G133" s="482">
        <v>44990.770833333336</v>
      </c>
      <c r="H133" s="475" t="s">
        <v>97</v>
      </c>
      <c r="I133" s="175">
        <v>1</v>
      </c>
      <c r="J133" s="176"/>
      <c r="K133" s="96" t="s">
        <v>40</v>
      </c>
      <c r="L133" s="97">
        <v>2</v>
      </c>
      <c r="M133" s="98">
        <v>11.25</v>
      </c>
      <c r="N133" s="478">
        <v>0</v>
      </c>
      <c r="O133" s="99">
        <f>IF(OR(AE133="",AE134=""),"",ROUND(IF(L135&gt;0,IF(M133&gt;0,M133,IF(M134&gt;0,ROUND((M134*AE133)/AE134,IF(N133=0,2,IF(N133=0.1,1,0))),ROUND((M135*AE133)/AE135,IF(N133=0,2,IF(N133=0.1,1,0))))),IF(M133&gt;0,M133,ROUND((M134*AE133)/AE134,IF(N133=0,2,IF(N133=0.1,1,0))))),2))</f>
        <v>11.25</v>
      </c>
      <c r="P133" s="100">
        <f>IF(OR(L133="",O133=""),"",IF($C133="1/2W",O133/2+O133/2*L133,IF($C133="1/2L",O133/2,IF(I133="Lay",(O133*(L133/(L133-1))-O133)*(1-_xlfn.XLOOKUP(K133,'Fevereiro 2023 - Valor Real'!A3:A15,'Fevereiro 2023 - Valor Real'!C3:C15,0))+O133,(O133*L133-O133)*(1-_xlfn.XLOOKUP(K133,'Fevereiro 2023 - Valor Real'!A3:A15,'Fevereiro 2023 - Valor Real'!C3:C15,0))+O133))))</f>
        <v>22.5</v>
      </c>
      <c r="Q133" s="101">
        <f>IF(K133="","",IF(_xlfn.XLOOKUP(K133,K$6:K128,$DJ$6:DJ128,0,,-1)=DJ133,_xlfn.XLOOKUP(K133,K$6:K128,Q$6:Q128,1,,-1)+1,1))</f>
        <v>1</v>
      </c>
      <c r="R133" s="102">
        <f>IF(K133="","",_xlfn.XLOOKUP(K133,K$6:K128,R$6:R128,0,,-1)+IF($C133=" ",1,0))</f>
        <v>0</v>
      </c>
      <c r="S133" s="474">
        <f>IF($B133="Anulado",0,ROUND(IF(OR($B133="LOSS",$B133="OK"),IF(OR($C133="W",$C133="1/2W",$C133="1/2L"),P133-O133,IF($C133="L",-O133,0))+IF(OR($C134="W",$C134="1/2W",$C134="1/2L"),P134-O134,IF($C134="L",-O134,0))+IF(OR($C135="W",$C135="1/2W",$C135="1/2L"),P135-O135,IF($C135="L",-O135,0)),IF(AND(OR($C133="W",$C133="1/2W",$C133="1/2L"),C134="W"),P133+P134-SUM(O133:O135)+_xlfn.XLOOKUP("X",C133:C135,O133:O135,0),IF(AND(C133=TRUE,C135="W"),P133+P135-SUM(O133:O135),IF(AND(C134="W",C135="W"),P134+P135-SUM(O133:O135)+_xlfn.XLOOKUP("X",C133:C135,O133:O135,0),IF(L135&gt;0,IF(OR($C133="W",$C133="1/2W",$C133="1/2L"),P133-SUM(O133:O135)+_xlfn.XLOOKUP("X",C133:C135,O133:O135,0),IF(OR($C133="W",$C133="1/2W",$C133="1/2L"),P134-SUM(O133:O135)+_xlfn.XLOOKUP("X",C133:C135,O133:O135,0),IF(OR($C133="W",$C133="1/2W",$C133="1/2L"),P135-SUM(O133:O135)+_xlfn.XLOOKUP("X",C133:C135,O133:O135,0),IF(SUM(P133:P135)/3-SUM(O133:O135)+_xlfn.XLOOKUP("X",C133:C135,O133:O135,0)&gt;0,SUM(P133:P135)/3-SUM(O133:O135)+_xlfn.XLOOKUP("X",C133:C135,O133:O135,0),LARGE(P133:P135,1)-SUM(O133:O135))))),IF(OR($C133="W",$C133="1/2W",$C133="1/2L"),P133-SUM(O133:O134)+_xlfn.XLOOKUP("X",C133:C135,O133:O135,0),IF(OR($C133="W",$C133="1/2W",$C133="1/2L"),P134-SUM(O133:O134)+_xlfn.XLOOKUP("X",C133:C135,O133:O135,0),SUM(P133:P134)/2-SUM(O133:O134)+_xlfn.XLOOKUP("X",C133:C135,O133:O135,0)))))))),2))</f>
        <v>1.1200000000000001</v>
      </c>
      <c r="T133" s="458">
        <f>IF(S133=0,0,S133/SUM(O133:O135))</f>
        <v>5.2360916316035531E-2</v>
      </c>
      <c r="U133" s="470">
        <f>IF($D133=$D130,IF(OR($B133="LOSS",$B133="OK",$B133="Anulada"),S133,0)+U130,IF(OR($B133="LOSS",$B133="OK",$B133="Anulada"),S133,0))</f>
        <v>1.1200000000000001</v>
      </c>
      <c r="V133" s="470">
        <f>IF($D133="",0,IF($D133=$D130,IF($B133=" ",IF(I135="",IF(OR(AND(I133="DNB1",I134="DNB2"),AND(OR(I133="DNB1",I133="DNB2"),J134=0),AND(OR(I134="DNB1",I134="DNB2"),J133=0),AND(I133="DNB2",I134="DNB1"),AND(IF(J133=0,(J133+1)/ROUND(J133+1,0),J133/ROUND(J133,0))=1,IF(J134=0,(J134+1)/ROUND(IF(J134="",0,J134)+1,0),IF(J134="",0,J134)/ROUND(IF(J134="",1,J134),0))=1,OR(J133&lt;&gt;""),J134&lt;&gt;"")),0,IF(S133&lt;0,IF(I135="",SMALL(P133:P134,1)-SUM(O133:O134),0),SMALL(P133:P134,1)-SUM(O133:O134))),IF(S133&lt;0,IF(I135="",SMALL(P133:P135,1)-SUM(O133:O135),0),LARGE(P133:P135,1)-SUM(O133:O135))),S133)+V130,IF(I135="",IF(OR(AND(I133="DNB1",I134="DNB2"),AND(OR(I133="DNB1",I133="DNB2"),J134=0),AND(OR(I134="DNB1",I134="DNB2"),J133=0),AND(I133="DNB2",I134="DNB1"),AND(IF(J133=0,(J133+1)/ROUND(J133+1,0),J133/ROUND(J133,0))=1,IF(J134=0,(IF(J134="",0,J134)+1)/ROUND(IF(J134="",0,J134)+1,0),IF(J134="",0,J134)/ROUND(IF(J134="",0,J134)+1,0))=1,OR(J133&lt;&gt;""),J134&lt;&gt;"")),0,IF(S133&lt;0,IF(I135="",SMALL(P133:P134,1)-SUM(O133:O134),0),SMALL(P133:P135,1)-SUM(O133:O135))),IF(S133&lt;0,IF(I135="",SMALL(P133:P135,1)-SUM(O133:O135),0),LARGE(P133:P135,1)-SUM(O133:O135)))))</f>
        <v>1.1099999999999994</v>
      </c>
      <c r="W133" s="470">
        <f>IF($D133=$D130,IF(S133&lt;0,IF(I135="",S133,0),S133)+W130,S133)</f>
        <v>1.1200000000000001</v>
      </c>
      <c r="X133" s="480" t="str">
        <f>IF(OR(SUM(R133:R135)=0,V133=W133),ROUND(IF(W133=0,0,W133/Y133)*100,2)&amp;"%",ROUND(IF(V133=0,0,V133/Y133)*100,2)&amp;"% a "&amp;ROUND(IF(W133=0,0,W133/Y133)*100,2)&amp;"%")</f>
        <v>5,24%</v>
      </c>
      <c r="Y133" s="471">
        <f>IF($D133=$D130,Y130+SUM(O133:O135),SUM(O133:O135))</f>
        <v>21.39</v>
      </c>
      <c r="Z133" s="470">
        <f>IF($B133=" ",SUM(O133:O135),0)+Z130</f>
        <v>0</v>
      </c>
      <c r="AA133" s="470">
        <f>IF(G133="","",IF($B133="Anulado",LARGE(P133:P135,1)-SUM(O133:O135)+AA130,AA130))</f>
        <v>0.45899999999999785</v>
      </c>
      <c r="AB133" s="470">
        <f>IF($D133="","",AB130+S133)</f>
        <v>111.97999999999998</v>
      </c>
      <c r="AC133" s="472">
        <f ca="1">IF($D133="","",IF($B133=" ",IF(DAY(G133)=DAY(TODAY()),1+AC130,0+AC130),0+AC130))</f>
        <v>0</v>
      </c>
      <c r="AD133" s="103">
        <f>(((L134/(L134-1)-1)*(1-_xlfn.XLOOKUP(K134,'Fevereiro 2023 - Valor Real'!A3:A15,'Fevereiro 2023 - Valor Real'!C3:C15,0))+1))/(((L133-1)*(1-_xlfn.XLOOKUP(K133,'Fevereiro 2023 - Valor Real'!A3:A15,'Fevereiro 2023 - Valor Real'!C3:C15,0))+1)+((L134/(L134-1)-1)*(1-_xlfn.XLOOKUP(K134,'Fevereiro 2023 - Valor Real'!A3:A15,'Fevereiro 2023 - Valor Real'!C3:C15,0))+1))</f>
        <v>0.47639484978540775</v>
      </c>
      <c r="AE133" s="104">
        <f>IF(L133="","",IF(L135&gt;0,(SUM(((L133-1)*(1-_xlfn.XLOOKUP(K133,'Fevereiro 2023 - Valor Real'!A3:A15,'Fevereiro 2023 - Valor Real'!C3:C15,0))+1),((L134-1)*(1-_xlfn.XLOOKUP(K134,'Fevereiro 2023 - Valor Real'!A3:A15,'Fevereiro 2023 - Valor Real'!C3:C15,0))+1),((L135-1)*(1-_xlfn.XLOOKUP(K135,'Fevereiro 2023 - Valor Real'!A3:A15,'Fevereiro 2023 - Valor Real'!C3:C15,0))+1))/((L133-1)*(1-_xlfn.XLOOKUP(K133,'Fevereiro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Real'!C3:C15,0))+1))/((L133-1)*(1-_xlfn.XLOOKUP(K133,'Fevereiro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Real'!C3:C15,0))+1))/((L134-1)*(1-_xlfn.XLOOKUP(K134,'Fevereiro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Real'!C3:C15,0))+1))/((L135-1)*(1-_xlfn.XLOOKUP(K135,'Fevereiro 2023 - Valor Real'!A3:A15,'Fevereiro 2023 - Valor Real'!C3:C15,0))+1)),IF(I133="Lay",IF(I134="Lay",((L134/(L134-1)-1)*(1-_xlfn.XLOOKUP(K134,'Fevereiro 2023 - Valor Real'!A3:A15,'Fevereiro 2023 - Valor Real'!C3:C15,0))+1)/(((L134/(L134-1)-1)*(1-_xlfn.XLOOKUP(K134,'Fevereiro 2023 - Valor Real'!A3:A15,'Fevereiro 2023 - Valor Real'!C3:C15,0))+1)+((L133/(L133-1)-1)*(1-_xlfn.XLOOKUP(K133,'Fevereiro 2023 - Valor Real'!A3:A15,'Fevereiro 2023 - Valor Real'!C3:C15,0))+1)),((L134-1)*(1-_xlfn.XLOOKUP(K134,'Fevereiro 2023 - Valor Real'!A3:A15,'Fevereiro 2023 - Valor Real'!C3:C15,0))+1)/(((L134-1)*(1-_xlfn.XLOOKUP(K134,'Fevereiro 2023 - Valor Real'!A3:A15,'Fevereiro 2023 - Valor Real'!C3:C15,0))+1)+((L133/(L133-1)-1)*(1-_xlfn.XLOOKUP(K133,'Fevereiro 2023 - Valor Real'!A3:A15,'Fevereiro 2023 - Valor Real'!C3:C15,0))+1))),IF(I134="Lay",(((L134/(L134-1)-1)*(1-_xlfn.XLOOKUP(K134,'Fevereiro 2023 - Valor Real'!A3:A15,'Fevereiro 2023 - Valor Real'!C3:C15,0))+1))/(((L133-1)*(1-_xlfn.XLOOKUP(K133,'Fevereiro 2023 - Valor Real'!A3:A15,'Fevereiro 2023 - Valor Real'!C3:C15,0))+1)+((L134/(L134-1)-1)*(1-_xlfn.XLOOKUP(K134,'Fevereiro 2023 - Valor Real'!A3:A15,'Fevereiro 2023 - Valor Real'!C3:C15,0))+1)),((L134-1)*(1-_xlfn.XLOOKUP(K134,'Fevereiro 2023 - Valor Real'!A3:A15,'Fevereiro 2023 - Valor Real'!C3:C15,0))+1)/(((L134-1)*(1-_xlfn.XLOOKUP(K134,'Fevereiro 2023 - Valor Real'!A3:A15,'Fevereiro 2023 - Valor Real'!C3:C15,0))+1)+((L133-1)*(1-_xlfn.XLOOKUP(K133,'Fevereiro 2023 - Valor Real'!A3:A15,'Fevereiro 2023 - Valor Real'!C3:C15,0))+1))))))</f>
        <v>0.52606635071090047</v>
      </c>
      <c r="AF133" s="105">
        <f t="shared" si="244"/>
        <v>0</v>
      </c>
      <c r="AG133" s="106">
        <f t="shared" si="244"/>
        <v>0</v>
      </c>
      <c r="AH133" s="106">
        <f t="shared" si="244"/>
        <v>0</v>
      </c>
      <c r="AI133" s="106">
        <f t="shared" si="244"/>
        <v>0</v>
      </c>
      <c r="AJ133" s="106">
        <f t="shared" si="244"/>
        <v>-11.25</v>
      </c>
      <c r="AK133" s="106">
        <f t="shared" si="244"/>
        <v>0</v>
      </c>
      <c r="AL133" s="106">
        <f t="shared" si="244"/>
        <v>0</v>
      </c>
      <c r="AM133" s="106">
        <f t="shared" si="244"/>
        <v>0</v>
      </c>
      <c r="AN133" s="106">
        <f t="shared" si="244"/>
        <v>0</v>
      </c>
      <c r="AO133" s="106">
        <f t="shared" si="244"/>
        <v>0</v>
      </c>
      <c r="AP133" s="106">
        <f t="shared" si="244"/>
        <v>0</v>
      </c>
      <c r="AQ133" s="106">
        <f t="shared" si="244"/>
        <v>0</v>
      </c>
      <c r="AR133" s="107">
        <f t="shared" si="244"/>
        <v>0</v>
      </c>
      <c r="AS133" s="105">
        <f t="shared" ref="AS133:BE133" si="284">IF(AND($B133=" ",$K133=AS$3),$O133,0)</f>
        <v>0</v>
      </c>
      <c r="AT133" s="106">
        <f t="shared" si="284"/>
        <v>0</v>
      </c>
      <c r="AU133" s="106">
        <f t="shared" si="284"/>
        <v>0</v>
      </c>
      <c r="AV133" s="106">
        <f t="shared" si="284"/>
        <v>0</v>
      </c>
      <c r="AW133" s="106">
        <f t="shared" si="284"/>
        <v>0</v>
      </c>
      <c r="AX133" s="106">
        <f t="shared" si="284"/>
        <v>0</v>
      </c>
      <c r="AY133" s="108">
        <f t="shared" si="284"/>
        <v>0</v>
      </c>
      <c r="AZ133" s="109">
        <f t="shared" si="284"/>
        <v>0</v>
      </c>
      <c r="BA133" s="109">
        <f t="shared" si="284"/>
        <v>0</v>
      </c>
      <c r="BB133" s="109">
        <f t="shared" si="284"/>
        <v>0</v>
      </c>
      <c r="BC133" s="110">
        <f t="shared" si="284"/>
        <v>0</v>
      </c>
      <c r="BD133" s="106">
        <f t="shared" si="284"/>
        <v>0</v>
      </c>
      <c r="BE133" s="107">
        <f t="shared" si="284"/>
        <v>0</v>
      </c>
      <c r="BF133" s="111">
        <f t="shared" si="246"/>
        <v>0</v>
      </c>
      <c r="BG133" s="106">
        <f t="shared" si="246"/>
        <v>0</v>
      </c>
      <c r="BH133" s="106">
        <f t="shared" si="246"/>
        <v>0</v>
      </c>
      <c r="BI133" s="106">
        <f t="shared" si="246"/>
        <v>0</v>
      </c>
      <c r="BJ133" s="106">
        <f t="shared" si="246"/>
        <v>11.25</v>
      </c>
      <c r="BK133" s="106">
        <f t="shared" si="246"/>
        <v>0</v>
      </c>
      <c r="BL133" s="106">
        <f t="shared" si="246"/>
        <v>0</v>
      </c>
      <c r="BM133" s="108">
        <f t="shared" si="246"/>
        <v>0</v>
      </c>
      <c r="BN133" s="109">
        <f t="shared" si="246"/>
        <v>0</v>
      </c>
      <c r="BO133" s="109">
        <f t="shared" si="246"/>
        <v>0</v>
      </c>
      <c r="BP133" s="109">
        <f t="shared" si="246"/>
        <v>0</v>
      </c>
      <c r="BQ133" s="110">
        <f t="shared" si="246"/>
        <v>0</v>
      </c>
      <c r="BR133" s="107">
        <f t="shared" si="246"/>
        <v>0</v>
      </c>
      <c r="BS133" s="463">
        <f>IF($B133="LOSS",IF(AND($K133=BS$3,$C133="L"),-$O133,0)+IF(AND($K134=BS$3,$C134="L"),-$O134,0)+IF(AND($K135=BS$3,$C135="L"),-$O135,0),IF(OR(AND($K133=BS$3,OR($C133="W",$C133="1/2W")),AND($K134=BS$3,OR($C134="W",$C134="1/2W")),AND($K135=BS$3,OR($C135="W",$C135="1/2W"))),$S133,0))</f>
        <v>0</v>
      </c>
      <c r="BT133" s="462">
        <f>IF($B133="LOSS",IF(AND($K133=BT$3,$C133="L"),-$O133,0)+IF(AND($K134=BT$3,$C134="L"),-$O134,0)+IF(AND($K134=BT$3,$C135="L"),-$O135,0),IF(OR(AND($K134=BT$3,OR($C133="W",$C133="1/2W")),AND($K134=BT$3,OR($C134="W",$C134="1/2W")),AND($K134=BT$3,OR($C135="W",$C135="1/2W"))),$S133,0))</f>
        <v>0</v>
      </c>
      <c r="BU133" s="462">
        <f>IF($B133="LOSS",IF(AND($K133=BU$3,$C133="L"),-$O133,0)+IF(AND($K134=BU$3,$C134="L"),-$O134,0)+IF(AND($K134=BU$3,$C135="L"),-$O135,0),IF(OR(AND($K134=BU$3,OR($C133="W",$C133="1/2W")),AND($K134=BU$3,OR($C134="W",$C134="1/2W")),AND($K134=BU$3,OR($C135="W",$C135="1/2W"))),$S133,0))</f>
        <v>0</v>
      </c>
      <c r="BV133" s="462">
        <f t="shared" ref="BV133:CE133" si="285">IF($B133="LOSS",IF(AND($K133=BV$3,$C133="L"),-$O133,0)+IF(AND($K134=BV$3,$C134="L"),-$O134,0)+IF(AND($K135=BV$3,$C135="L"),-$O135,0),IF(OR(AND($K133=BV$3,OR($C133="W",$C133="1/2W")),AND($K134=BV$3,OR($C134="W",$C134="1/2W")),AND($K135=BV$3,OR($C135="W",$C135="1/2W"))),$S133,0))</f>
        <v>0</v>
      </c>
      <c r="BW133" s="462">
        <f t="shared" si="285"/>
        <v>0</v>
      </c>
      <c r="BX133" s="462">
        <f t="shared" si="285"/>
        <v>0</v>
      </c>
      <c r="BY133" s="462">
        <f t="shared" si="285"/>
        <v>0</v>
      </c>
      <c r="BZ133" s="460">
        <f t="shared" si="285"/>
        <v>1.1200000000000001</v>
      </c>
      <c r="CA133" s="460">
        <f t="shared" si="285"/>
        <v>0</v>
      </c>
      <c r="CB133" s="460">
        <f t="shared" si="285"/>
        <v>0</v>
      </c>
      <c r="CC133" s="460">
        <f t="shared" si="285"/>
        <v>0</v>
      </c>
      <c r="CD133" s="473">
        <f t="shared" si="285"/>
        <v>0</v>
      </c>
      <c r="CE133" s="479">
        <f t="shared" si="285"/>
        <v>0</v>
      </c>
      <c r="CF133" s="113">
        <f t="shared" si="258"/>
        <v>0</v>
      </c>
      <c r="CG133" s="114">
        <f t="shared" si="259"/>
        <v>0</v>
      </c>
      <c r="CH133" s="114">
        <f t="shared" si="260"/>
        <v>0</v>
      </c>
      <c r="CI133" s="114">
        <f t="shared" si="261"/>
        <v>0</v>
      </c>
      <c r="CJ133" s="114">
        <f t="shared" si="262"/>
        <v>0</v>
      </c>
      <c r="CK133" s="114">
        <f t="shared" si="263"/>
        <v>0</v>
      </c>
      <c r="CL133" s="114">
        <f t="shared" si="264"/>
        <v>0</v>
      </c>
      <c r="CM133" s="114">
        <f t="shared" si="265"/>
        <v>0</v>
      </c>
      <c r="CN133" s="114">
        <f t="shared" si="266"/>
        <v>0</v>
      </c>
      <c r="CO133" s="114">
        <f t="shared" si="267"/>
        <v>1</v>
      </c>
      <c r="CP133" s="114">
        <f t="shared" si="268"/>
        <v>0</v>
      </c>
      <c r="CQ133" s="114">
        <f t="shared" si="269"/>
        <v>0</v>
      </c>
      <c r="CR133" s="114">
        <f t="shared" si="270"/>
        <v>0</v>
      </c>
      <c r="CS133" s="114">
        <f t="shared" si="271"/>
        <v>0</v>
      </c>
      <c r="CT133" s="115">
        <f t="shared" si="272"/>
        <v>0</v>
      </c>
      <c r="CU133" s="116">
        <f t="shared" si="273"/>
        <v>0</v>
      </c>
      <c r="CV133" s="116">
        <f t="shared" si="274"/>
        <v>0</v>
      </c>
      <c r="CW133" s="116">
        <f t="shared" si="275"/>
        <v>0</v>
      </c>
      <c r="CX133" s="116">
        <f t="shared" si="276"/>
        <v>0</v>
      </c>
      <c r="CY133" s="116">
        <f t="shared" si="277"/>
        <v>0</v>
      </c>
      <c r="CZ133" s="116">
        <f t="shared" si="278"/>
        <v>0</v>
      </c>
      <c r="DA133" s="116">
        <f t="shared" si="279"/>
        <v>0</v>
      </c>
      <c r="DB133" s="116">
        <f t="shared" si="280"/>
        <v>0</v>
      </c>
      <c r="DC133" s="116">
        <f t="shared" si="281"/>
        <v>0</v>
      </c>
      <c r="DD133" s="116">
        <f t="shared" si="282"/>
        <v>0</v>
      </c>
      <c r="DE133" s="117">
        <f t="shared" si="283"/>
        <v>0</v>
      </c>
      <c r="DF133" s="118">
        <f t="shared" ref="DF133:DF196" si="286">IF(AND(L133&lt;DF$3,$C133="W"),1+DF132,DF132)</f>
        <v>12</v>
      </c>
      <c r="DG133" s="106">
        <f t="shared" ref="DG133:DG196" si="287">IF(DF133&gt;DF132,L133+DG132,DG132)</f>
        <v>15.760000000000002</v>
      </c>
      <c r="DH133" s="116">
        <f t="shared" ref="DH133:DH196" si="288">IF(AND(L133&gt;DH$3,$C133="W"),1+DH132,0+DH132)</f>
        <v>1</v>
      </c>
      <c r="DI133" s="106">
        <f t="shared" ref="DI133:DI196" si="289">IF(DH133&gt;DH132,L133+DI132,DI132)</f>
        <v>3.9</v>
      </c>
      <c r="DJ133" s="201" t="str">
        <f>IF($D133="","",$D133)</f>
        <v>3</v>
      </c>
      <c r="DK133" s="465">
        <f>IF(AND($B133=" ",$D133&lt;&gt;""),1,0)</f>
        <v>0</v>
      </c>
    </row>
    <row r="134" spans="1:115" ht="14.5" customHeight="1" x14ac:dyDescent="0.2">
      <c r="A134" s="389"/>
      <c r="B134" s="456"/>
      <c r="C134" s="120" t="s">
        <v>54</v>
      </c>
      <c r="D134" s="374"/>
      <c r="E134" s="386"/>
      <c r="F134" s="377"/>
      <c r="G134" s="483"/>
      <c r="H134" s="476"/>
      <c r="I134" s="178">
        <v>2</v>
      </c>
      <c r="J134" s="179" t="str">
        <f>IF(OR(I133="TO",I133="TU",I133="TO1",I133="TU1",I133="TO2",I133="TU2"),J133,IF(OR(I133="AH1",I133="AH2"),IF(OR(I134="AH1",I134="AH2"),-J133,IF(OR(I134="EH1",I134="EH2"),-J133+0.5,"")),IF(OR(I133="EH1",I133="EH2"),IF(OR(I134="AH1",I134="AH2"),-J133+0.5,IF(OR(I134="EH1",I134="EH2"),-J133+1,"")),IF(AND(OR(I133="DNB1",I133="DNB2"),OR(I134="AH1",I134="AH2")),0,IF(AND(I133="Not ScoreBoth",OR(I134="TO1",I134="TO2")),0.5,"")))))</f>
        <v/>
      </c>
      <c r="K134" s="123" t="s">
        <v>43</v>
      </c>
      <c r="L134" s="124">
        <v>2.2200000000000002</v>
      </c>
      <c r="M134" s="125"/>
      <c r="N134" s="406"/>
      <c r="O134" s="126">
        <f>IF(OR(AE133="",AE134=""),"",ROUND(IF(L135&gt;0,IF(M134&gt;0,M134,IF(M133&gt;0,IF(N133=TRUE,ROUND((M133*AE134)/AE133,0),(M133*AE134)/AE133),IF(M134&gt;0,ROUND(M134,IF(N133=0,2,IF(N133=0.1,1,0))),IF(M135&gt;0,ROUND(O135*AE134/AE135,IF(N133=0,2,IF(N133=0.1,1,0))),0)))),IF(M134&gt;0,M134,ROUND((M133*AE134)/AE133,IF(N133=0,2,IF(N133=0.1,1,0))))),2))</f>
        <v>10.14</v>
      </c>
      <c r="P134" s="127">
        <f>IF(OR(L134="",O134=""),"",IF($C134="1/2W",O134/2+O134/2*L134,IF($C134="1/2L",O134/2,IF(I134="Lay",((O134*(L134/(L134-1)))-O134)*(1-_xlfn.XLOOKUP(K134,'Fevereiro 2023 - Valor Real'!A3:A15,'Fevereiro 2023 - Valor Real'!C3:C15,0))+O134,(O134*L134-O134)*(1-_xlfn.XLOOKUP(K134,'Fevereiro 2023 - Valor Real'!A3:A15,'Fevereiro 2023 - Valor Real'!C3:C15,0))+O134))))</f>
        <v>22.510800000000003</v>
      </c>
      <c r="Q134" s="128">
        <f>IF(K134="","",IF(_xlfn.XLOOKUP(K134,K$7:K128,$DJ$7:DJ128,0,,-1)=DJ134,_xlfn.XLOOKUP(K134,K$7:K128,Q$7:Q128,1,,-1)+1,1))</f>
        <v>1</v>
      </c>
      <c r="R134" s="129">
        <f>IF(K134="","",_xlfn.XLOOKUP(K134,K$7:K128,R$7:R128,0,,-1)+IF($C134=" ",1,0))</f>
        <v>0</v>
      </c>
      <c r="S134" s="403"/>
      <c r="T134" s="380"/>
      <c r="U134" s="380"/>
      <c r="V134" s="481"/>
      <c r="W134" s="380"/>
      <c r="X134" s="452"/>
      <c r="Y134" s="383"/>
      <c r="Z134" s="384"/>
      <c r="AA134" s="384"/>
      <c r="AB134" s="384"/>
      <c r="AC134" s="384"/>
      <c r="AD134" s="130">
        <f>(((L134/(L134-1)-1)*(1-_xlfn.XLOOKUP(K134,'Fevereiro 2023 - Valor Real'!A3:A15,'Fevereiro 2023 - Valor Real'!C3:C15,0))+1))</f>
        <v>1.8196721311475408</v>
      </c>
      <c r="AE134" s="131">
        <f>IF(L134="","",IF(L135&gt;0,(SUM(((L133-1)*(1-_xlfn.XLOOKUP(K133,'Fevereiro 2023 - Valor Real'!A3:A15,'Fevereiro 2023 - Valor Real'!C3:C15,0))+1),((L134-1)*(1-_xlfn.XLOOKUP(K134,'Fevereiro 2023 - Valor Real'!A3:A15,'Fevereiro 2023 - Valor Real'!C3:C15,0))+1),((L135-1)*(1-_xlfn.XLOOKUP(K135,'Fevereiro 2023 - Valor Real'!A3:A15,'Fevereiro 2023 - Valor Real'!C3:C15,0))+1))/((L134-1)*(1-_xlfn.XLOOKUP(K134,'Fevereiro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Real'!C3:C15,0))+1))/((L133-1)*(1-_xlfn.XLOOKUP(K133,'Fevereiro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Real'!C3:C15,0))+1))/((L134-1)*(1-_xlfn.XLOOKUP(K134,'Fevereiro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Real'!C3:C15,0))+1))/((L135-1)*(1-_xlfn.XLOOKUP(K135,'Fevereiro 2023 - Valor Real'!A3:A15,'Fevereiro 2023 - Valor Real'!C3:C15,0))+1)),IF(I134="Lay",IF(I133="Lay",((L133/(L133-1)-1)*(1-_xlfn.XLOOKUP(K133,'Fevereiro 2023 - Valor Real'!A3:A15,'Fevereiro 2023 - Valor Real'!C3:C15,0))+1)/(((L133/(L133-1)-1)*(1-_xlfn.XLOOKUP(K133,'Fevereiro 2023 - Valor Real'!A3:A15,'Fevereiro 2023 - Valor Real'!C3:C15,0))+1)+((L134/(L134-1)-1)*(1-_xlfn.XLOOKUP(K134,'Fevereiro 2023 - Valor Real'!A3:A15,'Fevereiro 2023 - Valor Real'!C3:C15,0))+1)),((L133-1)*(1-_xlfn.XLOOKUP(K133,'Fevereiro 2023 - Valor Real'!A3:A15,'Fevereiro 2023 - Valor Real'!C3:C15,0))+1)/(((L133-1)*(1-_xlfn.XLOOKUP(K133,'Fevereiro 2023 - Valor Real'!A3:A15,'Fevereiro 2023 - Valor Real'!C3:C15,0))+1)+((L134/(L134-1)-1)*(1-_xlfn.XLOOKUP(K134,'Fevereiro 2023 - Valor Real'!A3:A15,'Fevereiro 2023 - Valor Real'!C3:C15,0))+1))),IF(I133="Lay",((L133/(L133-1)-1)*(1-_xlfn.XLOOKUP(K133,'Fevereiro 2023 - Valor Real'!A3:A15,'Fevereiro 2023 - Valor Real'!C3:C15,0))+1)/((((L133/(L133-1)-1)*(1-_xlfn.XLOOKUP(K133,'Fevereiro 2023 - Valor Real'!A3:A15,'Fevereiro 2023 - Valor Real'!C3:C15,0))+1))+((L134-1)*(1-_xlfn.XLOOKUP(K134,'Fevereiro 2023 - Valor Real'!A3:A15,'Fevereiro 2023 - Valor Real'!C3:C15,0))+1)),((L133-1)*(1-_xlfn.XLOOKUP(K133,'Fevereiro 2023 - Valor Real'!A3:A15,'Fevereiro 2023 - Valor Real'!C3:C15,0))+1)/(((L133-1)*(1-_xlfn.XLOOKUP(K133,'Fevereiro 2023 - Valor Real'!A3:A15,'Fevereiro 2023 - Valor Real'!C3:C15,0))+1)+((L134-1)*(1-_xlfn.XLOOKUP(K134,'Fevereiro 2023 - Valor Real'!A3:A15,'Fevereiro 2023 - Valor Real'!C3:C15,0))+1))))))</f>
        <v>0.47393364928909948</v>
      </c>
      <c r="AF134" s="105">
        <f t="shared" ref="AF134:AR143" si="290">IF($K134=AF$3,ROUND(IF(OR($C134="W",$C134="1/2W",$C134="1/2L"),$P134-$O134,IF($C134="X",0,-$O134)),2),0)</f>
        <v>0</v>
      </c>
      <c r="AG134" s="106">
        <f t="shared" si="290"/>
        <v>0</v>
      </c>
      <c r="AH134" s="106">
        <f t="shared" si="290"/>
        <v>0</v>
      </c>
      <c r="AI134" s="106">
        <f t="shared" si="290"/>
        <v>0</v>
      </c>
      <c r="AJ134" s="106">
        <f t="shared" si="290"/>
        <v>0</v>
      </c>
      <c r="AK134" s="106">
        <f t="shared" si="290"/>
        <v>0</v>
      </c>
      <c r="AL134" s="106">
        <f t="shared" si="290"/>
        <v>0</v>
      </c>
      <c r="AM134" s="106">
        <f t="shared" si="290"/>
        <v>12.37</v>
      </c>
      <c r="AN134" s="106">
        <f t="shared" si="290"/>
        <v>0</v>
      </c>
      <c r="AO134" s="106">
        <f t="shared" si="290"/>
        <v>0</v>
      </c>
      <c r="AP134" s="106">
        <f t="shared" si="290"/>
        <v>0</v>
      </c>
      <c r="AQ134" s="106">
        <f t="shared" si="290"/>
        <v>0</v>
      </c>
      <c r="AR134" s="107">
        <f t="shared" si="290"/>
        <v>0</v>
      </c>
      <c r="AS134" s="105">
        <f>IF(AND($B133=" ",$K134=AS$3),$O134,0)</f>
        <v>0</v>
      </c>
      <c r="AT134" s="106">
        <f>IF(AND($B133=" ",K134=AT$3),$O134,0)</f>
        <v>0</v>
      </c>
      <c r="AU134" s="106">
        <f t="shared" ref="AU134:BE134" si="291">IF(AND($B133=" ",$K134=AU$3),$O134,0)</f>
        <v>0</v>
      </c>
      <c r="AV134" s="106">
        <f t="shared" si="291"/>
        <v>0</v>
      </c>
      <c r="AW134" s="106">
        <f t="shared" si="291"/>
        <v>0</v>
      </c>
      <c r="AX134" s="106">
        <f t="shared" si="291"/>
        <v>0</v>
      </c>
      <c r="AY134" s="108">
        <f t="shared" si="291"/>
        <v>0</v>
      </c>
      <c r="AZ134" s="109">
        <f t="shared" si="291"/>
        <v>0</v>
      </c>
      <c r="BA134" s="109">
        <f t="shared" si="291"/>
        <v>0</v>
      </c>
      <c r="BB134" s="109">
        <f t="shared" si="291"/>
        <v>0</v>
      </c>
      <c r="BC134" s="110">
        <f t="shared" si="291"/>
        <v>0</v>
      </c>
      <c r="BD134" s="106">
        <f t="shared" si="291"/>
        <v>0</v>
      </c>
      <c r="BE134" s="107">
        <f t="shared" si="291"/>
        <v>0</v>
      </c>
      <c r="BF134" s="105">
        <f t="shared" ref="BF134:BR143" si="292">IF($K134=BF$3,IF($C134="X",0,$O134),0)</f>
        <v>0</v>
      </c>
      <c r="BG134" s="106">
        <f t="shared" si="292"/>
        <v>0</v>
      </c>
      <c r="BH134" s="106">
        <f t="shared" si="292"/>
        <v>0</v>
      </c>
      <c r="BI134" s="106">
        <f t="shared" si="292"/>
        <v>0</v>
      </c>
      <c r="BJ134" s="106">
        <f t="shared" si="292"/>
        <v>0</v>
      </c>
      <c r="BK134" s="106">
        <f t="shared" si="292"/>
        <v>0</v>
      </c>
      <c r="BL134" s="106">
        <f t="shared" si="292"/>
        <v>0</v>
      </c>
      <c r="BM134" s="132">
        <f t="shared" si="292"/>
        <v>10.14</v>
      </c>
      <c r="BN134" s="112">
        <f t="shared" si="292"/>
        <v>0</v>
      </c>
      <c r="BO134" s="112">
        <f t="shared" si="292"/>
        <v>0</v>
      </c>
      <c r="BP134" s="112">
        <f t="shared" si="292"/>
        <v>0</v>
      </c>
      <c r="BQ134" s="110">
        <f t="shared" si="292"/>
        <v>0</v>
      </c>
      <c r="BR134" s="107">
        <f t="shared" si="292"/>
        <v>0</v>
      </c>
      <c r="BS134" s="464"/>
      <c r="BT134" s="461"/>
      <c r="BU134" s="392"/>
      <c r="BV134" s="461"/>
      <c r="BW134" s="392"/>
      <c r="BX134" s="392"/>
      <c r="BY134" s="392"/>
      <c r="BZ134" s="461"/>
      <c r="CA134" s="392"/>
      <c r="CB134" s="392"/>
      <c r="CC134" s="392"/>
      <c r="CD134" s="401"/>
      <c r="CE134" s="409"/>
      <c r="CF134" s="133">
        <f t="shared" si="258"/>
        <v>0</v>
      </c>
      <c r="CG134" s="134">
        <f t="shared" si="259"/>
        <v>0</v>
      </c>
      <c r="CH134" s="134">
        <f t="shared" si="260"/>
        <v>0</v>
      </c>
      <c r="CI134" s="134">
        <f t="shared" si="261"/>
        <v>0</v>
      </c>
      <c r="CJ134" s="134">
        <f t="shared" si="262"/>
        <v>0</v>
      </c>
      <c r="CK134" s="134">
        <f t="shared" si="263"/>
        <v>0</v>
      </c>
      <c r="CL134" s="134">
        <f t="shared" si="264"/>
        <v>0</v>
      </c>
      <c r="CM134" s="134">
        <f t="shared" si="265"/>
        <v>0</v>
      </c>
      <c r="CN134" s="134">
        <f t="shared" si="266"/>
        <v>0</v>
      </c>
      <c r="CO134" s="134">
        <f t="shared" si="267"/>
        <v>0</v>
      </c>
      <c r="CP134" s="134">
        <f t="shared" si="268"/>
        <v>0</v>
      </c>
      <c r="CQ134" s="134">
        <f t="shared" si="269"/>
        <v>0</v>
      </c>
      <c r="CR134" s="134">
        <f t="shared" si="270"/>
        <v>0</v>
      </c>
      <c r="CS134" s="134">
        <f t="shared" si="271"/>
        <v>0</v>
      </c>
      <c r="CT134" s="115">
        <f t="shared" si="272"/>
        <v>1</v>
      </c>
      <c r="CU134" s="116">
        <f t="shared" si="273"/>
        <v>0</v>
      </c>
      <c r="CV134" s="116">
        <f t="shared" si="274"/>
        <v>0</v>
      </c>
      <c r="CW134" s="116">
        <f t="shared" si="275"/>
        <v>0</v>
      </c>
      <c r="CX134" s="116">
        <f t="shared" si="276"/>
        <v>0</v>
      </c>
      <c r="CY134" s="116">
        <f t="shared" si="277"/>
        <v>0</v>
      </c>
      <c r="CZ134" s="116">
        <f t="shared" si="278"/>
        <v>0</v>
      </c>
      <c r="DA134" s="116">
        <f t="shared" si="279"/>
        <v>0</v>
      </c>
      <c r="DB134" s="116">
        <f t="shared" si="280"/>
        <v>0</v>
      </c>
      <c r="DC134" s="116">
        <f t="shared" si="281"/>
        <v>0</v>
      </c>
      <c r="DD134" s="116">
        <f t="shared" si="282"/>
        <v>0</v>
      </c>
      <c r="DE134" s="117">
        <f t="shared" si="283"/>
        <v>0</v>
      </c>
      <c r="DF134" s="118">
        <f t="shared" si="286"/>
        <v>12</v>
      </c>
      <c r="DG134" s="106">
        <f t="shared" si="287"/>
        <v>15.760000000000002</v>
      </c>
      <c r="DH134" s="116">
        <f t="shared" si="288"/>
        <v>1</v>
      </c>
      <c r="DI134" s="106">
        <f t="shared" si="289"/>
        <v>3.9</v>
      </c>
      <c r="DJ134" s="201" t="str">
        <f>IF($D133="","",$D133)</f>
        <v>3</v>
      </c>
      <c r="DK134" s="466"/>
    </row>
    <row r="135" spans="1:115" ht="14.5" customHeight="1" x14ac:dyDescent="0.2">
      <c r="A135" s="390"/>
      <c r="B135" s="457"/>
      <c r="C135" s="135" t="s">
        <v>53</v>
      </c>
      <c r="D135" s="375"/>
      <c r="E135" s="387"/>
      <c r="F135" s="378"/>
      <c r="G135" s="484"/>
      <c r="H135" s="477"/>
      <c r="I135" s="136"/>
      <c r="J135" s="137"/>
      <c r="K135" s="138"/>
      <c r="L135" s="139"/>
      <c r="M135" s="140"/>
      <c r="N135" s="407"/>
      <c r="O135" s="141" t="str">
        <f>IF(OR(AE133="",AE134=""),"",IF(L135&gt;0,ROUND(IF(M135&gt;0,M135,IF(M133&gt;0,ROUND((M133*AE135)/AE133,IF(N133=0,2,IF(N133=0.1,1,0))),IF(M134&gt;0,ROUND((M134*AE135)/AE134,IF(N133=0,2,IF(N133=0.1,1,0))),IF(M135&gt;0,M135,0)))),2),""))</f>
        <v/>
      </c>
      <c r="P135" s="142" t="str">
        <f>IF(I134="Lay",O134*(L134/(L134-1))-O134,IF(I133="Lay",O133*(L133/(L133-1))-O133,IF(OR(L135="",O135=""),"",IF($C135="1/2W",O135/2+O135/2*L135,IF($C135="1/2L",O135/2,(O135*L135-O135)*(1-_xlfn.XLOOKUP(K135,'Fevereiro 2023 - Valor Real'!A3:A15,'Fevereiro 2023 - Valor Real'!C3:C15,0))+O135)))))</f>
        <v/>
      </c>
      <c r="Q135" s="143" t="str">
        <f>IF(K135="","",IF(_xlfn.XLOOKUP(K135,K$8:K128,$DJ$8:DJ128,0,,-1)=DJ135,_xlfn.XLOOKUP(K135,K$8:K128,Q$8:Q128,1,,-1)+1,1))</f>
        <v/>
      </c>
      <c r="R135" s="144" t="str">
        <f>IF(K135="","",_xlfn.XLOOKUP(K135,K$8:K128,R$8:R128,0,,-1)+IF($C135=" ",1,0))</f>
        <v/>
      </c>
      <c r="S135" s="404"/>
      <c r="T135" s="378"/>
      <c r="U135" s="378"/>
      <c r="V135" s="404"/>
      <c r="W135" s="378"/>
      <c r="X135" s="453"/>
      <c r="Y135" s="383"/>
      <c r="Z135" s="384"/>
      <c r="AA135" s="384"/>
      <c r="AB135" s="384"/>
      <c r="AC135" s="384"/>
      <c r="AD135" s="145">
        <f>((L134/(L134-1)-1))</f>
        <v>0.81967213114754078</v>
      </c>
      <c r="AE135" s="146" t="str">
        <f>IF(L135="","",(SUM(((L133-1)*(1-_xlfn.XLOOKUP(K133,'Fevereiro 2023 - Valor Real'!A3:A15,'Fevereiro 2023 - Valor Real'!C3:C15,0))+1),((L134-1)*(1-_xlfn.XLOOKUP(K134,'Fevereiro 2023 - Valor Real'!A3:A15,'Fevereiro 2023 - Valor Real'!C3:C15,0))+1),((L135-1)*(1-_xlfn.XLOOKUP(K135,'Fevereiro 2023 - Valor Real'!A3:A15,'Fevereiro 2023 - Valor Real'!C3:C15,0))+1))/((L135-1)*(1-_xlfn.XLOOKUP(K135,'Fevereiro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Real'!C3:C15,0))+1))/((L133-1)*(1-_xlfn.XLOOKUP(K133,'Fevereiro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Real'!C3:C15,0))+1))/((L134-1)*(1-_xlfn.XLOOKUP(K134,'Fevereiro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Real'!C3:C15,0))+1))/((L135-1)*(1-_xlfn.XLOOKUP(K135,'Fevereiro 2023 - Valor Real'!A3:A15,'Fevereiro 2023 - Valor Real'!C3:C15,0))+1)))</f>
        <v/>
      </c>
      <c r="AF135" s="105">
        <f t="shared" si="290"/>
        <v>0</v>
      </c>
      <c r="AG135" s="106">
        <f t="shared" si="290"/>
        <v>0</v>
      </c>
      <c r="AH135" s="106">
        <f t="shared" si="290"/>
        <v>0</v>
      </c>
      <c r="AI135" s="106">
        <f t="shared" si="290"/>
        <v>0</v>
      </c>
      <c r="AJ135" s="106">
        <f t="shared" si="290"/>
        <v>0</v>
      </c>
      <c r="AK135" s="106">
        <f t="shared" si="290"/>
        <v>0</v>
      </c>
      <c r="AL135" s="106">
        <f t="shared" si="290"/>
        <v>0</v>
      </c>
      <c r="AM135" s="106">
        <f t="shared" si="290"/>
        <v>0</v>
      </c>
      <c r="AN135" s="106">
        <f t="shared" si="290"/>
        <v>0</v>
      </c>
      <c r="AO135" s="106">
        <f t="shared" si="290"/>
        <v>0</v>
      </c>
      <c r="AP135" s="106">
        <f t="shared" si="290"/>
        <v>0</v>
      </c>
      <c r="AQ135" s="106">
        <f t="shared" si="290"/>
        <v>0</v>
      </c>
      <c r="AR135" s="107">
        <f t="shared" si="290"/>
        <v>0</v>
      </c>
      <c r="AS135" s="105">
        <f>IF(AND($B133=" ",$K135=AS$3),$O135,0)</f>
        <v>0</v>
      </c>
      <c r="AT135" s="106">
        <f>IF(AND($B133=" ",K135=AT$3),$O135,0)</f>
        <v>0</v>
      </c>
      <c r="AU135" s="106">
        <f t="shared" ref="AU135:BE135" si="293">IF(AND($B133=" ",$K135=AU$3),$O135,0)</f>
        <v>0</v>
      </c>
      <c r="AV135" s="106">
        <f t="shared" si="293"/>
        <v>0</v>
      </c>
      <c r="AW135" s="106">
        <f t="shared" si="293"/>
        <v>0</v>
      </c>
      <c r="AX135" s="106">
        <f t="shared" si="293"/>
        <v>0</v>
      </c>
      <c r="AY135" s="108">
        <f t="shared" si="293"/>
        <v>0</v>
      </c>
      <c r="AZ135" s="109">
        <f t="shared" si="293"/>
        <v>0</v>
      </c>
      <c r="BA135" s="109">
        <f t="shared" si="293"/>
        <v>0</v>
      </c>
      <c r="BB135" s="109">
        <f t="shared" si="293"/>
        <v>0</v>
      </c>
      <c r="BC135" s="110">
        <f t="shared" si="293"/>
        <v>0</v>
      </c>
      <c r="BD135" s="106">
        <f t="shared" si="293"/>
        <v>0</v>
      </c>
      <c r="BE135" s="107">
        <f t="shared" si="293"/>
        <v>0</v>
      </c>
      <c r="BF135" s="105">
        <f t="shared" si="292"/>
        <v>0</v>
      </c>
      <c r="BG135" s="106">
        <f t="shared" si="292"/>
        <v>0</v>
      </c>
      <c r="BH135" s="106">
        <f t="shared" si="292"/>
        <v>0</v>
      </c>
      <c r="BI135" s="106">
        <f t="shared" si="292"/>
        <v>0</v>
      </c>
      <c r="BJ135" s="106">
        <f t="shared" si="292"/>
        <v>0</v>
      </c>
      <c r="BK135" s="106">
        <f t="shared" si="292"/>
        <v>0</v>
      </c>
      <c r="BL135" s="106">
        <f t="shared" si="292"/>
        <v>0</v>
      </c>
      <c r="BM135" s="108">
        <f t="shared" si="292"/>
        <v>0</v>
      </c>
      <c r="BN135" s="109">
        <f t="shared" si="292"/>
        <v>0</v>
      </c>
      <c r="BO135" s="109">
        <f t="shared" si="292"/>
        <v>0</v>
      </c>
      <c r="BP135" s="109">
        <f t="shared" si="292"/>
        <v>0</v>
      </c>
      <c r="BQ135" s="110">
        <f t="shared" si="292"/>
        <v>0</v>
      </c>
      <c r="BR135" s="107">
        <f t="shared" si="292"/>
        <v>0</v>
      </c>
      <c r="BS135" s="464"/>
      <c r="BT135" s="461"/>
      <c r="BU135" s="392"/>
      <c r="BV135" s="461"/>
      <c r="BW135" s="392"/>
      <c r="BX135" s="392"/>
      <c r="BY135" s="392"/>
      <c r="BZ135" s="461"/>
      <c r="CA135" s="392"/>
      <c r="CB135" s="392"/>
      <c r="CC135" s="392"/>
      <c r="CD135" s="401"/>
      <c r="CE135" s="409"/>
      <c r="CF135" s="133">
        <f t="shared" si="258"/>
        <v>0</v>
      </c>
      <c r="CG135" s="134">
        <f t="shared" si="259"/>
        <v>0</v>
      </c>
      <c r="CH135" s="134">
        <f t="shared" si="260"/>
        <v>0</v>
      </c>
      <c r="CI135" s="134">
        <f t="shared" si="261"/>
        <v>0</v>
      </c>
      <c r="CJ135" s="134">
        <f t="shared" si="262"/>
        <v>0</v>
      </c>
      <c r="CK135" s="134">
        <f t="shared" si="263"/>
        <v>0</v>
      </c>
      <c r="CL135" s="134">
        <f t="shared" si="264"/>
        <v>0</v>
      </c>
      <c r="CM135" s="134">
        <f t="shared" si="265"/>
        <v>0</v>
      </c>
      <c r="CN135" s="134">
        <f t="shared" si="266"/>
        <v>0</v>
      </c>
      <c r="CO135" s="134">
        <f t="shared" si="267"/>
        <v>0</v>
      </c>
      <c r="CP135" s="134">
        <f t="shared" si="268"/>
        <v>0</v>
      </c>
      <c r="CQ135" s="134">
        <f t="shared" si="269"/>
        <v>0</v>
      </c>
      <c r="CR135" s="134">
        <f t="shared" si="270"/>
        <v>0</v>
      </c>
      <c r="CS135" s="134">
        <f t="shared" si="271"/>
        <v>0</v>
      </c>
      <c r="CT135" s="115">
        <f t="shared" si="272"/>
        <v>0</v>
      </c>
      <c r="CU135" s="116">
        <f t="shared" si="273"/>
        <v>0</v>
      </c>
      <c r="CV135" s="116">
        <f t="shared" si="274"/>
        <v>0</v>
      </c>
      <c r="CW135" s="116">
        <f t="shared" si="275"/>
        <v>0</v>
      </c>
      <c r="CX135" s="116">
        <f t="shared" si="276"/>
        <v>0</v>
      </c>
      <c r="CY135" s="116">
        <f t="shared" si="277"/>
        <v>0</v>
      </c>
      <c r="CZ135" s="116">
        <f t="shared" si="278"/>
        <v>0</v>
      </c>
      <c r="DA135" s="116">
        <f t="shared" si="279"/>
        <v>0</v>
      </c>
      <c r="DB135" s="116">
        <f t="shared" si="280"/>
        <v>0</v>
      </c>
      <c r="DC135" s="116">
        <f t="shared" si="281"/>
        <v>0</v>
      </c>
      <c r="DD135" s="116">
        <f t="shared" si="282"/>
        <v>0</v>
      </c>
      <c r="DE135" s="117">
        <f t="shared" si="283"/>
        <v>0</v>
      </c>
      <c r="DF135" s="118">
        <f t="shared" si="286"/>
        <v>12</v>
      </c>
      <c r="DG135" s="106">
        <f t="shared" si="287"/>
        <v>15.760000000000002</v>
      </c>
      <c r="DH135" s="116">
        <f t="shared" si="288"/>
        <v>1</v>
      </c>
      <c r="DI135" s="106">
        <f t="shared" si="289"/>
        <v>3.9</v>
      </c>
      <c r="DJ135" s="201" t="str">
        <f>IF($D133="","",$D133)</f>
        <v>3</v>
      </c>
      <c r="DK135" s="466"/>
    </row>
    <row r="136" spans="1:115" ht="14.5" customHeight="1" x14ac:dyDescent="0.2">
      <c r="A136" s="487">
        <f>$A133+1</f>
        <v>45</v>
      </c>
      <c r="B136" s="506" t="str">
        <f>IF(OR(C136="W",C137="W",C138="W",C136="1/2W",C137="1/2W",C138="1/2W",C136="1/2L",C137="1/2L",C138="1/2L"),"OK",IF(OR(C136="L",C137="L",C138="L"),"LOSS",IF(OR(C136="X",C137="X",C138="X"),"Anulado"," ")))</f>
        <v>OK</v>
      </c>
      <c r="C136" s="147" t="s">
        <v>55</v>
      </c>
      <c r="D136" s="494" t="str">
        <f>IF(G136="","",$D133)</f>
        <v>3</v>
      </c>
      <c r="E136" s="511" t="str">
        <f>IF(G136=""," ","– "&amp;COUNTIF(D$4:D138,$D136))</f>
        <v>– 2</v>
      </c>
      <c r="F136" s="510" t="str">
        <f ca="1">IF(G136="","",IF(OR(AND($C136&lt;&gt;" ",$C137=" "),AND($C137&lt;&gt;" ",$C136=" "),AND(L138&gt;0,OR(AND($C138&lt;&gt;" ",OR($C136=" ",$C137=" ")),AND($C138=" ",OR($C136&lt;&gt;" ",$C137&lt;&gt;" "))))),IF(SUM(F$9:F128)=0,1,LARGE(F$9:F128,1)+1),IF(MONTH(G136)=MONTH(TODAY()),IF(AND(DAY(G136)&lt;DAY(TODAY()),$B136=" "),IF(SUM(F$9:F128)=0,1,LARGE(F$9:F128,1)+1),IF($B136=" ",IF(AND(DAY(G136)=DAY(TODAY()),HOUR(G136)&lt;=HOUR(NOW())+1),IF(AND(HOUR(G136)+2&lt;=HOUR(NOW()),DAY(G136)&lt;=DAY(TODAY()),MINUTE(G136)&lt;=MINUTE(NOW())),IF(SUM(F$9:F128)=0,1,LARGE(F$9:F128,1)+1),IF(OR(MINUTE(G136)&lt;=MINUTE(NOW()),HOUR(G136)&lt;=HOUR(NOW())),"!!!","")),""),"")),"")))</f>
        <v/>
      </c>
      <c r="G136" s="508">
        <v>44989.291666666664</v>
      </c>
      <c r="H136" s="502" t="s">
        <v>98</v>
      </c>
      <c r="I136" s="180" t="s">
        <v>76</v>
      </c>
      <c r="J136" s="149"/>
      <c r="K136" s="150" t="s">
        <v>36</v>
      </c>
      <c r="L136" s="151">
        <v>1.9750000000000001</v>
      </c>
      <c r="M136" s="152">
        <v>35.9</v>
      </c>
      <c r="N136" s="503">
        <v>0</v>
      </c>
      <c r="O136" s="153">
        <f>IF(OR(AE136="",AE137=""),"",ROUND(IF(L138&gt;0,IF(M136&gt;0,M136,IF(M137&gt;0,ROUND((M137*AE136)/AE137,IF(N136=0,2,IF(N136=0.1,1,0))),ROUND((M138*AE136)/AE138,IF(N136=0,2,IF(N136=0.1,1,0))))),IF(M136&gt;0,M136,ROUND((M137*AE136)/AE137,IF(N136=0,2,IF(N136=0.1,1,0))))),2))</f>
        <v>35.9</v>
      </c>
      <c r="P136" s="154">
        <f>IF(OR(L136="",O136=""),"",IF($C136="1/2W",O136/2+O136/2*L136,IF($C136="1/2L",O136/2,IF(I136="Lay",(O136*(L136/(L136-1))-O136)*(1-_xlfn.XLOOKUP(K136,'Fevereiro 2023 - Valor Real'!A3:A15,'Fevereiro 2023 - Valor Real'!C3:C15,0))+O136,(O136*L136-O136)*(1-_xlfn.XLOOKUP(K136,'Fevereiro 2023 - Valor Real'!A3:A15,'Fevereiro 2023 - Valor Real'!C3:C15,0))+O136))))</f>
        <v>70.902500000000003</v>
      </c>
      <c r="Q136" s="155">
        <f>IF(K136="","",IF(_xlfn.XLOOKUP(K136,K$9:K128,$DJ$9:DJ128,0,,-1)=DJ136,_xlfn.XLOOKUP(K136,K$9:K128,Q$9:Q128,1,,-1)+1,1))</f>
        <v>1</v>
      </c>
      <c r="R136" s="156">
        <f>IF(K136="","",_xlfn.XLOOKUP(K136,K$9:K128,R$9:R128,0,,-1)+IF($C136=" ",1,0))</f>
        <v>0</v>
      </c>
      <c r="S136" s="501">
        <f>IF($B136="Anulado",0,ROUND(IF(OR($B136="LOSS",$B136="OK"),IF(OR($C136="W",$C136="1/2W",$C136="1/2L"),P136-O136,IF($C136="L",-O136,0))+IF(OR($C137="W",$C137="1/2W",$C137="1/2L"),P137-O137,IF($C137="L",-O137,0))+IF(OR($C138="W",$C138="1/2W",$C138="1/2L"),P138-O138,IF($C138="L",-O138,0)),IF(AND(OR($C136="W",$C136="1/2W",$C136="1/2L"),C137="W"),P136+P137-SUM(O136:O138)+_xlfn.XLOOKUP("X",C136:C138,O136:O138,0),IF(AND(C136=TRUE,C138="W"),P136+P138-SUM(O136:O138),IF(AND(C137="W",C138="W"),P137+P138-SUM(O136:O138)+_xlfn.XLOOKUP("X",C136:C138,O136:O138,0),IF(L138&gt;0,IF(OR($C136="W",$C136="1/2W",$C136="1/2L"),P136-SUM(O136:O138)+_xlfn.XLOOKUP("X",C136:C138,O136:O138,0),IF(OR($C136="W",$C136="1/2W",$C136="1/2L"),P137-SUM(O136:O138)+_xlfn.XLOOKUP("X",C136:C138,O136:O138,0),IF(OR($C136="W",$C136="1/2W",$C136="1/2L"),P138-SUM(O136:O138)+_xlfn.XLOOKUP("X",C136:C138,O136:O138,0),IF(SUM(P136:P138)/3-SUM(O136:O138)+_xlfn.XLOOKUP("X",C136:C138,O136:O138,0)&gt;0,SUM(P136:P138)/3-SUM(O136:O138)+_xlfn.XLOOKUP("X",C136:C138,O136:O138,0),LARGE(P136:P138,1)-SUM(O136:O138))))),IF(OR($C136="W",$C136="1/2W",$C136="1/2L"),P136-SUM(O136:O137)+_xlfn.XLOOKUP("X",C136:C138,O136:O138,0),IF(OR($C136="W",$C136="1/2W",$C136="1/2L"),P137-SUM(O136:O137)+_xlfn.XLOOKUP("X",C136:C138,O136:O138,0),SUM(P136:P137)/2-SUM(O136:O137)+_xlfn.XLOOKUP("X",C136:C138,O136:O138,0)))))))),2))</f>
        <v>3.07</v>
      </c>
      <c r="T136" s="486">
        <f>IF(S136=0,0,S136/SUM(O136:O138))</f>
        <v>4.5253537735849052E-2</v>
      </c>
      <c r="U136" s="496">
        <f>IF($D136=$D133,IF(OR($B136="LOSS",$B136="OK",$B136="Anulada"),S136,0)+U133,IF(OR($B136="LOSS",$B136="OK",$B136="Anulada"),S136,0))</f>
        <v>4.1899999999999995</v>
      </c>
      <c r="V136" s="496">
        <f>IF($D136="",0,IF($D136=$D133,IF($B136=" ",IF(I138="",IF(OR(AND(I136="DNB1",I137="DNB2"),AND(OR(I136="DNB1",I136="DNB2"),J137=0),AND(OR(I137="DNB1",I137="DNB2"),J136=0),AND(I136="DNB2",I137="DNB1"),AND(IF(J136=0,(J136+1)/ROUND(J136+1,0),J136/ROUND(J136,0))=1,IF(J137=0,(J137+1)/ROUND(IF(J137="",0,J137)+1,0),IF(J137="",0,J137)/ROUND(IF(J137="",1,J137),0))=1,OR(J136&lt;&gt;""),J137&lt;&gt;"")),0,IF(S136&lt;0,IF(I138="",SMALL(P136:P137,1)-SUM(O136:O137),0),SMALL(P136:P137,1)-SUM(O136:O137))),IF(S136&lt;0,IF(I138="",SMALL(P136:P138,1)-SUM(O136:O138),0),LARGE(P136:P138,1)-SUM(O136:O138))),S136)+V133,IF(I138="",IF(OR(AND(I136="DNB1",I137="DNB2"),AND(OR(I136="DNB1",I136="DNB2"),J137=0),AND(OR(I137="DNB1",I137="DNB2"),J136=0),AND(I136="DNB2",I137="DNB1"),AND(IF(J136=0,(J136+1)/ROUND(J136+1,0),J136/ROUND(J136,0))=1,IF(J137=0,(IF(J137="",0,J137)+1)/ROUND(IF(J137="",0,J137)+1,0),IF(J137="",0,J137)/ROUND(IF(J137="",0,J137)+1,0))=1,OR(J136&lt;&gt;""),J137&lt;&gt;"")),0,IF(S136&lt;0,IF(I138="",SMALL(P136:P137,1)-SUM(O136:O137),0),SMALL(P136:P138,1)-SUM(O136:O138))),IF(S136&lt;0,IF(I138="",SMALL(P136:P138,1)-SUM(O136:O138),0),LARGE(P136:P138,1)-SUM(O136:O138)))))</f>
        <v>4.18</v>
      </c>
      <c r="W136" s="496">
        <f>IF($D136=$D133,IF(S136&lt;0,IF(I138="",S136,0),S136)+W133,S136)</f>
        <v>4.1899999999999995</v>
      </c>
      <c r="X136" s="505" t="str">
        <f>IF(OR(SUM(R136:R138)=0,V136=W136),ROUND(IF(W136=0,0,W136/Y136)*100,2)&amp;"%",ROUND(IF(V136=0,0,V136/Y136)*100,2)&amp;"% a "&amp;ROUND(IF(W136=0,0,W136/Y136)*100,2)&amp;"%")</f>
        <v>4,7%</v>
      </c>
      <c r="Y136" s="497">
        <f>IF($D136=$D133,Y133+SUM(O136:O138),SUM(O136:O138))</f>
        <v>89.23</v>
      </c>
      <c r="Z136" s="496">
        <f>IF($B136=" ",SUM(O136:O138),0)+Z133</f>
        <v>0</v>
      </c>
      <c r="AA136" s="496">
        <f>IF(G136="","",IF($B136="Anulado",LARGE(P136:P138,1)-SUM(O136:O138)+AA133,AA133))</f>
        <v>0.45899999999999785</v>
      </c>
      <c r="AB136" s="496">
        <f>IF($D136="","",AB133+S136)</f>
        <v>115.04999999999997</v>
      </c>
      <c r="AC136" s="499">
        <f ca="1">IF($D136="","",IF($B136=" ",IF(DAY(G136)=DAY(TODAY()),1+AC133,0+AC133),0+AC133))</f>
        <v>0</v>
      </c>
      <c r="AD136" s="157">
        <f>(1-_xlfn.XLOOKUP(K134,'Fevereiro 2023 - Valor Real'!A3:A15,'Fevereiro 2023 - Valor Real'!C3:C15,0))+1</f>
        <v>2</v>
      </c>
      <c r="AE136" s="158">
        <f>IF(L136="","",IF(L138&gt;0,(SUM(((L136-1)*(1-_xlfn.XLOOKUP(K136,'Fevereiro 2023 - Valor Real'!A3:A15,'Fevereiro 2023 - Valor Real'!C3:C15,0))+1),((L137-1)*(1-_xlfn.XLOOKUP(K137,'Fevereiro 2023 - Valor Real'!A3:A15,'Fevereiro 2023 - Valor Real'!C3:C15,0))+1),((L138-1)*(1-_xlfn.XLOOKUP(K138,'Fevereiro 2023 - Valor Real'!A3:A15,'Fevereiro 2023 - Valor Real'!C3:C15,0))+1))/((L136-1)*(1-_xlfn.XLOOKUP(K136,'Fevereiro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Real'!C3:C15,0))+1))/((L136-1)*(1-_xlfn.XLOOKUP(K136,'Fevereiro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Real'!C3:C15,0))+1))/((L137-1)*(1-_xlfn.XLOOKUP(K137,'Fevereiro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Real'!C3:C15,0))+1))/((L138-1)*(1-_xlfn.XLOOKUP(K138,'Fevereiro 2023 - Valor Real'!A3:A15,'Fevereiro 2023 - Valor Real'!C3:C15,0))+1)),IF(I136="Lay",IF(I137="Lay",((L137/(L137-1)-1)*(1-_xlfn.XLOOKUP(K137,'Fevereiro 2023 - Valor Real'!A3:A15,'Fevereiro 2023 - Valor Real'!C3:C15,0))+1)/(((L137/(L137-1)-1)*(1-_xlfn.XLOOKUP(K137,'Fevereiro 2023 - Valor Real'!A3:A15,'Fevereiro 2023 - Valor Real'!C3:C15,0))+1)+((L136/(L136-1)-1)*(1-_xlfn.XLOOKUP(K136,'Fevereiro 2023 - Valor Real'!A3:A15,'Fevereiro 2023 - Valor Real'!C3:C15,0))+1)),((L137-1)*(1-_xlfn.XLOOKUP(K137,'Fevereiro 2023 - Valor Real'!A3:A15,'Fevereiro 2023 - Valor Real'!C3:C15,0))+1)/(((L137-1)*(1-_xlfn.XLOOKUP(K137,'Fevereiro 2023 - Valor Real'!A3:A15,'Fevereiro 2023 - Valor Real'!C3:C15,0))+1)+((L136/(L136-1)-1)*(1-_xlfn.XLOOKUP(K136,'Fevereiro 2023 - Valor Real'!A3:A15,'Fevereiro 2023 - Valor Real'!C3:C15,0))+1))),IF(I137="Lay",(((L137/(L137-1)-1)*(1-_xlfn.XLOOKUP(K137,'Fevereiro 2023 - Valor Real'!A3:A15,'Fevereiro 2023 - Valor Real'!C3:C15,0))+1))/(((L136-1)*(1-_xlfn.XLOOKUP(K136,'Fevereiro 2023 - Valor Real'!A3:A15,'Fevereiro 2023 - Valor Real'!C3:C15,0))+1)+((L137/(L137-1)-1)*(1-_xlfn.XLOOKUP(K137,'Fevereiro 2023 - Valor Real'!A3:A15,'Fevereiro 2023 - Valor Real'!C3:C15,0))+1)),((L137-1)*(1-_xlfn.XLOOKUP(K137,'Fevereiro 2023 - Valor Real'!A3:A15,'Fevereiro 2023 - Valor Real'!C3:C15,0))+1)/(((L137-1)*(1-_xlfn.XLOOKUP(K137,'Fevereiro 2023 - Valor Real'!A3:A15,'Fevereiro 2023 - Valor Real'!C3:C15,0))+1)+((L136-1)*(1-_xlfn.XLOOKUP(K136,'Fevereiro 2023 - Valor Real'!A3:A15,'Fevereiro 2023 - Valor Real'!C3:C15,0))+1))))))</f>
        <v>0.52920143027413591</v>
      </c>
      <c r="AF136" s="66">
        <f t="shared" si="290"/>
        <v>-35.9</v>
      </c>
      <c r="AG136" s="67">
        <f t="shared" si="290"/>
        <v>0</v>
      </c>
      <c r="AH136" s="67">
        <f t="shared" si="290"/>
        <v>0</v>
      </c>
      <c r="AI136" s="67">
        <f t="shared" si="290"/>
        <v>0</v>
      </c>
      <c r="AJ136" s="67">
        <f t="shared" si="290"/>
        <v>0</v>
      </c>
      <c r="AK136" s="67">
        <f t="shared" si="290"/>
        <v>0</v>
      </c>
      <c r="AL136" s="67">
        <f t="shared" si="290"/>
        <v>0</v>
      </c>
      <c r="AM136" s="67">
        <f t="shared" si="290"/>
        <v>0</v>
      </c>
      <c r="AN136" s="67">
        <f t="shared" si="290"/>
        <v>0</v>
      </c>
      <c r="AO136" s="67">
        <f t="shared" si="290"/>
        <v>0</v>
      </c>
      <c r="AP136" s="67">
        <f t="shared" si="290"/>
        <v>0</v>
      </c>
      <c r="AQ136" s="67">
        <f t="shared" si="290"/>
        <v>0</v>
      </c>
      <c r="AR136" s="68">
        <f t="shared" si="290"/>
        <v>0</v>
      </c>
      <c r="AS136" s="66">
        <f t="shared" ref="AS136:BE136" si="294">IF(AND($B136=" ",$K136=AS$3),$O136,0)</f>
        <v>0</v>
      </c>
      <c r="AT136" s="67">
        <f t="shared" si="294"/>
        <v>0</v>
      </c>
      <c r="AU136" s="67">
        <f t="shared" si="294"/>
        <v>0</v>
      </c>
      <c r="AV136" s="67">
        <f t="shared" si="294"/>
        <v>0</v>
      </c>
      <c r="AW136" s="67">
        <f t="shared" si="294"/>
        <v>0</v>
      </c>
      <c r="AX136" s="67">
        <f t="shared" si="294"/>
        <v>0</v>
      </c>
      <c r="AY136" s="69">
        <f t="shared" si="294"/>
        <v>0</v>
      </c>
      <c r="AZ136" s="70">
        <f t="shared" si="294"/>
        <v>0</v>
      </c>
      <c r="BA136" s="70">
        <f t="shared" si="294"/>
        <v>0</v>
      </c>
      <c r="BB136" s="70">
        <f t="shared" si="294"/>
        <v>0</v>
      </c>
      <c r="BC136" s="71">
        <f t="shared" si="294"/>
        <v>0</v>
      </c>
      <c r="BD136" s="67">
        <f t="shared" si="294"/>
        <v>0</v>
      </c>
      <c r="BE136" s="68">
        <f t="shared" si="294"/>
        <v>0</v>
      </c>
      <c r="BF136" s="66">
        <f t="shared" si="292"/>
        <v>35.9</v>
      </c>
      <c r="BG136" s="67">
        <f t="shared" si="292"/>
        <v>0</v>
      </c>
      <c r="BH136" s="67">
        <f t="shared" si="292"/>
        <v>0</v>
      </c>
      <c r="BI136" s="67">
        <f t="shared" si="292"/>
        <v>0</v>
      </c>
      <c r="BJ136" s="67">
        <f t="shared" si="292"/>
        <v>0</v>
      </c>
      <c r="BK136" s="67">
        <f t="shared" si="292"/>
        <v>0</v>
      </c>
      <c r="BL136" s="67">
        <f t="shared" si="292"/>
        <v>0</v>
      </c>
      <c r="BM136" s="69">
        <f t="shared" si="292"/>
        <v>0</v>
      </c>
      <c r="BN136" s="70">
        <f t="shared" si="292"/>
        <v>0</v>
      </c>
      <c r="BO136" s="70">
        <f t="shared" si="292"/>
        <v>0</v>
      </c>
      <c r="BP136" s="70">
        <f t="shared" si="292"/>
        <v>0</v>
      </c>
      <c r="BQ136" s="71">
        <f t="shared" si="292"/>
        <v>0</v>
      </c>
      <c r="BR136" s="68">
        <f t="shared" si="292"/>
        <v>0</v>
      </c>
      <c r="BS136" s="490">
        <f>IF($B136="LOSS",IF(AND($K136=BS$3,$C136="L"),-$O136,0)+IF(AND($K137=BS$3,$C137="L"),-$O137,0)+IF(AND($K138=BS$3,$C138="L"),-$O138,0),IF(OR(AND($K136=BS$3,OR($C136="W",$C136="1/2W")),AND($K137=BS$3,OR($C137="W",$C137="1/2W")),AND($K138=BS$3,OR($C138="W",$C138="1/2W"))),$S136,0))</f>
        <v>0</v>
      </c>
      <c r="BT136" s="498">
        <f>IF($B136="LOSS",IF(AND($K136=BT$3,$C136="L"),-$O136,0)+IF(AND($K137=BT$3,$C137="L"),-$O137,0)+IF(AND($K137=BT$3,$C138="L"),-$O138,0),IF(OR(AND($K137=BT$3,OR($C136="W",$C136="1/2W")),AND($K137=BT$3,OR($C137="W",$C137="1/2W")),AND($K137=BT$3,OR($C138="W",$C138="1/2W"))),$S136,0))</f>
        <v>0</v>
      </c>
      <c r="BU136" s="488">
        <f>IF($B136="LOSS",IF(AND($K136=BU$3,$C136="L"),-$O136,0)+IF(AND($K137=BU$3,$C137="L"),-$O137,0)+IF(AND($K137=BU$3,$C138="L"),-$O138,0),IF(OR(AND($K137=BU$3,OR($C136="W",$C136="1/2W")),AND($K137=BU$3,OR($C137="W",$C137="1/2W")),AND($K137=BU$3,OR($C138="W",$C138="1/2W"))),$S136,0))</f>
        <v>0</v>
      </c>
      <c r="BV136" s="488">
        <f t="shared" ref="BV136:CE136" si="295">IF($B136="LOSS",IF(AND($K136=BV$3,$C136="L"),-$O136,0)+IF(AND($K137=BV$3,$C137="L"),-$O137,0)+IF(AND($K138=BV$3,$C138="L"),-$O138,0),IF(OR(AND($K136=BV$3,OR($C136="W",$C136="1/2W")),AND($K137=BV$3,OR($C137="W",$C137="1/2W")),AND($K138=BV$3,OR($C138="W",$C138="1/2W"))),$S136,0))</f>
        <v>0</v>
      </c>
      <c r="BW136" s="488">
        <f t="shared" si="295"/>
        <v>0</v>
      </c>
      <c r="BX136" s="488">
        <f t="shared" si="295"/>
        <v>0</v>
      </c>
      <c r="BY136" s="488">
        <f t="shared" si="295"/>
        <v>0</v>
      </c>
      <c r="BZ136" s="488">
        <f t="shared" si="295"/>
        <v>3.07</v>
      </c>
      <c r="CA136" s="488">
        <f t="shared" si="295"/>
        <v>0</v>
      </c>
      <c r="CB136" s="488">
        <f t="shared" si="295"/>
        <v>0</v>
      </c>
      <c r="CC136" s="488">
        <f t="shared" si="295"/>
        <v>0</v>
      </c>
      <c r="CD136" s="500">
        <f t="shared" si="295"/>
        <v>0</v>
      </c>
      <c r="CE136" s="504">
        <f t="shared" si="295"/>
        <v>0</v>
      </c>
      <c r="CF136" s="160">
        <f t="shared" si="258"/>
        <v>0</v>
      </c>
      <c r="CG136" s="161">
        <f t="shared" si="259"/>
        <v>1</v>
      </c>
      <c r="CH136" s="161">
        <f t="shared" si="260"/>
        <v>0</v>
      </c>
      <c r="CI136" s="161">
        <f t="shared" si="261"/>
        <v>0</v>
      </c>
      <c r="CJ136" s="161">
        <f t="shared" si="262"/>
        <v>0</v>
      </c>
      <c r="CK136" s="161">
        <f t="shared" si="263"/>
        <v>0</v>
      </c>
      <c r="CL136" s="161">
        <f t="shared" si="264"/>
        <v>0</v>
      </c>
      <c r="CM136" s="161">
        <f t="shared" si="265"/>
        <v>0</v>
      </c>
      <c r="CN136" s="161">
        <f t="shared" si="266"/>
        <v>0</v>
      </c>
      <c r="CO136" s="161">
        <f t="shared" si="267"/>
        <v>0</v>
      </c>
      <c r="CP136" s="161">
        <f t="shared" si="268"/>
        <v>0</v>
      </c>
      <c r="CQ136" s="161">
        <f t="shared" si="269"/>
        <v>0</v>
      </c>
      <c r="CR136" s="161">
        <f t="shared" si="270"/>
        <v>0</v>
      </c>
      <c r="CS136" s="161">
        <f t="shared" si="271"/>
        <v>0</v>
      </c>
      <c r="CT136" s="75">
        <f t="shared" si="272"/>
        <v>0</v>
      </c>
      <c r="CU136" s="76">
        <f t="shared" si="273"/>
        <v>0</v>
      </c>
      <c r="CV136" s="76">
        <f t="shared" si="274"/>
        <v>0</v>
      </c>
      <c r="CW136" s="76">
        <f t="shared" si="275"/>
        <v>0</v>
      </c>
      <c r="CX136" s="76">
        <f t="shared" si="276"/>
        <v>0</v>
      </c>
      <c r="CY136" s="76">
        <f t="shared" si="277"/>
        <v>0</v>
      </c>
      <c r="CZ136" s="76">
        <f t="shared" si="278"/>
        <v>0</v>
      </c>
      <c r="DA136" s="76">
        <f t="shared" si="279"/>
        <v>0</v>
      </c>
      <c r="DB136" s="76">
        <f t="shared" si="280"/>
        <v>0</v>
      </c>
      <c r="DC136" s="76">
        <f t="shared" si="281"/>
        <v>0</v>
      </c>
      <c r="DD136" s="76">
        <f t="shared" si="282"/>
        <v>0</v>
      </c>
      <c r="DE136" s="77">
        <f t="shared" si="283"/>
        <v>0</v>
      </c>
      <c r="DF136" s="73">
        <f t="shared" si="286"/>
        <v>12</v>
      </c>
      <c r="DG136" s="67">
        <f t="shared" si="287"/>
        <v>15.760000000000002</v>
      </c>
      <c r="DH136" s="76">
        <f t="shared" si="288"/>
        <v>1</v>
      </c>
      <c r="DI136" s="67">
        <f t="shared" si="289"/>
        <v>3.9</v>
      </c>
      <c r="DJ136" s="202" t="str">
        <f>IF($D136="","",$D136)</f>
        <v>3</v>
      </c>
      <c r="DK136" s="492">
        <f>IF(AND($B136=" ",$D136&lt;&gt;""),1,0)</f>
        <v>0</v>
      </c>
    </row>
    <row r="137" spans="1:115" ht="14.5" customHeight="1" x14ac:dyDescent="0.2">
      <c r="A137" s="389"/>
      <c r="B137" s="456"/>
      <c r="C137" s="53" t="s">
        <v>54</v>
      </c>
      <c r="D137" s="374"/>
      <c r="E137" s="386"/>
      <c r="F137" s="377"/>
      <c r="G137" s="508"/>
      <c r="H137" s="476"/>
      <c r="I137" s="182" t="s">
        <v>66</v>
      </c>
      <c r="J137" s="56">
        <f>IF(OR(I136="TO",I136="TU",I136="TO1",I136="TU1",I136="TO2",I136="TU2"),J136,IF(OR(I136="AH1",I136="AH2"),IF(OR(I137="AH1",I137="AH2"),-J136,IF(OR(I137="EH1",I137="EH2"),-J136+0.5,"")),IF(OR(I136="EH1",I136="EH2"),IF(OR(I137="AH1",I137="AH2"),-J136+0.5,IF(OR(I137="EH1",I137="EH2"),-J136+1,"")),IF(AND(OR(I136="DNB1",I136="DNB2"),OR(I137="AH1",I137="AH2")),0,IF(AND(I136="Not ScoreBoth",OR(I137="TO1",I137="TO2")),0.5,"")))))</f>
        <v>0</v>
      </c>
      <c r="K137" s="57" t="s">
        <v>43</v>
      </c>
      <c r="L137" s="164">
        <v>2.2200000000000002</v>
      </c>
      <c r="M137" s="165"/>
      <c r="N137" s="406"/>
      <c r="O137" s="60">
        <f>IF(OR(AE136="",AE137=""),"",ROUND(IF(L138&gt;0,IF(M137&gt;0,M137,IF(M136&gt;0,IF(N136=TRUE,ROUND((M136*AE137)/AE136,0),(M136*AE137)/AE136),IF(M137&gt;0,ROUND(M137,IF(N136=0,2,IF(N136=0.1,1,0))),IF(M138&gt;0,ROUND(O138*AE137/AE138,IF(N136=0,2,IF(N136=0.1,1,0))),0)))),IF(M137&gt;0,M137,ROUND((M136*AE137)/AE136,IF(N136=0,2,IF(N136=0.1,1,0))))),2))</f>
        <v>31.94</v>
      </c>
      <c r="P137" s="61">
        <f>IF(OR(L137="",O137=""),"",IF($C137="1/2W",O137/2+O137/2*L137,IF($C137="1/2L",O137/2,IF(I137="Lay",((O137*(L137/(L137-1)))-O137)*(1-_xlfn.XLOOKUP(K137,'Fevereiro 2023 - Valor Real'!A3:A15,'Fevereiro 2023 - Valor Real'!C3:C15,0))+O137,(O137*L137-O137)*(1-_xlfn.XLOOKUP(K137,'Fevereiro 2023 - Valor Real'!A3:A15,'Fevereiro 2023 - Valor Real'!C3:C15,0))+O137))))</f>
        <v>70.906800000000004</v>
      </c>
      <c r="Q137" s="166">
        <f>IF(K137="","",IF(_xlfn.XLOOKUP(K137,K$10:K128,$DJ$10:DJ128,0,,-1)=DJ137,_xlfn.XLOOKUP(K137,K$10:K128,Q$10:Q128,1,,-1)+1,1))</f>
        <v>1</v>
      </c>
      <c r="R137" s="167">
        <f>IF(K137="","",_xlfn.XLOOKUP(K137,K$10:K128,R$10:R128,0,,-1)+IF($C137=" ",1,0))</f>
        <v>0</v>
      </c>
      <c r="S137" s="403"/>
      <c r="T137" s="380"/>
      <c r="U137" s="380"/>
      <c r="V137" s="481"/>
      <c r="W137" s="380"/>
      <c r="X137" s="452"/>
      <c r="Y137" s="383"/>
      <c r="Z137" s="384"/>
      <c r="AA137" s="384"/>
      <c r="AB137" s="384"/>
      <c r="AC137" s="384"/>
      <c r="AD137" s="64"/>
      <c r="AE137" s="65">
        <f>IF(L137="","",IF(L138&gt;0,(SUM(((L136-1)*(1-_xlfn.XLOOKUP(K136,'Fevereiro 2023 - Valor Real'!A3:A15,'Fevereiro 2023 - Valor Real'!C3:C15,0))+1),((L137-1)*(1-_xlfn.XLOOKUP(K137,'Fevereiro 2023 - Valor Real'!A3:A15,'Fevereiro 2023 - Valor Real'!C3:C15,0))+1),((L138-1)*(1-_xlfn.XLOOKUP(K138,'Fevereiro 2023 - Valor Real'!A3:A15,'Fevereiro 2023 - Valor Real'!C3:C15,0))+1))/((L137-1)*(1-_xlfn.XLOOKUP(K137,'Fevereiro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Real'!C3:C15,0))+1))/((L136-1)*(1-_xlfn.XLOOKUP(K136,'Fevereiro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Real'!C3:C15,0))+1))/((L137-1)*(1-_xlfn.XLOOKUP(K137,'Fevereiro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Real'!C3:C15,0))+1))/((L138-1)*(1-_xlfn.XLOOKUP(K138,'Fevereiro 2023 - Valor Real'!A3:A15,'Fevereiro 2023 - Valor Real'!C3:C15,0))+1)),IF(I137="Lay",IF(I136="Lay",((L136/(L136-1)-1)*(1-_xlfn.XLOOKUP(K136,'Fevereiro 2023 - Valor Real'!A3:A15,'Fevereiro 2023 - Valor Real'!C3:C15,0))+1)/(((L136/(L136-1)-1)*(1-_xlfn.XLOOKUP(K136,'Fevereiro 2023 - Valor Real'!A3:A15,'Fevereiro 2023 - Valor Real'!C3:C15,0))+1)+((L137/(L137-1)-1)*(1-_xlfn.XLOOKUP(K137,'Fevereiro 2023 - Valor Real'!A3:A15,'Fevereiro 2023 - Valor Real'!C3:C15,0))+1)),((L136-1)*(1-_xlfn.XLOOKUP(K136,'Fevereiro 2023 - Valor Real'!A3:A15,'Fevereiro 2023 - Valor Real'!C3:C15,0))+1)/(((L136-1)*(1-_xlfn.XLOOKUP(K136,'Fevereiro 2023 - Valor Real'!A3:A15,'Fevereiro 2023 - Valor Real'!C3:C15,0))+1)+((L137/(L137-1)-1)*(1-_xlfn.XLOOKUP(K137,'Fevereiro 2023 - Valor Real'!A3:A15,'Fevereiro 2023 - Valor Real'!C3:C15,0))+1))),IF(I136="Lay",((L136/(L136-1)-1)*(1-_xlfn.XLOOKUP(K136,'Fevereiro 2023 - Valor Real'!A3:A15,'Fevereiro 2023 - Valor Real'!C3:C15,0))+1)/((((L136/(L136-1)-1)*(1-_xlfn.XLOOKUP(K136,'Fevereiro 2023 - Valor Real'!A3:A15,'Fevereiro 2023 - Valor Real'!C3:C15,0))+1))+((L137-1)*(1-_xlfn.XLOOKUP(K137,'Fevereiro 2023 - Valor Real'!A3:A15,'Fevereiro 2023 - Valor Real'!C3:C15,0))+1)),((L136-1)*(1-_xlfn.XLOOKUP(K136,'Fevereiro 2023 - Valor Real'!A3:A15,'Fevereiro 2023 - Valor Real'!C3:C15,0))+1)/(((L136-1)*(1-_xlfn.XLOOKUP(K136,'Fevereiro 2023 - Valor Real'!A3:A15,'Fevereiro 2023 - Valor Real'!C3:C15,0))+1)+((L137-1)*(1-_xlfn.XLOOKUP(K137,'Fevereiro 2023 - Valor Real'!A3:A15,'Fevereiro 2023 - Valor Real'!C3:C15,0))+1))))))</f>
        <v>0.47079856972586409</v>
      </c>
      <c r="AF137" s="66">
        <f t="shared" si="290"/>
        <v>0</v>
      </c>
      <c r="AG137" s="67">
        <f t="shared" si="290"/>
        <v>0</v>
      </c>
      <c r="AH137" s="67">
        <f t="shared" si="290"/>
        <v>0</v>
      </c>
      <c r="AI137" s="67">
        <f t="shared" si="290"/>
        <v>0</v>
      </c>
      <c r="AJ137" s="67">
        <f t="shared" si="290"/>
        <v>0</v>
      </c>
      <c r="AK137" s="67">
        <f t="shared" si="290"/>
        <v>0</v>
      </c>
      <c r="AL137" s="67">
        <f t="shared" si="290"/>
        <v>0</v>
      </c>
      <c r="AM137" s="67">
        <f t="shared" si="290"/>
        <v>38.97</v>
      </c>
      <c r="AN137" s="67">
        <f t="shared" si="290"/>
        <v>0</v>
      </c>
      <c r="AO137" s="67">
        <f t="shared" si="290"/>
        <v>0</v>
      </c>
      <c r="AP137" s="67">
        <f t="shared" si="290"/>
        <v>0</v>
      </c>
      <c r="AQ137" s="67">
        <f t="shared" si="290"/>
        <v>0</v>
      </c>
      <c r="AR137" s="68">
        <f t="shared" si="290"/>
        <v>0</v>
      </c>
      <c r="AS137" s="66">
        <f>IF(AND($B136=" ",$K137=AS$3),$O137,0)</f>
        <v>0</v>
      </c>
      <c r="AT137" s="67">
        <f>IF(AND($B136=" ",K137=AT$3),$O137,0)</f>
        <v>0</v>
      </c>
      <c r="AU137" s="67">
        <f t="shared" ref="AU137:BE137" si="296">IF(AND($B136=" ",$K137=AU$3),$O137,0)</f>
        <v>0</v>
      </c>
      <c r="AV137" s="67">
        <f t="shared" si="296"/>
        <v>0</v>
      </c>
      <c r="AW137" s="67">
        <f t="shared" si="296"/>
        <v>0</v>
      </c>
      <c r="AX137" s="67">
        <f t="shared" si="296"/>
        <v>0</v>
      </c>
      <c r="AY137" s="69">
        <f t="shared" si="296"/>
        <v>0</v>
      </c>
      <c r="AZ137" s="70">
        <f t="shared" si="296"/>
        <v>0</v>
      </c>
      <c r="BA137" s="70">
        <f t="shared" si="296"/>
        <v>0</v>
      </c>
      <c r="BB137" s="70">
        <f t="shared" si="296"/>
        <v>0</v>
      </c>
      <c r="BC137" s="71">
        <f t="shared" si="296"/>
        <v>0</v>
      </c>
      <c r="BD137" s="67">
        <f t="shared" si="296"/>
        <v>0</v>
      </c>
      <c r="BE137" s="68">
        <f t="shared" si="296"/>
        <v>0</v>
      </c>
      <c r="BF137" s="66">
        <f t="shared" si="292"/>
        <v>0</v>
      </c>
      <c r="BG137" s="168">
        <f t="shared" si="292"/>
        <v>0</v>
      </c>
      <c r="BH137" s="67">
        <f t="shared" si="292"/>
        <v>0</v>
      </c>
      <c r="BI137" s="67">
        <f t="shared" si="292"/>
        <v>0</v>
      </c>
      <c r="BJ137" s="67">
        <f t="shared" si="292"/>
        <v>0</v>
      </c>
      <c r="BK137" s="67">
        <f t="shared" si="292"/>
        <v>0</v>
      </c>
      <c r="BL137" s="67">
        <f t="shared" si="292"/>
        <v>0</v>
      </c>
      <c r="BM137" s="69">
        <f t="shared" si="292"/>
        <v>31.94</v>
      </c>
      <c r="BN137" s="70">
        <f t="shared" si="292"/>
        <v>0</v>
      </c>
      <c r="BO137" s="70">
        <f t="shared" si="292"/>
        <v>0</v>
      </c>
      <c r="BP137" s="70">
        <f t="shared" si="292"/>
        <v>0</v>
      </c>
      <c r="BQ137" s="71">
        <f t="shared" si="292"/>
        <v>0</v>
      </c>
      <c r="BR137" s="68">
        <f t="shared" si="292"/>
        <v>0</v>
      </c>
      <c r="BS137" s="491"/>
      <c r="BT137" s="489"/>
      <c r="BU137" s="392"/>
      <c r="BV137" s="489"/>
      <c r="BW137" s="392"/>
      <c r="BX137" s="392"/>
      <c r="BY137" s="392"/>
      <c r="BZ137" s="489"/>
      <c r="CA137" s="392"/>
      <c r="CB137" s="392"/>
      <c r="CC137" s="392"/>
      <c r="CD137" s="401"/>
      <c r="CE137" s="409"/>
      <c r="CF137" s="169">
        <f t="shared" si="258"/>
        <v>0</v>
      </c>
      <c r="CG137" s="170">
        <f t="shared" si="259"/>
        <v>0</v>
      </c>
      <c r="CH137" s="170">
        <f t="shared" si="260"/>
        <v>0</v>
      </c>
      <c r="CI137" s="170">
        <f t="shared" si="261"/>
        <v>0</v>
      </c>
      <c r="CJ137" s="170">
        <f t="shared" si="262"/>
        <v>0</v>
      </c>
      <c r="CK137" s="170">
        <f t="shared" si="263"/>
        <v>0</v>
      </c>
      <c r="CL137" s="170">
        <f t="shared" si="264"/>
        <v>0</v>
      </c>
      <c r="CM137" s="170">
        <f t="shared" si="265"/>
        <v>0</v>
      </c>
      <c r="CN137" s="170">
        <f t="shared" si="266"/>
        <v>0</v>
      </c>
      <c r="CO137" s="170">
        <f t="shared" si="267"/>
        <v>0</v>
      </c>
      <c r="CP137" s="170">
        <f t="shared" si="268"/>
        <v>0</v>
      </c>
      <c r="CQ137" s="170">
        <f t="shared" si="269"/>
        <v>0</v>
      </c>
      <c r="CR137" s="170">
        <f t="shared" si="270"/>
        <v>0</v>
      </c>
      <c r="CS137" s="170">
        <f t="shared" si="271"/>
        <v>0</v>
      </c>
      <c r="CT137" s="75">
        <f t="shared" si="272"/>
        <v>1</v>
      </c>
      <c r="CU137" s="76">
        <f t="shared" si="273"/>
        <v>0</v>
      </c>
      <c r="CV137" s="76">
        <f t="shared" si="274"/>
        <v>0</v>
      </c>
      <c r="CW137" s="76">
        <f t="shared" si="275"/>
        <v>0</v>
      </c>
      <c r="CX137" s="76">
        <f t="shared" si="276"/>
        <v>0</v>
      </c>
      <c r="CY137" s="76">
        <f t="shared" si="277"/>
        <v>0</v>
      </c>
      <c r="CZ137" s="76">
        <f t="shared" si="278"/>
        <v>0</v>
      </c>
      <c r="DA137" s="76">
        <f t="shared" si="279"/>
        <v>0</v>
      </c>
      <c r="DB137" s="76">
        <f t="shared" si="280"/>
        <v>0</v>
      </c>
      <c r="DC137" s="76">
        <f t="shared" si="281"/>
        <v>0</v>
      </c>
      <c r="DD137" s="76">
        <f t="shared" si="282"/>
        <v>0</v>
      </c>
      <c r="DE137" s="77">
        <f t="shared" si="283"/>
        <v>0</v>
      </c>
      <c r="DF137" s="73">
        <f t="shared" si="286"/>
        <v>12</v>
      </c>
      <c r="DG137" s="67">
        <f t="shared" si="287"/>
        <v>15.760000000000002</v>
      </c>
      <c r="DH137" s="76">
        <f t="shared" si="288"/>
        <v>1</v>
      </c>
      <c r="DI137" s="67">
        <f t="shared" si="289"/>
        <v>3.9</v>
      </c>
      <c r="DJ137" s="202" t="str">
        <f>IF($D136="","",$D136)</f>
        <v>3</v>
      </c>
      <c r="DK137" s="493"/>
    </row>
    <row r="138" spans="1:115" ht="14.5" customHeight="1" x14ac:dyDescent="0.2">
      <c r="A138" s="390"/>
      <c r="B138" s="457"/>
      <c r="C138" s="79" t="s">
        <v>53</v>
      </c>
      <c r="D138" s="375"/>
      <c r="E138" s="387"/>
      <c r="F138" s="378"/>
      <c r="G138" s="508"/>
      <c r="H138" s="477"/>
      <c r="I138" s="171"/>
      <c r="J138" s="172"/>
      <c r="K138" s="81"/>
      <c r="L138" s="173"/>
      <c r="M138" s="174"/>
      <c r="N138" s="407"/>
      <c r="O138" s="86" t="str">
        <f>IF(OR(AE136="",AE137=""),"",IF(L138&gt;0,ROUND(IF(M138&gt;0,M138,IF(M136&gt;0,ROUND((M136*AE138)/AE136,IF(N136=0,2,IF(N136=0.1,1,0))),IF(M137&gt;0,ROUND((M137*AE138)/AE137,IF(N136=0,2,IF(N136=0.1,1,0))),IF(M138&gt;0,M138,0)))),2),""))</f>
        <v/>
      </c>
      <c r="P138" s="87" t="str">
        <f>IF(I137="Lay",O137*(L137/(L137-1))-O137,IF(I136="Lay",O136*(L136/(L136-1))-O136,IF(OR(L138="",O138=""),"",IF($C138="1/2W",O138/2+O138/2*L138,IF($C138="1/2L",O138/2,(O138*L138-O138)*(1-_xlfn.XLOOKUP(K138,'Fevereiro 2023 - Valor Real'!A3:A15,'Fevereiro 2023 - Valor Real'!C3:C15,0))+O138)))))</f>
        <v/>
      </c>
      <c r="Q138" s="54" t="str">
        <f>IF(K138="","",IF(_xlfn.XLOOKUP(K138,K$11:K128,$DJ$11:DJ128,0,,-1)=DJ138,_xlfn.XLOOKUP(K138,K$11:K128,Q$11:Q128,1,,-1)+1,1))</f>
        <v/>
      </c>
      <c r="R138" s="87" t="str">
        <f>IF(K138="","",_xlfn.XLOOKUP(K138,K$11:K128,R$11:R128,0,,-1)+IF($C138=" ",1,0))</f>
        <v/>
      </c>
      <c r="S138" s="404"/>
      <c r="T138" s="378"/>
      <c r="U138" s="378"/>
      <c r="V138" s="404"/>
      <c r="W138" s="378"/>
      <c r="X138" s="453"/>
      <c r="Y138" s="383"/>
      <c r="Z138" s="384"/>
      <c r="AA138" s="384"/>
      <c r="AB138" s="384"/>
      <c r="AC138" s="384"/>
      <c r="AD138" s="90"/>
      <c r="AE138" s="91" t="str">
        <f>IF(L138="","",(SUM(((L136-1)*(1-_xlfn.XLOOKUP(K136,'Fevereiro 2023 - Valor Real'!A3:A15,'Fevereiro 2023 - Valor Real'!C3:C15,0))+1),((L137-1)*(1-_xlfn.XLOOKUP(K137,'Fevereiro 2023 - Valor Real'!A3:A15,'Fevereiro 2023 - Valor Real'!C3:C15,0))+1),((L138-1)*(1-_xlfn.XLOOKUP(K138,'Fevereiro 2023 - Valor Real'!A3:A15,'Fevereiro 2023 - Valor Real'!C3:C15,0))+1))/((L138-1)*(1-_xlfn.XLOOKUP(K138,'Fevereiro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Real'!C3:C15,0))+1))/((L136-1)*(1-_xlfn.XLOOKUP(K136,'Fevereiro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Real'!C3:C15,0))+1))/((L137-1)*(1-_xlfn.XLOOKUP(K137,'Fevereiro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Real'!C3:C15,0))+1))/((L138-1)*(1-_xlfn.XLOOKUP(K138,'Fevereiro 2023 - Valor Real'!A3:A15,'Fevereiro 2023 - Valor Real'!C3:C15,0))+1)))</f>
        <v/>
      </c>
      <c r="AF138" s="66">
        <f t="shared" si="290"/>
        <v>0</v>
      </c>
      <c r="AG138" s="67">
        <f t="shared" si="290"/>
        <v>0</v>
      </c>
      <c r="AH138" s="67">
        <f t="shared" si="290"/>
        <v>0</v>
      </c>
      <c r="AI138" s="67">
        <f t="shared" si="290"/>
        <v>0</v>
      </c>
      <c r="AJ138" s="67">
        <f t="shared" si="290"/>
        <v>0</v>
      </c>
      <c r="AK138" s="67">
        <f t="shared" si="290"/>
        <v>0</v>
      </c>
      <c r="AL138" s="67">
        <f t="shared" si="290"/>
        <v>0</v>
      </c>
      <c r="AM138" s="67">
        <f t="shared" si="290"/>
        <v>0</v>
      </c>
      <c r="AN138" s="67">
        <f t="shared" si="290"/>
        <v>0</v>
      </c>
      <c r="AO138" s="67">
        <f t="shared" si="290"/>
        <v>0</v>
      </c>
      <c r="AP138" s="67">
        <f t="shared" si="290"/>
        <v>0</v>
      </c>
      <c r="AQ138" s="67">
        <f t="shared" si="290"/>
        <v>0</v>
      </c>
      <c r="AR138" s="68">
        <f t="shared" si="290"/>
        <v>0</v>
      </c>
      <c r="AS138" s="66">
        <f>IF(AND($B136=" ",$K138=AS$3),$O138,0)</f>
        <v>0</v>
      </c>
      <c r="AT138" s="67">
        <f>IF(AND($B136=" ",K138=AT$3),$O138,0)</f>
        <v>0</v>
      </c>
      <c r="AU138" s="67">
        <f t="shared" ref="AU138:BE138" si="297">IF(AND($B136=" ",$K138=AU$3),$O138,0)</f>
        <v>0</v>
      </c>
      <c r="AV138" s="67">
        <f t="shared" si="297"/>
        <v>0</v>
      </c>
      <c r="AW138" s="67">
        <f t="shared" si="297"/>
        <v>0</v>
      </c>
      <c r="AX138" s="67">
        <f t="shared" si="297"/>
        <v>0</v>
      </c>
      <c r="AY138" s="69">
        <f t="shared" si="297"/>
        <v>0</v>
      </c>
      <c r="AZ138" s="70">
        <f t="shared" si="297"/>
        <v>0</v>
      </c>
      <c r="BA138" s="70">
        <f t="shared" si="297"/>
        <v>0</v>
      </c>
      <c r="BB138" s="70">
        <f t="shared" si="297"/>
        <v>0</v>
      </c>
      <c r="BC138" s="71">
        <f t="shared" si="297"/>
        <v>0</v>
      </c>
      <c r="BD138" s="67">
        <f t="shared" si="297"/>
        <v>0</v>
      </c>
      <c r="BE138" s="68">
        <f t="shared" si="297"/>
        <v>0</v>
      </c>
      <c r="BF138" s="66">
        <f t="shared" si="292"/>
        <v>0</v>
      </c>
      <c r="BG138" s="168">
        <f t="shared" si="292"/>
        <v>0</v>
      </c>
      <c r="BH138" s="67">
        <f t="shared" si="292"/>
        <v>0</v>
      </c>
      <c r="BI138" s="67">
        <f t="shared" si="292"/>
        <v>0</v>
      </c>
      <c r="BJ138" s="67">
        <f t="shared" si="292"/>
        <v>0</v>
      </c>
      <c r="BK138" s="67">
        <f t="shared" si="292"/>
        <v>0</v>
      </c>
      <c r="BL138" s="67">
        <f t="shared" si="292"/>
        <v>0</v>
      </c>
      <c r="BM138" s="69">
        <f t="shared" si="292"/>
        <v>0</v>
      </c>
      <c r="BN138" s="70">
        <f t="shared" si="292"/>
        <v>0</v>
      </c>
      <c r="BO138" s="70">
        <f t="shared" si="292"/>
        <v>0</v>
      </c>
      <c r="BP138" s="70">
        <f t="shared" si="292"/>
        <v>0</v>
      </c>
      <c r="BQ138" s="71">
        <f t="shared" si="292"/>
        <v>0</v>
      </c>
      <c r="BR138" s="68">
        <f t="shared" si="292"/>
        <v>0</v>
      </c>
      <c r="BS138" s="491"/>
      <c r="BT138" s="489"/>
      <c r="BU138" s="392"/>
      <c r="BV138" s="489"/>
      <c r="BW138" s="392"/>
      <c r="BX138" s="392"/>
      <c r="BY138" s="392"/>
      <c r="BZ138" s="489"/>
      <c r="CA138" s="392"/>
      <c r="CB138" s="392"/>
      <c r="CC138" s="392"/>
      <c r="CD138" s="401"/>
      <c r="CE138" s="409"/>
      <c r="CF138" s="169">
        <f t="shared" si="258"/>
        <v>0</v>
      </c>
      <c r="CG138" s="170">
        <f t="shared" si="259"/>
        <v>0</v>
      </c>
      <c r="CH138" s="170">
        <f t="shared" si="260"/>
        <v>0</v>
      </c>
      <c r="CI138" s="170">
        <f t="shared" si="261"/>
        <v>0</v>
      </c>
      <c r="CJ138" s="170">
        <f t="shared" si="262"/>
        <v>0</v>
      </c>
      <c r="CK138" s="170">
        <f t="shared" si="263"/>
        <v>0</v>
      </c>
      <c r="CL138" s="170">
        <f t="shared" si="264"/>
        <v>0</v>
      </c>
      <c r="CM138" s="170">
        <f t="shared" si="265"/>
        <v>0</v>
      </c>
      <c r="CN138" s="170">
        <f t="shared" si="266"/>
        <v>0</v>
      </c>
      <c r="CO138" s="170">
        <f t="shared" si="267"/>
        <v>0</v>
      </c>
      <c r="CP138" s="170">
        <f t="shared" si="268"/>
        <v>0</v>
      </c>
      <c r="CQ138" s="170">
        <f t="shared" si="269"/>
        <v>0</v>
      </c>
      <c r="CR138" s="170">
        <f t="shared" si="270"/>
        <v>0</v>
      </c>
      <c r="CS138" s="170">
        <f t="shared" si="271"/>
        <v>0</v>
      </c>
      <c r="CT138" s="75">
        <f t="shared" si="272"/>
        <v>0</v>
      </c>
      <c r="CU138" s="76">
        <f t="shared" si="273"/>
        <v>0</v>
      </c>
      <c r="CV138" s="76">
        <f t="shared" si="274"/>
        <v>0</v>
      </c>
      <c r="CW138" s="76">
        <f t="shared" si="275"/>
        <v>0</v>
      </c>
      <c r="CX138" s="76">
        <f t="shared" si="276"/>
        <v>0</v>
      </c>
      <c r="CY138" s="76">
        <f t="shared" si="277"/>
        <v>0</v>
      </c>
      <c r="CZ138" s="76">
        <f t="shared" si="278"/>
        <v>0</v>
      </c>
      <c r="DA138" s="76">
        <f t="shared" si="279"/>
        <v>0</v>
      </c>
      <c r="DB138" s="76">
        <f t="shared" si="280"/>
        <v>0</v>
      </c>
      <c r="DC138" s="76">
        <f t="shared" si="281"/>
        <v>0</v>
      </c>
      <c r="DD138" s="76">
        <f t="shared" si="282"/>
        <v>0</v>
      </c>
      <c r="DE138" s="77">
        <f t="shared" si="283"/>
        <v>0</v>
      </c>
      <c r="DF138" s="73">
        <f t="shared" si="286"/>
        <v>12</v>
      </c>
      <c r="DG138" s="67">
        <f t="shared" si="287"/>
        <v>15.760000000000002</v>
      </c>
      <c r="DH138" s="76">
        <f t="shared" si="288"/>
        <v>1</v>
      </c>
      <c r="DI138" s="67">
        <f t="shared" si="289"/>
        <v>3.9</v>
      </c>
      <c r="DJ138" s="202" t="str">
        <f>IF($D136="","",$D136)</f>
        <v>3</v>
      </c>
      <c r="DK138" s="493"/>
    </row>
    <row r="139" spans="1:115" ht="14.5" customHeight="1" x14ac:dyDescent="0.2">
      <c r="A139" s="459">
        <f>$A136+1</f>
        <v>46</v>
      </c>
      <c r="B139" s="507" t="str">
        <f>IF(OR(C139="W",C140="W",C141="W",C139="1/2W",C140="1/2W",C141="1/2W",C139="1/2L",C140="1/2L",C141="1/2L"),"OK",IF(OR(C139="L",C140="L",C141="L"),"LOSS",IF(OR(C139="X",C140="X",C141="X"),"Anulado"," ")))</f>
        <v>OK</v>
      </c>
      <c r="C139" s="93" t="s">
        <v>55</v>
      </c>
      <c r="D139" s="468" t="str">
        <f>IF(G139="","",$D136)</f>
        <v>3</v>
      </c>
      <c r="E139" s="485" t="str">
        <f>IF(G139=""," ","– "&amp;COUNTIF(D$4:D141,$D139))</f>
        <v>– 3</v>
      </c>
      <c r="F139" s="509" t="str">
        <f ca="1">IF(G139="","",IF(OR(AND($C139&lt;&gt;" ",$C140=" "),AND($C140&lt;&gt;" ",$C139=" "),AND(L141&gt;0,OR(AND($C141&lt;&gt;" ",OR($C139=" ",$C140=" ")),AND($C141=" ",OR($C139&lt;&gt;" ",$C140&lt;&gt;" "))))),IF(SUM(F$4:F138)=0,1,LARGE(F$4:F138,1)+1),IF(MONTH(G139)=MONTH(TODAY()),IF(AND(DAY(G139)&lt;DAY(TODAY()),$B139=" "),IF(SUM(F$4:F138)=0,1,LARGE(F$4:F138,1)+1),IF($B139=" ",IF(AND(DAY(G139)=DAY(TODAY()),HOUR(G139)&lt;=HOUR(NOW())+1),IF(AND(HOUR(G139)+2&lt;=HOUR(NOW()),DAY(G139)&lt;=DAY(TODAY()),MINUTE(G139)&lt;=MINUTE(NOW())),IF(SUM(F$4:F138)=0,1,LARGE(F$4:F138,1)+1),IF(OR(MINUTE(G139)&lt;=MINUTE(NOW()),HOUR(G139)&lt;=HOUR(NOW())),"!!!","")),""),"")),"")))</f>
        <v/>
      </c>
      <c r="G139" s="482">
        <v>44994.614583333336</v>
      </c>
      <c r="H139" s="475" t="s">
        <v>99</v>
      </c>
      <c r="I139" s="175">
        <v>1</v>
      </c>
      <c r="J139" s="176"/>
      <c r="K139" s="96" t="s">
        <v>40</v>
      </c>
      <c r="L139" s="97">
        <v>1.53</v>
      </c>
      <c r="M139" s="98">
        <v>84.81</v>
      </c>
      <c r="N139" s="478">
        <v>0.1</v>
      </c>
      <c r="O139" s="99">
        <f>IF(OR(AE139="",AE140=""),"",ROUND(IF(L141&gt;0,IF(M139&gt;0,M139,IF(M140&gt;0,ROUND((M140*AE139)/AE140,IF(N139=0,2,IF(N139=0.1,1,0))),ROUND((M141*AE139)/AE141,IF(N139=0,2,IF(N139=0.1,1,0))))),IF(M139&gt;0,M139,ROUND((M140*AE139)/AE140,IF(N139=0,2,IF(N139=0.1,1,0))))),2))</f>
        <v>84.81</v>
      </c>
      <c r="P139" s="100">
        <f>IF(OR(L139="",O139=""),"",IF($C139="1/2W",O139/2+O139/2*L139,IF($C139="1/2L",O139/2,IF(I139="Lay",(O139*(L139/(L139-1))-O139)*(1-_xlfn.XLOOKUP(K139,'Fevereiro 2023 - Valor Real'!A3:A15,'Fevereiro 2023 - Valor Real'!C3:C15,0))+O139,(O139*L139-O139)*(1-_xlfn.XLOOKUP(K139,'Fevereiro 2023 - Valor Real'!A3:A15,'Fevereiro 2023 - Valor Real'!C3:C15,0))+O139))))</f>
        <v>129.7593</v>
      </c>
      <c r="Q139" s="101">
        <f>IF(K139="","",IF(_xlfn.XLOOKUP(K139,K$4:K138,$DJ$4:DJ138,0,,-1)=DJ139,_xlfn.XLOOKUP(K139,K$4:K138,Q$4:Q138,1,,-1)+1,1))</f>
        <v>2</v>
      </c>
      <c r="R139" s="102">
        <f>IF(K139="","",_xlfn.XLOOKUP(K139,K$4:K138,R$4:R138,0,,-1)+IF($C139=" ",1,0))</f>
        <v>0</v>
      </c>
      <c r="S139" s="474">
        <f>IF($B139="Anulado",0,ROUND(IF(OR($B139="LOSS",$B139="OK"),IF(OR($C139="W",$C139="1/2W",$C139="1/2L"),P139-O139,IF($C139="L",-O139,0))+IF(OR($C140="W",$C140="1/2W",$C140="1/2L"),P140-O140,IF($C140="L",-O140,0))+IF(OR($C141="W",$C141="1/2W",$C141="1/2L"),P141-O141,IF($C141="L",-O141,0)),IF(AND(OR($C139="W",$C139="1/2W",$C139="1/2L"),C140="W"),P139+P140-SUM(O139:O141)+_xlfn.XLOOKUP("X",C139:C141,O139:O141,0),IF(AND(C139=TRUE,C141="W"),P139+P141-SUM(O139:O141),IF(AND(C140="W",C141="W"),P140+P141-SUM(O139:O141)+_xlfn.XLOOKUP("X",C139:C141,O139:O141,0),IF(L141&gt;0,IF(OR($C139="W",$C139="1/2W",$C139="1/2L"),P139-SUM(O139:O141)+_xlfn.XLOOKUP("X",C139:C141,O139:O141,0),IF(OR($C139="W",$C139="1/2W",$C139="1/2L"),P140-SUM(O139:O141)+_xlfn.XLOOKUP("X",C139:C141,O139:O141,0),IF(OR($C139="W",$C139="1/2W",$C139="1/2L"),P141-SUM(O139:O141)+_xlfn.XLOOKUP("X",C139:C141,O139:O141,0),IF(SUM(P139:P141)/3-SUM(O139:O141)+_xlfn.XLOOKUP("X",C139:C141,O139:O141,0)&gt;0,SUM(P139:P141)/3-SUM(O139:O141)+_xlfn.XLOOKUP("X",C139:C141,O139:O141,0),LARGE(P139:P141,1)-SUM(O139:O141))))),IF(OR($C139="W",$C139="1/2W",$C139="1/2L"),P139-SUM(O139:O140)+_xlfn.XLOOKUP("X",C139:C141,O139:O141,0),IF(OR($C139="W",$C139="1/2W",$C139="1/2L"),P140-SUM(O139:O140)+_xlfn.XLOOKUP("X",C139:C141,O139:O141,0),SUM(P139:P140)/2-SUM(O139:O140)+_xlfn.XLOOKUP("X",C139:C141,O139:O141,0)))))))),2))</f>
        <v>4.96</v>
      </c>
      <c r="T139" s="458">
        <f>IF(S139=0,0,S139/SUM(O139:O141))</f>
        <v>3.9772271670275035E-2</v>
      </c>
      <c r="U139" s="470">
        <f>IF($D139=$D136,IF(OR($B139="LOSS",$B139="OK",$B139="Anulada"),S139,0)+U136,IF(OR($B139="LOSS",$B139="OK",$B139="Anulada"),S139,0))</f>
        <v>9.1499999999999986</v>
      </c>
      <c r="V139" s="470">
        <f>IF($D139="",0,IF($D139=$D136,IF($B139=" ",IF(I141="",IF(OR(AND(I139="DNB1",I140="DNB2"),AND(OR(I139="DNB1",I139="DNB2"),J140=0),AND(OR(I140="DNB1",I140="DNB2"),J139=0),AND(I139="DNB2",I140="DNB1"),AND(IF(J139=0,(J139+1)/ROUND(J139+1,0),J139/ROUND(J139,0))=1,IF(J140=0,(J140+1)/ROUND(IF(J140="",0,J140)+1,0),IF(J140="",0,J140)/ROUND(IF(J140="",1,J140),0))=1,OR(J139&lt;&gt;""),J140&lt;&gt;"")),0,IF(S139&lt;0,IF(I141="",SMALL(P139:P140,1)-SUM(O139:O140),0),SMALL(P139:P140,1)-SUM(O139:O140))),IF(S139&lt;0,IF(I141="",SMALL(P139:P141,1)-SUM(O139:O141),0),LARGE(P139:P141,1)-SUM(O139:O141))),S139)+V136,IF(I141="",IF(OR(AND(I139="DNB1",I140="DNB2"),AND(OR(I139="DNB1",I139="DNB2"),J140=0),AND(OR(I140="DNB1",I140="DNB2"),J139=0),AND(I139="DNB2",I140="DNB1"),AND(IF(J139=0,(J139+1)/ROUND(J139+1,0),J139/ROUND(J139,0))=1,IF(J140=0,(IF(J140="",0,J140)+1)/ROUND(IF(J140="",0,J140)+1,0),IF(J140="",0,J140)/ROUND(IF(J140="",0,J140)+1,0))=1,OR(J139&lt;&gt;""),J140&lt;&gt;"")),0,IF(S139&lt;0,IF(I141="",SMALL(P139:P140,1)-SUM(O139:O140),0),SMALL(P139:P141,1)-SUM(O139:O141))),IF(S139&lt;0,IF(I141="",SMALL(P139:P141,1)-SUM(O139:O141),0),LARGE(P139:P141,1)-SUM(O139:O141)))))</f>
        <v>9.14</v>
      </c>
      <c r="W139" s="470">
        <f>IF($D139=$D136,IF(S139&lt;0,IF(I141="",S139,0),S139)+W136,S139)</f>
        <v>9.1499999999999986</v>
      </c>
      <c r="X139" s="480" t="str">
        <f>IF(OR(SUM(R139:R141)=0,V139=W139),ROUND(IF(W139=0,0,W139/Y139)*100,2)&amp;"%",ROUND(IF(V139=0,0,V139/Y139)*100,2)&amp;"% a "&amp;ROUND(IF(W139=0,0,W139/Y139)*100,2)&amp;"%")</f>
        <v>4,28%</v>
      </c>
      <c r="Y139" s="471">
        <f>IF($D139=$D136,Y136+SUM(O139:O141),SUM(O139:O141))</f>
        <v>213.94</v>
      </c>
      <c r="Z139" s="470">
        <f>IF($B139=" ",SUM(O139:O141),0)+Z136</f>
        <v>0</v>
      </c>
      <c r="AA139" s="470">
        <f>IF(G139="","",IF($B139="Anulado",LARGE(P139:P141,1)-SUM(O139:O141)+AA136,AA136))</f>
        <v>0.45899999999999785</v>
      </c>
      <c r="AB139" s="470">
        <f>IF($D139="","",AB136+S139)</f>
        <v>120.00999999999996</v>
      </c>
      <c r="AC139" s="472">
        <f ca="1">IF($D139="","",IF($B139=" ",IF(DAY(G139)=DAY(TODAY()),1+AC136,0+AC136),0+AC136))</f>
        <v>0</v>
      </c>
      <c r="AD139" s="103">
        <f>(((L140/(L140-1)-1)*(1-_xlfn.XLOOKUP(K140,'Fevereiro 2023 - Valor Real'!A3:A15,'Fevereiro 2023 - Valor Real'!C3:C15,0))+1))/(((L139-1)*(1-_xlfn.XLOOKUP(K139,'Fevereiro 2023 - Valor Real'!A3:A15,'Fevereiro 2023 - Valor Real'!C3:C15,0))+1)+((L140/(L140-1)-1)*(1-_xlfn.XLOOKUP(K140,'Fevereiro 2023 - Valor Real'!A3:A15,'Fevereiro 2023 - Valor Real'!C3:C15,0))+1))</f>
        <v>0.48561822936122523</v>
      </c>
      <c r="AE139" s="104">
        <f>IF(L139="","",IF(L141&gt;0,(SUM(((L139-1)*(1-_xlfn.XLOOKUP(K139,'Fevereiro 2023 - Valor Real'!A3:A15,'Fevereiro 2023 - Valor Real'!C3:C15,0))+1),((L140-1)*(1-_xlfn.XLOOKUP(K140,'Fevereiro 2023 - Valor Real'!A3:A15,'Fevereiro 2023 - Valor Real'!C3:C15,0))+1),((L141-1)*(1-_xlfn.XLOOKUP(K141,'Fevereiro 2023 - Valor Real'!A3:A15,'Fevereiro 2023 - Valor Real'!C3:C15,0))+1))/((L139-1)*(1-_xlfn.XLOOKUP(K139,'Fevereiro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Real'!C3:C15,0))+1))/((L139-1)*(1-_xlfn.XLOOKUP(K139,'Fevereiro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Real'!C3:C15,0))+1))/((L140-1)*(1-_xlfn.XLOOKUP(K140,'Fevereiro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Real'!C3:C15,0))+1))/((L141-1)*(1-_xlfn.XLOOKUP(K141,'Fevereiro 2023 - Valor Real'!A3:A15,'Fevereiro 2023 - Valor Real'!C3:C15,0))+1)),IF(I139="Lay",IF(I140="Lay",((L140/(L140-1)-1)*(1-_xlfn.XLOOKUP(K140,'Fevereiro 2023 - Valor Real'!A3:A15,'Fevereiro 2023 - Valor Real'!C3:C15,0))+1)/(((L140/(L140-1)-1)*(1-_xlfn.XLOOKUP(K140,'Fevereiro 2023 - Valor Real'!A3:A15,'Fevereiro 2023 - Valor Real'!C3:C15,0))+1)+((L139/(L139-1)-1)*(1-_xlfn.XLOOKUP(K139,'Fevereiro 2023 - Valor Real'!A3:A15,'Fevereiro 2023 - Valor Real'!C3:C15,0))+1)),((L140-1)*(1-_xlfn.XLOOKUP(K140,'Fevereiro 2023 - Valor Real'!A3:A15,'Fevereiro 2023 - Valor Real'!C3:C15,0))+1)/(((L140-1)*(1-_xlfn.XLOOKUP(K140,'Fevereiro 2023 - Valor Real'!A3:A15,'Fevereiro 2023 - Valor Real'!C3:C15,0))+1)+((L139/(L139-1)-1)*(1-_xlfn.XLOOKUP(K139,'Fevereiro 2023 - Valor Real'!A3:A15,'Fevereiro 2023 - Valor Real'!C3:C15,0))+1))),IF(I140="Lay",(((L140/(L140-1)-1)*(1-_xlfn.XLOOKUP(K140,'Fevereiro 2023 - Valor Real'!A3:A15,'Fevereiro 2023 - Valor Real'!C3:C15,0))+1))/(((L139-1)*(1-_xlfn.XLOOKUP(K139,'Fevereiro 2023 - Valor Real'!A3:A15,'Fevereiro 2023 - Valor Real'!C3:C15,0))+1)+((L140/(L140-1)-1)*(1-_xlfn.XLOOKUP(K140,'Fevereiro 2023 - Valor Real'!A3:A15,'Fevereiro 2023 - Valor Real'!C3:C15,0))+1)),((L140-1)*(1-_xlfn.XLOOKUP(K140,'Fevereiro 2023 - Valor Real'!A3:A15,'Fevereiro 2023 - Valor Real'!C3:C15,0))+1)/(((L140-1)*(1-_xlfn.XLOOKUP(K140,'Fevereiro 2023 - Valor Real'!A3:A15,'Fevereiro 2023 - Valor Real'!C3:C15,0))+1)+((L139-1)*(1-_xlfn.XLOOKUP(K139,'Fevereiro 2023 - Valor Real'!A3:A15,'Fevereiro 2023 - Valor Real'!C3:C15,0))+1))))))</f>
        <v>0.67991631799163177</v>
      </c>
      <c r="AF139" s="105">
        <f t="shared" si="290"/>
        <v>0</v>
      </c>
      <c r="AG139" s="106">
        <f t="shared" si="290"/>
        <v>0</v>
      </c>
      <c r="AH139" s="106">
        <f t="shared" si="290"/>
        <v>0</v>
      </c>
      <c r="AI139" s="106">
        <f t="shared" si="290"/>
        <v>0</v>
      </c>
      <c r="AJ139" s="106">
        <f t="shared" si="290"/>
        <v>-84.81</v>
      </c>
      <c r="AK139" s="106">
        <f t="shared" si="290"/>
        <v>0</v>
      </c>
      <c r="AL139" s="106">
        <f t="shared" si="290"/>
        <v>0</v>
      </c>
      <c r="AM139" s="106">
        <f t="shared" si="290"/>
        <v>0</v>
      </c>
      <c r="AN139" s="106">
        <f t="shared" si="290"/>
        <v>0</v>
      </c>
      <c r="AO139" s="106">
        <f t="shared" si="290"/>
        <v>0</v>
      </c>
      <c r="AP139" s="106">
        <f t="shared" si="290"/>
        <v>0</v>
      </c>
      <c r="AQ139" s="106">
        <f t="shared" si="290"/>
        <v>0</v>
      </c>
      <c r="AR139" s="107">
        <f t="shared" si="290"/>
        <v>0</v>
      </c>
      <c r="AS139" s="105">
        <f t="shared" ref="AS139:BE139" si="298">IF(AND($B139=" ",$K139=AS$3),$O139,0)</f>
        <v>0</v>
      </c>
      <c r="AT139" s="106">
        <f t="shared" si="298"/>
        <v>0</v>
      </c>
      <c r="AU139" s="106">
        <f t="shared" si="298"/>
        <v>0</v>
      </c>
      <c r="AV139" s="106">
        <f t="shared" si="298"/>
        <v>0</v>
      </c>
      <c r="AW139" s="106">
        <f t="shared" si="298"/>
        <v>0</v>
      </c>
      <c r="AX139" s="106">
        <f t="shared" si="298"/>
        <v>0</v>
      </c>
      <c r="AY139" s="108">
        <f t="shared" si="298"/>
        <v>0</v>
      </c>
      <c r="AZ139" s="109">
        <f t="shared" si="298"/>
        <v>0</v>
      </c>
      <c r="BA139" s="109">
        <f t="shared" si="298"/>
        <v>0</v>
      </c>
      <c r="BB139" s="109">
        <f t="shared" si="298"/>
        <v>0</v>
      </c>
      <c r="BC139" s="110">
        <f t="shared" si="298"/>
        <v>0</v>
      </c>
      <c r="BD139" s="106">
        <f t="shared" si="298"/>
        <v>0</v>
      </c>
      <c r="BE139" s="107">
        <f t="shared" si="298"/>
        <v>0</v>
      </c>
      <c r="BF139" s="111">
        <f t="shared" si="292"/>
        <v>0</v>
      </c>
      <c r="BG139" s="106">
        <f t="shared" si="292"/>
        <v>0</v>
      </c>
      <c r="BH139" s="106">
        <f t="shared" si="292"/>
        <v>0</v>
      </c>
      <c r="BI139" s="106">
        <f t="shared" si="292"/>
        <v>0</v>
      </c>
      <c r="BJ139" s="106">
        <f t="shared" si="292"/>
        <v>84.81</v>
      </c>
      <c r="BK139" s="106">
        <f t="shared" si="292"/>
        <v>0</v>
      </c>
      <c r="BL139" s="106">
        <f t="shared" si="292"/>
        <v>0</v>
      </c>
      <c r="BM139" s="108">
        <f t="shared" si="292"/>
        <v>0</v>
      </c>
      <c r="BN139" s="109">
        <f t="shared" si="292"/>
        <v>0</v>
      </c>
      <c r="BO139" s="109">
        <f t="shared" si="292"/>
        <v>0</v>
      </c>
      <c r="BP139" s="109">
        <f t="shared" si="292"/>
        <v>0</v>
      </c>
      <c r="BQ139" s="110">
        <f t="shared" si="292"/>
        <v>0</v>
      </c>
      <c r="BR139" s="107">
        <f t="shared" si="292"/>
        <v>0</v>
      </c>
      <c r="BS139" s="463">
        <f>IF($B139="LOSS",IF(AND($K139=BS$3,$C139="L"),-$O139,0)+IF(AND($K140=BS$3,$C140="L"),-$O140,0)+IF(AND($K141=BS$3,$C141="L"),-$O141,0),IF(OR(AND($K139=BS$3,OR($C139="W",$C139="1/2W")),AND($K140=BS$3,OR($C140="W",$C140="1/2W")),AND($K141=BS$3,OR($C141="W",$C141="1/2W"))),$S139,0))</f>
        <v>0</v>
      </c>
      <c r="BT139" s="462">
        <f>IF($B139="LOSS",IF(AND($K139=BT$3,$C139="L"),-$O139,0)+IF(AND($K140=BT$3,$C140="L"),-$O140,0)+IF(AND($K140=BT$3,$C141="L"),-$O141,0),IF(OR(AND($K140=BT$3,OR($C139="W",$C139="1/2W")),AND($K140=BT$3,OR($C140="W",$C140="1/2W")),AND($K140=BT$3,OR($C141="W",$C141="1/2W"))),$S139,0))</f>
        <v>0</v>
      </c>
      <c r="BU139" s="462">
        <f>IF($B139="LOSS",IF(AND($K139=BU$3,$C139="L"),-$O139,0)+IF(AND($K140=BU$3,$C140="L"),-$O140,0)+IF(AND($K140=BU$3,$C141="L"),-$O141,0),IF(OR(AND($K140=BU$3,OR($C139="W",$C139="1/2W")),AND($K140=BU$3,OR($C140="W",$C140="1/2W")),AND($K140=BU$3,OR($C141="W",$C141="1/2W"))),$S139,0))</f>
        <v>0</v>
      </c>
      <c r="BV139" s="462">
        <f t="shared" ref="BV139:CE139" si="299">IF($B139="LOSS",IF(AND($K139=BV$3,$C139="L"),-$O139,0)+IF(AND($K140=BV$3,$C140="L"),-$O140,0)+IF(AND($K141=BV$3,$C141="L"),-$O141,0),IF(OR(AND($K139=BV$3,OR($C139="W",$C139="1/2W")),AND($K140=BV$3,OR($C140="W",$C140="1/2W")),AND($K141=BV$3,OR($C141="W",$C141="1/2W"))),$S139,0))</f>
        <v>0</v>
      </c>
      <c r="BW139" s="462">
        <f t="shared" si="299"/>
        <v>0</v>
      </c>
      <c r="BX139" s="462">
        <f t="shared" si="299"/>
        <v>0</v>
      </c>
      <c r="BY139" s="462">
        <f t="shared" si="299"/>
        <v>0</v>
      </c>
      <c r="BZ139" s="460">
        <f t="shared" si="299"/>
        <v>0</v>
      </c>
      <c r="CA139" s="460">
        <f t="shared" si="299"/>
        <v>0</v>
      </c>
      <c r="CB139" s="460">
        <f t="shared" si="299"/>
        <v>0</v>
      </c>
      <c r="CC139" s="460">
        <f t="shared" si="299"/>
        <v>0</v>
      </c>
      <c r="CD139" s="473">
        <f t="shared" si="299"/>
        <v>4.96</v>
      </c>
      <c r="CE139" s="479">
        <f t="shared" si="299"/>
        <v>0</v>
      </c>
      <c r="CF139" s="113">
        <f t="shared" si="258"/>
        <v>0</v>
      </c>
      <c r="CG139" s="114">
        <f t="shared" si="259"/>
        <v>0</v>
      </c>
      <c r="CH139" s="114">
        <f t="shared" si="260"/>
        <v>0</v>
      </c>
      <c r="CI139" s="114">
        <f t="shared" si="261"/>
        <v>0</v>
      </c>
      <c r="CJ139" s="114">
        <f t="shared" si="262"/>
        <v>0</v>
      </c>
      <c r="CK139" s="114">
        <f t="shared" si="263"/>
        <v>0</v>
      </c>
      <c r="CL139" s="114">
        <f t="shared" si="264"/>
        <v>0</v>
      </c>
      <c r="CM139" s="114">
        <f t="shared" si="265"/>
        <v>0</v>
      </c>
      <c r="CN139" s="114">
        <f t="shared" si="266"/>
        <v>0</v>
      </c>
      <c r="CO139" s="114">
        <f t="shared" si="267"/>
        <v>1</v>
      </c>
      <c r="CP139" s="114">
        <f t="shared" si="268"/>
        <v>0</v>
      </c>
      <c r="CQ139" s="114">
        <f t="shared" si="269"/>
        <v>0</v>
      </c>
      <c r="CR139" s="114">
        <f t="shared" si="270"/>
        <v>0</v>
      </c>
      <c r="CS139" s="114">
        <f t="shared" si="271"/>
        <v>0</v>
      </c>
      <c r="CT139" s="115">
        <f t="shared" si="272"/>
        <v>0</v>
      </c>
      <c r="CU139" s="116">
        <f t="shared" si="273"/>
        <v>0</v>
      </c>
      <c r="CV139" s="116">
        <f t="shared" si="274"/>
        <v>0</v>
      </c>
      <c r="CW139" s="116">
        <f t="shared" si="275"/>
        <v>0</v>
      </c>
      <c r="CX139" s="116">
        <f t="shared" si="276"/>
        <v>0</v>
      </c>
      <c r="CY139" s="116">
        <f t="shared" si="277"/>
        <v>0</v>
      </c>
      <c r="CZ139" s="116">
        <f t="shared" si="278"/>
        <v>0</v>
      </c>
      <c r="DA139" s="116">
        <f t="shared" si="279"/>
        <v>0</v>
      </c>
      <c r="DB139" s="116">
        <f t="shared" si="280"/>
        <v>0</v>
      </c>
      <c r="DC139" s="116">
        <f t="shared" si="281"/>
        <v>0</v>
      </c>
      <c r="DD139" s="116">
        <f t="shared" si="282"/>
        <v>0</v>
      </c>
      <c r="DE139" s="117">
        <f t="shared" si="283"/>
        <v>0</v>
      </c>
      <c r="DF139" s="118">
        <f t="shared" si="286"/>
        <v>12</v>
      </c>
      <c r="DG139" s="106">
        <f t="shared" si="287"/>
        <v>15.760000000000002</v>
      </c>
      <c r="DH139" s="116">
        <f t="shared" si="288"/>
        <v>1</v>
      </c>
      <c r="DI139" s="106">
        <f t="shared" si="289"/>
        <v>3.9</v>
      </c>
      <c r="DJ139" s="201" t="str">
        <f>IF($D139="","",$D139)</f>
        <v>3</v>
      </c>
      <c r="DK139" s="465">
        <f>IF(AND($B139=" ",$D139&lt;&gt;""),1,0)</f>
        <v>0</v>
      </c>
    </row>
    <row r="140" spans="1:115" ht="14.5" customHeight="1" x14ac:dyDescent="0.2">
      <c r="A140" s="389"/>
      <c r="B140" s="456"/>
      <c r="C140" s="120" t="s">
        <v>54</v>
      </c>
      <c r="D140" s="374"/>
      <c r="E140" s="386"/>
      <c r="F140" s="377"/>
      <c r="G140" s="483"/>
      <c r="H140" s="476"/>
      <c r="I140" s="178">
        <v>2</v>
      </c>
      <c r="J140" s="179" t="str">
        <f>IF(OR(I139="TO",I139="TU",I139="TO1",I139="TU1",I139="TO2",I139="TU2"),J139,IF(OR(I139="AH1",I139="AH2"),IF(OR(I140="AH1",I140="AH2"),-J139,IF(OR(I140="EH1",I140="EH2"),-J139+0.5,"")),IF(OR(I139="EH1",I139="EH2"),IF(OR(I140="AH1",I140="AH2"),-J139+0.5,IF(OR(I140="EH1",I140="EH2"),-J139+1,"")),IF(AND(OR(I139="DNB1",I139="DNB2"),OR(I140="AH1",I140="AH2")),0,IF(AND(I139="Not ScoreBoth",OR(I140="TO1",I140="TO2")),0.5,"")))))</f>
        <v/>
      </c>
      <c r="K140" s="123" t="s">
        <v>47</v>
      </c>
      <c r="L140" s="124">
        <v>3.25</v>
      </c>
      <c r="M140" s="125"/>
      <c r="N140" s="406"/>
      <c r="O140" s="126">
        <f>IF(OR(AE139="",AE140=""),"",ROUND(IF(L141&gt;0,IF(M140&gt;0,M140,IF(M139&gt;0,IF(N139=TRUE,ROUND((M139*AE140)/AE139,0),(M139*AE140)/AE139),IF(M140&gt;0,ROUND(M140,IF(N139=0,2,IF(N139=0.1,1,0))),IF(M141&gt;0,ROUND(O141*AE140/AE141,IF(N139=0,2,IF(N139=0.1,1,0))),0)))),IF(M140&gt;0,M140,ROUND((M139*AE140)/AE139,IF(N139=0,2,IF(N139=0.1,1,0))))),2))</f>
        <v>39.9</v>
      </c>
      <c r="P140" s="127">
        <f>IF(OR(L140="",O140=""),"",IF($C140="1/2W",O140/2+O140/2*L140,IF($C140="1/2L",O140/2,IF(I140="Lay",((O140*(L140/(L140-1)))-O140)*(1-_xlfn.XLOOKUP(K140,'Fevereiro 2023 - Valor Real'!A3:A15,'Fevereiro 2023 - Valor Real'!C3:C15,0))+O140,(O140*L140-O140)*(1-_xlfn.XLOOKUP(K140,'Fevereiro 2023 - Valor Real'!A3:A15,'Fevereiro 2023 - Valor Real'!C3:C15,0))+O140))))</f>
        <v>129.67499999999998</v>
      </c>
      <c r="Q140" s="128">
        <f>IF(K140="","",IF(_xlfn.XLOOKUP(K140,K$4:K139,$DJ$4:DJ139,0,,-1)=DJ140,_xlfn.XLOOKUP(K140,K$4:K139,Q$4:Q139,1,,-1)+1,1))</f>
        <v>1</v>
      </c>
      <c r="R140" s="129">
        <f>IF(K140="","",_xlfn.XLOOKUP(K140,K$4:K139,R$4:R139,0,,-1)+IF($C140=" ",1,0))</f>
        <v>0</v>
      </c>
      <c r="S140" s="403"/>
      <c r="T140" s="380"/>
      <c r="U140" s="380"/>
      <c r="V140" s="481"/>
      <c r="W140" s="380"/>
      <c r="X140" s="452"/>
      <c r="Y140" s="383"/>
      <c r="Z140" s="384"/>
      <c r="AA140" s="384"/>
      <c r="AB140" s="384"/>
      <c r="AC140" s="384"/>
      <c r="AD140" s="130">
        <f>(((L140/(L140-1)-1)*(1-_xlfn.XLOOKUP(K140,'Fevereiro 2023 - Valor Real'!A3:A15,'Fevereiro 2023 - Valor Real'!C3:C15,0))+1))</f>
        <v>1.4444444444444444</v>
      </c>
      <c r="AE140" s="131">
        <f>IF(L140="","",IF(L141&gt;0,(SUM(((L139-1)*(1-_xlfn.XLOOKUP(K139,'Fevereiro 2023 - Valor Real'!A3:A15,'Fevereiro 2023 - Valor Real'!C3:C15,0))+1),((L140-1)*(1-_xlfn.XLOOKUP(K140,'Fevereiro 2023 - Valor Real'!A3:A15,'Fevereiro 2023 - Valor Real'!C3:C15,0))+1),((L141-1)*(1-_xlfn.XLOOKUP(K141,'Fevereiro 2023 - Valor Real'!A3:A15,'Fevereiro 2023 - Valor Real'!C3:C15,0))+1))/((L140-1)*(1-_xlfn.XLOOKUP(K140,'Fevereiro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Real'!C3:C15,0))+1))/((L139-1)*(1-_xlfn.XLOOKUP(K139,'Fevereiro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Real'!C3:C15,0))+1))/((L140-1)*(1-_xlfn.XLOOKUP(K140,'Fevereiro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Real'!C3:C15,0))+1))/((L141-1)*(1-_xlfn.XLOOKUP(K141,'Fevereiro 2023 - Valor Real'!A3:A15,'Fevereiro 2023 - Valor Real'!C3:C15,0))+1)),IF(I140="Lay",IF(I139="Lay",((L139/(L139-1)-1)*(1-_xlfn.XLOOKUP(K139,'Fevereiro 2023 - Valor Real'!A3:A15,'Fevereiro 2023 - Valor Real'!C3:C15,0))+1)/(((L139/(L139-1)-1)*(1-_xlfn.XLOOKUP(K139,'Fevereiro 2023 - Valor Real'!A3:A15,'Fevereiro 2023 - Valor Real'!C3:C15,0))+1)+((L140/(L140-1)-1)*(1-_xlfn.XLOOKUP(K140,'Fevereiro 2023 - Valor Real'!A3:A15,'Fevereiro 2023 - Valor Real'!C3:C15,0))+1)),((L139-1)*(1-_xlfn.XLOOKUP(K139,'Fevereiro 2023 - Valor Real'!A3:A15,'Fevereiro 2023 - Valor Real'!C3:C15,0))+1)/(((L139-1)*(1-_xlfn.XLOOKUP(K139,'Fevereiro 2023 - Valor Real'!A3:A15,'Fevereiro 2023 - Valor Real'!C3:C15,0))+1)+((L140/(L140-1)-1)*(1-_xlfn.XLOOKUP(K140,'Fevereiro 2023 - Valor Real'!A3:A15,'Fevereiro 2023 - Valor Real'!C3:C15,0))+1))),IF(I139="Lay",((L139/(L139-1)-1)*(1-_xlfn.XLOOKUP(K139,'Fevereiro 2023 - Valor Real'!A3:A15,'Fevereiro 2023 - Valor Real'!C3:C15,0))+1)/((((L139/(L139-1)-1)*(1-_xlfn.XLOOKUP(K139,'Fevereiro 2023 - Valor Real'!A3:A15,'Fevereiro 2023 - Valor Real'!C3:C15,0))+1))+((L140-1)*(1-_xlfn.XLOOKUP(K140,'Fevereiro 2023 - Valor Real'!A3:A15,'Fevereiro 2023 - Valor Real'!C3:C15,0))+1)),((L139-1)*(1-_xlfn.XLOOKUP(K139,'Fevereiro 2023 - Valor Real'!A3:A15,'Fevereiro 2023 - Valor Real'!C3:C15,0))+1)/(((L139-1)*(1-_xlfn.XLOOKUP(K139,'Fevereiro 2023 - Valor Real'!A3:A15,'Fevereiro 2023 - Valor Real'!C3:C15,0))+1)+((L140-1)*(1-_xlfn.XLOOKUP(K140,'Fevereiro 2023 - Valor Real'!A3:A15,'Fevereiro 2023 - Valor Real'!C3:C15,0))+1))))))</f>
        <v>0.32008368200836818</v>
      </c>
      <c r="AF140" s="105">
        <f t="shared" si="290"/>
        <v>0</v>
      </c>
      <c r="AG140" s="106">
        <f t="shared" si="290"/>
        <v>0</v>
      </c>
      <c r="AH140" s="106">
        <f t="shared" si="290"/>
        <v>0</v>
      </c>
      <c r="AI140" s="106">
        <f t="shared" si="290"/>
        <v>0</v>
      </c>
      <c r="AJ140" s="106">
        <f t="shared" si="290"/>
        <v>0</v>
      </c>
      <c r="AK140" s="106">
        <f t="shared" si="290"/>
        <v>0</v>
      </c>
      <c r="AL140" s="106">
        <f t="shared" si="290"/>
        <v>0</v>
      </c>
      <c r="AM140" s="106">
        <f t="shared" si="290"/>
        <v>0</v>
      </c>
      <c r="AN140" s="106">
        <f t="shared" si="290"/>
        <v>0</v>
      </c>
      <c r="AO140" s="106">
        <f t="shared" si="290"/>
        <v>0</v>
      </c>
      <c r="AP140" s="106">
        <f t="shared" si="290"/>
        <v>0</v>
      </c>
      <c r="AQ140" s="106">
        <f t="shared" si="290"/>
        <v>89.78</v>
      </c>
      <c r="AR140" s="107">
        <f t="shared" si="290"/>
        <v>0</v>
      </c>
      <c r="AS140" s="105">
        <f>IF(AND($B139=" ",$K140=AS$3),$O140,0)</f>
        <v>0</v>
      </c>
      <c r="AT140" s="106">
        <f>IF(AND($B139=" ",K140=AT$3),$O140,0)</f>
        <v>0</v>
      </c>
      <c r="AU140" s="106">
        <f t="shared" ref="AU140:BE140" si="300">IF(AND($B139=" ",$K140=AU$3),$O140,0)</f>
        <v>0</v>
      </c>
      <c r="AV140" s="106">
        <f t="shared" si="300"/>
        <v>0</v>
      </c>
      <c r="AW140" s="106">
        <f t="shared" si="300"/>
        <v>0</v>
      </c>
      <c r="AX140" s="106">
        <f t="shared" si="300"/>
        <v>0</v>
      </c>
      <c r="AY140" s="108">
        <f t="shared" si="300"/>
        <v>0</v>
      </c>
      <c r="AZ140" s="109">
        <f t="shared" si="300"/>
        <v>0</v>
      </c>
      <c r="BA140" s="109">
        <f t="shared" si="300"/>
        <v>0</v>
      </c>
      <c r="BB140" s="109">
        <f t="shared" si="300"/>
        <v>0</v>
      </c>
      <c r="BC140" s="110">
        <f t="shared" si="300"/>
        <v>0</v>
      </c>
      <c r="BD140" s="106">
        <f t="shared" si="300"/>
        <v>0</v>
      </c>
      <c r="BE140" s="107">
        <f t="shared" si="300"/>
        <v>0</v>
      </c>
      <c r="BF140" s="105">
        <f t="shared" si="292"/>
        <v>0</v>
      </c>
      <c r="BG140" s="106">
        <f t="shared" si="292"/>
        <v>0</v>
      </c>
      <c r="BH140" s="106">
        <f t="shared" si="292"/>
        <v>0</v>
      </c>
      <c r="BI140" s="106">
        <f t="shared" si="292"/>
        <v>0</v>
      </c>
      <c r="BJ140" s="106">
        <f t="shared" si="292"/>
        <v>0</v>
      </c>
      <c r="BK140" s="106">
        <f t="shared" si="292"/>
        <v>0</v>
      </c>
      <c r="BL140" s="106">
        <f t="shared" si="292"/>
        <v>0</v>
      </c>
      <c r="BM140" s="132">
        <f t="shared" si="292"/>
        <v>0</v>
      </c>
      <c r="BN140" s="112">
        <f t="shared" si="292"/>
        <v>0</v>
      </c>
      <c r="BO140" s="112">
        <f t="shared" si="292"/>
        <v>0</v>
      </c>
      <c r="BP140" s="112">
        <f t="shared" si="292"/>
        <v>0</v>
      </c>
      <c r="BQ140" s="110">
        <f t="shared" si="292"/>
        <v>39.9</v>
      </c>
      <c r="BR140" s="107">
        <f t="shared" si="292"/>
        <v>0</v>
      </c>
      <c r="BS140" s="464"/>
      <c r="BT140" s="461"/>
      <c r="BU140" s="392"/>
      <c r="BV140" s="461"/>
      <c r="BW140" s="392"/>
      <c r="BX140" s="392"/>
      <c r="BY140" s="392"/>
      <c r="BZ140" s="461"/>
      <c r="CA140" s="392"/>
      <c r="CB140" s="392"/>
      <c r="CC140" s="392"/>
      <c r="CD140" s="401"/>
      <c r="CE140" s="409"/>
      <c r="CF140" s="133">
        <f t="shared" si="258"/>
        <v>0</v>
      </c>
      <c r="CG140" s="134">
        <f t="shared" si="259"/>
        <v>0</v>
      </c>
      <c r="CH140" s="134">
        <f t="shared" si="260"/>
        <v>0</v>
      </c>
      <c r="CI140" s="134">
        <f t="shared" si="261"/>
        <v>0</v>
      </c>
      <c r="CJ140" s="134">
        <f t="shared" si="262"/>
        <v>0</v>
      </c>
      <c r="CK140" s="134">
        <f t="shared" si="263"/>
        <v>0</v>
      </c>
      <c r="CL140" s="134">
        <f t="shared" si="264"/>
        <v>0</v>
      </c>
      <c r="CM140" s="134">
        <f t="shared" si="265"/>
        <v>0</v>
      </c>
      <c r="CN140" s="134">
        <f t="shared" si="266"/>
        <v>0</v>
      </c>
      <c r="CO140" s="134">
        <f t="shared" si="267"/>
        <v>0</v>
      </c>
      <c r="CP140" s="134">
        <f t="shared" si="268"/>
        <v>0</v>
      </c>
      <c r="CQ140" s="134">
        <f t="shared" si="269"/>
        <v>0</v>
      </c>
      <c r="CR140" s="134">
        <f t="shared" si="270"/>
        <v>0</v>
      </c>
      <c r="CS140" s="134">
        <f t="shared" si="271"/>
        <v>0</v>
      </c>
      <c r="CT140" s="115">
        <f t="shared" si="272"/>
        <v>0</v>
      </c>
      <c r="CU140" s="116">
        <f t="shared" si="273"/>
        <v>0</v>
      </c>
      <c r="CV140" s="116">
        <f t="shared" si="274"/>
        <v>0</v>
      </c>
      <c r="CW140" s="116">
        <f t="shared" si="275"/>
        <v>0</v>
      </c>
      <c r="CX140" s="116">
        <f t="shared" si="276"/>
        <v>0</v>
      </c>
      <c r="CY140" s="116">
        <f t="shared" si="277"/>
        <v>0</v>
      </c>
      <c r="CZ140" s="116">
        <f t="shared" si="278"/>
        <v>0</v>
      </c>
      <c r="DA140" s="116">
        <f t="shared" si="279"/>
        <v>0</v>
      </c>
      <c r="DB140" s="116">
        <f t="shared" si="280"/>
        <v>1</v>
      </c>
      <c r="DC140" s="116">
        <f t="shared" si="281"/>
        <v>0</v>
      </c>
      <c r="DD140" s="116">
        <f t="shared" si="282"/>
        <v>0</v>
      </c>
      <c r="DE140" s="117">
        <f t="shared" si="283"/>
        <v>0</v>
      </c>
      <c r="DF140" s="118">
        <f t="shared" si="286"/>
        <v>12</v>
      </c>
      <c r="DG140" s="106">
        <f t="shared" si="287"/>
        <v>15.760000000000002</v>
      </c>
      <c r="DH140" s="116">
        <f t="shared" si="288"/>
        <v>1</v>
      </c>
      <c r="DI140" s="106">
        <f t="shared" si="289"/>
        <v>3.9</v>
      </c>
      <c r="DJ140" s="201" t="str">
        <f>IF($D139="","",$D139)</f>
        <v>3</v>
      </c>
      <c r="DK140" s="466"/>
    </row>
    <row r="141" spans="1:115" ht="14.5" customHeight="1" x14ac:dyDescent="0.2">
      <c r="A141" s="390"/>
      <c r="B141" s="457"/>
      <c r="C141" s="135" t="s">
        <v>53</v>
      </c>
      <c r="D141" s="375"/>
      <c r="E141" s="387"/>
      <c r="F141" s="378"/>
      <c r="G141" s="484"/>
      <c r="H141" s="477"/>
      <c r="I141" s="136"/>
      <c r="J141" s="137"/>
      <c r="K141" s="138"/>
      <c r="L141" s="139"/>
      <c r="M141" s="140"/>
      <c r="N141" s="407"/>
      <c r="O141" s="141" t="str">
        <f>IF(OR(AE139="",AE140=""),"",IF(L141&gt;0,ROUND(IF(M141&gt;0,M141,IF(M139&gt;0,ROUND((M139*AE141)/AE139,IF(N139=0,2,IF(N139=0.1,1,0))),IF(M140&gt;0,ROUND((M140*AE141)/AE140,IF(N139=0,2,IF(N139=0.1,1,0))),IF(M141&gt;0,M141,0)))),2),""))</f>
        <v/>
      </c>
      <c r="P141" s="142" t="str">
        <f>IF(I140="Lay",O140*(L140/(L140-1))-O140,IF(I139="Lay",O139*(L139/(L139-1))-O139,IF(OR(L141="",O141=""),"",IF($C141="1/2W",O141/2+O141/2*L141,IF($C141="1/2L",O141/2,(O141*L141-O141)*(1-_xlfn.XLOOKUP(K141,'Fevereiro 2023 - Valor Real'!A3:A15,'Fevereiro 2023 - Valor Real'!C3:C15,0))+O141)))))</f>
        <v/>
      </c>
      <c r="Q141" s="143" t="str">
        <f>IF(K141="","",IF(_xlfn.XLOOKUP(K141,K$4:K140,$DJ$4:DJ140,0,,-1)=DJ141,_xlfn.XLOOKUP(K141,K$4:K140,Q$4:Q140,1,,-1)+1,1))</f>
        <v/>
      </c>
      <c r="R141" s="144" t="str">
        <f>IF(K141="","",_xlfn.XLOOKUP(K141,K$4:K140,R$4:R140,0,,-1)+IF($C141=" ",1,0))</f>
        <v/>
      </c>
      <c r="S141" s="404"/>
      <c r="T141" s="378"/>
      <c r="U141" s="378"/>
      <c r="V141" s="404"/>
      <c r="W141" s="378"/>
      <c r="X141" s="453"/>
      <c r="Y141" s="383"/>
      <c r="Z141" s="384"/>
      <c r="AA141" s="384"/>
      <c r="AB141" s="384"/>
      <c r="AC141" s="384"/>
      <c r="AD141" s="145">
        <f>((L140/(L140-1)-1))</f>
        <v>0.44444444444444442</v>
      </c>
      <c r="AE141" s="146" t="str">
        <f>IF(L141="","",(SUM(((L139-1)*(1-_xlfn.XLOOKUP(K139,'Fevereiro 2023 - Valor Real'!A3:A15,'Fevereiro 2023 - Valor Real'!C3:C15,0))+1),((L140-1)*(1-_xlfn.XLOOKUP(K140,'Fevereiro 2023 - Valor Real'!A3:A15,'Fevereiro 2023 - Valor Real'!C3:C15,0))+1),((L141-1)*(1-_xlfn.XLOOKUP(K141,'Fevereiro 2023 - Valor Real'!A3:A15,'Fevereiro 2023 - Valor Real'!C3:C15,0))+1))/((L141-1)*(1-_xlfn.XLOOKUP(K141,'Fevereiro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Real'!C3:C15,0))+1))/((L139-1)*(1-_xlfn.XLOOKUP(K139,'Fevereiro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Real'!C3:C15,0))+1))/((L140-1)*(1-_xlfn.XLOOKUP(K140,'Fevereiro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Real'!C3:C15,0))+1))/((L141-1)*(1-_xlfn.XLOOKUP(K141,'Fevereiro 2023 - Valor Real'!A3:A15,'Fevereiro 2023 - Valor Real'!C3:C15,0))+1)))</f>
        <v/>
      </c>
      <c r="AF141" s="105">
        <f t="shared" si="290"/>
        <v>0</v>
      </c>
      <c r="AG141" s="106">
        <f t="shared" si="290"/>
        <v>0</v>
      </c>
      <c r="AH141" s="106">
        <f t="shared" si="290"/>
        <v>0</v>
      </c>
      <c r="AI141" s="106">
        <f t="shared" si="290"/>
        <v>0</v>
      </c>
      <c r="AJ141" s="106">
        <f t="shared" si="290"/>
        <v>0</v>
      </c>
      <c r="AK141" s="106">
        <f t="shared" si="290"/>
        <v>0</v>
      </c>
      <c r="AL141" s="106">
        <f t="shared" si="290"/>
        <v>0</v>
      </c>
      <c r="AM141" s="106">
        <f t="shared" si="290"/>
        <v>0</v>
      </c>
      <c r="AN141" s="106">
        <f t="shared" si="290"/>
        <v>0</v>
      </c>
      <c r="AO141" s="106">
        <f t="shared" si="290"/>
        <v>0</v>
      </c>
      <c r="AP141" s="106">
        <f t="shared" si="290"/>
        <v>0</v>
      </c>
      <c r="AQ141" s="106">
        <f t="shared" si="290"/>
        <v>0</v>
      </c>
      <c r="AR141" s="107">
        <f t="shared" si="290"/>
        <v>0</v>
      </c>
      <c r="AS141" s="105">
        <f>IF(AND($B139=" ",$K141=AS$3),$O141,0)</f>
        <v>0</v>
      </c>
      <c r="AT141" s="106">
        <f>IF(AND($B139=" ",K141=AT$3),$O141,0)</f>
        <v>0</v>
      </c>
      <c r="AU141" s="106">
        <f t="shared" ref="AU141:BE141" si="301">IF(AND($B139=" ",$K141=AU$3),$O141,0)</f>
        <v>0</v>
      </c>
      <c r="AV141" s="106">
        <f t="shared" si="301"/>
        <v>0</v>
      </c>
      <c r="AW141" s="106">
        <f t="shared" si="301"/>
        <v>0</v>
      </c>
      <c r="AX141" s="106">
        <f t="shared" si="301"/>
        <v>0</v>
      </c>
      <c r="AY141" s="108">
        <f t="shared" si="301"/>
        <v>0</v>
      </c>
      <c r="AZ141" s="109">
        <f t="shared" si="301"/>
        <v>0</v>
      </c>
      <c r="BA141" s="109">
        <f t="shared" si="301"/>
        <v>0</v>
      </c>
      <c r="BB141" s="109">
        <f t="shared" si="301"/>
        <v>0</v>
      </c>
      <c r="BC141" s="110">
        <f t="shared" si="301"/>
        <v>0</v>
      </c>
      <c r="BD141" s="106">
        <f t="shared" si="301"/>
        <v>0</v>
      </c>
      <c r="BE141" s="107">
        <f t="shared" si="301"/>
        <v>0</v>
      </c>
      <c r="BF141" s="105">
        <f t="shared" si="292"/>
        <v>0</v>
      </c>
      <c r="BG141" s="106">
        <f t="shared" si="292"/>
        <v>0</v>
      </c>
      <c r="BH141" s="106">
        <f t="shared" si="292"/>
        <v>0</v>
      </c>
      <c r="BI141" s="106">
        <f t="shared" si="292"/>
        <v>0</v>
      </c>
      <c r="BJ141" s="106">
        <f t="shared" si="292"/>
        <v>0</v>
      </c>
      <c r="BK141" s="106">
        <f t="shared" si="292"/>
        <v>0</v>
      </c>
      <c r="BL141" s="106">
        <f t="shared" si="292"/>
        <v>0</v>
      </c>
      <c r="BM141" s="108">
        <f t="shared" si="292"/>
        <v>0</v>
      </c>
      <c r="BN141" s="109">
        <f t="shared" si="292"/>
        <v>0</v>
      </c>
      <c r="BO141" s="109">
        <f t="shared" si="292"/>
        <v>0</v>
      </c>
      <c r="BP141" s="109">
        <f t="shared" si="292"/>
        <v>0</v>
      </c>
      <c r="BQ141" s="110">
        <f t="shared" si="292"/>
        <v>0</v>
      </c>
      <c r="BR141" s="107">
        <f t="shared" si="292"/>
        <v>0</v>
      </c>
      <c r="BS141" s="464"/>
      <c r="BT141" s="461"/>
      <c r="BU141" s="392"/>
      <c r="BV141" s="461"/>
      <c r="BW141" s="392"/>
      <c r="BX141" s="392"/>
      <c r="BY141" s="392"/>
      <c r="BZ141" s="461"/>
      <c r="CA141" s="392"/>
      <c r="CB141" s="392"/>
      <c r="CC141" s="392"/>
      <c r="CD141" s="401"/>
      <c r="CE141" s="409"/>
      <c r="CF141" s="133">
        <f t="shared" si="258"/>
        <v>0</v>
      </c>
      <c r="CG141" s="134">
        <f t="shared" si="259"/>
        <v>0</v>
      </c>
      <c r="CH141" s="134">
        <f t="shared" si="260"/>
        <v>0</v>
      </c>
      <c r="CI141" s="134">
        <f t="shared" si="261"/>
        <v>0</v>
      </c>
      <c r="CJ141" s="134">
        <f t="shared" si="262"/>
        <v>0</v>
      </c>
      <c r="CK141" s="134">
        <f t="shared" si="263"/>
        <v>0</v>
      </c>
      <c r="CL141" s="134">
        <f t="shared" si="264"/>
        <v>0</v>
      </c>
      <c r="CM141" s="134">
        <f t="shared" si="265"/>
        <v>0</v>
      </c>
      <c r="CN141" s="134">
        <f t="shared" si="266"/>
        <v>0</v>
      </c>
      <c r="CO141" s="134">
        <f t="shared" si="267"/>
        <v>0</v>
      </c>
      <c r="CP141" s="134">
        <f t="shared" si="268"/>
        <v>0</v>
      </c>
      <c r="CQ141" s="134">
        <f t="shared" si="269"/>
        <v>0</v>
      </c>
      <c r="CR141" s="134">
        <f t="shared" si="270"/>
        <v>0</v>
      </c>
      <c r="CS141" s="134">
        <f t="shared" si="271"/>
        <v>0</v>
      </c>
      <c r="CT141" s="115">
        <f t="shared" si="272"/>
        <v>0</v>
      </c>
      <c r="CU141" s="116">
        <f t="shared" si="273"/>
        <v>0</v>
      </c>
      <c r="CV141" s="116">
        <f t="shared" si="274"/>
        <v>0</v>
      </c>
      <c r="CW141" s="116">
        <f t="shared" si="275"/>
        <v>0</v>
      </c>
      <c r="CX141" s="116">
        <f t="shared" si="276"/>
        <v>0</v>
      </c>
      <c r="CY141" s="116">
        <f t="shared" si="277"/>
        <v>0</v>
      </c>
      <c r="CZ141" s="116">
        <f t="shared" si="278"/>
        <v>0</v>
      </c>
      <c r="DA141" s="116">
        <f t="shared" si="279"/>
        <v>0</v>
      </c>
      <c r="DB141" s="116">
        <f t="shared" si="280"/>
        <v>0</v>
      </c>
      <c r="DC141" s="116">
        <f t="shared" si="281"/>
        <v>0</v>
      </c>
      <c r="DD141" s="116">
        <f t="shared" si="282"/>
        <v>0</v>
      </c>
      <c r="DE141" s="117">
        <f t="shared" si="283"/>
        <v>0</v>
      </c>
      <c r="DF141" s="118">
        <f t="shared" si="286"/>
        <v>12</v>
      </c>
      <c r="DG141" s="106">
        <f t="shared" si="287"/>
        <v>15.760000000000002</v>
      </c>
      <c r="DH141" s="116">
        <f t="shared" si="288"/>
        <v>1</v>
      </c>
      <c r="DI141" s="106">
        <f t="shared" si="289"/>
        <v>3.9</v>
      </c>
      <c r="DJ141" s="201" t="str">
        <f>IF($D139="","",$D139)</f>
        <v>3</v>
      </c>
      <c r="DK141" s="466"/>
    </row>
    <row r="142" spans="1:115" ht="14.5" customHeight="1" x14ac:dyDescent="0.2">
      <c r="A142" s="487">
        <f>$A139+1</f>
        <v>47</v>
      </c>
      <c r="B142" s="506" t="str">
        <f>IF(OR(C142="W",C143="W",C144="W",C142="1/2W",C143="1/2W",C144="1/2W",C142="1/2L",C143="1/2L",C144="1/2L"),"OK",IF(OR(C142="L",C143="L",C144="L"),"LOSS",IF(OR(C142="X",C143="X",C144="X"),"Anulado"," ")))</f>
        <v>OK</v>
      </c>
      <c r="C142" s="147" t="s">
        <v>55</v>
      </c>
      <c r="D142" s="494" t="str">
        <f>IF(G142="","",$D139)</f>
        <v>3</v>
      </c>
      <c r="E142" s="511" t="str">
        <f>IF(G142=""," ","– "&amp;COUNTIF(D$4:D144,$D142))</f>
        <v>– 4</v>
      </c>
      <c r="F142" s="510" t="str">
        <f ca="1">IF(G142="","",IF(OR(AND($C142&lt;&gt;" ",$C143=" "),AND($C143&lt;&gt;" ",$C142=" "),AND(L144&gt;0,OR(AND($C144&lt;&gt;" ",OR($C142=" ",$C143=" ")),AND($C144=" ",OR($C142&lt;&gt;" ",$C143&lt;&gt;" "))))),IF(SUM(F$4:F141)=0,1,LARGE(F$4:F141,1)+1),IF(MONTH(G142)=MONTH(TODAY()),IF(AND(DAY(G142)&lt;DAY(TODAY()),$B142=" "),IF(SUM(F$4:F141)=0,1,LARGE(F$4:F141,1)+1),IF($B142=" ",IF(AND(DAY(G142)=DAY(TODAY()),HOUR(G142)&lt;=HOUR(NOW())+1),IF(AND(HOUR(G142)+2&lt;=HOUR(NOW()),DAY(G142)&lt;=DAY(TODAY()),MINUTE(G142)&lt;=MINUTE(NOW())),IF(SUM(F$4:F141)=0,1,LARGE(F$4:F141,1)+1),IF(OR(MINUTE(G142)&lt;=MINUTE(NOW()),HOUR(G142)&lt;=HOUR(NOW())),"!!!","")),""),"")),"")))</f>
        <v/>
      </c>
      <c r="G142" s="508">
        <v>44988.270833333336</v>
      </c>
      <c r="H142" s="502" t="s">
        <v>100</v>
      </c>
      <c r="I142" s="180" t="s">
        <v>63</v>
      </c>
      <c r="J142" s="149"/>
      <c r="K142" s="150" t="s">
        <v>37</v>
      </c>
      <c r="L142" s="151">
        <v>1.45</v>
      </c>
      <c r="M142" s="152"/>
      <c r="N142" s="503">
        <v>0.1</v>
      </c>
      <c r="O142" s="153">
        <f>IF(OR(AE142="",AE143=""),"",ROUND(IF(L144&gt;0,IF(M142&gt;0,M142,IF(M143&gt;0,ROUND((M143*AE142)/AE143,IF(N142=0,2,IF(N142=0.1,1,0))),ROUND((M144*AE142)/AE144,IF(N142=0,2,IF(N142=0.1,1,0))))),IF(M142&gt;0,M142,ROUND((M143*AE142)/AE143,IF(N142=0,2,IF(N142=0.1,1,0))))),2))</f>
        <v>23.2</v>
      </c>
      <c r="P142" s="154">
        <f>IF(OR(L142="",O142=""),"",IF($C142="1/2W",O142/2+O142/2*L142,IF($C142="1/2L",O142/2,IF(I142="Lay",(O142*(L142/(L142-1))-O142)*(1-_xlfn.XLOOKUP(K142,'Fevereiro 2023 - Valor Real'!A3:A15,'Fevereiro 2023 - Valor Real'!C3:C15,0))+O142,(O142*L142-O142)*(1-_xlfn.XLOOKUP(K142,'Fevereiro 2023 - Valor Real'!A3:A15,'Fevereiro 2023 - Valor Real'!C3:C15,0))+O142))))</f>
        <v>33.64</v>
      </c>
      <c r="Q142" s="155">
        <f>IF(K142="","",IF(_xlfn.XLOOKUP(K142,K$4:K141,$DJ$4:DJ141,0,,-1)=DJ142,_xlfn.XLOOKUP(K142,K$4:K141,Q$4:Q141,1,,-1)+1,1))</f>
        <v>1</v>
      </c>
      <c r="R142" s="156">
        <f>IF(K142="","",_xlfn.XLOOKUP(K142,K$4:K141,R$4:R141,0,,-1)+IF($C142=" ",1,0))</f>
        <v>0</v>
      </c>
      <c r="S142" s="501">
        <f>IF($B142="Anulado",0,ROUND(IF(OR($B142="LOSS",$B142="OK"),IF(OR($C142="W",$C142="1/2W",$C142="1/2L"),P142-O142,IF($C142="L",-O142,0))+IF(OR($C143="W",$C143="1/2W",$C143="1/2L"),P143-O143,IF($C143="L",-O143,0))+IF(OR($C144="W",$C144="1/2W",$C144="1/2L"),P144-O144,IF($C144="L",-O144,0)),IF(AND(OR($C142="W",$C142="1/2W",$C142="1/2L"),C143="W"),P142+P143-SUM(O142:O144)+_xlfn.XLOOKUP("X",C142:C144,O142:O144,0),IF(AND(C142=TRUE,C144="W"),P142+P144-SUM(O142:O144),IF(AND(C143="W",C144="W"),P143+P144-SUM(O142:O144)+_xlfn.XLOOKUP("X",C142:C144,O142:O144,0),IF(L144&gt;0,IF(OR($C142="W",$C142="1/2W",$C142="1/2L"),P142-SUM(O142:O144)+_xlfn.XLOOKUP("X",C142:C144,O142:O144,0),IF(OR($C142="W",$C142="1/2W",$C142="1/2L"),P143-SUM(O142:O144)+_xlfn.XLOOKUP("X",C142:C144,O142:O144,0),IF(OR($C142="W",$C142="1/2W",$C142="1/2L"),P144-SUM(O142:O144)+_xlfn.XLOOKUP("X",C142:C144,O142:O144,0),IF(SUM(P142:P144)/3-SUM(O142:O144)+_xlfn.XLOOKUP("X",C142:C144,O142:O144,0)&gt;0,SUM(P142:P144)/3-SUM(O142:O144)+_xlfn.XLOOKUP("X",C142:C144,O142:O144,0),LARGE(P142:P144,1)-SUM(O142:O144))))),IF(OR($C142="W",$C142="1/2W",$C142="1/2L"),P142-SUM(O142:O143)+_xlfn.XLOOKUP("X",C142:C144,O142:O144,0),IF(OR($C142="W",$C142="1/2W",$C142="1/2L"),P143-SUM(O142:O143)+_xlfn.XLOOKUP("X",C142:C144,O142:O144,0),SUM(P142:P143)/2-SUM(O142:O143)+_xlfn.XLOOKUP("X",C142:C144,O142:O144,0)))))))),2))</f>
        <v>2.95</v>
      </c>
      <c r="T142" s="486">
        <f>IF(S142=0,0,S142/SUM(O142:O144))</f>
        <v>9.6185197261167282E-2</v>
      </c>
      <c r="U142" s="496">
        <f>IF($D142=$D139,IF(OR($B142="LOSS",$B142="OK",$B142="Anulada"),S142,0)+U139,IF(OR($B142="LOSS",$B142="OK",$B142="Anulada"),S142,0))</f>
        <v>12.099999999999998</v>
      </c>
      <c r="V142" s="496">
        <f>IF($D142="",0,IF($D142=$D139,IF($B142=" ",IF(I144="",IF(OR(AND(I142="DNB1",I143="DNB2"),AND(OR(I142="DNB1",I142="DNB2"),J143=0),AND(OR(I143="DNB1",I143="DNB2"),J142=0),AND(I142="DNB2",I143="DNB1"),AND(IF(J142=0,(J142+1)/ROUND(J142+1,0),J142/ROUND(J142,0))=1,IF(J143=0,(J143+1)/ROUND(IF(J143="",0,J143)+1,0),IF(J143="",0,J143)/ROUND(IF(J143="",1,J143),0))=1,OR(J142&lt;&gt;""),J143&lt;&gt;"")),0,IF(S142&lt;0,IF(I144="",SMALL(P142:P143,1)-SUM(O142:O143),0),SMALL(P142:P143,1)-SUM(O142:O143))),IF(S142&lt;0,IF(I144="",SMALL(P142:P144,1)-SUM(O142:O144),0),LARGE(P142:P144,1)-SUM(O142:O144))),S142)+V139,IF(I144="",IF(OR(AND(I142="DNB1",I143="DNB2"),AND(OR(I142="DNB1",I142="DNB2"),J143=0),AND(OR(I143="DNB1",I143="DNB2"),J142=0),AND(I142="DNB2",I143="DNB1"),AND(IF(J142=0,(J142+1)/ROUND(J142+1,0),J142/ROUND(J142,0))=1,IF(J143=0,(IF(J143="",0,J143)+1)/ROUND(IF(J143="",0,J143)+1,0),IF(J143="",0,J143)/ROUND(IF(J143="",0,J143)+1,0))=1,OR(J142&lt;&gt;""),J143&lt;&gt;"")),0,IF(S142&lt;0,IF(I144="",SMALL(P142:P143,1)-SUM(O142:O143),0),SMALL(P142:P144,1)-SUM(O142:O144))),IF(S142&lt;0,IF(I144="",SMALL(P142:P144,1)-SUM(O142:O144),0),LARGE(P142:P144,1)-SUM(O142:O144)))))</f>
        <v>12.09</v>
      </c>
      <c r="W142" s="496">
        <f>IF($D142=$D139,IF(S142&lt;0,IF(I144="",S142,0),S142)+W139,S142)</f>
        <v>12.099999999999998</v>
      </c>
      <c r="X142" s="505" t="str">
        <f>IF(OR(SUM(R142:R144)=0,V142=W142),ROUND(IF(W142=0,0,W142/Y142)*100,2)&amp;"%",ROUND(IF(V142=0,0,V142/Y142)*100,2)&amp;"% a "&amp;ROUND(IF(W142=0,0,W142/Y142)*100,2)&amp;"%")</f>
        <v>4,95%</v>
      </c>
      <c r="Y142" s="497">
        <f>IF($D142=$D139,Y139+SUM(O142:O144),SUM(O142:O144))</f>
        <v>244.60999999999999</v>
      </c>
      <c r="Z142" s="496">
        <f>IF($B142=" ",SUM(O142:O144),0)+Z139</f>
        <v>0</v>
      </c>
      <c r="AA142" s="496">
        <f>IF(G142="","",IF($B142="Anulado",LARGE(P142:P144,1)-SUM(O142:O144)+AA139,AA139))</f>
        <v>0.45899999999999785</v>
      </c>
      <c r="AB142" s="496">
        <f>IF($D142="","",AB139+S142)</f>
        <v>122.95999999999997</v>
      </c>
      <c r="AC142" s="499">
        <f ca="1">IF($D142="","",IF($B142=" ",IF(DAY(G142)=DAY(TODAY()),1+AC139,0+AC139),0+AC139))</f>
        <v>0</v>
      </c>
      <c r="AD142" s="157">
        <f>(1-_xlfn.XLOOKUP(K140,'Fevereiro 2023 - Valor Real'!A3:A15,'Fevereiro 2023 - Valor Real'!C3:C15,0))+1</f>
        <v>2</v>
      </c>
      <c r="AE142" s="158">
        <f>IF(L142="","",IF(L144&gt;0,(SUM(((L142-1)*(1-_xlfn.XLOOKUP(K142,'Fevereiro 2023 - Valor Real'!A3:A15,'Fevereiro 2023 - Valor Real'!C3:C15,0))+1),((L143-1)*(1-_xlfn.XLOOKUP(K143,'Fevereiro 2023 - Valor Real'!A3:A15,'Fevereiro 2023 - Valor Real'!C3:C15,0))+1),((L144-1)*(1-_xlfn.XLOOKUP(K144,'Fevereiro 2023 - Valor Real'!A3:A15,'Fevereiro 2023 - Valor Real'!C3:C15,0))+1))/((L142-1)*(1-_xlfn.XLOOKUP(K142,'Fevereiro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Real'!C3:C15,0))+1))/((L142-1)*(1-_xlfn.XLOOKUP(K142,'Fevereiro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Real'!C3:C15,0))+1))/((L143-1)*(1-_xlfn.XLOOKUP(K143,'Fevereiro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Real'!C3:C15,0))+1))/((L144-1)*(1-_xlfn.XLOOKUP(K144,'Fevereiro 2023 - Valor Real'!A3:A15,'Fevereiro 2023 - Valor Real'!C3:C15,0))+1)),IF(I142="Lay",IF(I143="Lay",((L143/(L143-1)-1)*(1-_xlfn.XLOOKUP(K143,'Fevereiro 2023 - Valor Real'!A3:A15,'Fevereiro 2023 - Valor Real'!C3:C15,0))+1)/(((L143/(L143-1)-1)*(1-_xlfn.XLOOKUP(K143,'Fevereiro 2023 - Valor Real'!A3:A15,'Fevereiro 2023 - Valor Real'!C3:C15,0))+1)+((L142/(L142-1)-1)*(1-_xlfn.XLOOKUP(K142,'Fevereiro 2023 - Valor Real'!A3:A15,'Fevereiro 2023 - Valor Real'!C3:C15,0))+1)),((L143-1)*(1-_xlfn.XLOOKUP(K143,'Fevereiro 2023 - Valor Real'!A3:A15,'Fevereiro 2023 - Valor Real'!C3:C15,0))+1)/(((L143-1)*(1-_xlfn.XLOOKUP(K143,'Fevereiro 2023 - Valor Real'!A3:A15,'Fevereiro 2023 - Valor Real'!C3:C15,0))+1)+((L142/(L142-1)-1)*(1-_xlfn.XLOOKUP(K142,'Fevereiro 2023 - Valor Real'!A3:A15,'Fevereiro 2023 - Valor Real'!C3:C15,0))+1))),IF(I143="Lay",(((L143/(L143-1)-1)*(1-_xlfn.XLOOKUP(K143,'Fevereiro 2023 - Valor Real'!A3:A15,'Fevereiro 2023 - Valor Real'!C3:C15,0))+1))/(((L142-1)*(1-_xlfn.XLOOKUP(K142,'Fevereiro 2023 - Valor Real'!A3:A15,'Fevereiro 2023 - Valor Real'!C3:C15,0))+1)+((L143/(L143-1)-1)*(1-_xlfn.XLOOKUP(K143,'Fevereiro 2023 - Valor Real'!A3:A15,'Fevereiro 2023 - Valor Real'!C3:C15,0))+1)),((L143-1)*(1-_xlfn.XLOOKUP(K143,'Fevereiro 2023 - Valor Real'!A3:A15,'Fevereiro 2023 - Valor Real'!C3:C15,0))+1)/(((L143-1)*(1-_xlfn.XLOOKUP(K143,'Fevereiro 2023 - Valor Real'!A3:A15,'Fevereiro 2023 - Valor Real'!C3:C15,0))+1)+((L142-1)*(1-_xlfn.XLOOKUP(K142,'Fevereiro 2023 - Valor Real'!A3:A15,'Fevereiro 2023 - Valor Real'!C3:C15,0))+1))))))</f>
        <v>0.75630252100840334</v>
      </c>
      <c r="AF142" s="66">
        <f t="shared" si="290"/>
        <v>0</v>
      </c>
      <c r="AG142" s="67">
        <f t="shared" si="290"/>
        <v>-23.2</v>
      </c>
      <c r="AH142" s="67">
        <f t="shared" si="290"/>
        <v>0</v>
      </c>
      <c r="AI142" s="67">
        <f t="shared" si="290"/>
        <v>0</v>
      </c>
      <c r="AJ142" s="67">
        <f t="shared" si="290"/>
        <v>0</v>
      </c>
      <c r="AK142" s="67">
        <f t="shared" si="290"/>
        <v>0</v>
      </c>
      <c r="AL142" s="67">
        <f t="shared" si="290"/>
        <v>0</v>
      </c>
      <c r="AM142" s="67">
        <f t="shared" si="290"/>
        <v>0</v>
      </c>
      <c r="AN142" s="67">
        <f t="shared" si="290"/>
        <v>0</v>
      </c>
      <c r="AO142" s="67">
        <f t="shared" si="290"/>
        <v>0</v>
      </c>
      <c r="AP142" s="67">
        <f t="shared" si="290"/>
        <v>0</v>
      </c>
      <c r="AQ142" s="67">
        <f t="shared" si="290"/>
        <v>0</v>
      </c>
      <c r="AR142" s="68">
        <f t="shared" si="290"/>
        <v>0</v>
      </c>
      <c r="AS142" s="66">
        <f t="shared" ref="AS142:BE142" si="302">IF(AND($B142=" ",$K142=AS$3),$O142,0)</f>
        <v>0</v>
      </c>
      <c r="AT142" s="67">
        <f t="shared" si="302"/>
        <v>0</v>
      </c>
      <c r="AU142" s="67">
        <f t="shared" si="302"/>
        <v>0</v>
      </c>
      <c r="AV142" s="67">
        <f t="shared" si="302"/>
        <v>0</v>
      </c>
      <c r="AW142" s="67">
        <f t="shared" si="302"/>
        <v>0</v>
      </c>
      <c r="AX142" s="67">
        <f t="shared" si="302"/>
        <v>0</v>
      </c>
      <c r="AY142" s="69">
        <f t="shared" si="302"/>
        <v>0</v>
      </c>
      <c r="AZ142" s="70">
        <f t="shared" si="302"/>
        <v>0</v>
      </c>
      <c r="BA142" s="70">
        <f t="shared" si="302"/>
        <v>0</v>
      </c>
      <c r="BB142" s="70">
        <f t="shared" si="302"/>
        <v>0</v>
      </c>
      <c r="BC142" s="71">
        <f t="shared" si="302"/>
        <v>0</v>
      </c>
      <c r="BD142" s="67">
        <f t="shared" si="302"/>
        <v>0</v>
      </c>
      <c r="BE142" s="68">
        <f t="shared" si="302"/>
        <v>0</v>
      </c>
      <c r="BF142" s="66">
        <f t="shared" si="292"/>
        <v>0</v>
      </c>
      <c r="BG142" s="67">
        <f t="shared" si="292"/>
        <v>23.2</v>
      </c>
      <c r="BH142" s="67">
        <f t="shared" si="292"/>
        <v>0</v>
      </c>
      <c r="BI142" s="67">
        <f t="shared" si="292"/>
        <v>0</v>
      </c>
      <c r="BJ142" s="67">
        <f t="shared" si="292"/>
        <v>0</v>
      </c>
      <c r="BK142" s="67">
        <f t="shared" si="292"/>
        <v>0</v>
      </c>
      <c r="BL142" s="67">
        <f t="shared" si="292"/>
        <v>0</v>
      </c>
      <c r="BM142" s="69">
        <f t="shared" si="292"/>
        <v>0</v>
      </c>
      <c r="BN142" s="70">
        <f t="shared" si="292"/>
        <v>0</v>
      </c>
      <c r="BO142" s="70">
        <f t="shared" si="292"/>
        <v>0</v>
      </c>
      <c r="BP142" s="70">
        <f t="shared" si="292"/>
        <v>0</v>
      </c>
      <c r="BQ142" s="71">
        <f t="shared" si="292"/>
        <v>0</v>
      </c>
      <c r="BR142" s="68">
        <f t="shared" si="292"/>
        <v>0</v>
      </c>
      <c r="BS142" s="490">
        <f>IF($B142="LOSS",IF(AND($K142=BS$3,$C142="L"),-$O142,0)+IF(AND($K143=BS$3,$C143="L"),-$O143,0)+IF(AND($K144=BS$3,$C144="L"),-$O144,0),IF(OR(AND($K142=BS$3,OR($C142="W",$C142="1/2W")),AND($K143=BS$3,OR($C143="W",$C143="1/2W")),AND($K144=BS$3,OR($C144="W",$C144="1/2W"))),$S142,0))</f>
        <v>0</v>
      </c>
      <c r="BT142" s="498">
        <f>IF($B142="LOSS",IF(AND($K142=BT$3,$C142="L"),-$O142,0)+IF(AND($K143=BT$3,$C143="L"),-$O143,0)+IF(AND($K143=BT$3,$C144="L"),-$O144,0),IF(OR(AND($K143=BT$3,OR($C142="W",$C142="1/2W")),AND($K143=BT$3,OR($C143="W",$C143="1/2W")),AND($K143=BT$3,OR($C144="W",$C144="1/2W"))),$S142,0))</f>
        <v>0</v>
      </c>
      <c r="BU142" s="488">
        <f>IF($B142="LOSS",IF(AND($K142=BU$3,$C142="L"),-$O142,0)+IF(AND($K143=BU$3,$C143="L"),-$O143,0)+IF(AND($K143=BU$3,$C144="L"),-$O144,0),IF(OR(AND($K143=BU$3,OR($C142="W",$C142="1/2W")),AND($K143=BU$3,OR($C143="W",$C143="1/2W")),AND($K143=BU$3,OR($C144="W",$C144="1/2W"))),$S142,0))</f>
        <v>0</v>
      </c>
      <c r="BV142" s="488">
        <f t="shared" ref="BV142:CE142" si="303">IF($B142="LOSS",IF(AND($K142=BV$3,$C142="L"),-$O142,0)+IF(AND($K143=BV$3,$C143="L"),-$O143,0)+IF(AND($K144=BV$3,$C144="L"),-$O144,0),IF(OR(AND($K142=BV$3,OR($C142="W",$C142="1/2W")),AND($K143=BV$3,OR($C143="W",$C143="1/2W")),AND($K144=BV$3,OR($C144="W",$C144="1/2W"))),$S142,0))</f>
        <v>0</v>
      </c>
      <c r="BW142" s="488">
        <f t="shared" si="303"/>
        <v>0</v>
      </c>
      <c r="BX142" s="488">
        <f t="shared" si="303"/>
        <v>0</v>
      </c>
      <c r="BY142" s="488">
        <f t="shared" si="303"/>
        <v>0</v>
      </c>
      <c r="BZ142" s="488">
        <f t="shared" si="303"/>
        <v>0</v>
      </c>
      <c r="CA142" s="488">
        <f t="shared" si="303"/>
        <v>0</v>
      </c>
      <c r="CB142" s="488">
        <f t="shared" si="303"/>
        <v>0</v>
      </c>
      <c r="CC142" s="488">
        <f t="shared" si="303"/>
        <v>0</v>
      </c>
      <c r="CD142" s="500">
        <f t="shared" si="303"/>
        <v>2.95</v>
      </c>
      <c r="CE142" s="504">
        <f t="shared" si="303"/>
        <v>0</v>
      </c>
      <c r="CF142" s="160">
        <f t="shared" si="258"/>
        <v>0</v>
      </c>
      <c r="CG142" s="161">
        <f t="shared" si="259"/>
        <v>0</v>
      </c>
      <c r="CH142" s="161">
        <f t="shared" si="260"/>
        <v>0</v>
      </c>
      <c r="CI142" s="161">
        <f t="shared" si="261"/>
        <v>1</v>
      </c>
      <c r="CJ142" s="161">
        <f t="shared" si="262"/>
        <v>0</v>
      </c>
      <c r="CK142" s="161">
        <f t="shared" si="263"/>
        <v>0</v>
      </c>
      <c r="CL142" s="161">
        <f t="shared" si="264"/>
        <v>0</v>
      </c>
      <c r="CM142" s="161">
        <f t="shared" si="265"/>
        <v>0</v>
      </c>
      <c r="CN142" s="161">
        <f t="shared" si="266"/>
        <v>0</v>
      </c>
      <c r="CO142" s="161">
        <f t="shared" si="267"/>
        <v>0</v>
      </c>
      <c r="CP142" s="161">
        <f t="shared" si="268"/>
        <v>0</v>
      </c>
      <c r="CQ142" s="161">
        <f t="shared" si="269"/>
        <v>0</v>
      </c>
      <c r="CR142" s="161">
        <f t="shared" si="270"/>
        <v>0</v>
      </c>
      <c r="CS142" s="161">
        <f t="shared" si="271"/>
        <v>0</v>
      </c>
      <c r="CT142" s="75">
        <f t="shared" si="272"/>
        <v>0</v>
      </c>
      <c r="CU142" s="76">
        <f t="shared" si="273"/>
        <v>0</v>
      </c>
      <c r="CV142" s="76">
        <f t="shared" si="274"/>
        <v>0</v>
      </c>
      <c r="CW142" s="76">
        <f t="shared" si="275"/>
        <v>0</v>
      </c>
      <c r="CX142" s="76">
        <f t="shared" si="276"/>
        <v>0</v>
      </c>
      <c r="CY142" s="76">
        <f t="shared" si="277"/>
        <v>0</v>
      </c>
      <c r="CZ142" s="76">
        <f t="shared" si="278"/>
        <v>0</v>
      </c>
      <c r="DA142" s="76">
        <f t="shared" si="279"/>
        <v>0</v>
      </c>
      <c r="DB142" s="76">
        <f t="shared" si="280"/>
        <v>0</v>
      </c>
      <c r="DC142" s="76">
        <f t="shared" si="281"/>
        <v>0</v>
      </c>
      <c r="DD142" s="76">
        <f t="shared" si="282"/>
        <v>0</v>
      </c>
      <c r="DE142" s="77">
        <f t="shared" si="283"/>
        <v>0</v>
      </c>
      <c r="DF142" s="73">
        <f t="shared" si="286"/>
        <v>12</v>
      </c>
      <c r="DG142" s="67">
        <f t="shared" si="287"/>
        <v>15.760000000000002</v>
      </c>
      <c r="DH142" s="76">
        <f t="shared" si="288"/>
        <v>1</v>
      </c>
      <c r="DI142" s="67">
        <f t="shared" si="289"/>
        <v>3.9</v>
      </c>
      <c r="DJ142" s="202" t="str">
        <f>IF($D142="","",$D142)</f>
        <v>3</v>
      </c>
      <c r="DK142" s="492">
        <f>IF(AND($B142=" ",$D142&lt;&gt;""),1,0)</f>
        <v>0</v>
      </c>
    </row>
    <row r="143" spans="1:115" ht="14.5" customHeight="1" x14ac:dyDescent="0.2">
      <c r="A143" s="389"/>
      <c r="B143" s="456"/>
      <c r="C143" s="53" t="s">
        <v>54</v>
      </c>
      <c r="D143" s="374"/>
      <c r="E143" s="386"/>
      <c r="F143" s="377"/>
      <c r="G143" s="508"/>
      <c r="H143" s="476"/>
      <c r="I143" s="182" t="s">
        <v>76</v>
      </c>
      <c r="J143" s="56">
        <f>IF(OR(I142="TO",I142="TU",I142="TO1",I142="TU1",I142="TO2",I142="TU2"),J142,IF(OR(I142="AH1",I142="AH2"),IF(OR(I143="AH1",I143="AH2"),-J142,IF(OR(I143="EH1",I143="EH2"),-J142+0.5,"")),IF(OR(I142="EH1",I142="EH2"),IF(OR(I143="AH1",I143="AH2"),-J142+0.5,IF(OR(I143="EH1",I143="EH2"),-J142+1,"")),IF(AND(OR(I142="DNB1",I142="DNB2"),OR(I143="AH1",I143="AH2")),0,IF(AND(I142="Not ScoreBoth",OR(I143="TO1",I143="TO2")),0.5,"")))))</f>
        <v>0</v>
      </c>
      <c r="K143" s="57" t="s">
        <v>47</v>
      </c>
      <c r="L143" s="164">
        <v>4.5</v>
      </c>
      <c r="M143" s="165">
        <v>7.47</v>
      </c>
      <c r="N143" s="406"/>
      <c r="O143" s="60">
        <f>IF(OR(AE142="",AE143=""),"",ROUND(IF(L144&gt;0,IF(M143&gt;0,M143,IF(M142&gt;0,IF(N142=TRUE,ROUND((M142*AE143)/AE142,0),(M142*AE143)/AE142),IF(M143&gt;0,ROUND(M143,IF(N142=0,2,IF(N142=0.1,1,0))),IF(M144&gt;0,ROUND(O144*AE143/AE144,IF(N142=0,2,IF(N142=0.1,1,0))),0)))),IF(M143&gt;0,M143,ROUND((M142*AE143)/AE142,IF(N142=0,2,IF(N142=0.1,1,0))))),2))</f>
        <v>7.47</v>
      </c>
      <c r="P143" s="61">
        <f>IF(OR(L143="",O143=""),"",IF($C143="1/2W",O143/2+O143/2*L143,IF($C143="1/2L",O143/2,IF(I143="Lay",((O143*(L143/(L143-1)))-O143)*(1-_xlfn.XLOOKUP(K143,'Fevereiro 2023 - Valor Real'!A3:A15,'Fevereiro 2023 - Valor Real'!C3:C15,0))+O143,(O143*L143-O143)*(1-_xlfn.XLOOKUP(K143,'Fevereiro 2023 - Valor Real'!A3:A15,'Fevereiro 2023 - Valor Real'!C3:C15,0))+O143))))</f>
        <v>33.615000000000002</v>
      </c>
      <c r="Q143" s="166">
        <f>IF(K143="","",IF(_xlfn.XLOOKUP(K143,K$4:K142,$DJ$4:DJ142,0,,-1)=DJ143,_xlfn.XLOOKUP(K143,K$4:K142,Q$4:Q142,1,,-1)+1,1))</f>
        <v>2</v>
      </c>
      <c r="R143" s="167">
        <f>IF(K143="","",_xlfn.XLOOKUP(K143,K$4:K142,R$4:R142,0,,-1)+IF($C143=" ",1,0))</f>
        <v>0</v>
      </c>
      <c r="S143" s="403"/>
      <c r="T143" s="380"/>
      <c r="U143" s="380"/>
      <c r="V143" s="481"/>
      <c r="W143" s="380"/>
      <c r="X143" s="452"/>
      <c r="Y143" s="383"/>
      <c r="Z143" s="384"/>
      <c r="AA143" s="384"/>
      <c r="AB143" s="384"/>
      <c r="AC143" s="384"/>
      <c r="AD143" s="64"/>
      <c r="AE143" s="65">
        <f>IF(L143="","",IF(L144&gt;0,(SUM(((L142-1)*(1-_xlfn.XLOOKUP(K142,'Fevereiro 2023 - Valor Real'!A3:A15,'Fevereiro 2023 - Valor Real'!C3:C15,0))+1),((L143-1)*(1-_xlfn.XLOOKUP(K143,'Fevereiro 2023 - Valor Real'!A3:A15,'Fevereiro 2023 - Valor Real'!C3:C15,0))+1),((L144-1)*(1-_xlfn.XLOOKUP(K144,'Fevereiro 2023 - Valor Real'!A3:A15,'Fevereiro 2023 - Valor Real'!C3:C15,0))+1))/((L143-1)*(1-_xlfn.XLOOKUP(K143,'Fevereiro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Real'!C3:C15,0))+1))/((L142-1)*(1-_xlfn.XLOOKUP(K142,'Fevereiro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Real'!C3:C15,0))+1))/((L143-1)*(1-_xlfn.XLOOKUP(K143,'Fevereiro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Real'!C3:C15,0))+1))/((L144-1)*(1-_xlfn.XLOOKUP(K144,'Fevereiro 2023 - Valor Real'!A3:A15,'Fevereiro 2023 - Valor Real'!C3:C15,0))+1)),IF(I143="Lay",IF(I142="Lay",((L142/(L142-1)-1)*(1-_xlfn.XLOOKUP(K142,'Fevereiro 2023 - Valor Real'!A3:A15,'Fevereiro 2023 - Valor Real'!C3:C15,0))+1)/(((L142/(L142-1)-1)*(1-_xlfn.XLOOKUP(K142,'Fevereiro 2023 - Valor Real'!A3:A15,'Fevereiro 2023 - Valor Real'!C3:C15,0))+1)+((L143/(L143-1)-1)*(1-_xlfn.XLOOKUP(K143,'Fevereiro 2023 - Valor Real'!A3:A15,'Fevereiro 2023 - Valor Real'!C3:C15,0))+1)),((L142-1)*(1-_xlfn.XLOOKUP(K142,'Fevereiro 2023 - Valor Real'!A3:A15,'Fevereiro 2023 - Valor Real'!C3:C15,0))+1)/(((L142-1)*(1-_xlfn.XLOOKUP(K142,'Fevereiro 2023 - Valor Real'!A3:A15,'Fevereiro 2023 - Valor Real'!C3:C15,0))+1)+((L143/(L143-1)-1)*(1-_xlfn.XLOOKUP(K143,'Fevereiro 2023 - Valor Real'!A3:A15,'Fevereiro 2023 - Valor Real'!C3:C15,0))+1))),IF(I142="Lay",((L142/(L142-1)-1)*(1-_xlfn.XLOOKUP(K142,'Fevereiro 2023 - Valor Real'!A3:A15,'Fevereiro 2023 - Valor Real'!C3:C15,0))+1)/((((L142/(L142-1)-1)*(1-_xlfn.XLOOKUP(K142,'Fevereiro 2023 - Valor Real'!A3:A15,'Fevereiro 2023 - Valor Real'!C3:C15,0))+1))+((L143-1)*(1-_xlfn.XLOOKUP(K143,'Fevereiro 2023 - Valor Real'!A3:A15,'Fevereiro 2023 - Valor Real'!C3:C15,0))+1)),((L142-1)*(1-_xlfn.XLOOKUP(K142,'Fevereiro 2023 - Valor Real'!A3:A15,'Fevereiro 2023 - Valor Real'!C3:C15,0))+1)/(((L142-1)*(1-_xlfn.XLOOKUP(K142,'Fevereiro 2023 - Valor Real'!A3:A15,'Fevereiro 2023 - Valor Real'!C3:C15,0))+1)+((L143-1)*(1-_xlfn.XLOOKUP(K143,'Fevereiro 2023 - Valor Real'!A3:A15,'Fevereiro 2023 - Valor Real'!C3:C15,0))+1))))))</f>
        <v>0.24369747899159663</v>
      </c>
      <c r="AF143" s="66">
        <f t="shared" si="290"/>
        <v>0</v>
      </c>
      <c r="AG143" s="67">
        <f t="shared" si="290"/>
        <v>0</v>
      </c>
      <c r="AH143" s="67">
        <f t="shared" si="290"/>
        <v>0</v>
      </c>
      <c r="AI143" s="67">
        <f t="shared" si="290"/>
        <v>0</v>
      </c>
      <c r="AJ143" s="67">
        <f t="shared" si="290"/>
        <v>0</v>
      </c>
      <c r="AK143" s="67">
        <f t="shared" si="290"/>
        <v>0</v>
      </c>
      <c r="AL143" s="67">
        <f t="shared" si="290"/>
        <v>0</v>
      </c>
      <c r="AM143" s="67">
        <f t="shared" si="290"/>
        <v>0</v>
      </c>
      <c r="AN143" s="67">
        <f t="shared" si="290"/>
        <v>0</v>
      </c>
      <c r="AO143" s="67">
        <f t="shared" si="290"/>
        <v>0</v>
      </c>
      <c r="AP143" s="67">
        <f t="shared" si="290"/>
        <v>0</v>
      </c>
      <c r="AQ143" s="67">
        <f t="shared" si="290"/>
        <v>26.15</v>
      </c>
      <c r="AR143" s="68">
        <f t="shared" si="290"/>
        <v>0</v>
      </c>
      <c r="AS143" s="66">
        <f>IF(AND($B142=" ",$K143=AS$3),$O143,0)</f>
        <v>0</v>
      </c>
      <c r="AT143" s="67">
        <f>IF(AND($B142=" ",K143=AT$3),$O143,0)</f>
        <v>0</v>
      </c>
      <c r="AU143" s="67">
        <f t="shared" ref="AU143:BE143" si="304">IF(AND($B142=" ",$K143=AU$3),$O143,0)</f>
        <v>0</v>
      </c>
      <c r="AV143" s="67">
        <f t="shared" si="304"/>
        <v>0</v>
      </c>
      <c r="AW143" s="67">
        <f t="shared" si="304"/>
        <v>0</v>
      </c>
      <c r="AX143" s="67">
        <f t="shared" si="304"/>
        <v>0</v>
      </c>
      <c r="AY143" s="69">
        <f t="shared" si="304"/>
        <v>0</v>
      </c>
      <c r="AZ143" s="70">
        <f t="shared" si="304"/>
        <v>0</v>
      </c>
      <c r="BA143" s="70">
        <f t="shared" si="304"/>
        <v>0</v>
      </c>
      <c r="BB143" s="70">
        <f t="shared" si="304"/>
        <v>0</v>
      </c>
      <c r="BC143" s="71">
        <f t="shared" si="304"/>
        <v>0</v>
      </c>
      <c r="BD143" s="67">
        <f t="shared" si="304"/>
        <v>0</v>
      </c>
      <c r="BE143" s="68">
        <f t="shared" si="304"/>
        <v>0</v>
      </c>
      <c r="BF143" s="66">
        <f t="shared" si="292"/>
        <v>0</v>
      </c>
      <c r="BG143" s="168">
        <f t="shared" si="292"/>
        <v>0</v>
      </c>
      <c r="BH143" s="67">
        <f t="shared" si="292"/>
        <v>0</v>
      </c>
      <c r="BI143" s="67">
        <f t="shared" si="292"/>
        <v>0</v>
      </c>
      <c r="BJ143" s="67">
        <f t="shared" si="292"/>
        <v>0</v>
      </c>
      <c r="BK143" s="67">
        <f t="shared" si="292"/>
        <v>0</v>
      </c>
      <c r="BL143" s="67">
        <f t="shared" si="292"/>
        <v>0</v>
      </c>
      <c r="BM143" s="69">
        <f t="shared" si="292"/>
        <v>0</v>
      </c>
      <c r="BN143" s="70">
        <f t="shared" si="292"/>
        <v>0</v>
      </c>
      <c r="BO143" s="70">
        <f t="shared" si="292"/>
        <v>0</v>
      </c>
      <c r="BP143" s="70">
        <f t="shared" si="292"/>
        <v>0</v>
      </c>
      <c r="BQ143" s="71">
        <f t="shared" si="292"/>
        <v>7.47</v>
      </c>
      <c r="BR143" s="68">
        <f t="shared" si="292"/>
        <v>0</v>
      </c>
      <c r="BS143" s="491"/>
      <c r="BT143" s="489"/>
      <c r="BU143" s="392"/>
      <c r="BV143" s="489"/>
      <c r="BW143" s="392"/>
      <c r="BX143" s="392"/>
      <c r="BY143" s="392"/>
      <c r="BZ143" s="489"/>
      <c r="CA143" s="392"/>
      <c r="CB143" s="392"/>
      <c r="CC143" s="392"/>
      <c r="CD143" s="401"/>
      <c r="CE143" s="409"/>
      <c r="CF143" s="169">
        <f t="shared" si="258"/>
        <v>0</v>
      </c>
      <c r="CG143" s="170">
        <f t="shared" si="259"/>
        <v>0</v>
      </c>
      <c r="CH143" s="170">
        <f t="shared" si="260"/>
        <v>0</v>
      </c>
      <c r="CI143" s="170">
        <f t="shared" si="261"/>
        <v>0</v>
      </c>
      <c r="CJ143" s="170">
        <f t="shared" si="262"/>
        <v>0</v>
      </c>
      <c r="CK143" s="170">
        <f t="shared" si="263"/>
        <v>0</v>
      </c>
      <c r="CL143" s="170">
        <f t="shared" si="264"/>
        <v>0</v>
      </c>
      <c r="CM143" s="170">
        <f t="shared" si="265"/>
        <v>0</v>
      </c>
      <c r="CN143" s="170">
        <f t="shared" si="266"/>
        <v>0</v>
      </c>
      <c r="CO143" s="170">
        <f t="shared" si="267"/>
        <v>0</v>
      </c>
      <c r="CP143" s="170">
        <f t="shared" si="268"/>
        <v>0</v>
      </c>
      <c r="CQ143" s="170">
        <f t="shared" si="269"/>
        <v>0</v>
      </c>
      <c r="CR143" s="170">
        <f t="shared" si="270"/>
        <v>0</v>
      </c>
      <c r="CS143" s="170">
        <f t="shared" si="271"/>
        <v>0</v>
      </c>
      <c r="CT143" s="75">
        <f t="shared" si="272"/>
        <v>0</v>
      </c>
      <c r="CU143" s="76">
        <f t="shared" si="273"/>
        <v>0</v>
      </c>
      <c r="CV143" s="76">
        <f t="shared" si="274"/>
        <v>0</v>
      </c>
      <c r="CW143" s="76">
        <f t="shared" si="275"/>
        <v>0</v>
      </c>
      <c r="CX143" s="76">
        <f t="shared" si="276"/>
        <v>0</v>
      </c>
      <c r="CY143" s="76">
        <f t="shared" si="277"/>
        <v>0</v>
      </c>
      <c r="CZ143" s="76">
        <f t="shared" si="278"/>
        <v>0</v>
      </c>
      <c r="DA143" s="76">
        <f t="shared" si="279"/>
        <v>0</v>
      </c>
      <c r="DB143" s="76">
        <f t="shared" si="280"/>
        <v>1</v>
      </c>
      <c r="DC143" s="76">
        <f t="shared" si="281"/>
        <v>0</v>
      </c>
      <c r="DD143" s="76">
        <f t="shared" si="282"/>
        <v>0</v>
      </c>
      <c r="DE143" s="77">
        <f t="shared" si="283"/>
        <v>0</v>
      </c>
      <c r="DF143" s="73">
        <f t="shared" si="286"/>
        <v>12</v>
      </c>
      <c r="DG143" s="67">
        <f t="shared" si="287"/>
        <v>15.760000000000002</v>
      </c>
      <c r="DH143" s="76">
        <f t="shared" si="288"/>
        <v>2</v>
      </c>
      <c r="DI143" s="67">
        <f t="shared" si="289"/>
        <v>8.4</v>
      </c>
      <c r="DJ143" s="202" t="str">
        <f>IF($D142="","",$D142)</f>
        <v>3</v>
      </c>
      <c r="DK143" s="493"/>
    </row>
    <row r="144" spans="1:115" ht="14.5" customHeight="1" x14ac:dyDescent="0.2">
      <c r="A144" s="390"/>
      <c r="B144" s="457"/>
      <c r="C144" s="79" t="s">
        <v>53</v>
      </c>
      <c r="D144" s="375"/>
      <c r="E144" s="387"/>
      <c r="F144" s="378"/>
      <c r="G144" s="508"/>
      <c r="H144" s="477"/>
      <c r="I144" s="171"/>
      <c r="J144" s="172"/>
      <c r="K144" s="81"/>
      <c r="L144" s="173"/>
      <c r="M144" s="174"/>
      <c r="N144" s="407"/>
      <c r="O144" s="86" t="str">
        <f>IF(OR(AE142="",AE143=""),"",IF(L144&gt;0,ROUND(IF(M144&gt;0,M144,IF(M142&gt;0,ROUND((M142*AE144)/AE142,IF(N142=0,2,IF(N142=0.1,1,0))),IF(M143&gt;0,ROUND((M143*AE144)/AE143,IF(N142=0,2,IF(N142=0.1,1,0))),IF(M144&gt;0,M144,0)))),2),""))</f>
        <v/>
      </c>
      <c r="P144" s="87" t="str">
        <f>IF(I143="Lay",O143*(L143/(L143-1))-O143,IF(I142="Lay",O142*(L142/(L142-1))-O142,IF(OR(L144="",O144=""),"",IF($C144="1/2W",O144/2+O144/2*L144,IF($C144="1/2L",O144/2,(O144*L144-O144)*(1-_xlfn.XLOOKUP(K144,'Fevereiro 2023 - Valor Real'!A3:A15,'Fevereiro 2023 - Valor Real'!C3:C15,0))+O144)))))</f>
        <v/>
      </c>
      <c r="Q144" s="54" t="str">
        <f>IF(K144="","",IF(_xlfn.XLOOKUP(K144,K$4:K143,$DJ$4:DJ143,0,,-1)=DJ144,_xlfn.XLOOKUP(K144,K$4:K143,Q$4:Q143,1,,-1)+1,1))</f>
        <v/>
      </c>
      <c r="R144" s="87" t="str">
        <f>IF(K144="","",_xlfn.XLOOKUP(K144,K$4:K143,R$4:R143,0,,-1)+IF($C144=" ",1,0))</f>
        <v/>
      </c>
      <c r="S144" s="404"/>
      <c r="T144" s="378"/>
      <c r="U144" s="378"/>
      <c r="V144" s="404"/>
      <c r="W144" s="378"/>
      <c r="X144" s="453"/>
      <c r="Y144" s="383"/>
      <c r="Z144" s="384"/>
      <c r="AA144" s="384"/>
      <c r="AB144" s="384"/>
      <c r="AC144" s="384"/>
      <c r="AD144" s="90"/>
      <c r="AE144" s="91" t="str">
        <f>IF(L144="","",(SUM(((L142-1)*(1-_xlfn.XLOOKUP(K142,'Fevereiro 2023 - Valor Real'!A3:A15,'Fevereiro 2023 - Valor Real'!C3:C15,0))+1),((L143-1)*(1-_xlfn.XLOOKUP(K143,'Fevereiro 2023 - Valor Real'!A3:A15,'Fevereiro 2023 - Valor Real'!C3:C15,0))+1),((L144-1)*(1-_xlfn.XLOOKUP(K144,'Fevereiro 2023 - Valor Real'!A3:A15,'Fevereiro 2023 - Valor Real'!C3:C15,0))+1))/((L144-1)*(1-_xlfn.XLOOKUP(K144,'Fevereiro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Real'!C3:C15,0))+1))/((L142-1)*(1-_xlfn.XLOOKUP(K142,'Fevereiro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Real'!C3:C15,0))+1))/((L143-1)*(1-_xlfn.XLOOKUP(K143,'Fevereiro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Real'!C3:C15,0))+1))/((L144-1)*(1-_xlfn.XLOOKUP(K144,'Fevereiro 2023 - Valor Real'!A3:A15,'Fevereiro 2023 - Valor Real'!C3:C15,0))+1)))</f>
        <v/>
      </c>
      <c r="AF144" s="66">
        <f t="shared" ref="AF144:AR153" si="305">IF($K144=AF$3,ROUND(IF(OR($C144="W",$C144="1/2W",$C144="1/2L"),$P144-$O144,IF($C144="X",0,-$O144)),2),0)</f>
        <v>0</v>
      </c>
      <c r="AG144" s="67">
        <f t="shared" si="305"/>
        <v>0</v>
      </c>
      <c r="AH144" s="67">
        <f t="shared" si="305"/>
        <v>0</v>
      </c>
      <c r="AI144" s="67">
        <f t="shared" si="305"/>
        <v>0</v>
      </c>
      <c r="AJ144" s="67">
        <f t="shared" si="305"/>
        <v>0</v>
      </c>
      <c r="AK144" s="67">
        <f t="shared" si="305"/>
        <v>0</v>
      </c>
      <c r="AL144" s="67">
        <f t="shared" si="305"/>
        <v>0</v>
      </c>
      <c r="AM144" s="67">
        <f t="shared" si="305"/>
        <v>0</v>
      </c>
      <c r="AN144" s="67">
        <f t="shared" si="305"/>
        <v>0</v>
      </c>
      <c r="AO144" s="67">
        <f t="shared" si="305"/>
        <v>0</v>
      </c>
      <c r="AP144" s="67">
        <f t="shared" si="305"/>
        <v>0</v>
      </c>
      <c r="AQ144" s="67">
        <f t="shared" si="305"/>
        <v>0</v>
      </c>
      <c r="AR144" s="68">
        <f t="shared" si="305"/>
        <v>0</v>
      </c>
      <c r="AS144" s="66">
        <f>IF(AND($B142=" ",$K144=AS$3),$O144,0)</f>
        <v>0</v>
      </c>
      <c r="AT144" s="67">
        <f>IF(AND($B142=" ",K144=AT$3),$O144,0)</f>
        <v>0</v>
      </c>
      <c r="AU144" s="67">
        <f t="shared" ref="AU144:BE144" si="306">IF(AND($B142=" ",$K144=AU$3),$O144,0)</f>
        <v>0</v>
      </c>
      <c r="AV144" s="67">
        <f t="shared" si="306"/>
        <v>0</v>
      </c>
      <c r="AW144" s="67">
        <f t="shared" si="306"/>
        <v>0</v>
      </c>
      <c r="AX144" s="67">
        <f t="shared" si="306"/>
        <v>0</v>
      </c>
      <c r="AY144" s="69">
        <f t="shared" si="306"/>
        <v>0</v>
      </c>
      <c r="AZ144" s="70">
        <f t="shared" si="306"/>
        <v>0</v>
      </c>
      <c r="BA144" s="70">
        <f t="shared" si="306"/>
        <v>0</v>
      </c>
      <c r="BB144" s="70">
        <f t="shared" si="306"/>
        <v>0</v>
      </c>
      <c r="BC144" s="71">
        <f t="shared" si="306"/>
        <v>0</v>
      </c>
      <c r="BD144" s="67">
        <f t="shared" si="306"/>
        <v>0</v>
      </c>
      <c r="BE144" s="68">
        <f t="shared" si="306"/>
        <v>0</v>
      </c>
      <c r="BF144" s="66">
        <f t="shared" ref="BF144:BR153" si="307">IF($K144=BF$3,IF($C144="X",0,$O144),0)</f>
        <v>0</v>
      </c>
      <c r="BG144" s="168">
        <f t="shared" si="307"/>
        <v>0</v>
      </c>
      <c r="BH144" s="67">
        <f t="shared" si="307"/>
        <v>0</v>
      </c>
      <c r="BI144" s="67">
        <f t="shared" si="307"/>
        <v>0</v>
      </c>
      <c r="BJ144" s="67">
        <f t="shared" si="307"/>
        <v>0</v>
      </c>
      <c r="BK144" s="67">
        <f t="shared" si="307"/>
        <v>0</v>
      </c>
      <c r="BL144" s="67">
        <f t="shared" si="307"/>
        <v>0</v>
      </c>
      <c r="BM144" s="69">
        <f t="shared" si="307"/>
        <v>0</v>
      </c>
      <c r="BN144" s="70">
        <f t="shared" si="307"/>
        <v>0</v>
      </c>
      <c r="BO144" s="70">
        <f t="shared" si="307"/>
        <v>0</v>
      </c>
      <c r="BP144" s="70">
        <f t="shared" si="307"/>
        <v>0</v>
      </c>
      <c r="BQ144" s="71">
        <f t="shared" si="307"/>
        <v>0</v>
      </c>
      <c r="BR144" s="68">
        <f t="shared" si="307"/>
        <v>0</v>
      </c>
      <c r="BS144" s="491"/>
      <c r="BT144" s="489"/>
      <c r="BU144" s="392"/>
      <c r="BV144" s="489"/>
      <c r="BW144" s="392"/>
      <c r="BX144" s="392"/>
      <c r="BY144" s="392"/>
      <c r="BZ144" s="489"/>
      <c r="CA144" s="392"/>
      <c r="CB144" s="392"/>
      <c r="CC144" s="392"/>
      <c r="CD144" s="401"/>
      <c r="CE144" s="409"/>
      <c r="CF144" s="169">
        <f t="shared" si="258"/>
        <v>0</v>
      </c>
      <c r="CG144" s="170">
        <f t="shared" si="259"/>
        <v>0</v>
      </c>
      <c r="CH144" s="170">
        <f t="shared" si="260"/>
        <v>0</v>
      </c>
      <c r="CI144" s="170">
        <f t="shared" si="261"/>
        <v>0</v>
      </c>
      <c r="CJ144" s="170">
        <f t="shared" si="262"/>
        <v>0</v>
      </c>
      <c r="CK144" s="170">
        <f t="shared" si="263"/>
        <v>0</v>
      </c>
      <c r="CL144" s="170">
        <f t="shared" si="264"/>
        <v>0</v>
      </c>
      <c r="CM144" s="170">
        <f t="shared" si="265"/>
        <v>0</v>
      </c>
      <c r="CN144" s="170">
        <f t="shared" si="266"/>
        <v>0</v>
      </c>
      <c r="CO144" s="170">
        <f t="shared" si="267"/>
        <v>0</v>
      </c>
      <c r="CP144" s="170">
        <f t="shared" si="268"/>
        <v>0</v>
      </c>
      <c r="CQ144" s="170">
        <f t="shared" si="269"/>
        <v>0</v>
      </c>
      <c r="CR144" s="170">
        <f t="shared" si="270"/>
        <v>0</v>
      </c>
      <c r="CS144" s="170">
        <f t="shared" si="271"/>
        <v>0</v>
      </c>
      <c r="CT144" s="75">
        <f t="shared" si="272"/>
        <v>0</v>
      </c>
      <c r="CU144" s="76">
        <f t="shared" si="273"/>
        <v>0</v>
      </c>
      <c r="CV144" s="76">
        <f t="shared" si="274"/>
        <v>0</v>
      </c>
      <c r="CW144" s="76">
        <f t="shared" si="275"/>
        <v>0</v>
      </c>
      <c r="CX144" s="76">
        <f t="shared" si="276"/>
        <v>0</v>
      </c>
      <c r="CY144" s="76">
        <f t="shared" si="277"/>
        <v>0</v>
      </c>
      <c r="CZ144" s="76">
        <f t="shared" si="278"/>
        <v>0</v>
      </c>
      <c r="DA144" s="76">
        <f t="shared" si="279"/>
        <v>0</v>
      </c>
      <c r="DB144" s="76">
        <f t="shared" si="280"/>
        <v>0</v>
      </c>
      <c r="DC144" s="76">
        <f t="shared" si="281"/>
        <v>0</v>
      </c>
      <c r="DD144" s="76">
        <f t="shared" si="282"/>
        <v>0</v>
      </c>
      <c r="DE144" s="77">
        <f t="shared" si="283"/>
        <v>0</v>
      </c>
      <c r="DF144" s="73">
        <f t="shared" si="286"/>
        <v>12</v>
      </c>
      <c r="DG144" s="67">
        <f t="shared" si="287"/>
        <v>15.760000000000002</v>
      </c>
      <c r="DH144" s="76">
        <f t="shared" si="288"/>
        <v>2</v>
      </c>
      <c r="DI144" s="67">
        <f t="shared" si="289"/>
        <v>8.4</v>
      </c>
      <c r="DJ144" s="202" t="str">
        <f>IF($D142="","",$D142)</f>
        <v>3</v>
      </c>
      <c r="DK144" s="493"/>
    </row>
    <row r="145" spans="1:115" ht="14.5" customHeight="1" x14ac:dyDescent="0.2">
      <c r="A145" s="459">
        <f>$A142+1</f>
        <v>48</v>
      </c>
      <c r="B145" s="507" t="str">
        <f>IF(OR(C145="W",C146="W",C147="W",C145="1/2W",C146="1/2W",C147="1/2W",C145="1/2L",C146="1/2L",C147="1/2L"),"OK",IF(OR(C145="L",C146="L",C147="L"),"LOSS",IF(OR(C145="X",C146="X",C147="X"),"Anulado"," ")))</f>
        <v>OK</v>
      </c>
      <c r="C145" s="93" t="s">
        <v>55</v>
      </c>
      <c r="D145" s="468" t="str">
        <f>IF(G145="","",$D142)</f>
        <v>3</v>
      </c>
      <c r="E145" s="485" t="str">
        <f>IF(G145=""," ","– "&amp;COUNTIF(D$4:D147,$D145))</f>
        <v>– 5</v>
      </c>
      <c r="F145" s="509" t="str">
        <f ca="1">IF(G145="","",IF(OR(AND($C145&lt;&gt;" ",$C146=" "),AND($C146&lt;&gt;" ",$C145=" "),AND(L147&gt;0,OR(AND($C147&lt;&gt;" ",OR($C145=" ",$C146=" ")),AND($C147=" ",OR($C145&lt;&gt;" ",$C146&lt;&gt;" "))))),IF(SUM(F$4:F144)=0,1,LARGE(F$4:F144,1)+1),IF(MONTH(G145)=MONTH(TODAY()),IF(AND(DAY(G145)&lt;DAY(TODAY()),$B145=" "),IF(SUM(F$4:F144)=0,1,LARGE(F$4:F144,1)+1),IF($B145=" ",IF(AND(DAY(G145)=DAY(TODAY()),HOUR(G145)&lt;=HOUR(NOW())+1),IF(AND(HOUR(G145)+2&lt;=HOUR(NOW()),DAY(G145)&lt;=DAY(TODAY()),MINUTE(G145)&lt;=MINUTE(NOW())),IF(SUM(F$4:F144)=0,1,LARGE(F$4:F144,1)+1),IF(OR(MINUTE(G145)&lt;=MINUTE(NOW()),HOUR(G145)&lt;=HOUR(NOW())),"!!!","")),""),"")),"")))</f>
        <v/>
      </c>
      <c r="G145" s="482">
        <f>IF(H145="","",_xlfn.XLOOKUP(H145,$H$4:H144,$G$4:G144,""))</f>
        <v>44988.270833333336</v>
      </c>
      <c r="H145" s="475" t="s">
        <v>100</v>
      </c>
      <c r="I145" s="175">
        <v>1</v>
      </c>
      <c r="J145" s="176"/>
      <c r="K145" s="96" t="s">
        <v>37</v>
      </c>
      <c r="L145" s="97">
        <v>1.8</v>
      </c>
      <c r="M145" s="98"/>
      <c r="N145" s="478">
        <v>0</v>
      </c>
      <c r="O145" s="99">
        <f>IF(OR(AE145="",AE146=""),"",ROUND(IF(L147&gt;0,IF(M145&gt;0,M145,IF(M146&gt;0,ROUND((M146*AE145)/AE146,IF(N145=0,2,IF(N145=0.1,1,0))),ROUND((M147*AE145)/AE147,IF(N145=0,2,IF(N145=0.1,1,0))))),IF(M145&gt;0,M145,ROUND((M146*AE145)/AE146,IF(N145=0,2,IF(N145=0.1,1,0))))),2))</f>
        <v>24.02</v>
      </c>
      <c r="P145" s="100">
        <f>IF(OR(L145="",O145=""),"",IF($C145="1/2W",O145/2+O145/2*L145,IF($C145="1/2L",O145/2,IF(I145="Lay",(O145*(L145/(L145-1))-O145)*(1-_xlfn.XLOOKUP(K145,'Fevereiro 2023 - Valor Real'!A3:A15,'Fevereiro 2023 - Valor Real'!C3:C15,0))+O145,(O145*L145-O145)*(1-_xlfn.XLOOKUP(K145,'Fevereiro 2023 - Valor Real'!A3:A15,'Fevereiro 2023 - Valor Real'!C3:C15,0))+O145))))</f>
        <v>43.235999999999997</v>
      </c>
      <c r="Q145" s="101">
        <f>IF(K145="","",IF(_xlfn.XLOOKUP(K145,K$4:K144,$DJ$4:DJ144,0,,-1)=DJ145,_xlfn.XLOOKUP(K145,K$4:K144,Q$4:Q144,1,,-1)+1,1))</f>
        <v>2</v>
      </c>
      <c r="R145" s="102">
        <f>IF(K145="","",_xlfn.XLOOKUP(K145,K$4:K144,R$4:R144,0,,-1)+IF($C145=" ",1,0))</f>
        <v>0</v>
      </c>
      <c r="S145" s="474">
        <f>IF($B145="Anulado",0,ROUND(IF(OR($B145="LOSS",$B145="OK"),IF(OR($C145="W",$C145="1/2W",$C145="1/2L"),P145-O145,IF($C145="L",-O145,0))+IF(OR($C146="W",$C146="1/2W",$C146="1/2L"),P146-O146,IF($C146="L",-O146,0))+IF(OR($C147="W",$C147="1/2W",$C147="1/2L"),P147-O147,IF($C147="L",-O147,0)),IF(AND(OR($C145="W",$C145="1/2W",$C145="1/2L"),C146="W"),P145+P146-SUM(O145:O147)+_xlfn.XLOOKUP("X",C145:C147,O145:O147,0),IF(AND(C145=TRUE,C147="W"),P145+P147-SUM(O145:O147),IF(AND(C146="W",C147="W"),P146+P147-SUM(O145:O147)+_xlfn.XLOOKUP("X",C145:C147,O145:O147,0),IF(L147&gt;0,IF(OR($C145="W",$C145="1/2W",$C145="1/2L"),P145-SUM(O145:O147)+_xlfn.XLOOKUP("X",C145:C147,O145:O147,0),IF(OR($C145="W",$C145="1/2W",$C145="1/2L"),P146-SUM(O145:O147)+_xlfn.XLOOKUP("X",C145:C147,O145:O147,0),IF(OR($C145="W",$C145="1/2W",$C145="1/2L"),P147-SUM(O145:O147)+_xlfn.XLOOKUP("X",C145:C147,O145:O147,0),IF(SUM(P145:P147)/3-SUM(O145:O147)+_xlfn.XLOOKUP("X",C145:C147,O145:O147,0)&gt;0,SUM(P145:P147)/3-SUM(O145:O147)+_xlfn.XLOOKUP("X",C145:C147,O145:O147,0),LARGE(P145:P147,1)-SUM(O145:O147))))),IF(OR($C145="W",$C145="1/2W",$C145="1/2L"),P145-SUM(O145:O146)+_xlfn.XLOOKUP("X",C145:C147,O145:O147,0),IF(OR($C145="W",$C145="1/2W",$C145="1/2L"),P146-SUM(O145:O146)+_xlfn.XLOOKUP("X",C145:C147,O145:O147,0),SUM(P145:P146)/2-SUM(O145:O146)+_xlfn.XLOOKUP("X",C145:C147,O145:O147,0)))))))),2))</f>
        <v>2.13</v>
      </c>
      <c r="T145" s="458">
        <f>IF(S145=0,0,S145/SUM(O145:O147))</f>
        <v>5.1812211140841641E-2</v>
      </c>
      <c r="U145" s="470">
        <f>IF($D145=$D142,IF(OR($B145="LOSS",$B145="OK",$B145="Anulada"),S145,0)+U142,IF(OR($B145="LOSS",$B145="OK",$B145="Anulada"),S145,0))</f>
        <v>14.229999999999997</v>
      </c>
      <c r="V145" s="470">
        <f>IF($D145="",0,IF($D145=$D142,IF($B145=" ",IF(I147="",IF(OR(AND(I145="DNB1",I146="DNB2"),AND(OR(I145="DNB1",I145="DNB2"),J146=0),AND(OR(I146="DNB1",I146="DNB2"),J145=0),AND(I145="DNB2",I146="DNB1"),AND(IF(J145=0,(J145+1)/ROUND(J145+1,0),J145/ROUND(J145,0))=1,IF(J146=0,(J146+1)/ROUND(IF(J146="",0,J146)+1,0),IF(J146="",0,J146)/ROUND(IF(J146="",1,J146),0))=1,OR(J145&lt;&gt;""),J146&lt;&gt;"")),0,IF(S145&lt;0,IF(I147="",SMALL(P145:P146,1)-SUM(O145:O146),0),SMALL(P145:P146,1)-SUM(O145:O146))),IF(S145&lt;0,IF(I147="",SMALL(P145:P147,1)-SUM(O145:O147),0),LARGE(P145:P147,1)-SUM(O145:O147))),S145)+V142,IF(I147="",IF(OR(AND(I145="DNB1",I146="DNB2"),AND(OR(I145="DNB1",I145="DNB2"),J146=0),AND(OR(I146="DNB1",I146="DNB2"),J145=0),AND(I145="DNB2",I146="DNB1"),AND(IF(J145=0,(J145+1)/ROUND(J145+1,0),J145/ROUND(J145,0))=1,IF(J146=0,(IF(J146="",0,J146)+1)/ROUND(IF(J146="",0,J146)+1,0),IF(J146="",0,J146)/ROUND(IF(J146="",0,J146)+1,0))=1,OR(J145&lt;&gt;""),J146&lt;&gt;"")),0,IF(S145&lt;0,IF(I147="",SMALL(P145:P146,1)-SUM(O145:O146),0),SMALL(P145:P147,1)-SUM(O145:O147))),IF(S145&lt;0,IF(I147="",SMALL(P145:P147,1)-SUM(O145:O147),0),LARGE(P145:P147,1)-SUM(O145:O147)))))</f>
        <v>14.219999999999999</v>
      </c>
      <c r="W145" s="470">
        <f>IF($D145=$D142,IF(S145&lt;0,IF(I147="",S145,0),S145)+W142,S145)</f>
        <v>14.229999999999997</v>
      </c>
      <c r="X145" s="480" t="str">
        <f>IF(OR(SUM(R145:R147)=0,V145=W145),ROUND(IF(W145=0,0,W145/Y145)*100,2)&amp;"%",ROUND(IF(V145=0,0,V145/Y145)*100,2)&amp;"% a "&amp;ROUND(IF(W145=0,0,W145/Y145)*100,2)&amp;"%")</f>
        <v>4,98%</v>
      </c>
      <c r="Y145" s="471">
        <f>IF($D145=$D142,Y142+SUM(O145:O147),SUM(O145:O147))</f>
        <v>285.71999999999997</v>
      </c>
      <c r="Z145" s="470">
        <f>IF($B145=" ",SUM(O145:O147),0)+Z142</f>
        <v>0</v>
      </c>
      <c r="AA145" s="470">
        <f>IF(G145="","",IF($B145="Anulado",LARGE(P145:P147,1)-SUM(O145:O147)+AA142,AA142))</f>
        <v>0.45899999999999785</v>
      </c>
      <c r="AB145" s="470">
        <f>IF($D145="","",AB142+S145)</f>
        <v>125.08999999999996</v>
      </c>
      <c r="AC145" s="472">
        <f ca="1">IF($D145="","",IF($B145=" ",IF(DAY(G145)=DAY(TODAY()),1+AC142,0+AC142),0+AC142))</f>
        <v>0</v>
      </c>
      <c r="AD145" s="103">
        <f>(((L146/(L146-1)-1)*(1-_xlfn.XLOOKUP(K146,'Fevereiro 2023 - Valor Real'!A3:A15,'Fevereiro 2023 - Valor Real'!C3:C15,0))+1))/(((L145-1)*(1-_xlfn.XLOOKUP(K145,'Fevereiro 2023 - Valor Real'!A3:A15,'Fevereiro 2023 - Valor Real'!C3:C15,0))+1)+((L146/(L146-1)-1)*(1-_xlfn.XLOOKUP(K146,'Fevereiro 2023 - Valor Real'!A3:A15,'Fevereiro 2023 - Valor Real'!C3:C15,0))+1))</f>
        <v>0.47880393641180924</v>
      </c>
      <c r="AE145" s="104">
        <f>IF(L145="","",IF(L147&gt;0,(SUM(((L145-1)*(1-_xlfn.XLOOKUP(K145,'Fevereiro 2023 - Valor Real'!A3:A15,'Fevereiro 2023 - Valor Real'!C3:C15,0))+1),((L146-1)*(1-_xlfn.XLOOKUP(K146,'Fevereiro 2023 - Valor Real'!A3:A15,'Fevereiro 2023 - Valor Real'!C3:C15,0))+1),((L147-1)*(1-_xlfn.XLOOKUP(K147,'Fevereiro 2023 - Valor Real'!A3:A15,'Fevereiro 2023 - Valor Real'!C3:C15,0))+1))/((L145-1)*(1-_xlfn.XLOOKUP(K145,'Fevereiro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Real'!C3:C15,0))+1))/((L145-1)*(1-_xlfn.XLOOKUP(K145,'Fevereiro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Real'!C3:C15,0))+1))/((L146-1)*(1-_xlfn.XLOOKUP(K146,'Fevereiro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Real'!C3:C15,0))+1))/((L147-1)*(1-_xlfn.XLOOKUP(K147,'Fevereiro 2023 - Valor Real'!A3:A15,'Fevereiro 2023 - Valor Real'!C3:C15,0))+1)),IF(I145="Lay",IF(I146="Lay",((L146/(L146-1)-1)*(1-_xlfn.XLOOKUP(K146,'Fevereiro 2023 - Valor Real'!A3:A15,'Fevereiro 2023 - Valor Real'!C3:C15,0))+1)/(((L146/(L146-1)-1)*(1-_xlfn.XLOOKUP(K146,'Fevereiro 2023 - Valor Real'!A3:A15,'Fevereiro 2023 - Valor Real'!C3:C15,0))+1)+((L145/(L145-1)-1)*(1-_xlfn.XLOOKUP(K145,'Fevereiro 2023 - Valor Real'!A3:A15,'Fevereiro 2023 - Valor Real'!C3:C15,0))+1)),((L146-1)*(1-_xlfn.XLOOKUP(K146,'Fevereiro 2023 - Valor Real'!A3:A15,'Fevereiro 2023 - Valor Real'!C3:C15,0))+1)/(((L146-1)*(1-_xlfn.XLOOKUP(K146,'Fevereiro 2023 - Valor Real'!A3:A15,'Fevereiro 2023 - Valor Real'!C3:C15,0))+1)+((L145/(L145-1)-1)*(1-_xlfn.XLOOKUP(K145,'Fevereiro 2023 - Valor Real'!A3:A15,'Fevereiro 2023 - Valor Real'!C3:C15,0))+1))),IF(I146="Lay",(((L146/(L146-1)-1)*(1-_xlfn.XLOOKUP(K146,'Fevereiro 2023 - Valor Real'!A3:A15,'Fevereiro 2023 - Valor Real'!C3:C15,0))+1))/(((L145-1)*(1-_xlfn.XLOOKUP(K145,'Fevereiro 2023 - Valor Real'!A3:A15,'Fevereiro 2023 - Valor Real'!C3:C15,0))+1)+((L146/(L146-1)-1)*(1-_xlfn.XLOOKUP(K146,'Fevereiro 2023 - Valor Real'!A3:A15,'Fevereiro 2023 - Valor Real'!C3:C15,0))+1)),((L146-1)*(1-_xlfn.XLOOKUP(K146,'Fevereiro 2023 - Valor Real'!A3:A15,'Fevereiro 2023 - Valor Real'!C3:C15,0))+1)/(((L146-1)*(1-_xlfn.XLOOKUP(K146,'Fevereiro 2023 - Valor Real'!A3:A15,'Fevereiro 2023 - Valor Real'!C3:C15,0))+1)+((L145-1)*(1-_xlfn.XLOOKUP(K145,'Fevereiro 2023 - Valor Real'!A3:A15,'Fevereiro 2023 - Valor Real'!C3:C15,0))+1))))))</f>
        <v>0.58429561200923785</v>
      </c>
      <c r="AF145" s="105">
        <f t="shared" si="305"/>
        <v>0</v>
      </c>
      <c r="AG145" s="106">
        <f t="shared" si="305"/>
        <v>-24.02</v>
      </c>
      <c r="AH145" s="106">
        <f t="shared" si="305"/>
        <v>0</v>
      </c>
      <c r="AI145" s="106">
        <f t="shared" si="305"/>
        <v>0</v>
      </c>
      <c r="AJ145" s="106">
        <f t="shared" si="305"/>
        <v>0</v>
      </c>
      <c r="AK145" s="106">
        <f t="shared" si="305"/>
        <v>0</v>
      </c>
      <c r="AL145" s="106">
        <f t="shared" si="305"/>
        <v>0</v>
      </c>
      <c r="AM145" s="106">
        <f t="shared" si="305"/>
        <v>0</v>
      </c>
      <c r="AN145" s="106">
        <f t="shared" si="305"/>
        <v>0</v>
      </c>
      <c r="AO145" s="106">
        <f t="shared" si="305"/>
        <v>0</v>
      </c>
      <c r="AP145" s="106">
        <f t="shared" si="305"/>
        <v>0</v>
      </c>
      <c r="AQ145" s="106">
        <f t="shared" si="305"/>
        <v>0</v>
      </c>
      <c r="AR145" s="107">
        <f t="shared" si="305"/>
        <v>0</v>
      </c>
      <c r="AS145" s="105">
        <f t="shared" ref="AS145:BE145" si="308">IF(AND($B145=" ",$K145=AS$3),$O145,0)</f>
        <v>0</v>
      </c>
      <c r="AT145" s="106">
        <f t="shared" si="308"/>
        <v>0</v>
      </c>
      <c r="AU145" s="106">
        <f t="shared" si="308"/>
        <v>0</v>
      </c>
      <c r="AV145" s="106">
        <f t="shared" si="308"/>
        <v>0</v>
      </c>
      <c r="AW145" s="106">
        <f t="shared" si="308"/>
        <v>0</v>
      </c>
      <c r="AX145" s="106">
        <f t="shared" si="308"/>
        <v>0</v>
      </c>
      <c r="AY145" s="108">
        <f t="shared" si="308"/>
        <v>0</v>
      </c>
      <c r="AZ145" s="109">
        <f t="shared" si="308"/>
        <v>0</v>
      </c>
      <c r="BA145" s="109">
        <f t="shared" si="308"/>
        <v>0</v>
      </c>
      <c r="BB145" s="109">
        <f t="shared" si="308"/>
        <v>0</v>
      </c>
      <c r="BC145" s="110">
        <f t="shared" si="308"/>
        <v>0</v>
      </c>
      <c r="BD145" s="106">
        <f t="shared" si="308"/>
        <v>0</v>
      </c>
      <c r="BE145" s="107">
        <f t="shared" si="308"/>
        <v>0</v>
      </c>
      <c r="BF145" s="111">
        <f t="shared" si="307"/>
        <v>0</v>
      </c>
      <c r="BG145" s="106">
        <f t="shared" si="307"/>
        <v>24.02</v>
      </c>
      <c r="BH145" s="106">
        <f t="shared" si="307"/>
        <v>0</v>
      </c>
      <c r="BI145" s="106">
        <f t="shared" si="307"/>
        <v>0</v>
      </c>
      <c r="BJ145" s="106">
        <f t="shared" si="307"/>
        <v>0</v>
      </c>
      <c r="BK145" s="106">
        <f t="shared" si="307"/>
        <v>0</v>
      </c>
      <c r="BL145" s="106">
        <f t="shared" si="307"/>
        <v>0</v>
      </c>
      <c r="BM145" s="108">
        <f t="shared" si="307"/>
        <v>0</v>
      </c>
      <c r="BN145" s="109">
        <f t="shared" si="307"/>
        <v>0</v>
      </c>
      <c r="BO145" s="109">
        <f t="shared" si="307"/>
        <v>0</v>
      </c>
      <c r="BP145" s="109">
        <f t="shared" si="307"/>
        <v>0</v>
      </c>
      <c r="BQ145" s="110">
        <f t="shared" si="307"/>
        <v>0</v>
      </c>
      <c r="BR145" s="107">
        <f t="shared" si="307"/>
        <v>0</v>
      </c>
      <c r="BS145" s="463">
        <f>IF($B145="LOSS",IF(AND($K145=BS$3,$C145="L"),-$O145,0)+IF(AND($K146=BS$3,$C146="L"),-$O146,0)+IF(AND($K147=BS$3,$C147="L"),-$O147,0),IF(OR(AND($K145=BS$3,OR($C145="W",$C145="1/2W")),AND($K146=BS$3,OR($C146="W",$C146="1/2W")),AND($K147=BS$3,OR($C147="W",$C147="1/2W"))),$S145,0))</f>
        <v>0</v>
      </c>
      <c r="BT145" s="462">
        <f>IF($B145="LOSS",IF(AND($K145=BT$3,$C145="L"),-$O145,0)+IF(AND($K146=BT$3,$C146="L"),-$O146,0)+IF(AND($K146=BT$3,$C147="L"),-$O147,0),IF(OR(AND($K146=BT$3,OR($C145="W",$C145="1/2W")),AND($K146=BT$3,OR($C146="W",$C146="1/2W")),AND($K146=BT$3,OR($C147="W",$C147="1/2W"))),$S145,0))</f>
        <v>0</v>
      </c>
      <c r="BU145" s="462">
        <f>IF($B145="LOSS",IF(AND($K145=BU$3,$C145="L"),-$O145,0)+IF(AND($K146=BU$3,$C146="L"),-$O146,0)+IF(AND($K146=BU$3,$C147="L"),-$O147,0),IF(OR(AND($K146=BU$3,OR($C145="W",$C145="1/2W")),AND($K146=BU$3,OR($C146="W",$C146="1/2W")),AND($K146=BU$3,OR($C147="W",$C147="1/2W"))),$S145,0))</f>
        <v>0</v>
      </c>
      <c r="BV145" s="462">
        <f t="shared" ref="BV145:CE145" si="309">IF($B145="LOSS",IF(AND($K145=BV$3,$C145="L"),-$O145,0)+IF(AND($K146=BV$3,$C146="L"),-$O146,0)+IF(AND($K147=BV$3,$C147="L"),-$O147,0),IF(OR(AND($K145=BV$3,OR($C145="W",$C145="1/2W")),AND($K146=BV$3,OR($C146="W",$C146="1/2W")),AND($K147=BV$3,OR($C147="W",$C147="1/2W"))),$S145,0))</f>
        <v>0</v>
      </c>
      <c r="BW145" s="462">
        <f t="shared" si="309"/>
        <v>0</v>
      </c>
      <c r="BX145" s="462">
        <f t="shared" si="309"/>
        <v>0</v>
      </c>
      <c r="BY145" s="462">
        <f t="shared" si="309"/>
        <v>0</v>
      </c>
      <c r="BZ145" s="460">
        <f t="shared" si="309"/>
        <v>0</v>
      </c>
      <c r="CA145" s="460">
        <f t="shared" si="309"/>
        <v>0</v>
      </c>
      <c r="CB145" s="460">
        <f t="shared" si="309"/>
        <v>0</v>
      </c>
      <c r="CC145" s="460">
        <f t="shared" si="309"/>
        <v>0</v>
      </c>
      <c r="CD145" s="473">
        <f t="shared" si="309"/>
        <v>2.13</v>
      </c>
      <c r="CE145" s="479">
        <f t="shared" si="309"/>
        <v>0</v>
      </c>
      <c r="CF145" s="113">
        <f t="shared" si="258"/>
        <v>0</v>
      </c>
      <c r="CG145" s="114">
        <f t="shared" si="259"/>
        <v>0</v>
      </c>
      <c r="CH145" s="114">
        <f t="shared" si="260"/>
        <v>0</v>
      </c>
      <c r="CI145" s="114">
        <f t="shared" si="261"/>
        <v>1</v>
      </c>
      <c r="CJ145" s="114">
        <f t="shared" si="262"/>
        <v>0</v>
      </c>
      <c r="CK145" s="114">
        <f t="shared" si="263"/>
        <v>0</v>
      </c>
      <c r="CL145" s="114">
        <f t="shared" si="264"/>
        <v>0</v>
      </c>
      <c r="CM145" s="114">
        <f t="shared" si="265"/>
        <v>0</v>
      </c>
      <c r="CN145" s="114">
        <f t="shared" si="266"/>
        <v>0</v>
      </c>
      <c r="CO145" s="114">
        <f t="shared" si="267"/>
        <v>0</v>
      </c>
      <c r="CP145" s="114">
        <f t="shared" si="268"/>
        <v>0</v>
      </c>
      <c r="CQ145" s="114">
        <f t="shared" si="269"/>
        <v>0</v>
      </c>
      <c r="CR145" s="114">
        <f t="shared" si="270"/>
        <v>0</v>
      </c>
      <c r="CS145" s="114">
        <f t="shared" si="271"/>
        <v>0</v>
      </c>
      <c r="CT145" s="115">
        <f t="shared" si="272"/>
        <v>0</v>
      </c>
      <c r="CU145" s="116">
        <f t="shared" si="273"/>
        <v>0</v>
      </c>
      <c r="CV145" s="116">
        <f t="shared" si="274"/>
        <v>0</v>
      </c>
      <c r="CW145" s="116">
        <f t="shared" si="275"/>
        <v>0</v>
      </c>
      <c r="CX145" s="116">
        <f t="shared" si="276"/>
        <v>0</v>
      </c>
      <c r="CY145" s="116">
        <f t="shared" si="277"/>
        <v>0</v>
      </c>
      <c r="CZ145" s="116">
        <f t="shared" si="278"/>
        <v>0</v>
      </c>
      <c r="DA145" s="116">
        <f t="shared" si="279"/>
        <v>0</v>
      </c>
      <c r="DB145" s="116">
        <f t="shared" si="280"/>
        <v>0</v>
      </c>
      <c r="DC145" s="116">
        <f t="shared" si="281"/>
        <v>0</v>
      </c>
      <c r="DD145" s="116">
        <f t="shared" si="282"/>
        <v>0</v>
      </c>
      <c r="DE145" s="117">
        <f t="shared" si="283"/>
        <v>0</v>
      </c>
      <c r="DF145" s="118">
        <f t="shared" si="286"/>
        <v>12</v>
      </c>
      <c r="DG145" s="106">
        <f t="shared" si="287"/>
        <v>15.760000000000002</v>
      </c>
      <c r="DH145" s="116">
        <f t="shared" si="288"/>
        <v>2</v>
      </c>
      <c r="DI145" s="106">
        <f t="shared" si="289"/>
        <v>8.4</v>
      </c>
      <c r="DJ145" s="201" t="str">
        <f>IF($D145="","",$D145)</f>
        <v>3</v>
      </c>
      <c r="DK145" s="465">
        <f>IF(AND($B145=" ",$D145&lt;&gt;""),1,0)</f>
        <v>0</v>
      </c>
    </row>
    <row r="146" spans="1:115" ht="14.5" customHeight="1" x14ac:dyDescent="0.2">
      <c r="A146" s="389"/>
      <c r="B146" s="456"/>
      <c r="C146" s="120" t="s">
        <v>54</v>
      </c>
      <c r="D146" s="374"/>
      <c r="E146" s="386"/>
      <c r="F146" s="377"/>
      <c r="G146" s="483"/>
      <c r="H146" s="476"/>
      <c r="I146" s="121" t="s">
        <v>49</v>
      </c>
      <c r="J146" s="179" t="str">
        <f>IF(OR(I145="TO",I145="TU",I145="TO1",I145="TU1",I145="TO2",I145="TU2"),J145,IF(OR(I145="AH1",I145="AH2"),IF(OR(I146="AH1",I146="AH2"),-J145,IF(OR(I146="EH1",I146="EH2"),-J145+0.5,"")),IF(OR(I145="EH1",I145="EH2"),IF(OR(I146="AH1",I146="AH2"),-J145+0.5,IF(OR(I146="EH1",I146="EH2"),-J145+1,"")),IF(AND(OR(I145="DNB1",I145="DNB2"),OR(I146="AH1",I146="AH2")),0,IF(AND(I145="Not ScoreBoth",OR(I146="TO1",I146="TO2")),0.5,"")))))</f>
        <v/>
      </c>
      <c r="K146" s="123" t="s">
        <v>47</v>
      </c>
      <c r="L146" s="124">
        <v>2.5299999999999998</v>
      </c>
      <c r="M146" s="125">
        <v>17.09</v>
      </c>
      <c r="N146" s="406"/>
      <c r="O146" s="126">
        <f>IF(OR(AE145="",AE146=""),"",ROUND(IF(L147&gt;0,IF(M146&gt;0,M146,IF(M145&gt;0,IF(N145=TRUE,ROUND((M145*AE146)/AE145,0),(M145*AE146)/AE145),IF(M146&gt;0,ROUND(M146,IF(N145=0,2,IF(N145=0.1,1,0))),IF(M147&gt;0,ROUND(O147*AE146/AE147,IF(N145=0,2,IF(N145=0.1,1,0))),0)))),IF(M146&gt;0,M146,ROUND((M145*AE146)/AE145,IF(N145=0,2,IF(N145=0.1,1,0))))),2))</f>
        <v>17.09</v>
      </c>
      <c r="P146" s="127">
        <f>IF(OR(L146="",O146=""),"",IF($C146="1/2W",O146/2+O146/2*L146,IF($C146="1/2L",O146/2,IF(I146="Lay",((O146*(L146/(L146-1)))-O146)*(1-_xlfn.XLOOKUP(K146,'Fevereiro 2023 - Valor Real'!A3:A15,'Fevereiro 2023 - Valor Real'!C3:C15,0))+O146,(O146*L146-O146)*(1-_xlfn.XLOOKUP(K146,'Fevereiro 2023 - Valor Real'!A3:A15,'Fevereiro 2023 - Valor Real'!C3:C15,0))+O146))))</f>
        <v>43.237699999999997</v>
      </c>
      <c r="Q146" s="128">
        <f>IF(K146="","",IF(_xlfn.XLOOKUP(K146,K$4:K145,$DJ$4:DJ145,0,,-1)=DJ146,_xlfn.XLOOKUP(K146,K$4:K145,Q$4:Q145,1,,-1)+1,1))</f>
        <v>3</v>
      </c>
      <c r="R146" s="129">
        <f>IF(K146="","",_xlfn.XLOOKUP(K146,K$4:K145,R$4:R145,0,,-1)+IF($C146=" ",1,0))</f>
        <v>0</v>
      </c>
      <c r="S146" s="403"/>
      <c r="T146" s="380"/>
      <c r="U146" s="380"/>
      <c r="V146" s="481"/>
      <c r="W146" s="380"/>
      <c r="X146" s="452"/>
      <c r="Y146" s="383"/>
      <c r="Z146" s="384"/>
      <c r="AA146" s="384"/>
      <c r="AB146" s="384"/>
      <c r="AC146" s="384"/>
      <c r="AD146" s="130">
        <f>(((L146/(L146-1)-1)*(1-_xlfn.XLOOKUP(K146,'Fevereiro 2023 - Valor Real'!A3:A15,'Fevereiro 2023 - Valor Real'!C3:C15,0))+1))</f>
        <v>1.6535947712418302</v>
      </c>
      <c r="AE146" s="131">
        <f>IF(L146="","",IF(L147&gt;0,(SUM(((L145-1)*(1-_xlfn.XLOOKUP(K145,'Fevereiro 2023 - Valor Real'!A3:A15,'Fevereiro 2023 - Valor Real'!C3:C15,0))+1),((L146-1)*(1-_xlfn.XLOOKUP(K146,'Fevereiro 2023 - Valor Real'!A3:A15,'Fevereiro 2023 - Valor Real'!C3:C15,0))+1),((L147-1)*(1-_xlfn.XLOOKUP(K147,'Fevereiro 2023 - Valor Real'!A3:A15,'Fevereiro 2023 - Valor Real'!C3:C15,0))+1))/((L146-1)*(1-_xlfn.XLOOKUP(K146,'Fevereiro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Real'!C3:C15,0))+1))/((L145-1)*(1-_xlfn.XLOOKUP(K145,'Fevereiro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Real'!C3:C15,0))+1))/((L146-1)*(1-_xlfn.XLOOKUP(K146,'Fevereiro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Real'!C3:C15,0))+1))/((L147-1)*(1-_xlfn.XLOOKUP(K147,'Fevereiro 2023 - Valor Real'!A3:A15,'Fevereiro 2023 - Valor Real'!C3:C15,0))+1)),IF(I146="Lay",IF(I145="Lay",((L145/(L145-1)-1)*(1-_xlfn.XLOOKUP(K145,'Fevereiro 2023 - Valor Real'!A3:A15,'Fevereiro 2023 - Valor Real'!C3:C15,0))+1)/(((L145/(L145-1)-1)*(1-_xlfn.XLOOKUP(K145,'Fevereiro 2023 - Valor Real'!A3:A15,'Fevereiro 2023 - Valor Real'!C3:C15,0))+1)+((L146/(L146-1)-1)*(1-_xlfn.XLOOKUP(K146,'Fevereiro 2023 - Valor Real'!A3:A15,'Fevereiro 2023 - Valor Real'!C3:C15,0))+1)),((L145-1)*(1-_xlfn.XLOOKUP(K145,'Fevereiro 2023 - Valor Real'!A3:A15,'Fevereiro 2023 - Valor Real'!C3:C15,0))+1)/(((L145-1)*(1-_xlfn.XLOOKUP(K145,'Fevereiro 2023 - Valor Real'!A3:A15,'Fevereiro 2023 - Valor Real'!C3:C15,0))+1)+((L146/(L146-1)-1)*(1-_xlfn.XLOOKUP(K146,'Fevereiro 2023 - Valor Real'!A3:A15,'Fevereiro 2023 - Valor Real'!C3:C15,0))+1))),IF(I145="Lay",((L145/(L145-1)-1)*(1-_xlfn.XLOOKUP(K145,'Fevereiro 2023 - Valor Real'!A3:A15,'Fevereiro 2023 - Valor Real'!C3:C15,0))+1)/((((L145/(L145-1)-1)*(1-_xlfn.XLOOKUP(K145,'Fevereiro 2023 - Valor Real'!A3:A15,'Fevereiro 2023 - Valor Real'!C3:C15,0))+1))+((L146-1)*(1-_xlfn.XLOOKUP(K146,'Fevereiro 2023 - Valor Real'!A3:A15,'Fevereiro 2023 - Valor Real'!C3:C15,0))+1)),((L145-1)*(1-_xlfn.XLOOKUP(K145,'Fevereiro 2023 - Valor Real'!A3:A15,'Fevereiro 2023 - Valor Real'!C3:C15,0))+1)/(((L145-1)*(1-_xlfn.XLOOKUP(K145,'Fevereiro 2023 - Valor Real'!A3:A15,'Fevereiro 2023 - Valor Real'!C3:C15,0))+1)+((L146-1)*(1-_xlfn.XLOOKUP(K146,'Fevereiro 2023 - Valor Real'!A3:A15,'Fevereiro 2023 - Valor Real'!C3:C15,0))+1))))))</f>
        <v>0.41570438799076215</v>
      </c>
      <c r="AF146" s="105">
        <f t="shared" si="305"/>
        <v>0</v>
      </c>
      <c r="AG146" s="106">
        <f t="shared" si="305"/>
        <v>0</v>
      </c>
      <c r="AH146" s="106">
        <f t="shared" si="305"/>
        <v>0</v>
      </c>
      <c r="AI146" s="106">
        <f t="shared" si="305"/>
        <v>0</v>
      </c>
      <c r="AJ146" s="106">
        <f t="shared" si="305"/>
        <v>0</v>
      </c>
      <c r="AK146" s="106">
        <f t="shared" si="305"/>
        <v>0</v>
      </c>
      <c r="AL146" s="106">
        <f t="shared" si="305"/>
        <v>0</v>
      </c>
      <c r="AM146" s="106">
        <f t="shared" si="305"/>
        <v>0</v>
      </c>
      <c r="AN146" s="106">
        <f t="shared" si="305"/>
        <v>0</v>
      </c>
      <c r="AO146" s="106">
        <f t="shared" si="305"/>
        <v>0</v>
      </c>
      <c r="AP146" s="106">
        <f t="shared" si="305"/>
        <v>0</v>
      </c>
      <c r="AQ146" s="106">
        <f t="shared" si="305"/>
        <v>26.15</v>
      </c>
      <c r="AR146" s="107">
        <f t="shared" si="305"/>
        <v>0</v>
      </c>
      <c r="AS146" s="105">
        <f>IF(AND($B145=" ",$K146=AS$3),$O146,0)</f>
        <v>0</v>
      </c>
      <c r="AT146" s="106">
        <f>IF(AND($B145=" ",K146=AT$3),$O146,0)</f>
        <v>0</v>
      </c>
      <c r="AU146" s="106">
        <f t="shared" ref="AU146:BE146" si="310">IF(AND($B145=" ",$K146=AU$3),$O146,0)</f>
        <v>0</v>
      </c>
      <c r="AV146" s="106">
        <f t="shared" si="310"/>
        <v>0</v>
      </c>
      <c r="AW146" s="106">
        <f t="shared" si="310"/>
        <v>0</v>
      </c>
      <c r="AX146" s="106">
        <f t="shared" si="310"/>
        <v>0</v>
      </c>
      <c r="AY146" s="108">
        <f t="shared" si="310"/>
        <v>0</v>
      </c>
      <c r="AZ146" s="109">
        <f t="shared" si="310"/>
        <v>0</v>
      </c>
      <c r="BA146" s="109">
        <f t="shared" si="310"/>
        <v>0</v>
      </c>
      <c r="BB146" s="109">
        <f t="shared" si="310"/>
        <v>0</v>
      </c>
      <c r="BC146" s="110">
        <f t="shared" si="310"/>
        <v>0</v>
      </c>
      <c r="BD146" s="106">
        <f t="shared" si="310"/>
        <v>0</v>
      </c>
      <c r="BE146" s="107">
        <f t="shared" si="310"/>
        <v>0</v>
      </c>
      <c r="BF146" s="105">
        <f t="shared" si="307"/>
        <v>0</v>
      </c>
      <c r="BG146" s="106">
        <f t="shared" si="307"/>
        <v>0</v>
      </c>
      <c r="BH146" s="106">
        <f t="shared" si="307"/>
        <v>0</v>
      </c>
      <c r="BI146" s="106">
        <f t="shared" si="307"/>
        <v>0</v>
      </c>
      <c r="BJ146" s="106">
        <f t="shared" si="307"/>
        <v>0</v>
      </c>
      <c r="BK146" s="106">
        <f t="shared" si="307"/>
        <v>0</v>
      </c>
      <c r="BL146" s="106">
        <f t="shared" si="307"/>
        <v>0</v>
      </c>
      <c r="BM146" s="132">
        <f t="shared" si="307"/>
        <v>0</v>
      </c>
      <c r="BN146" s="112">
        <f t="shared" si="307"/>
        <v>0</v>
      </c>
      <c r="BO146" s="112">
        <f t="shared" si="307"/>
        <v>0</v>
      </c>
      <c r="BP146" s="112">
        <f t="shared" si="307"/>
        <v>0</v>
      </c>
      <c r="BQ146" s="110">
        <f t="shared" si="307"/>
        <v>17.09</v>
      </c>
      <c r="BR146" s="107">
        <f t="shared" si="307"/>
        <v>0</v>
      </c>
      <c r="BS146" s="464"/>
      <c r="BT146" s="461"/>
      <c r="BU146" s="392"/>
      <c r="BV146" s="461"/>
      <c r="BW146" s="392"/>
      <c r="BX146" s="392"/>
      <c r="BY146" s="392"/>
      <c r="BZ146" s="461"/>
      <c r="CA146" s="392"/>
      <c r="CB146" s="392"/>
      <c r="CC146" s="392"/>
      <c r="CD146" s="401"/>
      <c r="CE146" s="409"/>
      <c r="CF146" s="133">
        <f t="shared" si="258"/>
        <v>0</v>
      </c>
      <c r="CG146" s="134">
        <f t="shared" si="259"/>
        <v>0</v>
      </c>
      <c r="CH146" s="134">
        <f t="shared" si="260"/>
        <v>0</v>
      </c>
      <c r="CI146" s="134">
        <f t="shared" si="261"/>
        <v>0</v>
      </c>
      <c r="CJ146" s="134">
        <f t="shared" si="262"/>
        <v>0</v>
      </c>
      <c r="CK146" s="134">
        <f t="shared" si="263"/>
        <v>0</v>
      </c>
      <c r="CL146" s="134">
        <f t="shared" si="264"/>
        <v>0</v>
      </c>
      <c r="CM146" s="134">
        <f t="shared" si="265"/>
        <v>0</v>
      </c>
      <c r="CN146" s="134">
        <f t="shared" si="266"/>
        <v>0</v>
      </c>
      <c r="CO146" s="134">
        <f t="shared" si="267"/>
        <v>0</v>
      </c>
      <c r="CP146" s="134">
        <f t="shared" si="268"/>
        <v>0</v>
      </c>
      <c r="CQ146" s="134">
        <f t="shared" si="269"/>
        <v>0</v>
      </c>
      <c r="CR146" s="134">
        <f t="shared" si="270"/>
        <v>0</v>
      </c>
      <c r="CS146" s="134">
        <f t="shared" si="271"/>
        <v>0</v>
      </c>
      <c r="CT146" s="115">
        <f t="shared" si="272"/>
        <v>0</v>
      </c>
      <c r="CU146" s="116">
        <f t="shared" si="273"/>
        <v>0</v>
      </c>
      <c r="CV146" s="116">
        <f t="shared" si="274"/>
        <v>0</v>
      </c>
      <c r="CW146" s="116">
        <f t="shared" si="275"/>
        <v>0</v>
      </c>
      <c r="CX146" s="116">
        <f t="shared" si="276"/>
        <v>0</v>
      </c>
      <c r="CY146" s="116">
        <f t="shared" si="277"/>
        <v>0</v>
      </c>
      <c r="CZ146" s="116">
        <f t="shared" si="278"/>
        <v>0</v>
      </c>
      <c r="DA146" s="116">
        <f t="shared" si="279"/>
        <v>0</v>
      </c>
      <c r="DB146" s="116">
        <f t="shared" si="280"/>
        <v>1</v>
      </c>
      <c r="DC146" s="116">
        <f t="shared" si="281"/>
        <v>0</v>
      </c>
      <c r="DD146" s="116">
        <f t="shared" si="282"/>
        <v>0</v>
      </c>
      <c r="DE146" s="117">
        <f t="shared" si="283"/>
        <v>0</v>
      </c>
      <c r="DF146" s="118">
        <f t="shared" si="286"/>
        <v>12</v>
      </c>
      <c r="DG146" s="106">
        <f t="shared" si="287"/>
        <v>15.760000000000002</v>
      </c>
      <c r="DH146" s="116">
        <f t="shared" si="288"/>
        <v>2</v>
      </c>
      <c r="DI146" s="106">
        <f t="shared" si="289"/>
        <v>8.4</v>
      </c>
      <c r="DJ146" s="201" t="str">
        <f>IF($D145="","",$D145)</f>
        <v>3</v>
      </c>
      <c r="DK146" s="466"/>
    </row>
    <row r="147" spans="1:115" ht="14.5" customHeight="1" x14ac:dyDescent="0.2">
      <c r="A147" s="390"/>
      <c r="B147" s="457"/>
      <c r="C147" s="135" t="s">
        <v>53</v>
      </c>
      <c r="D147" s="375"/>
      <c r="E147" s="387"/>
      <c r="F147" s="378"/>
      <c r="G147" s="484"/>
      <c r="H147" s="477"/>
      <c r="I147" s="136"/>
      <c r="J147" s="137"/>
      <c r="K147" s="138"/>
      <c r="L147" s="139"/>
      <c r="M147" s="140"/>
      <c r="N147" s="407"/>
      <c r="O147" s="141" t="str">
        <f>IF(OR(AE145="",AE146=""),"",IF(L147&gt;0,ROUND(IF(M147&gt;0,M147,IF(M145&gt;0,ROUND((M145*AE147)/AE145,IF(N145=0,2,IF(N145=0.1,1,0))),IF(M146&gt;0,ROUND((M146*AE147)/AE146,IF(N145=0,2,IF(N145=0.1,1,0))),IF(M147&gt;0,M147,0)))),2),""))</f>
        <v/>
      </c>
      <c r="P147" s="142" t="str">
        <f>IF(I146="Lay",O146*(L146/(L146-1))-O146,IF(I145="Lay",O145*(L145/(L145-1))-O145,IF(OR(L147="",O147=""),"",IF($C147="1/2W",O147/2+O147/2*L147,IF($C147="1/2L",O147/2,(O147*L147-O147)*(1-_xlfn.XLOOKUP(K147,'Fevereiro 2023 - Valor Real'!A3:A15,'Fevereiro 2023 - Valor Real'!C3:C15,0))+O147)))))</f>
        <v/>
      </c>
      <c r="Q147" s="143" t="str">
        <f>IF(K147="","",IF(_xlfn.XLOOKUP(K147,K$4:K146,$DJ$4:DJ146,0,,-1)=DJ147,_xlfn.XLOOKUP(K147,K$4:K146,Q$4:Q146,1,,-1)+1,1))</f>
        <v/>
      </c>
      <c r="R147" s="144" t="str">
        <f>IF(K147="","",_xlfn.XLOOKUP(K147,K$4:K146,R$4:R146,0,,-1)+IF($C147=" ",1,0))</f>
        <v/>
      </c>
      <c r="S147" s="404"/>
      <c r="T147" s="378"/>
      <c r="U147" s="378"/>
      <c r="V147" s="404"/>
      <c r="W147" s="378"/>
      <c r="X147" s="453"/>
      <c r="Y147" s="383"/>
      <c r="Z147" s="384"/>
      <c r="AA147" s="384"/>
      <c r="AB147" s="384"/>
      <c r="AC147" s="384"/>
      <c r="AD147" s="145">
        <f>((L146/(L146-1)-1))</f>
        <v>0.65359477124183019</v>
      </c>
      <c r="AE147" s="146" t="str">
        <f>IF(L147="","",(SUM(((L145-1)*(1-_xlfn.XLOOKUP(K145,'Fevereiro 2023 - Valor Real'!A3:A15,'Fevereiro 2023 - Valor Real'!C3:C15,0))+1),((L146-1)*(1-_xlfn.XLOOKUP(K146,'Fevereiro 2023 - Valor Real'!A3:A15,'Fevereiro 2023 - Valor Real'!C3:C15,0))+1),((L147-1)*(1-_xlfn.XLOOKUP(K147,'Fevereiro 2023 - Valor Real'!A3:A15,'Fevereiro 2023 - Valor Real'!C3:C15,0))+1))/((L147-1)*(1-_xlfn.XLOOKUP(K147,'Fevereiro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Real'!C3:C15,0))+1))/((L145-1)*(1-_xlfn.XLOOKUP(K145,'Fevereiro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Real'!C3:C15,0))+1))/((L146-1)*(1-_xlfn.XLOOKUP(K146,'Fevereiro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Real'!C3:C15,0))+1))/((L147-1)*(1-_xlfn.XLOOKUP(K147,'Fevereiro 2023 - Valor Real'!A3:A15,'Fevereiro 2023 - Valor Real'!C3:C15,0))+1)))</f>
        <v/>
      </c>
      <c r="AF147" s="105">
        <f t="shared" si="305"/>
        <v>0</v>
      </c>
      <c r="AG147" s="106">
        <f t="shared" si="305"/>
        <v>0</v>
      </c>
      <c r="AH147" s="106">
        <f t="shared" si="305"/>
        <v>0</v>
      </c>
      <c r="AI147" s="106">
        <f t="shared" si="305"/>
        <v>0</v>
      </c>
      <c r="AJ147" s="106">
        <f t="shared" si="305"/>
        <v>0</v>
      </c>
      <c r="AK147" s="106">
        <f t="shared" si="305"/>
        <v>0</v>
      </c>
      <c r="AL147" s="106">
        <f t="shared" si="305"/>
        <v>0</v>
      </c>
      <c r="AM147" s="106">
        <f t="shared" si="305"/>
        <v>0</v>
      </c>
      <c r="AN147" s="106">
        <f t="shared" si="305"/>
        <v>0</v>
      </c>
      <c r="AO147" s="106">
        <f t="shared" si="305"/>
        <v>0</v>
      </c>
      <c r="AP147" s="106">
        <f t="shared" si="305"/>
        <v>0</v>
      </c>
      <c r="AQ147" s="106">
        <f t="shared" si="305"/>
        <v>0</v>
      </c>
      <c r="AR147" s="107">
        <f t="shared" si="305"/>
        <v>0</v>
      </c>
      <c r="AS147" s="105">
        <f>IF(AND($B145=" ",$K147=AS$3),$O147,0)</f>
        <v>0</v>
      </c>
      <c r="AT147" s="106">
        <f>IF(AND($B145=" ",K147=AT$3),$O147,0)</f>
        <v>0</v>
      </c>
      <c r="AU147" s="106">
        <f t="shared" ref="AU147:BE147" si="311">IF(AND($B145=" ",$K147=AU$3),$O147,0)</f>
        <v>0</v>
      </c>
      <c r="AV147" s="106">
        <f t="shared" si="311"/>
        <v>0</v>
      </c>
      <c r="AW147" s="106">
        <f t="shared" si="311"/>
        <v>0</v>
      </c>
      <c r="AX147" s="106">
        <f t="shared" si="311"/>
        <v>0</v>
      </c>
      <c r="AY147" s="108">
        <f t="shared" si="311"/>
        <v>0</v>
      </c>
      <c r="AZ147" s="109">
        <f t="shared" si="311"/>
        <v>0</v>
      </c>
      <c r="BA147" s="109">
        <f t="shared" si="311"/>
        <v>0</v>
      </c>
      <c r="BB147" s="109">
        <f t="shared" si="311"/>
        <v>0</v>
      </c>
      <c r="BC147" s="110">
        <f t="shared" si="311"/>
        <v>0</v>
      </c>
      <c r="BD147" s="106">
        <f t="shared" si="311"/>
        <v>0</v>
      </c>
      <c r="BE147" s="107">
        <f t="shared" si="311"/>
        <v>0</v>
      </c>
      <c r="BF147" s="105">
        <f t="shared" si="307"/>
        <v>0</v>
      </c>
      <c r="BG147" s="106">
        <f t="shared" si="307"/>
        <v>0</v>
      </c>
      <c r="BH147" s="106">
        <f t="shared" si="307"/>
        <v>0</v>
      </c>
      <c r="BI147" s="106">
        <f t="shared" si="307"/>
        <v>0</v>
      </c>
      <c r="BJ147" s="106">
        <f t="shared" si="307"/>
        <v>0</v>
      </c>
      <c r="BK147" s="106">
        <f t="shared" si="307"/>
        <v>0</v>
      </c>
      <c r="BL147" s="106">
        <f t="shared" si="307"/>
        <v>0</v>
      </c>
      <c r="BM147" s="108">
        <f t="shared" si="307"/>
        <v>0</v>
      </c>
      <c r="BN147" s="109">
        <f t="shared" si="307"/>
        <v>0</v>
      </c>
      <c r="BO147" s="109">
        <f t="shared" si="307"/>
        <v>0</v>
      </c>
      <c r="BP147" s="109">
        <f t="shared" si="307"/>
        <v>0</v>
      </c>
      <c r="BQ147" s="110">
        <f t="shared" si="307"/>
        <v>0</v>
      </c>
      <c r="BR147" s="107">
        <f t="shared" si="307"/>
        <v>0</v>
      </c>
      <c r="BS147" s="464"/>
      <c r="BT147" s="461"/>
      <c r="BU147" s="392"/>
      <c r="BV147" s="461"/>
      <c r="BW147" s="392"/>
      <c r="BX147" s="392"/>
      <c r="BY147" s="392"/>
      <c r="BZ147" s="461"/>
      <c r="CA147" s="392"/>
      <c r="CB147" s="392"/>
      <c r="CC147" s="392"/>
      <c r="CD147" s="401"/>
      <c r="CE147" s="409"/>
      <c r="CF147" s="133">
        <f t="shared" si="258"/>
        <v>0</v>
      </c>
      <c r="CG147" s="134">
        <f t="shared" si="259"/>
        <v>0</v>
      </c>
      <c r="CH147" s="134">
        <f t="shared" si="260"/>
        <v>0</v>
      </c>
      <c r="CI147" s="134">
        <f t="shared" si="261"/>
        <v>0</v>
      </c>
      <c r="CJ147" s="134">
        <f t="shared" si="262"/>
        <v>0</v>
      </c>
      <c r="CK147" s="134">
        <f t="shared" si="263"/>
        <v>0</v>
      </c>
      <c r="CL147" s="134">
        <f t="shared" si="264"/>
        <v>0</v>
      </c>
      <c r="CM147" s="134">
        <f t="shared" si="265"/>
        <v>0</v>
      </c>
      <c r="CN147" s="134">
        <f t="shared" si="266"/>
        <v>0</v>
      </c>
      <c r="CO147" s="134">
        <f t="shared" si="267"/>
        <v>0</v>
      </c>
      <c r="CP147" s="134">
        <f t="shared" si="268"/>
        <v>0</v>
      </c>
      <c r="CQ147" s="134">
        <f t="shared" si="269"/>
        <v>0</v>
      </c>
      <c r="CR147" s="134">
        <f t="shared" si="270"/>
        <v>0</v>
      </c>
      <c r="CS147" s="134">
        <f t="shared" si="271"/>
        <v>0</v>
      </c>
      <c r="CT147" s="115">
        <f t="shared" si="272"/>
        <v>0</v>
      </c>
      <c r="CU147" s="116">
        <f t="shared" si="273"/>
        <v>0</v>
      </c>
      <c r="CV147" s="116">
        <f t="shared" si="274"/>
        <v>0</v>
      </c>
      <c r="CW147" s="116">
        <f t="shared" si="275"/>
        <v>0</v>
      </c>
      <c r="CX147" s="116">
        <f t="shared" si="276"/>
        <v>0</v>
      </c>
      <c r="CY147" s="116">
        <f t="shared" si="277"/>
        <v>0</v>
      </c>
      <c r="CZ147" s="116">
        <f t="shared" si="278"/>
        <v>0</v>
      </c>
      <c r="DA147" s="116">
        <f t="shared" si="279"/>
        <v>0</v>
      </c>
      <c r="DB147" s="116">
        <f t="shared" si="280"/>
        <v>0</v>
      </c>
      <c r="DC147" s="116">
        <f t="shared" si="281"/>
        <v>0</v>
      </c>
      <c r="DD147" s="116">
        <f t="shared" si="282"/>
        <v>0</v>
      </c>
      <c r="DE147" s="117">
        <f t="shared" si="283"/>
        <v>0</v>
      </c>
      <c r="DF147" s="118">
        <f t="shared" si="286"/>
        <v>12</v>
      </c>
      <c r="DG147" s="106">
        <f t="shared" si="287"/>
        <v>15.760000000000002</v>
      </c>
      <c r="DH147" s="116">
        <f t="shared" si="288"/>
        <v>2</v>
      </c>
      <c r="DI147" s="106">
        <f t="shared" si="289"/>
        <v>8.4</v>
      </c>
      <c r="DJ147" s="201" t="str">
        <f>IF($D145="","",$D145)</f>
        <v>3</v>
      </c>
      <c r="DK147" s="466"/>
    </row>
    <row r="148" spans="1:115" ht="14.5" customHeight="1" x14ac:dyDescent="0.2">
      <c r="A148" s="487">
        <f>$A145+1</f>
        <v>49</v>
      </c>
      <c r="B148" s="506" t="str">
        <f>IF(OR(C148="W",C149="W",C150="W",C148="1/2W",C149="1/2W",C150="1/2W",C148="1/2L",C149="1/2L",C150="1/2L"),"OK",IF(OR(C148="L",C149="L",C150="L"),"LOSS",IF(OR(C148="X",C149="X",C150="X"),"Anulado"," ")))</f>
        <v>OK</v>
      </c>
      <c r="C148" s="147" t="s">
        <v>55</v>
      </c>
      <c r="D148" s="494" t="str">
        <f>IF(G148="","",$D145)</f>
        <v>3</v>
      </c>
      <c r="E148" s="511" t="str">
        <f>IF(G148=""," ","– "&amp;COUNTIF(D$4:D150,$D148))</f>
        <v>– 6</v>
      </c>
      <c r="F148" s="510" t="str">
        <f ca="1">IF(G148="","",IF(OR(AND($C148&lt;&gt;" ",$C149=" "),AND($C149&lt;&gt;" ",$C148=" "),AND(L150&gt;0,OR(AND($C150&lt;&gt;" ",OR($C148=" ",$C149=" ")),AND($C150=" ",OR($C148&lt;&gt;" ",$C149&lt;&gt;" "))))),IF(SUM(F$4:F147)=0,1,LARGE(F$4:F147,1)+1),IF(MONTH(G148)=MONTH(TODAY()),IF(AND(DAY(G148)&lt;DAY(TODAY()),$B148=" "),IF(SUM(F$4:F147)=0,1,LARGE(F$4:F147,1)+1),IF($B148=" ",IF(AND(DAY(G148)=DAY(TODAY()),HOUR(G148)&lt;=HOUR(NOW())+1),IF(AND(HOUR(G148)+2&lt;=HOUR(NOW()),DAY(G148)&lt;=DAY(TODAY()),MINUTE(G148)&lt;=MINUTE(NOW())),IF(SUM(F$4:F147)=0,1,LARGE(F$4:F147,1)+1),IF(OR(MINUTE(G148)&lt;=MINUTE(NOW()),HOUR(G148)&lt;=HOUR(NOW())),"!!!","")),""),"")),"")))</f>
        <v/>
      </c>
      <c r="G148" s="508">
        <f>IF(H148="","",_xlfn.XLOOKUP(H148,$H$4:H147,$G$4:G147,""))</f>
        <v>44988.270833333336</v>
      </c>
      <c r="H148" s="502" t="s">
        <v>100</v>
      </c>
      <c r="I148" s="148">
        <v>1</v>
      </c>
      <c r="J148" s="149"/>
      <c r="K148" s="150" t="s">
        <v>37</v>
      </c>
      <c r="L148" s="151">
        <v>1.8</v>
      </c>
      <c r="M148" s="152">
        <v>17.61</v>
      </c>
      <c r="N148" s="503">
        <v>0</v>
      </c>
      <c r="O148" s="153">
        <f>IF(OR(AE148="",AE149=""),"",ROUND(IF(L150&gt;0,IF(M148&gt;0,M148,IF(M149&gt;0,ROUND((M149*AE148)/AE149,IF(N148=0,2,IF(N148=0.1,1,0))),ROUND((M150*AE148)/AE150,IF(N148=0,2,IF(N148=0.1,1,0))))),IF(M148&gt;0,M148,ROUND((M149*AE148)/AE149,IF(N148=0,2,IF(N148=0.1,1,0))))),2))</f>
        <v>17.61</v>
      </c>
      <c r="P148" s="154">
        <f>IF(OR(L148="",O148=""),"",IF($C148="1/2W",O148/2+O148/2*L148,IF($C148="1/2L",O148/2,IF(I148="Lay",(O148*(L148/(L148-1))-O148)*(1-_xlfn.XLOOKUP(K148,'Fevereiro 2023 - Valor Real'!A3:A15,'Fevereiro 2023 - Valor Real'!C3:C15,0))+O148,(O148*L148-O148)*(1-_xlfn.XLOOKUP(K148,'Fevereiro 2023 - Valor Real'!A3:A15,'Fevereiro 2023 - Valor Real'!C3:C15,0))+O148))))</f>
        <v>31.698</v>
      </c>
      <c r="Q148" s="155">
        <f>IF(K148="","",IF(_xlfn.XLOOKUP(K148,K$4:K147,$DJ$4:DJ147,0,,-1)=DJ148,_xlfn.XLOOKUP(K148,K$4:K147,Q$4:Q147,1,,-1)+1,1))</f>
        <v>3</v>
      </c>
      <c r="R148" s="156">
        <f>IF(K148="","",_xlfn.XLOOKUP(K148,K$4:K147,R$4:R147,0,,-1)+IF($C148=" ",1,0))</f>
        <v>0</v>
      </c>
      <c r="S148" s="501">
        <f>IF($B148="Anulado",0,ROUND(IF(OR($B148="LOSS",$B148="OK"),IF(OR($C148="W",$C148="1/2W",$C148="1/2L"),P148-O148,IF($C148="L",-O148,0))+IF(OR($C149="W",$C149="1/2W",$C149="1/2L"),P149-O149,IF($C149="L",-O149,0))+IF(OR($C150="W",$C150="1/2W",$C150="1/2L"),P150-O150,IF($C150="L",-O150,0)),IF(AND(OR($C148="W",$C148="1/2W",$C148="1/2L"),C149="W"),P148+P149-SUM(O148:O150)+_xlfn.XLOOKUP("X",C148:C150,O148:O150,0),IF(AND(C148=TRUE,C150="W"),P148+P150-SUM(O148:O150),IF(AND(C149="W",C150="W"),P149+P150-SUM(O148:O150)+_xlfn.XLOOKUP("X",C148:C150,O148:O150,0),IF(L150&gt;0,IF(OR($C148="W",$C148="1/2W",$C148="1/2L"),P148-SUM(O148:O150)+_xlfn.XLOOKUP("X",C148:C150,O148:O150,0),IF(OR($C148="W",$C148="1/2W",$C148="1/2L"),P149-SUM(O148:O150)+_xlfn.XLOOKUP("X",C148:C150,O148:O150,0),IF(OR($C148="W",$C148="1/2W",$C148="1/2L"),P150-SUM(O148:O150)+_xlfn.XLOOKUP("X",C148:C150,O148:O150,0),IF(SUM(P148:P150)/3-SUM(O148:O150)+_xlfn.XLOOKUP("X",C148:C150,O148:O150,0)&gt;0,SUM(P148:P150)/3-SUM(O148:O150)+_xlfn.XLOOKUP("X",C148:C150,O148:O150,0),LARGE(P148:P150,1)-SUM(O148:O150))))),IF(OR($C148="W",$C148="1/2W",$C148="1/2L"),P148-SUM(O148:O149)+_xlfn.XLOOKUP("X",C148:C150,O148:O150,0),IF(OR($C148="W",$C148="1/2W",$C148="1/2L"),P149-SUM(O148:O149)+_xlfn.XLOOKUP("X",C148:C150,O148:O150,0),SUM(P148:P149)/2-SUM(O148:O149)+_xlfn.XLOOKUP("X",C148:C150,O148:O150,0)))))))),2))</f>
        <v>1.78</v>
      </c>
      <c r="T148" s="486">
        <f>IF(S148=0,0,S148/SUM(O148:O150))</f>
        <v>5.9511868940153798E-2</v>
      </c>
      <c r="U148" s="496">
        <f>IF($D148=$D145,IF(OR($B148="LOSS",$B148="OK",$B148="Anulada"),S148,0)+U145,IF(OR($B148="LOSS",$B148="OK",$B148="Anulada"),S148,0))</f>
        <v>16.009999999999998</v>
      </c>
      <c r="V148" s="496">
        <f>IF($D148="",0,IF($D148=$D145,IF($B148=" ",IF(I150="",IF(OR(AND(I148="DNB1",I149="DNB2"),AND(OR(I148="DNB1",I148="DNB2"),J149=0),AND(OR(I149="DNB1",I149="DNB2"),J148=0),AND(I148="DNB2",I149="DNB1"),AND(IF(J148=0,(J148+1)/ROUND(J148+1,0),J148/ROUND(J148,0))=1,IF(J149=0,(J149+1)/ROUND(IF(J149="",0,J149)+1,0),IF(J149="",0,J149)/ROUND(IF(J149="",1,J149),0))=1,OR(J148&lt;&gt;""),J149&lt;&gt;"")),0,IF(S148&lt;0,IF(I150="",SMALL(P148:P149,1)-SUM(O148:O149),0),SMALL(P148:P149,1)-SUM(O148:O149))),IF(S148&lt;0,IF(I150="",SMALL(P148:P150,1)-SUM(O148:O150),0),LARGE(P148:P150,1)-SUM(O148:O150))),S148)+V145,IF(I150="",IF(OR(AND(I148="DNB1",I149="DNB2"),AND(OR(I148="DNB1",I148="DNB2"),J149=0),AND(OR(I149="DNB1",I149="DNB2"),J148=0),AND(I148="DNB2",I149="DNB1"),AND(IF(J148=0,(J148+1)/ROUND(J148+1,0),J148/ROUND(J148,0))=1,IF(J149=0,(IF(J149="",0,J149)+1)/ROUND(IF(J149="",0,J149)+1,0),IF(J149="",0,J149)/ROUND(IF(J149="",0,J149)+1,0))=1,OR(J148&lt;&gt;""),J149&lt;&gt;"")),0,IF(S148&lt;0,IF(I150="",SMALL(P148:P149,1)-SUM(O148:O149),0),SMALL(P148:P150,1)-SUM(O148:O150))),IF(S148&lt;0,IF(I150="",SMALL(P148:P150,1)-SUM(O148:O150),0),LARGE(P148:P150,1)-SUM(O148:O150)))))</f>
        <v>15.999999999999998</v>
      </c>
      <c r="W148" s="496">
        <f>IF($D148=$D145,IF(S148&lt;0,IF(I150="",S148,0),S148)+W145,S148)</f>
        <v>16.009999999999998</v>
      </c>
      <c r="X148" s="505" t="str">
        <f>IF(OR(SUM(R148:R150)=0,V148=W148),ROUND(IF(W148=0,0,W148/Y148)*100,2)&amp;"%",ROUND(IF(V148=0,0,V148/Y148)*100,2)&amp;"% a "&amp;ROUND(IF(W148=0,0,W148/Y148)*100,2)&amp;"%")</f>
        <v>5,07%</v>
      </c>
      <c r="Y148" s="497">
        <f>IF($D148=$D145,Y145+SUM(O148:O150),SUM(O148:O150))</f>
        <v>315.63</v>
      </c>
      <c r="Z148" s="496">
        <f>IF($B148=" ",SUM(O148:O150),0)+Z145</f>
        <v>0</v>
      </c>
      <c r="AA148" s="496">
        <f>IF(G148="","",IF($B148="Anulado",LARGE(P148:P150,1)-SUM(O148:O150)+AA145,AA145))</f>
        <v>0.45899999999999785</v>
      </c>
      <c r="AB148" s="496">
        <f>IF($D148="","",AB145+S148)</f>
        <v>126.86999999999996</v>
      </c>
      <c r="AC148" s="499">
        <f ca="1">IF($D148="","",IF($B148=" ",IF(DAY(G148)=DAY(TODAY()),1+AC145,0+AC145),0+AC145))</f>
        <v>0</v>
      </c>
      <c r="AD148" s="157">
        <f>(1-_xlfn.XLOOKUP(K146,'Fevereiro 2023 - Valor Real'!A3:A15,'Fevereiro 2023 - Valor Real'!C3:C15,0))+1</f>
        <v>2</v>
      </c>
      <c r="AE148" s="158">
        <f>IF(L148="","",IF(L150&gt;0,(SUM(((L148-1)*(1-_xlfn.XLOOKUP(K148,'Fevereiro 2023 - Valor Real'!A3:A15,'Fevereiro 2023 - Valor Real'!C3:C15,0))+1),((L149-1)*(1-_xlfn.XLOOKUP(K149,'Fevereiro 2023 - Valor Real'!A3:A15,'Fevereiro 2023 - Valor Real'!C3:C15,0))+1),((L150-1)*(1-_xlfn.XLOOKUP(K150,'Fevereiro 2023 - Valor Real'!A3:A15,'Fevereiro 2023 - Valor Real'!C3:C15,0))+1))/((L148-1)*(1-_xlfn.XLOOKUP(K148,'Fevereiro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Real'!C3:C15,0))+1))/((L148-1)*(1-_xlfn.XLOOKUP(K148,'Fevereiro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Real'!C3:C15,0))+1))/((L149-1)*(1-_xlfn.XLOOKUP(K149,'Fevereiro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Real'!C3:C15,0))+1))/((L150-1)*(1-_xlfn.XLOOKUP(K150,'Fevereiro 2023 - Valor Real'!A3:A15,'Fevereiro 2023 - Valor Real'!C3:C15,0))+1)),IF(I148="Lay",IF(I149="Lay",((L149/(L149-1)-1)*(1-_xlfn.XLOOKUP(K149,'Fevereiro 2023 - Valor Real'!A3:A15,'Fevereiro 2023 - Valor Real'!C3:C15,0))+1)/(((L149/(L149-1)-1)*(1-_xlfn.XLOOKUP(K149,'Fevereiro 2023 - Valor Real'!A3:A15,'Fevereiro 2023 - Valor Real'!C3:C15,0))+1)+((L148/(L148-1)-1)*(1-_xlfn.XLOOKUP(K148,'Fevereiro 2023 - Valor Real'!A3:A15,'Fevereiro 2023 - Valor Real'!C3:C15,0))+1)),((L149-1)*(1-_xlfn.XLOOKUP(K149,'Fevereiro 2023 - Valor Real'!A3:A15,'Fevereiro 2023 - Valor Real'!C3:C15,0))+1)/(((L149-1)*(1-_xlfn.XLOOKUP(K149,'Fevereiro 2023 - Valor Real'!A3:A15,'Fevereiro 2023 - Valor Real'!C3:C15,0))+1)+((L148/(L148-1)-1)*(1-_xlfn.XLOOKUP(K148,'Fevereiro 2023 - Valor Real'!A3:A15,'Fevereiro 2023 - Valor Real'!C3:C15,0))+1))),IF(I149="Lay",(((L149/(L149-1)-1)*(1-_xlfn.XLOOKUP(K149,'Fevereiro 2023 - Valor Real'!A3:A15,'Fevereiro 2023 - Valor Real'!C3:C15,0))+1))/(((L148-1)*(1-_xlfn.XLOOKUP(K148,'Fevereiro 2023 - Valor Real'!A3:A15,'Fevereiro 2023 - Valor Real'!C3:C15,0))+1)+((L149/(L149-1)-1)*(1-_xlfn.XLOOKUP(K149,'Fevereiro 2023 - Valor Real'!A3:A15,'Fevereiro 2023 - Valor Real'!C3:C15,0))+1)),((L149-1)*(1-_xlfn.XLOOKUP(K149,'Fevereiro 2023 - Valor Real'!A3:A15,'Fevereiro 2023 - Valor Real'!C3:C15,0))+1)/(((L149-1)*(1-_xlfn.XLOOKUP(K149,'Fevereiro 2023 - Valor Real'!A3:A15,'Fevereiro 2023 - Valor Real'!C3:C15,0))+1)+((L148-1)*(1-_xlfn.XLOOKUP(K148,'Fevereiro 2023 - Valor Real'!A3:A15,'Fevereiro 2023 - Valor Real'!C3:C15,0))+1))))))</f>
        <v>0.58866183256427151</v>
      </c>
      <c r="AF148" s="66">
        <f t="shared" si="305"/>
        <v>0</v>
      </c>
      <c r="AG148" s="67">
        <f t="shared" si="305"/>
        <v>-17.61</v>
      </c>
      <c r="AH148" s="67">
        <f t="shared" si="305"/>
        <v>0</v>
      </c>
      <c r="AI148" s="67">
        <f t="shared" si="305"/>
        <v>0</v>
      </c>
      <c r="AJ148" s="67">
        <f t="shared" si="305"/>
        <v>0</v>
      </c>
      <c r="AK148" s="67">
        <f t="shared" si="305"/>
        <v>0</v>
      </c>
      <c r="AL148" s="67">
        <f t="shared" si="305"/>
        <v>0</v>
      </c>
      <c r="AM148" s="67">
        <f t="shared" si="305"/>
        <v>0</v>
      </c>
      <c r="AN148" s="67">
        <f t="shared" si="305"/>
        <v>0</v>
      </c>
      <c r="AO148" s="67">
        <f t="shared" si="305"/>
        <v>0</v>
      </c>
      <c r="AP148" s="67">
        <f t="shared" si="305"/>
        <v>0</v>
      </c>
      <c r="AQ148" s="67">
        <f t="shared" si="305"/>
        <v>0</v>
      </c>
      <c r="AR148" s="68">
        <f t="shared" si="305"/>
        <v>0</v>
      </c>
      <c r="AS148" s="66">
        <f t="shared" ref="AS148:BE148" si="312">IF(AND($B148=" ",$K148=AS$3),$O148,0)</f>
        <v>0</v>
      </c>
      <c r="AT148" s="67">
        <f t="shared" si="312"/>
        <v>0</v>
      </c>
      <c r="AU148" s="67">
        <f t="shared" si="312"/>
        <v>0</v>
      </c>
      <c r="AV148" s="67">
        <f t="shared" si="312"/>
        <v>0</v>
      </c>
      <c r="AW148" s="67">
        <f t="shared" si="312"/>
        <v>0</v>
      </c>
      <c r="AX148" s="67">
        <f t="shared" si="312"/>
        <v>0</v>
      </c>
      <c r="AY148" s="69">
        <f t="shared" si="312"/>
        <v>0</v>
      </c>
      <c r="AZ148" s="70">
        <f t="shared" si="312"/>
        <v>0</v>
      </c>
      <c r="BA148" s="70">
        <f t="shared" si="312"/>
        <v>0</v>
      </c>
      <c r="BB148" s="70">
        <f t="shared" si="312"/>
        <v>0</v>
      </c>
      <c r="BC148" s="71">
        <f t="shared" si="312"/>
        <v>0</v>
      </c>
      <c r="BD148" s="67">
        <f t="shared" si="312"/>
        <v>0</v>
      </c>
      <c r="BE148" s="68">
        <f t="shared" si="312"/>
        <v>0</v>
      </c>
      <c r="BF148" s="66">
        <f t="shared" si="307"/>
        <v>0</v>
      </c>
      <c r="BG148" s="67">
        <f t="shared" si="307"/>
        <v>17.61</v>
      </c>
      <c r="BH148" s="67">
        <f t="shared" si="307"/>
        <v>0</v>
      </c>
      <c r="BI148" s="67">
        <f t="shared" si="307"/>
        <v>0</v>
      </c>
      <c r="BJ148" s="67">
        <f t="shared" si="307"/>
        <v>0</v>
      </c>
      <c r="BK148" s="67">
        <f t="shared" si="307"/>
        <v>0</v>
      </c>
      <c r="BL148" s="67">
        <f t="shared" si="307"/>
        <v>0</v>
      </c>
      <c r="BM148" s="69">
        <f t="shared" si="307"/>
        <v>0</v>
      </c>
      <c r="BN148" s="70">
        <f t="shared" si="307"/>
        <v>0</v>
      </c>
      <c r="BO148" s="70">
        <f t="shared" si="307"/>
        <v>0</v>
      </c>
      <c r="BP148" s="70">
        <f t="shared" si="307"/>
        <v>0</v>
      </c>
      <c r="BQ148" s="71">
        <f t="shared" si="307"/>
        <v>0</v>
      </c>
      <c r="BR148" s="68">
        <f t="shared" si="307"/>
        <v>0</v>
      </c>
      <c r="BS148" s="490">
        <f>IF($B148="LOSS",IF(AND($K148=BS$3,$C148="L"),-$O148,0)+IF(AND($K149=BS$3,$C149="L"),-$O149,0)+IF(AND($K150=BS$3,$C150="L"),-$O150,0),IF(OR(AND($K148=BS$3,OR($C148="W",$C148="1/2W")),AND($K149=BS$3,OR($C149="W",$C149="1/2W")),AND($K150=BS$3,OR($C150="W",$C150="1/2W"))),$S148,0))</f>
        <v>0</v>
      </c>
      <c r="BT148" s="498">
        <f>IF($B148="LOSS",IF(AND($K148=BT$3,$C148="L"),-$O148,0)+IF(AND($K149=BT$3,$C149="L"),-$O149,0)+IF(AND($K149=BT$3,$C150="L"),-$O150,0),IF(OR(AND($K149=BT$3,OR($C148="W",$C148="1/2W")),AND($K149=BT$3,OR($C149="W",$C149="1/2W")),AND($K149=BT$3,OR($C150="W",$C150="1/2W"))),$S148,0))</f>
        <v>0</v>
      </c>
      <c r="BU148" s="488">
        <f>IF($B148="LOSS",IF(AND($K148=BU$3,$C148="L"),-$O148,0)+IF(AND($K149=BU$3,$C149="L"),-$O149,0)+IF(AND($K149=BU$3,$C150="L"),-$O150,0),IF(OR(AND($K149=BU$3,OR($C148="W",$C148="1/2W")),AND($K149=BU$3,OR($C149="W",$C149="1/2W")),AND($K149=BU$3,OR($C150="W",$C150="1/2W"))),$S148,0))</f>
        <v>0</v>
      </c>
      <c r="BV148" s="488">
        <f t="shared" ref="BV148:CE148" si="313">IF($B148="LOSS",IF(AND($K148=BV$3,$C148="L"),-$O148,0)+IF(AND($K149=BV$3,$C149="L"),-$O149,0)+IF(AND($K150=BV$3,$C150="L"),-$O150,0),IF(OR(AND($K148=BV$3,OR($C148="W",$C148="1/2W")),AND($K149=BV$3,OR($C149="W",$C149="1/2W")),AND($K150=BV$3,OR($C150="W",$C150="1/2W"))),$S148,0))</f>
        <v>0</v>
      </c>
      <c r="BW148" s="488">
        <f t="shared" si="313"/>
        <v>0</v>
      </c>
      <c r="BX148" s="488">
        <f t="shared" si="313"/>
        <v>0</v>
      </c>
      <c r="BY148" s="488">
        <f t="shared" si="313"/>
        <v>0</v>
      </c>
      <c r="BZ148" s="488">
        <f t="shared" si="313"/>
        <v>0</v>
      </c>
      <c r="CA148" s="488">
        <f t="shared" si="313"/>
        <v>0</v>
      </c>
      <c r="CB148" s="488">
        <f t="shared" si="313"/>
        <v>0</v>
      </c>
      <c r="CC148" s="488">
        <f t="shared" si="313"/>
        <v>0</v>
      </c>
      <c r="CD148" s="500">
        <f t="shared" si="313"/>
        <v>1.78</v>
      </c>
      <c r="CE148" s="504">
        <f t="shared" si="313"/>
        <v>0</v>
      </c>
      <c r="CF148" s="160">
        <f t="shared" si="258"/>
        <v>0</v>
      </c>
      <c r="CG148" s="161">
        <f t="shared" si="259"/>
        <v>0</v>
      </c>
      <c r="CH148" s="161">
        <f t="shared" si="260"/>
        <v>0</v>
      </c>
      <c r="CI148" s="161">
        <f t="shared" si="261"/>
        <v>1</v>
      </c>
      <c r="CJ148" s="161">
        <f t="shared" si="262"/>
        <v>0</v>
      </c>
      <c r="CK148" s="161">
        <f t="shared" si="263"/>
        <v>0</v>
      </c>
      <c r="CL148" s="161">
        <f t="shared" si="264"/>
        <v>0</v>
      </c>
      <c r="CM148" s="161">
        <f t="shared" si="265"/>
        <v>0</v>
      </c>
      <c r="CN148" s="161">
        <f t="shared" si="266"/>
        <v>0</v>
      </c>
      <c r="CO148" s="161">
        <f t="shared" si="267"/>
        <v>0</v>
      </c>
      <c r="CP148" s="161">
        <f t="shared" si="268"/>
        <v>0</v>
      </c>
      <c r="CQ148" s="161">
        <f t="shared" si="269"/>
        <v>0</v>
      </c>
      <c r="CR148" s="161">
        <f t="shared" si="270"/>
        <v>0</v>
      </c>
      <c r="CS148" s="161">
        <f t="shared" si="271"/>
        <v>0</v>
      </c>
      <c r="CT148" s="75">
        <f t="shared" si="272"/>
        <v>0</v>
      </c>
      <c r="CU148" s="76">
        <f t="shared" si="273"/>
        <v>0</v>
      </c>
      <c r="CV148" s="76">
        <f t="shared" si="274"/>
        <v>0</v>
      </c>
      <c r="CW148" s="76">
        <f t="shared" si="275"/>
        <v>0</v>
      </c>
      <c r="CX148" s="76">
        <f t="shared" si="276"/>
        <v>0</v>
      </c>
      <c r="CY148" s="76">
        <f t="shared" si="277"/>
        <v>0</v>
      </c>
      <c r="CZ148" s="76">
        <f t="shared" si="278"/>
        <v>0</v>
      </c>
      <c r="DA148" s="76">
        <f t="shared" si="279"/>
        <v>0</v>
      </c>
      <c r="DB148" s="76">
        <f t="shared" si="280"/>
        <v>0</v>
      </c>
      <c r="DC148" s="76">
        <f t="shared" si="281"/>
        <v>0</v>
      </c>
      <c r="DD148" s="76">
        <f t="shared" si="282"/>
        <v>0</v>
      </c>
      <c r="DE148" s="77">
        <f t="shared" si="283"/>
        <v>0</v>
      </c>
      <c r="DF148" s="73">
        <f t="shared" si="286"/>
        <v>12</v>
      </c>
      <c r="DG148" s="67">
        <f t="shared" si="287"/>
        <v>15.760000000000002</v>
      </c>
      <c r="DH148" s="76">
        <f t="shared" si="288"/>
        <v>2</v>
      </c>
      <c r="DI148" s="67">
        <f t="shared" si="289"/>
        <v>8.4</v>
      </c>
      <c r="DJ148" s="202" t="str">
        <f>IF($D148="","",$D148)</f>
        <v>3</v>
      </c>
      <c r="DK148" s="492">
        <f>IF(AND($B148=" ",$D148&lt;&gt;""),1,0)</f>
        <v>0</v>
      </c>
    </row>
    <row r="149" spans="1:115" ht="14.5" customHeight="1" x14ac:dyDescent="0.2">
      <c r="A149" s="389"/>
      <c r="B149" s="456"/>
      <c r="C149" s="53" t="s">
        <v>55</v>
      </c>
      <c r="D149" s="374"/>
      <c r="E149" s="386"/>
      <c r="F149" s="377"/>
      <c r="G149" s="508"/>
      <c r="H149" s="476"/>
      <c r="I149" s="182" t="s">
        <v>49</v>
      </c>
      <c r="J149" s="163" t="str">
        <f>IF(OR(I148="TO",I148="TU",I148="TO1",I148="TU1",I148="TO2",I148="TU2"),J148,IF(OR(I148="AH1",I148="AH2"),IF(OR(I149="AH1",I149="AH2"),-J148,IF(OR(I149="EH1",I149="EH2"),-J148+0.5,"")),IF(OR(I148="EH1",I148="EH2"),IF(OR(I149="AH1",I149="AH2"),-J148+0.5,IF(OR(I149="EH1",I149="EH2"),-J148+1,"")),IF(AND(OR(I148="DNB1",I148="DNB2"),OR(I149="AH1",I149="AH2")),0,IF(AND(I148="Not ScoreBoth",OR(I149="TO1",I149="TO2")),0.5,"")))))</f>
        <v/>
      </c>
      <c r="K149" s="57" t="s">
        <v>47</v>
      </c>
      <c r="L149" s="164">
        <v>4.7</v>
      </c>
      <c r="M149" s="165">
        <v>6.74</v>
      </c>
      <c r="N149" s="406"/>
      <c r="O149" s="60">
        <f>IF(OR(AE148="",AE149=""),"",ROUND(IF(L150&gt;0,IF(M149&gt;0,M149,IF(M148&gt;0,IF(N148=TRUE,ROUND((M148*AE149)/AE148,0),(M148*AE149)/AE148),IF(M149&gt;0,ROUND(M149,IF(N148=0,2,IF(N148=0.1,1,0))),IF(M150&gt;0,ROUND(O150*AE149/AE150,IF(N148=0,2,IF(N148=0.1,1,0))),0)))),IF(M149&gt;0,M149,ROUND((M148*AE149)/AE148,IF(N148=0,2,IF(N148=0.1,1,0))))),2))</f>
        <v>6.74</v>
      </c>
      <c r="P149" s="61">
        <f>IF(OR(L149="",O149=""),"",IF($C149="1/2W",O149/2+O149/2*L149,IF($C149="1/2L",O149/2,IF(I149="Lay",((O149*(L149/(L149-1)))-O149)*(1-_xlfn.XLOOKUP(K149,'Fevereiro 2023 - Valor Real'!A3:A15,'Fevereiro 2023 - Valor Real'!C3:C15,0))+O149,(O149*L149-O149)*(1-_xlfn.XLOOKUP(K149,'Fevereiro 2023 - Valor Real'!A3:A15,'Fevereiro 2023 - Valor Real'!C3:C15,0))+O149))))</f>
        <v>31.678000000000004</v>
      </c>
      <c r="Q149" s="166">
        <f>IF(K149="","",IF(_xlfn.XLOOKUP(K149,K$4:K148,$DJ$4:DJ148,0,,-1)=DJ149,_xlfn.XLOOKUP(K149,K$4:K148,Q$4:Q148,1,,-1)+1,1))</f>
        <v>4</v>
      </c>
      <c r="R149" s="167">
        <f>IF(K149="","",_xlfn.XLOOKUP(K149,K$4:K148,R$4:R148,0,,-1)+IF($C149=" ",1,0))</f>
        <v>0</v>
      </c>
      <c r="S149" s="403"/>
      <c r="T149" s="380"/>
      <c r="U149" s="380"/>
      <c r="V149" s="481"/>
      <c r="W149" s="380"/>
      <c r="X149" s="452"/>
      <c r="Y149" s="383"/>
      <c r="Z149" s="384"/>
      <c r="AA149" s="384"/>
      <c r="AB149" s="384"/>
      <c r="AC149" s="384"/>
      <c r="AD149" s="64"/>
      <c r="AE149" s="65">
        <f>IF(L149="","",IF(L150&gt;0,(SUM(((L148-1)*(1-_xlfn.XLOOKUP(K148,'Fevereiro 2023 - Valor Real'!A3:A15,'Fevereiro 2023 - Valor Real'!C3:C15,0))+1),((L149-1)*(1-_xlfn.XLOOKUP(K149,'Fevereiro 2023 - Valor Real'!A3:A15,'Fevereiro 2023 - Valor Real'!C3:C15,0))+1),((L150-1)*(1-_xlfn.XLOOKUP(K150,'Fevereiro 2023 - Valor Real'!A3:A15,'Fevereiro 2023 - Valor Real'!C3:C15,0))+1))/((L149-1)*(1-_xlfn.XLOOKUP(K149,'Fevereiro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Real'!C3:C15,0))+1))/((L148-1)*(1-_xlfn.XLOOKUP(K148,'Fevereiro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Real'!C3:C15,0))+1))/((L149-1)*(1-_xlfn.XLOOKUP(K149,'Fevereiro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Real'!C3:C15,0))+1))/((L150-1)*(1-_xlfn.XLOOKUP(K150,'Fevereiro 2023 - Valor Real'!A3:A15,'Fevereiro 2023 - Valor Real'!C3:C15,0))+1)),IF(I149="Lay",IF(I148="Lay",((L148/(L148-1)-1)*(1-_xlfn.XLOOKUP(K148,'Fevereiro 2023 - Valor Real'!A3:A15,'Fevereiro 2023 - Valor Real'!C3:C15,0))+1)/(((L148/(L148-1)-1)*(1-_xlfn.XLOOKUP(K148,'Fevereiro 2023 - Valor Real'!A3:A15,'Fevereiro 2023 - Valor Real'!C3:C15,0))+1)+((L149/(L149-1)-1)*(1-_xlfn.XLOOKUP(K149,'Fevereiro 2023 - Valor Real'!A3:A15,'Fevereiro 2023 - Valor Real'!C3:C15,0))+1)),((L148-1)*(1-_xlfn.XLOOKUP(K148,'Fevereiro 2023 - Valor Real'!A3:A15,'Fevereiro 2023 - Valor Real'!C3:C15,0))+1)/(((L148-1)*(1-_xlfn.XLOOKUP(K148,'Fevereiro 2023 - Valor Real'!A3:A15,'Fevereiro 2023 - Valor Real'!C3:C15,0))+1)+((L149/(L149-1)-1)*(1-_xlfn.XLOOKUP(K149,'Fevereiro 2023 - Valor Real'!A3:A15,'Fevereiro 2023 - Valor Real'!C3:C15,0))+1))),IF(I148="Lay",((L148/(L148-1)-1)*(1-_xlfn.XLOOKUP(K148,'Fevereiro 2023 - Valor Real'!A3:A15,'Fevereiro 2023 - Valor Real'!C3:C15,0))+1)/((((L148/(L148-1)-1)*(1-_xlfn.XLOOKUP(K148,'Fevereiro 2023 - Valor Real'!A3:A15,'Fevereiro 2023 - Valor Real'!C3:C15,0))+1))+((L149-1)*(1-_xlfn.XLOOKUP(K149,'Fevereiro 2023 - Valor Real'!A3:A15,'Fevereiro 2023 - Valor Real'!C3:C15,0))+1)),((L148-1)*(1-_xlfn.XLOOKUP(K148,'Fevereiro 2023 - Valor Real'!A3:A15,'Fevereiro 2023 - Valor Real'!C3:C15,0))+1)/(((L148-1)*(1-_xlfn.XLOOKUP(K148,'Fevereiro 2023 - Valor Real'!A3:A15,'Fevereiro 2023 - Valor Real'!C3:C15,0))+1)+((L149-1)*(1-_xlfn.XLOOKUP(K149,'Fevereiro 2023 - Valor Real'!A3:A15,'Fevereiro 2023 - Valor Real'!C3:C15,0))+1))))))</f>
        <v>0.22544495715227422</v>
      </c>
      <c r="AF149" s="66">
        <f t="shared" si="305"/>
        <v>0</v>
      </c>
      <c r="AG149" s="67">
        <f t="shared" si="305"/>
        <v>0</v>
      </c>
      <c r="AH149" s="67">
        <f t="shared" si="305"/>
        <v>0</v>
      </c>
      <c r="AI149" s="67">
        <f t="shared" si="305"/>
        <v>0</v>
      </c>
      <c r="AJ149" s="67">
        <f t="shared" si="305"/>
        <v>0</v>
      </c>
      <c r="AK149" s="67">
        <f t="shared" si="305"/>
        <v>0</v>
      </c>
      <c r="AL149" s="67">
        <f t="shared" si="305"/>
        <v>0</v>
      </c>
      <c r="AM149" s="67">
        <f t="shared" si="305"/>
        <v>0</v>
      </c>
      <c r="AN149" s="67">
        <f t="shared" si="305"/>
        <v>0</v>
      </c>
      <c r="AO149" s="67">
        <f t="shared" si="305"/>
        <v>0</v>
      </c>
      <c r="AP149" s="67">
        <f t="shared" si="305"/>
        <v>0</v>
      </c>
      <c r="AQ149" s="67">
        <f t="shared" si="305"/>
        <v>-6.74</v>
      </c>
      <c r="AR149" s="68">
        <f t="shared" si="305"/>
        <v>0</v>
      </c>
      <c r="AS149" s="66">
        <f>IF(AND($B148=" ",$K149=AS$3),$O149,0)</f>
        <v>0</v>
      </c>
      <c r="AT149" s="67">
        <f>IF(AND($B148=" ",K149=AT$3),$O149,0)</f>
        <v>0</v>
      </c>
      <c r="AU149" s="67">
        <f t="shared" ref="AU149:BE149" si="314">IF(AND($B148=" ",$K149=AU$3),$O149,0)</f>
        <v>0</v>
      </c>
      <c r="AV149" s="67">
        <f t="shared" si="314"/>
        <v>0</v>
      </c>
      <c r="AW149" s="67">
        <f t="shared" si="314"/>
        <v>0</v>
      </c>
      <c r="AX149" s="67">
        <f t="shared" si="314"/>
        <v>0</v>
      </c>
      <c r="AY149" s="69">
        <f t="shared" si="314"/>
        <v>0</v>
      </c>
      <c r="AZ149" s="70">
        <f t="shared" si="314"/>
        <v>0</v>
      </c>
      <c r="BA149" s="70">
        <f t="shared" si="314"/>
        <v>0</v>
      </c>
      <c r="BB149" s="70">
        <f t="shared" si="314"/>
        <v>0</v>
      </c>
      <c r="BC149" s="71">
        <f t="shared" si="314"/>
        <v>0</v>
      </c>
      <c r="BD149" s="67">
        <f t="shared" si="314"/>
        <v>0</v>
      </c>
      <c r="BE149" s="68">
        <f t="shared" si="314"/>
        <v>0</v>
      </c>
      <c r="BF149" s="66">
        <f t="shared" si="307"/>
        <v>0</v>
      </c>
      <c r="BG149" s="168">
        <f t="shared" si="307"/>
        <v>0</v>
      </c>
      <c r="BH149" s="67">
        <f t="shared" si="307"/>
        <v>0</v>
      </c>
      <c r="BI149" s="67">
        <f t="shared" si="307"/>
        <v>0</v>
      </c>
      <c r="BJ149" s="67">
        <f t="shared" si="307"/>
        <v>0</v>
      </c>
      <c r="BK149" s="67">
        <f t="shared" si="307"/>
        <v>0</v>
      </c>
      <c r="BL149" s="67">
        <f t="shared" si="307"/>
        <v>0</v>
      </c>
      <c r="BM149" s="69">
        <f t="shared" si="307"/>
        <v>0</v>
      </c>
      <c r="BN149" s="70">
        <f t="shared" si="307"/>
        <v>0</v>
      </c>
      <c r="BO149" s="70">
        <f t="shared" si="307"/>
        <v>0</v>
      </c>
      <c r="BP149" s="70">
        <f t="shared" si="307"/>
        <v>0</v>
      </c>
      <c r="BQ149" s="71">
        <f t="shared" si="307"/>
        <v>6.74</v>
      </c>
      <c r="BR149" s="68">
        <f t="shared" si="307"/>
        <v>0</v>
      </c>
      <c r="BS149" s="491"/>
      <c r="BT149" s="489"/>
      <c r="BU149" s="392"/>
      <c r="BV149" s="489"/>
      <c r="BW149" s="392"/>
      <c r="BX149" s="392"/>
      <c r="BY149" s="392"/>
      <c r="BZ149" s="489"/>
      <c r="CA149" s="392"/>
      <c r="CB149" s="392"/>
      <c r="CC149" s="392"/>
      <c r="CD149" s="401"/>
      <c r="CE149" s="409"/>
      <c r="CF149" s="169">
        <f t="shared" si="258"/>
        <v>0</v>
      </c>
      <c r="CG149" s="170">
        <f t="shared" si="259"/>
        <v>0</v>
      </c>
      <c r="CH149" s="170">
        <f t="shared" si="260"/>
        <v>0</v>
      </c>
      <c r="CI149" s="170">
        <f t="shared" si="261"/>
        <v>0</v>
      </c>
      <c r="CJ149" s="170">
        <f t="shared" si="262"/>
        <v>0</v>
      </c>
      <c r="CK149" s="170">
        <f t="shared" si="263"/>
        <v>0</v>
      </c>
      <c r="CL149" s="170">
        <f t="shared" si="264"/>
        <v>0</v>
      </c>
      <c r="CM149" s="170">
        <f t="shared" si="265"/>
        <v>0</v>
      </c>
      <c r="CN149" s="170">
        <f t="shared" si="266"/>
        <v>0</v>
      </c>
      <c r="CO149" s="170">
        <f t="shared" si="267"/>
        <v>0</v>
      </c>
      <c r="CP149" s="170">
        <f t="shared" si="268"/>
        <v>0</v>
      </c>
      <c r="CQ149" s="170">
        <f t="shared" si="269"/>
        <v>0</v>
      </c>
      <c r="CR149" s="170">
        <f t="shared" si="270"/>
        <v>0</v>
      </c>
      <c r="CS149" s="170">
        <f t="shared" si="271"/>
        <v>0</v>
      </c>
      <c r="CT149" s="75">
        <f t="shared" si="272"/>
        <v>0</v>
      </c>
      <c r="CU149" s="76">
        <f t="shared" si="273"/>
        <v>0</v>
      </c>
      <c r="CV149" s="76">
        <f t="shared" si="274"/>
        <v>0</v>
      </c>
      <c r="CW149" s="76">
        <f t="shared" si="275"/>
        <v>0</v>
      </c>
      <c r="CX149" s="76">
        <f t="shared" si="276"/>
        <v>0</v>
      </c>
      <c r="CY149" s="76">
        <f t="shared" si="277"/>
        <v>0</v>
      </c>
      <c r="CZ149" s="76">
        <f t="shared" si="278"/>
        <v>0</v>
      </c>
      <c r="DA149" s="76">
        <f t="shared" si="279"/>
        <v>0</v>
      </c>
      <c r="DB149" s="76">
        <f t="shared" si="280"/>
        <v>0</v>
      </c>
      <c r="DC149" s="76">
        <f t="shared" si="281"/>
        <v>1</v>
      </c>
      <c r="DD149" s="76">
        <f t="shared" si="282"/>
        <v>0</v>
      </c>
      <c r="DE149" s="77">
        <f t="shared" si="283"/>
        <v>0</v>
      </c>
      <c r="DF149" s="73">
        <f t="shared" si="286"/>
        <v>12</v>
      </c>
      <c r="DG149" s="67">
        <f t="shared" si="287"/>
        <v>15.760000000000002</v>
      </c>
      <c r="DH149" s="76">
        <f t="shared" si="288"/>
        <v>2</v>
      </c>
      <c r="DI149" s="67">
        <f t="shared" si="289"/>
        <v>8.4</v>
      </c>
      <c r="DJ149" s="202" t="str">
        <f>IF($D148="","",$D148)</f>
        <v>3</v>
      </c>
      <c r="DK149" s="493"/>
    </row>
    <row r="150" spans="1:115" ht="14.5" customHeight="1" x14ac:dyDescent="0.2">
      <c r="A150" s="390"/>
      <c r="B150" s="457"/>
      <c r="C150" s="79" t="s">
        <v>54</v>
      </c>
      <c r="D150" s="375"/>
      <c r="E150" s="387"/>
      <c r="F150" s="378"/>
      <c r="G150" s="508"/>
      <c r="H150" s="477"/>
      <c r="I150" s="191">
        <v>2</v>
      </c>
      <c r="J150" s="172"/>
      <c r="K150" s="185" t="s">
        <v>47</v>
      </c>
      <c r="L150" s="186">
        <v>5.7</v>
      </c>
      <c r="M150" s="174">
        <v>5.56</v>
      </c>
      <c r="N150" s="407"/>
      <c r="O150" s="187">
        <f>IF(OR(AE148="",AE149=""),"",IF(L150&gt;0,ROUND(IF(M150&gt;0,M150,IF(M148&gt;0,ROUND((M148*AE150)/AE148,IF(N148=0,2,IF(N148=0.1,1,0))),IF(M149&gt;0,ROUND((M149*AE150)/AE149,IF(N148=0,2,IF(N148=0.1,1,0))),IF(M150&gt;0,M150,0)))),2),""))</f>
        <v>5.56</v>
      </c>
      <c r="P150" s="188">
        <f>IF(I149="Lay",O149*(L149/(L149-1))-O149,IF(I148="Lay",O148*(L148/(L148-1))-O148,IF(OR(L150="",O150=""),"",IF($C150="1/2W",O150/2+O150/2*L150,IF($C150="1/2L",O150/2,(O150*L150-O150)*(1-_xlfn.XLOOKUP(K150,'Fevereiro 2023 - Valor Real'!A3:A15,'Fevereiro 2023 - Valor Real'!C3:C15,0))+O150)))))</f>
        <v>31.692</v>
      </c>
      <c r="Q150" s="200">
        <f>IF(K150="","",IF(_xlfn.XLOOKUP(K150,K$4:K149,$DJ$4:DJ149,0,,-1)=DJ150,_xlfn.XLOOKUP(K150,K$4:K149,Q$4:Q149,1,,-1)+1,1))</f>
        <v>5</v>
      </c>
      <c r="R150" s="189">
        <f>IF(K150="","",_xlfn.XLOOKUP(K150,K$4:K149,R$4:R149,0,,-1)+IF($C150=" ",1,0))</f>
        <v>0</v>
      </c>
      <c r="S150" s="404"/>
      <c r="T150" s="378"/>
      <c r="U150" s="378"/>
      <c r="V150" s="404"/>
      <c r="W150" s="378"/>
      <c r="X150" s="453"/>
      <c r="Y150" s="383"/>
      <c r="Z150" s="384"/>
      <c r="AA150" s="384"/>
      <c r="AB150" s="384"/>
      <c r="AC150" s="384"/>
      <c r="AD150" s="90"/>
      <c r="AE150" s="190">
        <f>IF(L150="","",(SUM(((L148-1)*(1-_xlfn.XLOOKUP(K148,'Fevereiro 2023 - Valor Real'!A3:A15,'Fevereiro 2023 - Valor Real'!C3:C15,0))+1),((L149-1)*(1-_xlfn.XLOOKUP(K149,'Fevereiro 2023 - Valor Real'!A3:A15,'Fevereiro 2023 - Valor Real'!C3:C15,0))+1),((L150-1)*(1-_xlfn.XLOOKUP(K150,'Fevereiro 2023 - Valor Real'!A3:A15,'Fevereiro 2023 - Valor Real'!C3:C15,0))+1))/((L150-1)*(1-_xlfn.XLOOKUP(K150,'Fevereiro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Real'!C3:C15,0))+1))/((L148-1)*(1-_xlfn.XLOOKUP(K148,'Fevereiro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Real'!C3:C15,0))+1))/((L149-1)*(1-_xlfn.XLOOKUP(K149,'Fevereiro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Real'!C3:C15,0))+1))/((L150-1)*(1-_xlfn.XLOOKUP(K150,'Fevereiro 2023 - Valor Real'!A3:A15,'Fevereiro 2023 - Valor Real'!C3:C15,0))+1)))</f>
        <v>0.18589321028345418</v>
      </c>
      <c r="AF150" s="66">
        <f t="shared" si="305"/>
        <v>0</v>
      </c>
      <c r="AG150" s="67">
        <f t="shared" si="305"/>
        <v>0</v>
      </c>
      <c r="AH150" s="67">
        <f t="shared" si="305"/>
        <v>0</v>
      </c>
      <c r="AI150" s="67">
        <f t="shared" si="305"/>
        <v>0</v>
      </c>
      <c r="AJ150" s="67">
        <f t="shared" si="305"/>
        <v>0</v>
      </c>
      <c r="AK150" s="67">
        <f t="shared" si="305"/>
        <v>0</v>
      </c>
      <c r="AL150" s="67">
        <f t="shared" si="305"/>
        <v>0</v>
      </c>
      <c r="AM150" s="67">
        <f t="shared" si="305"/>
        <v>0</v>
      </c>
      <c r="AN150" s="67">
        <f t="shared" si="305"/>
        <v>0</v>
      </c>
      <c r="AO150" s="67">
        <f t="shared" si="305"/>
        <v>0</v>
      </c>
      <c r="AP150" s="67">
        <f t="shared" si="305"/>
        <v>0</v>
      </c>
      <c r="AQ150" s="67">
        <f t="shared" si="305"/>
        <v>26.13</v>
      </c>
      <c r="AR150" s="68">
        <f t="shared" si="305"/>
        <v>0</v>
      </c>
      <c r="AS150" s="66">
        <f>IF(AND($B148=" ",$K150=AS$3),$O150,0)</f>
        <v>0</v>
      </c>
      <c r="AT150" s="67">
        <f>IF(AND($B148=" ",K150=AT$3),$O150,0)</f>
        <v>0</v>
      </c>
      <c r="AU150" s="67">
        <f t="shared" ref="AU150:BE150" si="315">IF(AND($B148=" ",$K150=AU$3),$O150,0)</f>
        <v>0</v>
      </c>
      <c r="AV150" s="67">
        <f t="shared" si="315"/>
        <v>0</v>
      </c>
      <c r="AW150" s="67">
        <f t="shared" si="315"/>
        <v>0</v>
      </c>
      <c r="AX150" s="67">
        <f t="shared" si="315"/>
        <v>0</v>
      </c>
      <c r="AY150" s="69">
        <f t="shared" si="315"/>
        <v>0</v>
      </c>
      <c r="AZ150" s="70">
        <f t="shared" si="315"/>
        <v>0</v>
      </c>
      <c r="BA150" s="70">
        <f t="shared" si="315"/>
        <v>0</v>
      </c>
      <c r="BB150" s="70">
        <f t="shared" si="315"/>
        <v>0</v>
      </c>
      <c r="BC150" s="71">
        <f t="shared" si="315"/>
        <v>0</v>
      </c>
      <c r="BD150" s="67">
        <f t="shared" si="315"/>
        <v>0</v>
      </c>
      <c r="BE150" s="68">
        <f t="shared" si="315"/>
        <v>0</v>
      </c>
      <c r="BF150" s="66">
        <f t="shared" si="307"/>
        <v>0</v>
      </c>
      <c r="BG150" s="168">
        <f t="shared" si="307"/>
        <v>0</v>
      </c>
      <c r="BH150" s="67">
        <f t="shared" si="307"/>
        <v>0</v>
      </c>
      <c r="BI150" s="67">
        <f t="shared" si="307"/>
        <v>0</v>
      </c>
      <c r="BJ150" s="67">
        <f t="shared" si="307"/>
        <v>0</v>
      </c>
      <c r="BK150" s="67">
        <f t="shared" si="307"/>
        <v>0</v>
      </c>
      <c r="BL150" s="67">
        <f t="shared" si="307"/>
        <v>0</v>
      </c>
      <c r="BM150" s="69">
        <f t="shared" si="307"/>
        <v>0</v>
      </c>
      <c r="BN150" s="70">
        <f t="shared" si="307"/>
        <v>0</v>
      </c>
      <c r="BO150" s="70">
        <f t="shared" si="307"/>
        <v>0</v>
      </c>
      <c r="BP150" s="70">
        <f t="shared" si="307"/>
        <v>0</v>
      </c>
      <c r="BQ150" s="71">
        <f t="shared" si="307"/>
        <v>5.56</v>
      </c>
      <c r="BR150" s="68">
        <f t="shared" si="307"/>
        <v>0</v>
      </c>
      <c r="BS150" s="491"/>
      <c r="BT150" s="489"/>
      <c r="BU150" s="392"/>
      <c r="BV150" s="489"/>
      <c r="BW150" s="392"/>
      <c r="BX150" s="392"/>
      <c r="BY150" s="392"/>
      <c r="BZ150" s="489"/>
      <c r="CA150" s="392"/>
      <c r="CB150" s="392"/>
      <c r="CC150" s="392"/>
      <c r="CD150" s="401"/>
      <c r="CE150" s="409"/>
      <c r="CF150" s="169">
        <f t="shared" si="258"/>
        <v>0</v>
      </c>
      <c r="CG150" s="170">
        <f t="shared" si="259"/>
        <v>0</v>
      </c>
      <c r="CH150" s="170">
        <f t="shared" si="260"/>
        <v>0</v>
      </c>
      <c r="CI150" s="170">
        <f t="shared" si="261"/>
        <v>0</v>
      </c>
      <c r="CJ150" s="170">
        <f t="shared" si="262"/>
        <v>0</v>
      </c>
      <c r="CK150" s="170">
        <f t="shared" si="263"/>
        <v>0</v>
      </c>
      <c r="CL150" s="170">
        <f t="shared" si="264"/>
        <v>0</v>
      </c>
      <c r="CM150" s="170">
        <f t="shared" si="265"/>
        <v>0</v>
      </c>
      <c r="CN150" s="170">
        <f t="shared" si="266"/>
        <v>0</v>
      </c>
      <c r="CO150" s="170">
        <f t="shared" si="267"/>
        <v>0</v>
      </c>
      <c r="CP150" s="170">
        <f t="shared" si="268"/>
        <v>0</v>
      </c>
      <c r="CQ150" s="170">
        <f t="shared" si="269"/>
        <v>0</v>
      </c>
      <c r="CR150" s="170">
        <f t="shared" si="270"/>
        <v>0</v>
      </c>
      <c r="CS150" s="170">
        <f t="shared" si="271"/>
        <v>0</v>
      </c>
      <c r="CT150" s="75">
        <f t="shared" si="272"/>
        <v>0</v>
      </c>
      <c r="CU150" s="76">
        <f t="shared" si="273"/>
        <v>0</v>
      </c>
      <c r="CV150" s="76">
        <f t="shared" si="274"/>
        <v>0</v>
      </c>
      <c r="CW150" s="76">
        <f t="shared" si="275"/>
        <v>0</v>
      </c>
      <c r="CX150" s="76">
        <f t="shared" si="276"/>
        <v>0</v>
      </c>
      <c r="CY150" s="76">
        <f t="shared" si="277"/>
        <v>0</v>
      </c>
      <c r="CZ150" s="76">
        <f t="shared" si="278"/>
        <v>0</v>
      </c>
      <c r="DA150" s="76">
        <f t="shared" si="279"/>
        <v>0</v>
      </c>
      <c r="DB150" s="76">
        <f t="shared" si="280"/>
        <v>1</v>
      </c>
      <c r="DC150" s="76">
        <f t="shared" si="281"/>
        <v>0</v>
      </c>
      <c r="DD150" s="76">
        <f t="shared" si="282"/>
        <v>0</v>
      </c>
      <c r="DE150" s="77">
        <f t="shared" si="283"/>
        <v>0</v>
      </c>
      <c r="DF150" s="73">
        <f t="shared" si="286"/>
        <v>12</v>
      </c>
      <c r="DG150" s="67">
        <f t="shared" si="287"/>
        <v>15.760000000000002</v>
      </c>
      <c r="DH150" s="76">
        <f t="shared" si="288"/>
        <v>3</v>
      </c>
      <c r="DI150" s="67">
        <f t="shared" si="289"/>
        <v>14.100000000000001</v>
      </c>
      <c r="DJ150" s="202" t="str">
        <f>IF($D148="","",$D148)</f>
        <v>3</v>
      </c>
      <c r="DK150" s="493"/>
    </row>
    <row r="151" spans="1:115" ht="14.5" customHeight="1" x14ac:dyDescent="0.2">
      <c r="A151" s="459">
        <f>$A148+1</f>
        <v>50</v>
      </c>
      <c r="B151" s="507" t="str">
        <f>IF(OR(C151="W",C152="W",C153="W",C151="1/2W",C152="1/2W",C153="1/2W",C151="1/2L",C152="1/2L",C153="1/2L"),"OK",IF(OR(C151="L",C152="L",C153="L"),"LOSS",IF(OR(C151="X",C152="X",C153="X"),"Anulado"," ")))</f>
        <v>OK</v>
      </c>
      <c r="C151" s="93" t="s">
        <v>55</v>
      </c>
      <c r="D151" s="468" t="str">
        <f>IF(G151="","",$D148)</f>
        <v>3</v>
      </c>
      <c r="E151" s="485" t="str">
        <f>IF(G151=""," ","– "&amp;COUNTIF(D$4:D153,$D151))</f>
        <v>– 7</v>
      </c>
      <c r="F151" s="509" t="str">
        <f ca="1">IF(G151="","",IF(OR(AND($C151&lt;&gt;" ",$C152=" "),AND($C152&lt;&gt;" ",$C151=" "),AND(L153&gt;0,OR(AND($C153&lt;&gt;" ",OR($C151=" ",$C152=" ")),AND($C153=" ",OR($C151&lt;&gt;" ",$C152&lt;&gt;" "))))),IF(SUM(F$6:F146)=0,1,LARGE(F$6:F146,1)+1),IF(MONTH(G151)=MONTH(TODAY()),IF(AND(DAY(G151)&lt;DAY(TODAY()),$B151=" "),IF(SUM(F$6:F146)=0,1,LARGE(F$6:F146,1)+1),IF($B151=" ",IF(AND(DAY(G151)=DAY(TODAY()),HOUR(G151)&lt;=HOUR(NOW())+1),IF(AND(HOUR(G151)+2&lt;=HOUR(NOW()),DAY(G151)&lt;=DAY(TODAY()),MINUTE(G151)&lt;=MINUTE(NOW())),IF(SUM(F$6:F146)=0,1,LARGE(F$6:F146,1)+1),IF(OR(MINUTE(G151)&lt;=MINUTE(NOW()),HOUR(G151)&lt;=HOUR(NOW())),"!!!","")),""),"")),"")))</f>
        <v/>
      </c>
      <c r="G151" s="482">
        <v>44988.25</v>
      </c>
      <c r="H151" s="475" t="s">
        <v>101</v>
      </c>
      <c r="I151" s="94" t="s">
        <v>76</v>
      </c>
      <c r="J151" s="95">
        <v>2.5</v>
      </c>
      <c r="K151" s="96" t="s">
        <v>43</v>
      </c>
      <c r="L151" s="97">
        <v>1.645</v>
      </c>
      <c r="M151" s="98"/>
      <c r="N151" s="478">
        <v>0</v>
      </c>
      <c r="O151" s="99">
        <f>IF(OR(AE151="",AE152=""),"",ROUND(IF(L153&gt;0,IF(M151&gt;0,M151,IF(M152&gt;0,ROUND((M152*AE151)/AE152,IF(N151=0,2,IF(N151=0.1,1,0))),ROUND((M153*AE151)/AE153,IF(N151=0,2,IF(N151=0.1,1,0))))),IF(M151&gt;0,M151,ROUND((M152*AE151)/AE152,IF(N151=0,2,IF(N151=0.1,1,0))))),2))</f>
        <v>13.09</v>
      </c>
      <c r="P151" s="100">
        <f>IF(OR(L151="",O151=""),"",IF($C151="1/2W",O151/2+O151/2*L151,IF($C151="1/2L",O151/2,IF(I151="Lay",(O151*(L151/(L151-1))-O151)*(1-_xlfn.XLOOKUP(K151,'Fevereiro 2023 - Valor Real'!A3:A15,'Fevereiro 2023 - Valor Real'!C3:C15,0))+O151,(O151*L151-O151)*(1-_xlfn.XLOOKUP(K151,'Fevereiro 2023 - Valor Real'!A3:A15,'Fevereiro 2023 - Valor Real'!C3:C15,0))+O151))))</f>
        <v>21.533049999999999</v>
      </c>
      <c r="Q151" s="177">
        <f>IF(K151="","",IF(_xlfn.XLOOKUP(K151,K$6:K146,$DJ$6:DJ146,0,,-1)=DJ151,_xlfn.XLOOKUP(K151,K$6:K146,Q$6:Q146,1,,-1)+1,1))</f>
        <v>2</v>
      </c>
      <c r="R151" s="102">
        <f>IF(K151="","",_xlfn.XLOOKUP(K151,K$6:K146,R$6:R146,0,,-1)+IF($C151=" ",1,0))</f>
        <v>0</v>
      </c>
      <c r="S151" s="474">
        <f>IF($B151="Anulado",0,ROUND(IF(OR($B151="LOSS",$B151="OK"),IF(OR($C151="W",$C151="1/2W",$C151="1/2L"),P151-O151,IF($C151="L",-O151,0))+IF(OR($C152="W",$C152="1/2W",$C152="1/2L"),P152-O152,IF($C152="L",-O152,0))+IF(OR($C153="W",$C153="1/2W",$C153="1/2L"),P153-O153,IF($C153="L",-O153,0)),IF(AND(OR($C151="W",$C151="1/2W",$C151="1/2L"),C152="W"),P151+P152-SUM(O151:O153)+_xlfn.XLOOKUP("X",C151:C153,O151:O153,0),IF(AND(C151=TRUE,C153="W"),P151+P153-SUM(O151:O153),IF(AND(C152="W",C153="W"),P152+P153-SUM(O151:O153)+_xlfn.XLOOKUP("X",C151:C153,O151:O153,0),IF(L153&gt;0,IF(OR($C151="W",$C151="1/2W",$C151="1/2L"),P151-SUM(O151:O153)+_xlfn.XLOOKUP("X",C151:C153,O151:O153,0),IF(OR($C151="W",$C151="1/2W",$C151="1/2L"),P152-SUM(O151:O153)+_xlfn.XLOOKUP("X",C151:C153,O151:O153,0),IF(OR($C151="W",$C151="1/2W",$C151="1/2L"),P153-SUM(O151:O153)+_xlfn.XLOOKUP("X",C151:C153,O151:O153,0),IF(SUM(P151:P153)/3-SUM(O151:O153)+_xlfn.XLOOKUP("X",C151:C153,O151:O153,0)&gt;0,SUM(P151:P153)/3-SUM(O151:O153)+_xlfn.XLOOKUP("X",C151:C153,O151:O153,0),LARGE(P151:P153,1)-SUM(O151:O153))))),IF(OR($C151="W",$C151="1/2W",$C151="1/2L"),P151-SUM(O151:O152)+_xlfn.XLOOKUP("X",C151:C153,O151:O153,0),IF(OR($C151="W",$C151="1/2W",$C151="1/2L"),P152-SUM(O151:O152)+_xlfn.XLOOKUP("X",C151:C153,O151:O153,0),SUM(P151:P152)/2-SUM(O151:O152)+_xlfn.XLOOKUP("X",C151:C153,O151:O153,0)))))))),2))</f>
        <v>1.27</v>
      </c>
      <c r="T151" s="458">
        <f>IF(S151=0,0,S151/SUM(O151:O153))</f>
        <v>6.2654168722249631E-2</v>
      </c>
      <c r="U151" s="470">
        <f>IF($D151=$D148,IF(OR($B151="LOSS",$B151="OK",$B151="Anulada"),S151,0)+U148,IF(OR($B151="LOSS",$B151="OK",$B151="Anulada"),S151,0))</f>
        <v>17.279999999999998</v>
      </c>
      <c r="V151" s="470">
        <f>IF($D151="",0,IF($D151=$D148,IF($B151=" ",IF(I153="",IF(OR(AND(I151="DNB1",I152="DNB2"),AND(OR(I151="DNB1",I151="DNB2"),J152=0),AND(OR(I152="DNB1",I152="DNB2"),J151=0),AND(I151="DNB2",I152="DNB1"),AND(IF(J151=0,(J151+1)/ROUND(J151+1,0),J151/ROUND(J151,0))=1,IF(J152=0,(J152+1)/ROUND(IF(J152="",0,J152)+1,0),IF(J152="",0,J152)/ROUND(IF(J152="",1,J152),0))=1,OR(J151&lt;&gt;""),J152&lt;&gt;"")),0,IF(S151&lt;0,IF(I153="",SMALL(P151:P152,1)-SUM(O151:O152),0),SMALL(P151:P152,1)-SUM(O151:O152))),IF(S151&lt;0,IF(I153="",SMALL(P151:P153,1)-SUM(O151:O153),0),LARGE(P151:P153,1)-SUM(O151:O153))),S151)+V148,IF(I153="",IF(OR(AND(I151="DNB1",I152="DNB2"),AND(OR(I151="DNB1",I151="DNB2"),J152=0),AND(OR(I152="DNB1",I152="DNB2"),J151=0),AND(I151="DNB2",I152="DNB1"),AND(IF(J151=0,(J151+1)/ROUND(J151+1,0),J151/ROUND(J151,0))=1,IF(J152=0,(IF(J152="",0,J152)+1)/ROUND(IF(J152="",0,J152)+1,0),IF(J152="",0,J152)/ROUND(IF(J152="",0,J152)+1,0))=1,OR(J151&lt;&gt;""),J152&lt;&gt;"")),0,IF(S151&lt;0,IF(I153="",SMALL(P151:P152,1)-SUM(O151:O152),0),SMALL(P151:P153,1)-SUM(O151:O153))),IF(S151&lt;0,IF(I153="",SMALL(P151:P153,1)-SUM(O151:O153),0),LARGE(P151:P153,1)-SUM(O151:O153)))))</f>
        <v>17.27</v>
      </c>
      <c r="W151" s="470">
        <f>IF($D151=$D148,IF(S151&lt;0,IF(I153="",S151,0),S151)+W148,S151)</f>
        <v>17.279999999999998</v>
      </c>
      <c r="X151" s="480" t="str">
        <f>IF(OR(SUM(R151:R153)=0,V151=W151),ROUND(IF(W151=0,0,W151/Y151)*100,2)&amp;"%",ROUND(IF(V151=0,0,V151/Y151)*100,2)&amp;"% a "&amp;ROUND(IF(W151=0,0,W151/Y151)*100,2)&amp;"%")</f>
        <v>5,14%</v>
      </c>
      <c r="Y151" s="471">
        <f>IF($D151=$D148,Y148+SUM(O151:O153),SUM(O151:O153))</f>
        <v>335.9</v>
      </c>
      <c r="Z151" s="470">
        <f>IF($B151=" ",SUM(O151:O153),0)+Z148</f>
        <v>0</v>
      </c>
      <c r="AA151" s="470">
        <f>IF(G151="","",IF($B151="Anulado",LARGE(P151:P153,1)-SUM(O151:O153)+AA148,AA148))</f>
        <v>0.45899999999999785</v>
      </c>
      <c r="AB151" s="470">
        <f>IF($D151="","",AB148+S151)</f>
        <v>128.13999999999996</v>
      </c>
      <c r="AC151" s="472">
        <f ca="1">IF($D151="","",IF($B151=" ",IF(DAY(G151)=DAY(TODAY()),1+AC148,0+AC148),0+AC148))</f>
        <v>0</v>
      </c>
      <c r="AD151" s="103">
        <f>(((L152/(L152-1)-1)*(1-_xlfn.XLOOKUP(K152,'Fevereiro 2023 - Valor Real'!A3:A15,'Fevereiro 2023 - Valor Real'!C3:C15,0))+1))/(((L151-1)*(1-_xlfn.XLOOKUP(K151,'Fevereiro 2023 - Valor Real'!A3:A15,'Fevereiro 2023 - Valor Real'!C3:C15,0))+1)+((L152/(L152-1)-1)*(1-_xlfn.XLOOKUP(K152,'Fevereiro 2023 - Valor Real'!A3:A15,'Fevereiro 2023 - Valor Real'!C3:C15,0))+1))</f>
        <v>0.47694753577106519</v>
      </c>
      <c r="AE151" s="104">
        <f>IF(L151="","",IF(L153&gt;0,(SUM(((L151-1)*(1-_xlfn.XLOOKUP(K151,'Fevereiro 2023 - Valor Real'!A3:A15,'Fevereiro 2023 - Valor Real'!C3:C15,0))+1),((L152-1)*(1-_xlfn.XLOOKUP(K152,'Fevereiro 2023 - Valor Real'!A3:A15,'Fevereiro 2023 - Valor Real'!C3:C15,0))+1),((L153-1)*(1-_xlfn.XLOOKUP(K153,'Fevereiro 2023 - Valor Real'!A3:A15,'Fevereiro 2023 - Valor Real'!C3:C15,0))+1))/((L151-1)*(1-_xlfn.XLOOKUP(K151,'Fevereiro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Real'!C3:C15,0))+1))/((L151-1)*(1-_xlfn.XLOOKUP(K151,'Fevereiro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Real'!C3:C15,0))+1))/((L152-1)*(1-_xlfn.XLOOKUP(K152,'Fevereiro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Real'!C3:C15,0))+1))/((L153-1)*(1-_xlfn.XLOOKUP(K153,'Fevereiro 2023 - Valor Real'!A3:A15,'Fevereiro 2023 - Valor Real'!C3:C15,0))+1)),IF(I151="Lay",IF(I152="Lay",((L152/(L152-1)-1)*(1-_xlfn.XLOOKUP(K152,'Fevereiro 2023 - Valor Real'!A3:A15,'Fevereiro 2023 - Valor Real'!C3:C15,0))+1)/(((L152/(L152-1)-1)*(1-_xlfn.XLOOKUP(K152,'Fevereiro 2023 - Valor Real'!A3:A15,'Fevereiro 2023 - Valor Real'!C3:C15,0))+1)+((L151/(L151-1)-1)*(1-_xlfn.XLOOKUP(K151,'Fevereiro 2023 - Valor Real'!A3:A15,'Fevereiro 2023 - Valor Real'!C3:C15,0))+1)),((L152-1)*(1-_xlfn.XLOOKUP(K152,'Fevereiro 2023 - Valor Real'!A3:A15,'Fevereiro 2023 - Valor Real'!C3:C15,0))+1)/(((L152-1)*(1-_xlfn.XLOOKUP(K152,'Fevereiro 2023 - Valor Real'!A3:A15,'Fevereiro 2023 - Valor Real'!C3:C15,0))+1)+((L151/(L151-1)-1)*(1-_xlfn.XLOOKUP(K151,'Fevereiro 2023 - Valor Real'!A3:A15,'Fevereiro 2023 - Valor Real'!C3:C15,0))+1))),IF(I152="Lay",(((L152/(L152-1)-1)*(1-_xlfn.XLOOKUP(K152,'Fevereiro 2023 - Valor Real'!A3:A15,'Fevereiro 2023 - Valor Real'!C3:C15,0))+1))/(((L151-1)*(1-_xlfn.XLOOKUP(K151,'Fevereiro 2023 - Valor Real'!A3:A15,'Fevereiro 2023 - Valor Real'!C3:C15,0))+1)+((L152/(L152-1)-1)*(1-_xlfn.XLOOKUP(K152,'Fevereiro 2023 - Valor Real'!A3:A15,'Fevereiro 2023 - Valor Real'!C3:C15,0))+1)),((L152-1)*(1-_xlfn.XLOOKUP(K152,'Fevereiro 2023 - Valor Real'!A3:A15,'Fevereiro 2023 - Valor Real'!C3:C15,0))+1)/(((L152-1)*(1-_xlfn.XLOOKUP(K152,'Fevereiro 2023 - Valor Real'!A3:A15,'Fevereiro 2023 - Valor Real'!C3:C15,0))+1)+((L151-1)*(1-_xlfn.XLOOKUP(K151,'Fevereiro 2023 - Valor Real'!A3:A15,'Fevereiro 2023 - Valor Real'!C3:C15,0))+1))))))</f>
        <v>0.64585575888051672</v>
      </c>
      <c r="AF151" s="105">
        <f t="shared" si="305"/>
        <v>0</v>
      </c>
      <c r="AG151" s="106">
        <f t="shared" si="305"/>
        <v>0</v>
      </c>
      <c r="AH151" s="106">
        <f t="shared" si="305"/>
        <v>0</v>
      </c>
      <c r="AI151" s="106">
        <f t="shared" si="305"/>
        <v>0</v>
      </c>
      <c r="AJ151" s="106">
        <f t="shared" si="305"/>
        <v>0</v>
      </c>
      <c r="AK151" s="106">
        <f t="shared" si="305"/>
        <v>0</v>
      </c>
      <c r="AL151" s="106">
        <f t="shared" si="305"/>
        <v>0</v>
      </c>
      <c r="AM151" s="106">
        <f t="shared" si="305"/>
        <v>-13.09</v>
      </c>
      <c r="AN151" s="106">
        <f t="shared" si="305"/>
        <v>0</v>
      </c>
      <c r="AO151" s="106">
        <f t="shared" si="305"/>
        <v>0</v>
      </c>
      <c r="AP151" s="106">
        <f t="shared" si="305"/>
        <v>0</v>
      </c>
      <c r="AQ151" s="106">
        <f t="shared" si="305"/>
        <v>0</v>
      </c>
      <c r="AR151" s="107">
        <f t="shared" si="305"/>
        <v>0</v>
      </c>
      <c r="AS151" s="105">
        <f t="shared" ref="AS151:BE151" si="316">IF(AND($B151=" ",$K151=AS$3),$O151,0)</f>
        <v>0</v>
      </c>
      <c r="AT151" s="106">
        <f t="shared" si="316"/>
        <v>0</v>
      </c>
      <c r="AU151" s="106">
        <f t="shared" si="316"/>
        <v>0</v>
      </c>
      <c r="AV151" s="106">
        <f t="shared" si="316"/>
        <v>0</v>
      </c>
      <c r="AW151" s="106">
        <f t="shared" si="316"/>
        <v>0</v>
      </c>
      <c r="AX151" s="106">
        <f t="shared" si="316"/>
        <v>0</v>
      </c>
      <c r="AY151" s="108">
        <f t="shared" si="316"/>
        <v>0</v>
      </c>
      <c r="AZ151" s="109">
        <f t="shared" si="316"/>
        <v>0</v>
      </c>
      <c r="BA151" s="109">
        <f t="shared" si="316"/>
        <v>0</v>
      </c>
      <c r="BB151" s="109">
        <f t="shared" si="316"/>
        <v>0</v>
      </c>
      <c r="BC151" s="110">
        <f t="shared" si="316"/>
        <v>0</v>
      </c>
      <c r="BD151" s="106">
        <f t="shared" si="316"/>
        <v>0</v>
      </c>
      <c r="BE151" s="107">
        <f t="shared" si="316"/>
        <v>0</v>
      </c>
      <c r="BF151" s="111">
        <f t="shared" si="307"/>
        <v>0</v>
      </c>
      <c r="BG151" s="106">
        <f t="shared" si="307"/>
        <v>0</v>
      </c>
      <c r="BH151" s="106">
        <f t="shared" si="307"/>
        <v>0</v>
      </c>
      <c r="BI151" s="106">
        <f t="shared" si="307"/>
        <v>0</v>
      </c>
      <c r="BJ151" s="106">
        <f t="shared" si="307"/>
        <v>0</v>
      </c>
      <c r="BK151" s="106">
        <f t="shared" si="307"/>
        <v>0</v>
      </c>
      <c r="BL151" s="106">
        <f t="shared" si="307"/>
        <v>0</v>
      </c>
      <c r="BM151" s="108">
        <f t="shared" si="307"/>
        <v>13.09</v>
      </c>
      <c r="BN151" s="109">
        <f t="shared" si="307"/>
        <v>0</v>
      </c>
      <c r="BO151" s="109">
        <f t="shared" si="307"/>
        <v>0</v>
      </c>
      <c r="BP151" s="109">
        <f t="shared" si="307"/>
        <v>0</v>
      </c>
      <c r="BQ151" s="110">
        <f t="shared" si="307"/>
        <v>0</v>
      </c>
      <c r="BR151" s="107">
        <f t="shared" si="307"/>
        <v>0</v>
      </c>
      <c r="BS151" s="463">
        <f>IF($B151="LOSS",IF(AND($K151=BS$3,$C151="L"),-$O151,0)+IF(AND($K152=BS$3,$C152="L"),-$O152,0)+IF(AND($K153=BS$3,$C153="L"),-$O153,0),IF(OR(AND($K151=BS$3,OR($C151="W",$C151="1/2W")),AND($K152=BS$3,OR($C152="W",$C152="1/2W")),AND($K153=BS$3,OR($C153="W",$C153="1/2W"))),$S151,0))</f>
        <v>0</v>
      </c>
      <c r="BT151" s="462">
        <f>IF($B151="LOSS",IF(AND($K151=BT$3,$C151="L"),-$O151,0)+IF(AND($K152=BT$3,$C152="L"),-$O152,0)+IF(AND($K152=BT$3,$C153="L"),-$O153,0),IF(OR(AND($K152=BT$3,OR($C151="W",$C151="1/2W")),AND($K152=BT$3,OR($C152="W",$C152="1/2W")),AND($K152=BT$3,OR($C153="W",$C153="1/2W"))),$S151,0))</f>
        <v>1.27</v>
      </c>
      <c r="BU151" s="462">
        <f>IF($B151="LOSS",IF(AND($K151=BU$3,$C151="L"),-$O151,0)+IF(AND($K152=BU$3,$C152="L"),-$O152,0)+IF(AND($K152=BU$3,$C153="L"),-$O153,0),IF(OR(AND($K152=BU$3,OR($C151="W",$C151="1/2W")),AND($K152=BU$3,OR($C152="W",$C152="1/2W")),AND($K152=BU$3,OR($C153="W",$C153="1/2W"))),$S151,0))</f>
        <v>0</v>
      </c>
      <c r="BV151" s="462">
        <f t="shared" ref="BV151:CE151" si="317">IF($B151="LOSS",IF(AND($K151=BV$3,$C151="L"),-$O151,0)+IF(AND($K152=BV$3,$C152="L"),-$O152,0)+IF(AND($K153=BV$3,$C153="L"),-$O153,0),IF(OR(AND($K151=BV$3,OR($C151="W",$C151="1/2W")),AND($K152=BV$3,OR($C152="W",$C152="1/2W")),AND($K153=BV$3,OR($C153="W",$C153="1/2W"))),$S151,0))</f>
        <v>0</v>
      </c>
      <c r="BW151" s="462">
        <f t="shared" si="317"/>
        <v>0</v>
      </c>
      <c r="BX151" s="462">
        <f t="shared" si="317"/>
        <v>0</v>
      </c>
      <c r="BY151" s="462">
        <f t="shared" si="317"/>
        <v>0</v>
      </c>
      <c r="BZ151" s="460">
        <f t="shared" si="317"/>
        <v>0</v>
      </c>
      <c r="CA151" s="460">
        <f t="shared" si="317"/>
        <v>0</v>
      </c>
      <c r="CB151" s="460">
        <f t="shared" si="317"/>
        <v>0</v>
      </c>
      <c r="CC151" s="460">
        <f t="shared" si="317"/>
        <v>0</v>
      </c>
      <c r="CD151" s="473">
        <f t="shared" si="317"/>
        <v>0</v>
      </c>
      <c r="CE151" s="479">
        <f t="shared" si="317"/>
        <v>0</v>
      </c>
      <c r="CF151" s="113">
        <f t="shared" si="258"/>
        <v>0</v>
      </c>
      <c r="CG151" s="114">
        <f t="shared" si="259"/>
        <v>0</v>
      </c>
      <c r="CH151" s="114">
        <f t="shared" si="260"/>
        <v>0</v>
      </c>
      <c r="CI151" s="114">
        <f t="shared" si="261"/>
        <v>0</v>
      </c>
      <c r="CJ151" s="114">
        <f t="shared" si="262"/>
        <v>0</v>
      </c>
      <c r="CK151" s="114">
        <f t="shared" si="263"/>
        <v>0</v>
      </c>
      <c r="CL151" s="114">
        <f t="shared" si="264"/>
        <v>0</v>
      </c>
      <c r="CM151" s="114">
        <f t="shared" si="265"/>
        <v>0</v>
      </c>
      <c r="CN151" s="114">
        <f t="shared" si="266"/>
        <v>0</v>
      </c>
      <c r="CO151" s="114">
        <f t="shared" si="267"/>
        <v>0</v>
      </c>
      <c r="CP151" s="114">
        <f t="shared" si="268"/>
        <v>0</v>
      </c>
      <c r="CQ151" s="114">
        <f t="shared" si="269"/>
        <v>0</v>
      </c>
      <c r="CR151" s="114">
        <f t="shared" si="270"/>
        <v>0</v>
      </c>
      <c r="CS151" s="114">
        <f t="shared" si="271"/>
        <v>0</v>
      </c>
      <c r="CT151" s="115">
        <f t="shared" si="272"/>
        <v>0</v>
      </c>
      <c r="CU151" s="116">
        <f t="shared" si="273"/>
        <v>1</v>
      </c>
      <c r="CV151" s="116">
        <f t="shared" si="274"/>
        <v>0</v>
      </c>
      <c r="CW151" s="116">
        <f t="shared" si="275"/>
        <v>0</v>
      </c>
      <c r="CX151" s="116">
        <f t="shared" si="276"/>
        <v>0</v>
      </c>
      <c r="CY151" s="116">
        <f t="shared" si="277"/>
        <v>0</v>
      </c>
      <c r="CZ151" s="116">
        <f t="shared" si="278"/>
        <v>0</v>
      </c>
      <c r="DA151" s="116">
        <f t="shared" si="279"/>
        <v>0</v>
      </c>
      <c r="DB151" s="116">
        <f t="shared" si="280"/>
        <v>0</v>
      </c>
      <c r="DC151" s="116">
        <f t="shared" si="281"/>
        <v>0</v>
      </c>
      <c r="DD151" s="116">
        <f t="shared" si="282"/>
        <v>0</v>
      </c>
      <c r="DE151" s="117">
        <f t="shared" si="283"/>
        <v>0</v>
      </c>
      <c r="DF151" s="118">
        <f t="shared" si="286"/>
        <v>12</v>
      </c>
      <c r="DG151" s="106">
        <f t="shared" si="287"/>
        <v>15.760000000000002</v>
      </c>
      <c r="DH151" s="116">
        <f t="shared" si="288"/>
        <v>3</v>
      </c>
      <c r="DI151" s="106">
        <f t="shared" si="289"/>
        <v>14.100000000000001</v>
      </c>
      <c r="DJ151" s="201" t="str">
        <f>IF($D151="","",$D151)</f>
        <v>3</v>
      </c>
      <c r="DK151" s="465">
        <f>IF(AND($B151=" ",$D151&lt;&gt;""),1,0)</f>
        <v>0</v>
      </c>
    </row>
    <row r="152" spans="1:115" ht="14.5" customHeight="1" x14ac:dyDescent="0.2">
      <c r="A152" s="389"/>
      <c r="B152" s="456"/>
      <c r="C152" s="120" t="s">
        <v>54</v>
      </c>
      <c r="D152" s="374"/>
      <c r="E152" s="386"/>
      <c r="F152" s="377"/>
      <c r="G152" s="483"/>
      <c r="H152" s="476"/>
      <c r="I152" s="121" t="s">
        <v>102</v>
      </c>
      <c r="J152" s="122">
        <f>IF(OR(I151="TO",I151="TU",I151="TO1",I151="TU1",I151="TO2",I151="TU2"),J151,IF(OR(I151="AH1",I151="AH2"),IF(OR(I152="AH1",I152="AH2"),-J151,IF(OR(I152="EH1",I152="EH2"),-J151+0.5,"")),IF(OR(I151="EH1",I151="EH2"),IF(OR(I152="AH1",I152="AH2"),-J151+0.5,IF(OR(I152="EH1",I152="EH2"),-J151+1,"")),IF(AND(OR(I151="DNB1",I151="DNB2"),OR(I152="AH1",I152="AH2")),0,IF(AND(I151="Not ScoreBoth",OR(I152="TO1",I152="TO2")),0.5,"")))))</f>
        <v>-2</v>
      </c>
      <c r="K152" s="123" t="s">
        <v>37</v>
      </c>
      <c r="L152" s="124">
        <v>3</v>
      </c>
      <c r="M152" s="125">
        <v>7.18</v>
      </c>
      <c r="N152" s="406"/>
      <c r="O152" s="126">
        <f>IF(OR(AE151="",AE152=""),"",ROUND(IF(L153&gt;0,IF(M152&gt;0,M152,IF(M151&gt;0,IF(N151=TRUE,ROUND((M151*AE152)/AE151,0),(M151*AE152)/AE151),IF(M152&gt;0,ROUND(M152,IF(N151=0,2,IF(N151=0.1,1,0))),IF(M153&gt;0,ROUND(O153*AE152/AE153,IF(N151=0,2,IF(N151=0.1,1,0))),0)))),IF(M152&gt;0,M152,ROUND((M151*AE152)/AE151,IF(N151=0,2,IF(N151=0.1,1,0))))),2))</f>
        <v>7.18</v>
      </c>
      <c r="P152" s="127">
        <f>IF(OR(L152="",O152=""),"",IF($C152="1/2W",O152/2+O152/2*L152,IF($C152="1/2L",O152/2,IF(I152="Lay",((O152*(L152/(L152-1)))-O152)*(1-_xlfn.XLOOKUP(K152,'Fevereiro 2023 - Valor Real'!A3:A15,'Fevereiro 2023 - Valor Real'!C3:C15,0))+O152,(O152*L152-O152)*(1-_xlfn.XLOOKUP(K152,'Fevereiro 2023 - Valor Real'!A3:A15,'Fevereiro 2023 - Valor Real'!C3:C15,0))+O152))))</f>
        <v>21.54</v>
      </c>
      <c r="Q152" s="128">
        <f>IF(K152="","",IF(_xlfn.XLOOKUP(K152,K$7:K146,$DJ$7:DJ146,0,,-1)=DJ152,_xlfn.XLOOKUP(K152,K$7:K146,Q$7:Q146,1,,-1)+1,1))</f>
        <v>3</v>
      </c>
      <c r="R152" s="129">
        <f>IF(K152="","",_xlfn.XLOOKUP(K152,K$7:K146,R$7:R146,0,,-1)+IF($C152=" ",1,0))</f>
        <v>0</v>
      </c>
      <c r="S152" s="403"/>
      <c r="T152" s="380"/>
      <c r="U152" s="380"/>
      <c r="V152" s="481"/>
      <c r="W152" s="380"/>
      <c r="X152" s="452"/>
      <c r="Y152" s="383"/>
      <c r="Z152" s="384"/>
      <c r="AA152" s="384"/>
      <c r="AB152" s="384"/>
      <c r="AC152" s="384"/>
      <c r="AD152" s="130">
        <f>(((L152/(L152-1)-1)*(1-_xlfn.XLOOKUP(K152,'Fevereiro 2023 - Valor Real'!A3:A15,'Fevereiro 2023 - Valor Real'!C3:C15,0))+1))</f>
        <v>1.5</v>
      </c>
      <c r="AE152" s="131">
        <f>IF(L152="","",IF(L153&gt;0,(SUM(((L151-1)*(1-_xlfn.XLOOKUP(K151,'Fevereiro 2023 - Valor Real'!A3:A15,'Fevereiro 2023 - Valor Real'!C3:C15,0))+1),((L152-1)*(1-_xlfn.XLOOKUP(K152,'Fevereiro 2023 - Valor Real'!A3:A15,'Fevereiro 2023 - Valor Real'!C3:C15,0))+1),((L153-1)*(1-_xlfn.XLOOKUP(K153,'Fevereiro 2023 - Valor Real'!A3:A15,'Fevereiro 2023 - Valor Real'!C3:C15,0))+1))/((L152-1)*(1-_xlfn.XLOOKUP(K152,'Fevereiro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Real'!C3:C15,0))+1))/((L151-1)*(1-_xlfn.XLOOKUP(K151,'Fevereiro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Real'!C3:C15,0))+1))/((L152-1)*(1-_xlfn.XLOOKUP(K152,'Fevereiro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Real'!C3:C15,0))+1))/((L153-1)*(1-_xlfn.XLOOKUP(K153,'Fevereiro 2023 - Valor Real'!A3:A15,'Fevereiro 2023 - Valor Real'!C3:C15,0))+1)),IF(I152="Lay",IF(I151="Lay",((L151/(L151-1)-1)*(1-_xlfn.XLOOKUP(K151,'Fevereiro 2023 - Valor Real'!A3:A15,'Fevereiro 2023 - Valor Real'!C3:C15,0))+1)/(((L151/(L151-1)-1)*(1-_xlfn.XLOOKUP(K151,'Fevereiro 2023 - Valor Real'!A3:A15,'Fevereiro 2023 - Valor Real'!C3:C15,0))+1)+((L152/(L152-1)-1)*(1-_xlfn.XLOOKUP(K152,'Fevereiro 2023 - Valor Real'!A3:A15,'Fevereiro 2023 - Valor Real'!C3:C15,0))+1)),((L151-1)*(1-_xlfn.XLOOKUP(K151,'Fevereiro 2023 - Valor Real'!A3:A15,'Fevereiro 2023 - Valor Real'!C3:C15,0))+1)/(((L151-1)*(1-_xlfn.XLOOKUP(K151,'Fevereiro 2023 - Valor Real'!A3:A15,'Fevereiro 2023 - Valor Real'!C3:C15,0))+1)+((L152/(L152-1)-1)*(1-_xlfn.XLOOKUP(K152,'Fevereiro 2023 - Valor Real'!A3:A15,'Fevereiro 2023 - Valor Real'!C3:C15,0))+1))),IF(I151="Lay",((L151/(L151-1)-1)*(1-_xlfn.XLOOKUP(K151,'Fevereiro 2023 - Valor Real'!A3:A15,'Fevereiro 2023 - Valor Real'!C3:C15,0))+1)/((((L151/(L151-1)-1)*(1-_xlfn.XLOOKUP(K151,'Fevereiro 2023 - Valor Real'!A3:A15,'Fevereiro 2023 - Valor Real'!C3:C15,0))+1))+((L152-1)*(1-_xlfn.XLOOKUP(K152,'Fevereiro 2023 - Valor Real'!A3:A15,'Fevereiro 2023 - Valor Real'!C3:C15,0))+1)),((L151-1)*(1-_xlfn.XLOOKUP(K151,'Fevereiro 2023 - Valor Real'!A3:A15,'Fevereiro 2023 - Valor Real'!C3:C15,0))+1)/(((L151-1)*(1-_xlfn.XLOOKUP(K151,'Fevereiro 2023 - Valor Real'!A3:A15,'Fevereiro 2023 - Valor Real'!C3:C15,0))+1)+((L152-1)*(1-_xlfn.XLOOKUP(K152,'Fevereiro 2023 - Valor Real'!A3:A15,'Fevereiro 2023 - Valor Real'!C3:C15,0))+1))))))</f>
        <v>0.35414424111948334</v>
      </c>
      <c r="AF152" s="105">
        <f t="shared" si="305"/>
        <v>0</v>
      </c>
      <c r="AG152" s="106">
        <f t="shared" si="305"/>
        <v>14.36</v>
      </c>
      <c r="AH152" s="106">
        <f t="shared" si="305"/>
        <v>0</v>
      </c>
      <c r="AI152" s="106">
        <f t="shared" si="305"/>
        <v>0</v>
      </c>
      <c r="AJ152" s="106">
        <f t="shared" si="305"/>
        <v>0</v>
      </c>
      <c r="AK152" s="106">
        <f t="shared" si="305"/>
        <v>0</v>
      </c>
      <c r="AL152" s="106">
        <f t="shared" si="305"/>
        <v>0</v>
      </c>
      <c r="AM152" s="106">
        <f t="shared" si="305"/>
        <v>0</v>
      </c>
      <c r="AN152" s="106">
        <f t="shared" si="305"/>
        <v>0</v>
      </c>
      <c r="AO152" s="106">
        <f t="shared" si="305"/>
        <v>0</v>
      </c>
      <c r="AP152" s="106">
        <f t="shared" si="305"/>
        <v>0</v>
      </c>
      <c r="AQ152" s="106">
        <f t="shared" si="305"/>
        <v>0</v>
      </c>
      <c r="AR152" s="107">
        <f t="shared" si="305"/>
        <v>0</v>
      </c>
      <c r="AS152" s="105">
        <f>IF(AND($B151=" ",$K152=AS$3),$O152,0)</f>
        <v>0</v>
      </c>
      <c r="AT152" s="106">
        <f>IF(AND($B151=" ",K152=AT$3),$O152,0)</f>
        <v>0</v>
      </c>
      <c r="AU152" s="106">
        <f t="shared" ref="AU152:BE152" si="318">IF(AND($B151=" ",$K152=AU$3),$O152,0)</f>
        <v>0</v>
      </c>
      <c r="AV152" s="106">
        <f t="shared" si="318"/>
        <v>0</v>
      </c>
      <c r="AW152" s="106">
        <f t="shared" si="318"/>
        <v>0</v>
      </c>
      <c r="AX152" s="106">
        <f t="shared" si="318"/>
        <v>0</v>
      </c>
      <c r="AY152" s="108">
        <f t="shared" si="318"/>
        <v>0</v>
      </c>
      <c r="AZ152" s="109">
        <f t="shared" si="318"/>
        <v>0</v>
      </c>
      <c r="BA152" s="109">
        <f t="shared" si="318"/>
        <v>0</v>
      </c>
      <c r="BB152" s="109">
        <f t="shared" si="318"/>
        <v>0</v>
      </c>
      <c r="BC152" s="110">
        <f t="shared" si="318"/>
        <v>0</v>
      </c>
      <c r="BD152" s="106">
        <f t="shared" si="318"/>
        <v>0</v>
      </c>
      <c r="BE152" s="107">
        <f t="shared" si="318"/>
        <v>0</v>
      </c>
      <c r="BF152" s="105">
        <f t="shared" si="307"/>
        <v>0</v>
      </c>
      <c r="BG152" s="106">
        <f t="shared" si="307"/>
        <v>7.18</v>
      </c>
      <c r="BH152" s="106">
        <f t="shared" si="307"/>
        <v>0</v>
      </c>
      <c r="BI152" s="106">
        <f t="shared" si="307"/>
        <v>0</v>
      </c>
      <c r="BJ152" s="106">
        <f t="shared" si="307"/>
        <v>0</v>
      </c>
      <c r="BK152" s="106">
        <f t="shared" si="307"/>
        <v>0</v>
      </c>
      <c r="BL152" s="106">
        <f t="shared" si="307"/>
        <v>0</v>
      </c>
      <c r="BM152" s="132">
        <f t="shared" si="307"/>
        <v>0</v>
      </c>
      <c r="BN152" s="112">
        <f t="shared" si="307"/>
        <v>0</v>
      </c>
      <c r="BO152" s="112">
        <f t="shared" si="307"/>
        <v>0</v>
      </c>
      <c r="BP152" s="112">
        <f t="shared" si="307"/>
        <v>0</v>
      </c>
      <c r="BQ152" s="110">
        <f t="shared" si="307"/>
        <v>0</v>
      </c>
      <c r="BR152" s="107">
        <f t="shared" si="307"/>
        <v>0</v>
      </c>
      <c r="BS152" s="464"/>
      <c r="BT152" s="461"/>
      <c r="BU152" s="392"/>
      <c r="BV152" s="461"/>
      <c r="BW152" s="392"/>
      <c r="BX152" s="392"/>
      <c r="BY152" s="392"/>
      <c r="BZ152" s="461"/>
      <c r="CA152" s="392"/>
      <c r="CB152" s="392"/>
      <c r="CC152" s="392"/>
      <c r="CD152" s="401"/>
      <c r="CE152" s="409"/>
      <c r="CF152" s="133">
        <f t="shared" si="258"/>
        <v>0</v>
      </c>
      <c r="CG152" s="134">
        <f t="shared" si="259"/>
        <v>0</v>
      </c>
      <c r="CH152" s="134">
        <f t="shared" si="260"/>
        <v>1</v>
      </c>
      <c r="CI152" s="134">
        <f t="shared" si="261"/>
        <v>0</v>
      </c>
      <c r="CJ152" s="134">
        <f t="shared" si="262"/>
        <v>0</v>
      </c>
      <c r="CK152" s="134">
        <f t="shared" si="263"/>
        <v>0</v>
      </c>
      <c r="CL152" s="134">
        <f t="shared" si="264"/>
        <v>0</v>
      </c>
      <c r="CM152" s="134">
        <f t="shared" si="265"/>
        <v>0</v>
      </c>
      <c r="CN152" s="134">
        <f t="shared" si="266"/>
        <v>0</v>
      </c>
      <c r="CO152" s="134">
        <f t="shared" si="267"/>
        <v>0</v>
      </c>
      <c r="CP152" s="134">
        <f t="shared" si="268"/>
        <v>0</v>
      </c>
      <c r="CQ152" s="134">
        <f t="shared" si="269"/>
        <v>0</v>
      </c>
      <c r="CR152" s="134">
        <f t="shared" si="270"/>
        <v>0</v>
      </c>
      <c r="CS152" s="134">
        <f t="shared" si="271"/>
        <v>0</v>
      </c>
      <c r="CT152" s="115">
        <f t="shared" si="272"/>
        <v>0</v>
      </c>
      <c r="CU152" s="116">
        <f t="shared" si="273"/>
        <v>0</v>
      </c>
      <c r="CV152" s="116">
        <f t="shared" si="274"/>
        <v>0</v>
      </c>
      <c r="CW152" s="116">
        <f t="shared" si="275"/>
        <v>0</v>
      </c>
      <c r="CX152" s="116">
        <f t="shared" si="276"/>
        <v>0</v>
      </c>
      <c r="CY152" s="116">
        <f t="shared" si="277"/>
        <v>0</v>
      </c>
      <c r="CZ152" s="116">
        <f t="shared" si="278"/>
        <v>0</v>
      </c>
      <c r="DA152" s="116">
        <f t="shared" si="279"/>
        <v>0</v>
      </c>
      <c r="DB152" s="116">
        <f t="shared" si="280"/>
        <v>0</v>
      </c>
      <c r="DC152" s="116">
        <f t="shared" si="281"/>
        <v>0</v>
      </c>
      <c r="DD152" s="116">
        <f t="shared" si="282"/>
        <v>0</v>
      </c>
      <c r="DE152" s="117">
        <f t="shared" si="283"/>
        <v>0</v>
      </c>
      <c r="DF152" s="118">
        <f t="shared" si="286"/>
        <v>12</v>
      </c>
      <c r="DG152" s="106">
        <f t="shared" si="287"/>
        <v>15.760000000000002</v>
      </c>
      <c r="DH152" s="116">
        <f t="shared" si="288"/>
        <v>3</v>
      </c>
      <c r="DI152" s="106">
        <f t="shared" si="289"/>
        <v>14.100000000000001</v>
      </c>
      <c r="DJ152" s="201" t="str">
        <f>IF($D151="","",$D151)</f>
        <v>3</v>
      </c>
      <c r="DK152" s="466"/>
    </row>
    <row r="153" spans="1:115" ht="14.5" customHeight="1" x14ac:dyDescent="0.2">
      <c r="A153" s="390"/>
      <c r="B153" s="457"/>
      <c r="C153" s="135" t="s">
        <v>53</v>
      </c>
      <c r="D153" s="375"/>
      <c r="E153" s="387"/>
      <c r="F153" s="378"/>
      <c r="G153" s="484"/>
      <c r="H153" s="477"/>
      <c r="I153" s="136"/>
      <c r="J153" s="137"/>
      <c r="K153" s="138"/>
      <c r="L153" s="139"/>
      <c r="M153" s="140"/>
      <c r="N153" s="407"/>
      <c r="O153" s="141" t="str">
        <f>IF(OR(AE151="",AE152=""),"",IF(L153&gt;0,ROUND(IF(M153&gt;0,M153,IF(M151&gt;0,ROUND((M151*AE153)/AE151,IF(N151=0,2,IF(N151=0.1,1,0))),IF(M152&gt;0,ROUND((M152*AE153)/AE152,IF(N151=0,2,IF(N151=0.1,1,0))),IF(M153&gt;0,M153,0)))),2),""))</f>
        <v/>
      </c>
      <c r="P153" s="142" t="str">
        <f>IF(I152="Lay",O152*(L152/(L152-1))-O152,IF(I151="Lay",O151*(L151/(L151-1))-O151,IF(OR(L153="",O153=""),"",IF($C153="1/2W",O153/2+O153/2*L153,IF($C153="1/2L",O153/2,(O153*L153-O153)*(1-_xlfn.XLOOKUP(K153,'Fevereiro 2023 - Valor Real'!A3:A15,'Fevereiro 2023 - Valor Real'!C3:C15,0))+O153)))))</f>
        <v/>
      </c>
      <c r="Q153" s="143" t="str">
        <f>IF(K153="","",IF(_xlfn.XLOOKUP(K153,K$8:K146,$DJ$8:DJ146,0,,-1)=DJ153,_xlfn.XLOOKUP(K153,K$8:K146,Q$8:Q146,1,,-1)+1,1))</f>
        <v/>
      </c>
      <c r="R153" s="144" t="str">
        <f>IF(K153="","",_xlfn.XLOOKUP(K153,K$8:K146,R$8:R146,0,,-1)+IF($C153=" ",1,0))</f>
        <v/>
      </c>
      <c r="S153" s="404"/>
      <c r="T153" s="378"/>
      <c r="U153" s="378"/>
      <c r="V153" s="404"/>
      <c r="W153" s="378"/>
      <c r="X153" s="453"/>
      <c r="Y153" s="383"/>
      <c r="Z153" s="384"/>
      <c r="AA153" s="384"/>
      <c r="AB153" s="384"/>
      <c r="AC153" s="384"/>
      <c r="AD153" s="145">
        <f>((L152/(L152-1)-1))</f>
        <v>0.5</v>
      </c>
      <c r="AE153" s="146" t="str">
        <f>IF(L153="","",(SUM(((L151-1)*(1-_xlfn.XLOOKUP(K151,'Fevereiro 2023 - Valor Real'!A3:A15,'Fevereiro 2023 - Valor Real'!C3:C15,0))+1),((L152-1)*(1-_xlfn.XLOOKUP(K152,'Fevereiro 2023 - Valor Real'!A3:A15,'Fevereiro 2023 - Valor Real'!C3:C15,0))+1),((L153-1)*(1-_xlfn.XLOOKUP(K153,'Fevereiro 2023 - Valor Real'!A3:A15,'Fevereiro 2023 - Valor Real'!C3:C15,0))+1))/((L153-1)*(1-_xlfn.XLOOKUP(K153,'Fevereiro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Real'!C3:C15,0))+1))/((L151-1)*(1-_xlfn.XLOOKUP(K151,'Fevereiro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Real'!C3:C15,0))+1))/((L152-1)*(1-_xlfn.XLOOKUP(K152,'Fevereiro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Real'!C3:C15,0))+1))/((L153-1)*(1-_xlfn.XLOOKUP(K153,'Fevereiro 2023 - Valor Real'!A3:A15,'Fevereiro 2023 - Valor Real'!C3:C15,0))+1)))</f>
        <v/>
      </c>
      <c r="AF153" s="105">
        <f t="shared" si="305"/>
        <v>0</v>
      </c>
      <c r="AG153" s="106">
        <f t="shared" si="305"/>
        <v>0</v>
      </c>
      <c r="AH153" s="106">
        <f t="shared" si="305"/>
        <v>0</v>
      </c>
      <c r="AI153" s="106">
        <f t="shared" si="305"/>
        <v>0</v>
      </c>
      <c r="AJ153" s="106">
        <f t="shared" si="305"/>
        <v>0</v>
      </c>
      <c r="AK153" s="106">
        <f t="shared" si="305"/>
        <v>0</v>
      </c>
      <c r="AL153" s="106">
        <f t="shared" si="305"/>
        <v>0</v>
      </c>
      <c r="AM153" s="106">
        <f t="shared" si="305"/>
        <v>0</v>
      </c>
      <c r="AN153" s="106">
        <f t="shared" si="305"/>
        <v>0</v>
      </c>
      <c r="AO153" s="106">
        <f t="shared" si="305"/>
        <v>0</v>
      </c>
      <c r="AP153" s="106">
        <f t="shared" si="305"/>
        <v>0</v>
      </c>
      <c r="AQ153" s="106">
        <f t="shared" si="305"/>
        <v>0</v>
      </c>
      <c r="AR153" s="107">
        <f t="shared" si="305"/>
        <v>0</v>
      </c>
      <c r="AS153" s="105">
        <f>IF(AND($B151=" ",$K153=AS$3),$O153,0)</f>
        <v>0</v>
      </c>
      <c r="AT153" s="106">
        <f>IF(AND($B151=" ",K153=AT$3),$O153,0)</f>
        <v>0</v>
      </c>
      <c r="AU153" s="106">
        <f t="shared" ref="AU153:BE153" si="319">IF(AND($B151=" ",$K153=AU$3),$O153,0)</f>
        <v>0</v>
      </c>
      <c r="AV153" s="106">
        <f t="shared" si="319"/>
        <v>0</v>
      </c>
      <c r="AW153" s="106">
        <f t="shared" si="319"/>
        <v>0</v>
      </c>
      <c r="AX153" s="106">
        <f t="shared" si="319"/>
        <v>0</v>
      </c>
      <c r="AY153" s="108">
        <f t="shared" si="319"/>
        <v>0</v>
      </c>
      <c r="AZ153" s="109">
        <f t="shared" si="319"/>
        <v>0</v>
      </c>
      <c r="BA153" s="109">
        <f t="shared" si="319"/>
        <v>0</v>
      </c>
      <c r="BB153" s="109">
        <f t="shared" si="319"/>
        <v>0</v>
      </c>
      <c r="BC153" s="110">
        <f t="shared" si="319"/>
        <v>0</v>
      </c>
      <c r="BD153" s="106">
        <f t="shared" si="319"/>
        <v>0</v>
      </c>
      <c r="BE153" s="107">
        <f t="shared" si="319"/>
        <v>0</v>
      </c>
      <c r="BF153" s="105">
        <f t="shared" si="307"/>
        <v>0</v>
      </c>
      <c r="BG153" s="106">
        <f t="shared" si="307"/>
        <v>0</v>
      </c>
      <c r="BH153" s="106">
        <f t="shared" si="307"/>
        <v>0</v>
      </c>
      <c r="BI153" s="106">
        <f t="shared" si="307"/>
        <v>0</v>
      </c>
      <c r="BJ153" s="106">
        <f t="shared" si="307"/>
        <v>0</v>
      </c>
      <c r="BK153" s="106">
        <f t="shared" si="307"/>
        <v>0</v>
      </c>
      <c r="BL153" s="106">
        <f t="shared" si="307"/>
        <v>0</v>
      </c>
      <c r="BM153" s="108">
        <f t="shared" si="307"/>
        <v>0</v>
      </c>
      <c r="BN153" s="109">
        <f t="shared" si="307"/>
        <v>0</v>
      </c>
      <c r="BO153" s="109">
        <f t="shared" si="307"/>
        <v>0</v>
      </c>
      <c r="BP153" s="109">
        <f t="shared" si="307"/>
        <v>0</v>
      </c>
      <c r="BQ153" s="110">
        <f t="shared" si="307"/>
        <v>0</v>
      </c>
      <c r="BR153" s="107">
        <f t="shared" si="307"/>
        <v>0</v>
      </c>
      <c r="BS153" s="464"/>
      <c r="BT153" s="461"/>
      <c r="BU153" s="392"/>
      <c r="BV153" s="461"/>
      <c r="BW153" s="392"/>
      <c r="BX153" s="392"/>
      <c r="BY153" s="392"/>
      <c r="BZ153" s="461"/>
      <c r="CA153" s="392"/>
      <c r="CB153" s="392"/>
      <c r="CC153" s="392"/>
      <c r="CD153" s="401"/>
      <c r="CE153" s="409"/>
      <c r="CF153" s="133">
        <f t="shared" si="258"/>
        <v>0</v>
      </c>
      <c r="CG153" s="134">
        <f t="shared" si="259"/>
        <v>0</v>
      </c>
      <c r="CH153" s="134">
        <f t="shared" si="260"/>
        <v>0</v>
      </c>
      <c r="CI153" s="134">
        <f t="shared" si="261"/>
        <v>0</v>
      </c>
      <c r="CJ153" s="134">
        <f t="shared" si="262"/>
        <v>0</v>
      </c>
      <c r="CK153" s="134">
        <f t="shared" si="263"/>
        <v>0</v>
      </c>
      <c r="CL153" s="134">
        <f t="shared" si="264"/>
        <v>0</v>
      </c>
      <c r="CM153" s="134">
        <f t="shared" si="265"/>
        <v>0</v>
      </c>
      <c r="CN153" s="134">
        <f t="shared" si="266"/>
        <v>0</v>
      </c>
      <c r="CO153" s="134">
        <f t="shared" si="267"/>
        <v>0</v>
      </c>
      <c r="CP153" s="134">
        <f t="shared" si="268"/>
        <v>0</v>
      </c>
      <c r="CQ153" s="134">
        <f t="shared" si="269"/>
        <v>0</v>
      </c>
      <c r="CR153" s="134">
        <f t="shared" si="270"/>
        <v>0</v>
      </c>
      <c r="CS153" s="134">
        <f t="shared" si="271"/>
        <v>0</v>
      </c>
      <c r="CT153" s="115">
        <f t="shared" si="272"/>
        <v>0</v>
      </c>
      <c r="CU153" s="116">
        <f t="shared" si="273"/>
        <v>0</v>
      </c>
      <c r="CV153" s="116">
        <f t="shared" si="274"/>
        <v>0</v>
      </c>
      <c r="CW153" s="116">
        <f t="shared" si="275"/>
        <v>0</v>
      </c>
      <c r="CX153" s="116">
        <f t="shared" si="276"/>
        <v>0</v>
      </c>
      <c r="CY153" s="116">
        <f t="shared" si="277"/>
        <v>0</v>
      </c>
      <c r="CZ153" s="116">
        <f t="shared" si="278"/>
        <v>0</v>
      </c>
      <c r="DA153" s="116">
        <f t="shared" si="279"/>
        <v>0</v>
      </c>
      <c r="DB153" s="116">
        <f t="shared" si="280"/>
        <v>0</v>
      </c>
      <c r="DC153" s="116">
        <f t="shared" si="281"/>
        <v>0</v>
      </c>
      <c r="DD153" s="116">
        <f t="shared" si="282"/>
        <v>0</v>
      </c>
      <c r="DE153" s="117">
        <f t="shared" si="283"/>
        <v>0</v>
      </c>
      <c r="DF153" s="118">
        <f t="shared" si="286"/>
        <v>12</v>
      </c>
      <c r="DG153" s="106">
        <f t="shared" si="287"/>
        <v>15.760000000000002</v>
      </c>
      <c r="DH153" s="116">
        <f t="shared" si="288"/>
        <v>3</v>
      </c>
      <c r="DI153" s="106">
        <f t="shared" si="289"/>
        <v>14.100000000000001</v>
      </c>
      <c r="DJ153" s="201" t="str">
        <f>IF($D151="","",$D151)</f>
        <v>3</v>
      </c>
      <c r="DK153" s="466"/>
    </row>
    <row r="154" spans="1:115" ht="14.5" customHeight="1" x14ac:dyDescent="0.2">
      <c r="A154" s="487">
        <f>$A151+1</f>
        <v>51</v>
      </c>
      <c r="B154" s="506" t="str">
        <f>IF(OR(C154="W",C155="W",C156="W",C154="1/2W",C155="1/2W",C156="1/2W",C154="1/2L",C155="1/2L",C156="1/2L"),"OK",IF(OR(C154="L",C155="L",C156="L"),"LOSS",IF(OR(C154="X",C155="X",C156="X"),"Anulado"," ")))</f>
        <v>OK</v>
      </c>
      <c r="C154" s="147" t="s">
        <v>54</v>
      </c>
      <c r="D154" s="494" t="str">
        <f>IF(G154="","",$D151)</f>
        <v>3</v>
      </c>
      <c r="E154" s="511" t="str">
        <f>IF(G154=""," ","– "&amp;COUNTIF(D$4:D156,$D154))</f>
        <v>– 8</v>
      </c>
      <c r="F154" s="510" t="str">
        <f ca="1">IF(G154="","",IF(OR(AND($C154&lt;&gt;" ",$C155=" "),AND($C155&lt;&gt;" ",$C154=" "),AND(L156&gt;0,OR(AND($C156&lt;&gt;" ",OR($C154=" ",$C155=" ")),AND($C156=" ",OR($C154&lt;&gt;" ",$C155&lt;&gt;" "))))),IF(SUM(F$9:F146)=0,1,LARGE(F$9:F146,1)+1),IF(MONTH(G154)=MONTH(TODAY()),IF(AND(DAY(G154)&lt;DAY(TODAY()),$B154=" "),IF(SUM(F$9:F146)=0,1,LARGE(F$9:F146,1)+1),IF($B154=" ",IF(AND(DAY(G154)=DAY(TODAY()),HOUR(G154)&lt;=HOUR(NOW())+1),IF(AND(HOUR(G154)+2&lt;=HOUR(NOW()),DAY(G154)&lt;=DAY(TODAY()),MINUTE(G154)&lt;=MINUTE(NOW())),IF(SUM(F$9:F146)=0,1,LARGE(F$9:F146,1)+1),IF(OR(MINUTE(G154)&lt;=MINUTE(NOW()),HOUR(G154)&lt;=HOUR(NOW())),"!!!","")),""),"")),"")))</f>
        <v/>
      </c>
      <c r="G154" s="508">
        <f>IF(H154="","",_xlfn.XLOOKUP(H154,$H$4:H153,$G$4:G153,""))</f>
        <v>44988.25</v>
      </c>
      <c r="H154" s="502" t="s">
        <v>101</v>
      </c>
      <c r="I154" s="180" t="s">
        <v>51</v>
      </c>
      <c r="J154" s="181">
        <v>0.5</v>
      </c>
      <c r="K154" s="150" t="s">
        <v>43</v>
      </c>
      <c r="L154" s="151">
        <v>2.2000000000000002</v>
      </c>
      <c r="M154" s="152"/>
      <c r="N154" s="503">
        <v>0</v>
      </c>
      <c r="O154" s="153">
        <f>IF(OR(AE154="",AE155=""),"",ROUND(IF(L156&gt;0,IF(M154&gt;0,M154,IF(M155&gt;0,ROUND((M155*AE154)/AE155,IF(N154=0,2,IF(N154=0.1,1,0))),ROUND((M156*AE154)/AE156,IF(N154=0,2,IF(N154=0.1,1,0))))),IF(M154&gt;0,M154,ROUND((M155*AE154)/AE155,IF(N154=0,2,IF(N154=0.1,1,0))))),2))</f>
        <v>13.39</v>
      </c>
      <c r="P154" s="154">
        <f>IF(OR(L154="",O154=""),"",IF($C154="1/2W",O154/2+O154/2*L154,IF($C154="1/2L",O154/2,IF(I154="Lay",(O154*(L154/(L154-1))-O154)*(1-_xlfn.XLOOKUP(K154,'Fevereiro 2023 - Valor Real'!A3:A15,'Fevereiro 2023 - Valor Real'!C3:C15,0))+O154,(O154*L154-O154)*(1-_xlfn.XLOOKUP(K154,'Fevereiro 2023 - Valor Real'!A3:A15,'Fevereiro 2023 - Valor Real'!C3:C15,0))+O154))))</f>
        <v>29.458000000000002</v>
      </c>
      <c r="Q154" s="155">
        <f>IF(K154="","",IF(_xlfn.XLOOKUP(K154,K$9:K146,$DJ$9:DJ146,0,,-1)=DJ154,_xlfn.XLOOKUP(K154,K$9:K146,Q$9:Q146,1,,-1)+1,1))</f>
        <v>2</v>
      </c>
      <c r="R154" s="156">
        <f>IF(K154="","",_xlfn.XLOOKUP(K154,K$9:K146,R$9:R146,0,,-1)+IF($C154=" ",1,0))</f>
        <v>0</v>
      </c>
      <c r="S154" s="501">
        <f>IF($B154="Anulado",0,ROUND(IF(OR($B154="LOSS",$B154="OK"),IF(OR($C154="W",$C154="1/2W",$C154="1/2L"),P154-O154,IF($C154="L",-O154,0))+IF(OR($C155="W",$C155="1/2W",$C155="1/2L"),P155-O155,IF($C155="L",-O155,0))+IF(OR($C156="W",$C156="1/2W",$C156="1/2L"),P156-O156,IF($C156="L",-O156,0)),IF(AND(OR($C154="W",$C154="1/2W",$C154="1/2L"),C155="W"),P154+P155-SUM(O154:O156)+_xlfn.XLOOKUP("X",C154:C156,O154:O156,0),IF(AND(C154=TRUE,C156="W"),P154+P156-SUM(O154:O156),IF(AND(C155="W",C156="W"),P155+P156-SUM(O154:O156)+_xlfn.XLOOKUP("X",C154:C156,O154:O156,0),IF(L156&gt;0,IF(OR($C154="W",$C154="1/2W",$C154="1/2L"),P154-SUM(O154:O156)+_xlfn.XLOOKUP("X",C154:C156,O154:O156,0),IF(OR($C154="W",$C154="1/2W",$C154="1/2L"),P155-SUM(O154:O156)+_xlfn.XLOOKUP("X",C154:C156,O154:O156,0),IF(OR($C154="W",$C154="1/2W",$C154="1/2L"),P156-SUM(O154:O156)+_xlfn.XLOOKUP("X",C154:C156,O154:O156,0),IF(SUM(P154:P156)/3-SUM(O154:O156)+_xlfn.XLOOKUP("X",C154:C156,O154:O156,0)&gt;0,SUM(P154:P156)/3-SUM(O154:O156)+_xlfn.XLOOKUP("X",C154:C156,O154:O156,0),LARGE(P154:P156,1)-SUM(O154:O156))))),IF(OR($C154="W",$C154="1/2W",$C154="1/2L"),P154-SUM(O154:O155)+_xlfn.XLOOKUP("X",C154:C156,O154:O156,0),IF(OR($C154="W",$C154="1/2W",$C154="1/2L"),P155-SUM(O154:O155)+_xlfn.XLOOKUP("X",C154:C156,O154:O156,0),SUM(P154:P155)/2-SUM(O154:O155)+_xlfn.XLOOKUP("X",C154:C156,O154:O156,0)))))))),2))</f>
        <v>0.96</v>
      </c>
      <c r="T154" s="486">
        <f>IF(S154=0,0,S154/SUM(O154:O156))</f>
        <v>3.3684210526315789E-2</v>
      </c>
      <c r="U154" s="496">
        <f>IF($D154=$D151,IF(OR($B154="LOSS",$B154="OK",$B154="Anulada"),S154,0)+U151,IF(OR($B154="LOSS",$B154="OK",$B154="Anulada"),S154,0))</f>
        <v>18.239999999999998</v>
      </c>
      <c r="V154" s="496">
        <f>IF($D154="",0,IF($D154=$D151,IF($B154=" ",IF(I156="",IF(OR(AND(I154="DNB1",I155="DNB2"),AND(OR(I154="DNB1",I154="DNB2"),J155=0),AND(OR(I155="DNB1",I155="DNB2"),J154=0),AND(I154="DNB2",I155="DNB1"),AND(IF(J154=0,(J154+1)/ROUND(J154+1,0),J154/ROUND(J154,0))=1,IF(J155=0,(J155+1)/ROUND(IF(J155="",0,J155)+1,0),IF(J155="",0,J155)/ROUND(IF(J155="",1,J155),0))=1,OR(J154&lt;&gt;""),J155&lt;&gt;"")),0,IF(S154&lt;0,IF(I156="",SMALL(P154:P155,1)-SUM(O154:O155),0),SMALL(P154:P155,1)-SUM(O154:O155))),IF(S154&lt;0,IF(I156="",SMALL(P154:P156,1)-SUM(O154:O156),0),LARGE(P154:P156,1)-SUM(O154:O156))),S154)+V151,IF(I156="",IF(OR(AND(I154="DNB1",I155="DNB2"),AND(OR(I154="DNB1",I154="DNB2"),J155=0),AND(OR(I155="DNB1",I155="DNB2"),J154=0),AND(I154="DNB2",I155="DNB1"),AND(IF(J154=0,(J154+1)/ROUND(J154+1,0),J154/ROUND(J154,0))=1,IF(J155=0,(IF(J155="",0,J155)+1)/ROUND(IF(J155="",0,J155)+1,0),IF(J155="",0,J155)/ROUND(IF(J155="",0,J155)+1,0))=1,OR(J154&lt;&gt;""),J155&lt;&gt;"")),0,IF(S154&lt;0,IF(I156="",SMALL(P154:P155,1)-SUM(O154:O155),0),SMALL(P154:P156,1)-SUM(O154:O156))),IF(S154&lt;0,IF(I156="",SMALL(P154:P156,1)-SUM(O154:O156),0),LARGE(P154:P156,1)-SUM(O154:O156)))))</f>
        <v>18.23</v>
      </c>
      <c r="W154" s="496">
        <f>IF($D154=$D151,IF(S154&lt;0,IF(I156="",S154,0),S154)+W151,S154)</f>
        <v>18.239999999999998</v>
      </c>
      <c r="X154" s="505" t="str">
        <f>IF(OR(SUM(R154:R156)=0,V154=W154),ROUND(IF(W154=0,0,W154/Y154)*100,2)&amp;"%",ROUND(IF(V154=0,0,V154/Y154)*100,2)&amp;"% a "&amp;ROUND(IF(W154=0,0,W154/Y154)*100,2)&amp;"%")</f>
        <v>5,01%</v>
      </c>
      <c r="Y154" s="497">
        <f>IF($D154=$D151,Y151+SUM(O154:O156),SUM(O154:O156))</f>
        <v>364.4</v>
      </c>
      <c r="Z154" s="496">
        <f>IF($B154=" ",SUM(O154:O156),0)+Z151</f>
        <v>0</v>
      </c>
      <c r="AA154" s="496">
        <f>IF(G154="","",IF($B154="Anulado",LARGE(P154:P156,1)-SUM(O154:O156)+AA151,AA151))</f>
        <v>0.45899999999999785</v>
      </c>
      <c r="AB154" s="496">
        <f>IF($D154="","",AB151+S154)</f>
        <v>129.09999999999997</v>
      </c>
      <c r="AC154" s="499">
        <f ca="1">IF($D154="","",IF($B154=" ",IF(DAY(G154)=DAY(TODAY()),1+AC151,0+AC151),0+AC151))</f>
        <v>0</v>
      </c>
      <c r="AD154" s="157">
        <f>(1-_xlfn.XLOOKUP(K152,'Fevereiro 2023 - Valor Real'!A3:A15,'Fevereiro 2023 - Valor Real'!C3:C15,0))+1</f>
        <v>2</v>
      </c>
      <c r="AE154" s="158">
        <f>IF(L154="","",IF(L156&gt;0,(SUM(((L154-1)*(1-_xlfn.XLOOKUP(K154,'Fevereiro 2023 - Valor Real'!A3:A15,'Fevereiro 2023 - Valor Real'!C3:C15,0))+1),((L155-1)*(1-_xlfn.XLOOKUP(K155,'Fevereiro 2023 - Valor Real'!A3:A15,'Fevereiro 2023 - Valor Real'!C3:C15,0))+1),((L156-1)*(1-_xlfn.XLOOKUP(K156,'Fevereiro 2023 - Valor Real'!A3:A15,'Fevereiro 2023 - Valor Real'!C3:C15,0))+1))/((L154-1)*(1-_xlfn.XLOOKUP(K154,'Fevereiro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Real'!C3:C15,0))+1))/((L154-1)*(1-_xlfn.XLOOKUP(K154,'Fevereiro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Real'!C3:C15,0))+1))/((L155-1)*(1-_xlfn.XLOOKUP(K155,'Fevereiro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Real'!C3:C15,0))+1))/((L156-1)*(1-_xlfn.XLOOKUP(K156,'Fevereiro 2023 - Valor Real'!A3:A15,'Fevereiro 2023 - Valor Real'!C3:C15,0))+1)),IF(I154="Lay",IF(I155="Lay",((L155/(L155-1)-1)*(1-_xlfn.XLOOKUP(K155,'Fevereiro 2023 - Valor Real'!A3:A15,'Fevereiro 2023 - Valor Real'!C3:C15,0))+1)/(((L155/(L155-1)-1)*(1-_xlfn.XLOOKUP(K155,'Fevereiro 2023 - Valor Real'!A3:A15,'Fevereiro 2023 - Valor Real'!C3:C15,0))+1)+((L154/(L154-1)-1)*(1-_xlfn.XLOOKUP(K154,'Fevereiro 2023 - Valor Real'!A3:A15,'Fevereiro 2023 - Valor Real'!C3:C15,0))+1)),((L155-1)*(1-_xlfn.XLOOKUP(K155,'Fevereiro 2023 - Valor Real'!A3:A15,'Fevereiro 2023 - Valor Real'!C3:C15,0))+1)/(((L155-1)*(1-_xlfn.XLOOKUP(K155,'Fevereiro 2023 - Valor Real'!A3:A15,'Fevereiro 2023 - Valor Real'!C3:C15,0))+1)+((L154/(L154-1)-1)*(1-_xlfn.XLOOKUP(K154,'Fevereiro 2023 - Valor Real'!A3:A15,'Fevereiro 2023 - Valor Real'!C3:C15,0))+1))),IF(I155="Lay",(((L155/(L155-1)-1)*(1-_xlfn.XLOOKUP(K155,'Fevereiro 2023 - Valor Real'!A3:A15,'Fevereiro 2023 - Valor Real'!C3:C15,0))+1))/(((L154-1)*(1-_xlfn.XLOOKUP(K154,'Fevereiro 2023 - Valor Real'!A3:A15,'Fevereiro 2023 - Valor Real'!C3:C15,0))+1)+((L155/(L155-1)-1)*(1-_xlfn.XLOOKUP(K155,'Fevereiro 2023 - Valor Real'!A3:A15,'Fevereiro 2023 - Valor Real'!C3:C15,0))+1)),((L155-1)*(1-_xlfn.XLOOKUP(K155,'Fevereiro 2023 - Valor Real'!A3:A15,'Fevereiro 2023 - Valor Real'!C3:C15,0))+1)/(((L155-1)*(1-_xlfn.XLOOKUP(K155,'Fevereiro 2023 - Valor Real'!A3:A15,'Fevereiro 2023 - Valor Real'!C3:C15,0))+1)+((L154-1)*(1-_xlfn.XLOOKUP(K154,'Fevereiro 2023 - Valor Real'!A3:A15,'Fevereiro 2023 - Valor Real'!C3:C15,0))+1))))))</f>
        <v>0.46987951807228912</v>
      </c>
      <c r="AF154" s="66">
        <f t="shared" ref="AF154:AR163" si="320">IF($K154=AF$3,ROUND(IF(OR($C154="W",$C154="1/2W",$C154="1/2L"),$P154-$O154,IF($C154="X",0,-$O154)),2),0)</f>
        <v>0</v>
      </c>
      <c r="AG154" s="67">
        <f t="shared" si="320"/>
        <v>0</v>
      </c>
      <c r="AH154" s="67">
        <f t="shared" si="320"/>
        <v>0</v>
      </c>
      <c r="AI154" s="67">
        <f t="shared" si="320"/>
        <v>0</v>
      </c>
      <c r="AJ154" s="67">
        <f t="shared" si="320"/>
        <v>0</v>
      </c>
      <c r="AK154" s="67">
        <f t="shared" si="320"/>
        <v>0</v>
      </c>
      <c r="AL154" s="67">
        <f t="shared" si="320"/>
        <v>0</v>
      </c>
      <c r="AM154" s="67">
        <f t="shared" si="320"/>
        <v>16.07</v>
      </c>
      <c r="AN154" s="67">
        <f t="shared" si="320"/>
        <v>0</v>
      </c>
      <c r="AO154" s="67">
        <f t="shared" si="320"/>
        <v>0</v>
      </c>
      <c r="AP154" s="67">
        <f t="shared" si="320"/>
        <v>0</v>
      </c>
      <c r="AQ154" s="67">
        <f t="shared" si="320"/>
        <v>0</v>
      </c>
      <c r="AR154" s="68">
        <f t="shared" si="320"/>
        <v>0</v>
      </c>
      <c r="AS154" s="66">
        <f t="shared" ref="AS154:BE154" si="321">IF(AND($B154=" ",$K154=AS$3),$O154,0)</f>
        <v>0</v>
      </c>
      <c r="AT154" s="67">
        <f t="shared" si="321"/>
        <v>0</v>
      </c>
      <c r="AU154" s="67">
        <f t="shared" si="321"/>
        <v>0</v>
      </c>
      <c r="AV154" s="67">
        <f t="shared" si="321"/>
        <v>0</v>
      </c>
      <c r="AW154" s="67">
        <f t="shared" si="321"/>
        <v>0</v>
      </c>
      <c r="AX154" s="67">
        <f t="shared" si="321"/>
        <v>0</v>
      </c>
      <c r="AY154" s="69">
        <f t="shared" si="321"/>
        <v>0</v>
      </c>
      <c r="AZ154" s="70">
        <f t="shared" si="321"/>
        <v>0</v>
      </c>
      <c r="BA154" s="70">
        <f t="shared" si="321"/>
        <v>0</v>
      </c>
      <c r="BB154" s="70">
        <f t="shared" si="321"/>
        <v>0</v>
      </c>
      <c r="BC154" s="71">
        <f t="shared" si="321"/>
        <v>0</v>
      </c>
      <c r="BD154" s="67">
        <f t="shared" si="321"/>
        <v>0</v>
      </c>
      <c r="BE154" s="68">
        <f t="shared" si="321"/>
        <v>0</v>
      </c>
      <c r="BF154" s="66">
        <f t="shared" ref="BF154:BR163" si="322">IF($K154=BF$3,IF($C154="X",0,$O154),0)</f>
        <v>0</v>
      </c>
      <c r="BG154" s="67">
        <f t="shared" si="322"/>
        <v>0</v>
      </c>
      <c r="BH154" s="67">
        <f t="shared" si="322"/>
        <v>0</v>
      </c>
      <c r="BI154" s="67">
        <f t="shared" si="322"/>
        <v>0</v>
      </c>
      <c r="BJ154" s="67">
        <f t="shared" si="322"/>
        <v>0</v>
      </c>
      <c r="BK154" s="67">
        <f t="shared" si="322"/>
        <v>0</v>
      </c>
      <c r="BL154" s="67">
        <f t="shared" si="322"/>
        <v>0</v>
      </c>
      <c r="BM154" s="69">
        <f t="shared" si="322"/>
        <v>13.39</v>
      </c>
      <c r="BN154" s="70">
        <f t="shared" si="322"/>
        <v>0</v>
      </c>
      <c r="BO154" s="70">
        <f t="shared" si="322"/>
        <v>0</v>
      </c>
      <c r="BP154" s="70">
        <f t="shared" si="322"/>
        <v>0</v>
      </c>
      <c r="BQ154" s="71">
        <f t="shared" si="322"/>
        <v>0</v>
      </c>
      <c r="BR154" s="68">
        <f t="shared" si="322"/>
        <v>0</v>
      </c>
      <c r="BS154" s="490">
        <f>IF($B154="LOSS",IF(AND($K154=BS$3,$C154="L"),-$O154,0)+IF(AND($K155=BS$3,$C155="L"),-$O155,0)+IF(AND($K156=BS$3,$C156="L"),-$O156,0),IF(OR(AND($K154=BS$3,OR($C154="W",$C154="1/2W")),AND($K155=BS$3,OR($C155="W",$C155="1/2W")),AND($K156=BS$3,OR($C156="W",$C156="1/2W"))),$S154,0))</f>
        <v>0</v>
      </c>
      <c r="BT154" s="498">
        <f>IF($B154="LOSS",IF(AND($K154=BT$3,$C154="L"),-$O154,0)+IF(AND($K155=BT$3,$C155="L"),-$O155,0)+IF(AND($K155=BT$3,$C156="L"),-$O156,0),IF(OR(AND($K155=BT$3,OR($C154="W",$C154="1/2W")),AND($K155=BT$3,OR($C155="W",$C155="1/2W")),AND($K155=BT$3,OR($C156="W",$C156="1/2W"))),$S154,0))</f>
        <v>0.96</v>
      </c>
      <c r="BU154" s="488">
        <f>IF($B154="LOSS",IF(AND($K154=BU$3,$C154="L"),-$O154,0)+IF(AND($K155=BU$3,$C155="L"),-$O155,0)+IF(AND($K155=BU$3,$C156="L"),-$O156,0),IF(OR(AND($K155=BU$3,OR($C154="W",$C154="1/2W")),AND($K155=BU$3,OR($C155="W",$C155="1/2W")),AND($K155=BU$3,OR($C156="W",$C156="1/2W"))),$S154,0))</f>
        <v>0</v>
      </c>
      <c r="BV154" s="488">
        <f t="shared" ref="BV154:CE154" si="323">IF($B154="LOSS",IF(AND($K154=BV$3,$C154="L"),-$O154,0)+IF(AND($K155=BV$3,$C155="L"),-$O155,0)+IF(AND($K156=BV$3,$C156="L"),-$O156,0),IF(OR(AND($K154=BV$3,OR($C154="W",$C154="1/2W")),AND($K155=BV$3,OR($C155="W",$C155="1/2W")),AND($K156=BV$3,OR($C156="W",$C156="1/2W"))),$S154,0))</f>
        <v>0</v>
      </c>
      <c r="BW154" s="488">
        <f t="shared" si="323"/>
        <v>0</v>
      </c>
      <c r="BX154" s="488">
        <f t="shared" si="323"/>
        <v>0</v>
      </c>
      <c r="BY154" s="488">
        <f t="shared" si="323"/>
        <v>0</v>
      </c>
      <c r="BZ154" s="488">
        <f t="shared" si="323"/>
        <v>0.96</v>
      </c>
      <c r="CA154" s="488">
        <f t="shared" si="323"/>
        <v>0</v>
      </c>
      <c r="CB154" s="488">
        <f t="shared" si="323"/>
        <v>0</v>
      </c>
      <c r="CC154" s="488">
        <f t="shared" si="323"/>
        <v>0</v>
      </c>
      <c r="CD154" s="500">
        <f t="shared" si="323"/>
        <v>0</v>
      </c>
      <c r="CE154" s="504">
        <f t="shared" si="323"/>
        <v>0</v>
      </c>
      <c r="CF154" s="160">
        <f t="shared" si="258"/>
        <v>0</v>
      </c>
      <c r="CG154" s="161">
        <f t="shared" si="259"/>
        <v>0</v>
      </c>
      <c r="CH154" s="161">
        <f t="shared" si="260"/>
        <v>0</v>
      </c>
      <c r="CI154" s="161">
        <f t="shared" si="261"/>
        <v>0</v>
      </c>
      <c r="CJ154" s="161">
        <f t="shared" si="262"/>
        <v>0</v>
      </c>
      <c r="CK154" s="161">
        <f t="shared" si="263"/>
        <v>0</v>
      </c>
      <c r="CL154" s="161">
        <f t="shared" si="264"/>
        <v>0</v>
      </c>
      <c r="CM154" s="161">
        <f t="shared" si="265"/>
        <v>0</v>
      </c>
      <c r="CN154" s="161">
        <f t="shared" si="266"/>
        <v>0</v>
      </c>
      <c r="CO154" s="161">
        <f t="shared" si="267"/>
        <v>0</v>
      </c>
      <c r="CP154" s="161">
        <f t="shared" si="268"/>
        <v>0</v>
      </c>
      <c r="CQ154" s="161">
        <f t="shared" si="269"/>
        <v>0</v>
      </c>
      <c r="CR154" s="161">
        <f t="shared" si="270"/>
        <v>0</v>
      </c>
      <c r="CS154" s="161">
        <f t="shared" si="271"/>
        <v>0</v>
      </c>
      <c r="CT154" s="75">
        <f t="shared" si="272"/>
        <v>1</v>
      </c>
      <c r="CU154" s="76">
        <f t="shared" si="273"/>
        <v>0</v>
      </c>
      <c r="CV154" s="76">
        <f t="shared" si="274"/>
        <v>0</v>
      </c>
      <c r="CW154" s="76">
        <f t="shared" si="275"/>
        <v>0</v>
      </c>
      <c r="CX154" s="76">
        <f t="shared" si="276"/>
        <v>0</v>
      </c>
      <c r="CY154" s="76">
        <f t="shared" si="277"/>
        <v>0</v>
      </c>
      <c r="CZ154" s="76">
        <f t="shared" si="278"/>
        <v>0</v>
      </c>
      <c r="DA154" s="76">
        <f t="shared" si="279"/>
        <v>0</v>
      </c>
      <c r="DB154" s="76">
        <f t="shared" si="280"/>
        <v>0</v>
      </c>
      <c r="DC154" s="76">
        <f t="shared" si="281"/>
        <v>0</v>
      </c>
      <c r="DD154" s="76">
        <f t="shared" si="282"/>
        <v>0</v>
      </c>
      <c r="DE154" s="77">
        <f t="shared" si="283"/>
        <v>0</v>
      </c>
      <c r="DF154" s="73">
        <f t="shared" si="286"/>
        <v>12</v>
      </c>
      <c r="DG154" s="67">
        <f t="shared" si="287"/>
        <v>15.760000000000002</v>
      </c>
      <c r="DH154" s="76">
        <f t="shared" si="288"/>
        <v>3</v>
      </c>
      <c r="DI154" s="67">
        <f t="shared" si="289"/>
        <v>14.100000000000001</v>
      </c>
      <c r="DJ154" s="202" t="str">
        <f>IF($D154="","",$D154)</f>
        <v>3</v>
      </c>
      <c r="DK154" s="492">
        <f>IF(AND($B154=" ",$D154&lt;&gt;""),1,0)</f>
        <v>0</v>
      </c>
    </row>
    <row r="155" spans="1:115" ht="14.5" customHeight="1" x14ac:dyDescent="0.2">
      <c r="A155" s="389"/>
      <c r="B155" s="456"/>
      <c r="C155" s="53" t="s">
        <v>55</v>
      </c>
      <c r="D155" s="374"/>
      <c r="E155" s="386"/>
      <c r="F155" s="377"/>
      <c r="G155" s="508"/>
      <c r="H155" s="476"/>
      <c r="I155" s="182" t="s">
        <v>52</v>
      </c>
      <c r="J155" s="56">
        <f>IF(OR(I154="TO",I154="TU",I154="TO1",I154="TU1",I154="TO2",I154="TU2"),J154,IF(OR(I154="AH1",I154="AH2"),IF(OR(I155="AH1",I155="AH2"),-J154,IF(OR(I155="EH1",I155="EH2"),-J154+0.5,"")),IF(OR(I154="EH1",I154="EH2"),IF(OR(I155="AH1",I155="AH2"),-J154+0.5,IF(OR(I155="EH1",I155="EH2"),-J154+1,"")),IF(AND(OR(I154="DNB1",I154="DNB2"),OR(I155="AH1",I155="AH2")),0,IF(AND(I154="Not ScoreBoth",OR(I155="TO1",I155="TO2")),0.5,"")))))</f>
        <v>0.5</v>
      </c>
      <c r="K155" s="57" t="s">
        <v>37</v>
      </c>
      <c r="L155" s="164">
        <v>1.95</v>
      </c>
      <c r="M155" s="165">
        <v>15.11</v>
      </c>
      <c r="N155" s="406"/>
      <c r="O155" s="60">
        <f>IF(OR(AE154="",AE155=""),"",ROUND(IF(L156&gt;0,IF(M155&gt;0,M155,IF(M154&gt;0,IF(N154=TRUE,ROUND((M154*AE155)/AE154,0),(M154*AE155)/AE154),IF(M155&gt;0,ROUND(M155,IF(N154=0,2,IF(N154=0.1,1,0))),IF(M156&gt;0,ROUND(O156*AE155/AE156,IF(N154=0,2,IF(N154=0.1,1,0))),0)))),IF(M155&gt;0,M155,ROUND((M154*AE155)/AE154,IF(N154=0,2,IF(N154=0.1,1,0))))),2))</f>
        <v>15.11</v>
      </c>
      <c r="P155" s="61">
        <f>IF(OR(L155="",O155=""),"",IF($C155="1/2W",O155/2+O155/2*L155,IF($C155="1/2L",O155/2,IF(I155="Lay",((O155*(L155/(L155-1)))-O155)*(1-_xlfn.XLOOKUP(K155,'Fevereiro 2023 - Valor Real'!A3:A15,'Fevereiro 2023 - Valor Real'!C3:C15,0))+O155,(O155*L155-O155)*(1-_xlfn.XLOOKUP(K155,'Fevereiro 2023 - Valor Real'!A3:A15,'Fevereiro 2023 - Valor Real'!C3:C15,0))+O155))))</f>
        <v>29.464499999999997</v>
      </c>
      <c r="Q155" s="166">
        <f>IF(K155="","",IF(_xlfn.XLOOKUP(K155,K$10:K146,$DJ$10:DJ146,0,,-1)=DJ155,_xlfn.XLOOKUP(K155,K$10:K146,Q$10:Q146,1,,-1)+1,1))</f>
        <v>3</v>
      </c>
      <c r="R155" s="167">
        <f>IF(K155="","",_xlfn.XLOOKUP(K155,K$10:K146,R$10:R146,0,,-1)+IF($C155=" ",1,0))</f>
        <v>0</v>
      </c>
      <c r="S155" s="403"/>
      <c r="T155" s="380"/>
      <c r="U155" s="380"/>
      <c r="V155" s="481"/>
      <c r="W155" s="380"/>
      <c r="X155" s="452"/>
      <c r="Y155" s="383"/>
      <c r="Z155" s="384"/>
      <c r="AA155" s="384"/>
      <c r="AB155" s="384"/>
      <c r="AC155" s="384"/>
      <c r="AD155" s="64"/>
      <c r="AE155" s="65">
        <f>IF(L155="","",IF(L156&gt;0,(SUM(((L154-1)*(1-_xlfn.XLOOKUP(K154,'Fevereiro 2023 - Valor Real'!A3:A15,'Fevereiro 2023 - Valor Real'!C3:C15,0))+1),((L155-1)*(1-_xlfn.XLOOKUP(K155,'Fevereiro 2023 - Valor Real'!A3:A15,'Fevereiro 2023 - Valor Real'!C3:C15,0))+1),((L156-1)*(1-_xlfn.XLOOKUP(K156,'Fevereiro 2023 - Valor Real'!A3:A15,'Fevereiro 2023 - Valor Real'!C3:C15,0))+1))/((L155-1)*(1-_xlfn.XLOOKUP(K155,'Fevereiro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Real'!C3:C15,0))+1))/((L154-1)*(1-_xlfn.XLOOKUP(K154,'Fevereiro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Real'!C3:C15,0))+1))/((L155-1)*(1-_xlfn.XLOOKUP(K155,'Fevereiro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Real'!C3:C15,0))+1))/((L156-1)*(1-_xlfn.XLOOKUP(K156,'Fevereiro 2023 - Valor Real'!A3:A15,'Fevereiro 2023 - Valor Real'!C3:C15,0))+1)),IF(I155="Lay",IF(I154="Lay",((L154/(L154-1)-1)*(1-_xlfn.XLOOKUP(K154,'Fevereiro 2023 - Valor Real'!A3:A15,'Fevereiro 2023 - Valor Real'!C3:C15,0))+1)/(((L154/(L154-1)-1)*(1-_xlfn.XLOOKUP(K154,'Fevereiro 2023 - Valor Real'!A3:A15,'Fevereiro 2023 - Valor Real'!C3:C15,0))+1)+((L155/(L155-1)-1)*(1-_xlfn.XLOOKUP(K155,'Fevereiro 2023 - Valor Real'!A3:A15,'Fevereiro 2023 - Valor Real'!C3:C15,0))+1)),((L154-1)*(1-_xlfn.XLOOKUP(K154,'Fevereiro 2023 - Valor Real'!A3:A15,'Fevereiro 2023 - Valor Real'!C3:C15,0))+1)/(((L154-1)*(1-_xlfn.XLOOKUP(K154,'Fevereiro 2023 - Valor Real'!A3:A15,'Fevereiro 2023 - Valor Real'!C3:C15,0))+1)+((L155/(L155-1)-1)*(1-_xlfn.XLOOKUP(K155,'Fevereiro 2023 - Valor Real'!A3:A15,'Fevereiro 2023 - Valor Real'!C3:C15,0))+1))),IF(I154="Lay",((L154/(L154-1)-1)*(1-_xlfn.XLOOKUP(K154,'Fevereiro 2023 - Valor Real'!A3:A15,'Fevereiro 2023 - Valor Real'!C3:C15,0))+1)/((((L154/(L154-1)-1)*(1-_xlfn.XLOOKUP(K154,'Fevereiro 2023 - Valor Real'!A3:A15,'Fevereiro 2023 - Valor Real'!C3:C15,0))+1))+((L155-1)*(1-_xlfn.XLOOKUP(K155,'Fevereiro 2023 - Valor Real'!A3:A15,'Fevereiro 2023 - Valor Real'!C3:C15,0))+1)),((L154-1)*(1-_xlfn.XLOOKUP(K154,'Fevereiro 2023 - Valor Real'!A3:A15,'Fevereiro 2023 - Valor Real'!C3:C15,0))+1)/(((L154-1)*(1-_xlfn.XLOOKUP(K154,'Fevereiro 2023 - Valor Real'!A3:A15,'Fevereiro 2023 - Valor Real'!C3:C15,0))+1)+((L155-1)*(1-_xlfn.XLOOKUP(K155,'Fevereiro 2023 - Valor Real'!A3:A15,'Fevereiro 2023 - Valor Real'!C3:C15,0))+1))))))</f>
        <v>0.53012048192771088</v>
      </c>
      <c r="AF155" s="66">
        <f t="shared" si="320"/>
        <v>0</v>
      </c>
      <c r="AG155" s="67">
        <f t="shared" si="320"/>
        <v>-15.11</v>
      </c>
      <c r="AH155" s="67">
        <f t="shared" si="320"/>
        <v>0</v>
      </c>
      <c r="AI155" s="67">
        <f t="shared" si="320"/>
        <v>0</v>
      </c>
      <c r="AJ155" s="67">
        <f t="shared" si="320"/>
        <v>0</v>
      </c>
      <c r="AK155" s="67">
        <f t="shared" si="320"/>
        <v>0</v>
      </c>
      <c r="AL155" s="67">
        <f t="shared" si="320"/>
        <v>0</v>
      </c>
      <c r="AM155" s="67">
        <f t="shared" si="320"/>
        <v>0</v>
      </c>
      <c r="AN155" s="67">
        <f t="shared" si="320"/>
        <v>0</v>
      </c>
      <c r="AO155" s="67">
        <f t="shared" si="320"/>
        <v>0</v>
      </c>
      <c r="AP155" s="67">
        <f t="shared" si="320"/>
        <v>0</v>
      </c>
      <c r="AQ155" s="67">
        <f t="shared" si="320"/>
        <v>0</v>
      </c>
      <c r="AR155" s="68">
        <f t="shared" si="320"/>
        <v>0</v>
      </c>
      <c r="AS155" s="66">
        <f>IF(AND($B154=" ",$K155=AS$3),$O155,0)</f>
        <v>0</v>
      </c>
      <c r="AT155" s="67">
        <f>IF(AND($B154=" ",K155=AT$3),$O155,0)</f>
        <v>0</v>
      </c>
      <c r="AU155" s="67">
        <f t="shared" ref="AU155:BE155" si="324">IF(AND($B154=" ",$K155=AU$3),$O155,0)</f>
        <v>0</v>
      </c>
      <c r="AV155" s="67">
        <f t="shared" si="324"/>
        <v>0</v>
      </c>
      <c r="AW155" s="67">
        <f t="shared" si="324"/>
        <v>0</v>
      </c>
      <c r="AX155" s="67">
        <f t="shared" si="324"/>
        <v>0</v>
      </c>
      <c r="AY155" s="69">
        <f t="shared" si="324"/>
        <v>0</v>
      </c>
      <c r="AZ155" s="70">
        <f t="shared" si="324"/>
        <v>0</v>
      </c>
      <c r="BA155" s="70">
        <f t="shared" si="324"/>
        <v>0</v>
      </c>
      <c r="BB155" s="70">
        <f t="shared" si="324"/>
        <v>0</v>
      </c>
      <c r="BC155" s="71">
        <f t="shared" si="324"/>
        <v>0</v>
      </c>
      <c r="BD155" s="67">
        <f t="shared" si="324"/>
        <v>0</v>
      </c>
      <c r="BE155" s="68">
        <f t="shared" si="324"/>
        <v>0</v>
      </c>
      <c r="BF155" s="66">
        <f t="shared" si="322"/>
        <v>0</v>
      </c>
      <c r="BG155" s="168">
        <f t="shared" si="322"/>
        <v>15.11</v>
      </c>
      <c r="BH155" s="67">
        <f t="shared" si="322"/>
        <v>0</v>
      </c>
      <c r="BI155" s="67">
        <f t="shared" si="322"/>
        <v>0</v>
      </c>
      <c r="BJ155" s="67">
        <f t="shared" si="322"/>
        <v>0</v>
      </c>
      <c r="BK155" s="67">
        <f t="shared" si="322"/>
        <v>0</v>
      </c>
      <c r="BL155" s="67">
        <f t="shared" si="322"/>
        <v>0</v>
      </c>
      <c r="BM155" s="69">
        <f t="shared" si="322"/>
        <v>0</v>
      </c>
      <c r="BN155" s="70">
        <f t="shared" si="322"/>
        <v>0</v>
      </c>
      <c r="BO155" s="70">
        <f t="shared" si="322"/>
        <v>0</v>
      </c>
      <c r="BP155" s="70">
        <f t="shared" si="322"/>
        <v>0</v>
      </c>
      <c r="BQ155" s="71">
        <f t="shared" si="322"/>
        <v>0</v>
      </c>
      <c r="BR155" s="68">
        <f t="shared" si="322"/>
        <v>0</v>
      </c>
      <c r="BS155" s="491"/>
      <c r="BT155" s="489"/>
      <c r="BU155" s="392"/>
      <c r="BV155" s="489"/>
      <c r="BW155" s="392"/>
      <c r="BX155" s="392"/>
      <c r="BY155" s="392"/>
      <c r="BZ155" s="489"/>
      <c r="CA155" s="392"/>
      <c r="CB155" s="392"/>
      <c r="CC155" s="392"/>
      <c r="CD155" s="401"/>
      <c r="CE155" s="409"/>
      <c r="CF155" s="169">
        <f t="shared" si="258"/>
        <v>0</v>
      </c>
      <c r="CG155" s="170">
        <f t="shared" si="259"/>
        <v>0</v>
      </c>
      <c r="CH155" s="170">
        <f t="shared" si="260"/>
        <v>0</v>
      </c>
      <c r="CI155" s="170">
        <f t="shared" si="261"/>
        <v>1</v>
      </c>
      <c r="CJ155" s="170">
        <f t="shared" si="262"/>
        <v>0</v>
      </c>
      <c r="CK155" s="170">
        <f t="shared" si="263"/>
        <v>0</v>
      </c>
      <c r="CL155" s="170">
        <f t="shared" si="264"/>
        <v>0</v>
      </c>
      <c r="CM155" s="170">
        <f t="shared" si="265"/>
        <v>0</v>
      </c>
      <c r="CN155" s="170">
        <f t="shared" si="266"/>
        <v>0</v>
      </c>
      <c r="CO155" s="170">
        <f t="shared" si="267"/>
        <v>0</v>
      </c>
      <c r="CP155" s="170">
        <f t="shared" si="268"/>
        <v>0</v>
      </c>
      <c r="CQ155" s="170">
        <f t="shared" si="269"/>
        <v>0</v>
      </c>
      <c r="CR155" s="170">
        <f t="shared" si="270"/>
        <v>0</v>
      </c>
      <c r="CS155" s="170">
        <f t="shared" si="271"/>
        <v>0</v>
      </c>
      <c r="CT155" s="75">
        <f t="shared" si="272"/>
        <v>0</v>
      </c>
      <c r="CU155" s="76">
        <f t="shared" si="273"/>
        <v>0</v>
      </c>
      <c r="CV155" s="76">
        <f t="shared" si="274"/>
        <v>0</v>
      </c>
      <c r="CW155" s="76">
        <f t="shared" si="275"/>
        <v>0</v>
      </c>
      <c r="CX155" s="76">
        <f t="shared" si="276"/>
        <v>0</v>
      </c>
      <c r="CY155" s="76">
        <f t="shared" si="277"/>
        <v>0</v>
      </c>
      <c r="CZ155" s="76">
        <f t="shared" si="278"/>
        <v>0</v>
      </c>
      <c r="DA155" s="76">
        <f t="shared" si="279"/>
        <v>0</v>
      </c>
      <c r="DB155" s="76">
        <f t="shared" si="280"/>
        <v>0</v>
      </c>
      <c r="DC155" s="76">
        <f t="shared" si="281"/>
        <v>0</v>
      </c>
      <c r="DD155" s="76">
        <f t="shared" si="282"/>
        <v>0</v>
      </c>
      <c r="DE155" s="77">
        <f t="shared" si="283"/>
        <v>0</v>
      </c>
      <c r="DF155" s="73">
        <f t="shared" si="286"/>
        <v>12</v>
      </c>
      <c r="DG155" s="67">
        <f t="shared" si="287"/>
        <v>15.760000000000002</v>
      </c>
      <c r="DH155" s="76">
        <f t="shared" si="288"/>
        <v>3</v>
      </c>
      <c r="DI155" s="67">
        <f t="shared" si="289"/>
        <v>14.100000000000001</v>
      </c>
      <c r="DJ155" s="202" t="str">
        <f>IF($D154="","",$D154)</f>
        <v>3</v>
      </c>
      <c r="DK155" s="493"/>
    </row>
    <row r="156" spans="1:115" ht="14.5" customHeight="1" x14ac:dyDescent="0.2">
      <c r="A156" s="390"/>
      <c r="B156" s="457"/>
      <c r="C156" s="79" t="s">
        <v>53</v>
      </c>
      <c r="D156" s="375"/>
      <c r="E156" s="387"/>
      <c r="F156" s="378"/>
      <c r="G156" s="508"/>
      <c r="H156" s="477"/>
      <c r="I156" s="171"/>
      <c r="J156" s="172"/>
      <c r="K156" s="81"/>
      <c r="L156" s="173"/>
      <c r="M156" s="174"/>
      <c r="N156" s="407"/>
      <c r="O156" s="86" t="str">
        <f>IF(OR(AE154="",AE155=""),"",IF(L156&gt;0,ROUND(IF(M156&gt;0,M156,IF(M154&gt;0,ROUND((M154*AE156)/AE154,IF(N154=0,2,IF(N154=0.1,1,0))),IF(M155&gt;0,ROUND((M155*AE156)/AE155,IF(N154=0,2,IF(N154=0.1,1,0))),IF(M156&gt;0,M156,0)))),2),""))</f>
        <v/>
      </c>
      <c r="P156" s="87" t="str">
        <f>IF(I155="Lay",O155*(L155/(L155-1))-O155,IF(I154="Lay",O154*(L154/(L154-1))-O154,IF(OR(L156="",O156=""),"",IF($C156="1/2W",O156/2+O156/2*L156,IF($C156="1/2L",O156/2,(O156*L156-O156)*(1-_xlfn.XLOOKUP(K156,'Fevereiro 2023 - Valor Real'!A3:A15,'Fevereiro 2023 - Valor Real'!C3:C15,0))+O156)))))</f>
        <v/>
      </c>
      <c r="Q156" s="54" t="str">
        <f>IF(K156="","",IF(_xlfn.XLOOKUP(K156,K$11:K146,$DJ$11:DJ146,0,,-1)=DJ156,_xlfn.XLOOKUP(K156,K$11:K146,Q$11:Q146,1,,-1)+1,1))</f>
        <v/>
      </c>
      <c r="R156" s="87" t="str">
        <f>IF(K156="","",_xlfn.XLOOKUP(K156,K$11:K146,R$11:R146,0,,-1)+IF($C156=" ",1,0))</f>
        <v/>
      </c>
      <c r="S156" s="404"/>
      <c r="T156" s="378"/>
      <c r="U156" s="378"/>
      <c r="V156" s="404"/>
      <c r="W156" s="378"/>
      <c r="X156" s="453"/>
      <c r="Y156" s="383"/>
      <c r="Z156" s="384"/>
      <c r="AA156" s="384"/>
      <c r="AB156" s="384"/>
      <c r="AC156" s="384"/>
      <c r="AD156" s="90"/>
      <c r="AE156" s="91" t="str">
        <f>IF(L156="","",(SUM(((L154-1)*(1-_xlfn.XLOOKUP(K154,'Fevereiro 2023 - Valor Real'!A3:A15,'Fevereiro 2023 - Valor Real'!C3:C15,0))+1),((L155-1)*(1-_xlfn.XLOOKUP(K155,'Fevereiro 2023 - Valor Real'!A3:A15,'Fevereiro 2023 - Valor Real'!C3:C15,0))+1),((L156-1)*(1-_xlfn.XLOOKUP(K156,'Fevereiro 2023 - Valor Real'!A3:A15,'Fevereiro 2023 - Valor Real'!C3:C15,0))+1))/((L156-1)*(1-_xlfn.XLOOKUP(K156,'Fevereiro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Real'!C3:C15,0))+1))/((L154-1)*(1-_xlfn.XLOOKUP(K154,'Fevereiro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Real'!C3:C15,0))+1))/((L155-1)*(1-_xlfn.XLOOKUP(K155,'Fevereiro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Real'!C3:C15,0))+1))/((L156-1)*(1-_xlfn.XLOOKUP(K156,'Fevereiro 2023 - Valor Real'!A3:A15,'Fevereiro 2023 - Valor Real'!C3:C15,0))+1)))</f>
        <v/>
      </c>
      <c r="AF156" s="66">
        <f t="shared" si="320"/>
        <v>0</v>
      </c>
      <c r="AG156" s="67">
        <f t="shared" si="320"/>
        <v>0</v>
      </c>
      <c r="AH156" s="67">
        <f t="shared" si="320"/>
        <v>0</v>
      </c>
      <c r="AI156" s="67">
        <f t="shared" si="320"/>
        <v>0</v>
      </c>
      <c r="AJ156" s="67">
        <f t="shared" si="320"/>
        <v>0</v>
      </c>
      <c r="AK156" s="67">
        <f t="shared" si="320"/>
        <v>0</v>
      </c>
      <c r="AL156" s="67">
        <f t="shared" si="320"/>
        <v>0</v>
      </c>
      <c r="AM156" s="67">
        <f t="shared" si="320"/>
        <v>0</v>
      </c>
      <c r="AN156" s="67">
        <f t="shared" si="320"/>
        <v>0</v>
      </c>
      <c r="AO156" s="67">
        <f t="shared" si="320"/>
        <v>0</v>
      </c>
      <c r="AP156" s="67">
        <f t="shared" si="320"/>
        <v>0</v>
      </c>
      <c r="AQ156" s="67">
        <f t="shared" si="320"/>
        <v>0</v>
      </c>
      <c r="AR156" s="68">
        <f t="shared" si="320"/>
        <v>0</v>
      </c>
      <c r="AS156" s="66">
        <f>IF(AND($B154=" ",$K156=AS$3),$O156,0)</f>
        <v>0</v>
      </c>
      <c r="AT156" s="67">
        <f>IF(AND($B154=" ",K156=AT$3),$O156,0)</f>
        <v>0</v>
      </c>
      <c r="AU156" s="67">
        <f t="shared" ref="AU156:BE156" si="325">IF(AND($B154=" ",$K156=AU$3),$O156,0)</f>
        <v>0</v>
      </c>
      <c r="AV156" s="67">
        <f t="shared" si="325"/>
        <v>0</v>
      </c>
      <c r="AW156" s="67">
        <f t="shared" si="325"/>
        <v>0</v>
      </c>
      <c r="AX156" s="67">
        <f t="shared" si="325"/>
        <v>0</v>
      </c>
      <c r="AY156" s="69">
        <f t="shared" si="325"/>
        <v>0</v>
      </c>
      <c r="AZ156" s="70">
        <f t="shared" si="325"/>
        <v>0</v>
      </c>
      <c r="BA156" s="70">
        <f t="shared" si="325"/>
        <v>0</v>
      </c>
      <c r="BB156" s="70">
        <f t="shared" si="325"/>
        <v>0</v>
      </c>
      <c r="BC156" s="71">
        <f t="shared" si="325"/>
        <v>0</v>
      </c>
      <c r="BD156" s="67">
        <f t="shared" si="325"/>
        <v>0</v>
      </c>
      <c r="BE156" s="68">
        <f t="shared" si="325"/>
        <v>0</v>
      </c>
      <c r="BF156" s="66">
        <f t="shared" si="322"/>
        <v>0</v>
      </c>
      <c r="BG156" s="168">
        <f t="shared" si="322"/>
        <v>0</v>
      </c>
      <c r="BH156" s="67">
        <f t="shared" si="322"/>
        <v>0</v>
      </c>
      <c r="BI156" s="67">
        <f t="shared" si="322"/>
        <v>0</v>
      </c>
      <c r="BJ156" s="67">
        <f t="shared" si="322"/>
        <v>0</v>
      </c>
      <c r="BK156" s="67">
        <f t="shared" si="322"/>
        <v>0</v>
      </c>
      <c r="BL156" s="67">
        <f t="shared" si="322"/>
        <v>0</v>
      </c>
      <c r="BM156" s="69">
        <f t="shared" si="322"/>
        <v>0</v>
      </c>
      <c r="BN156" s="70">
        <f t="shared" si="322"/>
        <v>0</v>
      </c>
      <c r="BO156" s="70">
        <f t="shared" si="322"/>
        <v>0</v>
      </c>
      <c r="BP156" s="70">
        <f t="shared" si="322"/>
        <v>0</v>
      </c>
      <c r="BQ156" s="71">
        <f t="shared" si="322"/>
        <v>0</v>
      </c>
      <c r="BR156" s="68">
        <f t="shared" si="322"/>
        <v>0</v>
      </c>
      <c r="BS156" s="491"/>
      <c r="BT156" s="489"/>
      <c r="BU156" s="392"/>
      <c r="BV156" s="489"/>
      <c r="BW156" s="392"/>
      <c r="BX156" s="392"/>
      <c r="BY156" s="392"/>
      <c r="BZ156" s="489"/>
      <c r="CA156" s="392"/>
      <c r="CB156" s="392"/>
      <c r="CC156" s="392"/>
      <c r="CD156" s="401"/>
      <c r="CE156" s="409"/>
      <c r="CF156" s="169">
        <f t="shared" si="258"/>
        <v>0</v>
      </c>
      <c r="CG156" s="170">
        <f t="shared" si="259"/>
        <v>0</v>
      </c>
      <c r="CH156" s="170">
        <f t="shared" si="260"/>
        <v>0</v>
      </c>
      <c r="CI156" s="170">
        <f t="shared" si="261"/>
        <v>0</v>
      </c>
      <c r="CJ156" s="170">
        <f t="shared" si="262"/>
        <v>0</v>
      </c>
      <c r="CK156" s="170">
        <f t="shared" si="263"/>
        <v>0</v>
      </c>
      <c r="CL156" s="170">
        <f t="shared" si="264"/>
        <v>0</v>
      </c>
      <c r="CM156" s="170">
        <f t="shared" si="265"/>
        <v>0</v>
      </c>
      <c r="CN156" s="170">
        <f t="shared" si="266"/>
        <v>0</v>
      </c>
      <c r="CO156" s="170">
        <f t="shared" si="267"/>
        <v>0</v>
      </c>
      <c r="CP156" s="170">
        <f t="shared" si="268"/>
        <v>0</v>
      </c>
      <c r="CQ156" s="170">
        <f t="shared" si="269"/>
        <v>0</v>
      </c>
      <c r="CR156" s="170">
        <f t="shared" si="270"/>
        <v>0</v>
      </c>
      <c r="CS156" s="170">
        <f t="shared" si="271"/>
        <v>0</v>
      </c>
      <c r="CT156" s="75">
        <f t="shared" si="272"/>
        <v>0</v>
      </c>
      <c r="CU156" s="76">
        <f t="shared" si="273"/>
        <v>0</v>
      </c>
      <c r="CV156" s="76">
        <f t="shared" si="274"/>
        <v>0</v>
      </c>
      <c r="CW156" s="76">
        <f t="shared" si="275"/>
        <v>0</v>
      </c>
      <c r="CX156" s="76">
        <f t="shared" si="276"/>
        <v>0</v>
      </c>
      <c r="CY156" s="76">
        <f t="shared" si="277"/>
        <v>0</v>
      </c>
      <c r="CZ156" s="76">
        <f t="shared" si="278"/>
        <v>0</v>
      </c>
      <c r="DA156" s="76">
        <f t="shared" si="279"/>
        <v>0</v>
      </c>
      <c r="DB156" s="76">
        <f t="shared" si="280"/>
        <v>0</v>
      </c>
      <c r="DC156" s="76">
        <f t="shared" si="281"/>
        <v>0</v>
      </c>
      <c r="DD156" s="76">
        <f t="shared" si="282"/>
        <v>0</v>
      </c>
      <c r="DE156" s="77">
        <f t="shared" si="283"/>
        <v>0</v>
      </c>
      <c r="DF156" s="73">
        <f t="shared" si="286"/>
        <v>12</v>
      </c>
      <c r="DG156" s="67">
        <f t="shared" si="287"/>
        <v>15.760000000000002</v>
      </c>
      <c r="DH156" s="76">
        <f t="shared" si="288"/>
        <v>3</v>
      </c>
      <c r="DI156" s="67">
        <f t="shared" si="289"/>
        <v>14.100000000000001</v>
      </c>
      <c r="DJ156" s="202" t="str">
        <f>IF($D154="","",$D154)</f>
        <v>3</v>
      </c>
      <c r="DK156" s="493"/>
    </row>
    <row r="157" spans="1:115" ht="14.5" customHeight="1" x14ac:dyDescent="0.2">
      <c r="A157" s="459">
        <f>$A154+1</f>
        <v>52</v>
      </c>
      <c r="B157" s="507" t="str">
        <f>IF(OR(C157="W",C158="W",C159="W",C157="1/2W",C158="1/2W",C159="1/2W",C157="1/2L",C158="1/2L",C159="1/2L"),"OK",IF(OR(C157="L",C158="L",C159="L"),"LOSS",IF(OR(C157="X",C158="X",C159="X"),"Anulado"," ")))</f>
        <v>OK</v>
      </c>
      <c r="C157" s="93" t="s">
        <v>55</v>
      </c>
      <c r="D157" s="468" t="str">
        <f>IF(G157="","",$D154)</f>
        <v>3</v>
      </c>
      <c r="E157" s="485" t="str">
        <f>IF(G157=""," ","– "&amp;COUNTIF(D$4:D159,$D157))</f>
        <v>– 9</v>
      </c>
      <c r="F157" s="509" t="str">
        <f ca="1">IF(G157="","",IF(OR(AND($C157&lt;&gt;" ",$C158=" "),AND($C158&lt;&gt;" ",$C157=" "),AND(L159&gt;0,OR(AND($C159&lt;&gt;" ",OR($C157=" ",$C158=" ")),AND($C159=" ",OR($C157&lt;&gt;" ",$C158&lt;&gt;" "))))),IF(SUM(F$6:F152)=0,1,LARGE(F$6:F152,1)+1),IF(MONTH(G157)=MONTH(TODAY()),IF(AND(DAY(G157)&lt;DAY(TODAY()),$B157=" "),IF(SUM(F$6:F152)=0,1,LARGE(F$6:F152,1)+1),IF($B157=" ",IF(AND(DAY(G157)=DAY(TODAY()),HOUR(G157)&lt;=HOUR(NOW())+1),IF(AND(HOUR(G157)+2&lt;=HOUR(NOW()),DAY(G157)&lt;=DAY(TODAY()),MINUTE(G157)&lt;=MINUTE(NOW())),IF(SUM(F$6:F152)=0,1,LARGE(F$6:F152,1)+1),IF(OR(MINUTE(G157)&lt;=MINUTE(NOW()),HOUR(G157)&lt;=HOUR(NOW())),"!!!","")),""),"")),"")))</f>
        <v/>
      </c>
      <c r="G157" s="482">
        <v>44988.270833333336</v>
      </c>
      <c r="H157" s="475" t="s">
        <v>103</v>
      </c>
      <c r="I157" s="94" t="s">
        <v>66</v>
      </c>
      <c r="J157" s="95">
        <v>-1</v>
      </c>
      <c r="K157" s="96" t="s">
        <v>40</v>
      </c>
      <c r="L157" s="97">
        <v>2.12</v>
      </c>
      <c r="M157" s="98">
        <v>10.039999999999999</v>
      </c>
      <c r="N157" s="478">
        <v>0.1</v>
      </c>
      <c r="O157" s="99">
        <f>IF(OR(AE157="",AE158=""),"",ROUND(IF(L159&gt;0,IF(M157&gt;0,M157,IF(M158&gt;0,ROUND((M158*AE157)/AE158,IF(N157=0,2,IF(N157=0.1,1,0))),ROUND((M159*AE157)/AE159,IF(N157=0,2,IF(N157=0.1,1,0))))),IF(M157&gt;0,M157,ROUND((M158*AE157)/AE158,IF(N157=0,2,IF(N157=0.1,1,0))))),2))</f>
        <v>10.039999999999999</v>
      </c>
      <c r="P157" s="100">
        <f>IF(OR(L157="",O157=""),"",IF($C157="1/2W",O157/2+O157/2*L157,IF($C157="1/2L",O157/2,IF(I157="Lay",(O157*(L157/(L157-1))-O157)*(1-_xlfn.XLOOKUP(K157,'Fevereiro 2023 - Valor Real'!A3:A15,'Fevereiro 2023 - Valor Real'!C3:C15,0))+O157,(O157*L157-O157)*(1-_xlfn.XLOOKUP(K157,'Fevereiro 2023 - Valor Real'!A3:A15,'Fevereiro 2023 - Valor Real'!C3:C15,0))+O157))))</f>
        <v>21.284800000000001</v>
      </c>
      <c r="Q157" s="101">
        <f>IF(K157="","",IF(_xlfn.XLOOKUP(K157,K$6:K152,$DJ$6:DJ152,0,,-1)=DJ157,_xlfn.XLOOKUP(K157,K$6:K152,Q$6:Q152,1,,-1)+1,1))</f>
        <v>3</v>
      </c>
      <c r="R157" s="102">
        <f>IF(K157="","",_xlfn.XLOOKUP(K157,K$6:K152,R$6:R152,0,,-1)+IF($C157=" ",1,0))</f>
        <v>0</v>
      </c>
      <c r="S157" s="474">
        <f>IF($B157="Anulado",0,ROUND(IF(OR($B157="LOSS",$B157="OK"),IF(OR($C157="W",$C157="1/2W",$C157="1/2L"),P157-O157,IF($C157="L",-O157,0))+IF(OR($C158="W",$C158="1/2W",$C158="1/2L"),P158-O158,IF($C158="L",-O158,0))+IF(OR($C159="W",$C159="1/2W",$C159="1/2L"),P159-O159,IF($C159="L",-O159,0)),IF(AND(OR($C157="W",$C157="1/2W",$C157="1/2L"),C158="W"),P157+P158-SUM(O157:O159)+_xlfn.XLOOKUP("X",C157:C159,O157:O159,0),IF(AND(C157=TRUE,C159="W"),P157+P159-SUM(O157:O159),IF(AND(C158="W",C159="W"),P158+P159-SUM(O157:O159)+_xlfn.XLOOKUP("X",C157:C159,O157:O159,0),IF(L159&gt;0,IF(OR($C157="W",$C157="1/2W",$C157="1/2L"),P157-SUM(O157:O159)+_xlfn.XLOOKUP("X",C157:C159,O157:O159,0),IF(OR($C157="W",$C157="1/2W",$C157="1/2L"),P158-SUM(O157:O159)+_xlfn.XLOOKUP("X",C157:C159,O157:O159,0),IF(OR($C157="W",$C157="1/2W",$C157="1/2L"),P159-SUM(O157:O159)+_xlfn.XLOOKUP("X",C157:C159,O157:O159,0),IF(SUM(P157:P159)/3-SUM(O157:O159)+_xlfn.XLOOKUP("X",C157:C159,O157:O159,0)&gt;0,SUM(P157:P159)/3-SUM(O157:O159)+_xlfn.XLOOKUP("X",C157:C159,O157:O159,0),LARGE(P157:P159,1)-SUM(O157:O159))))),IF(OR($C157="W",$C157="1/2W",$C157="1/2L"),P157-SUM(O157:O158)+_xlfn.XLOOKUP("X",C157:C159,O157:O159,0),IF(OR($C157="W",$C157="1/2W",$C157="1/2L"),P158-SUM(O157:O158)+_xlfn.XLOOKUP("X",C157:C159,O157:O159,0),SUM(P157:P158)/2-SUM(O157:O158)+_xlfn.XLOOKUP("X",C157:C159,O157:O159,0)))))))),2))</f>
        <v>0.88</v>
      </c>
      <c r="T157" s="458">
        <f>IF(S157=0,0,S157/SUM(O157:O159))</f>
        <v>4.3052837573385523E-2</v>
      </c>
      <c r="U157" s="470">
        <f>IF($D157=$D154,IF(OR($B157="LOSS",$B157="OK",$B157="Anulada"),S157,0)+U154,IF(OR($B157="LOSS",$B157="OK",$B157="Anulada"),S157,0))</f>
        <v>19.119999999999997</v>
      </c>
      <c r="V157" s="470">
        <f>IF($D157="",0,IF($D157=$D154,IF($B157=" ",IF(I159="",IF(OR(AND(I157="DNB1",I158="DNB2"),AND(OR(I157="DNB1",I157="DNB2"),J158=0),AND(OR(I158="DNB1",I158="DNB2"),J157=0),AND(I157="DNB2",I158="DNB1"),AND(IF(J157=0,(J157+1)/ROUND(J157+1,0),J157/ROUND(J157,0))=1,IF(J158=0,(J158+1)/ROUND(IF(J158="",0,J158)+1,0),IF(J158="",0,J158)/ROUND(IF(J158="",1,J158),0))=1,OR(J157&lt;&gt;""),J158&lt;&gt;"")),0,IF(S157&lt;0,IF(I159="",SMALL(P157:P158,1)-SUM(O157:O158),0),SMALL(P157:P158,1)-SUM(O157:O158))),IF(S157&lt;0,IF(I159="",SMALL(P157:P159,1)-SUM(O157:O159),0),LARGE(P157:P159,1)-SUM(O157:O159))),S157)+V154,IF(I159="",IF(OR(AND(I157="DNB1",I158="DNB2"),AND(OR(I157="DNB1",I157="DNB2"),J158=0),AND(OR(I158="DNB1",I158="DNB2"),J157=0),AND(I157="DNB2",I158="DNB1"),AND(IF(J157=0,(J157+1)/ROUND(J157+1,0),J157/ROUND(J157,0))=1,IF(J158=0,(IF(J158="",0,J158)+1)/ROUND(IF(J158="",0,J158)+1,0),IF(J158="",0,J158)/ROUND(IF(J158="",0,J158)+1,0))=1,OR(J157&lt;&gt;""),J158&lt;&gt;"")),0,IF(S157&lt;0,IF(I159="",SMALL(P157:P158,1)-SUM(O157:O158),0),SMALL(P157:P159,1)-SUM(O157:O159))),IF(S157&lt;0,IF(I159="",SMALL(P157:P159,1)-SUM(O157:O159),0),LARGE(P157:P159,1)-SUM(O157:O159)))))</f>
        <v>19.11</v>
      </c>
      <c r="W157" s="470">
        <f>IF($D157=$D154,IF(S157&lt;0,IF(I159="",S157,0),S157)+W154,S157)</f>
        <v>19.119999999999997</v>
      </c>
      <c r="X157" s="480" t="str">
        <f>IF(OR(SUM(R157:R159)=0,V157=W157),ROUND(IF(W157=0,0,W157/Y157)*100,2)&amp;"%",ROUND(IF(V157=0,0,V157/Y157)*100,2)&amp;"% a "&amp;ROUND(IF(W157=0,0,W157/Y157)*100,2)&amp;"%")</f>
        <v>4,97%</v>
      </c>
      <c r="Y157" s="471">
        <f>IF($D157=$D154,Y154+SUM(O157:O159),SUM(O157:O159))</f>
        <v>384.84</v>
      </c>
      <c r="Z157" s="470">
        <f>IF($B157=" ",SUM(O157:O159),0)+Z154</f>
        <v>0</v>
      </c>
      <c r="AA157" s="470">
        <f>IF(G157="","",IF($B157="Anulado",LARGE(P157:P159,1)-SUM(O157:O159)+AA154,AA154))</f>
        <v>0.45899999999999785</v>
      </c>
      <c r="AB157" s="470">
        <f>IF($D157="","",AB154+S157)</f>
        <v>129.97999999999996</v>
      </c>
      <c r="AC157" s="472">
        <f ca="1">IF($D157="","",IF($B157=" ",IF(DAY(G157)=DAY(TODAY()),1+AC154,0+AC154),0+AC154))</f>
        <v>0</v>
      </c>
      <c r="AD157" s="103">
        <f>(((L158/(L158-1)-1)*(1-_xlfn.XLOOKUP(K158,'Fevereiro 2023 - Valor Real'!A3:A15,'Fevereiro 2023 - Valor Real'!C3:C15,0))+1))/(((L157-1)*(1-_xlfn.XLOOKUP(K157,'Fevereiro 2023 - Valor Real'!A3:A15,'Fevereiro 2023 - Valor Real'!C3:C15,0))+1)+((L158/(L158-1)-1)*(1-_xlfn.XLOOKUP(K158,'Fevereiro 2023 - Valor Real'!A3:A15,'Fevereiro 2023 - Valor Real'!C3:C15,0))+1))</f>
        <v>0.47942001870907391</v>
      </c>
      <c r="AE157" s="104">
        <f>IF(L157="","",IF(L159&gt;0,(SUM(((L157-1)*(1-_xlfn.XLOOKUP(K157,'Fevereiro 2023 - Valor Real'!A3:A15,'Fevereiro 2023 - Valor Real'!C3:C15,0))+1),((L158-1)*(1-_xlfn.XLOOKUP(K158,'Fevereiro 2023 - Valor Real'!A3:A15,'Fevereiro 2023 - Valor Real'!C3:C15,0))+1),((L159-1)*(1-_xlfn.XLOOKUP(K159,'Fevereiro 2023 - Valor Real'!A3:A15,'Fevereiro 2023 - Valor Real'!C3:C15,0))+1))/((L157-1)*(1-_xlfn.XLOOKUP(K157,'Fevereiro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Real'!C3:C15,0))+1))/((L157-1)*(1-_xlfn.XLOOKUP(K157,'Fevereiro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Real'!C3:C15,0))+1))/((L158-1)*(1-_xlfn.XLOOKUP(K158,'Fevereiro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Real'!C3:C15,0))+1))/((L159-1)*(1-_xlfn.XLOOKUP(K159,'Fevereiro 2023 - Valor Real'!A3:A15,'Fevereiro 2023 - Valor Real'!C3:C15,0))+1)),IF(I157="Lay",IF(I158="Lay",((L158/(L158-1)-1)*(1-_xlfn.XLOOKUP(K158,'Fevereiro 2023 - Valor Real'!A3:A15,'Fevereiro 2023 - Valor Real'!C3:C15,0))+1)/(((L158/(L158-1)-1)*(1-_xlfn.XLOOKUP(K158,'Fevereiro 2023 - Valor Real'!A3:A15,'Fevereiro 2023 - Valor Real'!C3:C15,0))+1)+((L157/(L157-1)-1)*(1-_xlfn.XLOOKUP(K157,'Fevereiro 2023 - Valor Real'!A3:A15,'Fevereiro 2023 - Valor Real'!C3:C15,0))+1)),((L158-1)*(1-_xlfn.XLOOKUP(K158,'Fevereiro 2023 - Valor Real'!A3:A15,'Fevereiro 2023 - Valor Real'!C3:C15,0))+1)/(((L158-1)*(1-_xlfn.XLOOKUP(K158,'Fevereiro 2023 - Valor Real'!A3:A15,'Fevereiro 2023 - Valor Real'!C3:C15,0))+1)+((L157/(L157-1)-1)*(1-_xlfn.XLOOKUP(K157,'Fevereiro 2023 - Valor Real'!A3:A15,'Fevereiro 2023 - Valor Real'!C3:C15,0))+1))),IF(I158="Lay",(((L158/(L158-1)-1)*(1-_xlfn.XLOOKUP(K158,'Fevereiro 2023 - Valor Real'!A3:A15,'Fevereiro 2023 - Valor Real'!C3:C15,0))+1))/(((L157-1)*(1-_xlfn.XLOOKUP(K157,'Fevereiro 2023 - Valor Real'!A3:A15,'Fevereiro 2023 - Valor Real'!C3:C15,0))+1)+((L158/(L158-1)-1)*(1-_xlfn.XLOOKUP(K158,'Fevereiro 2023 - Valor Real'!A3:A15,'Fevereiro 2023 - Valor Real'!C3:C15,0))+1)),((L158-1)*(1-_xlfn.XLOOKUP(K158,'Fevereiro 2023 - Valor Real'!A3:A15,'Fevereiro 2023 - Valor Real'!C3:C15,0))+1)/(((L158-1)*(1-_xlfn.XLOOKUP(K158,'Fevereiro 2023 - Valor Real'!A3:A15,'Fevereiro 2023 - Valor Real'!C3:C15,0))+1)+((L157-1)*(1-_xlfn.XLOOKUP(K157,'Fevereiro 2023 - Valor Real'!A3:A15,'Fevereiro 2023 - Valor Real'!C3:C15,0))+1))))))</f>
        <v>0.4916067146282973</v>
      </c>
      <c r="AF157" s="105">
        <f t="shared" si="320"/>
        <v>0</v>
      </c>
      <c r="AG157" s="106">
        <f t="shared" si="320"/>
        <v>0</v>
      </c>
      <c r="AH157" s="106">
        <f t="shared" si="320"/>
        <v>0</v>
      </c>
      <c r="AI157" s="106">
        <f t="shared" si="320"/>
        <v>0</v>
      </c>
      <c r="AJ157" s="106">
        <f t="shared" si="320"/>
        <v>-10.039999999999999</v>
      </c>
      <c r="AK157" s="106">
        <f t="shared" si="320"/>
        <v>0</v>
      </c>
      <c r="AL157" s="106">
        <f t="shared" si="320"/>
        <v>0</v>
      </c>
      <c r="AM157" s="106">
        <f t="shared" si="320"/>
        <v>0</v>
      </c>
      <c r="AN157" s="106">
        <f t="shared" si="320"/>
        <v>0</v>
      </c>
      <c r="AO157" s="106">
        <f t="shared" si="320"/>
        <v>0</v>
      </c>
      <c r="AP157" s="106">
        <f t="shared" si="320"/>
        <v>0</v>
      </c>
      <c r="AQ157" s="106">
        <f t="shared" si="320"/>
        <v>0</v>
      </c>
      <c r="AR157" s="107">
        <f t="shared" si="320"/>
        <v>0</v>
      </c>
      <c r="AS157" s="105">
        <f t="shared" ref="AS157:BE157" si="326">IF(AND($B157=" ",$K157=AS$3),$O157,0)</f>
        <v>0</v>
      </c>
      <c r="AT157" s="106">
        <f t="shared" si="326"/>
        <v>0</v>
      </c>
      <c r="AU157" s="106">
        <f t="shared" si="326"/>
        <v>0</v>
      </c>
      <c r="AV157" s="106">
        <f t="shared" si="326"/>
        <v>0</v>
      </c>
      <c r="AW157" s="106">
        <f t="shared" si="326"/>
        <v>0</v>
      </c>
      <c r="AX157" s="106">
        <f t="shared" si="326"/>
        <v>0</v>
      </c>
      <c r="AY157" s="108">
        <f t="shared" si="326"/>
        <v>0</v>
      </c>
      <c r="AZ157" s="109">
        <f t="shared" si="326"/>
        <v>0</v>
      </c>
      <c r="BA157" s="109">
        <f t="shared" si="326"/>
        <v>0</v>
      </c>
      <c r="BB157" s="109">
        <f t="shared" si="326"/>
        <v>0</v>
      </c>
      <c r="BC157" s="110">
        <f t="shared" si="326"/>
        <v>0</v>
      </c>
      <c r="BD157" s="106">
        <f t="shared" si="326"/>
        <v>0</v>
      </c>
      <c r="BE157" s="107">
        <f t="shared" si="326"/>
        <v>0</v>
      </c>
      <c r="BF157" s="111">
        <f t="shared" si="322"/>
        <v>0</v>
      </c>
      <c r="BG157" s="106">
        <f t="shared" si="322"/>
        <v>0</v>
      </c>
      <c r="BH157" s="106">
        <f t="shared" si="322"/>
        <v>0</v>
      </c>
      <c r="BI157" s="106">
        <f t="shared" si="322"/>
        <v>0</v>
      </c>
      <c r="BJ157" s="106">
        <f t="shared" si="322"/>
        <v>10.039999999999999</v>
      </c>
      <c r="BK157" s="106">
        <f t="shared" si="322"/>
        <v>0</v>
      </c>
      <c r="BL157" s="106">
        <f t="shared" si="322"/>
        <v>0</v>
      </c>
      <c r="BM157" s="108">
        <f t="shared" si="322"/>
        <v>0</v>
      </c>
      <c r="BN157" s="109">
        <f t="shared" si="322"/>
        <v>0</v>
      </c>
      <c r="BO157" s="109">
        <f t="shared" si="322"/>
        <v>0</v>
      </c>
      <c r="BP157" s="109">
        <f t="shared" si="322"/>
        <v>0</v>
      </c>
      <c r="BQ157" s="110">
        <f t="shared" si="322"/>
        <v>0</v>
      </c>
      <c r="BR157" s="107">
        <f t="shared" si="322"/>
        <v>0</v>
      </c>
      <c r="BS157" s="463">
        <f>IF($B157="LOSS",IF(AND($K157=BS$3,$C157="L"),-$O157,0)+IF(AND($K158=BS$3,$C158="L"),-$O158,0)+IF(AND($K159=BS$3,$C159="L"),-$O159,0),IF(OR(AND($K157=BS$3,OR($C157="W",$C157="1/2W")),AND($K158=BS$3,OR($C158="W",$C158="1/2W")),AND($K159=BS$3,OR($C159="W",$C159="1/2W"))),$S157,0))</f>
        <v>0.88</v>
      </c>
      <c r="BT157" s="462">
        <f>IF($B157="LOSS",IF(AND($K157=BT$3,$C157="L"),-$O157,0)+IF(AND($K158=BT$3,$C158="L"),-$O158,0)+IF(AND($K158=BT$3,$C159="L"),-$O159,0),IF(OR(AND($K158=BT$3,OR($C157="W",$C157="1/2W")),AND($K158=BT$3,OR($C158="W",$C158="1/2W")),AND($K158=BT$3,OR($C159="W",$C159="1/2W"))),$S157,0))</f>
        <v>0</v>
      </c>
      <c r="BU157" s="462">
        <f>IF($B157="LOSS",IF(AND($K157=BU$3,$C157="L"),-$O157,0)+IF(AND($K158=BU$3,$C158="L"),-$O158,0)+IF(AND($K158=BU$3,$C159="L"),-$O159,0),IF(OR(AND($K158=BU$3,OR($C157="W",$C157="1/2W")),AND($K158=BU$3,OR($C158="W",$C158="1/2W")),AND($K158=BU$3,OR($C159="W",$C159="1/2W"))),$S157,0))</f>
        <v>0</v>
      </c>
      <c r="BV157" s="462">
        <f t="shared" ref="BV157:CE157" si="327">IF($B157="LOSS",IF(AND($K157=BV$3,$C157="L"),-$O157,0)+IF(AND($K158=BV$3,$C158="L"),-$O158,0)+IF(AND($K159=BV$3,$C159="L"),-$O159,0),IF(OR(AND($K157=BV$3,OR($C157="W",$C157="1/2W")),AND($K158=BV$3,OR($C158="W",$C158="1/2W")),AND($K159=BV$3,OR($C159="W",$C159="1/2W"))),$S157,0))</f>
        <v>0</v>
      </c>
      <c r="BW157" s="462">
        <f t="shared" si="327"/>
        <v>0</v>
      </c>
      <c r="BX157" s="462">
        <f t="shared" si="327"/>
        <v>0</v>
      </c>
      <c r="BY157" s="462">
        <f t="shared" si="327"/>
        <v>0</v>
      </c>
      <c r="BZ157" s="460">
        <f t="shared" si="327"/>
        <v>0</v>
      </c>
      <c r="CA157" s="460">
        <f t="shared" si="327"/>
        <v>0</v>
      </c>
      <c r="CB157" s="460">
        <f t="shared" si="327"/>
        <v>0</v>
      </c>
      <c r="CC157" s="460">
        <f t="shared" si="327"/>
        <v>0</v>
      </c>
      <c r="CD157" s="473">
        <f t="shared" si="327"/>
        <v>0</v>
      </c>
      <c r="CE157" s="479">
        <f t="shared" si="327"/>
        <v>0</v>
      </c>
      <c r="CF157" s="113">
        <f t="shared" si="258"/>
        <v>0</v>
      </c>
      <c r="CG157" s="114">
        <f t="shared" si="259"/>
        <v>0</v>
      </c>
      <c r="CH157" s="114">
        <f t="shared" si="260"/>
        <v>0</v>
      </c>
      <c r="CI157" s="114">
        <f t="shared" si="261"/>
        <v>0</v>
      </c>
      <c r="CJ157" s="114">
        <f t="shared" si="262"/>
        <v>0</v>
      </c>
      <c r="CK157" s="114">
        <f t="shared" si="263"/>
        <v>0</v>
      </c>
      <c r="CL157" s="114">
        <f t="shared" si="264"/>
        <v>0</v>
      </c>
      <c r="CM157" s="114">
        <f t="shared" si="265"/>
        <v>0</v>
      </c>
      <c r="CN157" s="114">
        <f t="shared" si="266"/>
        <v>0</v>
      </c>
      <c r="CO157" s="114">
        <f t="shared" si="267"/>
        <v>1</v>
      </c>
      <c r="CP157" s="114">
        <f t="shared" si="268"/>
        <v>0</v>
      </c>
      <c r="CQ157" s="114">
        <f t="shared" si="269"/>
        <v>0</v>
      </c>
      <c r="CR157" s="114">
        <f t="shared" si="270"/>
        <v>0</v>
      </c>
      <c r="CS157" s="114">
        <f t="shared" si="271"/>
        <v>0</v>
      </c>
      <c r="CT157" s="115">
        <f t="shared" si="272"/>
        <v>0</v>
      </c>
      <c r="CU157" s="116">
        <f t="shared" si="273"/>
        <v>0</v>
      </c>
      <c r="CV157" s="116">
        <f t="shared" si="274"/>
        <v>0</v>
      </c>
      <c r="CW157" s="116">
        <f t="shared" si="275"/>
        <v>0</v>
      </c>
      <c r="CX157" s="116">
        <f t="shared" si="276"/>
        <v>0</v>
      </c>
      <c r="CY157" s="116">
        <f t="shared" si="277"/>
        <v>0</v>
      </c>
      <c r="CZ157" s="116">
        <f t="shared" si="278"/>
        <v>0</v>
      </c>
      <c r="DA157" s="116">
        <f t="shared" si="279"/>
        <v>0</v>
      </c>
      <c r="DB157" s="116">
        <f t="shared" si="280"/>
        <v>0</v>
      </c>
      <c r="DC157" s="116">
        <f t="shared" si="281"/>
        <v>0</v>
      </c>
      <c r="DD157" s="116">
        <f t="shared" si="282"/>
        <v>0</v>
      </c>
      <c r="DE157" s="117">
        <f t="shared" si="283"/>
        <v>0</v>
      </c>
      <c r="DF157" s="118">
        <f t="shared" si="286"/>
        <v>12</v>
      </c>
      <c r="DG157" s="106">
        <f t="shared" si="287"/>
        <v>15.760000000000002</v>
      </c>
      <c r="DH157" s="116">
        <f t="shared" si="288"/>
        <v>3</v>
      </c>
      <c r="DI157" s="106">
        <f t="shared" si="289"/>
        <v>14.100000000000001</v>
      </c>
      <c r="DJ157" s="201" t="str">
        <f>IF($D157="","",$D157)</f>
        <v>3</v>
      </c>
      <c r="DK157" s="465">
        <f>IF(AND($B157=" ",$D157&lt;&gt;""),1,0)</f>
        <v>0</v>
      </c>
    </row>
    <row r="158" spans="1:115" ht="14.5" customHeight="1" x14ac:dyDescent="0.2">
      <c r="A158" s="389"/>
      <c r="B158" s="456"/>
      <c r="C158" s="120" t="s">
        <v>54</v>
      </c>
      <c r="D158" s="374"/>
      <c r="E158" s="386"/>
      <c r="F158" s="377"/>
      <c r="G158" s="483"/>
      <c r="H158" s="476"/>
      <c r="I158" s="121" t="s">
        <v>76</v>
      </c>
      <c r="J158" s="122">
        <f>IF(OR(I157="TO",I157="TU",I157="TO1",I157="TU1",I157="TO2",I157="TU2"),J157,IF(OR(I157="AH1",I157="AH2"),IF(OR(I158="AH1",I158="AH2"),-J157,IF(OR(I158="EH1",I158="EH2"),-J157+0.5,"")),IF(OR(I157="EH1",I157="EH2"),IF(OR(I158="AH1",I158="AH2"),-J157+0.5,IF(OR(I158="EH1",I158="EH2"),-J157+1,"")),IF(AND(OR(I157="DNB1",I157="DNB2"),OR(I158="AH1",I158="AH2")),0,IF(AND(I157="Not ScoreBoth",OR(I158="TO1",I158="TO2")),0.5,"")))))</f>
        <v>1</v>
      </c>
      <c r="K158" s="123" t="s">
        <v>36</v>
      </c>
      <c r="L158" s="124">
        <v>2.0499999999999998</v>
      </c>
      <c r="M158" s="125"/>
      <c r="N158" s="406"/>
      <c r="O158" s="126">
        <f>IF(OR(AE157="",AE158=""),"",ROUND(IF(L159&gt;0,IF(M158&gt;0,M158,IF(M157&gt;0,IF(N157=TRUE,ROUND((M157*AE158)/AE157,0),(M157*AE158)/AE157),IF(M158&gt;0,ROUND(M158,IF(N157=0,2,IF(N157=0.1,1,0))),IF(M159&gt;0,ROUND(O159*AE158/AE159,IF(N157=0,2,IF(N157=0.1,1,0))),0)))),IF(M158&gt;0,M158,ROUND((M157*AE158)/AE157,IF(N157=0,2,IF(N157=0.1,1,0))))),2))</f>
        <v>10.4</v>
      </c>
      <c r="P158" s="127">
        <f>IF(OR(L158="",O158=""),"",IF($C158="1/2W",O158/2+O158/2*L158,IF($C158="1/2L",O158/2,IF(I158="Lay",((O158*(L158/(L158-1)))-O158)*(1-_xlfn.XLOOKUP(K158,'Fevereiro 2023 - Valor Real'!A3:A15,'Fevereiro 2023 - Valor Real'!C3:C15,0))+O158,(O158*L158-O158)*(1-_xlfn.XLOOKUP(K158,'Fevereiro 2023 - Valor Real'!A3:A15,'Fevereiro 2023 - Valor Real'!C3:C15,0))+O158))))</f>
        <v>21.32</v>
      </c>
      <c r="Q158" s="128">
        <f>IF(K158="","",IF(_xlfn.XLOOKUP(K158,K$7:K152,$DJ$7:DJ152,0,,-1)=DJ158,_xlfn.XLOOKUP(K158,K$7:K152,Q$7:Q152,1,,-1)+1,1))</f>
        <v>2</v>
      </c>
      <c r="R158" s="129">
        <f>IF(K158="","",_xlfn.XLOOKUP(K158,K$7:K152,R$7:R152,0,,-1)+IF($C158=" ",1,0))</f>
        <v>0</v>
      </c>
      <c r="S158" s="403"/>
      <c r="T158" s="380"/>
      <c r="U158" s="380"/>
      <c r="V158" s="481"/>
      <c r="W158" s="380"/>
      <c r="X158" s="452"/>
      <c r="Y158" s="383"/>
      <c r="Z158" s="384"/>
      <c r="AA158" s="384"/>
      <c r="AB158" s="384"/>
      <c r="AC158" s="384"/>
      <c r="AD158" s="130">
        <f>(((L158/(L158-1)-1)*(1-_xlfn.XLOOKUP(K158,'Fevereiro 2023 - Valor Real'!A3:A15,'Fevereiro 2023 - Valor Real'!C3:C15,0))+1))</f>
        <v>1.9523809523809526</v>
      </c>
      <c r="AE158" s="131">
        <f>IF(L158="","",IF(L159&gt;0,(SUM(((L157-1)*(1-_xlfn.XLOOKUP(K157,'Fevereiro 2023 - Valor Real'!A3:A15,'Fevereiro 2023 - Valor Real'!C3:C15,0))+1),((L158-1)*(1-_xlfn.XLOOKUP(K158,'Fevereiro 2023 - Valor Real'!A3:A15,'Fevereiro 2023 - Valor Real'!C3:C15,0))+1),((L159-1)*(1-_xlfn.XLOOKUP(K159,'Fevereiro 2023 - Valor Real'!A3:A15,'Fevereiro 2023 - Valor Real'!C3:C15,0))+1))/((L158-1)*(1-_xlfn.XLOOKUP(K158,'Fevereiro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Real'!C3:C15,0))+1))/((L157-1)*(1-_xlfn.XLOOKUP(K157,'Fevereiro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Real'!C3:C15,0))+1))/((L158-1)*(1-_xlfn.XLOOKUP(K158,'Fevereiro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Real'!C3:C15,0))+1))/((L159-1)*(1-_xlfn.XLOOKUP(K159,'Fevereiro 2023 - Valor Real'!A3:A15,'Fevereiro 2023 - Valor Real'!C3:C15,0))+1)),IF(I158="Lay",IF(I157="Lay",((L157/(L157-1)-1)*(1-_xlfn.XLOOKUP(K157,'Fevereiro 2023 - Valor Real'!A3:A15,'Fevereiro 2023 - Valor Real'!C3:C15,0))+1)/(((L157/(L157-1)-1)*(1-_xlfn.XLOOKUP(K157,'Fevereiro 2023 - Valor Real'!A3:A15,'Fevereiro 2023 - Valor Real'!C3:C15,0))+1)+((L158/(L158-1)-1)*(1-_xlfn.XLOOKUP(K158,'Fevereiro 2023 - Valor Real'!A3:A15,'Fevereiro 2023 - Valor Real'!C3:C15,0))+1)),((L157-1)*(1-_xlfn.XLOOKUP(K157,'Fevereiro 2023 - Valor Real'!A3:A15,'Fevereiro 2023 - Valor Real'!C3:C15,0))+1)/(((L157-1)*(1-_xlfn.XLOOKUP(K157,'Fevereiro 2023 - Valor Real'!A3:A15,'Fevereiro 2023 - Valor Real'!C3:C15,0))+1)+((L158/(L158-1)-1)*(1-_xlfn.XLOOKUP(K158,'Fevereiro 2023 - Valor Real'!A3:A15,'Fevereiro 2023 - Valor Real'!C3:C15,0))+1))),IF(I157="Lay",((L157/(L157-1)-1)*(1-_xlfn.XLOOKUP(K157,'Fevereiro 2023 - Valor Real'!A3:A15,'Fevereiro 2023 - Valor Real'!C3:C15,0))+1)/((((L157/(L157-1)-1)*(1-_xlfn.XLOOKUP(K157,'Fevereiro 2023 - Valor Real'!A3:A15,'Fevereiro 2023 - Valor Real'!C3:C15,0))+1))+((L158-1)*(1-_xlfn.XLOOKUP(K158,'Fevereiro 2023 - Valor Real'!A3:A15,'Fevereiro 2023 - Valor Real'!C3:C15,0))+1)),((L157-1)*(1-_xlfn.XLOOKUP(K157,'Fevereiro 2023 - Valor Real'!A3:A15,'Fevereiro 2023 - Valor Real'!C3:C15,0))+1)/(((L157-1)*(1-_xlfn.XLOOKUP(K157,'Fevereiro 2023 - Valor Real'!A3:A15,'Fevereiro 2023 - Valor Real'!C3:C15,0))+1)+((L158-1)*(1-_xlfn.XLOOKUP(K158,'Fevereiro 2023 - Valor Real'!A3:A15,'Fevereiro 2023 - Valor Real'!C3:C15,0))+1))))))</f>
        <v>0.5083932853717027</v>
      </c>
      <c r="AF158" s="105">
        <f t="shared" si="320"/>
        <v>10.92</v>
      </c>
      <c r="AG158" s="106">
        <f t="shared" si="320"/>
        <v>0</v>
      </c>
      <c r="AH158" s="106">
        <f t="shared" si="320"/>
        <v>0</v>
      </c>
      <c r="AI158" s="106">
        <f t="shared" si="320"/>
        <v>0</v>
      </c>
      <c r="AJ158" s="106">
        <f t="shared" si="320"/>
        <v>0</v>
      </c>
      <c r="AK158" s="106">
        <f t="shared" si="320"/>
        <v>0</v>
      </c>
      <c r="AL158" s="106">
        <f t="shared" si="320"/>
        <v>0</v>
      </c>
      <c r="AM158" s="106">
        <f t="shared" si="320"/>
        <v>0</v>
      </c>
      <c r="AN158" s="106">
        <f t="shared" si="320"/>
        <v>0</v>
      </c>
      <c r="AO158" s="106">
        <f t="shared" si="320"/>
        <v>0</v>
      </c>
      <c r="AP158" s="106">
        <f t="shared" si="320"/>
        <v>0</v>
      </c>
      <c r="AQ158" s="106">
        <f t="shared" si="320"/>
        <v>0</v>
      </c>
      <c r="AR158" s="107">
        <f t="shared" si="320"/>
        <v>0</v>
      </c>
      <c r="AS158" s="105">
        <f>IF(AND($B157=" ",$K158=AS$3),$O158,0)</f>
        <v>0</v>
      </c>
      <c r="AT158" s="106">
        <f>IF(AND($B157=" ",K158=AT$3),$O158,0)</f>
        <v>0</v>
      </c>
      <c r="AU158" s="106">
        <f t="shared" ref="AU158:BE158" si="328">IF(AND($B157=" ",$K158=AU$3),$O158,0)</f>
        <v>0</v>
      </c>
      <c r="AV158" s="106">
        <f t="shared" si="328"/>
        <v>0</v>
      </c>
      <c r="AW158" s="106">
        <f t="shared" si="328"/>
        <v>0</v>
      </c>
      <c r="AX158" s="106">
        <f t="shared" si="328"/>
        <v>0</v>
      </c>
      <c r="AY158" s="108">
        <f t="shared" si="328"/>
        <v>0</v>
      </c>
      <c r="AZ158" s="109">
        <f t="shared" si="328"/>
        <v>0</v>
      </c>
      <c r="BA158" s="109">
        <f t="shared" si="328"/>
        <v>0</v>
      </c>
      <c r="BB158" s="109">
        <f t="shared" si="328"/>
        <v>0</v>
      </c>
      <c r="BC158" s="110">
        <f t="shared" si="328"/>
        <v>0</v>
      </c>
      <c r="BD158" s="106">
        <f t="shared" si="328"/>
        <v>0</v>
      </c>
      <c r="BE158" s="107">
        <f t="shared" si="328"/>
        <v>0</v>
      </c>
      <c r="BF158" s="105">
        <f t="shared" si="322"/>
        <v>10.4</v>
      </c>
      <c r="BG158" s="106">
        <f t="shared" si="322"/>
        <v>0</v>
      </c>
      <c r="BH158" s="106">
        <f t="shared" si="322"/>
        <v>0</v>
      </c>
      <c r="BI158" s="106">
        <f t="shared" si="322"/>
        <v>0</v>
      </c>
      <c r="BJ158" s="106">
        <f t="shared" si="322"/>
        <v>0</v>
      </c>
      <c r="BK158" s="106">
        <f t="shared" si="322"/>
        <v>0</v>
      </c>
      <c r="BL158" s="106">
        <f t="shared" si="322"/>
        <v>0</v>
      </c>
      <c r="BM158" s="132">
        <f t="shared" si="322"/>
        <v>0</v>
      </c>
      <c r="BN158" s="112">
        <f t="shared" si="322"/>
        <v>0</v>
      </c>
      <c r="BO158" s="112">
        <f t="shared" si="322"/>
        <v>0</v>
      </c>
      <c r="BP158" s="112">
        <f t="shared" si="322"/>
        <v>0</v>
      </c>
      <c r="BQ158" s="110">
        <f t="shared" si="322"/>
        <v>0</v>
      </c>
      <c r="BR158" s="107">
        <f t="shared" si="322"/>
        <v>0</v>
      </c>
      <c r="BS158" s="464"/>
      <c r="BT158" s="461"/>
      <c r="BU158" s="392"/>
      <c r="BV158" s="461"/>
      <c r="BW158" s="392"/>
      <c r="BX158" s="392"/>
      <c r="BY158" s="392"/>
      <c r="BZ158" s="461"/>
      <c r="CA158" s="392"/>
      <c r="CB158" s="392"/>
      <c r="CC158" s="392"/>
      <c r="CD158" s="401"/>
      <c r="CE158" s="409"/>
      <c r="CF158" s="133">
        <f t="shared" si="258"/>
        <v>1</v>
      </c>
      <c r="CG158" s="134">
        <f t="shared" si="259"/>
        <v>0</v>
      </c>
      <c r="CH158" s="134">
        <f t="shared" si="260"/>
        <v>0</v>
      </c>
      <c r="CI158" s="134">
        <f t="shared" si="261"/>
        <v>0</v>
      </c>
      <c r="CJ158" s="134">
        <f t="shared" si="262"/>
        <v>0</v>
      </c>
      <c r="CK158" s="134">
        <f t="shared" si="263"/>
        <v>0</v>
      </c>
      <c r="CL158" s="134">
        <f t="shared" si="264"/>
        <v>0</v>
      </c>
      <c r="CM158" s="134">
        <f t="shared" si="265"/>
        <v>0</v>
      </c>
      <c r="CN158" s="134">
        <f t="shared" si="266"/>
        <v>0</v>
      </c>
      <c r="CO158" s="134">
        <f t="shared" si="267"/>
        <v>0</v>
      </c>
      <c r="CP158" s="134">
        <f t="shared" si="268"/>
        <v>0</v>
      </c>
      <c r="CQ158" s="134">
        <f t="shared" si="269"/>
        <v>0</v>
      </c>
      <c r="CR158" s="134">
        <f t="shared" si="270"/>
        <v>0</v>
      </c>
      <c r="CS158" s="134">
        <f t="shared" si="271"/>
        <v>0</v>
      </c>
      <c r="CT158" s="115">
        <f t="shared" si="272"/>
        <v>0</v>
      </c>
      <c r="CU158" s="116">
        <f t="shared" si="273"/>
        <v>0</v>
      </c>
      <c r="CV158" s="116">
        <f t="shared" si="274"/>
        <v>0</v>
      </c>
      <c r="CW158" s="116">
        <f t="shared" si="275"/>
        <v>0</v>
      </c>
      <c r="CX158" s="116">
        <f t="shared" si="276"/>
        <v>0</v>
      </c>
      <c r="CY158" s="116">
        <f t="shared" si="277"/>
        <v>0</v>
      </c>
      <c r="CZ158" s="116">
        <f t="shared" si="278"/>
        <v>0</v>
      </c>
      <c r="DA158" s="116">
        <f t="shared" si="279"/>
        <v>0</v>
      </c>
      <c r="DB158" s="116">
        <f t="shared" si="280"/>
        <v>0</v>
      </c>
      <c r="DC158" s="116">
        <f t="shared" si="281"/>
        <v>0</v>
      </c>
      <c r="DD158" s="116">
        <f t="shared" si="282"/>
        <v>0</v>
      </c>
      <c r="DE158" s="117">
        <f t="shared" si="283"/>
        <v>0</v>
      </c>
      <c r="DF158" s="118">
        <f t="shared" si="286"/>
        <v>12</v>
      </c>
      <c r="DG158" s="106">
        <f t="shared" si="287"/>
        <v>15.760000000000002</v>
      </c>
      <c r="DH158" s="116">
        <f t="shared" si="288"/>
        <v>3</v>
      </c>
      <c r="DI158" s="106">
        <f t="shared" si="289"/>
        <v>14.100000000000001</v>
      </c>
      <c r="DJ158" s="201" t="str">
        <f>IF($D157="","",$D157)</f>
        <v>3</v>
      </c>
      <c r="DK158" s="466"/>
    </row>
    <row r="159" spans="1:115" ht="14.5" customHeight="1" x14ac:dyDescent="0.2">
      <c r="A159" s="390"/>
      <c r="B159" s="457"/>
      <c r="C159" s="135" t="s">
        <v>53</v>
      </c>
      <c r="D159" s="375"/>
      <c r="E159" s="387"/>
      <c r="F159" s="378"/>
      <c r="G159" s="484"/>
      <c r="H159" s="477"/>
      <c r="I159" s="136"/>
      <c r="J159" s="137"/>
      <c r="K159" s="138"/>
      <c r="L159" s="139"/>
      <c r="M159" s="140"/>
      <c r="N159" s="407"/>
      <c r="O159" s="141" t="str">
        <f>IF(OR(AE157="",AE158=""),"",IF(L159&gt;0,ROUND(IF(M159&gt;0,M159,IF(M157&gt;0,ROUND((M157*AE159)/AE157,IF(N157=0,2,IF(N157=0.1,1,0))),IF(M158&gt;0,ROUND((M158*AE159)/AE158,IF(N157=0,2,IF(N157=0.1,1,0))),IF(M159&gt;0,M159,0)))),2),""))</f>
        <v/>
      </c>
      <c r="P159" s="142" t="str">
        <f>IF(I158="Lay",O158*(L158/(L158-1))-O158,IF(I157="Lay",O157*(L157/(L157-1))-O157,IF(OR(L159="",O159=""),"",IF($C159="1/2W",O159/2+O159/2*L159,IF($C159="1/2L",O159/2,(O159*L159-O159)*(1-_xlfn.XLOOKUP(K159,'Fevereiro 2023 - Valor Real'!A3:A15,'Fevereiro 2023 - Valor Real'!C3:C15,0))+O159)))))</f>
        <v/>
      </c>
      <c r="Q159" s="143" t="str">
        <f>IF(K159="","",IF(_xlfn.XLOOKUP(K159,K$8:K152,$DJ$8:DJ152,0,,-1)=DJ159,_xlfn.XLOOKUP(K159,K$8:K152,Q$8:Q152,1,,-1)+1,1))</f>
        <v/>
      </c>
      <c r="R159" s="144" t="str">
        <f>IF(K159="","",_xlfn.XLOOKUP(K159,K$8:K152,R$8:R152,0,,-1)+IF($C159=" ",1,0))</f>
        <v/>
      </c>
      <c r="S159" s="404"/>
      <c r="T159" s="378"/>
      <c r="U159" s="378"/>
      <c r="V159" s="404"/>
      <c r="W159" s="378"/>
      <c r="X159" s="453"/>
      <c r="Y159" s="383"/>
      <c r="Z159" s="384"/>
      <c r="AA159" s="384"/>
      <c r="AB159" s="384"/>
      <c r="AC159" s="384"/>
      <c r="AD159" s="145">
        <f>((L158/(L158-1)-1))</f>
        <v>0.95238095238095255</v>
      </c>
      <c r="AE159" s="146" t="str">
        <f>IF(L159="","",(SUM(((L157-1)*(1-_xlfn.XLOOKUP(K157,'Fevereiro 2023 - Valor Real'!A3:A15,'Fevereiro 2023 - Valor Real'!C3:C15,0))+1),((L158-1)*(1-_xlfn.XLOOKUP(K158,'Fevereiro 2023 - Valor Real'!A3:A15,'Fevereiro 2023 - Valor Real'!C3:C15,0))+1),((L159-1)*(1-_xlfn.XLOOKUP(K159,'Fevereiro 2023 - Valor Real'!A3:A15,'Fevereiro 2023 - Valor Real'!C3:C15,0))+1))/((L159-1)*(1-_xlfn.XLOOKUP(K159,'Fevereiro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Real'!C3:C15,0))+1))/((L157-1)*(1-_xlfn.XLOOKUP(K157,'Fevereiro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Real'!C3:C15,0))+1))/((L158-1)*(1-_xlfn.XLOOKUP(K158,'Fevereiro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Real'!C3:C15,0))+1))/((L159-1)*(1-_xlfn.XLOOKUP(K159,'Fevereiro 2023 - Valor Real'!A3:A15,'Fevereiro 2023 - Valor Real'!C3:C15,0))+1)))</f>
        <v/>
      </c>
      <c r="AF159" s="105">
        <f t="shared" si="320"/>
        <v>0</v>
      </c>
      <c r="AG159" s="106">
        <f t="shared" si="320"/>
        <v>0</v>
      </c>
      <c r="AH159" s="106">
        <f t="shared" si="320"/>
        <v>0</v>
      </c>
      <c r="AI159" s="106">
        <f t="shared" si="320"/>
        <v>0</v>
      </c>
      <c r="AJ159" s="106">
        <f t="shared" si="320"/>
        <v>0</v>
      </c>
      <c r="AK159" s="106">
        <f t="shared" si="320"/>
        <v>0</v>
      </c>
      <c r="AL159" s="106">
        <f t="shared" si="320"/>
        <v>0</v>
      </c>
      <c r="AM159" s="106">
        <f t="shared" si="320"/>
        <v>0</v>
      </c>
      <c r="AN159" s="106">
        <f t="shared" si="320"/>
        <v>0</v>
      </c>
      <c r="AO159" s="106">
        <f t="shared" si="320"/>
        <v>0</v>
      </c>
      <c r="AP159" s="106">
        <f t="shared" si="320"/>
        <v>0</v>
      </c>
      <c r="AQ159" s="106">
        <f t="shared" si="320"/>
        <v>0</v>
      </c>
      <c r="AR159" s="107">
        <f t="shared" si="320"/>
        <v>0</v>
      </c>
      <c r="AS159" s="105">
        <f>IF(AND($B157=" ",$K159=AS$3),$O159,0)</f>
        <v>0</v>
      </c>
      <c r="AT159" s="106">
        <f>IF(AND($B157=" ",K159=AT$3),$O159,0)</f>
        <v>0</v>
      </c>
      <c r="AU159" s="106">
        <f t="shared" ref="AU159:BE159" si="329">IF(AND($B157=" ",$K159=AU$3),$O159,0)</f>
        <v>0</v>
      </c>
      <c r="AV159" s="106">
        <f t="shared" si="329"/>
        <v>0</v>
      </c>
      <c r="AW159" s="106">
        <f t="shared" si="329"/>
        <v>0</v>
      </c>
      <c r="AX159" s="106">
        <f t="shared" si="329"/>
        <v>0</v>
      </c>
      <c r="AY159" s="108">
        <f t="shared" si="329"/>
        <v>0</v>
      </c>
      <c r="AZ159" s="109">
        <f t="shared" si="329"/>
        <v>0</v>
      </c>
      <c r="BA159" s="109">
        <f t="shared" si="329"/>
        <v>0</v>
      </c>
      <c r="BB159" s="109">
        <f t="shared" si="329"/>
        <v>0</v>
      </c>
      <c r="BC159" s="110">
        <f t="shared" si="329"/>
        <v>0</v>
      </c>
      <c r="BD159" s="106">
        <f t="shared" si="329"/>
        <v>0</v>
      </c>
      <c r="BE159" s="107">
        <f t="shared" si="329"/>
        <v>0</v>
      </c>
      <c r="BF159" s="105">
        <f t="shared" si="322"/>
        <v>0</v>
      </c>
      <c r="BG159" s="106">
        <f t="shared" si="322"/>
        <v>0</v>
      </c>
      <c r="BH159" s="106">
        <f t="shared" si="322"/>
        <v>0</v>
      </c>
      <c r="BI159" s="106">
        <f t="shared" si="322"/>
        <v>0</v>
      </c>
      <c r="BJ159" s="106">
        <f t="shared" si="322"/>
        <v>0</v>
      </c>
      <c r="BK159" s="106">
        <f t="shared" si="322"/>
        <v>0</v>
      </c>
      <c r="BL159" s="106">
        <f t="shared" si="322"/>
        <v>0</v>
      </c>
      <c r="BM159" s="108">
        <f t="shared" si="322"/>
        <v>0</v>
      </c>
      <c r="BN159" s="109">
        <f t="shared" si="322"/>
        <v>0</v>
      </c>
      <c r="BO159" s="109">
        <f t="shared" si="322"/>
        <v>0</v>
      </c>
      <c r="BP159" s="109">
        <f t="shared" si="322"/>
        <v>0</v>
      </c>
      <c r="BQ159" s="110">
        <f t="shared" si="322"/>
        <v>0</v>
      </c>
      <c r="BR159" s="107">
        <f t="shared" si="322"/>
        <v>0</v>
      </c>
      <c r="BS159" s="464"/>
      <c r="BT159" s="461"/>
      <c r="BU159" s="392"/>
      <c r="BV159" s="461"/>
      <c r="BW159" s="392"/>
      <c r="BX159" s="392"/>
      <c r="BY159" s="392"/>
      <c r="BZ159" s="461"/>
      <c r="CA159" s="392"/>
      <c r="CB159" s="392"/>
      <c r="CC159" s="392"/>
      <c r="CD159" s="401"/>
      <c r="CE159" s="409"/>
      <c r="CF159" s="133">
        <f t="shared" si="258"/>
        <v>0</v>
      </c>
      <c r="CG159" s="134">
        <f t="shared" si="259"/>
        <v>0</v>
      </c>
      <c r="CH159" s="134">
        <f t="shared" si="260"/>
        <v>0</v>
      </c>
      <c r="CI159" s="134">
        <f t="shared" si="261"/>
        <v>0</v>
      </c>
      <c r="CJ159" s="134">
        <f t="shared" si="262"/>
        <v>0</v>
      </c>
      <c r="CK159" s="134">
        <f t="shared" si="263"/>
        <v>0</v>
      </c>
      <c r="CL159" s="134">
        <f t="shared" si="264"/>
        <v>0</v>
      </c>
      <c r="CM159" s="134">
        <f t="shared" si="265"/>
        <v>0</v>
      </c>
      <c r="CN159" s="134">
        <f t="shared" si="266"/>
        <v>0</v>
      </c>
      <c r="CO159" s="134">
        <f t="shared" si="267"/>
        <v>0</v>
      </c>
      <c r="CP159" s="134">
        <f t="shared" si="268"/>
        <v>0</v>
      </c>
      <c r="CQ159" s="134">
        <f t="shared" si="269"/>
        <v>0</v>
      </c>
      <c r="CR159" s="134">
        <f t="shared" si="270"/>
        <v>0</v>
      </c>
      <c r="CS159" s="134">
        <f t="shared" si="271"/>
        <v>0</v>
      </c>
      <c r="CT159" s="115">
        <f t="shared" si="272"/>
        <v>0</v>
      </c>
      <c r="CU159" s="116">
        <f t="shared" si="273"/>
        <v>0</v>
      </c>
      <c r="CV159" s="116">
        <f t="shared" si="274"/>
        <v>0</v>
      </c>
      <c r="CW159" s="116">
        <f t="shared" si="275"/>
        <v>0</v>
      </c>
      <c r="CX159" s="116">
        <f t="shared" si="276"/>
        <v>0</v>
      </c>
      <c r="CY159" s="116">
        <f t="shared" si="277"/>
        <v>0</v>
      </c>
      <c r="CZ159" s="116">
        <f t="shared" si="278"/>
        <v>0</v>
      </c>
      <c r="DA159" s="116">
        <f t="shared" si="279"/>
        <v>0</v>
      </c>
      <c r="DB159" s="116">
        <f t="shared" si="280"/>
        <v>0</v>
      </c>
      <c r="DC159" s="116">
        <f t="shared" si="281"/>
        <v>0</v>
      </c>
      <c r="DD159" s="116">
        <f t="shared" si="282"/>
        <v>0</v>
      </c>
      <c r="DE159" s="117">
        <f t="shared" si="283"/>
        <v>0</v>
      </c>
      <c r="DF159" s="118">
        <f t="shared" si="286"/>
        <v>12</v>
      </c>
      <c r="DG159" s="106">
        <f t="shared" si="287"/>
        <v>15.760000000000002</v>
      </c>
      <c r="DH159" s="116">
        <f t="shared" si="288"/>
        <v>3</v>
      </c>
      <c r="DI159" s="106">
        <f t="shared" si="289"/>
        <v>14.100000000000001</v>
      </c>
      <c r="DJ159" s="201" t="str">
        <f>IF($D157="","",$D157)</f>
        <v>3</v>
      </c>
      <c r="DK159" s="466"/>
    </row>
    <row r="160" spans="1:115" ht="14.5" customHeight="1" x14ac:dyDescent="0.2">
      <c r="A160" s="487">
        <f>$A157+1</f>
        <v>53</v>
      </c>
      <c r="B160" s="506" t="str">
        <f>IF(OR(C160="W",C161="W",C162="W",C160="1/2W",C161="1/2W",C162="1/2W",C160="1/2L",C161="1/2L",C162="1/2L"),"OK",IF(OR(C160="L",C161="L",C162="L"),"LOSS",IF(OR(C160="X",C161="X",C162="X"),"Anulado"," ")))</f>
        <v>Anulado</v>
      </c>
      <c r="C160" s="147" t="s">
        <v>49</v>
      </c>
      <c r="D160" s="494" t="str">
        <f>IF(G160="","",$D157)</f>
        <v>3</v>
      </c>
      <c r="E160" s="511" t="str">
        <f>IF(G160=""," ","– "&amp;COUNTIF(D$4:D162,$D160))</f>
        <v>– 10</v>
      </c>
      <c r="F160" s="510" t="str">
        <f ca="1">IF(G160="","",IF(OR(AND($C160&lt;&gt;" ",$C161=" "),AND($C161&lt;&gt;" ",$C160=" "),AND(L162&gt;0,OR(AND($C162&lt;&gt;" ",OR($C160=" ",$C161=" ")),AND($C162=" ",OR($C160&lt;&gt;" ",$C161&lt;&gt;" "))))),IF(SUM(F$9:F152)=0,1,LARGE(F$9:F152,1)+1),IF(MONTH(G160)=MONTH(TODAY()),IF(AND(DAY(G160)&lt;DAY(TODAY()),$B160=" "),IF(SUM(F$9:F152)=0,1,LARGE(F$9:F152,1)+1),IF($B160=" ",IF(AND(DAY(G160)=DAY(TODAY()),HOUR(G160)&lt;=HOUR(NOW())+1),IF(AND(HOUR(G160)+2&lt;=HOUR(NOW()),DAY(G160)&lt;=DAY(TODAY()),MINUTE(G160)&lt;=MINUTE(NOW())),IF(SUM(F$9:F152)=0,1,LARGE(F$9:F152,1)+1),IF(OR(MINUTE(G160)&lt;=MINUTE(NOW()),HOUR(G160)&lt;=HOUR(NOW())),"!!!","")),""),"")),"")))</f>
        <v/>
      </c>
      <c r="G160" s="508">
        <v>44989.510416666664</v>
      </c>
      <c r="H160" s="502" t="s">
        <v>104</v>
      </c>
      <c r="I160" s="180" t="s">
        <v>51</v>
      </c>
      <c r="J160" s="181">
        <v>6</v>
      </c>
      <c r="K160" s="150" t="s">
        <v>40</v>
      </c>
      <c r="L160" s="151">
        <v>2.17</v>
      </c>
      <c r="M160" s="152">
        <v>11.54</v>
      </c>
      <c r="N160" s="503">
        <v>0.1</v>
      </c>
      <c r="O160" s="153">
        <f>IF(OR(AE160="",AE161=""),"",ROUND(IF(L162&gt;0,IF(M160&gt;0,M160,IF(M161&gt;0,ROUND((M161*AE160)/AE161,IF(N160=0,2,IF(N160=0.1,1,0))),ROUND((M162*AE160)/AE162,IF(N160=0,2,IF(N160=0.1,1,0))))),IF(M160&gt;0,M160,ROUND((M161*AE160)/AE161,IF(N160=0,2,IF(N160=0.1,1,0))))),2))</f>
        <v>11.54</v>
      </c>
      <c r="P160" s="154">
        <f>IF(OR(L160="",O160=""),"",IF($C160="1/2W",O160/2+O160/2*L160,IF($C160="1/2L",O160/2,IF(I160="Lay",(O160*(L160/(L160-1))-O160)*(1-_xlfn.XLOOKUP(K160,'Fevereiro 2023 - Valor Real'!A3:A15,'Fevereiro 2023 - Valor Real'!C3:C15,0))+O160,(O160*L160-O160)*(1-_xlfn.XLOOKUP(K160,'Fevereiro 2023 - Valor Real'!A3:A15,'Fevereiro 2023 - Valor Real'!C3:C15,0))+O160))))</f>
        <v>25.041799999999999</v>
      </c>
      <c r="Q160" s="155">
        <f>IF(K160="","",IF(_xlfn.XLOOKUP(K160,K$9:K152,$DJ$9:DJ152,0,,-1)=DJ160,_xlfn.XLOOKUP(K160,K$9:K152,Q$9:Q152,1,,-1)+1,1))</f>
        <v>3</v>
      </c>
      <c r="R160" s="156">
        <f>IF(K160="","",_xlfn.XLOOKUP(K160,K$9:K152,R$9:R152,0,,-1)+IF($C160=" ",1,0))</f>
        <v>0</v>
      </c>
      <c r="S160" s="501">
        <f>IF($B160="Anulado",0,ROUND(IF(OR($B160="LOSS",$B160="OK"),IF(OR($C160="W",$C160="1/2W",$C160="1/2L"),P160-O160,IF($C160="L",-O160,0))+IF(OR($C161="W",$C161="1/2W",$C161="1/2L"),P161-O161,IF($C161="L",-O161,0))+IF(OR($C162="W",$C162="1/2W",$C162="1/2L"),P162-O162,IF($C162="L",-O162,0)),IF(AND(OR($C160="W",$C160="1/2W",$C160="1/2L"),C161="W"),P160+P161-SUM(O160:O162)+_xlfn.XLOOKUP("X",C160:C162,O160:O162,0),IF(AND(C160=TRUE,C162="W"),P160+P162-SUM(O160:O162),IF(AND(C161="W",C162="W"),P161+P162-SUM(O160:O162)+_xlfn.XLOOKUP("X",C160:C162,O160:O162,0),IF(L162&gt;0,IF(OR($C160="W",$C160="1/2W",$C160="1/2L"),P160-SUM(O160:O162)+_xlfn.XLOOKUP("X",C160:C162,O160:O162,0),IF(OR($C160="W",$C160="1/2W",$C160="1/2L"),P161-SUM(O160:O162)+_xlfn.XLOOKUP("X",C160:C162,O160:O162,0),IF(OR($C160="W",$C160="1/2W",$C160="1/2L"),P162-SUM(O160:O162)+_xlfn.XLOOKUP("X",C160:C162,O160:O162,0),IF(SUM(P160:P162)/3-SUM(O160:O162)+_xlfn.XLOOKUP("X",C160:C162,O160:O162,0)&gt;0,SUM(P160:P162)/3-SUM(O160:O162)+_xlfn.XLOOKUP("X",C160:C162,O160:O162,0),LARGE(P160:P162,1)-SUM(O160:O162))))),IF(OR($C160="W",$C160="1/2W",$C160="1/2L"),P160-SUM(O160:O161)+_xlfn.XLOOKUP("X",C160:C162,O160:O162,0),IF(OR($C160="W",$C160="1/2W",$C160="1/2L"),P161-SUM(O160:O161)+_xlfn.XLOOKUP("X",C160:C162,O160:O162,0),SUM(P160:P161)/2-SUM(O160:O161)+_xlfn.XLOOKUP("X",C160:C162,O160:O162,0)))))))),2))</f>
        <v>0</v>
      </c>
      <c r="T160" s="486">
        <f>IF(S160=0,0,S160/SUM(O160:O162))</f>
        <v>0</v>
      </c>
      <c r="U160" s="496">
        <f>IF($D160=$D157,IF(OR($B160="LOSS",$B160="OK",$B160="Anulada"),S160,0)+U157,IF(OR($B160="LOSS",$B160="OK",$B160="Anulada"),S160,0))</f>
        <v>19.119999999999997</v>
      </c>
      <c r="V160" s="496">
        <f>IF($D160="",0,IF($D160=$D157,IF($B160=" ",IF(I162="",IF(OR(AND(I160="DNB1",I161="DNB2"),AND(OR(I160="DNB1",I160="DNB2"),J161=0),AND(OR(I161="DNB1",I161="DNB2"),J160=0),AND(I160="DNB2",I161="DNB1"),AND(IF(J160=0,(J160+1)/ROUND(J160+1,0),J160/ROUND(J160,0))=1,IF(J161=0,(J161+1)/ROUND(IF(J161="",0,J161)+1,0),IF(J161="",0,J161)/ROUND(IF(J161="",1,J161),0))=1,OR(J160&lt;&gt;""),J161&lt;&gt;"")),0,IF(S160&lt;0,IF(I162="",SMALL(P160:P161,1)-SUM(O160:O161),0),SMALL(P160:P161,1)-SUM(O160:O161))),IF(S160&lt;0,IF(I162="",SMALL(P160:P162,1)-SUM(O160:O162),0),LARGE(P160:P162,1)-SUM(O160:O162))),S160)+V157,IF(I162="",IF(OR(AND(I160="DNB1",I161="DNB2"),AND(OR(I160="DNB1",I160="DNB2"),J161=0),AND(OR(I161="DNB1",I161="DNB2"),J160=0),AND(I160="DNB2",I161="DNB1"),AND(IF(J160=0,(J160+1)/ROUND(J160+1,0),J160/ROUND(J160,0))=1,IF(J161=0,(IF(J161="",0,J161)+1)/ROUND(IF(J161="",0,J161)+1,0),IF(J161="",0,J161)/ROUND(IF(J161="",0,J161)+1,0))=1,OR(J160&lt;&gt;""),J161&lt;&gt;"")),0,IF(S160&lt;0,IF(I162="",SMALL(P160:P161,1)-SUM(O160:O161),0),SMALL(P160:P162,1)-SUM(O160:O162))),IF(S160&lt;0,IF(I162="",SMALL(P160:P162,1)-SUM(O160:O162),0),LARGE(P160:P162,1)-SUM(O160:O162)))))</f>
        <v>19.11</v>
      </c>
      <c r="W160" s="496">
        <f>IF($D160=$D157,IF(S160&lt;0,IF(I162="",S160,0),S160)+W157,S160)</f>
        <v>19.119999999999997</v>
      </c>
      <c r="X160" s="505" t="str">
        <f>IF(OR(SUM(R160:R162)=0,V160=W160),ROUND(IF(W160=0,0,W160/Y160)*100,2)&amp;"%",ROUND(IF(V160=0,0,V160/Y160)*100,2)&amp;"% a "&amp;ROUND(IF(W160=0,0,W160/Y160)*100,2)&amp;"%")</f>
        <v>4,68%</v>
      </c>
      <c r="Y160" s="497">
        <f>IF($D160=$D157,Y157+SUM(O160:O162),SUM(O160:O162))</f>
        <v>408.88</v>
      </c>
      <c r="Z160" s="496">
        <f>IF($B160=" ",SUM(O160:O162),0)+Z157</f>
        <v>0</v>
      </c>
      <c r="AA160" s="496">
        <f>IF(G160="","",IF($B160="Anulado",LARGE(P160:P162,1)-SUM(O160:O162)+AA157,AA157))</f>
        <v>1.4607999999999972</v>
      </c>
      <c r="AB160" s="496">
        <f>IF($D160="","",AB157+S160)</f>
        <v>129.97999999999996</v>
      </c>
      <c r="AC160" s="499">
        <f ca="1">IF($D160="","",IF($B160=" ",IF(DAY(G160)=DAY(TODAY()),1+AC157,0+AC157),0+AC157))</f>
        <v>0</v>
      </c>
      <c r="AD160" s="157">
        <f>(1-_xlfn.XLOOKUP(K158,'Fevereiro 2023 - Valor Real'!A3:A15,'Fevereiro 2023 - Valor Real'!C3:C15,0))+1</f>
        <v>2</v>
      </c>
      <c r="AE160" s="158">
        <f>IF(L160="","",IF(L162&gt;0,(SUM(((L160-1)*(1-_xlfn.XLOOKUP(K160,'Fevereiro 2023 - Valor Real'!A3:A15,'Fevereiro 2023 - Valor Real'!C3:C15,0))+1),((L161-1)*(1-_xlfn.XLOOKUP(K161,'Fevereiro 2023 - Valor Real'!A3:A15,'Fevereiro 2023 - Valor Real'!C3:C15,0))+1),((L162-1)*(1-_xlfn.XLOOKUP(K162,'Fevereiro 2023 - Valor Real'!A3:A15,'Fevereiro 2023 - Valor Real'!C3:C15,0))+1))/((L160-1)*(1-_xlfn.XLOOKUP(K160,'Fevereiro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Real'!C3:C15,0))+1))/((L160-1)*(1-_xlfn.XLOOKUP(K160,'Fevereiro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Real'!C3:C15,0))+1))/((L161-1)*(1-_xlfn.XLOOKUP(K161,'Fevereiro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Real'!C3:C15,0))+1))/((L162-1)*(1-_xlfn.XLOOKUP(K162,'Fevereiro 2023 - Valor Real'!A3:A15,'Fevereiro 2023 - Valor Real'!C3:C15,0))+1)),IF(I160="Lay",IF(I161="Lay",((L161/(L161-1)-1)*(1-_xlfn.XLOOKUP(K161,'Fevereiro 2023 - Valor Real'!A3:A15,'Fevereiro 2023 - Valor Real'!C3:C15,0))+1)/(((L161/(L161-1)-1)*(1-_xlfn.XLOOKUP(K161,'Fevereiro 2023 - Valor Real'!A3:A15,'Fevereiro 2023 - Valor Real'!C3:C15,0))+1)+((L160/(L160-1)-1)*(1-_xlfn.XLOOKUP(K160,'Fevereiro 2023 - Valor Real'!A3:A15,'Fevereiro 2023 - Valor Real'!C3:C15,0))+1)),((L161-1)*(1-_xlfn.XLOOKUP(K161,'Fevereiro 2023 - Valor Real'!A3:A15,'Fevereiro 2023 - Valor Real'!C3:C15,0))+1)/(((L161-1)*(1-_xlfn.XLOOKUP(K161,'Fevereiro 2023 - Valor Real'!A3:A15,'Fevereiro 2023 - Valor Real'!C3:C15,0))+1)+((L160/(L160-1)-1)*(1-_xlfn.XLOOKUP(K160,'Fevereiro 2023 - Valor Real'!A3:A15,'Fevereiro 2023 - Valor Real'!C3:C15,0))+1))),IF(I161="Lay",(((L161/(L161-1)-1)*(1-_xlfn.XLOOKUP(K161,'Fevereiro 2023 - Valor Real'!A3:A15,'Fevereiro 2023 - Valor Real'!C3:C15,0))+1))/(((L160-1)*(1-_xlfn.XLOOKUP(K160,'Fevereiro 2023 - Valor Real'!A3:A15,'Fevereiro 2023 - Valor Real'!C3:C15,0))+1)+((L161/(L161-1)-1)*(1-_xlfn.XLOOKUP(K161,'Fevereiro 2023 - Valor Real'!A3:A15,'Fevereiro 2023 - Valor Real'!C3:C15,0))+1)),((L161-1)*(1-_xlfn.XLOOKUP(K161,'Fevereiro 2023 - Valor Real'!A3:A15,'Fevereiro 2023 - Valor Real'!C3:C15,0))+1)/(((L161-1)*(1-_xlfn.XLOOKUP(K161,'Fevereiro 2023 - Valor Real'!A3:A15,'Fevereiro 2023 - Valor Real'!C3:C15,0))+1)+((L160-1)*(1-_xlfn.XLOOKUP(K160,'Fevereiro 2023 - Valor Real'!A3:A15,'Fevereiro 2023 - Valor Real'!C3:C15,0))+1))))))</f>
        <v>0.47961630695443647</v>
      </c>
      <c r="AF160" s="66">
        <f t="shared" si="320"/>
        <v>0</v>
      </c>
      <c r="AG160" s="67">
        <f t="shared" si="320"/>
        <v>0</v>
      </c>
      <c r="AH160" s="67">
        <f t="shared" si="320"/>
        <v>0</v>
      </c>
      <c r="AI160" s="67">
        <f t="shared" si="320"/>
        <v>0</v>
      </c>
      <c r="AJ160" s="67">
        <f t="shared" si="320"/>
        <v>0</v>
      </c>
      <c r="AK160" s="67">
        <f t="shared" si="320"/>
        <v>0</v>
      </c>
      <c r="AL160" s="67">
        <f t="shared" si="320"/>
        <v>0</v>
      </c>
      <c r="AM160" s="67">
        <f t="shared" si="320"/>
        <v>0</v>
      </c>
      <c r="AN160" s="67">
        <f t="shared" si="320"/>
        <v>0</v>
      </c>
      <c r="AO160" s="67">
        <f t="shared" si="320"/>
        <v>0</v>
      </c>
      <c r="AP160" s="67">
        <f t="shared" si="320"/>
        <v>0</v>
      </c>
      <c r="AQ160" s="67">
        <f t="shared" si="320"/>
        <v>0</v>
      </c>
      <c r="AR160" s="68">
        <f t="shared" si="320"/>
        <v>0</v>
      </c>
      <c r="AS160" s="66">
        <f t="shared" ref="AS160:BE160" si="330">IF(AND($B160=" ",$K160=AS$3),$O160,0)</f>
        <v>0</v>
      </c>
      <c r="AT160" s="67">
        <f t="shared" si="330"/>
        <v>0</v>
      </c>
      <c r="AU160" s="67">
        <f t="shared" si="330"/>
        <v>0</v>
      </c>
      <c r="AV160" s="67">
        <f t="shared" si="330"/>
        <v>0</v>
      </c>
      <c r="AW160" s="67">
        <f t="shared" si="330"/>
        <v>0</v>
      </c>
      <c r="AX160" s="67">
        <f t="shared" si="330"/>
        <v>0</v>
      </c>
      <c r="AY160" s="69">
        <f t="shared" si="330"/>
        <v>0</v>
      </c>
      <c r="AZ160" s="70">
        <f t="shared" si="330"/>
        <v>0</v>
      </c>
      <c r="BA160" s="70">
        <f t="shared" si="330"/>
        <v>0</v>
      </c>
      <c r="BB160" s="70">
        <f t="shared" si="330"/>
        <v>0</v>
      </c>
      <c r="BC160" s="71">
        <f t="shared" si="330"/>
        <v>0</v>
      </c>
      <c r="BD160" s="67">
        <f t="shared" si="330"/>
        <v>0</v>
      </c>
      <c r="BE160" s="68">
        <f t="shared" si="330"/>
        <v>0</v>
      </c>
      <c r="BF160" s="66">
        <f t="shared" si="322"/>
        <v>0</v>
      </c>
      <c r="BG160" s="67">
        <f t="shared" si="322"/>
        <v>0</v>
      </c>
      <c r="BH160" s="67">
        <f t="shared" si="322"/>
        <v>0</v>
      </c>
      <c r="BI160" s="67">
        <f t="shared" si="322"/>
        <v>0</v>
      </c>
      <c r="BJ160" s="67">
        <f t="shared" si="322"/>
        <v>0</v>
      </c>
      <c r="BK160" s="67">
        <f t="shared" si="322"/>
        <v>0</v>
      </c>
      <c r="BL160" s="67">
        <f t="shared" si="322"/>
        <v>0</v>
      </c>
      <c r="BM160" s="69">
        <f t="shared" si="322"/>
        <v>0</v>
      </c>
      <c r="BN160" s="70">
        <f t="shared" si="322"/>
        <v>0</v>
      </c>
      <c r="BO160" s="70">
        <f t="shared" si="322"/>
        <v>0</v>
      </c>
      <c r="BP160" s="70">
        <f t="shared" si="322"/>
        <v>0</v>
      </c>
      <c r="BQ160" s="71">
        <f t="shared" si="322"/>
        <v>0</v>
      </c>
      <c r="BR160" s="68">
        <f t="shared" si="322"/>
        <v>0</v>
      </c>
      <c r="BS160" s="490">
        <f>IF($B160="LOSS",IF(AND($K160=BS$3,$C160="L"),-$O160,0)+IF(AND($K161=BS$3,$C161="L"),-$O161,0)+IF(AND($K162=BS$3,$C162="L"),-$O162,0),IF(OR(AND($K160=BS$3,OR($C160="W",$C160="1/2W")),AND($K161=BS$3,OR($C161="W",$C161="1/2W")),AND($K162=BS$3,OR($C162="W",$C162="1/2W"))),$S160,0))</f>
        <v>0</v>
      </c>
      <c r="BT160" s="498">
        <f>IF($B160="LOSS",IF(AND($K160=BT$3,$C160="L"),-$O160,0)+IF(AND($K161=BT$3,$C161="L"),-$O161,0)+IF(AND($K161=BT$3,$C162="L"),-$O162,0),IF(OR(AND($K161=BT$3,OR($C160="W",$C160="1/2W")),AND($K161=BT$3,OR($C161="W",$C161="1/2W")),AND($K161=BT$3,OR($C162="W",$C162="1/2W"))),$S160,0))</f>
        <v>0</v>
      </c>
      <c r="BU160" s="488">
        <f>IF($B160="LOSS",IF(AND($K160=BU$3,$C160="L"),-$O160,0)+IF(AND($K161=BU$3,$C161="L"),-$O161,0)+IF(AND($K161=BU$3,$C162="L"),-$O162,0),IF(OR(AND($K161=BU$3,OR($C160="W",$C160="1/2W")),AND($K161=BU$3,OR($C161="W",$C161="1/2W")),AND($K161=BU$3,OR($C162="W",$C162="1/2W"))),$S160,0))</f>
        <v>0</v>
      </c>
      <c r="BV160" s="488">
        <f t="shared" ref="BV160:CE160" si="331">IF($B160="LOSS",IF(AND($K160=BV$3,$C160="L"),-$O160,0)+IF(AND($K161=BV$3,$C161="L"),-$O161,0)+IF(AND($K162=BV$3,$C162="L"),-$O162,0),IF(OR(AND($K160=BV$3,OR($C160="W",$C160="1/2W")),AND($K161=BV$3,OR($C161="W",$C161="1/2W")),AND($K162=BV$3,OR($C162="W",$C162="1/2W"))),$S160,0))</f>
        <v>0</v>
      </c>
      <c r="BW160" s="488">
        <f t="shared" si="331"/>
        <v>0</v>
      </c>
      <c r="BX160" s="488">
        <f t="shared" si="331"/>
        <v>0</v>
      </c>
      <c r="BY160" s="488">
        <f t="shared" si="331"/>
        <v>0</v>
      </c>
      <c r="BZ160" s="488">
        <f t="shared" si="331"/>
        <v>0</v>
      </c>
      <c r="CA160" s="488">
        <f t="shared" si="331"/>
        <v>0</v>
      </c>
      <c r="CB160" s="488">
        <f t="shared" si="331"/>
        <v>0</v>
      </c>
      <c r="CC160" s="488">
        <f t="shared" si="331"/>
        <v>0</v>
      </c>
      <c r="CD160" s="500">
        <f t="shared" si="331"/>
        <v>0</v>
      </c>
      <c r="CE160" s="504">
        <f t="shared" si="331"/>
        <v>0</v>
      </c>
      <c r="CF160" s="160">
        <f t="shared" si="258"/>
        <v>0</v>
      </c>
      <c r="CG160" s="161">
        <f t="shared" si="259"/>
        <v>0</v>
      </c>
      <c r="CH160" s="161">
        <f t="shared" si="260"/>
        <v>0</v>
      </c>
      <c r="CI160" s="161">
        <f t="shared" si="261"/>
        <v>0</v>
      </c>
      <c r="CJ160" s="161">
        <f t="shared" si="262"/>
        <v>0</v>
      </c>
      <c r="CK160" s="161">
        <f t="shared" si="263"/>
        <v>0</v>
      </c>
      <c r="CL160" s="161">
        <f t="shared" si="264"/>
        <v>0</v>
      </c>
      <c r="CM160" s="161">
        <f t="shared" si="265"/>
        <v>0</v>
      </c>
      <c r="CN160" s="161">
        <f t="shared" si="266"/>
        <v>0</v>
      </c>
      <c r="CO160" s="161">
        <f t="shared" si="267"/>
        <v>0</v>
      </c>
      <c r="CP160" s="161">
        <f t="shared" si="268"/>
        <v>0</v>
      </c>
      <c r="CQ160" s="161">
        <f t="shared" si="269"/>
        <v>0</v>
      </c>
      <c r="CR160" s="161">
        <f t="shared" si="270"/>
        <v>0</v>
      </c>
      <c r="CS160" s="161">
        <f t="shared" si="271"/>
        <v>0</v>
      </c>
      <c r="CT160" s="75">
        <f t="shared" si="272"/>
        <v>0</v>
      </c>
      <c r="CU160" s="76">
        <f t="shared" si="273"/>
        <v>0</v>
      </c>
      <c r="CV160" s="76">
        <f t="shared" si="274"/>
        <v>0</v>
      </c>
      <c r="CW160" s="76">
        <f t="shared" si="275"/>
        <v>0</v>
      </c>
      <c r="CX160" s="76">
        <f t="shared" si="276"/>
        <v>0</v>
      </c>
      <c r="CY160" s="76">
        <f t="shared" si="277"/>
        <v>0</v>
      </c>
      <c r="CZ160" s="76">
        <f t="shared" si="278"/>
        <v>0</v>
      </c>
      <c r="DA160" s="76">
        <f t="shared" si="279"/>
        <v>0</v>
      </c>
      <c r="DB160" s="76">
        <f t="shared" si="280"/>
        <v>0</v>
      </c>
      <c r="DC160" s="76">
        <f t="shared" si="281"/>
        <v>0</v>
      </c>
      <c r="DD160" s="76">
        <f t="shared" si="282"/>
        <v>0</v>
      </c>
      <c r="DE160" s="77">
        <f t="shared" si="283"/>
        <v>0</v>
      </c>
      <c r="DF160" s="73">
        <f t="shared" si="286"/>
        <v>12</v>
      </c>
      <c r="DG160" s="67">
        <f t="shared" si="287"/>
        <v>15.760000000000002</v>
      </c>
      <c r="DH160" s="76">
        <f t="shared" si="288"/>
        <v>3</v>
      </c>
      <c r="DI160" s="67">
        <f t="shared" si="289"/>
        <v>14.100000000000001</v>
      </c>
      <c r="DJ160" s="202" t="str">
        <f>IF($D160="","",$D160)</f>
        <v>3</v>
      </c>
      <c r="DK160" s="492">
        <f>IF(AND($B160=" ",$D160&lt;&gt;""),1,0)</f>
        <v>0</v>
      </c>
    </row>
    <row r="161" spans="1:115" ht="14.5" customHeight="1" x14ac:dyDescent="0.2">
      <c r="A161" s="389"/>
      <c r="B161" s="456"/>
      <c r="C161" s="53" t="s">
        <v>49</v>
      </c>
      <c r="D161" s="374"/>
      <c r="E161" s="386"/>
      <c r="F161" s="377"/>
      <c r="G161" s="508"/>
      <c r="H161" s="476"/>
      <c r="I161" s="182" t="s">
        <v>52</v>
      </c>
      <c r="J161" s="56">
        <f>IF(OR(I160="TO",I160="TU",I160="TO1",I160="TU1",I160="TO2",I160="TU2"),J160,IF(OR(I160="AH1",I160="AH2"),IF(OR(I161="AH1",I161="AH2"),-J160,IF(OR(I161="EH1",I161="EH2"),-J160+0.5,"")),IF(OR(I160="EH1",I160="EH2"),IF(OR(I161="AH1",I161="AH2"),-J160+0.5,IF(OR(I161="EH1",I161="EH2"),-J160+1,"")),IF(AND(OR(I160="DNB1",I160="DNB2"),OR(I161="AH1",I161="AH2")),0,IF(AND(I160="Not ScoreBoth",OR(I161="TO1",I161="TO2")),0.5,"")))))</f>
        <v>6</v>
      </c>
      <c r="K161" s="57" t="s">
        <v>36</v>
      </c>
      <c r="L161" s="164">
        <v>2</v>
      </c>
      <c r="M161" s="165"/>
      <c r="N161" s="406"/>
      <c r="O161" s="60">
        <f>IF(OR(AE160="",AE161=""),"",ROUND(IF(L162&gt;0,IF(M161&gt;0,M161,IF(M160&gt;0,IF(N160=TRUE,ROUND((M160*AE161)/AE160,0),(M160*AE161)/AE160),IF(M161&gt;0,ROUND(M161,IF(N160=0,2,IF(N160=0.1,1,0))),IF(M162&gt;0,ROUND(O162*AE161/AE162,IF(N160=0,2,IF(N160=0.1,1,0))),0)))),IF(M161&gt;0,M161,ROUND((M160*AE161)/AE160,IF(N160=0,2,IF(N160=0.1,1,0))))),2))</f>
        <v>12.5</v>
      </c>
      <c r="P161" s="61">
        <f>IF(OR(L161="",O161=""),"",IF($C161="1/2W",O161/2+O161/2*L161,IF($C161="1/2L",O161/2,IF(I161="Lay",((O161*(L161/(L161-1)))-O161)*(1-_xlfn.XLOOKUP(K161,'Fevereiro 2023 - Valor Real'!A3:A15,'Fevereiro 2023 - Valor Real'!C3:C15,0))+O161,(O161*L161-O161)*(1-_xlfn.XLOOKUP(K161,'Fevereiro 2023 - Valor Real'!A3:A15,'Fevereiro 2023 - Valor Real'!C3:C15,0))+O161))))</f>
        <v>25</v>
      </c>
      <c r="Q161" s="166">
        <f>IF(K161="","",IF(_xlfn.XLOOKUP(K161,K$10:K152,$DJ$10:DJ152,0,,-1)=DJ161,_xlfn.XLOOKUP(K161,K$10:K152,Q$10:Q152,1,,-1)+1,1))</f>
        <v>2</v>
      </c>
      <c r="R161" s="167">
        <f>IF(K161="","",_xlfn.XLOOKUP(K161,K$10:K152,R$10:R152,0,,-1)+IF($C161=" ",1,0))</f>
        <v>0</v>
      </c>
      <c r="S161" s="403"/>
      <c r="T161" s="380"/>
      <c r="U161" s="380"/>
      <c r="V161" s="481"/>
      <c r="W161" s="380"/>
      <c r="X161" s="452"/>
      <c r="Y161" s="383"/>
      <c r="Z161" s="384"/>
      <c r="AA161" s="384"/>
      <c r="AB161" s="384"/>
      <c r="AC161" s="384"/>
      <c r="AD161" s="64"/>
      <c r="AE161" s="65">
        <f>IF(L161="","",IF(L162&gt;0,(SUM(((L160-1)*(1-_xlfn.XLOOKUP(K160,'Fevereiro 2023 - Valor Real'!A3:A15,'Fevereiro 2023 - Valor Real'!C3:C15,0))+1),((L161-1)*(1-_xlfn.XLOOKUP(K161,'Fevereiro 2023 - Valor Real'!A3:A15,'Fevereiro 2023 - Valor Real'!C3:C15,0))+1),((L162-1)*(1-_xlfn.XLOOKUP(K162,'Fevereiro 2023 - Valor Real'!A3:A15,'Fevereiro 2023 - Valor Real'!C3:C15,0))+1))/((L161-1)*(1-_xlfn.XLOOKUP(K161,'Fevereiro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Real'!C3:C15,0))+1))/((L160-1)*(1-_xlfn.XLOOKUP(K160,'Fevereiro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Real'!C3:C15,0))+1))/((L161-1)*(1-_xlfn.XLOOKUP(K161,'Fevereiro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Real'!C3:C15,0))+1))/((L162-1)*(1-_xlfn.XLOOKUP(K162,'Fevereiro 2023 - Valor Real'!A3:A15,'Fevereiro 2023 - Valor Real'!C3:C15,0))+1)),IF(I161="Lay",IF(I160="Lay",((L160/(L160-1)-1)*(1-_xlfn.XLOOKUP(K160,'Fevereiro 2023 - Valor Real'!A3:A15,'Fevereiro 2023 - Valor Real'!C3:C15,0))+1)/(((L160/(L160-1)-1)*(1-_xlfn.XLOOKUP(K160,'Fevereiro 2023 - Valor Real'!A3:A15,'Fevereiro 2023 - Valor Real'!C3:C15,0))+1)+((L161/(L161-1)-1)*(1-_xlfn.XLOOKUP(K161,'Fevereiro 2023 - Valor Real'!A3:A15,'Fevereiro 2023 - Valor Real'!C3:C15,0))+1)),((L160-1)*(1-_xlfn.XLOOKUP(K160,'Fevereiro 2023 - Valor Real'!A3:A15,'Fevereiro 2023 - Valor Real'!C3:C15,0))+1)/(((L160-1)*(1-_xlfn.XLOOKUP(K160,'Fevereiro 2023 - Valor Real'!A3:A15,'Fevereiro 2023 - Valor Real'!C3:C15,0))+1)+((L161/(L161-1)-1)*(1-_xlfn.XLOOKUP(K161,'Fevereiro 2023 - Valor Real'!A3:A15,'Fevereiro 2023 - Valor Real'!C3:C15,0))+1))),IF(I160="Lay",((L160/(L160-1)-1)*(1-_xlfn.XLOOKUP(K160,'Fevereiro 2023 - Valor Real'!A3:A15,'Fevereiro 2023 - Valor Real'!C3:C15,0))+1)/((((L160/(L160-1)-1)*(1-_xlfn.XLOOKUP(K160,'Fevereiro 2023 - Valor Real'!A3:A15,'Fevereiro 2023 - Valor Real'!C3:C15,0))+1))+((L161-1)*(1-_xlfn.XLOOKUP(K161,'Fevereiro 2023 - Valor Real'!A3:A15,'Fevereiro 2023 - Valor Real'!C3:C15,0))+1)),((L160-1)*(1-_xlfn.XLOOKUP(K160,'Fevereiro 2023 - Valor Real'!A3:A15,'Fevereiro 2023 - Valor Real'!C3:C15,0))+1)/(((L160-1)*(1-_xlfn.XLOOKUP(K160,'Fevereiro 2023 - Valor Real'!A3:A15,'Fevereiro 2023 - Valor Real'!C3:C15,0))+1)+((L161-1)*(1-_xlfn.XLOOKUP(K161,'Fevereiro 2023 - Valor Real'!A3:A15,'Fevereiro 2023 - Valor Real'!C3:C15,0))+1))))))</f>
        <v>0.52038369304556353</v>
      </c>
      <c r="AF161" s="66">
        <f t="shared" si="320"/>
        <v>0</v>
      </c>
      <c r="AG161" s="67">
        <f t="shared" si="320"/>
        <v>0</v>
      </c>
      <c r="AH161" s="67">
        <f t="shared" si="320"/>
        <v>0</v>
      </c>
      <c r="AI161" s="67">
        <f t="shared" si="320"/>
        <v>0</v>
      </c>
      <c r="AJ161" s="67">
        <f t="shared" si="320"/>
        <v>0</v>
      </c>
      <c r="AK161" s="67">
        <f t="shared" si="320"/>
        <v>0</v>
      </c>
      <c r="AL161" s="67">
        <f t="shared" si="320"/>
        <v>0</v>
      </c>
      <c r="AM161" s="67">
        <f t="shared" si="320"/>
        <v>0</v>
      </c>
      <c r="AN161" s="67">
        <f t="shared" si="320"/>
        <v>0</v>
      </c>
      <c r="AO161" s="67">
        <f t="shared" si="320"/>
        <v>0</v>
      </c>
      <c r="AP161" s="67">
        <f t="shared" si="320"/>
        <v>0</v>
      </c>
      <c r="AQ161" s="67">
        <f t="shared" si="320"/>
        <v>0</v>
      </c>
      <c r="AR161" s="68">
        <f t="shared" si="320"/>
        <v>0</v>
      </c>
      <c r="AS161" s="66">
        <f>IF(AND($B160=" ",$K161=AS$3),$O161,0)</f>
        <v>0</v>
      </c>
      <c r="AT161" s="67">
        <f>IF(AND($B160=" ",K161=AT$3),$O161,0)</f>
        <v>0</v>
      </c>
      <c r="AU161" s="67">
        <f t="shared" ref="AU161:BE161" si="332">IF(AND($B160=" ",$K161=AU$3),$O161,0)</f>
        <v>0</v>
      </c>
      <c r="AV161" s="67">
        <f t="shared" si="332"/>
        <v>0</v>
      </c>
      <c r="AW161" s="67">
        <f t="shared" si="332"/>
        <v>0</v>
      </c>
      <c r="AX161" s="67">
        <f t="shared" si="332"/>
        <v>0</v>
      </c>
      <c r="AY161" s="69">
        <f t="shared" si="332"/>
        <v>0</v>
      </c>
      <c r="AZ161" s="70">
        <f t="shared" si="332"/>
        <v>0</v>
      </c>
      <c r="BA161" s="70">
        <f t="shared" si="332"/>
        <v>0</v>
      </c>
      <c r="BB161" s="70">
        <f t="shared" si="332"/>
        <v>0</v>
      </c>
      <c r="BC161" s="71">
        <f t="shared" si="332"/>
        <v>0</v>
      </c>
      <c r="BD161" s="67">
        <f t="shared" si="332"/>
        <v>0</v>
      </c>
      <c r="BE161" s="68">
        <f t="shared" si="332"/>
        <v>0</v>
      </c>
      <c r="BF161" s="66">
        <f t="shared" si="322"/>
        <v>0</v>
      </c>
      <c r="BG161" s="168">
        <f t="shared" si="322"/>
        <v>0</v>
      </c>
      <c r="BH161" s="67">
        <f t="shared" si="322"/>
        <v>0</v>
      </c>
      <c r="BI161" s="67">
        <f t="shared" si="322"/>
        <v>0</v>
      </c>
      <c r="BJ161" s="67">
        <f t="shared" si="322"/>
        <v>0</v>
      </c>
      <c r="BK161" s="67">
        <f t="shared" si="322"/>
        <v>0</v>
      </c>
      <c r="BL161" s="67">
        <f t="shared" si="322"/>
        <v>0</v>
      </c>
      <c r="BM161" s="69">
        <f t="shared" si="322"/>
        <v>0</v>
      </c>
      <c r="BN161" s="70">
        <f t="shared" si="322"/>
        <v>0</v>
      </c>
      <c r="BO161" s="70">
        <f t="shared" si="322"/>
        <v>0</v>
      </c>
      <c r="BP161" s="70">
        <f t="shared" si="322"/>
        <v>0</v>
      </c>
      <c r="BQ161" s="71">
        <f t="shared" si="322"/>
        <v>0</v>
      </c>
      <c r="BR161" s="68">
        <f t="shared" si="322"/>
        <v>0</v>
      </c>
      <c r="BS161" s="491"/>
      <c r="BT161" s="489"/>
      <c r="BU161" s="392"/>
      <c r="BV161" s="489"/>
      <c r="BW161" s="392"/>
      <c r="BX161" s="392"/>
      <c r="BY161" s="392"/>
      <c r="BZ161" s="489"/>
      <c r="CA161" s="392"/>
      <c r="CB161" s="392"/>
      <c r="CC161" s="392"/>
      <c r="CD161" s="401"/>
      <c r="CE161" s="409"/>
      <c r="CF161" s="169">
        <f t="shared" si="258"/>
        <v>0</v>
      </c>
      <c r="CG161" s="170">
        <f t="shared" si="259"/>
        <v>0</v>
      </c>
      <c r="CH161" s="170">
        <f t="shared" si="260"/>
        <v>0</v>
      </c>
      <c r="CI161" s="170">
        <f t="shared" si="261"/>
        <v>0</v>
      </c>
      <c r="CJ161" s="170">
        <f t="shared" si="262"/>
        <v>0</v>
      </c>
      <c r="CK161" s="170">
        <f t="shared" si="263"/>
        <v>0</v>
      </c>
      <c r="CL161" s="170">
        <f t="shared" si="264"/>
        <v>0</v>
      </c>
      <c r="CM161" s="170">
        <f t="shared" si="265"/>
        <v>0</v>
      </c>
      <c r="CN161" s="170">
        <f t="shared" si="266"/>
        <v>0</v>
      </c>
      <c r="CO161" s="170">
        <f t="shared" si="267"/>
        <v>0</v>
      </c>
      <c r="CP161" s="170">
        <f t="shared" si="268"/>
        <v>0</v>
      </c>
      <c r="CQ161" s="170">
        <f t="shared" si="269"/>
        <v>0</v>
      </c>
      <c r="CR161" s="170">
        <f t="shared" si="270"/>
        <v>0</v>
      </c>
      <c r="CS161" s="170">
        <f t="shared" si="271"/>
        <v>0</v>
      </c>
      <c r="CT161" s="75">
        <f t="shared" si="272"/>
        <v>0</v>
      </c>
      <c r="CU161" s="76">
        <f t="shared" si="273"/>
        <v>0</v>
      </c>
      <c r="CV161" s="76">
        <f t="shared" si="274"/>
        <v>0</v>
      </c>
      <c r="CW161" s="76">
        <f t="shared" si="275"/>
        <v>0</v>
      </c>
      <c r="CX161" s="76">
        <f t="shared" si="276"/>
        <v>0</v>
      </c>
      <c r="CY161" s="76">
        <f t="shared" si="277"/>
        <v>0</v>
      </c>
      <c r="CZ161" s="76">
        <f t="shared" si="278"/>
        <v>0</v>
      </c>
      <c r="DA161" s="76">
        <f t="shared" si="279"/>
        <v>0</v>
      </c>
      <c r="DB161" s="76">
        <f t="shared" si="280"/>
        <v>0</v>
      </c>
      <c r="DC161" s="76">
        <f t="shared" si="281"/>
        <v>0</v>
      </c>
      <c r="DD161" s="76">
        <f t="shared" si="282"/>
        <v>0</v>
      </c>
      <c r="DE161" s="77">
        <f t="shared" si="283"/>
        <v>0</v>
      </c>
      <c r="DF161" s="73">
        <f t="shared" si="286"/>
        <v>12</v>
      </c>
      <c r="DG161" s="67">
        <f t="shared" si="287"/>
        <v>15.760000000000002</v>
      </c>
      <c r="DH161" s="76">
        <f t="shared" si="288"/>
        <v>3</v>
      </c>
      <c r="DI161" s="67">
        <f t="shared" si="289"/>
        <v>14.100000000000001</v>
      </c>
      <c r="DJ161" s="202" t="str">
        <f>IF($D160="","",$D160)</f>
        <v>3</v>
      </c>
      <c r="DK161" s="493"/>
    </row>
    <row r="162" spans="1:115" ht="14.5" customHeight="1" x14ac:dyDescent="0.2">
      <c r="A162" s="390"/>
      <c r="B162" s="457"/>
      <c r="C162" s="79" t="s">
        <v>53</v>
      </c>
      <c r="D162" s="375"/>
      <c r="E162" s="387"/>
      <c r="F162" s="378"/>
      <c r="G162" s="508"/>
      <c r="H162" s="477"/>
      <c r="I162" s="171"/>
      <c r="J162" s="172"/>
      <c r="K162" s="81"/>
      <c r="L162" s="173"/>
      <c r="M162" s="174"/>
      <c r="N162" s="407"/>
      <c r="O162" s="86" t="str">
        <f>IF(OR(AE160="",AE161=""),"",IF(L162&gt;0,ROUND(IF(M162&gt;0,M162,IF(M160&gt;0,ROUND((M160*AE162)/AE160,IF(N160=0,2,IF(N160=0.1,1,0))),IF(M161&gt;0,ROUND((M161*AE162)/AE161,IF(N160=0,2,IF(N160=0.1,1,0))),IF(M162&gt;0,M162,0)))),2),""))</f>
        <v/>
      </c>
      <c r="P162" s="87" t="str">
        <f>IF(I161="Lay",O161*(L161/(L161-1))-O161,IF(I160="Lay",O160*(L160/(L160-1))-O160,IF(OR(L162="",O162=""),"",IF($C162="1/2W",O162/2+O162/2*L162,IF($C162="1/2L",O162/2,(O162*L162-O162)*(1-_xlfn.XLOOKUP(K162,'Fevereiro 2023 - Valor Real'!A3:A15,'Fevereiro 2023 - Valor Real'!C3:C15,0))+O162)))))</f>
        <v/>
      </c>
      <c r="Q162" s="54" t="str">
        <f>IF(K162="","",IF(_xlfn.XLOOKUP(K162,K$11:K152,$DJ$11:DJ152,0,,-1)=DJ162,_xlfn.XLOOKUP(K162,K$11:K152,Q$11:Q152,1,,-1)+1,1))</f>
        <v/>
      </c>
      <c r="R162" s="87" t="str">
        <f>IF(K162="","",_xlfn.XLOOKUP(K162,K$11:K152,R$11:R152,0,,-1)+IF($C162=" ",1,0))</f>
        <v/>
      </c>
      <c r="S162" s="404"/>
      <c r="T162" s="378"/>
      <c r="U162" s="378"/>
      <c r="V162" s="404"/>
      <c r="W162" s="378"/>
      <c r="X162" s="453"/>
      <c r="Y162" s="383"/>
      <c r="Z162" s="384"/>
      <c r="AA162" s="384"/>
      <c r="AB162" s="384"/>
      <c r="AC162" s="384"/>
      <c r="AD162" s="90"/>
      <c r="AE162" s="91" t="str">
        <f>IF(L162="","",(SUM(((L160-1)*(1-_xlfn.XLOOKUP(K160,'Fevereiro 2023 - Valor Real'!A3:A15,'Fevereiro 2023 - Valor Real'!C3:C15,0))+1),((L161-1)*(1-_xlfn.XLOOKUP(K161,'Fevereiro 2023 - Valor Real'!A3:A15,'Fevereiro 2023 - Valor Real'!C3:C15,0))+1),((L162-1)*(1-_xlfn.XLOOKUP(K162,'Fevereiro 2023 - Valor Real'!A3:A15,'Fevereiro 2023 - Valor Real'!C3:C15,0))+1))/((L162-1)*(1-_xlfn.XLOOKUP(K162,'Fevereiro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Real'!C3:C15,0))+1))/((L160-1)*(1-_xlfn.XLOOKUP(K160,'Fevereiro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Real'!C3:C15,0))+1))/((L161-1)*(1-_xlfn.XLOOKUP(K161,'Fevereiro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Real'!C3:C15,0))+1))/((L162-1)*(1-_xlfn.XLOOKUP(K162,'Fevereiro 2023 - Valor Real'!A3:A15,'Fevereiro 2023 - Valor Real'!C3:C15,0))+1)))</f>
        <v/>
      </c>
      <c r="AF162" s="66">
        <f t="shared" si="320"/>
        <v>0</v>
      </c>
      <c r="AG162" s="67">
        <f t="shared" si="320"/>
        <v>0</v>
      </c>
      <c r="AH162" s="67">
        <f t="shared" si="320"/>
        <v>0</v>
      </c>
      <c r="AI162" s="67">
        <f t="shared" si="320"/>
        <v>0</v>
      </c>
      <c r="AJ162" s="67">
        <f t="shared" si="320"/>
        <v>0</v>
      </c>
      <c r="AK162" s="67">
        <f t="shared" si="320"/>
        <v>0</v>
      </c>
      <c r="AL162" s="67">
        <f t="shared" si="320"/>
        <v>0</v>
      </c>
      <c r="AM162" s="67">
        <f t="shared" si="320"/>
        <v>0</v>
      </c>
      <c r="AN162" s="67">
        <f t="shared" si="320"/>
        <v>0</v>
      </c>
      <c r="AO162" s="67">
        <f t="shared" si="320"/>
        <v>0</v>
      </c>
      <c r="AP162" s="67">
        <f t="shared" si="320"/>
        <v>0</v>
      </c>
      <c r="AQ162" s="67">
        <f t="shared" si="320"/>
        <v>0</v>
      </c>
      <c r="AR162" s="68">
        <f t="shared" si="320"/>
        <v>0</v>
      </c>
      <c r="AS162" s="66">
        <f>IF(AND($B160=" ",$K162=AS$3),$O162,0)</f>
        <v>0</v>
      </c>
      <c r="AT162" s="67">
        <f>IF(AND($B160=" ",K162=AT$3),$O162,0)</f>
        <v>0</v>
      </c>
      <c r="AU162" s="67">
        <f t="shared" ref="AU162:BE162" si="333">IF(AND($B160=" ",$K162=AU$3),$O162,0)</f>
        <v>0</v>
      </c>
      <c r="AV162" s="67">
        <f t="shared" si="333"/>
        <v>0</v>
      </c>
      <c r="AW162" s="67">
        <f t="shared" si="333"/>
        <v>0</v>
      </c>
      <c r="AX162" s="67">
        <f t="shared" si="333"/>
        <v>0</v>
      </c>
      <c r="AY162" s="69">
        <f t="shared" si="333"/>
        <v>0</v>
      </c>
      <c r="AZ162" s="70">
        <f t="shared" si="333"/>
        <v>0</v>
      </c>
      <c r="BA162" s="70">
        <f t="shared" si="333"/>
        <v>0</v>
      </c>
      <c r="BB162" s="70">
        <f t="shared" si="333"/>
        <v>0</v>
      </c>
      <c r="BC162" s="71">
        <f t="shared" si="333"/>
        <v>0</v>
      </c>
      <c r="BD162" s="67">
        <f t="shared" si="333"/>
        <v>0</v>
      </c>
      <c r="BE162" s="68">
        <f t="shared" si="333"/>
        <v>0</v>
      </c>
      <c r="BF162" s="66">
        <f t="shared" si="322"/>
        <v>0</v>
      </c>
      <c r="BG162" s="168">
        <f t="shared" si="322"/>
        <v>0</v>
      </c>
      <c r="BH162" s="67">
        <f t="shared" si="322"/>
        <v>0</v>
      </c>
      <c r="BI162" s="67">
        <f t="shared" si="322"/>
        <v>0</v>
      </c>
      <c r="BJ162" s="67">
        <f t="shared" si="322"/>
        <v>0</v>
      </c>
      <c r="BK162" s="67">
        <f t="shared" si="322"/>
        <v>0</v>
      </c>
      <c r="BL162" s="67">
        <f t="shared" si="322"/>
        <v>0</v>
      </c>
      <c r="BM162" s="69">
        <f t="shared" si="322"/>
        <v>0</v>
      </c>
      <c r="BN162" s="70">
        <f t="shared" si="322"/>
        <v>0</v>
      </c>
      <c r="BO162" s="70">
        <f t="shared" si="322"/>
        <v>0</v>
      </c>
      <c r="BP162" s="70">
        <f t="shared" si="322"/>
        <v>0</v>
      </c>
      <c r="BQ162" s="71">
        <f t="shared" si="322"/>
        <v>0</v>
      </c>
      <c r="BR162" s="68">
        <f t="shared" si="322"/>
        <v>0</v>
      </c>
      <c r="BS162" s="491"/>
      <c r="BT162" s="489"/>
      <c r="BU162" s="392"/>
      <c r="BV162" s="489"/>
      <c r="BW162" s="392"/>
      <c r="BX162" s="392"/>
      <c r="BY162" s="392"/>
      <c r="BZ162" s="489"/>
      <c r="CA162" s="392"/>
      <c r="CB162" s="392"/>
      <c r="CC162" s="392"/>
      <c r="CD162" s="401"/>
      <c r="CE162" s="409"/>
      <c r="CF162" s="169">
        <f t="shared" si="258"/>
        <v>0</v>
      </c>
      <c r="CG162" s="170">
        <f t="shared" si="259"/>
        <v>0</v>
      </c>
      <c r="CH162" s="170">
        <f t="shared" si="260"/>
        <v>0</v>
      </c>
      <c r="CI162" s="170">
        <f t="shared" si="261"/>
        <v>0</v>
      </c>
      <c r="CJ162" s="170">
        <f t="shared" si="262"/>
        <v>0</v>
      </c>
      <c r="CK162" s="170">
        <f t="shared" si="263"/>
        <v>0</v>
      </c>
      <c r="CL162" s="170">
        <f t="shared" si="264"/>
        <v>0</v>
      </c>
      <c r="CM162" s="170">
        <f t="shared" si="265"/>
        <v>0</v>
      </c>
      <c r="CN162" s="170">
        <f t="shared" si="266"/>
        <v>0</v>
      </c>
      <c r="CO162" s="170">
        <f t="shared" si="267"/>
        <v>0</v>
      </c>
      <c r="CP162" s="170">
        <f t="shared" si="268"/>
        <v>0</v>
      </c>
      <c r="CQ162" s="170">
        <f t="shared" si="269"/>
        <v>0</v>
      </c>
      <c r="CR162" s="170">
        <f t="shared" si="270"/>
        <v>0</v>
      </c>
      <c r="CS162" s="170">
        <f t="shared" si="271"/>
        <v>0</v>
      </c>
      <c r="CT162" s="75">
        <f t="shared" si="272"/>
        <v>0</v>
      </c>
      <c r="CU162" s="76">
        <f t="shared" si="273"/>
        <v>0</v>
      </c>
      <c r="CV162" s="76">
        <f t="shared" si="274"/>
        <v>0</v>
      </c>
      <c r="CW162" s="76">
        <f t="shared" si="275"/>
        <v>0</v>
      </c>
      <c r="CX162" s="76">
        <f t="shared" si="276"/>
        <v>0</v>
      </c>
      <c r="CY162" s="76">
        <f t="shared" si="277"/>
        <v>0</v>
      </c>
      <c r="CZ162" s="76">
        <f t="shared" si="278"/>
        <v>0</v>
      </c>
      <c r="DA162" s="76">
        <f t="shared" si="279"/>
        <v>0</v>
      </c>
      <c r="DB162" s="76">
        <f t="shared" si="280"/>
        <v>0</v>
      </c>
      <c r="DC162" s="76">
        <f t="shared" si="281"/>
        <v>0</v>
      </c>
      <c r="DD162" s="76">
        <f t="shared" si="282"/>
        <v>0</v>
      </c>
      <c r="DE162" s="77">
        <f t="shared" si="283"/>
        <v>0</v>
      </c>
      <c r="DF162" s="73">
        <f t="shared" si="286"/>
        <v>12</v>
      </c>
      <c r="DG162" s="67">
        <f t="shared" si="287"/>
        <v>15.760000000000002</v>
      </c>
      <c r="DH162" s="76">
        <f t="shared" si="288"/>
        <v>3</v>
      </c>
      <c r="DI162" s="67">
        <f t="shared" si="289"/>
        <v>14.100000000000001</v>
      </c>
      <c r="DJ162" s="202" t="str">
        <f>IF($D160="","",$D160)</f>
        <v>3</v>
      </c>
      <c r="DK162" s="493"/>
    </row>
    <row r="163" spans="1:115" ht="14.5" customHeight="1" x14ac:dyDescent="0.2">
      <c r="A163" s="459">
        <f>$A160+1</f>
        <v>54</v>
      </c>
      <c r="B163" s="507" t="str">
        <f>IF(OR(C163="W",C164="W",C165="W",C163="1/2W",C164="1/2W",C165="1/2W",C163="1/2L",C164="1/2L",C165="1/2L"),"OK",IF(OR(C163="L",C164="L",C165="L"),"LOSS",IF(OR(C163="X",C164="X",C165="X"),"Anulado"," ")))</f>
        <v>OK</v>
      </c>
      <c r="C163" s="93" t="s">
        <v>54</v>
      </c>
      <c r="D163" s="468" t="str">
        <f>IF(G163="","",$D160)</f>
        <v>3</v>
      </c>
      <c r="E163" s="485" t="str">
        <f>IF(G163=""," ","– "&amp;COUNTIF(D$4:D165,$D163))</f>
        <v>– 11</v>
      </c>
      <c r="F163" s="509" t="str">
        <f ca="1">IF(G163="","",IF(OR(AND($C163&lt;&gt;" ",$C164=" "),AND($C164&lt;&gt;" ",$C163=" "),AND(L165&gt;0,OR(AND($C165&lt;&gt;" ",OR($C163=" ",$C164=" ")),AND($C165=" ",OR($C163&lt;&gt;" ",$C164&lt;&gt;" "))))),IF(SUM(F$6:F158)=0,1,LARGE(F$6:F158,1)+1),IF(MONTH(G163)=MONTH(TODAY()),IF(AND(DAY(G163)&lt;DAY(TODAY()),$B163=" "),IF(SUM(F$6:F158)=0,1,LARGE(F$6:F158,1)+1),IF($B163=" ",IF(AND(DAY(G163)=DAY(TODAY()),HOUR(G163)&lt;=HOUR(NOW())+1),IF(AND(HOUR(G163)+2&lt;=HOUR(NOW()),DAY(G163)&lt;=DAY(TODAY()),MINUTE(G163)&lt;=MINUTE(NOW())),IF(SUM(F$6:F158)=0,1,LARGE(F$6:F158,1)+1),IF(OR(MINUTE(G163)&lt;=MINUTE(NOW()),HOUR(G163)&lt;=HOUR(NOW())),"!!!","")),""),"")),"")))</f>
        <v/>
      </c>
      <c r="G163" s="482">
        <v>44994.614583333336</v>
      </c>
      <c r="H163" s="475" t="s">
        <v>105</v>
      </c>
      <c r="I163" s="175">
        <v>1</v>
      </c>
      <c r="J163" s="176"/>
      <c r="K163" s="96" t="s">
        <v>36</v>
      </c>
      <c r="L163" s="97">
        <v>2</v>
      </c>
      <c r="M163" s="98"/>
      <c r="N163" s="478">
        <v>0.1</v>
      </c>
      <c r="O163" s="99">
        <f>IF(OR(AE163="",AE164=""),"",ROUND(IF(L165&gt;0,IF(M163&gt;0,M163,IF(M164&gt;0,ROUND((M164*AE163)/AE164,IF(N163=0,2,IF(N163=0.1,1,0))),ROUND((M165*AE163)/AE165,IF(N163=0,2,IF(N163=0.1,1,0))))),IF(M163&gt;0,M163,ROUND((M164*AE163)/AE164,IF(N163=0,2,IF(N163=0.1,1,0))))),2))</f>
        <v>61.7</v>
      </c>
      <c r="P163" s="100">
        <f>IF(OR(L163="",O163=""),"",IF($C163="1/2W",O163/2+O163/2*L163,IF($C163="1/2L",O163/2,IF(I163="Lay",(O163*(L163/(L163-1))-O163)*(1-_xlfn.XLOOKUP(K163,'Fevereiro 2023 - Valor Real'!A3:A15,'Fevereiro 2023 - Valor Real'!C3:C15,0))+O163,(O163*L163-O163)*(1-_xlfn.XLOOKUP(K163,'Fevereiro 2023 - Valor Real'!A3:A15,'Fevereiro 2023 - Valor Real'!C3:C15,0))+O163))))</f>
        <v>123.4</v>
      </c>
      <c r="Q163" s="101">
        <f>IF(K163="","",IF(_xlfn.XLOOKUP(K163,K$6:K158,$DJ$6:DJ158,0,,-1)=DJ163,_xlfn.XLOOKUP(K163,K$6:K158,Q$6:Q158,1,,-1)+1,1))</f>
        <v>3</v>
      </c>
      <c r="R163" s="102">
        <f>IF(K163="","",_xlfn.XLOOKUP(K163,K$6:K158,R$6:R158,0,,-1)+IF($C163=" ",1,0))</f>
        <v>0</v>
      </c>
      <c r="S163" s="474">
        <f>IF($B163="Anulado",0,ROUND(IF(OR($B163="LOSS",$B163="OK"),IF(OR($C163="W",$C163="1/2W",$C163="1/2L"),P163-O163,IF($C163="L",-O163,0))+IF(OR($C164="W",$C164="1/2W",$C164="1/2L"),P164-O164,IF($C164="L",-O164,0))+IF(OR($C165="W",$C165="1/2W",$C165="1/2L"),P165-O165,IF($C165="L",-O165,0)),IF(AND(OR($C163="W",$C163="1/2W",$C163="1/2L"),C164="W"),P163+P164-SUM(O163:O165)+_xlfn.XLOOKUP("X",C163:C165,O163:O165,0),IF(AND(C163=TRUE,C165="W"),P163+P165-SUM(O163:O165),IF(AND(C164="W",C165="W"),P164+P165-SUM(O163:O165)+_xlfn.XLOOKUP("X",C163:C165,O163:O165,0),IF(L165&gt;0,IF(OR($C163="W",$C163="1/2W",$C163="1/2L"),P163-SUM(O163:O165)+_xlfn.XLOOKUP("X",C163:C165,O163:O165,0),IF(OR($C163="W",$C163="1/2W",$C163="1/2L"),P164-SUM(O163:O165)+_xlfn.XLOOKUP("X",C163:C165,O163:O165,0),IF(OR($C163="W",$C163="1/2W",$C163="1/2L"),P165-SUM(O163:O165)+_xlfn.XLOOKUP("X",C163:C165,O163:O165,0),IF(SUM(P163:P165)/3-SUM(O163:O165)+_xlfn.XLOOKUP("X",C163:C165,O163:O165,0)&gt;0,SUM(P163:P165)/3-SUM(O163:O165)+_xlfn.XLOOKUP("X",C163:C165,O163:O165,0),LARGE(P163:P165,1)-SUM(O163:O165))))),IF(OR($C163="W",$C163="1/2W",$C163="1/2L"),P163-SUM(O163:O164)+_xlfn.XLOOKUP("X",C163:C165,O163:O165,0),IF(OR($C163="W",$C163="1/2W",$C163="1/2L"),P164-SUM(O163:O164)+_xlfn.XLOOKUP("X",C163:C165,O163:O165,0),SUM(P163:P164)/2-SUM(O163:O164)+_xlfn.XLOOKUP("X",C163:C165,O163:O165,0)))))))),2))</f>
        <v>3.78</v>
      </c>
      <c r="T163" s="458">
        <f>IF(S163=0,0,S163/SUM(O163:O165))</f>
        <v>3.1600066878448414E-2</v>
      </c>
      <c r="U163" s="470">
        <f>IF($D163=$D160,IF(OR($B163="LOSS",$B163="OK",$B163="Anulada"),S163,0)+U160,IF(OR($B163="LOSS",$B163="OK",$B163="Anulada"),S163,0))</f>
        <v>22.9</v>
      </c>
      <c r="V163" s="470">
        <f>IF($D163="",0,IF($D163=$D160,IF($B163=" ",IF(I165="",IF(OR(AND(I163="DNB1",I164="DNB2"),AND(OR(I163="DNB1",I163="DNB2"),J164=0),AND(OR(I164="DNB1",I164="DNB2"),J163=0),AND(I163="DNB2",I164="DNB1"),AND(IF(J163=0,(J163+1)/ROUND(J163+1,0),J163/ROUND(J163,0))=1,IF(J164=0,(J164+1)/ROUND(IF(J164="",0,J164)+1,0),IF(J164="",0,J164)/ROUND(IF(J164="",1,J164),0))=1,OR(J163&lt;&gt;""),J164&lt;&gt;"")),0,IF(S163&lt;0,IF(I165="",SMALL(P163:P164,1)-SUM(O163:O164),0),SMALL(P163:P164,1)-SUM(O163:O164))),IF(S163&lt;0,IF(I165="",SMALL(P163:P165,1)-SUM(O163:O165),0),LARGE(P163:P165,1)-SUM(O163:O165))),S163)+V160,IF(I165="",IF(OR(AND(I163="DNB1",I164="DNB2"),AND(OR(I163="DNB1",I163="DNB2"),J164=0),AND(OR(I164="DNB1",I164="DNB2"),J163=0),AND(I163="DNB2",I164="DNB1"),AND(IF(J163=0,(J163+1)/ROUND(J163+1,0),J163/ROUND(J163,0))=1,IF(J164=0,(IF(J164="",0,J164)+1)/ROUND(IF(J164="",0,J164)+1,0),IF(J164="",0,J164)/ROUND(IF(J164="",0,J164)+1,0))=1,OR(J163&lt;&gt;""),J164&lt;&gt;"")),0,IF(S163&lt;0,IF(I165="",SMALL(P163:P164,1)-SUM(O163:O164),0),SMALL(P163:P165,1)-SUM(O163:O165))),IF(S163&lt;0,IF(I165="",SMALL(P163:P165,1)-SUM(O163:O165),0),LARGE(P163:P165,1)-SUM(O163:O165)))))</f>
        <v>22.89</v>
      </c>
      <c r="W163" s="470">
        <f>IF($D163=$D160,IF(S163&lt;0,IF(I165="",S163,0),S163)+W160,S163)</f>
        <v>22.9</v>
      </c>
      <c r="X163" s="480" t="str">
        <f>IF(OR(SUM(R163:R165)=0,V163=W163),ROUND(IF(W163=0,0,W163/Y163)*100,2)&amp;"%",ROUND(IF(V163=0,0,V163/Y163)*100,2)&amp;"% a "&amp;ROUND(IF(W163=0,0,W163/Y163)*100,2)&amp;"%")</f>
        <v>4,33%</v>
      </c>
      <c r="Y163" s="471">
        <f>IF($D163=$D160,Y160+SUM(O163:O165),SUM(O163:O165))</f>
        <v>528.5</v>
      </c>
      <c r="Z163" s="470">
        <f>IF($B163=" ",SUM(O163:O165),0)+Z160</f>
        <v>0</v>
      </c>
      <c r="AA163" s="470">
        <f>IF(G163="","",IF($B163="Anulado",LARGE(P163:P165,1)-SUM(O163:O165)+AA160,AA160))</f>
        <v>1.4607999999999972</v>
      </c>
      <c r="AB163" s="470">
        <f>IF($D163="","",AB160+S163)</f>
        <v>133.75999999999996</v>
      </c>
      <c r="AC163" s="472">
        <f ca="1">IF($D163="","",IF($B163=" ",IF(DAY(G163)=DAY(TODAY()),1+AC160,0+AC160),0+AC160))</f>
        <v>0</v>
      </c>
      <c r="AD163" s="103">
        <f>(((L164/(L164-1)-1)*(1-_xlfn.XLOOKUP(K164,'Fevereiro 2023 - Valor Real'!A3:A15,'Fevereiro 2023 - Valor Real'!C3:C15,0))+1))/(((L163-1)*(1-_xlfn.XLOOKUP(K163,'Fevereiro 2023 - Valor Real'!A3:A15,'Fevereiro 2023 - Valor Real'!C3:C15,0))+1)+((L164/(L164-1)-1)*(1-_xlfn.XLOOKUP(K164,'Fevereiro 2023 - Valor Real'!A3:A15,'Fevereiro 2023 - Valor Real'!C3:C15,0))+1))</f>
        <v>0.48519362186788156</v>
      </c>
      <c r="AE163" s="104">
        <f>IF(L163="","",IF(L165&gt;0,(SUM(((L163-1)*(1-_xlfn.XLOOKUP(K163,'Fevereiro 2023 - Valor Real'!A3:A15,'Fevereiro 2023 - Valor Real'!C3:C15,0))+1),((L164-1)*(1-_xlfn.XLOOKUP(K164,'Fevereiro 2023 - Valor Real'!A3:A15,'Fevereiro 2023 - Valor Real'!C3:C15,0))+1),((L165-1)*(1-_xlfn.XLOOKUP(K165,'Fevereiro 2023 - Valor Real'!A3:A15,'Fevereiro 2023 - Valor Real'!C3:C15,0))+1))/((L163-1)*(1-_xlfn.XLOOKUP(K163,'Fevereiro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Real'!C3:C15,0))+1))/((L163-1)*(1-_xlfn.XLOOKUP(K163,'Fevereiro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Real'!C3:C15,0))+1))/((L164-1)*(1-_xlfn.XLOOKUP(K164,'Fevereiro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Real'!C3:C15,0))+1))/((L165-1)*(1-_xlfn.XLOOKUP(K165,'Fevereiro 2023 - Valor Real'!A3:A15,'Fevereiro 2023 - Valor Real'!C3:C15,0))+1)),IF(I163="Lay",IF(I164="Lay",((L164/(L164-1)-1)*(1-_xlfn.XLOOKUP(K164,'Fevereiro 2023 - Valor Real'!A3:A15,'Fevereiro 2023 - Valor Real'!C3:C15,0))+1)/(((L164/(L164-1)-1)*(1-_xlfn.XLOOKUP(K164,'Fevereiro 2023 - Valor Real'!A3:A15,'Fevereiro 2023 - Valor Real'!C3:C15,0))+1)+((L163/(L163-1)-1)*(1-_xlfn.XLOOKUP(K163,'Fevereiro 2023 - Valor Real'!A3:A15,'Fevereiro 2023 - Valor Real'!C3:C15,0))+1)),((L164-1)*(1-_xlfn.XLOOKUP(K164,'Fevereiro 2023 - Valor Real'!A3:A15,'Fevereiro 2023 - Valor Real'!C3:C15,0))+1)/(((L164-1)*(1-_xlfn.XLOOKUP(K164,'Fevereiro 2023 - Valor Real'!A3:A15,'Fevereiro 2023 - Valor Real'!C3:C15,0))+1)+((L163/(L163-1)-1)*(1-_xlfn.XLOOKUP(K163,'Fevereiro 2023 - Valor Real'!A3:A15,'Fevereiro 2023 - Valor Real'!C3:C15,0))+1))),IF(I164="Lay",(((L164/(L164-1)-1)*(1-_xlfn.XLOOKUP(K164,'Fevereiro 2023 - Valor Real'!A3:A15,'Fevereiro 2023 - Valor Real'!C3:C15,0))+1))/(((L163-1)*(1-_xlfn.XLOOKUP(K163,'Fevereiro 2023 - Valor Real'!A3:A15,'Fevereiro 2023 - Valor Real'!C3:C15,0))+1)+((L164/(L164-1)-1)*(1-_xlfn.XLOOKUP(K164,'Fevereiro 2023 - Valor Real'!A3:A15,'Fevereiro 2023 - Valor Real'!C3:C15,0))+1)),((L164-1)*(1-_xlfn.XLOOKUP(K164,'Fevereiro 2023 - Valor Real'!A3:A15,'Fevereiro 2023 - Valor Real'!C3:C15,0))+1)/(((L164-1)*(1-_xlfn.XLOOKUP(K164,'Fevereiro 2023 - Valor Real'!A3:A15,'Fevereiro 2023 - Valor Real'!C3:C15,0))+1)+((L163-1)*(1-_xlfn.XLOOKUP(K163,'Fevereiro 2023 - Valor Real'!A3:A15,'Fevereiro 2023 - Valor Real'!C3:C15,0))+1))))))</f>
        <v>0.51573849878934619</v>
      </c>
      <c r="AF163" s="105">
        <f t="shared" si="320"/>
        <v>61.7</v>
      </c>
      <c r="AG163" s="106">
        <f t="shared" si="320"/>
        <v>0</v>
      </c>
      <c r="AH163" s="106">
        <f t="shared" si="320"/>
        <v>0</v>
      </c>
      <c r="AI163" s="106">
        <f t="shared" si="320"/>
        <v>0</v>
      </c>
      <c r="AJ163" s="106">
        <f t="shared" si="320"/>
        <v>0</v>
      </c>
      <c r="AK163" s="106">
        <f t="shared" si="320"/>
        <v>0</v>
      </c>
      <c r="AL163" s="106">
        <f t="shared" si="320"/>
        <v>0</v>
      </c>
      <c r="AM163" s="106">
        <f t="shared" si="320"/>
        <v>0</v>
      </c>
      <c r="AN163" s="106">
        <f t="shared" si="320"/>
        <v>0</v>
      </c>
      <c r="AO163" s="106">
        <f t="shared" si="320"/>
        <v>0</v>
      </c>
      <c r="AP163" s="106">
        <f t="shared" si="320"/>
        <v>0</v>
      </c>
      <c r="AQ163" s="106">
        <f t="shared" si="320"/>
        <v>0</v>
      </c>
      <c r="AR163" s="107">
        <f t="shared" si="320"/>
        <v>0</v>
      </c>
      <c r="AS163" s="105">
        <f t="shared" ref="AS163:BE163" si="334">IF(AND($B163=" ",$K163=AS$3),$O163,0)</f>
        <v>0</v>
      </c>
      <c r="AT163" s="106">
        <f t="shared" si="334"/>
        <v>0</v>
      </c>
      <c r="AU163" s="106">
        <f t="shared" si="334"/>
        <v>0</v>
      </c>
      <c r="AV163" s="106">
        <f t="shared" si="334"/>
        <v>0</v>
      </c>
      <c r="AW163" s="106">
        <f t="shared" si="334"/>
        <v>0</v>
      </c>
      <c r="AX163" s="106">
        <f t="shared" si="334"/>
        <v>0</v>
      </c>
      <c r="AY163" s="108">
        <f t="shared" si="334"/>
        <v>0</v>
      </c>
      <c r="AZ163" s="109">
        <f t="shared" si="334"/>
        <v>0</v>
      </c>
      <c r="BA163" s="109">
        <f t="shared" si="334"/>
        <v>0</v>
      </c>
      <c r="BB163" s="109">
        <f t="shared" si="334"/>
        <v>0</v>
      </c>
      <c r="BC163" s="110">
        <f t="shared" si="334"/>
        <v>0</v>
      </c>
      <c r="BD163" s="106">
        <f t="shared" si="334"/>
        <v>0</v>
      </c>
      <c r="BE163" s="107">
        <f t="shared" si="334"/>
        <v>0</v>
      </c>
      <c r="BF163" s="111">
        <f t="shared" si="322"/>
        <v>61.7</v>
      </c>
      <c r="BG163" s="106">
        <f t="shared" si="322"/>
        <v>0</v>
      </c>
      <c r="BH163" s="106">
        <f t="shared" si="322"/>
        <v>0</v>
      </c>
      <c r="BI163" s="106">
        <f t="shared" si="322"/>
        <v>0</v>
      </c>
      <c r="BJ163" s="106">
        <f t="shared" si="322"/>
        <v>0</v>
      </c>
      <c r="BK163" s="106">
        <f t="shared" si="322"/>
        <v>0</v>
      </c>
      <c r="BL163" s="106">
        <f t="shared" si="322"/>
        <v>0</v>
      </c>
      <c r="BM163" s="108">
        <f t="shared" si="322"/>
        <v>0</v>
      </c>
      <c r="BN163" s="109">
        <f t="shared" si="322"/>
        <v>0</v>
      </c>
      <c r="BO163" s="109">
        <f t="shared" si="322"/>
        <v>0</v>
      </c>
      <c r="BP163" s="109">
        <f t="shared" si="322"/>
        <v>0</v>
      </c>
      <c r="BQ163" s="110">
        <f t="shared" si="322"/>
        <v>0</v>
      </c>
      <c r="BR163" s="107">
        <f t="shared" si="322"/>
        <v>0</v>
      </c>
      <c r="BS163" s="463">
        <f>IF($B163="LOSS",IF(AND($K163=BS$3,$C163="L"),-$O163,0)+IF(AND($K164=BS$3,$C164="L"),-$O164,0)+IF(AND($K165=BS$3,$C165="L"),-$O165,0),IF(OR(AND($K163=BS$3,OR($C163="W",$C163="1/2W")),AND($K164=BS$3,OR($C164="W",$C164="1/2W")),AND($K165=BS$3,OR($C165="W",$C165="1/2W"))),$S163,0))</f>
        <v>3.78</v>
      </c>
      <c r="BT163" s="462">
        <f>IF($B163="LOSS",IF(AND($K163=BT$3,$C163="L"),-$O163,0)+IF(AND($K164=BT$3,$C164="L"),-$O164,0)+IF(AND($K164=BT$3,$C165="L"),-$O165,0),IF(OR(AND($K164=BT$3,OR($C163="W",$C163="1/2W")),AND($K164=BT$3,OR($C164="W",$C164="1/2W")),AND($K164=BT$3,OR($C165="W",$C165="1/2W"))),$S163,0))</f>
        <v>0</v>
      </c>
      <c r="BU163" s="462">
        <f>IF($B163="LOSS",IF(AND($K163=BU$3,$C163="L"),-$O163,0)+IF(AND($K164=BU$3,$C164="L"),-$O164,0)+IF(AND($K164=BU$3,$C165="L"),-$O165,0),IF(OR(AND($K164=BU$3,OR($C163="W",$C163="1/2W")),AND($K164=BU$3,OR($C164="W",$C164="1/2W")),AND($K164=BU$3,OR($C165="W",$C165="1/2W"))),$S163,0))</f>
        <v>0</v>
      </c>
      <c r="BV163" s="462">
        <f t="shared" ref="BV163:CE163" si="335">IF($B163="LOSS",IF(AND($K163=BV$3,$C163="L"),-$O163,0)+IF(AND($K164=BV$3,$C164="L"),-$O164,0)+IF(AND($K165=BV$3,$C165="L"),-$O165,0),IF(OR(AND($K163=BV$3,OR($C163="W",$C163="1/2W")),AND($K164=BV$3,OR($C164="W",$C164="1/2W")),AND($K165=BV$3,OR($C165="W",$C165="1/2W"))),$S163,0))</f>
        <v>0</v>
      </c>
      <c r="BW163" s="462">
        <f t="shared" si="335"/>
        <v>0</v>
      </c>
      <c r="BX163" s="462">
        <f t="shared" si="335"/>
        <v>0</v>
      </c>
      <c r="BY163" s="462">
        <f t="shared" si="335"/>
        <v>0</v>
      </c>
      <c r="BZ163" s="460">
        <f t="shared" si="335"/>
        <v>0</v>
      </c>
      <c r="CA163" s="460">
        <f t="shared" si="335"/>
        <v>0</v>
      </c>
      <c r="CB163" s="460">
        <f t="shared" si="335"/>
        <v>0</v>
      </c>
      <c r="CC163" s="460">
        <f t="shared" si="335"/>
        <v>0</v>
      </c>
      <c r="CD163" s="473">
        <f t="shared" si="335"/>
        <v>0</v>
      </c>
      <c r="CE163" s="479">
        <f t="shared" si="335"/>
        <v>0</v>
      </c>
      <c r="CF163" s="113">
        <f t="shared" si="258"/>
        <v>1</v>
      </c>
      <c r="CG163" s="114">
        <f t="shared" si="259"/>
        <v>0</v>
      </c>
      <c r="CH163" s="114">
        <f t="shared" si="260"/>
        <v>0</v>
      </c>
      <c r="CI163" s="114">
        <f t="shared" si="261"/>
        <v>0</v>
      </c>
      <c r="CJ163" s="114">
        <f t="shared" si="262"/>
        <v>0</v>
      </c>
      <c r="CK163" s="114">
        <f t="shared" si="263"/>
        <v>0</v>
      </c>
      <c r="CL163" s="114">
        <f t="shared" si="264"/>
        <v>0</v>
      </c>
      <c r="CM163" s="114">
        <f t="shared" si="265"/>
        <v>0</v>
      </c>
      <c r="CN163" s="114">
        <f t="shared" si="266"/>
        <v>0</v>
      </c>
      <c r="CO163" s="114">
        <f t="shared" si="267"/>
        <v>0</v>
      </c>
      <c r="CP163" s="114">
        <f t="shared" si="268"/>
        <v>0</v>
      </c>
      <c r="CQ163" s="114">
        <f t="shared" si="269"/>
        <v>0</v>
      </c>
      <c r="CR163" s="114">
        <f t="shared" si="270"/>
        <v>0</v>
      </c>
      <c r="CS163" s="114">
        <f t="shared" si="271"/>
        <v>0</v>
      </c>
      <c r="CT163" s="115">
        <f t="shared" si="272"/>
        <v>0</v>
      </c>
      <c r="CU163" s="116">
        <f t="shared" si="273"/>
        <v>0</v>
      </c>
      <c r="CV163" s="116">
        <f t="shared" si="274"/>
        <v>0</v>
      </c>
      <c r="CW163" s="116">
        <f t="shared" si="275"/>
        <v>0</v>
      </c>
      <c r="CX163" s="116">
        <f t="shared" si="276"/>
        <v>0</v>
      </c>
      <c r="CY163" s="116">
        <f t="shared" si="277"/>
        <v>0</v>
      </c>
      <c r="CZ163" s="116">
        <f t="shared" si="278"/>
        <v>0</v>
      </c>
      <c r="DA163" s="116">
        <f t="shared" si="279"/>
        <v>0</v>
      </c>
      <c r="DB163" s="116">
        <f t="shared" si="280"/>
        <v>0</v>
      </c>
      <c r="DC163" s="116">
        <f t="shared" si="281"/>
        <v>0</v>
      </c>
      <c r="DD163" s="116">
        <f t="shared" si="282"/>
        <v>0</v>
      </c>
      <c r="DE163" s="117">
        <f t="shared" si="283"/>
        <v>0</v>
      </c>
      <c r="DF163" s="118">
        <f t="shared" si="286"/>
        <v>12</v>
      </c>
      <c r="DG163" s="106">
        <f t="shared" si="287"/>
        <v>15.760000000000002</v>
      </c>
      <c r="DH163" s="116">
        <f t="shared" si="288"/>
        <v>3</v>
      </c>
      <c r="DI163" s="106">
        <f t="shared" si="289"/>
        <v>14.100000000000001</v>
      </c>
      <c r="DJ163" s="201" t="str">
        <f>IF($D163="","",$D163)</f>
        <v>3</v>
      </c>
      <c r="DK163" s="465">
        <f>IF(AND($B163=" ",$D163&lt;&gt;""),1,0)</f>
        <v>0</v>
      </c>
    </row>
    <row r="164" spans="1:115" ht="14.5" customHeight="1" x14ac:dyDescent="0.2">
      <c r="A164" s="389"/>
      <c r="B164" s="456"/>
      <c r="C164" s="120" t="s">
        <v>55</v>
      </c>
      <c r="D164" s="374"/>
      <c r="E164" s="386"/>
      <c r="F164" s="377"/>
      <c r="G164" s="483"/>
      <c r="H164" s="476"/>
      <c r="I164" s="178">
        <v>2</v>
      </c>
      <c r="J164" s="179" t="str">
        <f>IF(OR(I163="TO",I163="TU",I163="TO1",I163="TU1",I163="TO2",I163="TU2"),J163,IF(OR(I163="AH1",I163="AH2"),IF(OR(I164="AH1",I164="AH2"),-J163,IF(OR(I164="EH1",I164="EH2"),-J163+0.5,"")),IF(OR(I163="EH1",I163="EH2"),IF(OR(I164="AH1",I164="AH2"),-J163+0.5,IF(OR(I164="EH1",I164="EH2"),-J163+1,"")),IF(AND(OR(I163="DNB1",I163="DNB2"),OR(I164="AH1",I164="AH2")),0,IF(AND(I163="Not ScoreBoth",OR(I164="TO1",I164="TO2")),0.5,"")))))</f>
        <v/>
      </c>
      <c r="K164" s="123" t="s">
        <v>40</v>
      </c>
      <c r="L164" s="124">
        <v>2.13</v>
      </c>
      <c r="M164" s="125">
        <v>57.92</v>
      </c>
      <c r="N164" s="406"/>
      <c r="O164" s="126">
        <f>IF(OR(AE163="",AE164=""),"",ROUND(IF(L165&gt;0,IF(M164&gt;0,M164,IF(M163&gt;0,IF(N163=TRUE,ROUND((M163*AE164)/AE163,0),(M163*AE164)/AE163),IF(M164&gt;0,ROUND(M164,IF(N163=0,2,IF(N163=0.1,1,0))),IF(M165&gt;0,ROUND(O165*AE164/AE165,IF(N163=0,2,IF(N163=0.1,1,0))),0)))),IF(M164&gt;0,M164,ROUND((M163*AE164)/AE163,IF(N163=0,2,IF(N163=0.1,1,0))))),2))</f>
        <v>57.92</v>
      </c>
      <c r="P164" s="127">
        <f>IF(OR(L164="",O164=""),"",IF($C164="1/2W",O164/2+O164/2*L164,IF($C164="1/2L",O164/2,IF(I164="Lay",((O164*(L164/(L164-1)))-O164)*(1-_xlfn.XLOOKUP(K164,'Fevereiro 2023 - Valor Real'!A3:A15,'Fevereiro 2023 - Valor Real'!C3:C15,0))+O164,(O164*L164-O164)*(1-_xlfn.XLOOKUP(K164,'Fevereiro 2023 - Valor Real'!A3:A15,'Fevereiro 2023 - Valor Real'!C3:C15,0))+O164))))</f>
        <v>123.36959999999999</v>
      </c>
      <c r="Q164" s="128">
        <f>IF(K164="","",IF(_xlfn.XLOOKUP(K164,K$7:K158,$DJ$7:DJ158,0,,-1)=DJ164,_xlfn.XLOOKUP(K164,K$7:K158,Q$7:Q158,1,,-1)+1,1))</f>
        <v>4</v>
      </c>
      <c r="R164" s="129">
        <f>IF(K164="","",_xlfn.XLOOKUP(K164,K$7:K158,R$7:R158,0,,-1)+IF($C164=" ",1,0))</f>
        <v>0</v>
      </c>
      <c r="S164" s="403"/>
      <c r="T164" s="380"/>
      <c r="U164" s="380"/>
      <c r="V164" s="481"/>
      <c r="W164" s="380"/>
      <c r="X164" s="452"/>
      <c r="Y164" s="383"/>
      <c r="Z164" s="384"/>
      <c r="AA164" s="384"/>
      <c r="AB164" s="384"/>
      <c r="AC164" s="384"/>
      <c r="AD164" s="130">
        <f>(((L164/(L164-1)-1)*(1-_xlfn.XLOOKUP(K164,'Fevereiro 2023 - Valor Real'!A3:A15,'Fevereiro 2023 - Valor Real'!C3:C15,0))+1))</f>
        <v>1.8849557522123894</v>
      </c>
      <c r="AE164" s="131">
        <f>IF(L164="","",IF(L165&gt;0,(SUM(((L163-1)*(1-_xlfn.XLOOKUP(K163,'Fevereiro 2023 - Valor Real'!A3:A15,'Fevereiro 2023 - Valor Real'!C3:C15,0))+1),((L164-1)*(1-_xlfn.XLOOKUP(K164,'Fevereiro 2023 - Valor Real'!A3:A15,'Fevereiro 2023 - Valor Real'!C3:C15,0))+1),((L165-1)*(1-_xlfn.XLOOKUP(K165,'Fevereiro 2023 - Valor Real'!A3:A15,'Fevereiro 2023 - Valor Real'!C3:C15,0))+1))/((L164-1)*(1-_xlfn.XLOOKUP(K164,'Fevereiro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Real'!C3:C15,0))+1))/((L163-1)*(1-_xlfn.XLOOKUP(K163,'Fevereiro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Real'!C3:C15,0))+1))/((L164-1)*(1-_xlfn.XLOOKUP(K164,'Fevereiro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Real'!C3:C15,0))+1))/((L165-1)*(1-_xlfn.XLOOKUP(K165,'Fevereiro 2023 - Valor Real'!A3:A15,'Fevereiro 2023 - Valor Real'!C3:C15,0))+1)),IF(I164="Lay",IF(I163="Lay",((L163/(L163-1)-1)*(1-_xlfn.XLOOKUP(K163,'Fevereiro 2023 - Valor Real'!A3:A15,'Fevereiro 2023 - Valor Real'!C3:C15,0))+1)/(((L163/(L163-1)-1)*(1-_xlfn.XLOOKUP(K163,'Fevereiro 2023 - Valor Real'!A3:A15,'Fevereiro 2023 - Valor Real'!C3:C15,0))+1)+((L164/(L164-1)-1)*(1-_xlfn.XLOOKUP(K164,'Fevereiro 2023 - Valor Real'!A3:A15,'Fevereiro 2023 - Valor Real'!C3:C15,0))+1)),((L163-1)*(1-_xlfn.XLOOKUP(K163,'Fevereiro 2023 - Valor Real'!A3:A15,'Fevereiro 2023 - Valor Real'!C3:C15,0))+1)/(((L163-1)*(1-_xlfn.XLOOKUP(K163,'Fevereiro 2023 - Valor Real'!A3:A15,'Fevereiro 2023 - Valor Real'!C3:C15,0))+1)+((L164/(L164-1)-1)*(1-_xlfn.XLOOKUP(K164,'Fevereiro 2023 - Valor Real'!A3:A15,'Fevereiro 2023 - Valor Real'!C3:C15,0))+1))),IF(I163="Lay",((L163/(L163-1)-1)*(1-_xlfn.XLOOKUP(K163,'Fevereiro 2023 - Valor Real'!A3:A15,'Fevereiro 2023 - Valor Real'!C3:C15,0))+1)/((((L163/(L163-1)-1)*(1-_xlfn.XLOOKUP(K163,'Fevereiro 2023 - Valor Real'!A3:A15,'Fevereiro 2023 - Valor Real'!C3:C15,0))+1))+((L164-1)*(1-_xlfn.XLOOKUP(K164,'Fevereiro 2023 - Valor Real'!A3:A15,'Fevereiro 2023 - Valor Real'!C3:C15,0))+1)),((L163-1)*(1-_xlfn.XLOOKUP(K163,'Fevereiro 2023 - Valor Real'!A3:A15,'Fevereiro 2023 - Valor Real'!C3:C15,0))+1)/(((L163-1)*(1-_xlfn.XLOOKUP(K163,'Fevereiro 2023 - Valor Real'!A3:A15,'Fevereiro 2023 - Valor Real'!C3:C15,0))+1)+((L164-1)*(1-_xlfn.XLOOKUP(K164,'Fevereiro 2023 - Valor Real'!A3:A15,'Fevereiro 2023 - Valor Real'!C3:C15,0))+1))))))</f>
        <v>0.48426150121065376</v>
      </c>
      <c r="AF164" s="105">
        <f t="shared" ref="AF164:AR173" si="336">IF($K164=AF$3,ROUND(IF(OR($C164="W",$C164="1/2W",$C164="1/2L"),$P164-$O164,IF($C164="X",0,-$O164)),2),0)</f>
        <v>0</v>
      </c>
      <c r="AG164" s="106">
        <f t="shared" si="336"/>
        <v>0</v>
      </c>
      <c r="AH164" s="106">
        <f t="shared" si="336"/>
        <v>0</v>
      </c>
      <c r="AI164" s="106">
        <f t="shared" si="336"/>
        <v>0</v>
      </c>
      <c r="AJ164" s="106">
        <f t="shared" si="336"/>
        <v>-57.92</v>
      </c>
      <c r="AK164" s="106">
        <f t="shared" si="336"/>
        <v>0</v>
      </c>
      <c r="AL164" s="106">
        <f t="shared" si="336"/>
        <v>0</v>
      </c>
      <c r="AM164" s="106">
        <f t="shared" si="336"/>
        <v>0</v>
      </c>
      <c r="AN164" s="106">
        <f t="shared" si="336"/>
        <v>0</v>
      </c>
      <c r="AO164" s="106">
        <f t="shared" si="336"/>
        <v>0</v>
      </c>
      <c r="AP164" s="106">
        <f t="shared" si="336"/>
        <v>0</v>
      </c>
      <c r="AQ164" s="106">
        <f t="shared" si="336"/>
        <v>0</v>
      </c>
      <c r="AR164" s="107">
        <f t="shared" si="336"/>
        <v>0</v>
      </c>
      <c r="AS164" s="105">
        <f>IF(AND($B163=" ",$K164=AS$3),$O164,0)</f>
        <v>0</v>
      </c>
      <c r="AT164" s="106">
        <f>IF(AND($B163=" ",K164=AT$3),$O164,0)</f>
        <v>0</v>
      </c>
      <c r="AU164" s="106">
        <f t="shared" ref="AU164:BE164" si="337">IF(AND($B163=" ",$K164=AU$3),$O164,0)</f>
        <v>0</v>
      </c>
      <c r="AV164" s="106">
        <f t="shared" si="337"/>
        <v>0</v>
      </c>
      <c r="AW164" s="106">
        <f t="shared" si="337"/>
        <v>0</v>
      </c>
      <c r="AX164" s="106">
        <f t="shared" si="337"/>
        <v>0</v>
      </c>
      <c r="AY164" s="108">
        <f t="shared" si="337"/>
        <v>0</v>
      </c>
      <c r="AZ164" s="109">
        <f t="shared" si="337"/>
        <v>0</v>
      </c>
      <c r="BA164" s="109">
        <f t="shared" si="337"/>
        <v>0</v>
      </c>
      <c r="BB164" s="109">
        <f t="shared" si="337"/>
        <v>0</v>
      </c>
      <c r="BC164" s="110">
        <f t="shared" si="337"/>
        <v>0</v>
      </c>
      <c r="BD164" s="106">
        <f t="shared" si="337"/>
        <v>0</v>
      </c>
      <c r="BE164" s="107">
        <f t="shared" si="337"/>
        <v>0</v>
      </c>
      <c r="BF164" s="105">
        <f t="shared" ref="BF164:BR173" si="338">IF($K164=BF$3,IF($C164="X",0,$O164),0)</f>
        <v>0</v>
      </c>
      <c r="BG164" s="106">
        <f t="shared" si="338"/>
        <v>0</v>
      </c>
      <c r="BH164" s="106">
        <f t="shared" si="338"/>
        <v>0</v>
      </c>
      <c r="BI164" s="106">
        <f t="shared" si="338"/>
        <v>0</v>
      </c>
      <c r="BJ164" s="106">
        <f t="shared" si="338"/>
        <v>57.92</v>
      </c>
      <c r="BK164" s="106">
        <f t="shared" si="338"/>
        <v>0</v>
      </c>
      <c r="BL164" s="106">
        <f t="shared" si="338"/>
        <v>0</v>
      </c>
      <c r="BM164" s="132">
        <f t="shared" si="338"/>
        <v>0</v>
      </c>
      <c r="BN164" s="112">
        <f t="shared" si="338"/>
        <v>0</v>
      </c>
      <c r="BO164" s="112">
        <f t="shared" si="338"/>
        <v>0</v>
      </c>
      <c r="BP164" s="112">
        <f t="shared" si="338"/>
        <v>0</v>
      </c>
      <c r="BQ164" s="110">
        <f t="shared" si="338"/>
        <v>0</v>
      </c>
      <c r="BR164" s="107">
        <f t="shared" si="338"/>
        <v>0</v>
      </c>
      <c r="BS164" s="464"/>
      <c r="BT164" s="461"/>
      <c r="BU164" s="392"/>
      <c r="BV164" s="461"/>
      <c r="BW164" s="392"/>
      <c r="BX164" s="392"/>
      <c r="BY164" s="392"/>
      <c r="BZ164" s="461"/>
      <c r="CA164" s="392"/>
      <c r="CB164" s="392"/>
      <c r="CC164" s="392"/>
      <c r="CD164" s="401"/>
      <c r="CE164" s="409"/>
      <c r="CF164" s="133">
        <f t="shared" si="258"/>
        <v>0</v>
      </c>
      <c r="CG164" s="134">
        <f t="shared" si="259"/>
        <v>0</v>
      </c>
      <c r="CH164" s="134">
        <f t="shared" si="260"/>
        <v>0</v>
      </c>
      <c r="CI164" s="134">
        <f t="shared" si="261"/>
        <v>0</v>
      </c>
      <c r="CJ164" s="134">
        <f t="shared" si="262"/>
        <v>0</v>
      </c>
      <c r="CK164" s="134">
        <f t="shared" si="263"/>
        <v>0</v>
      </c>
      <c r="CL164" s="134">
        <f t="shared" si="264"/>
        <v>0</v>
      </c>
      <c r="CM164" s="134">
        <f t="shared" si="265"/>
        <v>0</v>
      </c>
      <c r="CN164" s="134">
        <f t="shared" si="266"/>
        <v>0</v>
      </c>
      <c r="CO164" s="134">
        <f t="shared" si="267"/>
        <v>1</v>
      </c>
      <c r="CP164" s="134">
        <f t="shared" si="268"/>
        <v>0</v>
      </c>
      <c r="CQ164" s="134">
        <f t="shared" si="269"/>
        <v>0</v>
      </c>
      <c r="CR164" s="134">
        <f t="shared" si="270"/>
        <v>0</v>
      </c>
      <c r="CS164" s="134">
        <f t="shared" si="271"/>
        <v>0</v>
      </c>
      <c r="CT164" s="115">
        <f t="shared" si="272"/>
        <v>0</v>
      </c>
      <c r="CU164" s="116">
        <f t="shared" si="273"/>
        <v>0</v>
      </c>
      <c r="CV164" s="116">
        <f t="shared" si="274"/>
        <v>0</v>
      </c>
      <c r="CW164" s="116">
        <f t="shared" si="275"/>
        <v>0</v>
      </c>
      <c r="CX164" s="116">
        <f t="shared" si="276"/>
        <v>0</v>
      </c>
      <c r="CY164" s="116">
        <f t="shared" si="277"/>
        <v>0</v>
      </c>
      <c r="CZ164" s="116">
        <f t="shared" si="278"/>
        <v>0</v>
      </c>
      <c r="DA164" s="116">
        <f t="shared" si="279"/>
        <v>0</v>
      </c>
      <c r="DB164" s="116">
        <f t="shared" si="280"/>
        <v>0</v>
      </c>
      <c r="DC164" s="116">
        <f t="shared" si="281"/>
        <v>0</v>
      </c>
      <c r="DD164" s="116">
        <f t="shared" si="282"/>
        <v>0</v>
      </c>
      <c r="DE164" s="117">
        <f t="shared" si="283"/>
        <v>0</v>
      </c>
      <c r="DF164" s="118">
        <f t="shared" si="286"/>
        <v>12</v>
      </c>
      <c r="DG164" s="106">
        <f t="shared" si="287"/>
        <v>15.760000000000002</v>
      </c>
      <c r="DH164" s="116">
        <f t="shared" si="288"/>
        <v>3</v>
      </c>
      <c r="DI164" s="106">
        <f t="shared" si="289"/>
        <v>14.100000000000001</v>
      </c>
      <c r="DJ164" s="201" t="str">
        <f>IF($D163="","",$D163)</f>
        <v>3</v>
      </c>
      <c r="DK164" s="466"/>
    </row>
    <row r="165" spans="1:115" ht="14.5" customHeight="1" x14ac:dyDescent="0.2">
      <c r="A165" s="390"/>
      <c r="B165" s="457"/>
      <c r="C165" s="135" t="s">
        <v>53</v>
      </c>
      <c r="D165" s="375"/>
      <c r="E165" s="387"/>
      <c r="F165" s="378"/>
      <c r="G165" s="484"/>
      <c r="H165" s="477"/>
      <c r="I165" s="136"/>
      <c r="J165" s="137"/>
      <c r="K165" s="138"/>
      <c r="L165" s="139"/>
      <c r="M165" s="140"/>
      <c r="N165" s="407"/>
      <c r="O165" s="141" t="str">
        <f>IF(OR(AE163="",AE164=""),"",IF(L165&gt;0,ROUND(IF(M165&gt;0,M165,IF(M163&gt;0,ROUND((M163*AE165)/AE163,IF(N163=0,2,IF(N163=0.1,1,0))),IF(M164&gt;0,ROUND((M164*AE165)/AE164,IF(N163=0,2,IF(N163=0.1,1,0))),IF(M165&gt;0,M165,0)))),2),""))</f>
        <v/>
      </c>
      <c r="P165" s="142" t="str">
        <f>IF(I164="Lay",O164*(L164/(L164-1))-O164,IF(I163="Lay",O163*(L163/(L163-1))-O163,IF(OR(L165="",O165=""),"",IF($C165="1/2W",O165/2+O165/2*L165,IF($C165="1/2L",O165/2,(O165*L165-O165)*(1-_xlfn.XLOOKUP(K165,'Fevereiro 2023 - Valor Real'!A3:A15,'Fevereiro 2023 - Valor Real'!C3:C15,0))+O165)))))</f>
        <v/>
      </c>
      <c r="Q165" s="143" t="str">
        <f>IF(K165="","",IF(_xlfn.XLOOKUP(K165,K$8:K158,$DJ$8:DJ158,0,,-1)=DJ165,_xlfn.XLOOKUP(K165,K$8:K158,Q$8:Q158,1,,-1)+1,1))</f>
        <v/>
      </c>
      <c r="R165" s="144" t="str">
        <f>IF(K165="","",_xlfn.XLOOKUP(K165,K$8:K158,R$8:R158,0,,-1)+IF($C165=" ",1,0))</f>
        <v/>
      </c>
      <c r="S165" s="404"/>
      <c r="T165" s="378"/>
      <c r="U165" s="378"/>
      <c r="V165" s="404"/>
      <c r="W165" s="378"/>
      <c r="X165" s="453"/>
      <c r="Y165" s="383"/>
      <c r="Z165" s="384"/>
      <c r="AA165" s="384"/>
      <c r="AB165" s="384"/>
      <c r="AC165" s="384"/>
      <c r="AD165" s="145">
        <f>((L164/(L164-1)-1))</f>
        <v>0.88495575221238942</v>
      </c>
      <c r="AE165" s="146" t="str">
        <f>IF(L165="","",(SUM(((L163-1)*(1-_xlfn.XLOOKUP(K163,'Fevereiro 2023 - Valor Real'!A3:A15,'Fevereiro 2023 - Valor Real'!C3:C15,0))+1),((L164-1)*(1-_xlfn.XLOOKUP(K164,'Fevereiro 2023 - Valor Real'!A3:A15,'Fevereiro 2023 - Valor Real'!C3:C15,0))+1),((L165-1)*(1-_xlfn.XLOOKUP(K165,'Fevereiro 2023 - Valor Real'!A3:A15,'Fevereiro 2023 - Valor Real'!C3:C15,0))+1))/((L165-1)*(1-_xlfn.XLOOKUP(K165,'Fevereiro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Real'!C3:C15,0))+1))/((L163-1)*(1-_xlfn.XLOOKUP(K163,'Fevereiro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Real'!C3:C15,0))+1))/((L164-1)*(1-_xlfn.XLOOKUP(K164,'Fevereiro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Real'!C3:C15,0))+1))/((L165-1)*(1-_xlfn.XLOOKUP(K165,'Fevereiro 2023 - Valor Real'!A3:A15,'Fevereiro 2023 - Valor Real'!C3:C15,0))+1)))</f>
        <v/>
      </c>
      <c r="AF165" s="105">
        <f t="shared" si="336"/>
        <v>0</v>
      </c>
      <c r="AG165" s="106">
        <f t="shared" si="336"/>
        <v>0</v>
      </c>
      <c r="AH165" s="106">
        <f t="shared" si="336"/>
        <v>0</v>
      </c>
      <c r="AI165" s="106">
        <f t="shared" si="336"/>
        <v>0</v>
      </c>
      <c r="AJ165" s="106">
        <f t="shared" si="336"/>
        <v>0</v>
      </c>
      <c r="AK165" s="106">
        <f t="shared" si="336"/>
        <v>0</v>
      </c>
      <c r="AL165" s="106">
        <f t="shared" si="336"/>
        <v>0</v>
      </c>
      <c r="AM165" s="106">
        <f t="shared" si="336"/>
        <v>0</v>
      </c>
      <c r="AN165" s="106">
        <f t="shared" si="336"/>
        <v>0</v>
      </c>
      <c r="AO165" s="106">
        <f t="shared" si="336"/>
        <v>0</v>
      </c>
      <c r="AP165" s="106">
        <f t="shared" si="336"/>
        <v>0</v>
      </c>
      <c r="AQ165" s="106">
        <f t="shared" si="336"/>
        <v>0</v>
      </c>
      <c r="AR165" s="107">
        <f t="shared" si="336"/>
        <v>0</v>
      </c>
      <c r="AS165" s="105">
        <f>IF(AND($B163=" ",$K165=AS$3),$O165,0)</f>
        <v>0</v>
      </c>
      <c r="AT165" s="106">
        <f>IF(AND($B163=" ",K165=AT$3),$O165,0)</f>
        <v>0</v>
      </c>
      <c r="AU165" s="106">
        <f t="shared" ref="AU165:BE165" si="339">IF(AND($B163=" ",$K165=AU$3),$O165,0)</f>
        <v>0</v>
      </c>
      <c r="AV165" s="106">
        <f t="shared" si="339"/>
        <v>0</v>
      </c>
      <c r="AW165" s="106">
        <f t="shared" si="339"/>
        <v>0</v>
      </c>
      <c r="AX165" s="106">
        <f t="shared" si="339"/>
        <v>0</v>
      </c>
      <c r="AY165" s="108">
        <f t="shared" si="339"/>
        <v>0</v>
      </c>
      <c r="AZ165" s="109">
        <f t="shared" si="339"/>
        <v>0</v>
      </c>
      <c r="BA165" s="109">
        <f t="shared" si="339"/>
        <v>0</v>
      </c>
      <c r="BB165" s="109">
        <f t="shared" si="339"/>
        <v>0</v>
      </c>
      <c r="BC165" s="110">
        <f t="shared" si="339"/>
        <v>0</v>
      </c>
      <c r="BD165" s="106">
        <f t="shared" si="339"/>
        <v>0</v>
      </c>
      <c r="BE165" s="107">
        <f t="shared" si="339"/>
        <v>0</v>
      </c>
      <c r="BF165" s="105">
        <f t="shared" si="338"/>
        <v>0</v>
      </c>
      <c r="BG165" s="106">
        <f t="shared" si="338"/>
        <v>0</v>
      </c>
      <c r="BH165" s="106">
        <f t="shared" si="338"/>
        <v>0</v>
      </c>
      <c r="BI165" s="106">
        <f t="shared" si="338"/>
        <v>0</v>
      </c>
      <c r="BJ165" s="106">
        <f t="shared" si="338"/>
        <v>0</v>
      </c>
      <c r="BK165" s="106">
        <f t="shared" si="338"/>
        <v>0</v>
      </c>
      <c r="BL165" s="106">
        <f t="shared" si="338"/>
        <v>0</v>
      </c>
      <c r="BM165" s="108">
        <f t="shared" si="338"/>
        <v>0</v>
      </c>
      <c r="BN165" s="109">
        <f t="shared" si="338"/>
        <v>0</v>
      </c>
      <c r="BO165" s="109">
        <f t="shared" si="338"/>
        <v>0</v>
      </c>
      <c r="BP165" s="109">
        <f t="shared" si="338"/>
        <v>0</v>
      </c>
      <c r="BQ165" s="110">
        <f t="shared" si="338"/>
        <v>0</v>
      </c>
      <c r="BR165" s="107">
        <f t="shared" si="338"/>
        <v>0</v>
      </c>
      <c r="BS165" s="464"/>
      <c r="BT165" s="461"/>
      <c r="BU165" s="392"/>
      <c r="BV165" s="461"/>
      <c r="BW165" s="392"/>
      <c r="BX165" s="392"/>
      <c r="BY165" s="392"/>
      <c r="BZ165" s="461"/>
      <c r="CA165" s="392"/>
      <c r="CB165" s="392"/>
      <c r="CC165" s="392"/>
      <c r="CD165" s="401"/>
      <c r="CE165" s="409"/>
      <c r="CF165" s="133">
        <f t="shared" si="258"/>
        <v>0</v>
      </c>
      <c r="CG165" s="134">
        <f t="shared" si="259"/>
        <v>0</v>
      </c>
      <c r="CH165" s="134">
        <f t="shared" si="260"/>
        <v>0</v>
      </c>
      <c r="CI165" s="134">
        <f t="shared" si="261"/>
        <v>0</v>
      </c>
      <c r="CJ165" s="134">
        <f t="shared" si="262"/>
        <v>0</v>
      </c>
      <c r="CK165" s="134">
        <f t="shared" si="263"/>
        <v>0</v>
      </c>
      <c r="CL165" s="134">
        <f t="shared" si="264"/>
        <v>0</v>
      </c>
      <c r="CM165" s="134">
        <f t="shared" si="265"/>
        <v>0</v>
      </c>
      <c r="CN165" s="134">
        <f t="shared" si="266"/>
        <v>0</v>
      </c>
      <c r="CO165" s="134">
        <f t="shared" si="267"/>
        <v>0</v>
      </c>
      <c r="CP165" s="134">
        <f t="shared" si="268"/>
        <v>0</v>
      </c>
      <c r="CQ165" s="134">
        <f t="shared" si="269"/>
        <v>0</v>
      </c>
      <c r="CR165" s="134">
        <f t="shared" si="270"/>
        <v>0</v>
      </c>
      <c r="CS165" s="134">
        <f t="shared" si="271"/>
        <v>0</v>
      </c>
      <c r="CT165" s="115">
        <f t="shared" si="272"/>
        <v>0</v>
      </c>
      <c r="CU165" s="116">
        <f t="shared" si="273"/>
        <v>0</v>
      </c>
      <c r="CV165" s="116">
        <f t="shared" si="274"/>
        <v>0</v>
      </c>
      <c r="CW165" s="116">
        <f t="shared" si="275"/>
        <v>0</v>
      </c>
      <c r="CX165" s="116">
        <f t="shared" si="276"/>
        <v>0</v>
      </c>
      <c r="CY165" s="116">
        <f t="shared" si="277"/>
        <v>0</v>
      </c>
      <c r="CZ165" s="116">
        <f t="shared" si="278"/>
        <v>0</v>
      </c>
      <c r="DA165" s="116">
        <f t="shared" si="279"/>
        <v>0</v>
      </c>
      <c r="DB165" s="116">
        <f t="shared" si="280"/>
        <v>0</v>
      </c>
      <c r="DC165" s="116">
        <f t="shared" si="281"/>
        <v>0</v>
      </c>
      <c r="DD165" s="116">
        <f t="shared" si="282"/>
        <v>0</v>
      </c>
      <c r="DE165" s="117">
        <f t="shared" si="283"/>
        <v>0</v>
      </c>
      <c r="DF165" s="118">
        <f t="shared" si="286"/>
        <v>12</v>
      </c>
      <c r="DG165" s="106">
        <f t="shared" si="287"/>
        <v>15.760000000000002</v>
      </c>
      <c r="DH165" s="116">
        <f t="shared" si="288"/>
        <v>3</v>
      </c>
      <c r="DI165" s="106">
        <f t="shared" si="289"/>
        <v>14.100000000000001</v>
      </c>
      <c r="DJ165" s="201" t="str">
        <f>IF($D163="","",$D163)</f>
        <v>3</v>
      </c>
      <c r="DK165" s="466"/>
    </row>
    <row r="166" spans="1:115" ht="14.5" customHeight="1" x14ac:dyDescent="0.2">
      <c r="A166" s="487">
        <f>$A163+1</f>
        <v>55</v>
      </c>
      <c r="B166" s="506" t="str">
        <f>IF(OR(C166="W",C167="W",C168="W",C166="1/2W",C167="1/2W",C168="1/2W",C166="1/2L",C167="1/2L",C168="1/2L"),"OK",IF(OR(C166="L",C167="L",C168="L"),"LOSS",IF(OR(C166="X",C167="X",C168="X"),"Anulado"," ")))</f>
        <v>OK</v>
      </c>
      <c r="C166" s="147" t="s">
        <v>54</v>
      </c>
      <c r="D166" s="494" t="str">
        <f>IF(G166="","",$D163)</f>
        <v>3</v>
      </c>
      <c r="E166" s="511" t="str">
        <f>IF(G166=""," ","– "&amp;COUNTIF(D$4:D168,$D166))</f>
        <v>– 12</v>
      </c>
      <c r="F166" s="510" t="str">
        <f ca="1">IF(G166="","",IF(OR(AND($C166&lt;&gt;" ",$C167=" "),AND($C167&lt;&gt;" ",$C166=" "),AND(L168&gt;0,OR(AND($C168&lt;&gt;" ",OR($C166=" ",$C167=" ")),AND($C168=" ",OR($C166&lt;&gt;" ",$C167&lt;&gt;" "))))),IF(SUM(F$9:F158)=0,1,LARGE(F$9:F158,1)+1),IF(MONTH(G166)=MONTH(TODAY()),IF(AND(DAY(G166)&lt;DAY(TODAY()),$B166=" "),IF(SUM(F$9:F158)=0,1,LARGE(F$9:F158,1)+1),IF($B166=" ",IF(AND(DAY(G166)=DAY(TODAY()),HOUR(G166)&lt;=HOUR(NOW())+1),IF(AND(HOUR(G166)+2&lt;=HOUR(NOW()),DAY(G166)&lt;=DAY(TODAY()),MINUTE(G166)&lt;=MINUTE(NOW())),IF(SUM(F$9:F158)=0,1,LARGE(F$9:F158,1)+1),IF(OR(MINUTE(G166)&lt;=MINUTE(NOW()),HOUR(G166)&lt;=HOUR(NOW())),"!!!","")),""),"")),"")))</f>
        <v/>
      </c>
      <c r="G166" s="508">
        <v>44988.25</v>
      </c>
      <c r="H166" s="502" t="s">
        <v>101</v>
      </c>
      <c r="I166" s="180" t="s">
        <v>51</v>
      </c>
      <c r="J166" s="181">
        <v>3.5</v>
      </c>
      <c r="K166" s="150" t="s">
        <v>37</v>
      </c>
      <c r="L166" s="151">
        <v>4</v>
      </c>
      <c r="M166" s="152">
        <v>4.8099999999999996</v>
      </c>
      <c r="N166" s="503">
        <v>0</v>
      </c>
      <c r="O166" s="153">
        <f>IF(OR(AE166="",AE167=""),"",ROUND(IF(L168&gt;0,IF(M166&gt;0,M166,IF(M167&gt;0,ROUND((M167*AE166)/AE167,IF(N166=0,2,IF(N166=0.1,1,0))),ROUND((M168*AE166)/AE168,IF(N166=0,2,IF(N166=0.1,1,0))))),IF(M166&gt;0,M166,ROUND((M167*AE166)/AE167,IF(N166=0,2,IF(N166=0.1,1,0))))),2))</f>
        <v>4.8099999999999996</v>
      </c>
      <c r="P166" s="154">
        <f>IF(OR(L166="",O166=""),"",IF($C166="1/2W",O166/2+O166/2*L166,IF($C166="1/2L",O166/2,IF(I166="Lay",(O166*(L166/(L166-1))-O166)*(1-_xlfn.XLOOKUP(K166,'Fevereiro 2023 - Valor Real'!A3:A15,'Fevereiro 2023 - Valor Real'!C3:C15,0))+O166,(O166*L166-O166)*(1-_xlfn.XLOOKUP(K166,'Fevereiro 2023 - Valor Real'!A3:A15,'Fevereiro 2023 - Valor Real'!C3:C15,0))+O166))))</f>
        <v>19.239999999999998</v>
      </c>
      <c r="Q166" s="155">
        <f>IF(K166="","",IF(_xlfn.XLOOKUP(K166,K$9:K158,$DJ$9:DJ158,0,,-1)=DJ166,_xlfn.XLOOKUP(K166,K$9:K158,Q$9:Q158,1,,-1)+1,1))</f>
        <v>4</v>
      </c>
      <c r="R166" s="156">
        <f>IF(K166="","",_xlfn.XLOOKUP(K166,K$9:K158,R$9:R158,0,,-1)+IF($C166=" ",1,0))</f>
        <v>0</v>
      </c>
      <c r="S166" s="501">
        <f>IF($B166="Anulado",0,ROUND(IF(OR($B166="LOSS",$B166="OK"),IF(OR($C166="W",$C166="1/2W",$C166="1/2L"),P166-O166,IF($C166="L",-O166,0))+IF(OR($C167="W",$C167="1/2W",$C167="1/2L"),P167-O167,IF($C167="L",-O167,0))+IF(OR($C168="W",$C168="1/2W",$C168="1/2L"),P168-O168,IF($C168="L",-O168,0)),IF(AND(OR($C166="W",$C166="1/2W",$C166="1/2L"),C167="W"),P166+P167-SUM(O166:O168)+_xlfn.XLOOKUP("X",C166:C168,O166:O168,0),IF(AND(C166=TRUE,C168="W"),P166+P168-SUM(O166:O168),IF(AND(C167="W",C168="W"),P167+P168-SUM(O166:O168)+_xlfn.XLOOKUP("X",C166:C168,O166:O168,0),IF(L168&gt;0,IF(OR($C166="W",$C166="1/2W",$C166="1/2L"),P166-SUM(O166:O168)+_xlfn.XLOOKUP("X",C166:C168,O166:O168,0),IF(OR($C166="W",$C166="1/2W",$C166="1/2L"),P167-SUM(O166:O168)+_xlfn.XLOOKUP("X",C166:C168,O166:O168,0),IF(OR($C166="W",$C166="1/2W",$C166="1/2L"),P168-SUM(O166:O168)+_xlfn.XLOOKUP("X",C166:C168,O166:O168,0),IF(SUM(P166:P168)/3-SUM(O166:O168)+_xlfn.XLOOKUP("X",C166:C168,O166:O168,0)&gt;0,SUM(P166:P168)/3-SUM(O166:O168)+_xlfn.XLOOKUP("X",C166:C168,O166:O168,0),LARGE(P166:P168,1)-SUM(O166:O168))))),IF(OR($C166="W",$C166="1/2W",$C166="1/2L"),P166-SUM(O166:O167)+_xlfn.XLOOKUP("X",C166:C168,O166:O168,0),IF(OR($C166="W",$C166="1/2W",$C166="1/2L"),P167-SUM(O166:O167)+_xlfn.XLOOKUP("X",C166:C168,O166:O168,0),SUM(P166:P167)/2-SUM(O166:O167)+_xlfn.XLOOKUP("X",C166:C168,O166:O168,0)))))))),2))</f>
        <v>3.11</v>
      </c>
      <c r="T166" s="486">
        <f>IF(S166=0,0,S166/SUM(O166:O168))</f>
        <v>0.19280843149411037</v>
      </c>
      <c r="U166" s="496">
        <f>IF($D166=$D163,IF(OR($B166="LOSS",$B166="OK",$B166="Anulada"),S166,0)+U163,IF(OR($B166="LOSS",$B166="OK",$B166="Anulada"),S166,0))</f>
        <v>26.009999999999998</v>
      </c>
      <c r="V166" s="496">
        <f>IF($D166="",0,IF($D166=$D163,IF($B166=" ",IF(I168="",IF(OR(AND(I166="DNB1",I167="DNB2"),AND(OR(I166="DNB1",I166="DNB2"),J167=0),AND(OR(I167="DNB1",I167="DNB2"),J166=0),AND(I166="DNB2",I167="DNB1"),AND(IF(J166=0,(J166+1)/ROUND(J166+1,0),J166/ROUND(J166,0))=1,IF(J167=0,(J167+1)/ROUND(IF(J167="",0,J167)+1,0),IF(J167="",0,J167)/ROUND(IF(J167="",1,J167),0))=1,OR(J166&lt;&gt;""),J167&lt;&gt;"")),0,IF(S166&lt;0,IF(I168="",SMALL(P166:P167,1)-SUM(O166:O167),0),SMALL(P166:P167,1)-SUM(O166:O167))),IF(S166&lt;0,IF(I168="",SMALL(P166:P168,1)-SUM(O166:O168),0),LARGE(P166:P168,1)-SUM(O166:O168))),S166)+V163,IF(I168="",IF(OR(AND(I166="DNB1",I167="DNB2"),AND(OR(I166="DNB1",I166="DNB2"),J167=0),AND(OR(I167="DNB1",I167="DNB2"),J166=0),AND(I166="DNB2",I167="DNB1"),AND(IF(J166=0,(J166+1)/ROUND(J166+1,0),J166/ROUND(J166,0))=1,IF(J167=0,(IF(J167="",0,J167)+1)/ROUND(IF(J167="",0,J167)+1,0),IF(J167="",0,J167)/ROUND(IF(J167="",0,J167)+1,0))=1,OR(J166&lt;&gt;""),J167&lt;&gt;"")),0,IF(S166&lt;0,IF(I168="",SMALL(P166:P167,1)-SUM(O166:O167),0),SMALL(P166:P168,1)-SUM(O166:O168))),IF(S166&lt;0,IF(I168="",SMALL(P166:P168,1)-SUM(O166:O168),0),LARGE(P166:P168,1)-SUM(O166:O168)))))</f>
        <v>26</v>
      </c>
      <c r="W166" s="496">
        <f>IF($D166=$D163,IF(S166&lt;0,IF(I168="",S166,0),S166)+W163,S166)</f>
        <v>26.009999999999998</v>
      </c>
      <c r="X166" s="505" t="str">
        <f>IF(OR(SUM(R166:R168)=0,V166=W166),ROUND(IF(W166=0,0,W166/Y166)*100,2)&amp;"%",ROUND(IF(V166=0,0,V166/Y166)*100,2)&amp;"% a "&amp;ROUND(IF(W166=0,0,W166/Y166)*100,2)&amp;"%")</f>
        <v>4,78%</v>
      </c>
      <c r="Y166" s="497">
        <f>IF($D166=$D163,Y163+SUM(O166:O168),SUM(O166:O168))</f>
        <v>544.63</v>
      </c>
      <c r="Z166" s="496">
        <f>IF($B166=" ",SUM(O166:O168),0)+Z163</f>
        <v>0</v>
      </c>
      <c r="AA166" s="496">
        <f>IF(G166="","",IF($B166="Anulado",LARGE(P166:P168,1)-SUM(O166:O168)+AA163,AA163))</f>
        <v>1.4607999999999972</v>
      </c>
      <c r="AB166" s="496">
        <f>IF($D166="","",AB163+S166)</f>
        <v>136.86999999999998</v>
      </c>
      <c r="AC166" s="499">
        <f ca="1">IF($D166="","",IF($B166=" ",IF(DAY(G166)=DAY(TODAY()),1+AC163,0+AC163),0+AC163))</f>
        <v>0</v>
      </c>
      <c r="AD166" s="157">
        <f>(1-_xlfn.XLOOKUP(K164,'Fevereiro 2023 - Valor Real'!A3:A15,'Fevereiro 2023 - Valor Real'!C3:C15,0))+1</f>
        <v>2</v>
      </c>
      <c r="AE166" s="158">
        <f>IF(L166="","",IF(L168&gt;0,(SUM(((L166-1)*(1-_xlfn.XLOOKUP(K166,'Fevereiro 2023 - Valor Real'!A3:A15,'Fevereiro 2023 - Valor Real'!C3:C15,0))+1),((L167-1)*(1-_xlfn.XLOOKUP(K167,'Fevereiro 2023 - Valor Real'!A3:A15,'Fevereiro 2023 - Valor Real'!C3:C15,0))+1),((L168-1)*(1-_xlfn.XLOOKUP(K168,'Fevereiro 2023 - Valor Real'!A3:A15,'Fevereiro 2023 - Valor Real'!C3:C15,0))+1))/((L166-1)*(1-_xlfn.XLOOKUP(K166,'Fevereiro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Real'!C3:C15,0))+1))/((L166-1)*(1-_xlfn.XLOOKUP(K166,'Fevereiro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Real'!C3:C15,0))+1))/((L167-1)*(1-_xlfn.XLOOKUP(K167,'Fevereiro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Real'!C3:C15,0))+1))/((L168-1)*(1-_xlfn.XLOOKUP(K168,'Fevereiro 2023 - Valor Real'!A3:A15,'Fevereiro 2023 - Valor Real'!C3:C15,0))+1)),IF(I166="Lay",IF(I167="Lay",((L167/(L167-1)-1)*(1-_xlfn.XLOOKUP(K167,'Fevereiro 2023 - Valor Real'!A3:A15,'Fevereiro 2023 - Valor Real'!C3:C15,0))+1)/(((L167/(L167-1)-1)*(1-_xlfn.XLOOKUP(K167,'Fevereiro 2023 - Valor Real'!A3:A15,'Fevereiro 2023 - Valor Real'!C3:C15,0))+1)+((L166/(L166-1)-1)*(1-_xlfn.XLOOKUP(K166,'Fevereiro 2023 - Valor Real'!A3:A15,'Fevereiro 2023 - Valor Real'!C3:C15,0))+1)),((L167-1)*(1-_xlfn.XLOOKUP(K167,'Fevereiro 2023 - Valor Real'!A3:A15,'Fevereiro 2023 - Valor Real'!C3:C15,0))+1)/(((L167-1)*(1-_xlfn.XLOOKUP(K167,'Fevereiro 2023 - Valor Real'!A3:A15,'Fevereiro 2023 - Valor Real'!C3:C15,0))+1)+((L166/(L166-1)-1)*(1-_xlfn.XLOOKUP(K166,'Fevereiro 2023 - Valor Real'!A3:A15,'Fevereiro 2023 - Valor Real'!C3:C15,0))+1))),IF(I167="Lay",(((L167/(L167-1)-1)*(1-_xlfn.XLOOKUP(K167,'Fevereiro 2023 - Valor Real'!A3:A15,'Fevereiro 2023 - Valor Real'!C3:C15,0))+1))/(((L166-1)*(1-_xlfn.XLOOKUP(K166,'Fevereiro 2023 - Valor Real'!A3:A15,'Fevereiro 2023 - Valor Real'!C3:C15,0))+1)+((L167/(L167-1)-1)*(1-_xlfn.XLOOKUP(K167,'Fevereiro 2023 - Valor Real'!A3:A15,'Fevereiro 2023 - Valor Real'!C3:C15,0))+1)),((L167-1)*(1-_xlfn.XLOOKUP(K167,'Fevereiro 2023 - Valor Real'!A3:A15,'Fevereiro 2023 - Valor Real'!C3:C15,0))+1)/(((L167-1)*(1-_xlfn.XLOOKUP(K167,'Fevereiro 2023 - Valor Real'!A3:A15,'Fevereiro 2023 - Valor Real'!C3:C15,0))+1)+((L166-1)*(1-_xlfn.XLOOKUP(K166,'Fevereiro 2023 - Valor Real'!A3:A15,'Fevereiro 2023 - Valor Real'!C3:C15,0))+1))))))</f>
        <v>0.29812247762765398</v>
      </c>
      <c r="AF166" s="66">
        <f t="shared" si="336"/>
        <v>0</v>
      </c>
      <c r="AG166" s="67">
        <f t="shared" si="336"/>
        <v>14.43</v>
      </c>
      <c r="AH166" s="67">
        <f t="shared" si="336"/>
        <v>0</v>
      </c>
      <c r="AI166" s="67">
        <f t="shared" si="336"/>
        <v>0</v>
      </c>
      <c r="AJ166" s="67">
        <f t="shared" si="336"/>
        <v>0</v>
      </c>
      <c r="AK166" s="67">
        <f t="shared" si="336"/>
        <v>0</v>
      </c>
      <c r="AL166" s="67">
        <f t="shared" si="336"/>
        <v>0</v>
      </c>
      <c r="AM166" s="67">
        <f t="shared" si="336"/>
        <v>0</v>
      </c>
      <c r="AN166" s="67">
        <f t="shared" si="336"/>
        <v>0</v>
      </c>
      <c r="AO166" s="67">
        <f t="shared" si="336"/>
        <v>0</v>
      </c>
      <c r="AP166" s="67">
        <f t="shared" si="336"/>
        <v>0</v>
      </c>
      <c r="AQ166" s="67">
        <f t="shared" si="336"/>
        <v>0</v>
      </c>
      <c r="AR166" s="68">
        <f t="shared" si="336"/>
        <v>0</v>
      </c>
      <c r="AS166" s="66">
        <f t="shared" ref="AS166:BE166" si="340">IF(AND($B166=" ",$K166=AS$3),$O166,0)</f>
        <v>0</v>
      </c>
      <c r="AT166" s="67">
        <f t="shared" si="340"/>
        <v>0</v>
      </c>
      <c r="AU166" s="67">
        <f t="shared" si="340"/>
        <v>0</v>
      </c>
      <c r="AV166" s="67">
        <f t="shared" si="340"/>
        <v>0</v>
      </c>
      <c r="AW166" s="67">
        <f t="shared" si="340"/>
        <v>0</v>
      </c>
      <c r="AX166" s="67">
        <f t="shared" si="340"/>
        <v>0</v>
      </c>
      <c r="AY166" s="69">
        <f t="shared" si="340"/>
        <v>0</v>
      </c>
      <c r="AZ166" s="70">
        <f t="shared" si="340"/>
        <v>0</v>
      </c>
      <c r="BA166" s="70">
        <f t="shared" si="340"/>
        <v>0</v>
      </c>
      <c r="BB166" s="70">
        <f t="shared" si="340"/>
        <v>0</v>
      </c>
      <c r="BC166" s="71">
        <f t="shared" si="340"/>
        <v>0</v>
      </c>
      <c r="BD166" s="67">
        <f t="shared" si="340"/>
        <v>0</v>
      </c>
      <c r="BE166" s="68">
        <f t="shared" si="340"/>
        <v>0</v>
      </c>
      <c r="BF166" s="66">
        <f t="shared" si="338"/>
        <v>0</v>
      </c>
      <c r="BG166" s="67">
        <f t="shared" si="338"/>
        <v>4.8099999999999996</v>
      </c>
      <c r="BH166" s="67">
        <f t="shared" si="338"/>
        <v>0</v>
      </c>
      <c r="BI166" s="67">
        <f t="shared" si="338"/>
        <v>0</v>
      </c>
      <c r="BJ166" s="67">
        <f t="shared" si="338"/>
        <v>0</v>
      </c>
      <c r="BK166" s="67">
        <f t="shared" si="338"/>
        <v>0</v>
      </c>
      <c r="BL166" s="67">
        <f t="shared" si="338"/>
        <v>0</v>
      </c>
      <c r="BM166" s="69">
        <f t="shared" si="338"/>
        <v>0</v>
      </c>
      <c r="BN166" s="70">
        <f t="shared" si="338"/>
        <v>0</v>
      </c>
      <c r="BO166" s="70">
        <f t="shared" si="338"/>
        <v>0</v>
      </c>
      <c r="BP166" s="70">
        <f t="shared" si="338"/>
        <v>0</v>
      </c>
      <c r="BQ166" s="71">
        <f t="shared" si="338"/>
        <v>0</v>
      </c>
      <c r="BR166" s="68">
        <f t="shared" si="338"/>
        <v>0</v>
      </c>
      <c r="BS166" s="490">
        <f>IF($B166="LOSS",IF(AND($K166=BS$3,$C166="L"),-$O166,0)+IF(AND($K167=BS$3,$C167="L"),-$O167,0)+IF(AND($K168=BS$3,$C168="L"),-$O168,0),IF(OR(AND($K166=BS$3,OR($C166="W",$C166="1/2W")),AND($K167=BS$3,OR($C167="W",$C167="1/2W")),AND($K168=BS$3,OR($C168="W",$C168="1/2W"))),$S166,0))</f>
        <v>0</v>
      </c>
      <c r="BT166" s="498">
        <f>IF($B166="LOSS",IF(AND($K166=BT$3,$C166="L"),-$O166,0)+IF(AND($K167=BT$3,$C167="L"),-$O167,0)+IF(AND($K167=BT$3,$C168="L"),-$O168,0),IF(OR(AND($K167=BT$3,OR($C166="W",$C166="1/2W")),AND($K167=BT$3,OR($C167="W",$C167="1/2W")),AND($K167=BT$3,OR($C168="W",$C168="1/2W"))),$S166,0))</f>
        <v>0</v>
      </c>
      <c r="BU166" s="488">
        <f>IF($B166="LOSS",IF(AND($K166=BU$3,$C166="L"),-$O166,0)+IF(AND($K167=BU$3,$C167="L"),-$O167,0)+IF(AND($K167=BU$3,$C168="L"),-$O168,0),IF(OR(AND($K167=BU$3,OR($C166="W",$C166="1/2W")),AND($K167=BU$3,OR($C167="W",$C167="1/2W")),AND($K167=BU$3,OR($C168="W",$C168="1/2W"))),$S166,0))</f>
        <v>0</v>
      </c>
      <c r="BV166" s="488">
        <f t="shared" ref="BV166:CE166" si="341">IF($B166="LOSS",IF(AND($K166=BV$3,$C166="L"),-$O166,0)+IF(AND($K167=BV$3,$C167="L"),-$O167,0)+IF(AND($K168=BV$3,$C168="L"),-$O168,0),IF(OR(AND($K166=BV$3,OR($C166="W",$C166="1/2W")),AND($K167=BV$3,OR($C167="W",$C167="1/2W")),AND($K168=BV$3,OR($C168="W",$C168="1/2W"))),$S166,0))</f>
        <v>0</v>
      </c>
      <c r="BW166" s="488">
        <f t="shared" si="341"/>
        <v>0</v>
      </c>
      <c r="BX166" s="488">
        <f t="shared" si="341"/>
        <v>0</v>
      </c>
      <c r="BY166" s="488">
        <f t="shared" si="341"/>
        <v>0</v>
      </c>
      <c r="BZ166" s="488">
        <f t="shared" si="341"/>
        <v>0</v>
      </c>
      <c r="CA166" s="488">
        <f t="shared" si="341"/>
        <v>0</v>
      </c>
      <c r="CB166" s="488">
        <f t="shared" si="341"/>
        <v>0</v>
      </c>
      <c r="CC166" s="488">
        <f t="shared" si="341"/>
        <v>0</v>
      </c>
      <c r="CD166" s="500">
        <f t="shared" si="341"/>
        <v>0</v>
      </c>
      <c r="CE166" s="504">
        <f t="shared" si="341"/>
        <v>0</v>
      </c>
      <c r="CF166" s="160">
        <f t="shared" si="258"/>
        <v>0</v>
      </c>
      <c r="CG166" s="161">
        <f t="shared" si="259"/>
        <v>0</v>
      </c>
      <c r="CH166" s="161">
        <f t="shared" si="260"/>
        <v>1</v>
      </c>
      <c r="CI166" s="161">
        <f t="shared" si="261"/>
        <v>0</v>
      </c>
      <c r="CJ166" s="161">
        <f t="shared" si="262"/>
        <v>0</v>
      </c>
      <c r="CK166" s="161">
        <f t="shared" si="263"/>
        <v>0</v>
      </c>
      <c r="CL166" s="161">
        <f t="shared" si="264"/>
        <v>0</v>
      </c>
      <c r="CM166" s="161">
        <f t="shared" si="265"/>
        <v>0</v>
      </c>
      <c r="CN166" s="161">
        <f t="shared" si="266"/>
        <v>0</v>
      </c>
      <c r="CO166" s="161">
        <f t="shared" si="267"/>
        <v>0</v>
      </c>
      <c r="CP166" s="161">
        <f t="shared" si="268"/>
        <v>0</v>
      </c>
      <c r="CQ166" s="161">
        <f t="shared" si="269"/>
        <v>0</v>
      </c>
      <c r="CR166" s="161">
        <f t="shared" si="270"/>
        <v>0</v>
      </c>
      <c r="CS166" s="161">
        <f t="shared" si="271"/>
        <v>0</v>
      </c>
      <c r="CT166" s="75">
        <f t="shared" si="272"/>
        <v>0</v>
      </c>
      <c r="CU166" s="76">
        <f t="shared" si="273"/>
        <v>0</v>
      </c>
      <c r="CV166" s="76">
        <f t="shared" si="274"/>
        <v>0</v>
      </c>
      <c r="CW166" s="76">
        <f t="shared" si="275"/>
        <v>0</v>
      </c>
      <c r="CX166" s="76">
        <f t="shared" si="276"/>
        <v>0</v>
      </c>
      <c r="CY166" s="76">
        <f t="shared" si="277"/>
        <v>0</v>
      </c>
      <c r="CZ166" s="76">
        <f t="shared" si="278"/>
        <v>0</v>
      </c>
      <c r="DA166" s="76">
        <f t="shared" si="279"/>
        <v>0</v>
      </c>
      <c r="DB166" s="76">
        <f t="shared" si="280"/>
        <v>0</v>
      </c>
      <c r="DC166" s="76">
        <f t="shared" si="281"/>
        <v>0</v>
      </c>
      <c r="DD166" s="76">
        <f t="shared" si="282"/>
        <v>0</v>
      </c>
      <c r="DE166" s="77">
        <f t="shared" si="283"/>
        <v>0</v>
      </c>
      <c r="DF166" s="73">
        <f t="shared" si="286"/>
        <v>12</v>
      </c>
      <c r="DG166" s="67">
        <f t="shared" si="287"/>
        <v>15.760000000000002</v>
      </c>
      <c r="DH166" s="76">
        <f t="shared" si="288"/>
        <v>4</v>
      </c>
      <c r="DI166" s="67">
        <f t="shared" si="289"/>
        <v>18.100000000000001</v>
      </c>
      <c r="DJ166" s="202" t="str">
        <f>IF($D166="","",$D166)</f>
        <v>3</v>
      </c>
      <c r="DK166" s="492">
        <f>IF(AND($B166=" ",$D166&lt;&gt;""),1,0)</f>
        <v>0</v>
      </c>
    </row>
    <row r="167" spans="1:115" ht="14.5" customHeight="1" x14ac:dyDescent="0.2">
      <c r="A167" s="389"/>
      <c r="B167" s="456"/>
      <c r="C167" s="53" t="s">
        <v>55</v>
      </c>
      <c r="D167" s="374"/>
      <c r="E167" s="386"/>
      <c r="F167" s="377"/>
      <c r="G167" s="508"/>
      <c r="H167" s="476"/>
      <c r="I167" s="182" t="s">
        <v>52</v>
      </c>
      <c r="J167" s="56">
        <f>IF(OR(I166="TO",I166="TU",I166="TO1",I166="TU1",I166="TO2",I166="TU2"),J166,IF(OR(I166="AH1",I166="AH2"),IF(OR(I167="AH1",I167="AH2"),-J166,IF(OR(I167="EH1",I167="EH2"),-J166+0.5,"")),IF(OR(I166="EH1",I166="EH2"),IF(OR(I167="AH1",I167="AH2"),-J166+0.5,IF(OR(I167="EH1",I167="EH2"),-J166+1,"")),IF(AND(OR(I166="DNB1",I166="DNB2"),OR(I167="AH1",I167="AH2")),0,IF(AND(I166="Not ScoreBoth",OR(I167="TO1",I167="TO2")),0.5,"")))))</f>
        <v>3.5</v>
      </c>
      <c r="K167" s="57" t="s">
        <v>43</v>
      </c>
      <c r="L167" s="164">
        <v>1.6990000000000001</v>
      </c>
      <c r="M167" s="165"/>
      <c r="N167" s="406"/>
      <c r="O167" s="60">
        <f>IF(OR(AE166="",AE167=""),"",ROUND(IF(L168&gt;0,IF(M167&gt;0,M167,IF(M166&gt;0,IF(N166=TRUE,ROUND((M166*AE167)/AE166,0),(M166*AE167)/AE166),IF(M167&gt;0,ROUND(M167,IF(N166=0,2,IF(N166=0.1,1,0))),IF(M168&gt;0,ROUND(O168*AE167/AE168,IF(N166=0,2,IF(N166=0.1,1,0))),0)))),IF(M167&gt;0,M167,ROUND((M166*AE167)/AE166,IF(N166=0,2,IF(N166=0.1,1,0))))),2))</f>
        <v>11.32</v>
      </c>
      <c r="P167" s="61">
        <f>IF(OR(L167="",O167=""),"",IF($C167="1/2W",O167/2+O167/2*L167,IF($C167="1/2L",O167/2,IF(I167="Lay",((O167*(L167/(L167-1)))-O167)*(1-_xlfn.XLOOKUP(K167,'Fevereiro 2023 - Valor Real'!A3:A15,'Fevereiro 2023 - Valor Real'!C3:C15,0))+O167,(O167*L167-O167)*(1-_xlfn.XLOOKUP(K167,'Fevereiro 2023 - Valor Real'!A3:A15,'Fevereiro 2023 - Valor Real'!C3:C15,0))+O167))))</f>
        <v>19.232680000000002</v>
      </c>
      <c r="Q167" s="166">
        <f>IF(K167="","",IF(_xlfn.XLOOKUP(K167,K$10:K158,$DJ$10:DJ158,0,,-1)=DJ167,_xlfn.XLOOKUP(K167,K$10:K158,Q$10:Q158,1,,-1)+1,1))</f>
        <v>3</v>
      </c>
      <c r="R167" s="167">
        <f>IF(K167="","",_xlfn.XLOOKUP(K167,K$10:K158,R$10:R158,0,,-1)+IF($C167=" ",1,0))</f>
        <v>0</v>
      </c>
      <c r="S167" s="403"/>
      <c r="T167" s="380"/>
      <c r="U167" s="380"/>
      <c r="V167" s="481"/>
      <c r="W167" s="380"/>
      <c r="X167" s="452"/>
      <c r="Y167" s="383"/>
      <c r="Z167" s="384"/>
      <c r="AA167" s="384"/>
      <c r="AB167" s="384"/>
      <c r="AC167" s="384"/>
      <c r="AD167" s="64"/>
      <c r="AE167" s="65">
        <f>IF(L167="","",IF(L168&gt;0,(SUM(((L166-1)*(1-_xlfn.XLOOKUP(K166,'Fevereiro 2023 - Valor Real'!A3:A15,'Fevereiro 2023 - Valor Real'!C3:C15,0))+1),((L167-1)*(1-_xlfn.XLOOKUP(K167,'Fevereiro 2023 - Valor Real'!A3:A15,'Fevereiro 2023 - Valor Real'!C3:C15,0))+1),((L168-1)*(1-_xlfn.XLOOKUP(K168,'Fevereiro 2023 - Valor Real'!A3:A15,'Fevereiro 2023 - Valor Real'!C3:C15,0))+1))/((L167-1)*(1-_xlfn.XLOOKUP(K167,'Fevereiro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Real'!C3:C15,0))+1))/((L166-1)*(1-_xlfn.XLOOKUP(K166,'Fevereiro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Real'!C3:C15,0))+1))/((L167-1)*(1-_xlfn.XLOOKUP(K167,'Fevereiro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Real'!C3:C15,0))+1))/((L168-1)*(1-_xlfn.XLOOKUP(K168,'Fevereiro 2023 - Valor Real'!A3:A15,'Fevereiro 2023 - Valor Real'!C3:C15,0))+1)),IF(I167="Lay",IF(I166="Lay",((L166/(L166-1)-1)*(1-_xlfn.XLOOKUP(K166,'Fevereiro 2023 - Valor Real'!A3:A15,'Fevereiro 2023 - Valor Real'!C3:C15,0))+1)/(((L166/(L166-1)-1)*(1-_xlfn.XLOOKUP(K166,'Fevereiro 2023 - Valor Real'!A3:A15,'Fevereiro 2023 - Valor Real'!C3:C15,0))+1)+((L167/(L167-1)-1)*(1-_xlfn.XLOOKUP(K167,'Fevereiro 2023 - Valor Real'!A3:A15,'Fevereiro 2023 - Valor Real'!C3:C15,0))+1)),((L166-1)*(1-_xlfn.XLOOKUP(K166,'Fevereiro 2023 - Valor Real'!A3:A15,'Fevereiro 2023 - Valor Real'!C3:C15,0))+1)/(((L166-1)*(1-_xlfn.XLOOKUP(K166,'Fevereiro 2023 - Valor Real'!A3:A15,'Fevereiro 2023 - Valor Real'!C3:C15,0))+1)+((L167/(L167-1)-1)*(1-_xlfn.XLOOKUP(K167,'Fevereiro 2023 - Valor Real'!A3:A15,'Fevereiro 2023 - Valor Real'!C3:C15,0))+1))),IF(I166="Lay",((L166/(L166-1)-1)*(1-_xlfn.XLOOKUP(K166,'Fevereiro 2023 - Valor Real'!A3:A15,'Fevereiro 2023 - Valor Real'!C3:C15,0))+1)/((((L166/(L166-1)-1)*(1-_xlfn.XLOOKUP(K166,'Fevereiro 2023 - Valor Real'!A3:A15,'Fevereiro 2023 - Valor Real'!C3:C15,0))+1))+((L167-1)*(1-_xlfn.XLOOKUP(K167,'Fevereiro 2023 - Valor Real'!A3:A15,'Fevereiro 2023 - Valor Real'!C3:C15,0))+1)),((L166-1)*(1-_xlfn.XLOOKUP(K166,'Fevereiro 2023 - Valor Real'!A3:A15,'Fevereiro 2023 - Valor Real'!C3:C15,0))+1)/(((L166-1)*(1-_xlfn.XLOOKUP(K166,'Fevereiro 2023 - Valor Real'!A3:A15,'Fevereiro 2023 - Valor Real'!C3:C15,0))+1)+((L167-1)*(1-_xlfn.XLOOKUP(K167,'Fevereiro 2023 - Valor Real'!A3:A15,'Fevereiro 2023 - Valor Real'!C3:C15,0))+1))))))</f>
        <v>0.70187752237234602</v>
      </c>
      <c r="AF167" s="66">
        <f t="shared" si="336"/>
        <v>0</v>
      </c>
      <c r="AG167" s="67">
        <f t="shared" si="336"/>
        <v>0</v>
      </c>
      <c r="AH167" s="67">
        <f t="shared" si="336"/>
        <v>0</v>
      </c>
      <c r="AI167" s="67">
        <f t="shared" si="336"/>
        <v>0</v>
      </c>
      <c r="AJ167" s="67">
        <f t="shared" si="336"/>
        <v>0</v>
      </c>
      <c r="AK167" s="67">
        <f t="shared" si="336"/>
        <v>0</v>
      </c>
      <c r="AL167" s="67">
        <f t="shared" si="336"/>
        <v>0</v>
      </c>
      <c r="AM167" s="67">
        <f t="shared" si="336"/>
        <v>-11.32</v>
      </c>
      <c r="AN167" s="67">
        <f t="shared" si="336"/>
        <v>0</v>
      </c>
      <c r="AO167" s="67">
        <f t="shared" si="336"/>
        <v>0</v>
      </c>
      <c r="AP167" s="67">
        <f t="shared" si="336"/>
        <v>0</v>
      </c>
      <c r="AQ167" s="67">
        <f t="shared" si="336"/>
        <v>0</v>
      </c>
      <c r="AR167" s="68">
        <f t="shared" si="336"/>
        <v>0</v>
      </c>
      <c r="AS167" s="66">
        <f>IF(AND($B166=" ",$K167=AS$3),$O167,0)</f>
        <v>0</v>
      </c>
      <c r="AT167" s="67">
        <f>IF(AND($B166=" ",K167=AT$3),$O167,0)</f>
        <v>0</v>
      </c>
      <c r="AU167" s="67">
        <f t="shared" ref="AU167:BE167" si="342">IF(AND($B166=" ",$K167=AU$3),$O167,0)</f>
        <v>0</v>
      </c>
      <c r="AV167" s="67">
        <f t="shared" si="342"/>
        <v>0</v>
      </c>
      <c r="AW167" s="67">
        <f t="shared" si="342"/>
        <v>0</v>
      </c>
      <c r="AX167" s="67">
        <f t="shared" si="342"/>
        <v>0</v>
      </c>
      <c r="AY167" s="69">
        <f t="shared" si="342"/>
        <v>0</v>
      </c>
      <c r="AZ167" s="70">
        <f t="shared" si="342"/>
        <v>0</v>
      </c>
      <c r="BA167" s="70">
        <f t="shared" si="342"/>
        <v>0</v>
      </c>
      <c r="BB167" s="70">
        <f t="shared" si="342"/>
        <v>0</v>
      </c>
      <c r="BC167" s="71">
        <f t="shared" si="342"/>
        <v>0</v>
      </c>
      <c r="BD167" s="67">
        <f t="shared" si="342"/>
        <v>0</v>
      </c>
      <c r="BE167" s="68">
        <f t="shared" si="342"/>
        <v>0</v>
      </c>
      <c r="BF167" s="66">
        <f t="shared" si="338"/>
        <v>0</v>
      </c>
      <c r="BG167" s="168">
        <f t="shared" si="338"/>
        <v>0</v>
      </c>
      <c r="BH167" s="67">
        <f t="shared" si="338"/>
        <v>0</v>
      </c>
      <c r="BI167" s="67">
        <f t="shared" si="338"/>
        <v>0</v>
      </c>
      <c r="BJ167" s="67">
        <f t="shared" si="338"/>
        <v>0</v>
      </c>
      <c r="BK167" s="67">
        <f t="shared" si="338"/>
        <v>0</v>
      </c>
      <c r="BL167" s="67">
        <f t="shared" si="338"/>
        <v>0</v>
      </c>
      <c r="BM167" s="69">
        <f t="shared" si="338"/>
        <v>11.32</v>
      </c>
      <c r="BN167" s="70">
        <f t="shared" si="338"/>
        <v>0</v>
      </c>
      <c r="BO167" s="70">
        <f t="shared" si="338"/>
        <v>0</v>
      </c>
      <c r="BP167" s="70">
        <f t="shared" si="338"/>
        <v>0</v>
      </c>
      <c r="BQ167" s="71">
        <f t="shared" si="338"/>
        <v>0</v>
      </c>
      <c r="BR167" s="68">
        <f t="shared" si="338"/>
        <v>0</v>
      </c>
      <c r="BS167" s="491"/>
      <c r="BT167" s="489"/>
      <c r="BU167" s="392"/>
      <c r="BV167" s="489"/>
      <c r="BW167" s="392"/>
      <c r="BX167" s="392"/>
      <c r="BY167" s="392"/>
      <c r="BZ167" s="489"/>
      <c r="CA167" s="392"/>
      <c r="CB167" s="392"/>
      <c r="CC167" s="392"/>
      <c r="CD167" s="401"/>
      <c r="CE167" s="409"/>
      <c r="CF167" s="169">
        <f t="shared" si="258"/>
        <v>0</v>
      </c>
      <c r="CG167" s="170">
        <f t="shared" si="259"/>
        <v>0</v>
      </c>
      <c r="CH167" s="170">
        <f t="shared" si="260"/>
        <v>0</v>
      </c>
      <c r="CI167" s="170">
        <f t="shared" si="261"/>
        <v>0</v>
      </c>
      <c r="CJ167" s="170">
        <f t="shared" si="262"/>
        <v>0</v>
      </c>
      <c r="CK167" s="170">
        <f t="shared" si="263"/>
        <v>0</v>
      </c>
      <c r="CL167" s="170">
        <f t="shared" si="264"/>
        <v>0</v>
      </c>
      <c r="CM167" s="170">
        <f t="shared" si="265"/>
        <v>0</v>
      </c>
      <c r="CN167" s="170">
        <f t="shared" si="266"/>
        <v>0</v>
      </c>
      <c r="CO167" s="170">
        <f t="shared" si="267"/>
        <v>0</v>
      </c>
      <c r="CP167" s="170">
        <f t="shared" si="268"/>
        <v>0</v>
      </c>
      <c r="CQ167" s="170">
        <f t="shared" si="269"/>
        <v>0</v>
      </c>
      <c r="CR167" s="170">
        <f t="shared" si="270"/>
        <v>0</v>
      </c>
      <c r="CS167" s="170">
        <f t="shared" si="271"/>
        <v>0</v>
      </c>
      <c r="CT167" s="75">
        <f t="shared" si="272"/>
        <v>0</v>
      </c>
      <c r="CU167" s="76">
        <f t="shared" si="273"/>
        <v>1</v>
      </c>
      <c r="CV167" s="76">
        <f t="shared" si="274"/>
        <v>0</v>
      </c>
      <c r="CW167" s="76">
        <f t="shared" si="275"/>
        <v>0</v>
      </c>
      <c r="CX167" s="76">
        <f t="shared" si="276"/>
        <v>0</v>
      </c>
      <c r="CY167" s="76">
        <f t="shared" si="277"/>
        <v>0</v>
      </c>
      <c r="CZ167" s="76">
        <f t="shared" si="278"/>
        <v>0</v>
      </c>
      <c r="DA167" s="76">
        <f t="shared" si="279"/>
        <v>0</v>
      </c>
      <c r="DB167" s="76">
        <f t="shared" si="280"/>
        <v>0</v>
      </c>
      <c r="DC167" s="76">
        <f t="shared" si="281"/>
        <v>0</v>
      </c>
      <c r="DD167" s="76">
        <f t="shared" si="282"/>
        <v>0</v>
      </c>
      <c r="DE167" s="77">
        <f t="shared" si="283"/>
        <v>0</v>
      </c>
      <c r="DF167" s="73">
        <f t="shared" si="286"/>
        <v>12</v>
      </c>
      <c r="DG167" s="67">
        <f t="shared" si="287"/>
        <v>15.760000000000002</v>
      </c>
      <c r="DH167" s="76">
        <f t="shared" si="288"/>
        <v>4</v>
      </c>
      <c r="DI167" s="67">
        <f t="shared" si="289"/>
        <v>18.100000000000001</v>
      </c>
      <c r="DJ167" s="202" t="str">
        <f>IF($D166="","",$D166)</f>
        <v>3</v>
      </c>
      <c r="DK167" s="493"/>
    </row>
    <row r="168" spans="1:115" ht="14.5" customHeight="1" x14ac:dyDescent="0.2">
      <c r="A168" s="390"/>
      <c r="B168" s="457"/>
      <c r="C168" s="79" t="s">
        <v>53</v>
      </c>
      <c r="D168" s="375"/>
      <c r="E168" s="387"/>
      <c r="F168" s="378"/>
      <c r="G168" s="508"/>
      <c r="H168" s="477"/>
      <c r="I168" s="171"/>
      <c r="J168" s="172"/>
      <c r="K168" s="81"/>
      <c r="L168" s="173"/>
      <c r="M168" s="174"/>
      <c r="N168" s="407"/>
      <c r="O168" s="86" t="str">
        <f>IF(OR(AE166="",AE167=""),"",IF(L168&gt;0,ROUND(IF(M168&gt;0,M168,IF(M166&gt;0,ROUND((M166*AE168)/AE166,IF(N166=0,2,IF(N166=0.1,1,0))),IF(M167&gt;0,ROUND((M167*AE168)/AE167,IF(N166=0,2,IF(N166=0.1,1,0))),IF(M168&gt;0,M168,0)))),2),""))</f>
        <v/>
      </c>
      <c r="P168" s="87" t="str">
        <f>IF(I167="Lay",O167*(L167/(L167-1))-O167,IF(I166="Lay",O166*(L166/(L166-1))-O166,IF(OR(L168="",O168=""),"",IF($C168="1/2W",O168/2+O168/2*L168,IF($C168="1/2L",O168/2,(O168*L168-O168)*(1-_xlfn.XLOOKUP(K168,'Fevereiro 2023 - Valor Real'!A3:A15,'Fevereiro 2023 - Valor Real'!C3:C15,0))+O168)))))</f>
        <v/>
      </c>
      <c r="Q168" s="54" t="str">
        <f>IF(K168="","",IF(_xlfn.XLOOKUP(K168,K$11:K158,$DJ$11:DJ158,0,,-1)=DJ168,_xlfn.XLOOKUP(K168,K$11:K158,Q$11:Q158,1,,-1)+1,1))</f>
        <v/>
      </c>
      <c r="R168" s="87" t="str">
        <f>IF(K168="","",_xlfn.XLOOKUP(K168,K$11:K158,R$11:R158,0,,-1)+IF($C168=" ",1,0))</f>
        <v/>
      </c>
      <c r="S168" s="404"/>
      <c r="T168" s="378"/>
      <c r="U168" s="378"/>
      <c r="V168" s="404"/>
      <c r="W168" s="378"/>
      <c r="X168" s="453"/>
      <c r="Y168" s="383"/>
      <c r="Z168" s="384"/>
      <c r="AA168" s="384"/>
      <c r="AB168" s="384"/>
      <c r="AC168" s="384"/>
      <c r="AD168" s="90"/>
      <c r="AE168" s="91" t="str">
        <f>IF(L168="","",(SUM(((L166-1)*(1-_xlfn.XLOOKUP(K166,'Fevereiro 2023 - Valor Real'!A3:A15,'Fevereiro 2023 - Valor Real'!C3:C15,0))+1),((L167-1)*(1-_xlfn.XLOOKUP(K167,'Fevereiro 2023 - Valor Real'!A3:A15,'Fevereiro 2023 - Valor Real'!C3:C15,0))+1),((L168-1)*(1-_xlfn.XLOOKUP(K168,'Fevereiro 2023 - Valor Real'!A3:A15,'Fevereiro 2023 - Valor Real'!C3:C15,0))+1))/((L168-1)*(1-_xlfn.XLOOKUP(K168,'Fevereiro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Real'!C3:C15,0))+1))/((L166-1)*(1-_xlfn.XLOOKUP(K166,'Fevereiro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Real'!C3:C15,0))+1))/((L167-1)*(1-_xlfn.XLOOKUP(K167,'Fevereiro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Real'!C3:C15,0))+1))/((L168-1)*(1-_xlfn.XLOOKUP(K168,'Fevereiro 2023 - Valor Real'!A3:A15,'Fevereiro 2023 - Valor Real'!C3:C15,0))+1)))</f>
        <v/>
      </c>
      <c r="AF168" s="66">
        <f t="shared" si="336"/>
        <v>0</v>
      </c>
      <c r="AG168" s="67">
        <f t="shared" si="336"/>
        <v>0</v>
      </c>
      <c r="AH168" s="67">
        <f t="shared" si="336"/>
        <v>0</v>
      </c>
      <c r="AI168" s="67">
        <f t="shared" si="336"/>
        <v>0</v>
      </c>
      <c r="AJ168" s="67">
        <f t="shared" si="336"/>
        <v>0</v>
      </c>
      <c r="AK168" s="67">
        <f t="shared" si="336"/>
        <v>0</v>
      </c>
      <c r="AL168" s="67">
        <f t="shared" si="336"/>
        <v>0</v>
      </c>
      <c r="AM168" s="67">
        <f t="shared" si="336"/>
        <v>0</v>
      </c>
      <c r="AN168" s="67">
        <f t="shared" si="336"/>
        <v>0</v>
      </c>
      <c r="AO168" s="67">
        <f t="shared" si="336"/>
        <v>0</v>
      </c>
      <c r="AP168" s="67">
        <f t="shared" si="336"/>
        <v>0</v>
      </c>
      <c r="AQ168" s="67">
        <f t="shared" si="336"/>
        <v>0</v>
      </c>
      <c r="AR168" s="68">
        <f t="shared" si="336"/>
        <v>0</v>
      </c>
      <c r="AS168" s="66">
        <f>IF(AND($B166=" ",$K168=AS$3),$O168,0)</f>
        <v>0</v>
      </c>
      <c r="AT168" s="67">
        <f>IF(AND($B166=" ",K168=AT$3),$O168,0)</f>
        <v>0</v>
      </c>
      <c r="AU168" s="67">
        <f t="shared" ref="AU168:BE168" si="343">IF(AND($B166=" ",$K168=AU$3),$O168,0)</f>
        <v>0</v>
      </c>
      <c r="AV168" s="67">
        <f t="shared" si="343"/>
        <v>0</v>
      </c>
      <c r="AW168" s="67">
        <f t="shared" si="343"/>
        <v>0</v>
      </c>
      <c r="AX168" s="67">
        <f t="shared" si="343"/>
        <v>0</v>
      </c>
      <c r="AY168" s="69">
        <f t="shared" si="343"/>
        <v>0</v>
      </c>
      <c r="AZ168" s="70">
        <f t="shared" si="343"/>
        <v>0</v>
      </c>
      <c r="BA168" s="70">
        <f t="shared" si="343"/>
        <v>0</v>
      </c>
      <c r="BB168" s="70">
        <f t="shared" si="343"/>
        <v>0</v>
      </c>
      <c r="BC168" s="71">
        <f t="shared" si="343"/>
        <v>0</v>
      </c>
      <c r="BD168" s="67">
        <f t="shared" si="343"/>
        <v>0</v>
      </c>
      <c r="BE168" s="68">
        <f t="shared" si="343"/>
        <v>0</v>
      </c>
      <c r="BF168" s="66">
        <f t="shared" si="338"/>
        <v>0</v>
      </c>
      <c r="BG168" s="168">
        <f t="shared" si="338"/>
        <v>0</v>
      </c>
      <c r="BH168" s="67">
        <f t="shared" si="338"/>
        <v>0</v>
      </c>
      <c r="BI168" s="67">
        <f t="shared" si="338"/>
        <v>0</v>
      </c>
      <c r="BJ168" s="67">
        <f t="shared" si="338"/>
        <v>0</v>
      </c>
      <c r="BK168" s="67">
        <f t="shared" si="338"/>
        <v>0</v>
      </c>
      <c r="BL168" s="67">
        <f t="shared" si="338"/>
        <v>0</v>
      </c>
      <c r="BM168" s="69">
        <f t="shared" si="338"/>
        <v>0</v>
      </c>
      <c r="BN168" s="70">
        <f t="shared" si="338"/>
        <v>0</v>
      </c>
      <c r="BO168" s="70">
        <f t="shared" si="338"/>
        <v>0</v>
      </c>
      <c r="BP168" s="70">
        <f t="shared" si="338"/>
        <v>0</v>
      </c>
      <c r="BQ168" s="71">
        <f t="shared" si="338"/>
        <v>0</v>
      </c>
      <c r="BR168" s="68">
        <f t="shared" si="338"/>
        <v>0</v>
      </c>
      <c r="BS168" s="491"/>
      <c r="BT168" s="489"/>
      <c r="BU168" s="392"/>
      <c r="BV168" s="489"/>
      <c r="BW168" s="392"/>
      <c r="BX168" s="392"/>
      <c r="BY168" s="392"/>
      <c r="BZ168" s="489"/>
      <c r="CA168" s="392"/>
      <c r="CB168" s="392"/>
      <c r="CC168" s="392"/>
      <c r="CD168" s="401"/>
      <c r="CE168" s="409"/>
      <c r="CF168" s="169">
        <f t="shared" si="258"/>
        <v>0</v>
      </c>
      <c r="CG168" s="170">
        <f t="shared" si="259"/>
        <v>0</v>
      </c>
      <c r="CH168" s="170">
        <f t="shared" si="260"/>
        <v>0</v>
      </c>
      <c r="CI168" s="170">
        <f t="shared" si="261"/>
        <v>0</v>
      </c>
      <c r="CJ168" s="170">
        <f t="shared" si="262"/>
        <v>0</v>
      </c>
      <c r="CK168" s="170">
        <f t="shared" si="263"/>
        <v>0</v>
      </c>
      <c r="CL168" s="170">
        <f t="shared" si="264"/>
        <v>0</v>
      </c>
      <c r="CM168" s="170">
        <f t="shared" si="265"/>
        <v>0</v>
      </c>
      <c r="CN168" s="170">
        <f t="shared" si="266"/>
        <v>0</v>
      </c>
      <c r="CO168" s="170">
        <f t="shared" si="267"/>
        <v>0</v>
      </c>
      <c r="CP168" s="170">
        <f t="shared" si="268"/>
        <v>0</v>
      </c>
      <c r="CQ168" s="170">
        <f t="shared" si="269"/>
        <v>0</v>
      </c>
      <c r="CR168" s="170">
        <f t="shared" si="270"/>
        <v>0</v>
      </c>
      <c r="CS168" s="170">
        <f t="shared" si="271"/>
        <v>0</v>
      </c>
      <c r="CT168" s="75">
        <f t="shared" si="272"/>
        <v>0</v>
      </c>
      <c r="CU168" s="76">
        <f t="shared" si="273"/>
        <v>0</v>
      </c>
      <c r="CV168" s="76">
        <f t="shared" si="274"/>
        <v>0</v>
      </c>
      <c r="CW168" s="76">
        <f t="shared" si="275"/>
        <v>0</v>
      </c>
      <c r="CX168" s="76">
        <f t="shared" si="276"/>
        <v>0</v>
      </c>
      <c r="CY168" s="76">
        <f t="shared" si="277"/>
        <v>0</v>
      </c>
      <c r="CZ168" s="76">
        <f t="shared" si="278"/>
        <v>0</v>
      </c>
      <c r="DA168" s="76">
        <f t="shared" si="279"/>
        <v>0</v>
      </c>
      <c r="DB168" s="76">
        <f t="shared" si="280"/>
        <v>0</v>
      </c>
      <c r="DC168" s="76">
        <f t="shared" si="281"/>
        <v>0</v>
      </c>
      <c r="DD168" s="76">
        <f t="shared" si="282"/>
        <v>0</v>
      </c>
      <c r="DE168" s="77">
        <f t="shared" si="283"/>
        <v>0</v>
      </c>
      <c r="DF168" s="73">
        <f t="shared" si="286"/>
        <v>12</v>
      </c>
      <c r="DG168" s="67">
        <f t="shared" si="287"/>
        <v>15.760000000000002</v>
      </c>
      <c r="DH168" s="76">
        <f t="shared" si="288"/>
        <v>4</v>
      </c>
      <c r="DI168" s="67">
        <f t="shared" si="289"/>
        <v>18.100000000000001</v>
      </c>
      <c r="DJ168" s="202" t="str">
        <f>IF($D166="","",$D166)</f>
        <v>3</v>
      </c>
      <c r="DK168" s="493"/>
    </row>
    <row r="169" spans="1:115" ht="14.5" customHeight="1" x14ac:dyDescent="0.2">
      <c r="A169" s="459">
        <f>$A166+1</f>
        <v>56</v>
      </c>
      <c r="B169" s="507" t="str">
        <f>IF(OR(C169="W",C170="W",C171="W",C169="1/2W",C170="1/2W",C171="1/2W",C169="1/2L",C170="1/2L",C171="1/2L"),"OK",IF(OR(C169="L",C170="L",C171="L"),"LOSS",IF(OR(C169="X",C170="X",C171="X"),"Anulado"," ")))</f>
        <v>OK</v>
      </c>
      <c r="C169" s="93" t="s">
        <v>54</v>
      </c>
      <c r="D169" s="468" t="str">
        <f>IF(G169="","",$D166)</f>
        <v>3</v>
      </c>
      <c r="E169" s="485" t="str">
        <f>IF(G169=""," ","– "&amp;COUNTIF(D$4:D171,$D169))</f>
        <v>– 13</v>
      </c>
      <c r="F169" s="509" t="str">
        <f ca="1">IF(G169="","",IF(OR(AND($C169&lt;&gt;" ",$C170=" "),AND($C170&lt;&gt;" ",$C169=" "),AND(L171&gt;0,OR(AND($C171&lt;&gt;" ",OR($C169=" ",$C170=" ")),AND($C171=" ",OR($C169&lt;&gt;" ",$C170&lt;&gt;" "))))),IF(SUM(F$6:F164)=0,1,LARGE(F$6:F164,1)+1),IF(MONTH(G169)=MONTH(TODAY()),IF(AND(DAY(G169)&lt;DAY(TODAY()),$B169=" "),IF(SUM(F$6:F164)=0,1,LARGE(F$6:F164,1)+1),IF($B169=" ",IF(AND(DAY(G169)=DAY(TODAY()),HOUR(G169)&lt;=HOUR(NOW())+1),IF(AND(HOUR(G169)+2&lt;=HOUR(NOW()),DAY(G169)&lt;=DAY(TODAY()),MINUTE(G169)&lt;=MINUTE(NOW())),IF(SUM(F$6:F164)=0,1,LARGE(F$6:F164,1)+1),IF(OR(MINUTE(G169)&lt;=MINUTE(NOW()),HOUR(G169)&lt;=HOUR(NOW())),"!!!","")),""),"")),"")))</f>
        <v/>
      </c>
      <c r="G169" s="482">
        <v>44988.416666666664</v>
      </c>
      <c r="H169" s="475" t="s">
        <v>106</v>
      </c>
      <c r="I169" s="94" t="s">
        <v>63</v>
      </c>
      <c r="J169" s="176"/>
      <c r="K169" s="96" t="s">
        <v>36</v>
      </c>
      <c r="L169" s="97">
        <v>1.8</v>
      </c>
      <c r="M169" s="98"/>
      <c r="N169" s="478">
        <v>0</v>
      </c>
      <c r="O169" s="99">
        <f>IF(OR(AE169="",AE170=""),"",ROUND(IF(L171&gt;0,IF(M169&gt;0,M169,IF(M170&gt;0,ROUND((M170*AE169)/AE170,IF(N169=0,2,IF(N169=0.1,1,0))),ROUND((M171*AE169)/AE171,IF(N169=0,2,IF(N169=0.1,1,0))))),IF(M169&gt;0,M169,ROUND((M170*AE169)/AE170,IF(N169=0,2,IF(N169=0.1,1,0))))),2))</f>
        <v>12.43</v>
      </c>
      <c r="P169" s="100">
        <f>IF(OR(L169="",O169=""),"",IF($C169="1/2W",O169/2+O169/2*L169,IF($C169="1/2L",O169/2,IF(I169="Lay",(O169*(L169/(L169-1))-O169)*(1-_xlfn.XLOOKUP(K169,'Fevereiro 2023 - Valor Real'!A3:A15,'Fevereiro 2023 - Valor Real'!C3:C15,0))+O169,(O169*L169-O169)*(1-_xlfn.XLOOKUP(K169,'Fevereiro 2023 - Valor Real'!A3:A15,'Fevereiro 2023 - Valor Real'!C3:C15,0))+O169))))</f>
        <v>22.373999999999999</v>
      </c>
      <c r="Q169" s="101">
        <f>IF(K169="","",IF(_xlfn.XLOOKUP(K169,K$6:K164,$DJ$6:DJ164,0,,-1)=DJ169,_xlfn.XLOOKUP(K169,K$6:K164,Q$6:Q164,1,,-1)+1,1))</f>
        <v>4</v>
      </c>
      <c r="R169" s="102">
        <f>IF(K169="","",_xlfn.XLOOKUP(K169,K$6:K164,R$6:R164,0,,-1)+IF($C169=" ",1,0))</f>
        <v>0</v>
      </c>
      <c r="S169" s="474">
        <f>IF($B169="Anulado",0,ROUND(IF(OR($B169="LOSS",$B169="OK"),IF(OR($C169="W",$C169="1/2W",$C169="1/2L"),P169-O169,IF($C169="L",-O169,0))+IF(OR($C170="W",$C170="1/2W",$C170="1/2L"),P170-O170,IF($C170="L",-O170,0))+IF(OR($C171="W",$C171="1/2W",$C171="1/2L"),P171-O171,IF($C171="L",-O171,0)),IF(AND(OR($C169="W",$C169="1/2W",$C169="1/2L"),C170="W"),P169+P170-SUM(O169:O171)+_xlfn.XLOOKUP("X",C169:C171,O169:O171,0),IF(AND(C169=TRUE,C171="W"),P169+P171-SUM(O169:O171),IF(AND(C170="W",C171="W"),P170+P171-SUM(O169:O171)+_xlfn.XLOOKUP("X",C169:C171,O169:O171,0),IF(L171&gt;0,IF(OR($C169="W",$C169="1/2W",$C169="1/2L"),P169-SUM(O169:O171)+_xlfn.XLOOKUP("X",C169:C171,O169:O171,0),IF(OR($C169="W",$C169="1/2W",$C169="1/2L"),P170-SUM(O169:O171)+_xlfn.XLOOKUP("X",C169:C171,O169:O171,0),IF(OR($C169="W",$C169="1/2W",$C169="1/2L"),P171-SUM(O169:O171)+_xlfn.XLOOKUP("X",C169:C171,O169:O171,0),IF(SUM(P169:P171)/3-SUM(O169:O171)+_xlfn.XLOOKUP("X",C169:C171,O169:O171,0)&gt;0,SUM(P169:P171)/3-SUM(O169:O171)+_xlfn.XLOOKUP("X",C169:C171,O169:O171,0),LARGE(P169:P171,1)-SUM(O169:O171))))),IF(OR($C169="W",$C169="1/2W",$C169="1/2L"),P169-SUM(O169:O170)+_xlfn.XLOOKUP("X",C169:C171,O169:O171,0),IF(OR($C169="W",$C169="1/2W",$C169="1/2L"),P170-SUM(O169:O170)+_xlfn.XLOOKUP("X",C169:C171,O169:O171,0),SUM(P169:P170)/2-SUM(O169:O170)+_xlfn.XLOOKUP("X",C169:C171,O169:O171,0)))))))),2))</f>
        <v>1.95</v>
      </c>
      <c r="T169" s="458">
        <f>IF(S169=0,0,S169/SUM(O169:O171))</f>
        <v>9.5494613124387839E-2</v>
      </c>
      <c r="U169" s="470">
        <f>IF($D169=$D166,IF(OR($B169="LOSS",$B169="OK",$B169="Anulada"),S169,0)+U166,IF(OR($B169="LOSS",$B169="OK",$B169="Anulada"),S169,0))</f>
        <v>27.959999999999997</v>
      </c>
      <c r="V169" s="470">
        <f>IF($D169="",0,IF($D169=$D166,IF($B169=" ",IF(I171="",IF(OR(AND(I169="DNB1",I170="DNB2"),AND(OR(I169="DNB1",I169="DNB2"),J170=0),AND(OR(I170="DNB1",I170="DNB2"),J169=0),AND(I169="DNB2",I170="DNB1"),AND(IF(J169=0,(J169+1)/ROUND(J169+1,0),J169/ROUND(J169,0))=1,IF(J170=0,(J170+1)/ROUND(IF(J170="",0,J170)+1,0),IF(J170="",0,J170)/ROUND(IF(J170="",1,J170),0))=1,OR(J169&lt;&gt;""),J170&lt;&gt;"")),0,IF(S169&lt;0,IF(I171="",SMALL(P169:P170,1)-SUM(O169:O170),0),SMALL(P169:P170,1)-SUM(O169:O170))),IF(S169&lt;0,IF(I171="",SMALL(P169:P171,1)-SUM(O169:O171),0),LARGE(P169:P171,1)-SUM(O169:O171))),S169)+V166,IF(I171="",IF(OR(AND(I169="DNB1",I170="DNB2"),AND(OR(I169="DNB1",I169="DNB2"),J170=0),AND(OR(I170="DNB1",I170="DNB2"),J169=0),AND(I169="DNB2",I170="DNB1"),AND(IF(J169=0,(J169+1)/ROUND(J169+1,0),J169/ROUND(J169,0))=1,IF(J170=0,(IF(J170="",0,J170)+1)/ROUND(IF(J170="",0,J170)+1,0),IF(J170="",0,J170)/ROUND(IF(J170="",0,J170)+1,0))=1,OR(J169&lt;&gt;""),J170&lt;&gt;"")),0,IF(S169&lt;0,IF(I171="",SMALL(P169:P170,1)-SUM(O169:O170),0),SMALL(P169:P171,1)-SUM(O169:O171))),IF(S169&lt;0,IF(I171="",SMALL(P169:P171,1)-SUM(O169:O171),0),LARGE(P169:P171,1)-SUM(O169:O171)))))</f>
        <v>27.95</v>
      </c>
      <c r="W169" s="470">
        <f>IF($D169=$D166,IF(S169&lt;0,IF(I171="",S169,0),S169)+W166,S169)</f>
        <v>27.959999999999997</v>
      </c>
      <c r="X169" s="480" t="str">
        <f>IF(OR(SUM(R169:R171)=0,V169=W169),ROUND(IF(W169=0,0,W169/Y169)*100,2)&amp;"%",ROUND(IF(V169=0,0,V169/Y169)*100,2)&amp;"% a "&amp;ROUND(IF(W169=0,0,W169/Y169)*100,2)&amp;"%")</f>
        <v>4,95%</v>
      </c>
      <c r="Y169" s="471">
        <f>IF($D169=$D166,Y166+SUM(O169:O171),SUM(O169:O171))</f>
        <v>565.04999999999995</v>
      </c>
      <c r="Z169" s="470">
        <f>IF($B169=" ",SUM(O169:O171),0)+Z166</f>
        <v>0</v>
      </c>
      <c r="AA169" s="470">
        <f>IF(G169="","",IF($B169="Anulado",LARGE(P169:P171,1)-SUM(O169:O171)+AA166,AA166))</f>
        <v>1.4607999999999972</v>
      </c>
      <c r="AB169" s="470">
        <f>IF($D169="","",AB166+S169)</f>
        <v>138.81999999999996</v>
      </c>
      <c r="AC169" s="472">
        <f ca="1">IF($D169="","",IF($B169=" ",IF(DAY(G169)=DAY(TODAY()),1+AC166,0+AC166),0+AC166))</f>
        <v>0</v>
      </c>
      <c r="AD169" s="103">
        <f>(((L170/(L170-1)-1)*(1-_xlfn.XLOOKUP(K170,'Fevereiro 2023 - Valor Real'!A3:A15,'Fevereiro 2023 - Valor Real'!C3:C15,0))+1))/(((L169-1)*(1-_xlfn.XLOOKUP(K169,'Fevereiro 2023 - Valor Real'!A3:A15,'Fevereiro 2023 - Valor Real'!C3:C15,0))+1)+((L170/(L170-1)-1)*(1-_xlfn.XLOOKUP(K170,'Fevereiro 2023 - Valor Real'!A3:A15,'Fevereiro 2023 - Valor Real'!C3:C15,0))+1))</f>
        <v>0.46357615894039733</v>
      </c>
      <c r="AE169" s="104">
        <f>IF(L169="","",IF(L171&gt;0,(SUM(((L169-1)*(1-_xlfn.XLOOKUP(K169,'Fevereiro 2023 - Valor Real'!A3:A15,'Fevereiro 2023 - Valor Real'!C3:C15,0))+1),((L170-1)*(1-_xlfn.XLOOKUP(K170,'Fevereiro 2023 - Valor Real'!A3:A15,'Fevereiro 2023 - Valor Real'!C3:C15,0))+1),((L171-1)*(1-_xlfn.XLOOKUP(K171,'Fevereiro 2023 - Valor Real'!A3:A15,'Fevereiro 2023 - Valor Real'!C3:C15,0))+1))/((L169-1)*(1-_xlfn.XLOOKUP(K169,'Fevereiro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Real'!C3:C15,0))+1))/((L169-1)*(1-_xlfn.XLOOKUP(K169,'Fevereiro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Real'!C3:C15,0))+1))/((L170-1)*(1-_xlfn.XLOOKUP(K170,'Fevereiro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Real'!C3:C15,0))+1))/((L171-1)*(1-_xlfn.XLOOKUP(K171,'Fevereiro 2023 - Valor Real'!A3:A15,'Fevereiro 2023 - Valor Real'!C3:C15,0))+1)),IF(I169="Lay",IF(I170="Lay",((L170/(L170-1)-1)*(1-_xlfn.XLOOKUP(K170,'Fevereiro 2023 - Valor Real'!A3:A15,'Fevereiro 2023 - Valor Real'!C3:C15,0))+1)/(((L170/(L170-1)-1)*(1-_xlfn.XLOOKUP(K170,'Fevereiro 2023 - Valor Real'!A3:A15,'Fevereiro 2023 - Valor Real'!C3:C15,0))+1)+((L169/(L169-1)-1)*(1-_xlfn.XLOOKUP(K169,'Fevereiro 2023 - Valor Real'!A3:A15,'Fevereiro 2023 - Valor Real'!C3:C15,0))+1)),((L170-1)*(1-_xlfn.XLOOKUP(K170,'Fevereiro 2023 - Valor Real'!A3:A15,'Fevereiro 2023 - Valor Real'!C3:C15,0))+1)/(((L170-1)*(1-_xlfn.XLOOKUP(K170,'Fevereiro 2023 - Valor Real'!A3:A15,'Fevereiro 2023 - Valor Real'!C3:C15,0))+1)+((L169/(L169-1)-1)*(1-_xlfn.XLOOKUP(K169,'Fevereiro 2023 - Valor Real'!A3:A15,'Fevereiro 2023 - Valor Real'!C3:C15,0))+1))),IF(I170="Lay",(((L170/(L170-1)-1)*(1-_xlfn.XLOOKUP(K170,'Fevereiro 2023 - Valor Real'!A3:A15,'Fevereiro 2023 - Valor Real'!C3:C15,0))+1))/(((L169-1)*(1-_xlfn.XLOOKUP(K169,'Fevereiro 2023 - Valor Real'!A3:A15,'Fevereiro 2023 - Valor Real'!C3:C15,0))+1)+((L170/(L170-1)-1)*(1-_xlfn.XLOOKUP(K170,'Fevereiro 2023 - Valor Real'!A3:A15,'Fevereiro 2023 - Valor Real'!C3:C15,0))+1)),((L170-1)*(1-_xlfn.XLOOKUP(K170,'Fevereiro 2023 - Valor Real'!A3:A15,'Fevereiro 2023 - Valor Real'!C3:C15,0))+1)/(((L170-1)*(1-_xlfn.XLOOKUP(K170,'Fevereiro 2023 - Valor Real'!A3:A15,'Fevereiro 2023 - Valor Real'!C3:C15,0))+1)+((L169-1)*(1-_xlfn.XLOOKUP(K169,'Fevereiro 2023 - Valor Real'!A3:A15,'Fevereiro 2023 - Valor Real'!C3:C15,0))+1))))))</f>
        <v>0.60869565217391308</v>
      </c>
      <c r="AF169" s="105">
        <f t="shared" si="336"/>
        <v>9.94</v>
      </c>
      <c r="AG169" s="106">
        <f t="shared" si="336"/>
        <v>0</v>
      </c>
      <c r="AH169" s="106">
        <f t="shared" si="336"/>
        <v>0</v>
      </c>
      <c r="AI169" s="106">
        <f t="shared" si="336"/>
        <v>0</v>
      </c>
      <c r="AJ169" s="106">
        <f t="shared" si="336"/>
        <v>0</v>
      </c>
      <c r="AK169" s="106">
        <f t="shared" si="336"/>
        <v>0</v>
      </c>
      <c r="AL169" s="106">
        <f t="shared" si="336"/>
        <v>0</v>
      </c>
      <c r="AM169" s="106">
        <f t="shared" si="336"/>
        <v>0</v>
      </c>
      <c r="AN169" s="106">
        <f t="shared" si="336"/>
        <v>0</v>
      </c>
      <c r="AO169" s="106">
        <f t="shared" si="336"/>
        <v>0</v>
      </c>
      <c r="AP169" s="106">
        <f t="shared" si="336"/>
        <v>0</v>
      </c>
      <c r="AQ169" s="106">
        <f t="shared" si="336"/>
        <v>0</v>
      </c>
      <c r="AR169" s="107">
        <f t="shared" si="336"/>
        <v>0</v>
      </c>
      <c r="AS169" s="105">
        <f t="shared" ref="AS169:BE169" si="344">IF(AND($B169=" ",$K169=AS$3),$O169,0)</f>
        <v>0</v>
      </c>
      <c r="AT169" s="106">
        <f t="shared" si="344"/>
        <v>0</v>
      </c>
      <c r="AU169" s="106">
        <f t="shared" si="344"/>
        <v>0</v>
      </c>
      <c r="AV169" s="106">
        <f t="shared" si="344"/>
        <v>0</v>
      </c>
      <c r="AW169" s="106">
        <f t="shared" si="344"/>
        <v>0</v>
      </c>
      <c r="AX169" s="106">
        <f t="shared" si="344"/>
        <v>0</v>
      </c>
      <c r="AY169" s="108">
        <f t="shared" si="344"/>
        <v>0</v>
      </c>
      <c r="AZ169" s="109">
        <f t="shared" si="344"/>
        <v>0</v>
      </c>
      <c r="BA169" s="109">
        <f t="shared" si="344"/>
        <v>0</v>
      </c>
      <c r="BB169" s="109">
        <f t="shared" si="344"/>
        <v>0</v>
      </c>
      <c r="BC169" s="110">
        <f t="shared" si="344"/>
        <v>0</v>
      </c>
      <c r="BD169" s="106">
        <f t="shared" si="344"/>
        <v>0</v>
      </c>
      <c r="BE169" s="107">
        <f t="shared" si="344"/>
        <v>0</v>
      </c>
      <c r="BF169" s="111">
        <f t="shared" si="338"/>
        <v>12.43</v>
      </c>
      <c r="BG169" s="106">
        <f t="shared" si="338"/>
        <v>0</v>
      </c>
      <c r="BH169" s="106">
        <f t="shared" si="338"/>
        <v>0</v>
      </c>
      <c r="BI169" s="106">
        <f t="shared" si="338"/>
        <v>0</v>
      </c>
      <c r="BJ169" s="106">
        <f t="shared" si="338"/>
        <v>0</v>
      </c>
      <c r="BK169" s="106">
        <f t="shared" si="338"/>
        <v>0</v>
      </c>
      <c r="BL169" s="106">
        <f t="shared" si="338"/>
        <v>0</v>
      </c>
      <c r="BM169" s="108">
        <f t="shared" si="338"/>
        <v>0</v>
      </c>
      <c r="BN169" s="109">
        <f t="shared" si="338"/>
        <v>0</v>
      </c>
      <c r="BO169" s="109">
        <f t="shared" si="338"/>
        <v>0</v>
      </c>
      <c r="BP169" s="109">
        <f t="shared" si="338"/>
        <v>0</v>
      </c>
      <c r="BQ169" s="110">
        <f t="shared" si="338"/>
        <v>0</v>
      </c>
      <c r="BR169" s="107">
        <f t="shared" si="338"/>
        <v>0</v>
      </c>
      <c r="BS169" s="463">
        <f>IF($B169="LOSS",IF(AND($K169=BS$3,$C169="L"),-$O169,0)+IF(AND($K170=BS$3,$C170="L"),-$O170,0)+IF(AND($K171=BS$3,$C171="L"),-$O171,0),IF(OR(AND($K169=BS$3,OR($C169="W",$C169="1/2W")),AND($K170=BS$3,OR($C170="W",$C170="1/2W")),AND($K171=BS$3,OR($C171="W",$C171="1/2W"))),$S169,0))</f>
        <v>1.95</v>
      </c>
      <c r="BT169" s="462">
        <f>IF($B169="LOSS",IF(AND($K169=BT$3,$C169="L"),-$O169,0)+IF(AND($K170=BT$3,$C170="L"),-$O170,0)+IF(AND($K170=BT$3,$C171="L"),-$O171,0),IF(OR(AND($K170=BT$3,OR($C169="W",$C169="1/2W")),AND($K170=BT$3,OR($C170="W",$C170="1/2W")),AND($K170=BT$3,OR($C171="W",$C171="1/2W"))),$S169,0))</f>
        <v>1.95</v>
      </c>
      <c r="BU169" s="462">
        <f>IF($B169="LOSS",IF(AND($K169=BU$3,$C169="L"),-$O169,0)+IF(AND($K170=BU$3,$C170="L"),-$O170,0)+IF(AND($K170=BU$3,$C171="L"),-$O171,0),IF(OR(AND($K170=BU$3,OR($C169="W",$C169="1/2W")),AND($K170=BU$3,OR($C170="W",$C170="1/2W")),AND($K170=BU$3,OR($C171="W",$C171="1/2W"))),$S169,0))</f>
        <v>0</v>
      </c>
      <c r="BV169" s="462">
        <f t="shared" ref="BV169:CE169" si="345">IF($B169="LOSS",IF(AND($K169=BV$3,$C169="L"),-$O169,0)+IF(AND($K170=BV$3,$C170="L"),-$O170,0)+IF(AND($K171=BV$3,$C171="L"),-$O171,0),IF(OR(AND($K169=BV$3,OR($C169="W",$C169="1/2W")),AND($K170=BV$3,OR($C170="W",$C170="1/2W")),AND($K171=BV$3,OR($C171="W",$C171="1/2W"))),$S169,0))</f>
        <v>0</v>
      </c>
      <c r="BW169" s="462">
        <f t="shared" si="345"/>
        <v>0</v>
      </c>
      <c r="BX169" s="462">
        <f t="shared" si="345"/>
        <v>0</v>
      </c>
      <c r="BY169" s="462">
        <f t="shared" si="345"/>
        <v>0</v>
      </c>
      <c r="BZ169" s="460">
        <f t="shared" si="345"/>
        <v>0</v>
      </c>
      <c r="CA169" s="460">
        <f t="shared" si="345"/>
        <v>0</v>
      </c>
      <c r="CB169" s="460">
        <f t="shared" si="345"/>
        <v>0</v>
      </c>
      <c r="CC169" s="460">
        <f t="shared" si="345"/>
        <v>0</v>
      </c>
      <c r="CD169" s="473">
        <f t="shared" si="345"/>
        <v>0</v>
      </c>
      <c r="CE169" s="479">
        <f t="shared" si="345"/>
        <v>0</v>
      </c>
      <c r="CF169" s="113">
        <f t="shared" si="258"/>
        <v>1</v>
      </c>
      <c r="CG169" s="114">
        <f t="shared" si="259"/>
        <v>0</v>
      </c>
      <c r="CH169" s="114">
        <f t="shared" si="260"/>
        <v>0</v>
      </c>
      <c r="CI169" s="114">
        <f t="shared" si="261"/>
        <v>0</v>
      </c>
      <c r="CJ169" s="114">
        <f t="shared" si="262"/>
        <v>0</v>
      </c>
      <c r="CK169" s="114">
        <f t="shared" si="263"/>
        <v>0</v>
      </c>
      <c r="CL169" s="114">
        <f t="shared" si="264"/>
        <v>0</v>
      </c>
      <c r="CM169" s="114">
        <f t="shared" si="265"/>
        <v>0</v>
      </c>
      <c r="CN169" s="114">
        <f t="shared" si="266"/>
        <v>0</v>
      </c>
      <c r="CO169" s="114">
        <f t="shared" si="267"/>
        <v>0</v>
      </c>
      <c r="CP169" s="114">
        <f t="shared" si="268"/>
        <v>0</v>
      </c>
      <c r="CQ169" s="114">
        <f t="shared" si="269"/>
        <v>0</v>
      </c>
      <c r="CR169" s="114">
        <f t="shared" si="270"/>
        <v>0</v>
      </c>
      <c r="CS169" s="114">
        <f t="shared" si="271"/>
        <v>0</v>
      </c>
      <c r="CT169" s="115">
        <f t="shared" si="272"/>
        <v>0</v>
      </c>
      <c r="CU169" s="116">
        <f t="shared" si="273"/>
        <v>0</v>
      </c>
      <c r="CV169" s="116">
        <f t="shared" si="274"/>
        <v>0</v>
      </c>
      <c r="CW169" s="116">
        <f t="shared" si="275"/>
        <v>0</v>
      </c>
      <c r="CX169" s="116">
        <f t="shared" si="276"/>
        <v>0</v>
      </c>
      <c r="CY169" s="116">
        <f t="shared" si="277"/>
        <v>0</v>
      </c>
      <c r="CZ169" s="116">
        <f t="shared" si="278"/>
        <v>0</v>
      </c>
      <c r="DA169" s="116">
        <f t="shared" si="279"/>
        <v>0</v>
      </c>
      <c r="DB169" s="116">
        <f t="shared" si="280"/>
        <v>0</v>
      </c>
      <c r="DC169" s="116">
        <f t="shared" si="281"/>
        <v>0</v>
      </c>
      <c r="DD169" s="116">
        <f t="shared" si="282"/>
        <v>0</v>
      </c>
      <c r="DE169" s="117">
        <f t="shared" si="283"/>
        <v>0</v>
      </c>
      <c r="DF169" s="118">
        <f t="shared" si="286"/>
        <v>12</v>
      </c>
      <c r="DG169" s="106">
        <f t="shared" si="287"/>
        <v>15.760000000000002</v>
      </c>
      <c r="DH169" s="116">
        <f t="shared" si="288"/>
        <v>4</v>
      </c>
      <c r="DI169" s="106">
        <f t="shared" si="289"/>
        <v>18.100000000000001</v>
      </c>
      <c r="DJ169" s="201" t="str">
        <f>IF($D169="","",$D169)</f>
        <v>3</v>
      </c>
      <c r="DK169" s="465">
        <f>IF(AND($B169=" ",$D169&lt;&gt;""),1,0)</f>
        <v>0</v>
      </c>
    </row>
    <row r="170" spans="1:115" ht="14.5" customHeight="1" x14ac:dyDescent="0.2">
      <c r="A170" s="389"/>
      <c r="B170" s="456"/>
      <c r="C170" s="120" t="s">
        <v>55</v>
      </c>
      <c r="D170" s="374"/>
      <c r="E170" s="386"/>
      <c r="F170" s="377"/>
      <c r="G170" s="483"/>
      <c r="H170" s="476"/>
      <c r="I170" s="121" t="s">
        <v>61</v>
      </c>
      <c r="J170" s="179" t="str">
        <f>IF(OR(I169="TO",I169="TU",I169="TO1",I169="TU1",I169="TO2",I169="TU2"),J169,IF(OR(I169="AH1",I169="AH2"),IF(OR(I170="AH1",I170="AH2"),-J169,IF(OR(I170="EH1",I170="EH2"),-J169+0.5,"")),IF(OR(I169="EH1",I169="EH2"),IF(OR(I170="AH1",I170="AH2"),-J169+0.5,IF(OR(I170="EH1",I170="EH2"),-J169+1,"")),IF(AND(OR(I169="DNB1",I169="DNB2"),OR(I170="AH1",I170="AH2")),0,IF(AND(I169="Not ScoreBoth",OR(I170="TO1",I170="TO2")),0.5,"")))))</f>
        <v/>
      </c>
      <c r="K170" s="123" t="s">
        <v>37</v>
      </c>
      <c r="L170" s="124">
        <v>2.8</v>
      </c>
      <c r="M170" s="125">
        <v>7.99</v>
      </c>
      <c r="N170" s="406"/>
      <c r="O170" s="126">
        <f>IF(OR(AE169="",AE170=""),"",ROUND(IF(L171&gt;0,IF(M170&gt;0,M170,IF(M169&gt;0,IF(N169=TRUE,ROUND((M169*AE170)/AE169,0),(M169*AE170)/AE169),IF(M170&gt;0,ROUND(M170,IF(N169=0,2,IF(N169=0.1,1,0))),IF(M171&gt;0,ROUND(O171*AE170/AE171,IF(N169=0,2,IF(N169=0.1,1,0))),0)))),IF(M170&gt;0,M170,ROUND((M169*AE170)/AE169,IF(N169=0,2,IF(N169=0.1,1,0))))),2))</f>
        <v>7.99</v>
      </c>
      <c r="P170" s="127">
        <f>IF(OR(L170="",O170=""),"",IF($C170="1/2W",O170/2+O170/2*L170,IF($C170="1/2L",O170/2,IF(I170="Lay",((O170*(L170/(L170-1)))-O170)*(1-_xlfn.XLOOKUP(K170,'Fevereiro 2023 - Valor Real'!A3:A15,'Fevereiro 2023 - Valor Real'!C3:C15,0))+O170,(O170*L170-O170)*(1-_xlfn.XLOOKUP(K170,'Fevereiro 2023 - Valor Real'!A3:A15,'Fevereiro 2023 - Valor Real'!C3:C15,0))+O170))))</f>
        <v>22.372</v>
      </c>
      <c r="Q170" s="128">
        <f>IF(K170="","",IF(_xlfn.XLOOKUP(K170,K$7:K164,$DJ$7:DJ164,0,,-1)=DJ170,_xlfn.XLOOKUP(K170,K$7:K164,Q$7:Q164,1,,-1)+1,1))</f>
        <v>4</v>
      </c>
      <c r="R170" s="129">
        <f>IF(K170="","",_xlfn.XLOOKUP(K170,K$7:K164,R$7:R164,0,,-1)+IF($C170=" ",1,0))</f>
        <v>0</v>
      </c>
      <c r="S170" s="403"/>
      <c r="T170" s="380"/>
      <c r="U170" s="380"/>
      <c r="V170" s="481"/>
      <c r="W170" s="380"/>
      <c r="X170" s="452"/>
      <c r="Y170" s="383"/>
      <c r="Z170" s="384"/>
      <c r="AA170" s="384"/>
      <c r="AB170" s="384"/>
      <c r="AC170" s="384"/>
      <c r="AD170" s="130">
        <f>(((L170/(L170-1)-1)*(1-_xlfn.XLOOKUP(K170,'Fevereiro 2023 - Valor Real'!A3:A15,'Fevereiro 2023 - Valor Real'!C3:C15,0))+1))</f>
        <v>1.5555555555555556</v>
      </c>
      <c r="AE170" s="131">
        <f>IF(L170="","",IF(L171&gt;0,(SUM(((L169-1)*(1-_xlfn.XLOOKUP(K169,'Fevereiro 2023 - Valor Real'!A3:A15,'Fevereiro 2023 - Valor Real'!C3:C15,0))+1),((L170-1)*(1-_xlfn.XLOOKUP(K170,'Fevereiro 2023 - Valor Real'!A3:A15,'Fevereiro 2023 - Valor Real'!C3:C15,0))+1),((L171-1)*(1-_xlfn.XLOOKUP(K171,'Fevereiro 2023 - Valor Real'!A3:A15,'Fevereiro 2023 - Valor Real'!C3:C15,0))+1))/((L170-1)*(1-_xlfn.XLOOKUP(K170,'Fevereiro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Real'!C3:C15,0))+1))/((L169-1)*(1-_xlfn.XLOOKUP(K169,'Fevereiro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Real'!C3:C15,0))+1))/((L170-1)*(1-_xlfn.XLOOKUP(K170,'Fevereiro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Real'!C3:C15,0))+1))/((L171-1)*(1-_xlfn.XLOOKUP(K171,'Fevereiro 2023 - Valor Real'!A3:A15,'Fevereiro 2023 - Valor Real'!C3:C15,0))+1)),IF(I170="Lay",IF(I169="Lay",((L169/(L169-1)-1)*(1-_xlfn.XLOOKUP(K169,'Fevereiro 2023 - Valor Real'!A3:A15,'Fevereiro 2023 - Valor Real'!C3:C15,0))+1)/(((L169/(L169-1)-1)*(1-_xlfn.XLOOKUP(K169,'Fevereiro 2023 - Valor Real'!A3:A15,'Fevereiro 2023 - Valor Real'!C3:C15,0))+1)+((L170/(L170-1)-1)*(1-_xlfn.XLOOKUP(K170,'Fevereiro 2023 - Valor Real'!A3:A15,'Fevereiro 2023 - Valor Real'!C3:C15,0))+1)),((L169-1)*(1-_xlfn.XLOOKUP(K169,'Fevereiro 2023 - Valor Real'!A3:A15,'Fevereiro 2023 - Valor Real'!C3:C15,0))+1)/(((L169-1)*(1-_xlfn.XLOOKUP(K169,'Fevereiro 2023 - Valor Real'!A3:A15,'Fevereiro 2023 - Valor Real'!C3:C15,0))+1)+((L170/(L170-1)-1)*(1-_xlfn.XLOOKUP(K170,'Fevereiro 2023 - Valor Real'!A3:A15,'Fevereiro 2023 - Valor Real'!C3:C15,0))+1))),IF(I169="Lay",((L169/(L169-1)-1)*(1-_xlfn.XLOOKUP(K169,'Fevereiro 2023 - Valor Real'!A3:A15,'Fevereiro 2023 - Valor Real'!C3:C15,0))+1)/((((L169/(L169-1)-1)*(1-_xlfn.XLOOKUP(K169,'Fevereiro 2023 - Valor Real'!A3:A15,'Fevereiro 2023 - Valor Real'!C3:C15,0))+1))+((L170-1)*(1-_xlfn.XLOOKUP(K170,'Fevereiro 2023 - Valor Real'!A3:A15,'Fevereiro 2023 - Valor Real'!C3:C15,0))+1)),((L169-1)*(1-_xlfn.XLOOKUP(K169,'Fevereiro 2023 - Valor Real'!A3:A15,'Fevereiro 2023 - Valor Real'!C3:C15,0))+1)/(((L169-1)*(1-_xlfn.XLOOKUP(K169,'Fevereiro 2023 - Valor Real'!A3:A15,'Fevereiro 2023 - Valor Real'!C3:C15,0))+1)+((L170-1)*(1-_xlfn.XLOOKUP(K170,'Fevereiro 2023 - Valor Real'!A3:A15,'Fevereiro 2023 - Valor Real'!C3:C15,0))+1))))))</f>
        <v>0.39130434782608697</v>
      </c>
      <c r="AF170" s="105">
        <f t="shared" si="336"/>
        <v>0</v>
      </c>
      <c r="AG170" s="106">
        <f t="shared" si="336"/>
        <v>-7.99</v>
      </c>
      <c r="AH170" s="106">
        <f t="shared" si="336"/>
        <v>0</v>
      </c>
      <c r="AI170" s="106">
        <f t="shared" si="336"/>
        <v>0</v>
      </c>
      <c r="AJ170" s="106">
        <f t="shared" si="336"/>
        <v>0</v>
      </c>
      <c r="AK170" s="106">
        <f t="shared" si="336"/>
        <v>0</v>
      </c>
      <c r="AL170" s="106">
        <f t="shared" si="336"/>
        <v>0</v>
      </c>
      <c r="AM170" s="106">
        <f t="shared" si="336"/>
        <v>0</v>
      </c>
      <c r="AN170" s="106">
        <f t="shared" si="336"/>
        <v>0</v>
      </c>
      <c r="AO170" s="106">
        <f t="shared" si="336"/>
        <v>0</v>
      </c>
      <c r="AP170" s="106">
        <f t="shared" si="336"/>
        <v>0</v>
      </c>
      <c r="AQ170" s="106">
        <f t="shared" si="336"/>
        <v>0</v>
      </c>
      <c r="AR170" s="107">
        <f t="shared" si="336"/>
        <v>0</v>
      </c>
      <c r="AS170" s="105">
        <f>IF(AND($B169=" ",$K170=AS$3),$O170,0)</f>
        <v>0</v>
      </c>
      <c r="AT170" s="106">
        <f>IF(AND($B169=" ",K170=AT$3),$O170,0)</f>
        <v>0</v>
      </c>
      <c r="AU170" s="106">
        <f t="shared" ref="AU170:BE170" si="346">IF(AND($B169=" ",$K170=AU$3),$O170,0)</f>
        <v>0</v>
      </c>
      <c r="AV170" s="106">
        <f t="shared" si="346"/>
        <v>0</v>
      </c>
      <c r="AW170" s="106">
        <f t="shared" si="346"/>
        <v>0</v>
      </c>
      <c r="AX170" s="106">
        <f t="shared" si="346"/>
        <v>0</v>
      </c>
      <c r="AY170" s="108">
        <f t="shared" si="346"/>
        <v>0</v>
      </c>
      <c r="AZ170" s="109">
        <f t="shared" si="346"/>
        <v>0</v>
      </c>
      <c r="BA170" s="109">
        <f t="shared" si="346"/>
        <v>0</v>
      </c>
      <c r="BB170" s="109">
        <f t="shared" si="346"/>
        <v>0</v>
      </c>
      <c r="BC170" s="110">
        <f t="shared" si="346"/>
        <v>0</v>
      </c>
      <c r="BD170" s="106">
        <f t="shared" si="346"/>
        <v>0</v>
      </c>
      <c r="BE170" s="107">
        <f t="shared" si="346"/>
        <v>0</v>
      </c>
      <c r="BF170" s="105">
        <f t="shared" si="338"/>
        <v>0</v>
      </c>
      <c r="BG170" s="106">
        <f t="shared" si="338"/>
        <v>7.99</v>
      </c>
      <c r="BH170" s="106">
        <f t="shared" si="338"/>
        <v>0</v>
      </c>
      <c r="BI170" s="106">
        <f t="shared" si="338"/>
        <v>0</v>
      </c>
      <c r="BJ170" s="106">
        <f t="shared" si="338"/>
        <v>0</v>
      </c>
      <c r="BK170" s="106">
        <f t="shared" si="338"/>
        <v>0</v>
      </c>
      <c r="BL170" s="106">
        <f t="shared" si="338"/>
        <v>0</v>
      </c>
      <c r="BM170" s="132">
        <f t="shared" si="338"/>
        <v>0</v>
      </c>
      <c r="BN170" s="112">
        <f t="shared" si="338"/>
        <v>0</v>
      </c>
      <c r="BO170" s="112">
        <f t="shared" si="338"/>
        <v>0</v>
      </c>
      <c r="BP170" s="112">
        <f t="shared" si="338"/>
        <v>0</v>
      </c>
      <c r="BQ170" s="110">
        <f t="shared" si="338"/>
        <v>0</v>
      </c>
      <c r="BR170" s="107">
        <f t="shared" si="338"/>
        <v>0</v>
      </c>
      <c r="BS170" s="464"/>
      <c r="BT170" s="461"/>
      <c r="BU170" s="392"/>
      <c r="BV170" s="461"/>
      <c r="BW170" s="392"/>
      <c r="BX170" s="392"/>
      <c r="BY170" s="392"/>
      <c r="BZ170" s="461"/>
      <c r="CA170" s="392"/>
      <c r="CB170" s="392"/>
      <c r="CC170" s="392"/>
      <c r="CD170" s="401"/>
      <c r="CE170" s="409"/>
      <c r="CF170" s="133">
        <f t="shared" si="258"/>
        <v>0</v>
      </c>
      <c r="CG170" s="134">
        <f t="shared" si="259"/>
        <v>0</v>
      </c>
      <c r="CH170" s="134">
        <f t="shared" si="260"/>
        <v>0</v>
      </c>
      <c r="CI170" s="134">
        <f t="shared" si="261"/>
        <v>1</v>
      </c>
      <c r="CJ170" s="134">
        <f t="shared" si="262"/>
        <v>0</v>
      </c>
      <c r="CK170" s="134">
        <f t="shared" si="263"/>
        <v>0</v>
      </c>
      <c r="CL170" s="134">
        <f t="shared" si="264"/>
        <v>0</v>
      </c>
      <c r="CM170" s="134">
        <f t="shared" si="265"/>
        <v>0</v>
      </c>
      <c r="CN170" s="134">
        <f t="shared" si="266"/>
        <v>0</v>
      </c>
      <c r="CO170" s="134">
        <f t="shared" si="267"/>
        <v>0</v>
      </c>
      <c r="CP170" s="134">
        <f t="shared" si="268"/>
        <v>0</v>
      </c>
      <c r="CQ170" s="134">
        <f t="shared" si="269"/>
        <v>0</v>
      </c>
      <c r="CR170" s="134">
        <f t="shared" si="270"/>
        <v>0</v>
      </c>
      <c r="CS170" s="134">
        <f t="shared" si="271"/>
        <v>0</v>
      </c>
      <c r="CT170" s="115">
        <f t="shared" si="272"/>
        <v>0</v>
      </c>
      <c r="CU170" s="116">
        <f t="shared" si="273"/>
        <v>0</v>
      </c>
      <c r="CV170" s="116">
        <f t="shared" si="274"/>
        <v>0</v>
      </c>
      <c r="CW170" s="116">
        <f t="shared" si="275"/>
        <v>0</v>
      </c>
      <c r="CX170" s="116">
        <f t="shared" si="276"/>
        <v>0</v>
      </c>
      <c r="CY170" s="116">
        <f t="shared" si="277"/>
        <v>0</v>
      </c>
      <c r="CZ170" s="116">
        <f t="shared" si="278"/>
        <v>0</v>
      </c>
      <c r="DA170" s="116">
        <f t="shared" si="279"/>
        <v>0</v>
      </c>
      <c r="DB170" s="116">
        <f t="shared" si="280"/>
        <v>0</v>
      </c>
      <c r="DC170" s="116">
        <f t="shared" si="281"/>
        <v>0</v>
      </c>
      <c r="DD170" s="116">
        <f t="shared" si="282"/>
        <v>0</v>
      </c>
      <c r="DE170" s="117">
        <f t="shared" si="283"/>
        <v>0</v>
      </c>
      <c r="DF170" s="118">
        <f t="shared" si="286"/>
        <v>12</v>
      </c>
      <c r="DG170" s="106">
        <f t="shared" si="287"/>
        <v>15.760000000000002</v>
      </c>
      <c r="DH170" s="116">
        <f t="shared" si="288"/>
        <v>4</v>
      </c>
      <c r="DI170" s="106">
        <f t="shared" si="289"/>
        <v>18.100000000000001</v>
      </c>
      <c r="DJ170" s="201" t="str">
        <f>IF($D169="","",$D169)</f>
        <v>3</v>
      </c>
      <c r="DK170" s="466"/>
    </row>
    <row r="171" spans="1:115" ht="14.5" customHeight="1" x14ac:dyDescent="0.2">
      <c r="A171" s="390"/>
      <c r="B171" s="457"/>
      <c r="C171" s="135" t="s">
        <v>53</v>
      </c>
      <c r="D171" s="375"/>
      <c r="E171" s="387"/>
      <c r="F171" s="378"/>
      <c r="G171" s="484"/>
      <c r="H171" s="477"/>
      <c r="I171" s="136"/>
      <c r="J171" s="137"/>
      <c r="K171" s="138"/>
      <c r="L171" s="139"/>
      <c r="M171" s="140"/>
      <c r="N171" s="407"/>
      <c r="O171" s="141" t="str">
        <f>IF(OR(AE169="",AE170=""),"",IF(L171&gt;0,ROUND(IF(M171&gt;0,M171,IF(M169&gt;0,ROUND((M169*AE171)/AE169,IF(N169=0,2,IF(N169=0.1,1,0))),IF(M170&gt;0,ROUND((M170*AE171)/AE170,IF(N169=0,2,IF(N169=0.1,1,0))),IF(M171&gt;0,M171,0)))),2),""))</f>
        <v/>
      </c>
      <c r="P171" s="142" t="str">
        <f>IF(I170="Lay",O170*(L170/(L170-1))-O170,IF(I169="Lay",O169*(L169/(L169-1))-O169,IF(OR(L171="",O171=""),"",IF($C171="1/2W",O171/2+O171/2*L171,IF($C171="1/2L",O171/2,(O171*L171-O171)*(1-_xlfn.XLOOKUP(K171,'Fevereiro 2023 - Valor Real'!A3:A15,'Fevereiro 2023 - Valor Real'!C3:C15,0))+O171)))))</f>
        <v/>
      </c>
      <c r="Q171" s="143" t="str">
        <f>IF(K171="","",IF(_xlfn.XLOOKUP(K171,K$8:K164,$DJ$8:DJ164,0,,-1)=DJ171,_xlfn.XLOOKUP(K171,K$8:K164,Q$8:Q164,1,,-1)+1,1))</f>
        <v/>
      </c>
      <c r="R171" s="144" t="str">
        <f>IF(K171="","",_xlfn.XLOOKUP(K171,K$8:K164,R$8:R164,0,,-1)+IF($C171=" ",1,0))</f>
        <v/>
      </c>
      <c r="S171" s="404"/>
      <c r="T171" s="378"/>
      <c r="U171" s="378"/>
      <c r="V171" s="404"/>
      <c r="W171" s="378"/>
      <c r="X171" s="453"/>
      <c r="Y171" s="383"/>
      <c r="Z171" s="384"/>
      <c r="AA171" s="384"/>
      <c r="AB171" s="384"/>
      <c r="AC171" s="384"/>
      <c r="AD171" s="145">
        <f>((L170/(L170-1)-1))</f>
        <v>0.55555555555555558</v>
      </c>
      <c r="AE171" s="146" t="str">
        <f>IF(L171="","",(SUM(((L169-1)*(1-_xlfn.XLOOKUP(K169,'Fevereiro 2023 - Valor Real'!A3:A15,'Fevereiro 2023 - Valor Real'!C3:C15,0))+1),((L170-1)*(1-_xlfn.XLOOKUP(K170,'Fevereiro 2023 - Valor Real'!A3:A15,'Fevereiro 2023 - Valor Real'!C3:C15,0))+1),((L171-1)*(1-_xlfn.XLOOKUP(K171,'Fevereiro 2023 - Valor Real'!A3:A15,'Fevereiro 2023 - Valor Real'!C3:C15,0))+1))/((L171-1)*(1-_xlfn.XLOOKUP(K171,'Fevereiro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Real'!C3:C15,0))+1))/((L169-1)*(1-_xlfn.XLOOKUP(K169,'Fevereiro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Real'!C3:C15,0))+1))/((L170-1)*(1-_xlfn.XLOOKUP(K170,'Fevereiro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Real'!C3:C15,0))+1))/((L171-1)*(1-_xlfn.XLOOKUP(K171,'Fevereiro 2023 - Valor Real'!A3:A15,'Fevereiro 2023 - Valor Real'!C3:C15,0))+1)))</f>
        <v/>
      </c>
      <c r="AF171" s="105">
        <f t="shared" si="336"/>
        <v>0</v>
      </c>
      <c r="AG171" s="106">
        <f t="shared" si="336"/>
        <v>0</v>
      </c>
      <c r="AH171" s="106">
        <f t="shared" si="336"/>
        <v>0</v>
      </c>
      <c r="AI171" s="106">
        <f t="shared" si="336"/>
        <v>0</v>
      </c>
      <c r="AJ171" s="106">
        <f t="shared" si="336"/>
        <v>0</v>
      </c>
      <c r="AK171" s="106">
        <f t="shared" si="336"/>
        <v>0</v>
      </c>
      <c r="AL171" s="106">
        <f t="shared" si="336"/>
        <v>0</v>
      </c>
      <c r="AM171" s="106">
        <f t="shared" si="336"/>
        <v>0</v>
      </c>
      <c r="AN171" s="106">
        <f t="shared" si="336"/>
        <v>0</v>
      </c>
      <c r="AO171" s="106">
        <f t="shared" si="336"/>
        <v>0</v>
      </c>
      <c r="AP171" s="106">
        <f t="shared" si="336"/>
        <v>0</v>
      </c>
      <c r="AQ171" s="106">
        <f t="shared" si="336"/>
        <v>0</v>
      </c>
      <c r="AR171" s="107">
        <f t="shared" si="336"/>
        <v>0</v>
      </c>
      <c r="AS171" s="105">
        <f>IF(AND($B169=" ",$K171=AS$3),$O171,0)</f>
        <v>0</v>
      </c>
      <c r="AT171" s="106">
        <f>IF(AND($B169=" ",K171=AT$3),$O171,0)</f>
        <v>0</v>
      </c>
      <c r="AU171" s="106">
        <f t="shared" ref="AU171:BE171" si="347">IF(AND($B169=" ",$K171=AU$3),$O171,0)</f>
        <v>0</v>
      </c>
      <c r="AV171" s="106">
        <f t="shared" si="347"/>
        <v>0</v>
      </c>
      <c r="AW171" s="106">
        <f t="shared" si="347"/>
        <v>0</v>
      </c>
      <c r="AX171" s="106">
        <f t="shared" si="347"/>
        <v>0</v>
      </c>
      <c r="AY171" s="108">
        <f t="shared" si="347"/>
        <v>0</v>
      </c>
      <c r="AZ171" s="109">
        <f t="shared" si="347"/>
        <v>0</v>
      </c>
      <c r="BA171" s="109">
        <f t="shared" si="347"/>
        <v>0</v>
      </c>
      <c r="BB171" s="109">
        <f t="shared" si="347"/>
        <v>0</v>
      </c>
      <c r="BC171" s="110">
        <f t="shared" si="347"/>
        <v>0</v>
      </c>
      <c r="BD171" s="106">
        <f t="shared" si="347"/>
        <v>0</v>
      </c>
      <c r="BE171" s="107">
        <f t="shared" si="347"/>
        <v>0</v>
      </c>
      <c r="BF171" s="105">
        <f t="shared" si="338"/>
        <v>0</v>
      </c>
      <c r="BG171" s="106">
        <f t="shared" si="338"/>
        <v>0</v>
      </c>
      <c r="BH171" s="106">
        <f t="shared" si="338"/>
        <v>0</v>
      </c>
      <c r="BI171" s="106">
        <f t="shared" si="338"/>
        <v>0</v>
      </c>
      <c r="BJ171" s="106">
        <f t="shared" si="338"/>
        <v>0</v>
      </c>
      <c r="BK171" s="106">
        <f t="shared" si="338"/>
        <v>0</v>
      </c>
      <c r="BL171" s="106">
        <f t="shared" si="338"/>
        <v>0</v>
      </c>
      <c r="BM171" s="108">
        <f t="shared" si="338"/>
        <v>0</v>
      </c>
      <c r="BN171" s="109">
        <f t="shared" si="338"/>
        <v>0</v>
      </c>
      <c r="BO171" s="109">
        <f t="shared" si="338"/>
        <v>0</v>
      </c>
      <c r="BP171" s="109">
        <f t="shared" si="338"/>
        <v>0</v>
      </c>
      <c r="BQ171" s="110">
        <f t="shared" si="338"/>
        <v>0</v>
      </c>
      <c r="BR171" s="107">
        <f t="shared" si="338"/>
        <v>0</v>
      </c>
      <c r="BS171" s="464"/>
      <c r="BT171" s="461"/>
      <c r="BU171" s="392"/>
      <c r="BV171" s="461"/>
      <c r="BW171" s="392"/>
      <c r="BX171" s="392"/>
      <c r="BY171" s="392"/>
      <c r="BZ171" s="461"/>
      <c r="CA171" s="392"/>
      <c r="CB171" s="392"/>
      <c r="CC171" s="392"/>
      <c r="CD171" s="401"/>
      <c r="CE171" s="409"/>
      <c r="CF171" s="133">
        <f t="shared" si="258"/>
        <v>0</v>
      </c>
      <c r="CG171" s="134">
        <f t="shared" si="259"/>
        <v>0</v>
      </c>
      <c r="CH171" s="134">
        <f t="shared" si="260"/>
        <v>0</v>
      </c>
      <c r="CI171" s="134">
        <f t="shared" si="261"/>
        <v>0</v>
      </c>
      <c r="CJ171" s="134">
        <f t="shared" si="262"/>
        <v>0</v>
      </c>
      <c r="CK171" s="134">
        <f t="shared" si="263"/>
        <v>0</v>
      </c>
      <c r="CL171" s="134">
        <f t="shared" si="264"/>
        <v>0</v>
      </c>
      <c r="CM171" s="134">
        <f t="shared" si="265"/>
        <v>0</v>
      </c>
      <c r="CN171" s="134">
        <f t="shared" si="266"/>
        <v>0</v>
      </c>
      <c r="CO171" s="134">
        <f t="shared" si="267"/>
        <v>0</v>
      </c>
      <c r="CP171" s="134">
        <f t="shared" si="268"/>
        <v>0</v>
      </c>
      <c r="CQ171" s="134">
        <f t="shared" si="269"/>
        <v>0</v>
      </c>
      <c r="CR171" s="134">
        <f t="shared" si="270"/>
        <v>0</v>
      </c>
      <c r="CS171" s="134">
        <f t="shared" si="271"/>
        <v>0</v>
      </c>
      <c r="CT171" s="115">
        <f t="shared" si="272"/>
        <v>0</v>
      </c>
      <c r="CU171" s="116">
        <f t="shared" si="273"/>
        <v>0</v>
      </c>
      <c r="CV171" s="116">
        <f t="shared" si="274"/>
        <v>0</v>
      </c>
      <c r="CW171" s="116">
        <f t="shared" si="275"/>
        <v>0</v>
      </c>
      <c r="CX171" s="116">
        <f t="shared" si="276"/>
        <v>0</v>
      </c>
      <c r="CY171" s="116">
        <f t="shared" si="277"/>
        <v>0</v>
      </c>
      <c r="CZ171" s="116">
        <f t="shared" si="278"/>
        <v>0</v>
      </c>
      <c r="DA171" s="116">
        <f t="shared" si="279"/>
        <v>0</v>
      </c>
      <c r="DB171" s="116">
        <f t="shared" si="280"/>
        <v>0</v>
      </c>
      <c r="DC171" s="116">
        <f t="shared" si="281"/>
        <v>0</v>
      </c>
      <c r="DD171" s="116">
        <f t="shared" si="282"/>
        <v>0</v>
      </c>
      <c r="DE171" s="117">
        <f t="shared" si="283"/>
        <v>0</v>
      </c>
      <c r="DF171" s="118">
        <f t="shared" si="286"/>
        <v>12</v>
      </c>
      <c r="DG171" s="106">
        <f t="shared" si="287"/>
        <v>15.760000000000002</v>
      </c>
      <c r="DH171" s="116">
        <f t="shared" si="288"/>
        <v>4</v>
      </c>
      <c r="DI171" s="106">
        <f t="shared" si="289"/>
        <v>18.100000000000001</v>
      </c>
      <c r="DJ171" s="201" t="str">
        <f>IF($D169="","",$D169)</f>
        <v>3</v>
      </c>
      <c r="DK171" s="466"/>
    </row>
    <row r="172" spans="1:115" ht="14.5" customHeight="1" x14ac:dyDescent="0.2">
      <c r="A172" s="487">
        <f>$A169+1</f>
        <v>57</v>
      </c>
      <c r="B172" s="506" t="str">
        <f>IF(OR(C172="W",C173="W",C174="W",C172="1/2W",C173="1/2W",C174="1/2W",C172="1/2L",C173="1/2L",C174="1/2L"),"OK",IF(OR(C172="L",C173="L",C174="L"),"LOSS",IF(OR(C172="X",C173="X",C174="X"),"Anulado"," ")))</f>
        <v>OK</v>
      </c>
      <c r="C172" s="147" t="s">
        <v>55</v>
      </c>
      <c r="D172" s="494" t="str">
        <f>IF(G172="","",$D169)</f>
        <v>3</v>
      </c>
      <c r="E172" s="511" t="str">
        <f>IF(G172=""," ","– "&amp;COUNTIF(D$4:D174,$D172))</f>
        <v>– 14</v>
      </c>
      <c r="F172" s="510" t="str">
        <f ca="1">IF(G172="","",IF(OR(AND($C172&lt;&gt;" ",$C173=" "),AND($C173&lt;&gt;" ",$C172=" "),AND(L174&gt;0,OR(AND($C174&lt;&gt;" ",OR($C172=" ",$C173=" ")),AND($C174=" ",OR($C172&lt;&gt;" ",$C173&lt;&gt;" "))))),IF(SUM(F$9:F164)=0,1,LARGE(F$9:F164,1)+1),IF(MONTH(G172)=MONTH(TODAY()),IF(AND(DAY(G172)&lt;DAY(TODAY()),$B172=" "),IF(SUM(F$9:F164)=0,1,LARGE(F$9:F164,1)+1),IF($B172=" ",IF(AND(DAY(G172)=DAY(TODAY()),HOUR(G172)&lt;=HOUR(NOW())+1),IF(AND(HOUR(G172)+2&lt;=HOUR(NOW()),DAY(G172)&lt;=DAY(TODAY()),MINUTE(G172)&lt;=MINUTE(NOW())),IF(SUM(F$9:F164)=0,1,LARGE(F$9:F164,1)+1),IF(OR(MINUTE(G172)&lt;=MINUTE(NOW()),HOUR(G172)&lt;=HOUR(NOW())),"!!!","")),""),"")),"")))</f>
        <v/>
      </c>
      <c r="G172" s="508">
        <v>44989.458333333336</v>
      </c>
      <c r="H172" s="502" t="s">
        <v>107</v>
      </c>
      <c r="I172" s="180" t="s">
        <v>76</v>
      </c>
      <c r="J172" s="181">
        <v>0</v>
      </c>
      <c r="K172" s="150" t="s">
        <v>47</v>
      </c>
      <c r="L172" s="151">
        <v>1.94</v>
      </c>
      <c r="M172" s="152"/>
      <c r="N172" s="503">
        <v>0.1</v>
      </c>
      <c r="O172" s="153">
        <f>IF(OR(AE172="",AE173=""),"",ROUND(IF(L174&gt;0,IF(M172&gt;0,M172,IF(M173&gt;0,ROUND((M173*AE172)/AE173,IF(N172=0,2,IF(N172=0.1,1,0))),ROUND((M174*AE172)/AE174,IF(N172=0,2,IF(N172=0.1,1,0))))),IF(M172&gt;0,M172,ROUND((M173*AE172)/AE173,IF(N172=0,2,IF(N172=0.1,1,0))))),2))</f>
        <v>13.3</v>
      </c>
      <c r="P172" s="154">
        <f>IF(OR(L172="",O172=""),"",IF($C172="1/2W",O172/2+O172/2*L172,IF($C172="1/2L",O172/2,IF(I172="Lay",(O172*(L172/(L172-1))-O172)*(1-_xlfn.XLOOKUP(K172,'Fevereiro 2023 - Valor Real'!A3:A15,'Fevereiro 2023 - Valor Real'!C3:C15,0))+O172,(O172*L172-O172)*(1-_xlfn.XLOOKUP(K172,'Fevereiro 2023 - Valor Real'!A3:A15,'Fevereiro 2023 - Valor Real'!C3:C15,0))+O172))))</f>
        <v>25.802</v>
      </c>
      <c r="Q172" s="155">
        <f>IF(K172="","",IF(_xlfn.XLOOKUP(K172,K$9:K164,$DJ$9:DJ164,0,,-1)=DJ172,_xlfn.XLOOKUP(K172,K$9:K164,Q$9:Q164,1,,-1)+1,1))</f>
        <v>6</v>
      </c>
      <c r="R172" s="156">
        <f>IF(K172="","",_xlfn.XLOOKUP(K172,K$9:K164,R$9:R164,0,,-1)+IF($C172=" ",1,0))</f>
        <v>0</v>
      </c>
      <c r="S172" s="501">
        <f>IF($B172="Anulado",0,ROUND(IF(OR($B172="LOSS",$B172="OK"),IF(OR($C172="W",$C172="1/2W",$C172="1/2L"),P172-O172,IF($C172="L",-O172,0))+IF(OR($C173="W",$C173="1/2W",$C173="1/2L"),P173-O173,IF($C173="L",-O173,0))+IF(OR($C174="W",$C174="1/2W",$C174="1/2L"),P174-O174,IF($C174="L",-O174,0)),IF(AND(OR($C172="W",$C172="1/2W",$C172="1/2L"),C173="W"),P172+P173-SUM(O172:O174)+_xlfn.XLOOKUP("X",C172:C174,O172:O174,0),IF(AND(C172=TRUE,C174="W"),P172+P174-SUM(O172:O174),IF(AND(C173="W",C174="W"),P173+P174-SUM(O172:O174)+_xlfn.XLOOKUP("X",C172:C174,O172:O174,0),IF(L174&gt;0,IF(OR($C172="W",$C172="1/2W",$C172="1/2L"),P172-SUM(O172:O174)+_xlfn.XLOOKUP("X",C172:C174,O172:O174,0),IF(OR($C172="W",$C172="1/2W",$C172="1/2L"),P173-SUM(O172:O174)+_xlfn.XLOOKUP("X",C172:C174,O172:O174,0),IF(OR($C172="W",$C172="1/2W",$C172="1/2L"),P174-SUM(O172:O174)+_xlfn.XLOOKUP("X",C172:C174,O172:O174,0),IF(SUM(P172:P174)/3-SUM(O172:O174)+_xlfn.XLOOKUP("X",C172:C174,O172:O174,0)&gt;0,SUM(P172:P174)/3-SUM(O172:O174)+_xlfn.XLOOKUP("X",C172:C174,O172:O174,0),LARGE(P172:P174,1)-SUM(O172:O174))))),IF(OR($C172="W",$C172="1/2W",$C172="1/2L"),P172-SUM(O172:O173)+_xlfn.XLOOKUP("X",C172:C174,O172:O174,0),IF(OR($C172="W",$C172="1/2W",$C172="1/2L"),P173-SUM(O172:O173)+_xlfn.XLOOKUP("X",C172:C174,O172:O174,0),SUM(P172:P173)/2-SUM(O172:O173)+_xlfn.XLOOKUP("X",C172:C174,O172:O174,0)))))))),2))</f>
        <v>1.03</v>
      </c>
      <c r="T172" s="486">
        <f>IF(S172=0,0,S172/SUM(O172:O174))</f>
        <v>4.159935379644588E-2</v>
      </c>
      <c r="U172" s="496">
        <f>IF($D172=$D169,IF(OR($B172="LOSS",$B172="OK",$B172="Anulada"),S172,0)+U169,IF(OR($B172="LOSS",$B172="OK",$B172="Anulada"),S172,0))</f>
        <v>28.99</v>
      </c>
      <c r="V172" s="496">
        <f>IF($D172="",0,IF($D172=$D169,IF($B172=" ",IF(I174="",IF(OR(AND(I172="DNB1",I173="DNB2"),AND(OR(I172="DNB1",I172="DNB2"),J173=0),AND(OR(I173="DNB1",I173="DNB2"),J172=0),AND(I172="DNB2",I173="DNB1"),AND(IF(J172=0,(J172+1)/ROUND(J172+1,0),J172/ROUND(J172,0))=1,IF(J173=0,(J173+1)/ROUND(IF(J173="",0,J173)+1,0),IF(J173="",0,J173)/ROUND(IF(J173="",1,J173),0))=1,OR(J172&lt;&gt;""),J173&lt;&gt;"")),0,IF(S172&lt;0,IF(I174="",SMALL(P172:P173,1)-SUM(O172:O173),0),SMALL(P172:P173,1)-SUM(O172:O173))),IF(S172&lt;0,IF(I174="",SMALL(P172:P174,1)-SUM(O172:O174),0),LARGE(P172:P174,1)-SUM(O172:O174))),S172)+V169,IF(I174="",IF(OR(AND(I172="DNB1",I173="DNB2"),AND(OR(I172="DNB1",I172="DNB2"),J173=0),AND(OR(I173="DNB1",I173="DNB2"),J172=0),AND(I172="DNB2",I173="DNB1"),AND(IF(J172=0,(J172+1)/ROUND(J172+1,0),J172/ROUND(J172,0))=1,IF(J173=0,(IF(J173="",0,J173)+1)/ROUND(IF(J173="",0,J173)+1,0),IF(J173="",0,J173)/ROUND(IF(J173="",0,J173)+1,0))=1,OR(J172&lt;&gt;""),J173&lt;&gt;"")),0,IF(S172&lt;0,IF(I174="",SMALL(P172:P173,1)-SUM(O172:O173),0),SMALL(P172:P174,1)-SUM(O172:O174))),IF(S172&lt;0,IF(I174="",SMALL(P172:P174,1)-SUM(O172:O174),0),LARGE(P172:P174,1)-SUM(O172:O174)))))</f>
        <v>28.98</v>
      </c>
      <c r="W172" s="496">
        <f>IF($D172=$D169,IF(S172&lt;0,IF(I174="",S172,0),S172)+W169,S172)</f>
        <v>28.99</v>
      </c>
      <c r="X172" s="505" t="str">
        <f>IF(OR(SUM(R172:R174)=0,V172=W172),ROUND(IF(W172=0,0,W172/Y172)*100,2)&amp;"%",ROUND(IF(V172=0,0,V172/Y172)*100,2)&amp;"% a "&amp;ROUND(IF(W172=0,0,W172/Y172)*100,2)&amp;"%")</f>
        <v>4,92%</v>
      </c>
      <c r="Y172" s="497">
        <f>IF($D172=$D169,Y169+SUM(O172:O174),SUM(O172:O174))</f>
        <v>589.80999999999995</v>
      </c>
      <c r="Z172" s="496">
        <f>IF($B172=" ",SUM(O172:O174),0)+Z169</f>
        <v>0</v>
      </c>
      <c r="AA172" s="496">
        <f>IF(G172="","",IF($B172="Anulado",LARGE(P172:P174,1)-SUM(O172:O174)+AA169,AA169))</f>
        <v>1.4607999999999972</v>
      </c>
      <c r="AB172" s="496">
        <f>IF($D172="","",AB169+S172)</f>
        <v>139.84999999999997</v>
      </c>
      <c r="AC172" s="499">
        <f ca="1">IF($D172="","",IF($B172=" ",IF(DAY(G172)=DAY(TODAY()),1+AC169,0+AC169),0+AC169))</f>
        <v>0</v>
      </c>
      <c r="AD172" s="157">
        <f>(1-_xlfn.XLOOKUP(K170,'Fevereiro 2023 - Valor Real'!A3:A15,'Fevereiro 2023 - Valor Real'!C3:C15,0))+1</f>
        <v>2</v>
      </c>
      <c r="AE172" s="158">
        <f>IF(L172="","",IF(L174&gt;0,(SUM(((L172-1)*(1-_xlfn.XLOOKUP(K172,'Fevereiro 2023 - Valor Real'!A3:A15,'Fevereiro 2023 - Valor Real'!C3:C15,0))+1),((L173-1)*(1-_xlfn.XLOOKUP(K173,'Fevereiro 2023 - Valor Real'!A3:A15,'Fevereiro 2023 - Valor Real'!C3:C15,0))+1),((L174-1)*(1-_xlfn.XLOOKUP(K174,'Fevereiro 2023 - Valor Real'!A3:A15,'Fevereiro 2023 - Valor Real'!C3:C15,0))+1))/((L172-1)*(1-_xlfn.XLOOKUP(K172,'Fevereiro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Real'!C3:C15,0))+1))/((L172-1)*(1-_xlfn.XLOOKUP(K172,'Fevereiro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Real'!C3:C15,0))+1))/((L173-1)*(1-_xlfn.XLOOKUP(K173,'Fevereiro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Real'!C3:C15,0))+1))/((L174-1)*(1-_xlfn.XLOOKUP(K174,'Fevereiro 2023 - Valor Real'!A3:A15,'Fevereiro 2023 - Valor Real'!C3:C15,0))+1)),IF(I172="Lay",IF(I173="Lay",((L173/(L173-1)-1)*(1-_xlfn.XLOOKUP(K173,'Fevereiro 2023 - Valor Real'!A3:A15,'Fevereiro 2023 - Valor Real'!C3:C15,0))+1)/(((L173/(L173-1)-1)*(1-_xlfn.XLOOKUP(K173,'Fevereiro 2023 - Valor Real'!A3:A15,'Fevereiro 2023 - Valor Real'!C3:C15,0))+1)+((L172/(L172-1)-1)*(1-_xlfn.XLOOKUP(K172,'Fevereiro 2023 - Valor Real'!A3:A15,'Fevereiro 2023 - Valor Real'!C3:C15,0))+1)),((L173-1)*(1-_xlfn.XLOOKUP(K173,'Fevereiro 2023 - Valor Real'!A3:A15,'Fevereiro 2023 - Valor Real'!C3:C15,0))+1)/(((L173-1)*(1-_xlfn.XLOOKUP(K173,'Fevereiro 2023 - Valor Real'!A3:A15,'Fevereiro 2023 - Valor Real'!C3:C15,0))+1)+((L172/(L172-1)-1)*(1-_xlfn.XLOOKUP(K172,'Fevereiro 2023 - Valor Real'!A3:A15,'Fevereiro 2023 - Valor Real'!C3:C15,0))+1))),IF(I173="Lay",(((L173/(L173-1)-1)*(1-_xlfn.XLOOKUP(K173,'Fevereiro 2023 - Valor Real'!A3:A15,'Fevereiro 2023 - Valor Real'!C3:C15,0))+1))/(((L172-1)*(1-_xlfn.XLOOKUP(K172,'Fevereiro 2023 - Valor Real'!A3:A15,'Fevereiro 2023 - Valor Real'!C3:C15,0))+1)+((L173/(L173-1)-1)*(1-_xlfn.XLOOKUP(K173,'Fevereiro 2023 - Valor Real'!A3:A15,'Fevereiro 2023 - Valor Real'!C3:C15,0))+1)),((L173-1)*(1-_xlfn.XLOOKUP(K173,'Fevereiro 2023 - Valor Real'!A3:A15,'Fevereiro 2023 - Valor Real'!C3:C15,0))+1)/(((L173-1)*(1-_xlfn.XLOOKUP(K173,'Fevereiro 2023 - Valor Real'!A3:A15,'Fevereiro 2023 - Valor Real'!C3:C15,0))+1)+((L172-1)*(1-_xlfn.XLOOKUP(K172,'Fevereiro 2023 - Valor Real'!A3:A15,'Fevereiro 2023 - Valor Real'!C3:C15,0))+1))))))</f>
        <v>0.53699284009546544</v>
      </c>
      <c r="AF172" s="66">
        <f t="shared" si="336"/>
        <v>0</v>
      </c>
      <c r="AG172" s="67">
        <f t="shared" si="336"/>
        <v>0</v>
      </c>
      <c r="AH172" s="67">
        <f t="shared" si="336"/>
        <v>0</v>
      </c>
      <c r="AI172" s="67">
        <f t="shared" si="336"/>
        <v>0</v>
      </c>
      <c r="AJ172" s="67">
        <f t="shared" si="336"/>
        <v>0</v>
      </c>
      <c r="AK172" s="67">
        <f t="shared" si="336"/>
        <v>0</v>
      </c>
      <c r="AL172" s="67">
        <f t="shared" si="336"/>
        <v>0</v>
      </c>
      <c r="AM172" s="67">
        <f t="shared" si="336"/>
        <v>0</v>
      </c>
      <c r="AN172" s="67">
        <f t="shared" si="336"/>
        <v>0</v>
      </c>
      <c r="AO172" s="67">
        <f t="shared" si="336"/>
        <v>0</v>
      </c>
      <c r="AP172" s="67">
        <f t="shared" si="336"/>
        <v>0</v>
      </c>
      <c r="AQ172" s="67">
        <f t="shared" si="336"/>
        <v>-13.3</v>
      </c>
      <c r="AR172" s="68">
        <f t="shared" si="336"/>
        <v>0</v>
      </c>
      <c r="AS172" s="66">
        <f t="shared" ref="AS172:BE172" si="348">IF(AND($B172=" ",$K172=AS$3),$O172,0)</f>
        <v>0</v>
      </c>
      <c r="AT172" s="67">
        <f t="shared" si="348"/>
        <v>0</v>
      </c>
      <c r="AU172" s="67">
        <f t="shared" si="348"/>
        <v>0</v>
      </c>
      <c r="AV172" s="67">
        <f t="shared" si="348"/>
        <v>0</v>
      </c>
      <c r="AW172" s="67">
        <f t="shared" si="348"/>
        <v>0</v>
      </c>
      <c r="AX172" s="67">
        <f t="shared" si="348"/>
        <v>0</v>
      </c>
      <c r="AY172" s="69">
        <f t="shared" si="348"/>
        <v>0</v>
      </c>
      <c r="AZ172" s="70">
        <f t="shared" si="348"/>
        <v>0</v>
      </c>
      <c r="BA172" s="70">
        <f t="shared" si="348"/>
        <v>0</v>
      </c>
      <c r="BB172" s="70">
        <f t="shared" si="348"/>
        <v>0</v>
      </c>
      <c r="BC172" s="71">
        <f t="shared" si="348"/>
        <v>0</v>
      </c>
      <c r="BD172" s="67">
        <f t="shared" si="348"/>
        <v>0</v>
      </c>
      <c r="BE172" s="68">
        <f t="shared" si="348"/>
        <v>0</v>
      </c>
      <c r="BF172" s="66">
        <f t="shared" si="338"/>
        <v>0</v>
      </c>
      <c r="BG172" s="67">
        <f t="shared" si="338"/>
        <v>0</v>
      </c>
      <c r="BH172" s="67">
        <f t="shared" si="338"/>
        <v>0</v>
      </c>
      <c r="BI172" s="67">
        <f t="shared" si="338"/>
        <v>0</v>
      </c>
      <c r="BJ172" s="67">
        <f t="shared" si="338"/>
        <v>0</v>
      </c>
      <c r="BK172" s="67">
        <f t="shared" si="338"/>
        <v>0</v>
      </c>
      <c r="BL172" s="67">
        <f t="shared" si="338"/>
        <v>0</v>
      </c>
      <c r="BM172" s="69">
        <f t="shared" si="338"/>
        <v>0</v>
      </c>
      <c r="BN172" s="70">
        <f t="shared" si="338"/>
        <v>0</v>
      </c>
      <c r="BO172" s="70">
        <f t="shared" si="338"/>
        <v>0</v>
      </c>
      <c r="BP172" s="70">
        <f t="shared" si="338"/>
        <v>0</v>
      </c>
      <c r="BQ172" s="71">
        <f t="shared" si="338"/>
        <v>13.3</v>
      </c>
      <c r="BR172" s="68">
        <f t="shared" si="338"/>
        <v>0</v>
      </c>
      <c r="BS172" s="490">
        <f>IF($B172="LOSS",IF(AND($K172=BS$3,$C172="L"),-$O172,0)+IF(AND($K173=BS$3,$C173="L"),-$O173,0)+IF(AND($K174=BS$3,$C174="L"),-$O174,0),IF(OR(AND($K172=BS$3,OR($C172="W",$C172="1/2W")),AND($K173=BS$3,OR($C173="W",$C173="1/2W")),AND($K174=BS$3,OR($C174="W",$C174="1/2W"))),$S172,0))</f>
        <v>0</v>
      </c>
      <c r="BT172" s="498">
        <f>IF($B172="LOSS",IF(AND($K172=BT$3,$C172="L"),-$O172,0)+IF(AND($K173=BT$3,$C173="L"),-$O173,0)+IF(AND($K173=BT$3,$C174="L"),-$O174,0),IF(OR(AND($K173=BT$3,OR($C172="W",$C172="1/2W")),AND($K173=BT$3,OR($C173="W",$C173="1/2W")),AND($K173=BT$3,OR($C174="W",$C174="1/2W"))),$S172,0))</f>
        <v>1.03</v>
      </c>
      <c r="BU172" s="488">
        <f>IF($B172="LOSS",IF(AND($K172=BU$3,$C172="L"),-$O172,0)+IF(AND($K173=BU$3,$C173="L"),-$O173,0)+IF(AND($K173=BU$3,$C174="L"),-$O174,0),IF(OR(AND($K173=BU$3,OR($C172="W",$C172="1/2W")),AND($K173=BU$3,OR($C173="W",$C173="1/2W")),AND($K173=BU$3,OR($C174="W",$C174="1/2W"))),$S172,0))</f>
        <v>0</v>
      </c>
      <c r="BV172" s="488">
        <f t="shared" ref="BV172:CE172" si="349">IF($B172="LOSS",IF(AND($K172=BV$3,$C172="L"),-$O172,0)+IF(AND($K173=BV$3,$C173="L"),-$O173,0)+IF(AND($K174=BV$3,$C174="L"),-$O174,0),IF(OR(AND($K172=BV$3,OR($C172="W",$C172="1/2W")),AND($K173=BV$3,OR($C173="W",$C173="1/2W")),AND($K174=BV$3,OR($C174="W",$C174="1/2W"))),$S172,0))</f>
        <v>0</v>
      </c>
      <c r="BW172" s="488">
        <f t="shared" si="349"/>
        <v>0</v>
      </c>
      <c r="BX172" s="488">
        <f t="shared" si="349"/>
        <v>0</v>
      </c>
      <c r="BY172" s="488">
        <f t="shared" si="349"/>
        <v>0</v>
      </c>
      <c r="BZ172" s="488">
        <f t="shared" si="349"/>
        <v>0</v>
      </c>
      <c r="CA172" s="488">
        <f t="shared" si="349"/>
        <v>0</v>
      </c>
      <c r="CB172" s="488">
        <f t="shared" si="349"/>
        <v>0</v>
      </c>
      <c r="CC172" s="488">
        <f t="shared" si="349"/>
        <v>0</v>
      </c>
      <c r="CD172" s="500">
        <f t="shared" si="349"/>
        <v>0</v>
      </c>
      <c r="CE172" s="504">
        <f t="shared" si="349"/>
        <v>0</v>
      </c>
      <c r="CF172" s="160">
        <f t="shared" si="258"/>
        <v>0</v>
      </c>
      <c r="CG172" s="161">
        <f t="shared" si="259"/>
        <v>0</v>
      </c>
      <c r="CH172" s="161">
        <f t="shared" si="260"/>
        <v>0</v>
      </c>
      <c r="CI172" s="161">
        <f t="shared" si="261"/>
        <v>0</v>
      </c>
      <c r="CJ172" s="161">
        <f t="shared" si="262"/>
        <v>0</v>
      </c>
      <c r="CK172" s="161">
        <f t="shared" si="263"/>
        <v>0</v>
      </c>
      <c r="CL172" s="161">
        <f t="shared" si="264"/>
        <v>0</v>
      </c>
      <c r="CM172" s="161">
        <f t="shared" si="265"/>
        <v>0</v>
      </c>
      <c r="CN172" s="161">
        <f t="shared" si="266"/>
        <v>0</v>
      </c>
      <c r="CO172" s="161">
        <f t="shared" si="267"/>
        <v>0</v>
      </c>
      <c r="CP172" s="161">
        <f t="shared" si="268"/>
        <v>0</v>
      </c>
      <c r="CQ172" s="161">
        <f t="shared" si="269"/>
        <v>0</v>
      </c>
      <c r="CR172" s="161">
        <f t="shared" si="270"/>
        <v>0</v>
      </c>
      <c r="CS172" s="161">
        <f t="shared" si="271"/>
        <v>0</v>
      </c>
      <c r="CT172" s="75">
        <f t="shared" si="272"/>
        <v>0</v>
      </c>
      <c r="CU172" s="76">
        <f t="shared" si="273"/>
        <v>0</v>
      </c>
      <c r="CV172" s="76">
        <f t="shared" si="274"/>
        <v>0</v>
      </c>
      <c r="CW172" s="76">
        <f t="shared" si="275"/>
        <v>0</v>
      </c>
      <c r="CX172" s="76">
        <f t="shared" si="276"/>
        <v>0</v>
      </c>
      <c r="CY172" s="76">
        <f t="shared" si="277"/>
        <v>0</v>
      </c>
      <c r="CZ172" s="76">
        <f t="shared" si="278"/>
        <v>0</v>
      </c>
      <c r="DA172" s="76">
        <f t="shared" si="279"/>
        <v>0</v>
      </c>
      <c r="DB172" s="76">
        <f t="shared" si="280"/>
        <v>0</v>
      </c>
      <c r="DC172" s="76">
        <f t="shared" si="281"/>
        <v>1</v>
      </c>
      <c r="DD172" s="76">
        <f t="shared" si="282"/>
        <v>0</v>
      </c>
      <c r="DE172" s="77">
        <f t="shared" si="283"/>
        <v>0</v>
      </c>
      <c r="DF172" s="73">
        <f t="shared" si="286"/>
        <v>12</v>
      </c>
      <c r="DG172" s="67">
        <f t="shared" si="287"/>
        <v>15.760000000000002</v>
      </c>
      <c r="DH172" s="76">
        <f t="shared" si="288"/>
        <v>4</v>
      </c>
      <c r="DI172" s="67">
        <f t="shared" si="289"/>
        <v>18.100000000000001</v>
      </c>
      <c r="DJ172" s="202" t="str">
        <f>IF($D172="","",$D172)</f>
        <v>3</v>
      </c>
      <c r="DK172" s="492">
        <f>IF(AND($B172=" ",$D172&lt;&gt;""),1,0)</f>
        <v>0</v>
      </c>
    </row>
    <row r="173" spans="1:115" ht="14.5" customHeight="1" x14ac:dyDescent="0.2">
      <c r="A173" s="389"/>
      <c r="B173" s="456"/>
      <c r="C173" s="53" t="s">
        <v>54</v>
      </c>
      <c r="D173" s="374"/>
      <c r="E173" s="386"/>
      <c r="F173" s="377"/>
      <c r="G173" s="508"/>
      <c r="H173" s="476"/>
      <c r="I173" s="182" t="s">
        <v>63</v>
      </c>
      <c r="J173" s="163" t="str">
        <f>IF(OR(I172="TO",I172="TU",I172="TO1",I172="TU1",I172="TO2",I172="TU2"),J172,IF(OR(I172="AH1",I172="AH2"),IF(OR(I173="AH1",I173="AH2"),-J172,IF(OR(I173="EH1",I173="EH2"),-J172+0.5,"")),IF(OR(I172="EH1",I172="EH2"),IF(OR(I173="AH1",I173="AH2"),-J172+0.5,IF(OR(I173="EH1",I173="EH2"),-J172+1,"")),IF(AND(OR(I172="DNB1",I172="DNB2"),OR(I173="AH1",I173="AH2")),0,IF(AND(I172="Not ScoreBoth",OR(I173="TO1",I173="TO2")),0.5,"")))))</f>
        <v/>
      </c>
      <c r="K173" s="57" t="s">
        <v>37</v>
      </c>
      <c r="L173" s="164">
        <v>2.25</v>
      </c>
      <c r="M173" s="165">
        <v>11.46</v>
      </c>
      <c r="N173" s="406"/>
      <c r="O173" s="60">
        <f>IF(OR(AE172="",AE173=""),"",ROUND(IF(L174&gt;0,IF(M173&gt;0,M173,IF(M172&gt;0,IF(N172=TRUE,ROUND((M172*AE173)/AE172,0),(M172*AE173)/AE172),IF(M173&gt;0,ROUND(M173,IF(N172=0,2,IF(N172=0.1,1,0))),IF(M174&gt;0,ROUND(O174*AE173/AE174,IF(N172=0,2,IF(N172=0.1,1,0))),0)))),IF(M173&gt;0,M173,ROUND((M172*AE173)/AE172,IF(N172=0,2,IF(N172=0.1,1,0))))),2))</f>
        <v>11.46</v>
      </c>
      <c r="P173" s="61">
        <f>IF(OR(L173="",O173=""),"",IF($C173="1/2W",O173/2+O173/2*L173,IF($C173="1/2L",O173/2,IF(I173="Lay",((O173*(L173/(L173-1)))-O173)*(1-_xlfn.XLOOKUP(K173,'Fevereiro 2023 - Valor Real'!A3:A15,'Fevereiro 2023 - Valor Real'!C3:C15,0))+O173,(O173*L173-O173)*(1-_xlfn.XLOOKUP(K173,'Fevereiro 2023 - Valor Real'!A3:A15,'Fevereiro 2023 - Valor Real'!C3:C15,0))+O173))))</f>
        <v>25.785000000000004</v>
      </c>
      <c r="Q173" s="166">
        <f>IF(K173="","",IF(_xlfn.XLOOKUP(K173,K$10:K164,$DJ$10:DJ164,0,,-1)=DJ173,_xlfn.XLOOKUP(K173,K$10:K164,Q$10:Q164,1,,-1)+1,1))</f>
        <v>4</v>
      </c>
      <c r="R173" s="167">
        <f>IF(K173="","",_xlfn.XLOOKUP(K173,K$10:K164,R$10:R164,0,,-1)+IF($C173=" ",1,0))</f>
        <v>0</v>
      </c>
      <c r="S173" s="403"/>
      <c r="T173" s="380"/>
      <c r="U173" s="380"/>
      <c r="V173" s="481"/>
      <c r="W173" s="380"/>
      <c r="X173" s="452"/>
      <c r="Y173" s="383"/>
      <c r="Z173" s="384"/>
      <c r="AA173" s="384"/>
      <c r="AB173" s="384"/>
      <c r="AC173" s="384"/>
      <c r="AD173" s="64"/>
      <c r="AE173" s="65">
        <f>IF(L173="","",IF(L174&gt;0,(SUM(((L172-1)*(1-_xlfn.XLOOKUP(K172,'Fevereiro 2023 - Valor Real'!A3:A15,'Fevereiro 2023 - Valor Real'!C3:C15,0))+1),((L173-1)*(1-_xlfn.XLOOKUP(K173,'Fevereiro 2023 - Valor Real'!A3:A15,'Fevereiro 2023 - Valor Real'!C3:C15,0))+1),((L174-1)*(1-_xlfn.XLOOKUP(K174,'Fevereiro 2023 - Valor Real'!A3:A15,'Fevereiro 2023 - Valor Real'!C3:C15,0))+1))/((L173-1)*(1-_xlfn.XLOOKUP(K173,'Fevereiro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Real'!C3:C15,0))+1))/((L172-1)*(1-_xlfn.XLOOKUP(K172,'Fevereiro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Real'!C3:C15,0))+1))/((L173-1)*(1-_xlfn.XLOOKUP(K173,'Fevereiro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Real'!C3:C15,0))+1))/((L174-1)*(1-_xlfn.XLOOKUP(K174,'Fevereiro 2023 - Valor Real'!A3:A15,'Fevereiro 2023 - Valor Real'!C3:C15,0))+1)),IF(I173="Lay",IF(I172="Lay",((L172/(L172-1)-1)*(1-_xlfn.XLOOKUP(K172,'Fevereiro 2023 - Valor Real'!A3:A15,'Fevereiro 2023 - Valor Real'!C3:C15,0))+1)/(((L172/(L172-1)-1)*(1-_xlfn.XLOOKUP(K172,'Fevereiro 2023 - Valor Real'!A3:A15,'Fevereiro 2023 - Valor Real'!C3:C15,0))+1)+((L173/(L173-1)-1)*(1-_xlfn.XLOOKUP(K173,'Fevereiro 2023 - Valor Real'!A3:A15,'Fevereiro 2023 - Valor Real'!C3:C15,0))+1)),((L172-1)*(1-_xlfn.XLOOKUP(K172,'Fevereiro 2023 - Valor Real'!A3:A15,'Fevereiro 2023 - Valor Real'!C3:C15,0))+1)/(((L172-1)*(1-_xlfn.XLOOKUP(K172,'Fevereiro 2023 - Valor Real'!A3:A15,'Fevereiro 2023 - Valor Real'!C3:C15,0))+1)+((L173/(L173-1)-1)*(1-_xlfn.XLOOKUP(K173,'Fevereiro 2023 - Valor Real'!A3:A15,'Fevereiro 2023 - Valor Real'!C3:C15,0))+1))),IF(I172="Lay",((L172/(L172-1)-1)*(1-_xlfn.XLOOKUP(K172,'Fevereiro 2023 - Valor Real'!A3:A15,'Fevereiro 2023 - Valor Real'!C3:C15,0))+1)/((((L172/(L172-1)-1)*(1-_xlfn.XLOOKUP(K172,'Fevereiro 2023 - Valor Real'!A3:A15,'Fevereiro 2023 - Valor Real'!C3:C15,0))+1))+((L173-1)*(1-_xlfn.XLOOKUP(K173,'Fevereiro 2023 - Valor Real'!A3:A15,'Fevereiro 2023 - Valor Real'!C3:C15,0))+1)),((L172-1)*(1-_xlfn.XLOOKUP(K172,'Fevereiro 2023 - Valor Real'!A3:A15,'Fevereiro 2023 - Valor Real'!C3:C15,0))+1)/(((L172-1)*(1-_xlfn.XLOOKUP(K172,'Fevereiro 2023 - Valor Real'!A3:A15,'Fevereiro 2023 - Valor Real'!C3:C15,0))+1)+((L173-1)*(1-_xlfn.XLOOKUP(K173,'Fevereiro 2023 - Valor Real'!A3:A15,'Fevereiro 2023 - Valor Real'!C3:C15,0))+1))))))</f>
        <v>0.46300715990453467</v>
      </c>
      <c r="AF173" s="66">
        <f t="shared" si="336"/>
        <v>0</v>
      </c>
      <c r="AG173" s="67">
        <f t="shared" si="336"/>
        <v>14.33</v>
      </c>
      <c r="AH173" s="67">
        <f t="shared" si="336"/>
        <v>0</v>
      </c>
      <c r="AI173" s="67">
        <f t="shared" si="336"/>
        <v>0</v>
      </c>
      <c r="AJ173" s="67">
        <f t="shared" si="336"/>
        <v>0</v>
      </c>
      <c r="AK173" s="67">
        <f t="shared" si="336"/>
        <v>0</v>
      </c>
      <c r="AL173" s="67">
        <f t="shared" si="336"/>
        <v>0</v>
      </c>
      <c r="AM173" s="67">
        <f t="shared" si="336"/>
        <v>0</v>
      </c>
      <c r="AN173" s="67">
        <f t="shared" si="336"/>
        <v>0</v>
      </c>
      <c r="AO173" s="67">
        <f t="shared" si="336"/>
        <v>0</v>
      </c>
      <c r="AP173" s="67">
        <f t="shared" si="336"/>
        <v>0</v>
      </c>
      <c r="AQ173" s="67">
        <f t="shared" si="336"/>
        <v>0</v>
      </c>
      <c r="AR173" s="68">
        <f t="shared" si="336"/>
        <v>0</v>
      </c>
      <c r="AS173" s="66">
        <f>IF(AND($B172=" ",$K173=AS$3),$O173,0)</f>
        <v>0</v>
      </c>
      <c r="AT173" s="67">
        <f>IF(AND($B172=" ",K173=AT$3),$O173,0)</f>
        <v>0</v>
      </c>
      <c r="AU173" s="67">
        <f t="shared" ref="AU173:BE173" si="350">IF(AND($B172=" ",$K173=AU$3),$O173,0)</f>
        <v>0</v>
      </c>
      <c r="AV173" s="67">
        <f t="shared" si="350"/>
        <v>0</v>
      </c>
      <c r="AW173" s="67">
        <f t="shared" si="350"/>
        <v>0</v>
      </c>
      <c r="AX173" s="67">
        <f t="shared" si="350"/>
        <v>0</v>
      </c>
      <c r="AY173" s="69">
        <f t="shared" si="350"/>
        <v>0</v>
      </c>
      <c r="AZ173" s="70">
        <f t="shared" si="350"/>
        <v>0</v>
      </c>
      <c r="BA173" s="70">
        <f t="shared" si="350"/>
        <v>0</v>
      </c>
      <c r="BB173" s="70">
        <f t="shared" si="350"/>
        <v>0</v>
      </c>
      <c r="BC173" s="71">
        <f t="shared" si="350"/>
        <v>0</v>
      </c>
      <c r="BD173" s="67">
        <f t="shared" si="350"/>
        <v>0</v>
      </c>
      <c r="BE173" s="68">
        <f t="shared" si="350"/>
        <v>0</v>
      </c>
      <c r="BF173" s="66">
        <f t="shared" si="338"/>
        <v>0</v>
      </c>
      <c r="BG173" s="168">
        <f t="shared" si="338"/>
        <v>11.46</v>
      </c>
      <c r="BH173" s="67">
        <f t="shared" si="338"/>
        <v>0</v>
      </c>
      <c r="BI173" s="67">
        <f t="shared" si="338"/>
        <v>0</v>
      </c>
      <c r="BJ173" s="67">
        <f t="shared" si="338"/>
        <v>0</v>
      </c>
      <c r="BK173" s="67">
        <f t="shared" si="338"/>
        <v>0</v>
      </c>
      <c r="BL173" s="67">
        <f t="shared" si="338"/>
        <v>0</v>
      </c>
      <c r="BM173" s="69">
        <f t="shared" si="338"/>
        <v>0</v>
      </c>
      <c r="BN173" s="70">
        <f t="shared" si="338"/>
        <v>0</v>
      </c>
      <c r="BO173" s="70">
        <f t="shared" si="338"/>
        <v>0</v>
      </c>
      <c r="BP173" s="70">
        <f t="shared" si="338"/>
        <v>0</v>
      </c>
      <c r="BQ173" s="71">
        <f t="shared" si="338"/>
        <v>0</v>
      </c>
      <c r="BR173" s="68">
        <f t="shared" si="338"/>
        <v>0</v>
      </c>
      <c r="BS173" s="491"/>
      <c r="BT173" s="489"/>
      <c r="BU173" s="392"/>
      <c r="BV173" s="489"/>
      <c r="BW173" s="392"/>
      <c r="BX173" s="392"/>
      <c r="BY173" s="392"/>
      <c r="BZ173" s="489"/>
      <c r="CA173" s="392"/>
      <c r="CB173" s="392"/>
      <c r="CC173" s="392"/>
      <c r="CD173" s="401"/>
      <c r="CE173" s="409"/>
      <c r="CF173" s="169">
        <f t="shared" si="258"/>
        <v>0</v>
      </c>
      <c r="CG173" s="170">
        <f t="shared" si="259"/>
        <v>0</v>
      </c>
      <c r="CH173" s="170">
        <f t="shared" si="260"/>
        <v>1</v>
      </c>
      <c r="CI173" s="170">
        <f t="shared" si="261"/>
        <v>0</v>
      </c>
      <c r="CJ173" s="170">
        <f t="shared" si="262"/>
        <v>0</v>
      </c>
      <c r="CK173" s="170">
        <f t="shared" si="263"/>
        <v>0</v>
      </c>
      <c r="CL173" s="170">
        <f t="shared" si="264"/>
        <v>0</v>
      </c>
      <c r="CM173" s="170">
        <f t="shared" si="265"/>
        <v>0</v>
      </c>
      <c r="CN173" s="170">
        <f t="shared" si="266"/>
        <v>0</v>
      </c>
      <c r="CO173" s="170">
        <f t="shared" si="267"/>
        <v>0</v>
      </c>
      <c r="CP173" s="170">
        <f t="shared" si="268"/>
        <v>0</v>
      </c>
      <c r="CQ173" s="170">
        <f t="shared" si="269"/>
        <v>0</v>
      </c>
      <c r="CR173" s="170">
        <f t="shared" si="270"/>
        <v>0</v>
      </c>
      <c r="CS173" s="170">
        <f t="shared" si="271"/>
        <v>0</v>
      </c>
      <c r="CT173" s="75">
        <f t="shared" si="272"/>
        <v>0</v>
      </c>
      <c r="CU173" s="76">
        <f t="shared" si="273"/>
        <v>0</v>
      </c>
      <c r="CV173" s="76">
        <f t="shared" si="274"/>
        <v>0</v>
      </c>
      <c r="CW173" s="76">
        <f t="shared" si="275"/>
        <v>0</v>
      </c>
      <c r="CX173" s="76">
        <f t="shared" si="276"/>
        <v>0</v>
      </c>
      <c r="CY173" s="76">
        <f t="shared" si="277"/>
        <v>0</v>
      </c>
      <c r="CZ173" s="76">
        <f t="shared" si="278"/>
        <v>0</v>
      </c>
      <c r="DA173" s="76">
        <f t="shared" si="279"/>
        <v>0</v>
      </c>
      <c r="DB173" s="76">
        <f t="shared" si="280"/>
        <v>0</v>
      </c>
      <c r="DC173" s="76">
        <f t="shared" si="281"/>
        <v>0</v>
      </c>
      <c r="DD173" s="76">
        <f t="shared" si="282"/>
        <v>0</v>
      </c>
      <c r="DE173" s="77">
        <f t="shared" si="283"/>
        <v>0</v>
      </c>
      <c r="DF173" s="73">
        <f t="shared" si="286"/>
        <v>12</v>
      </c>
      <c r="DG173" s="67">
        <f t="shared" si="287"/>
        <v>15.760000000000002</v>
      </c>
      <c r="DH173" s="76">
        <f t="shared" si="288"/>
        <v>4</v>
      </c>
      <c r="DI173" s="67">
        <f t="shared" si="289"/>
        <v>18.100000000000001</v>
      </c>
      <c r="DJ173" s="202" t="str">
        <f>IF($D172="","",$D172)</f>
        <v>3</v>
      </c>
      <c r="DK173" s="493"/>
    </row>
    <row r="174" spans="1:115" ht="14.5" customHeight="1" x14ac:dyDescent="0.2">
      <c r="A174" s="390"/>
      <c r="B174" s="457"/>
      <c r="C174" s="79" t="s">
        <v>53</v>
      </c>
      <c r="D174" s="375"/>
      <c r="E174" s="387"/>
      <c r="F174" s="378"/>
      <c r="G174" s="508"/>
      <c r="H174" s="477"/>
      <c r="I174" s="171"/>
      <c r="J174" s="172"/>
      <c r="K174" s="81"/>
      <c r="L174" s="173"/>
      <c r="M174" s="174"/>
      <c r="N174" s="407"/>
      <c r="O174" s="86" t="str">
        <f>IF(OR(AE172="",AE173=""),"",IF(L174&gt;0,ROUND(IF(M174&gt;0,M174,IF(M172&gt;0,ROUND((M172*AE174)/AE172,IF(N172=0,2,IF(N172=0.1,1,0))),IF(M173&gt;0,ROUND((M173*AE174)/AE173,IF(N172=0,2,IF(N172=0.1,1,0))),IF(M174&gt;0,M174,0)))),2),""))</f>
        <v/>
      </c>
      <c r="P174" s="87" t="str">
        <f>IF(I173="Lay",O173*(L173/(L173-1))-O173,IF(I172="Lay",O172*(L172/(L172-1))-O172,IF(OR(L174="",O174=""),"",IF($C174="1/2W",O174/2+O174/2*L174,IF($C174="1/2L",O174/2,(O174*L174-O174)*(1-_xlfn.XLOOKUP(K174,'Fevereiro 2023 - Valor Real'!A3:A15,'Fevereiro 2023 - Valor Real'!C3:C15,0))+O174)))))</f>
        <v/>
      </c>
      <c r="Q174" s="54" t="str">
        <f>IF(K174="","",IF(_xlfn.XLOOKUP(K174,K$11:K164,$DJ$11:DJ164,0,,-1)=DJ174,_xlfn.XLOOKUP(K174,K$11:K164,Q$11:Q164,1,,-1)+1,1))</f>
        <v/>
      </c>
      <c r="R174" s="87" t="str">
        <f>IF(K174="","",_xlfn.XLOOKUP(K174,K$11:K164,R$11:R164,0,,-1)+IF($C174=" ",1,0))</f>
        <v/>
      </c>
      <c r="S174" s="404"/>
      <c r="T174" s="378"/>
      <c r="U174" s="378"/>
      <c r="V174" s="404"/>
      <c r="W174" s="378"/>
      <c r="X174" s="453"/>
      <c r="Y174" s="383"/>
      <c r="Z174" s="384"/>
      <c r="AA174" s="384"/>
      <c r="AB174" s="384"/>
      <c r="AC174" s="384"/>
      <c r="AD174" s="90"/>
      <c r="AE174" s="91" t="str">
        <f>IF(L174="","",(SUM(((L172-1)*(1-_xlfn.XLOOKUP(K172,'Fevereiro 2023 - Valor Real'!A3:A15,'Fevereiro 2023 - Valor Real'!C3:C15,0))+1),((L173-1)*(1-_xlfn.XLOOKUP(K173,'Fevereiro 2023 - Valor Real'!A3:A15,'Fevereiro 2023 - Valor Real'!C3:C15,0))+1),((L174-1)*(1-_xlfn.XLOOKUP(K174,'Fevereiro 2023 - Valor Real'!A3:A15,'Fevereiro 2023 - Valor Real'!C3:C15,0))+1))/((L174-1)*(1-_xlfn.XLOOKUP(K174,'Fevereiro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Real'!C3:C15,0))+1))/((L172-1)*(1-_xlfn.XLOOKUP(K172,'Fevereiro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Real'!C3:C15,0))+1))/((L173-1)*(1-_xlfn.XLOOKUP(K173,'Fevereiro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Real'!C3:C15,0))+1))/((L174-1)*(1-_xlfn.XLOOKUP(K174,'Fevereiro 2023 - Valor Real'!A3:A15,'Fevereiro 2023 - Valor Real'!C3:C15,0))+1)))</f>
        <v/>
      </c>
      <c r="AF174" s="66">
        <f t="shared" ref="AF174:AR183" si="351">IF($K174=AF$3,ROUND(IF(OR($C174="W",$C174="1/2W",$C174="1/2L"),$P174-$O174,IF($C174="X",0,-$O174)),2),0)</f>
        <v>0</v>
      </c>
      <c r="AG174" s="67">
        <f t="shared" si="351"/>
        <v>0</v>
      </c>
      <c r="AH174" s="67">
        <f t="shared" si="351"/>
        <v>0</v>
      </c>
      <c r="AI174" s="67">
        <f t="shared" si="351"/>
        <v>0</v>
      </c>
      <c r="AJ174" s="67">
        <f t="shared" si="351"/>
        <v>0</v>
      </c>
      <c r="AK174" s="67">
        <f t="shared" si="351"/>
        <v>0</v>
      </c>
      <c r="AL174" s="67">
        <f t="shared" si="351"/>
        <v>0</v>
      </c>
      <c r="AM174" s="67">
        <f t="shared" si="351"/>
        <v>0</v>
      </c>
      <c r="AN174" s="67">
        <f t="shared" si="351"/>
        <v>0</v>
      </c>
      <c r="AO174" s="67">
        <f t="shared" si="351"/>
        <v>0</v>
      </c>
      <c r="AP174" s="67">
        <f t="shared" si="351"/>
        <v>0</v>
      </c>
      <c r="AQ174" s="67">
        <f t="shared" si="351"/>
        <v>0</v>
      </c>
      <c r="AR174" s="68">
        <f t="shared" si="351"/>
        <v>0</v>
      </c>
      <c r="AS174" s="66">
        <f>IF(AND($B172=" ",$K174=AS$3),$O174,0)</f>
        <v>0</v>
      </c>
      <c r="AT174" s="67">
        <f>IF(AND($B172=" ",K174=AT$3),$O174,0)</f>
        <v>0</v>
      </c>
      <c r="AU174" s="67">
        <f t="shared" ref="AU174:BE174" si="352">IF(AND($B172=" ",$K174=AU$3),$O174,0)</f>
        <v>0</v>
      </c>
      <c r="AV174" s="67">
        <f t="shared" si="352"/>
        <v>0</v>
      </c>
      <c r="AW174" s="67">
        <f t="shared" si="352"/>
        <v>0</v>
      </c>
      <c r="AX174" s="67">
        <f t="shared" si="352"/>
        <v>0</v>
      </c>
      <c r="AY174" s="69">
        <f t="shared" si="352"/>
        <v>0</v>
      </c>
      <c r="AZ174" s="70">
        <f t="shared" si="352"/>
        <v>0</v>
      </c>
      <c r="BA174" s="70">
        <f t="shared" si="352"/>
        <v>0</v>
      </c>
      <c r="BB174" s="70">
        <f t="shared" si="352"/>
        <v>0</v>
      </c>
      <c r="BC174" s="71">
        <f t="shared" si="352"/>
        <v>0</v>
      </c>
      <c r="BD174" s="67">
        <f t="shared" si="352"/>
        <v>0</v>
      </c>
      <c r="BE174" s="68">
        <f t="shared" si="352"/>
        <v>0</v>
      </c>
      <c r="BF174" s="66">
        <f t="shared" ref="BF174:BR183" si="353">IF($K174=BF$3,IF($C174="X",0,$O174),0)</f>
        <v>0</v>
      </c>
      <c r="BG174" s="168">
        <f t="shared" si="353"/>
        <v>0</v>
      </c>
      <c r="BH174" s="67">
        <f t="shared" si="353"/>
        <v>0</v>
      </c>
      <c r="BI174" s="67">
        <f t="shared" si="353"/>
        <v>0</v>
      </c>
      <c r="BJ174" s="67">
        <f t="shared" si="353"/>
        <v>0</v>
      </c>
      <c r="BK174" s="67">
        <f t="shared" si="353"/>
        <v>0</v>
      </c>
      <c r="BL174" s="67">
        <f t="shared" si="353"/>
        <v>0</v>
      </c>
      <c r="BM174" s="69">
        <f t="shared" si="353"/>
        <v>0</v>
      </c>
      <c r="BN174" s="70">
        <f t="shared" si="353"/>
        <v>0</v>
      </c>
      <c r="BO174" s="70">
        <f t="shared" si="353"/>
        <v>0</v>
      </c>
      <c r="BP174" s="70">
        <f t="shared" si="353"/>
        <v>0</v>
      </c>
      <c r="BQ174" s="71">
        <f t="shared" si="353"/>
        <v>0</v>
      </c>
      <c r="BR174" s="68">
        <f t="shared" si="353"/>
        <v>0</v>
      </c>
      <c r="BS174" s="491"/>
      <c r="BT174" s="489"/>
      <c r="BU174" s="392"/>
      <c r="BV174" s="489"/>
      <c r="BW174" s="392"/>
      <c r="BX174" s="392"/>
      <c r="BY174" s="392"/>
      <c r="BZ174" s="489"/>
      <c r="CA174" s="392"/>
      <c r="CB174" s="392"/>
      <c r="CC174" s="392"/>
      <c r="CD174" s="401"/>
      <c r="CE174" s="409"/>
      <c r="CF174" s="169">
        <f t="shared" si="258"/>
        <v>0</v>
      </c>
      <c r="CG174" s="170">
        <f t="shared" si="259"/>
        <v>0</v>
      </c>
      <c r="CH174" s="170">
        <f t="shared" si="260"/>
        <v>0</v>
      </c>
      <c r="CI174" s="170">
        <f t="shared" si="261"/>
        <v>0</v>
      </c>
      <c r="CJ174" s="170">
        <f t="shared" si="262"/>
        <v>0</v>
      </c>
      <c r="CK174" s="170">
        <f t="shared" si="263"/>
        <v>0</v>
      </c>
      <c r="CL174" s="170">
        <f t="shared" si="264"/>
        <v>0</v>
      </c>
      <c r="CM174" s="170">
        <f t="shared" si="265"/>
        <v>0</v>
      </c>
      <c r="CN174" s="170">
        <f t="shared" si="266"/>
        <v>0</v>
      </c>
      <c r="CO174" s="170">
        <f t="shared" si="267"/>
        <v>0</v>
      </c>
      <c r="CP174" s="170">
        <f t="shared" si="268"/>
        <v>0</v>
      </c>
      <c r="CQ174" s="170">
        <f t="shared" si="269"/>
        <v>0</v>
      </c>
      <c r="CR174" s="170">
        <f t="shared" si="270"/>
        <v>0</v>
      </c>
      <c r="CS174" s="170">
        <f t="shared" si="271"/>
        <v>0</v>
      </c>
      <c r="CT174" s="75">
        <f t="shared" si="272"/>
        <v>0</v>
      </c>
      <c r="CU174" s="76">
        <f t="shared" si="273"/>
        <v>0</v>
      </c>
      <c r="CV174" s="76">
        <f t="shared" si="274"/>
        <v>0</v>
      </c>
      <c r="CW174" s="76">
        <f t="shared" si="275"/>
        <v>0</v>
      </c>
      <c r="CX174" s="76">
        <f t="shared" si="276"/>
        <v>0</v>
      </c>
      <c r="CY174" s="76">
        <f t="shared" si="277"/>
        <v>0</v>
      </c>
      <c r="CZ174" s="76">
        <f t="shared" si="278"/>
        <v>0</v>
      </c>
      <c r="DA174" s="76">
        <f t="shared" si="279"/>
        <v>0</v>
      </c>
      <c r="DB174" s="76">
        <f t="shared" si="280"/>
        <v>0</v>
      </c>
      <c r="DC174" s="76">
        <f t="shared" si="281"/>
        <v>0</v>
      </c>
      <c r="DD174" s="76">
        <f t="shared" si="282"/>
        <v>0</v>
      </c>
      <c r="DE174" s="77">
        <f t="shared" si="283"/>
        <v>0</v>
      </c>
      <c r="DF174" s="73">
        <f t="shared" si="286"/>
        <v>12</v>
      </c>
      <c r="DG174" s="67">
        <f t="shared" si="287"/>
        <v>15.760000000000002</v>
      </c>
      <c r="DH174" s="76">
        <f t="shared" si="288"/>
        <v>4</v>
      </c>
      <c r="DI174" s="67">
        <f t="shared" si="289"/>
        <v>18.100000000000001</v>
      </c>
      <c r="DJ174" s="202" t="str">
        <f>IF($D172="","",$D172)</f>
        <v>3</v>
      </c>
      <c r="DK174" s="493"/>
    </row>
    <row r="175" spans="1:115" ht="14.5" customHeight="1" x14ac:dyDescent="0.2">
      <c r="A175" s="459">
        <f>$A172+1</f>
        <v>58</v>
      </c>
      <c r="B175" s="507" t="str">
        <f>IF(OR(C175="W",C176="W",C177="W",C175="1/2W",C176="1/2W",C177="1/2W",C175="1/2L",C176="1/2L",C177="1/2L"),"OK",IF(OR(C175="L",C176="L",C177="L"),"LOSS",IF(OR(C175="X",C176="X",C177="X"),"Anulado"," ")))</f>
        <v>OK</v>
      </c>
      <c r="C175" s="93" t="s">
        <v>55</v>
      </c>
      <c r="D175" s="468" t="s">
        <v>108</v>
      </c>
      <c r="E175" s="485" t="str">
        <f>IF(G175=""," ","– "&amp;COUNTIF(D$4:D177,$D175))</f>
        <v>– 1</v>
      </c>
      <c r="F175" s="509" t="str">
        <f ca="1">IF(G175="","",IF(OR(AND($C175&lt;&gt;" ",$C176=" "),AND($C176&lt;&gt;" ",$C175=" "),AND(L177&gt;0,OR(AND($C177&lt;&gt;" ",OR($C175=" ",$C176=" ")),AND($C177=" ",OR($C175&lt;&gt;" ",$C176&lt;&gt;" "))))),IF(SUM(F$4:F174)=0,1,LARGE(F$4:F174,1)+1),IF(MONTH(G175)=MONTH(TODAY()),IF(AND(DAY(G175)&lt;DAY(TODAY()),$B175=" "),IF(SUM(F$4:F174)=0,1,LARGE(F$4:F174,1)+1),IF($B175=" ",IF(AND(DAY(G175)=DAY(TODAY()),HOUR(G175)&lt;=HOUR(NOW())+1),IF(AND(HOUR(G175)+2&lt;=HOUR(NOW()),DAY(G175)&lt;=DAY(TODAY()),MINUTE(G175)&lt;=MINUTE(NOW())),IF(SUM(F$4:F174)=0,1,LARGE(F$4:F174,1)+1),IF(OR(MINUTE(G175)&lt;=MINUTE(NOW()),HOUR(G175)&lt;=HOUR(NOW())),"!!!","")),""),"")),"")))</f>
        <v/>
      </c>
      <c r="G175" s="482">
        <v>44991.645833333336</v>
      </c>
      <c r="H175" s="475" t="s">
        <v>109</v>
      </c>
      <c r="I175" s="175">
        <v>2</v>
      </c>
      <c r="J175" s="176"/>
      <c r="K175" s="96" t="s">
        <v>47</v>
      </c>
      <c r="L175" s="97">
        <v>1.49</v>
      </c>
      <c r="M175" s="98"/>
      <c r="N175" s="478">
        <v>0</v>
      </c>
      <c r="O175" s="99">
        <f>IF(OR(AE175="",AE176=""),"",ROUND(IF(L177&gt;0,IF(M175&gt;0,M175,IF(M176&gt;0,ROUND((M176*AE175)/AE176,IF(N175=0,2,IF(N175=0.1,1,0))),ROUND((M177*AE175)/AE177,IF(N175=0,2,IF(N175=0.1,1,0))))),IF(M175&gt;0,M175,ROUND((M176*AE175)/AE176,IF(N175=0,2,IF(N175=0.1,1,0))))),2))</f>
        <v>40.799999999999997</v>
      </c>
      <c r="P175" s="100">
        <f>IF(OR(L175="",O175=""),"",IF($C175="1/2W",O175/2+O175/2*L175,IF($C175="1/2L",O175/2,IF(I175="Lay",(O175*(L175/(L175-1))-O175)*(1-_xlfn.XLOOKUP(K175,'Fevereiro 2023 - Valor Real'!A3:A15,'Fevereiro 2023 - Valor Real'!C3:C15,0))+O175,(O175*L175-O175)*(1-_xlfn.XLOOKUP(K175,'Fevereiro 2023 - Valor Real'!A3:A15,'Fevereiro 2023 - Valor Real'!C3:C15,0))+O175))))</f>
        <v>60.791999999999994</v>
      </c>
      <c r="Q175" s="101">
        <f>IF(K175="","",IF(_xlfn.XLOOKUP(K175,K$4:K174,$DJ$4:DJ174,0,,-1)=DJ175,_xlfn.XLOOKUP(K175,K$4:K174,Q$4:Q174,1,,-1)+1,1))</f>
        <v>1</v>
      </c>
      <c r="R175" s="102">
        <f>IF(K175="","",_xlfn.XLOOKUP(K175,K$4:K174,R$4:R174,0,,-1)+IF($C175=" ",1,0))</f>
        <v>0</v>
      </c>
      <c r="S175" s="474">
        <f>IF($B175="Anulado",0,ROUND(IF(OR($B175="LOSS",$B175="OK"),IF(OR($C175="W",$C175="1/2W",$C175="1/2L"),P175-O175,IF($C175="L",-O175,0))+IF(OR($C176="W",$C176="1/2W",$C176="1/2L"),P176-O176,IF($C176="L",-O176,0))+IF(OR($C177="W",$C177="1/2W",$C177="1/2L"),P177-O177,IF($C177="L",-O177,0)),IF(AND(OR($C175="W",$C175="1/2W",$C175="1/2L"),C176="W"),P175+P176-SUM(O175:O177)+_xlfn.XLOOKUP("X",C175:C177,O175:O177,0),IF(AND(C175=TRUE,C177="W"),P175+P177-SUM(O175:O177),IF(AND(C176="W",C177="W"),P176+P177-SUM(O175:O177)+_xlfn.XLOOKUP("X",C175:C177,O175:O177,0),IF(L177&gt;0,IF(OR($C175="W",$C175="1/2W",$C175="1/2L"),P175-SUM(O175:O177)+_xlfn.XLOOKUP("X",C175:C177,O175:O177,0),IF(OR($C175="W",$C175="1/2W",$C175="1/2L"),P176-SUM(O175:O177)+_xlfn.XLOOKUP("X",C175:C177,O175:O177,0),IF(OR($C175="W",$C175="1/2W",$C175="1/2L"),P177-SUM(O175:O177)+_xlfn.XLOOKUP("X",C175:C177,O175:O177,0),IF(SUM(P175:P177)/3-SUM(O175:O177)+_xlfn.XLOOKUP("X",C175:C177,O175:O177,0)&gt;0,SUM(P175:P177)/3-SUM(O175:O177)+_xlfn.XLOOKUP("X",C175:C177,O175:O177,0),LARGE(P175:P177,1)-SUM(O175:O177))))),IF(OR($C175="W",$C175="1/2W",$C175="1/2L"),P175-SUM(O175:O176)+_xlfn.XLOOKUP("X",C175:C177,O175:O177,0),IF(OR($C175="W",$C175="1/2W",$C175="1/2L"),P176-SUM(O175:O176)+_xlfn.XLOOKUP("X",C175:C177,O175:O177,0),SUM(P175:P176)/2-SUM(O175:O176)+_xlfn.XLOOKUP("X",C175:C177,O175:O177,0)))))))),2))</f>
        <v>2.63</v>
      </c>
      <c r="T175" s="458">
        <f>IF(S175=0,0,S175/SUM(O175:O177))</f>
        <v>4.5212308750214883E-2</v>
      </c>
      <c r="U175" s="470">
        <f>IF($D175=$D172,IF(OR($B175="LOSS",$B175="OK",$B175="Anulada"),S175,0)+U172,IF(OR($B175="LOSS",$B175="OK",$B175="Anulada"),S175,0))</f>
        <v>2.63</v>
      </c>
      <c r="V175" s="470">
        <f>IF($D175="",0,IF($D175=$D172,IF($B175=" ",IF(I177="",IF(OR(AND(I175="DNB1",I176="DNB2"),AND(OR(I175="DNB1",I175="DNB2"),J176=0),AND(OR(I176="DNB1",I176="DNB2"),J175=0),AND(I175="DNB2",I176="DNB1"),AND(IF(J175=0,(J175+1)/ROUND(J175+1,0),J175/ROUND(J175,0))=1,IF(J176=0,(J176+1)/ROUND(IF(J176="",0,J176)+1,0),IF(J176="",0,J176)/ROUND(IF(J176="",1,J176),0))=1,OR(J175&lt;&gt;""),J176&lt;&gt;"")),0,IF(S175&lt;0,IF(I177="",SMALL(P175:P176,1)-SUM(O175:O176),0),SMALL(P175:P176,1)-SUM(O175:O176))),IF(S175&lt;0,IF(I177="",SMALL(P175:P177,1)-SUM(O175:O177),0),LARGE(P175:P177,1)-SUM(O175:O177))),S175)+V172,IF(I177="",IF(OR(AND(I175="DNB1",I176="DNB2"),AND(OR(I175="DNB1",I175="DNB2"),J176=0),AND(OR(I176="DNB1",I176="DNB2"),J175=0),AND(I175="DNB2",I176="DNB1"),AND(IF(J175=0,(J175+1)/ROUND(J175+1,0),J175/ROUND(J175,0))=1,IF(J176=0,(IF(J176="",0,J176)+1)/ROUND(IF(J176="",0,J176)+1,0),IF(J176="",0,J176)/ROUND(IF(J176="",0,J176)+1,0))=1,OR(J175&lt;&gt;""),J176&lt;&gt;"")),0,IF(S175&lt;0,IF(I177="",SMALL(P175:P176,1)-SUM(O175:O176),0),SMALL(P175:P177,1)-SUM(O175:O177))),IF(S175&lt;0,IF(I177="",SMALL(P175:P177,1)-SUM(O175:O177),0),LARGE(P175:P177,1)-SUM(O175:O177)))))</f>
        <v>2.6219999999999928</v>
      </c>
      <c r="W175" s="470">
        <f>IF($D175=$D172,IF(S175&lt;0,IF(I177="",S175,0),S175)+W172,S175)</f>
        <v>2.63</v>
      </c>
      <c r="X175" s="480" t="str">
        <f>IF(OR(SUM(R175:R177)=0,V175=W175),ROUND(IF(W175=0,0,W175/Y175)*100,2)&amp;"%",ROUND(IF(V175=0,0,V175/Y175)*100,2)&amp;"% a "&amp;ROUND(IF(W175=0,0,W175/Y175)*100,2)&amp;"%")</f>
        <v>4,52%</v>
      </c>
      <c r="Y175" s="471">
        <f>IF($D175=$D172,Y172+SUM(O175:O177),SUM(O175:O177))</f>
        <v>58.17</v>
      </c>
      <c r="Z175" s="470">
        <f>IF($B175=" ",SUM(O175:O177),0)+Z172</f>
        <v>0</v>
      </c>
      <c r="AA175" s="470">
        <f>IF(G175="","",IF($B175="Anulado",LARGE(P175:P177,1)-SUM(O175:O177)+AA172,AA172))</f>
        <v>1.4607999999999972</v>
      </c>
      <c r="AB175" s="470">
        <f>IF($D175="","",AB172+S175)</f>
        <v>142.47999999999996</v>
      </c>
      <c r="AC175" s="472">
        <f ca="1">IF($D175="","",IF($B175=" ",IF(DAY(G175)=DAY(TODAY()),1+AC172,0+AC172),0+AC172))</f>
        <v>0</v>
      </c>
      <c r="AD175" s="103">
        <f>(((L176/(L176-1)-1)*(1-_xlfn.XLOOKUP(K176,'Fevereiro 2023 - Valor Real'!A3:A15,'Fevereiro 2023 - Valor Real'!C3:C15,0))+1))/(((L175-1)*(1-_xlfn.XLOOKUP(K175,'Fevereiro 2023 - Valor Real'!A3:A15,'Fevereiro 2023 - Valor Real'!C3:C15,0))+1)+((L176/(L176-1)-1)*(1-_xlfn.XLOOKUP(K176,'Fevereiro 2023 - Valor Real'!A3:A15,'Fevereiro 2023 - Valor Real'!C3:C15,0))+1))</f>
        <v>0.48442906574394468</v>
      </c>
      <c r="AE175" s="104">
        <f>IF(L175="","",IF(L177&gt;0,(SUM(((L175-1)*(1-_xlfn.XLOOKUP(K175,'Fevereiro 2023 - Valor Real'!A3:A15,'Fevereiro 2023 - Valor Real'!C3:C15,0))+1),((L176-1)*(1-_xlfn.XLOOKUP(K176,'Fevereiro 2023 - Valor Real'!A3:A15,'Fevereiro 2023 - Valor Real'!C3:C15,0))+1),((L177-1)*(1-_xlfn.XLOOKUP(K177,'Fevereiro 2023 - Valor Real'!A3:A15,'Fevereiro 2023 - Valor Real'!C3:C15,0))+1))/((L175-1)*(1-_xlfn.XLOOKUP(K175,'Fevereiro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Real'!C3:C15,0))+1))/((L175-1)*(1-_xlfn.XLOOKUP(K175,'Fevereiro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Real'!C3:C15,0))+1))/((L176-1)*(1-_xlfn.XLOOKUP(K176,'Fevereiro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Real'!C3:C15,0))+1))/((L177-1)*(1-_xlfn.XLOOKUP(K177,'Fevereiro 2023 - Valor Real'!A3:A15,'Fevereiro 2023 - Valor Real'!C3:C15,0))+1)),IF(I175="Lay",IF(I176="Lay",((L176/(L176-1)-1)*(1-_xlfn.XLOOKUP(K176,'Fevereiro 2023 - Valor Real'!A3:A15,'Fevereiro 2023 - Valor Real'!C3:C15,0))+1)/(((L176/(L176-1)-1)*(1-_xlfn.XLOOKUP(K176,'Fevereiro 2023 - Valor Real'!A3:A15,'Fevereiro 2023 - Valor Real'!C3:C15,0))+1)+((L175/(L175-1)-1)*(1-_xlfn.XLOOKUP(K175,'Fevereiro 2023 - Valor Real'!A3:A15,'Fevereiro 2023 - Valor Real'!C3:C15,0))+1)),((L176-1)*(1-_xlfn.XLOOKUP(K176,'Fevereiro 2023 - Valor Real'!A3:A15,'Fevereiro 2023 - Valor Real'!C3:C15,0))+1)/(((L176-1)*(1-_xlfn.XLOOKUP(K176,'Fevereiro 2023 - Valor Real'!A3:A15,'Fevereiro 2023 - Valor Real'!C3:C15,0))+1)+((L175/(L175-1)-1)*(1-_xlfn.XLOOKUP(K175,'Fevereiro 2023 - Valor Real'!A3:A15,'Fevereiro 2023 - Valor Real'!C3:C15,0))+1))),IF(I176="Lay",(((L176/(L176-1)-1)*(1-_xlfn.XLOOKUP(K176,'Fevereiro 2023 - Valor Real'!A3:A15,'Fevereiro 2023 - Valor Real'!C3:C15,0))+1))/(((L175-1)*(1-_xlfn.XLOOKUP(K175,'Fevereiro 2023 - Valor Real'!A3:A15,'Fevereiro 2023 - Valor Real'!C3:C15,0))+1)+((L176/(L176-1)-1)*(1-_xlfn.XLOOKUP(K176,'Fevereiro 2023 - Valor Real'!A3:A15,'Fevereiro 2023 - Valor Real'!C3:C15,0))+1)),((L176-1)*(1-_xlfn.XLOOKUP(K176,'Fevereiro 2023 - Valor Real'!A3:A15,'Fevereiro 2023 - Valor Real'!C3:C15,0))+1)/(((L176-1)*(1-_xlfn.XLOOKUP(K176,'Fevereiro 2023 - Valor Real'!A3:A15,'Fevereiro 2023 - Valor Real'!C3:C15,0))+1)+((L175-1)*(1-_xlfn.XLOOKUP(K175,'Fevereiro 2023 - Valor Real'!A3:A15,'Fevereiro 2023 - Valor Real'!C3:C15,0))+1))))))</f>
        <v>0.70140280561122237</v>
      </c>
      <c r="AF175" s="105">
        <f t="shared" si="351"/>
        <v>0</v>
      </c>
      <c r="AG175" s="106">
        <f t="shared" si="351"/>
        <v>0</v>
      </c>
      <c r="AH175" s="106">
        <f t="shared" si="351"/>
        <v>0</v>
      </c>
      <c r="AI175" s="106">
        <f t="shared" si="351"/>
        <v>0</v>
      </c>
      <c r="AJ175" s="106">
        <f t="shared" si="351"/>
        <v>0</v>
      </c>
      <c r="AK175" s="106">
        <f t="shared" si="351"/>
        <v>0</v>
      </c>
      <c r="AL175" s="106">
        <f t="shared" si="351"/>
        <v>0</v>
      </c>
      <c r="AM175" s="106">
        <f t="shared" si="351"/>
        <v>0</v>
      </c>
      <c r="AN175" s="106">
        <f t="shared" si="351"/>
        <v>0</v>
      </c>
      <c r="AO175" s="106">
        <f t="shared" si="351"/>
        <v>0</v>
      </c>
      <c r="AP175" s="106">
        <f t="shared" si="351"/>
        <v>0</v>
      </c>
      <c r="AQ175" s="106">
        <f t="shared" si="351"/>
        <v>-40.799999999999997</v>
      </c>
      <c r="AR175" s="107">
        <f t="shared" si="351"/>
        <v>0</v>
      </c>
      <c r="AS175" s="105">
        <f t="shared" ref="AS175:BE175" si="354">IF(AND($B175=" ",$K175=AS$3),$O175,0)</f>
        <v>0</v>
      </c>
      <c r="AT175" s="106">
        <f t="shared" si="354"/>
        <v>0</v>
      </c>
      <c r="AU175" s="106">
        <f t="shared" si="354"/>
        <v>0</v>
      </c>
      <c r="AV175" s="106">
        <f t="shared" si="354"/>
        <v>0</v>
      </c>
      <c r="AW175" s="106">
        <f t="shared" si="354"/>
        <v>0</v>
      </c>
      <c r="AX175" s="106">
        <f t="shared" si="354"/>
        <v>0</v>
      </c>
      <c r="AY175" s="108">
        <f t="shared" si="354"/>
        <v>0</v>
      </c>
      <c r="AZ175" s="109">
        <f t="shared" si="354"/>
        <v>0</v>
      </c>
      <c r="BA175" s="109">
        <f t="shared" si="354"/>
        <v>0</v>
      </c>
      <c r="BB175" s="109">
        <f t="shared" si="354"/>
        <v>0</v>
      </c>
      <c r="BC175" s="110">
        <f t="shared" si="354"/>
        <v>0</v>
      </c>
      <c r="BD175" s="106">
        <f t="shared" si="354"/>
        <v>0</v>
      </c>
      <c r="BE175" s="107">
        <f t="shared" si="354"/>
        <v>0</v>
      </c>
      <c r="BF175" s="111">
        <f t="shared" si="353"/>
        <v>0</v>
      </c>
      <c r="BG175" s="106">
        <f t="shared" si="353"/>
        <v>0</v>
      </c>
      <c r="BH175" s="106">
        <f t="shared" si="353"/>
        <v>0</v>
      </c>
      <c r="BI175" s="106">
        <f t="shared" si="353"/>
        <v>0</v>
      </c>
      <c r="BJ175" s="106">
        <f t="shared" si="353"/>
        <v>0</v>
      </c>
      <c r="BK175" s="106">
        <f t="shared" si="353"/>
        <v>0</v>
      </c>
      <c r="BL175" s="106">
        <f t="shared" si="353"/>
        <v>0</v>
      </c>
      <c r="BM175" s="108">
        <f t="shared" si="353"/>
        <v>0</v>
      </c>
      <c r="BN175" s="109">
        <f t="shared" si="353"/>
        <v>0</v>
      </c>
      <c r="BO175" s="109">
        <f t="shared" si="353"/>
        <v>0</v>
      </c>
      <c r="BP175" s="109">
        <f t="shared" si="353"/>
        <v>0</v>
      </c>
      <c r="BQ175" s="110">
        <f t="shared" si="353"/>
        <v>40.799999999999997</v>
      </c>
      <c r="BR175" s="107">
        <f t="shared" si="353"/>
        <v>0</v>
      </c>
      <c r="BS175" s="463">
        <f>IF($B175="LOSS",IF(AND($K175=BS$3,$C175="L"),-$O175,0)+IF(AND($K176=BS$3,$C176="L"),-$O176,0)+IF(AND($K177=BS$3,$C177="L"),-$O177,0),IF(OR(AND($K175=BS$3,OR($C175="W",$C175="1/2W")),AND($K176=BS$3,OR($C176="W",$C176="1/2W")),AND($K177=BS$3,OR($C177="W",$C177="1/2W"))),$S175,0))</f>
        <v>0</v>
      </c>
      <c r="BT175" s="462">
        <f>IF($B175="LOSS",IF(AND($K175=BT$3,$C175="L"),-$O175,0)+IF(AND($K176=BT$3,$C176="L"),-$O176,0)+IF(AND($K176=BT$3,$C177="L"),-$O177,0),IF(OR(AND($K176=BT$3,OR($C175="W",$C175="1/2W")),AND($K176=BT$3,OR($C176="W",$C176="1/2W")),AND($K176=BT$3,OR($C177="W",$C177="1/2W"))),$S175,0))</f>
        <v>2.63</v>
      </c>
      <c r="BU175" s="462">
        <f>IF($B175="LOSS",IF(AND($K175=BU$3,$C175="L"),-$O175,0)+IF(AND($K176=BU$3,$C176="L"),-$O176,0)+IF(AND($K176=BU$3,$C177="L"),-$O177,0),IF(OR(AND($K176=BU$3,OR($C175="W",$C175="1/2W")),AND($K176=BU$3,OR($C176="W",$C176="1/2W")),AND($K176=BU$3,OR($C177="W",$C177="1/2W"))),$S175,0))</f>
        <v>0</v>
      </c>
      <c r="BV175" s="462">
        <f t="shared" ref="BV175:CE175" si="355">IF($B175="LOSS",IF(AND($K175=BV$3,$C175="L"),-$O175,0)+IF(AND($K176=BV$3,$C176="L"),-$O176,0)+IF(AND($K177=BV$3,$C177="L"),-$O177,0),IF(OR(AND($K175=BV$3,OR($C175="W",$C175="1/2W")),AND($K176=BV$3,OR($C176="W",$C176="1/2W")),AND($K177=BV$3,OR($C177="W",$C177="1/2W"))),$S175,0))</f>
        <v>0</v>
      </c>
      <c r="BW175" s="462">
        <f t="shared" si="355"/>
        <v>0</v>
      </c>
      <c r="BX175" s="462">
        <f t="shared" si="355"/>
        <v>0</v>
      </c>
      <c r="BY175" s="462">
        <f t="shared" si="355"/>
        <v>0</v>
      </c>
      <c r="BZ175" s="460">
        <f t="shared" si="355"/>
        <v>0</v>
      </c>
      <c r="CA175" s="460">
        <f t="shared" si="355"/>
        <v>0</v>
      </c>
      <c r="CB175" s="460">
        <f t="shared" si="355"/>
        <v>0</v>
      </c>
      <c r="CC175" s="460">
        <f t="shared" si="355"/>
        <v>0</v>
      </c>
      <c r="CD175" s="473">
        <f t="shared" si="355"/>
        <v>0</v>
      </c>
      <c r="CE175" s="479">
        <f t="shared" si="355"/>
        <v>0</v>
      </c>
      <c r="CF175" s="113">
        <f t="shared" si="258"/>
        <v>0</v>
      </c>
      <c r="CG175" s="114">
        <f t="shared" si="259"/>
        <v>0</v>
      </c>
      <c r="CH175" s="114">
        <f t="shared" si="260"/>
        <v>0</v>
      </c>
      <c r="CI175" s="114">
        <f t="shared" si="261"/>
        <v>0</v>
      </c>
      <c r="CJ175" s="114">
        <f t="shared" si="262"/>
        <v>0</v>
      </c>
      <c r="CK175" s="114">
        <f t="shared" si="263"/>
        <v>0</v>
      </c>
      <c r="CL175" s="114">
        <f t="shared" si="264"/>
        <v>0</v>
      </c>
      <c r="CM175" s="114">
        <f t="shared" si="265"/>
        <v>0</v>
      </c>
      <c r="CN175" s="114">
        <f t="shared" si="266"/>
        <v>0</v>
      </c>
      <c r="CO175" s="114">
        <f t="shared" si="267"/>
        <v>0</v>
      </c>
      <c r="CP175" s="114">
        <f t="shared" si="268"/>
        <v>0</v>
      </c>
      <c r="CQ175" s="114">
        <f t="shared" si="269"/>
        <v>0</v>
      </c>
      <c r="CR175" s="114">
        <f t="shared" si="270"/>
        <v>0</v>
      </c>
      <c r="CS175" s="114">
        <f t="shared" si="271"/>
        <v>0</v>
      </c>
      <c r="CT175" s="115">
        <f t="shared" si="272"/>
        <v>0</v>
      </c>
      <c r="CU175" s="116">
        <f t="shared" si="273"/>
        <v>0</v>
      </c>
      <c r="CV175" s="116">
        <f t="shared" si="274"/>
        <v>0</v>
      </c>
      <c r="CW175" s="116">
        <f t="shared" si="275"/>
        <v>0</v>
      </c>
      <c r="CX175" s="116">
        <f t="shared" si="276"/>
        <v>0</v>
      </c>
      <c r="CY175" s="116">
        <f t="shared" si="277"/>
        <v>0</v>
      </c>
      <c r="CZ175" s="116">
        <f t="shared" si="278"/>
        <v>0</v>
      </c>
      <c r="DA175" s="116">
        <f t="shared" si="279"/>
        <v>0</v>
      </c>
      <c r="DB175" s="116">
        <f t="shared" si="280"/>
        <v>0</v>
      </c>
      <c r="DC175" s="116">
        <f t="shared" si="281"/>
        <v>1</v>
      </c>
      <c r="DD175" s="116">
        <f t="shared" si="282"/>
        <v>0</v>
      </c>
      <c r="DE175" s="117">
        <f t="shared" si="283"/>
        <v>0</v>
      </c>
      <c r="DF175" s="118">
        <f t="shared" si="286"/>
        <v>12</v>
      </c>
      <c r="DG175" s="106">
        <f t="shared" si="287"/>
        <v>15.760000000000002</v>
      </c>
      <c r="DH175" s="116">
        <f t="shared" si="288"/>
        <v>4</v>
      </c>
      <c r="DI175" s="106">
        <f t="shared" si="289"/>
        <v>18.100000000000001</v>
      </c>
      <c r="DJ175" s="201" t="str">
        <f>IF($D175="","",$D175)</f>
        <v>6</v>
      </c>
      <c r="DK175" s="465">
        <f>IF(AND($B175=" ",$D175&lt;&gt;""),1,0)</f>
        <v>0</v>
      </c>
    </row>
    <row r="176" spans="1:115" ht="14.5" customHeight="1" x14ac:dyDescent="0.2">
      <c r="A176" s="389"/>
      <c r="B176" s="456"/>
      <c r="C176" s="120" t="s">
        <v>54</v>
      </c>
      <c r="D176" s="374"/>
      <c r="E176" s="386"/>
      <c r="F176" s="377"/>
      <c r="G176" s="483"/>
      <c r="H176" s="476"/>
      <c r="I176" s="121" t="s">
        <v>59</v>
      </c>
      <c r="J176" s="179" t="str">
        <f>IF(OR(I175="TO",I175="TU",I175="TO1",I175="TU1",I175="TO2",I175="TU2"),J175,IF(OR(I175="AH1",I175="AH2"),IF(OR(I176="AH1",I176="AH2"),-J175,IF(OR(I176="EH1",I176="EH2"),-J175+0.5,"")),IF(OR(I175="EH1",I175="EH2"),IF(OR(I176="AH1",I176="AH2"),-J175+0.5,IF(OR(I176="EH1",I176="EH2"),-J175+1,"")),IF(AND(OR(I175="DNB1",I175="DNB2"),OR(I176="AH1",I176="AH2")),0,IF(AND(I175="Not ScoreBoth",OR(I176="TO1",I176="TO2")),0.5,"")))))</f>
        <v/>
      </c>
      <c r="K176" s="123" t="s">
        <v>37</v>
      </c>
      <c r="L176" s="124">
        <v>3.5</v>
      </c>
      <c r="M176" s="125">
        <v>17.37</v>
      </c>
      <c r="N176" s="406"/>
      <c r="O176" s="126">
        <f>IF(OR(AE175="",AE176=""),"",ROUND(IF(L177&gt;0,IF(M176&gt;0,M176,IF(M175&gt;0,IF(N175=TRUE,ROUND((M175*AE176)/AE175,0),(M175*AE176)/AE175),IF(M176&gt;0,ROUND(M176,IF(N175=0,2,IF(N175=0.1,1,0))),IF(M177&gt;0,ROUND(O177*AE176/AE177,IF(N175=0,2,IF(N175=0.1,1,0))),0)))),IF(M176&gt;0,M176,ROUND((M175*AE176)/AE175,IF(N175=0,2,IF(N175=0.1,1,0))))),2))</f>
        <v>17.37</v>
      </c>
      <c r="P176" s="127">
        <f>IF(OR(L176="",O176=""),"",IF($C176="1/2W",O176/2+O176/2*L176,IF($C176="1/2L",O176/2,IF(I176="Lay",((O176*(L176/(L176-1)))-O176)*(1-_xlfn.XLOOKUP(K176,'Fevereiro 2023 - Valor Real'!A3:A15,'Fevereiro 2023 - Valor Real'!C3:C15,0))+O176,(O176*L176-O176)*(1-_xlfn.XLOOKUP(K176,'Fevereiro 2023 - Valor Real'!A3:A15,'Fevereiro 2023 - Valor Real'!C3:C15,0))+O176))))</f>
        <v>60.795000000000002</v>
      </c>
      <c r="Q176" s="128">
        <f>IF(K176="","",IF(_xlfn.XLOOKUP(K176,K$4:K175,$DJ$4:DJ175,0,,-1)=DJ176,_xlfn.XLOOKUP(K176,K$4:K175,Q$4:Q175,1,,-1)+1,1))</f>
        <v>1</v>
      </c>
      <c r="R176" s="129">
        <f>IF(K176="","",_xlfn.XLOOKUP(K176,K$4:K175,R$4:R175,0,,-1)+IF($C176=" ",1,0))</f>
        <v>0</v>
      </c>
      <c r="S176" s="403"/>
      <c r="T176" s="380"/>
      <c r="U176" s="380"/>
      <c r="V176" s="481"/>
      <c r="W176" s="380"/>
      <c r="X176" s="452"/>
      <c r="Y176" s="383"/>
      <c r="Z176" s="384"/>
      <c r="AA176" s="384"/>
      <c r="AB176" s="384"/>
      <c r="AC176" s="384"/>
      <c r="AD176" s="130">
        <f>(((L176/(L176-1)-1)*(1-_xlfn.XLOOKUP(K176,'Fevereiro 2023 - Valor Real'!A3:A15,'Fevereiro 2023 - Valor Real'!C3:C15,0))+1))</f>
        <v>1.4</v>
      </c>
      <c r="AE176" s="131">
        <f>IF(L176="","",IF(L177&gt;0,(SUM(((L175-1)*(1-_xlfn.XLOOKUP(K175,'Fevereiro 2023 - Valor Real'!A3:A15,'Fevereiro 2023 - Valor Real'!C3:C15,0))+1),((L176-1)*(1-_xlfn.XLOOKUP(K176,'Fevereiro 2023 - Valor Real'!A3:A15,'Fevereiro 2023 - Valor Real'!C3:C15,0))+1),((L177-1)*(1-_xlfn.XLOOKUP(K177,'Fevereiro 2023 - Valor Real'!A3:A15,'Fevereiro 2023 - Valor Real'!C3:C15,0))+1))/((L176-1)*(1-_xlfn.XLOOKUP(K176,'Fevereiro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Real'!C3:C15,0))+1))/((L175-1)*(1-_xlfn.XLOOKUP(K175,'Fevereiro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Real'!C3:C15,0))+1))/((L176-1)*(1-_xlfn.XLOOKUP(K176,'Fevereiro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Real'!C3:C15,0))+1))/((L177-1)*(1-_xlfn.XLOOKUP(K177,'Fevereiro 2023 - Valor Real'!A3:A15,'Fevereiro 2023 - Valor Real'!C3:C15,0))+1)),IF(I176="Lay",IF(I175="Lay",((L175/(L175-1)-1)*(1-_xlfn.XLOOKUP(K175,'Fevereiro 2023 - Valor Real'!A3:A15,'Fevereiro 2023 - Valor Real'!C3:C15,0))+1)/(((L175/(L175-1)-1)*(1-_xlfn.XLOOKUP(K175,'Fevereiro 2023 - Valor Real'!A3:A15,'Fevereiro 2023 - Valor Real'!C3:C15,0))+1)+((L176/(L176-1)-1)*(1-_xlfn.XLOOKUP(K176,'Fevereiro 2023 - Valor Real'!A3:A15,'Fevereiro 2023 - Valor Real'!C3:C15,0))+1)),((L175-1)*(1-_xlfn.XLOOKUP(K175,'Fevereiro 2023 - Valor Real'!A3:A15,'Fevereiro 2023 - Valor Real'!C3:C15,0))+1)/(((L175-1)*(1-_xlfn.XLOOKUP(K175,'Fevereiro 2023 - Valor Real'!A3:A15,'Fevereiro 2023 - Valor Real'!C3:C15,0))+1)+((L176/(L176-1)-1)*(1-_xlfn.XLOOKUP(K176,'Fevereiro 2023 - Valor Real'!A3:A15,'Fevereiro 2023 - Valor Real'!C3:C15,0))+1))),IF(I175="Lay",((L175/(L175-1)-1)*(1-_xlfn.XLOOKUP(K175,'Fevereiro 2023 - Valor Real'!A3:A15,'Fevereiro 2023 - Valor Real'!C3:C15,0))+1)/((((L175/(L175-1)-1)*(1-_xlfn.XLOOKUP(K175,'Fevereiro 2023 - Valor Real'!A3:A15,'Fevereiro 2023 - Valor Real'!C3:C15,0))+1))+((L176-1)*(1-_xlfn.XLOOKUP(K176,'Fevereiro 2023 - Valor Real'!A3:A15,'Fevereiro 2023 - Valor Real'!C3:C15,0))+1)),((L175-1)*(1-_xlfn.XLOOKUP(K175,'Fevereiro 2023 - Valor Real'!A3:A15,'Fevereiro 2023 - Valor Real'!C3:C15,0))+1)/(((L175-1)*(1-_xlfn.XLOOKUP(K175,'Fevereiro 2023 - Valor Real'!A3:A15,'Fevereiro 2023 - Valor Real'!C3:C15,0))+1)+((L176-1)*(1-_xlfn.XLOOKUP(K176,'Fevereiro 2023 - Valor Real'!A3:A15,'Fevereiro 2023 - Valor Real'!C3:C15,0))+1))))))</f>
        <v>0.29859719438877752</v>
      </c>
      <c r="AF176" s="105">
        <f t="shared" si="351"/>
        <v>0</v>
      </c>
      <c r="AG176" s="106">
        <f t="shared" si="351"/>
        <v>43.43</v>
      </c>
      <c r="AH176" s="106">
        <f t="shared" si="351"/>
        <v>0</v>
      </c>
      <c r="AI176" s="106">
        <f t="shared" si="351"/>
        <v>0</v>
      </c>
      <c r="AJ176" s="106">
        <f t="shared" si="351"/>
        <v>0</v>
      </c>
      <c r="AK176" s="106">
        <f t="shared" si="351"/>
        <v>0</v>
      </c>
      <c r="AL176" s="106">
        <f t="shared" si="351"/>
        <v>0</v>
      </c>
      <c r="AM176" s="106">
        <f t="shared" si="351"/>
        <v>0</v>
      </c>
      <c r="AN176" s="106">
        <f t="shared" si="351"/>
        <v>0</v>
      </c>
      <c r="AO176" s="106">
        <f t="shared" si="351"/>
        <v>0</v>
      </c>
      <c r="AP176" s="106">
        <f t="shared" si="351"/>
        <v>0</v>
      </c>
      <c r="AQ176" s="106">
        <f t="shared" si="351"/>
        <v>0</v>
      </c>
      <c r="AR176" s="107">
        <f t="shared" si="351"/>
        <v>0</v>
      </c>
      <c r="AS176" s="105">
        <f>IF(AND($B175=" ",$K176=AS$3),$O176,0)</f>
        <v>0</v>
      </c>
      <c r="AT176" s="106">
        <f>IF(AND($B175=" ",K176=AT$3),$O176,0)</f>
        <v>0</v>
      </c>
      <c r="AU176" s="106">
        <f t="shared" ref="AU176:BE176" si="356">IF(AND($B175=" ",$K176=AU$3),$O176,0)</f>
        <v>0</v>
      </c>
      <c r="AV176" s="106">
        <f t="shared" si="356"/>
        <v>0</v>
      </c>
      <c r="AW176" s="106">
        <f t="shared" si="356"/>
        <v>0</v>
      </c>
      <c r="AX176" s="106">
        <f t="shared" si="356"/>
        <v>0</v>
      </c>
      <c r="AY176" s="108">
        <f t="shared" si="356"/>
        <v>0</v>
      </c>
      <c r="AZ176" s="109">
        <f t="shared" si="356"/>
        <v>0</v>
      </c>
      <c r="BA176" s="109">
        <f t="shared" si="356"/>
        <v>0</v>
      </c>
      <c r="BB176" s="109">
        <f t="shared" si="356"/>
        <v>0</v>
      </c>
      <c r="BC176" s="110">
        <f t="shared" si="356"/>
        <v>0</v>
      </c>
      <c r="BD176" s="106">
        <f t="shared" si="356"/>
        <v>0</v>
      </c>
      <c r="BE176" s="107">
        <f t="shared" si="356"/>
        <v>0</v>
      </c>
      <c r="BF176" s="105">
        <f t="shared" si="353"/>
        <v>0</v>
      </c>
      <c r="BG176" s="106">
        <f t="shared" si="353"/>
        <v>17.37</v>
      </c>
      <c r="BH176" s="106">
        <f t="shared" si="353"/>
        <v>0</v>
      </c>
      <c r="BI176" s="106">
        <f t="shared" si="353"/>
        <v>0</v>
      </c>
      <c r="BJ176" s="106">
        <f t="shared" si="353"/>
        <v>0</v>
      </c>
      <c r="BK176" s="106">
        <f t="shared" si="353"/>
        <v>0</v>
      </c>
      <c r="BL176" s="106">
        <f t="shared" si="353"/>
        <v>0</v>
      </c>
      <c r="BM176" s="132">
        <f t="shared" si="353"/>
        <v>0</v>
      </c>
      <c r="BN176" s="112">
        <f t="shared" si="353"/>
        <v>0</v>
      </c>
      <c r="BO176" s="112">
        <f t="shared" si="353"/>
        <v>0</v>
      </c>
      <c r="BP176" s="112">
        <f t="shared" si="353"/>
        <v>0</v>
      </c>
      <c r="BQ176" s="110">
        <f t="shared" si="353"/>
        <v>0</v>
      </c>
      <c r="BR176" s="107">
        <f t="shared" si="353"/>
        <v>0</v>
      </c>
      <c r="BS176" s="464"/>
      <c r="BT176" s="461"/>
      <c r="BU176" s="392"/>
      <c r="BV176" s="461"/>
      <c r="BW176" s="392"/>
      <c r="BX176" s="392"/>
      <c r="BY176" s="392"/>
      <c r="BZ176" s="461"/>
      <c r="CA176" s="392"/>
      <c r="CB176" s="392"/>
      <c r="CC176" s="392"/>
      <c r="CD176" s="401"/>
      <c r="CE176" s="409"/>
      <c r="CF176" s="133">
        <f t="shared" si="258"/>
        <v>0</v>
      </c>
      <c r="CG176" s="134">
        <f t="shared" si="259"/>
        <v>0</v>
      </c>
      <c r="CH176" s="134">
        <f t="shared" si="260"/>
        <v>1</v>
      </c>
      <c r="CI176" s="134">
        <f t="shared" si="261"/>
        <v>0</v>
      </c>
      <c r="CJ176" s="134">
        <f t="shared" si="262"/>
        <v>0</v>
      </c>
      <c r="CK176" s="134">
        <f t="shared" si="263"/>
        <v>0</v>
      </c>
      <c r="CL176" s="134">
        <f t="shared" si="264"/>
        <v>0</v>
      </c>
      <c r="CM176" s="134">
        <f t="shared" si="265"/>
        <v>0</v>
      </c>
      <c r="CN176" s="134">
        <f t="shared" si="266"/>
        <v>0</v>
      </c>
      <c r="CO176" s="134">
        <f t="shared" si="267"/>
        <v>0</v>
      </c>
      <c r="CP176" s="134">
        <f t="shared" si="268"/>
        <v>0</v>
      </c>
      <c r="CQ176" s="134">
        <f t="shared" si="269"/>
        <v>0</v>
      </c>
      <c r="CR176" s="134">
        <f t="shared" si="270"/>
        <v>0</v>
      </c>
      <c r="CS176" s="134">
        <f t="shared" si="271"/>
        <v>0</v>
      </c>
      <c r="CT176" s="115">
        <f t="shared" si="272"/>
        <v>0</v>
      </c>
      <c r="CU176" s="116">
        <f t="shared" si="273"/>
        <v>0</v>
      </c>
      <c r="CV176" s="116">
        <f t="shared" si="274"/>
        <v>0</v>
      </c>
      <c r="CW176" s="116">
        <f t="shared" si="275"/>
        <v>0</v>
      </c>
      <c r="CX176" s="116">
        <f t="shared" si="276"/>
        <v>0</v>
      </c>
      <c r="CY176" s="116">
        <f t="shared" si="277"/>
        <v>0</v>
      </c>
      <c r="CZ176" s="116">
        <f t="shared" si="278"/>
        <v>0</v>
      </c>
      <c r="DA176" s="116">
        <f t="shared" si="279"/>
        <v>0</v>
      </c>
      <c r="DB176" s="116">
        <f t="shared" si="280"/>
        <v>0</v>
      </c>
      <c r="DC176" s="116">
        <f t="shared" si="281"/>
        <v>0</v>
      </c>
      <c r="DD176" s="116">
        <f t="shared" si="282"/>
        <v>0</v>
      </c>
      <c r="DE176" s="117">
        <f t="shared" si="283"/>
        <v>0</v>
      </c>
      <c r="DF176" s="118">
        <f t="shared" si="286"/>
        <v>12</v>
      </c>
      <c r="DG176" s="106">
        <f t="shared" si="287"/>
        <v>15.760000000000002</v>
      </c>
      <c r="DH176" s="116">
        <f t="shared" si="288"/>
        <v>4</v>
      </c>
      <c r="DI176" s="106">
        <f t="shared" si="289"/>
        <v>18.100000000000001</v>
      </c>
      <c r="DJ176" s="201" t="str">
        <f>IF($D175="","",$D175)</f>
        <v>6</v>
      </c>
      <c r="DK176" s="466"/>
    </row>
    <row r="177" spans="1:115" ht="14.5" customHeight="1" x14ac:dyDescent="0.2">
      <c r="A177" s="390"/>
      <c r="B177" s="457"/>
      <c r="C177" s="135" t="s">
        <v>53</v>
      </c>
      <c r="D177" s="375"/>
      <c r="E177" s="387"/>
      <c r="F177" s="378"/>
      <c r="G177" s="484"/>
      <c r="H177" s="477"/>
      <c r="I177" s="136"/>
      <c r="J177" s="137"/>
      <c r="K177" s="138"/>
      <c r="L177" s="139"/>
      <c r="M177" s="140"/>
      <c r="N177" s="407"/>
      <c r="O177" s="141" t="str">
        <f>IF(OR(AE175="",AE176=""),"",IF(L177&gt;0,ROUND(IF(M177&gt;0,M177,IF(M175&gt;0,ROUND((M175*AE177)/AE175,IF(N175=0,2,IF(N175=0.1,1,0))),IF(M176&gt;0,ROUND((M176*AE177)/AE176,IF(N175=0,2,IF(N175=0.1,1,0))),IF(M177&gt;0,M177,0)))),2),""))</f>
        <v/>
      </c>
      <c r="P177" s="142" t="str">
        <f>IF(I176="Lay",O176*(L176/(L176-1))-O176,IF(I175="Lay",O175*(L175/(L175-1))-O175,IF(OR(L177="",O177=""),"",IF($C177="1/2W",O177/2+O177/2*L177,IF($C177="1/2L",O177/2,(O177*L177-O177)*(1-_xlfn.XLOOKUP(K177,'Fevereiro 2023 - Valor Real'!A3:A15,'Fevereiro 2023 - Valor Real'!C3:C15,0))+O177)))))</f>
        <v/>
      </c>
      <c r="Q177" s="143" t="str">
        <f>IF(K177="","",IF(_xlfn.XLOOKUP(K177,K$4:K176,$DJ$4:DJ176,0,,-1)=DJ177,_xlfn.XLOOKUP(K177,K$4:K176,Q$4:Q176,1,,-1)+1,1))</f>
        <v/>
      </c>
      <c r="R177" s="144" t="str">
        <f>IF(K177="","",_xlfn.XLOOKUP(K177,K$4:K176,R$4:R176,0,,-1)+IF($C177=" ",1,0))</f>
        <v/>
      </c>
      <c r="S177" s="404"/>
      <c r="T177" s="378"/>
      <c r="U177" s="378"/>
      <c r="V177" s="404"/>
      <c r="W177" s="378"/>
      <c r="X177" s="453"/>
      <c r="Y177" s="383"/>
      <c r="Z177" s="384"/>
      <c r="AA177" s="384"/>
      <c r="AB177" s="384"/>
      <c r="AC177" s="384"/>
      <c r="AD177" s="145">
        <f>((L176/(L176-1)-1))</f>
        <v>0.39999999999999991</v>
      </c>
      <c r="AE177" s="146" t="str">
        <f>IF(L177="","",(SUM(((L175-1)*(1-_xlfn.XLOOKUP(K175,'Fevereiro 2023 - Valor Real'!A3:A15,'Fevereiro 2023 - Valor Real'!C3:C15,0))+1),((L176-1)*(1-_xlfn.XLOOKUP(K176,'Fevereiro 2023 - Valor Real'!A3:A15,'Fevereiro 2023 - Valor Real'!C3:C15,0))+1),((L177-1)*(1-_xlfn.XLOOKUP(K177,'Fevereiro 2023 - Valor Real'!A3:A15,'Fevereiro 2023 - Valor Real'!C3:C15,0))+1))/((L177-1)*(1-_xlfn.XLOOKUP(K177,'Fevereiro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Real'!C3:C15,0))+1))/((L175-1)*(1-_xlfn.XLOOKUP(K175,'Fevereiro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Real'!C3:C15,0))+1))/((L176-1)*(1-_xlfn.XLOOKUP(K176,'Fevereiro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Real'!C3:C15,0))+1))/((L177-1)*(1-_xlfn.XLOOKUP(K177,'Fevereiro 2023 - Valor Real'!A3:A15,'Fevereiro 2023 - Valor Real'!C3:C15,0))+1)))</f>
        <v/>
      </c>
      <c r="AF177" s="105">
        <f t="shared" si="351"/>
        <v>0</v>
      </c>
      <c r="AG177" s="106">
        <f t="shared" si="351"/>
        <v>0</v>
      </c>
      <c r="AH177" s="106">
        <f t="shared" si="351"/>
        <v>0</v>
      </c>
      <c r="AI177" s="106">
        <f t="shared" si="351"/>
        <v>0</v>
      </c>
      <c r="AJ177" s="106">
        <f t="shared" si="351"/>
        <v>0</v>
      </c>
      <c r="AK177" s="106">
        <f t="shared" si="351"/>
        <v>0</v>
      </c>
      <c r="AL177" s="106">
        <f t="shared" si="351"/>
        <v>0</v>
      </c>
      <c r="AM177" s="106">
        <f t="shared" si="351"/>
        <v>0</v>
      </c>
      <c r="AN177" s="106">
        <f t="shared" si="351"/>
        <v>0</v>
      </c>
      <c r="AO177" s="106">
        <f t="shared" si="351"/>
        <v>0</v>
      </c>
      <c r="AP177" s="106">
        <f t="shared" si="351"/>
        <v>0</v>
      </c>
      <c r="AQ177" s="106">
        <f t="shared" si="351"/>
        <v>0</v>
      </c>
      <c r="AR177" s="107">
        <f t="shared" si="351"/>
        <v>0</v>
      </c>
      <c r="AS177" s="105">
        <f>IF(AND($B175=" ",$K177=AS$3),$O177,0)</f>
        <v>0</v>
      </c>
      <c r="AT177" s="106">
        <f>IF(AND($B175=" ",K177=AT$3),$O177,0)</f>
        <v>0</v>
      </c>
      <c r="AU177" s="106">
        <f t="shared" ref="AU177:BE177" si="357">IF(AND($B175=" ",$K177=AU$3),$O177,0)</f>
        <v>0</v>
      </c>
      <c r="AV177" s="106">
        <f t="shared" si="357"/>
        <v>0</v>
      </c>
      <c r="AW177" s="106">
        <f t="shared" si="357"/>
        <v>0</v>
      </c>
      <c r="AX177" s="106">
        <f t="shared" si="357"/>
        <v>0</v>
      </c>
      <c r="AY177" s="108">
        <f t="shared" si="357"/>
        <v>0</v>
      </c>
      <c r="AZ177" s="109">
        <f t="shared" si="357"/>
        <v>0</v>
      </c>
      <c r="BA177" s="109">
        <f t="shared" si="357"/>
        <v>0</v>
      </c>
      <c r="BB177" s="109">
        <f t="shared" si="357"/>
        <v>0</v>
      </c>
      <c r="BC177" s="110">
        <f t="shared" si="357"/>
        <v>0</v>
      </c>
      <c r="BD177" s="106">
        <f t="shared" si="357"/>
        <v>0</v>
      </c>
      <c r="BE177" s="107">
        <f t="shared" si="357"/>
        <v>0</v>
      </c>
      <c r="BF177" s="105">
        <f t="shared" si="353"/>
        <v>0</v>
      </c>
      <c r="BG177" s="106">
        <f t="shared" si="353"/>
        <v>0</v>
      </c>
      <c r="BH177" s="106">
        <f t="shared" si="353"/>
        <v>0</v>
      </c>
      <c r="BI177" s="106">
        <f t="shared" si="353"/>
        <v>0</v>
      </c>
      <c r="BJ177" s="106">
        <f t="shared" si="353"/>
        <v>0</v>
      </c>
      <c r="BK177" s="106">
        <f t="shared" si="353"/>
        <v>0</v>
      </c>
      <c r="BL177" s="106">
        <f t="shared" si="353"/>
        <v>0</v>
      </c>
      <c r="BM177" s="108">
        <f t="shared" si="353"/>
        <v>0</v>
      </c>
      <c r="BN177" s="109">
        <f t="shared" si="353"/>
        <v>0</v>
      </c>
      <c r="BO177" s="109">
        <f t="shared" si="353"/>
        <v>0</v>
      </c>
      <c r="BP177" s="109">
        <f t="shared" si="353"/>
        <v>0</v>
      </c>
      <c r="BQ177" s="110">
        <f t="shared" si="353"/>
        <v>0</v>
      </c>
      <c r="BR177" s="107">
        <f t="shared" si="353"/>
        <v>0</v>
      </c>
      <c r="BS177" s="464"/>
      <c r="BT177" s="461"/>
      <c r="BU177" s="392"/>
      <c r="BV177" s="461"/>
      <c r="BW177" s="392"/>
      <c r="BX177" s="392"/>
      <c r="BY177" s="392"/>
      <c r="BZ177" s="461"/>
      <c r="CA177" s="392"/>
      <c r="CB177" s="392"/>
      <c r="CC177" s="392"/>
      <c r="CD177" s="401"/>
      <c r="CE177" s="409"/>
      <c r="CF177" s="133">
        <f t="shared" si="258"/>
        <v>0</v>
      </c>
      <c r="CG177" s="134">
        <f t="shared" si="259"/>
        <v>0</v>
      </c>
      <c r="CH177" s="134">
        <f t="shared" si="260"/>
        <v>0</v>
      </c>
      <c r="CI177" s="134">
        <f t="shared" si="261"/>
        <v>0</v>
      </c>
      <c r="CJ177" s="134">
        <f t="shared" si="262"/>
        <v>0</v>
      </c>
      <c r="CK177" s="134">
        <f t="shared" si="263"/>
        <v>0</v>
      </c>
      <c r="CL177" s="134">
        <f t="shared" si="264"/>
        <v>0</v>
      </c>
      <c r="CM177" s="134">
        <f t="shared" si="265"/>
        <v>0</v>
      </c>
      <c r="CN177" s="134">
        <f t="shared" si="266"/>
        <v>0</v>
      </c>
      <c r="CO177" s="134">
        <f t="shared" si="267"/>
        <v>0</v>
      </c>
      <c r="CP177" s="134">
        <f t="shared" si="268"/>
        <v>0</v>
      </c>
      <c r="CQ177" s="134">
        <f t="shared" si="269"/>
        <v>0</v>
      </c>
      <c r="CR177" s="134">
        <f t="shared" si="270"/>
        <v>0</v>
      </c>
      <c r="CS177" s="134">
        <f t="shared" si="271"/>
        <v>0</v>
      </c>
      <c r="CT177" s="115">
        <f t="shared" si="272"/>
        <v>0</v>
      </c>
      <c r="CU177" s="116">
        <f t="shared" si="273"/>
        <v>0</v>
      </c>
      <c r="CV177" s="116">
        <f t="shared" si="274"/>
        <v>0</v>
      </c>
      <c r="CW177" s="116">
        <f t="shared" si="275"/>
        <v>0</v>
      </c>
      <c r="CX177" s="116">
        <f t="shared" si="276"/>
        <v>0</v>
      </c>
      <c r="CY177" s="116">
        <f t="shared" si="277"/>
        <v>0</v>
      </c>
      <c r="CZ177" s="116">
        <f t="shared" si="278"/>
        <v>0</v>
      </c>
      <c r="DA177" s="116">
        <f t="shared" si="279"/>
        <v>0</v>
      </c>
      <c r="DB177" s="116">
        <f t="shared" si="280"/>
        <v>0</v>
      </c>
      <c r="DC177" s="116">
        <f t="shared" si="281"/>
        <v>0</v>
      </c>
      <c r="DD177" s="116">
        <f t="shared" si="282"/>
        <v>0</v>
      </c>
      <c r="DE177" s="117">
        <f t="shared" si="283"/>
        <v>0</v>
      </c>
      <c r="DF177" s="118">
        <f t="shared" si="286"/>
        <v>12</v>
      </c>
      <c r="DG177" s="106">
        <f t="shared" si="287"/>
        <v>15.760000000000002</v>
      </c>
      <c r="DH177" s="116">
        <f t="shared" si="288"/>
        <v>4</v>
      </c>
      <c r="DI177" s="106">
        <f t="shared" si="289"/>
        <v>18.100000000000001</v>
      </c>
      <c r="DJ177" s="201" t="str">
        <f>IF($D175="","",$D175)</f>
        <v>6</v>
      </c>
      <c r="DK177" s="466"/>
    </row>
    <row r="178" spans="1:115" ht="14.5" customHeight="1" x14ac:dyDescent="0.2">
      <c r="A178" s="487">
        <f>$A175+1</f>
        <v>59</v>
      </c>
      <c r="B178" s="506" t="str">
        <f>IF(OR(C178="W",C179="W",C180="W",C178="1/2W",C179="1/2W",C180="1/2W",C178="1/2L",C179="1/2L",C180="1/2L"),"OK",IF(OR(C178="L",C179="L",C180="L"),"LOSS",IF(OR(C178="X",C179="X",C180="X"),"Anulado"," ")))</f>
        <v>OK</v>
      </c>
      <c r="C178" s="147" t="s">
        <v>54</v>
      </c>
      <c r="D178" s="494" t="str">
        <f>IF(G178="","",$D175)</f>
        <v>6</v>
      </c>
      <c r="E178" s="511" t="str">
        <f>IF(G178=""," ","– "&amp;COUNTIF(D$4:D180,$D178))</f>
        <v>– 2</v>
      </c>
      <c r="F178" s="510" t="str">
        <f ca="1">IF(G178="","",IF(OR(AND($C178&lt;&gt;" ",$C179=" "),AND($C179&lt;&gt;" ",$C178=" "),AND(L180&gt;0,OR(AND($C180&lt;&gt;" ",OR($C178=" ",$C179=" ")),AND($C180=" ",OR($C178&lt;&gt;" ",$C179&lt;&gt;" "))))),IF(SUM(F$4:F177)=0,1,LARGE(F$4:F177,1)+1),IF(MONTH(G178)=MONTH(TODAY()),IF(AND(DAY(G178)&lt;DAY(TODAY()),$B178=" "),IF(SUM(F$4:F177)=0,1,LARGE(F$4:F177,1)+1),IF($B178=" ",IF(AND(DAY(G178)=DAY(TODAY()),HOUR(G178)&lt;=HOUR(NOW())+1),IF(AND(HOUR(G178)+2&lt;=HOUR(NOW()),DAY(G178)&lt;=DAY(TODAY()),MINUTE(G178)&lt;=MINUTE(NOW())),IF(SUM(F$4:F177)=0,1,LARGE(F$4:F177,1)+1),IF(OR(MINUTE(G178)&lt;=MINUTE(NOW()),HOUR(G178)&lt;=HOUR(NOW())),"!!!","")),""),"")),"")))</f>
        <v/>
      </c>
      <c r="G178" s="508">
        <v>44992.458333333336</v>
      </c>
      <c r="H178" s="502" t="s">
        <v>110</v>
      </c>
      <c r="I178" s="180" t="s">
        <v>76</v>
      </c>
      <c r="J178" s="181">
        <v>1</v>
      </c>
      <c r="K178" s="150" t="s">
        <v>40</v>
      </c>
      <c r="L178" s="151">
        <v>1.79</v>
      </c>
      <c r="M178" s="152">
        <v>142.41</v>
      </c>
      <c r="N178" s="503">
        <v>0</v>
      </c>
      <c r="O178" s="153">
        <f>IF(OR(AE178="",AE179=""),"",ROUND(IF(L180&gt;0,IF(M178&gt;0,M178,IF(M179&gt;0,ROUND((M179*AE178)/AE179,IF(N178=0,2,IF(N178=0.1,1,0))),ROUND((M180*AE178)/AE180,IF(N178=0,2,IF(N178=0.1,1,0))))),IF(M178&gt;0,M178,ROUND((M179*AE178)/AE179,IF(N178=0,2,IF(N178=0.1,1,0))))),2))</f>
        <v>142.41</v>
      </c>
      <c r="P178" s="154">
        <f>IF(OR(L178="",O178=""),"",IF($C178="1/2W",O178/2+O178/2*L178,IF($C178="1/2L",O178/2,IF(I178="Lay",(O178*(L178/(L178-1))-O178)*(1-_xlfn.XLOOKUP(K178,'Fevereiro 2023 - Valor Real'!A3:A15,'Fevereiro 2023 - Valor Real'!C3:C15,0))+O178,(O178*L178-O178)*(1-_xlfn.XLOOKUP(K178,'Fevereiro 2023 - Valor Real'!A3:A15,'Fevereiro 2023 - Valor Real'!C3:C15,0))+O178))))</f>
        <v>254.91390000000001</v>
      </c>
      <c r="Q178" s="155">
        <f>IF(K178="","",IF(_xlfn.XLOOKUP(K178,K$4:K177,$DJ$4:DJ177,0,,-1)=DJ178,_xlfn.XLOOKUP(K178,K$4:K177,Q$4:Q177,1,,-1)+1,1))</f>
        <v>1</v>
      </c>
      <c r="R178" s="156">
        <f>IF(K178="","",_xlfn.XLOOKUP(K178,K$4:K177,R$4:R177,0,,-1)+IF($C178=" ",1,0))</f>
        <v>0</v>
      </c>
      <c r="S178" s="501">
        <f>IF($B178="Anulado",0,ROUND(IF(OR($B178="LOSS",$B178="OK"),IF(OR($C178="W",$C178="1/2W",$C178="1/2L"),P178-O178,IF($C178="L",-O178,0))+IF(OR($C179="W",$C179="1/2W",$C179="1/2L"),P179-O179,IF($C179="L",-O179,0))+IF(OR($C180="W",$C180="1/2W",$C180="1/2L"),P180-O180,IF($C180="L",-O180,0)),IF(AND(OR($C178="W",$C178="1/2W",$C178="1/2L"),C179="W"),P178+P179-SUM(O178:O180)+_xlfn.XLOOKUP("X",C178:C180,O178:O180,0),IF(AND(C178=TRUE,C180="W"),P178+P180-SUM(O178:O180),IF(AND(C179="W",C180="W"),P179+P180-SUM(O178:O180)+_xlfn.XLOOKUP("X",C178:C180,O178:O180,0),IF(L180&gt;0,IF(OR($C178="W",$C178="1/2W",$C178="1/2L"),P178-SUM(O178:O180)+_xlfn.XLOOKUP("X",C178:C180,O178:O180,0),IF(OR($C178="W",$C178="1/2W",$C178="1/2L"),P179-SUM(O178:O180)+_xlfn.XLOOKUP("X",C178:C180,O178:O180,0),IF(OR($C178="W",$C178="1/2W",$C178="1/2L"),P180-SUM(O178:O180)+_xlfn.XLOOKUP("X",C178:C180,O178:O180,0),IF(SUM(P178:P180)/3-SUM(O178:O180)+_xlfn.XLOOKUP("X",C178:C180,O178:O180,0)&gt;0,SUM(P178:P180)/3-SUM(O178:O180)+_xlfn.XLOOKUP("X",C178:C180,O178:O180,0),LARGE(P178:P180,1)-SUM(O178:O180))))),IF(OR($C178="W",$C178="1/2W",$C178="1/2L"),P178-SUM(O178:O179)+_xlfn.XLOOKUP("X",C178:C180,O178:O180,0),IF(OR($C178="W",$C178="1/2W",$C178="1/2L"),P179-SUM(O178:O179)+_xlfn.XLOOKUP("X",C178:C180,O178:O180,0),SUM(P178:P179)/2-SUM(O178:O179)+_xlfn.XLOOKUP("X",C178:C180,O178:O180,0)))))))),2))</f>
        <v>15.2</v>
      </c>
      <c r="T178" s="486">
        <f>IF(S178=0,0,S178/SUM(O178:O180))</f>
        <v>6.3409953694046978E-2</v>
      </c>
      <c r="U178" s="496">
        <f>IF($D178=$D175,IF(OR($B178="LOSS",$B178="OK",$B178="Anulada"),S178,0)+U175,IF(OR($B178="LOSS",$B178="OK",$B178="Anulada"),S178,0))</f>
        <v>17.829999999999998</v>
      </c>
      <c r="V178" s="496">
        <f>IF($D178="",0,IF($D178=$D175,IF($B178=" ",IF(I180="",IF(OR(AND(I178="DNB1",I179="DNB2"),AND(OR(I178="DNB1",I178="DNB2"),J179=0),AND(OR(I179="DNB1",I179="DNB2"),J178=0),AND(I178="DNB2",I179="DNB1"),AND(IF(J178=0,(J178+1)/ROUND(J178+1,0),J178/ROUND(J178,0))=1,IF(J179=0,(J179+1)/ROUND(IF(J179="",0,J179)+1,0),IF(J179="",0,J179)/ROUND(IF(J179="",1,J179),0))=1,OR(J178&lt;&gt;""),J179&lt;&gt;"")),0,IF(S178&lt;0,IF(I180="",SMALL(P178:P179,1)-SUM(O178:O179),0),SMALL(P178:P179,1)-SUM(O178:O179))),IF(S178&lt;0,IF(I180="",SMALL(P178:P180,1)-SUM(O178:O180),0),LARGE(P178:P180,1)-SUM(O178:O180))),S178)+V175,IF(I180="",IF(OR(AND(I178="DNB1",I179="DNB2"),AND(OR(I178="DNB1",I178="DNB2"),J179=0),AND(OR(I179="DNB1",I179="DNB2"),J178=0),AND(I178="DNB2",I179="DNB1"),AND(IF(J178=0,(J178+1)/ROUND(J178+1,0),J178/ROUND(J178,0))=1,IF(J179=0,(IF(J179="",0,J179)+1)/ROUND(IF(J179="",0,J179)+1,0),IF(J179="",0,J179)/ROUND(IF(J179="",0,J179)+1,0))=1,OR(J178&lt;&gt;""),J179&lt;&gt;"")),0,IF(S178&lt;0,IF(I180="",SMALL(P178:P179,1)-SUM(O178:O179),0),SMALL(P178:P180,1)-SUM(O178:O180))),IF(S178&lt;0,IF(I180="",SMALL(P178:P180,1)-SUM(O178:O180),0),LARGE(P178:P180,1)-SUM(O178:O180)))))</f>
        <v>17.821999999999992</v>
      </c>
      <c r="W178" s="496">
        <f>IF($D178=$D175,IF(S178&lt;0,IF(I180="",S178,0),S178)+W175,S178)</f>
        <v>17.829999999999998</v>
      </c>
      <c r="X178" s="505" t="str">
        <f>IF(OR(SUM(R178:R180)=0,V178=W178),ROUND(IF(W178=0,0,W178/Y178)*100,2)&amp;"%",ROUND(IF(V178=0,0,V178/Y178)*100,2)&amp;"% a "&amp;ROUND(IF(W178=0,0,W178/Y178)*100,2)&amp;"%")</f>
        <v>5,99%</v>
      </c>
      <c r="Y178" s="497">
        <f>IF($D178=$D175,Y175+SUM(O178:O180),SUM(O178:O180))</f>
        <v>297.88</v>
      </c>
      <c r="Z178" s="496">
        <f>IF($B178=" ",SUM(O178:O180),0)+Z175</f>
        <v>0</v>
      </c>
      <c r="AA178" s="496">
        <f>IF(G178="","",IF($B178="Anulado",LARGE(P178:P180,1)-SUM(O178:O180)+AA175,AA175))</f>
        <v>1.4607999999999972</v>
      </c>
      <c r="AB178" s="496">
        <f>IF($D178="","",AB175+S178)</f>
        <v>157.67999999999995</v>
      </c>
      <c r="AC178" s="499">
        <f ca="1">IF($D178="","",IF($B178=" ",IF(DAY(G178)=DAY(TODAY()),1+AC175,0+AC175),0+AC175))</f>
        <v>0</v>
      </c>
      <c r="AD178" s="157">
        <f>(1-_xlfn.XLOOKUP(K176,'Fevereiro 2023 - Valor Real'!A3:A15,'Fevereiro 2023 - Valor Real'!C3:C15,0))+1</f>
        <v>2</v>
      </c>
      <c r="AE178" s="158">
        <f>IF(L178="","",IF(L180&gt;0,(SUM(((L178-1)*(1-_xlfn.XLOOKUP(K178,'Fevereiro 2023 - Valor Real'!A3:A15,'Fevereiro 2023 - Valor Real'!C3:C15,0))+1),((L179-1)*(1-_xlfn.XLOOKUP(K179,'Fevereiro 2023 - Valor Real'!A3:A15,'Fevereiro 2023 - Valor Real'!C3:C15,0))+1),((L180-1)*(1-_xlfn.XLOOKUP(K180,'Fevereiro 2023 - Valor Real'!A3:A15,'Fevereiro 2023 - Valor Real'!C3:C15,0))+1))/((L178-1)*(1-_xlfn.XLOOKUP(K178,'Fevereiro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Real'!C3:C15,0))+1))/((L178-1)*(1-_xlfn.XLOOKUP(K178,'Fevereiro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Real'!C3:C15,0))+1))/((L179-1)*(1-_xlfn.XLOOKUP(K179,'Fevereiro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Real'!C3:C15,0))+1))/((L180-1)*(1-_xlfn.XLOOKUP(K180,'Fevereiro 2023 - Valor Real'!A3:A15,'Fevereiro 2023 - Valor Real'!C3:C15,0))+1)),IF(I178="Lay",IF(I179="Lay",((L179/(L179-1)-1)*(1-_xlfn.XLOOKUP(K179,'Fevereiro 2023 - Valor Real'!A3:A15,'Fevereiro 2023 - Valor Real'!C3:C15,0))+1)/(((L179/(L179-1)-1)*(1-_xlfn.XLOOKUP(K179,'Fevereiro 2023 - Valor Real'!A3:A15,'Fevereiro 2023 - Valor Real'!C3:C15,0))+1)+((L178/(L178-1)-1)*(1-_xlfn.XLOOKUP(K178,'Fevereiro 2023 - Valor Real'!A3:A15,'Fevereiro 2023 - Valor Real'!C3:C15,0))+1)),((L179-1)*(1-_xlfn.XLOOKUP(K179,'Fevereiro 2023 - Valor Real'!A3:A15,'Fevereiro 2023 - Valor Real'!C3:C15,0))+1)/(((L179-1)*(1-_xlfn.XLOOKUP(K179,'Fevereiro 2023 - Valor Real'!A3:A15,'Fevereiro 2023 - Valor Real'!C3:C15,0))+1)+((L178/(L178-1)-1)*(1-_xlfn.XLOOKUP(K178,'Fevereiro 2023 - Valor Real'!A3:A15,'Fevereiro 2023 - Valor Real'!C3:C15,0))+1))),IF(I179="Lay",(((L179/(L179-1)-1)*(1-_xlfn.XLOOKUP(K179,'Fevereiro 2023 - Valor Real'!A3:A15,'Fevereiro 2023 - Valor Real'!C3:C15,0))+1))/(((L178-1)*(1-_xlfn.XLOOKUP(K178,'Fevereiro 2023 - Valor Real'!A3:A15,'Fevereiro 2023 - Valor Real'!C3:C15,0))+1)+((L179/(L179-1)-1)*(1-_xlfn.XLOOKUP(K179,'Fevereiro 2023 - Valor Real'!A3:A15,'Fevereiro 2023 - Valor Real'!C3:C15,0))+1)),((L179-1)*(1-_xlfn.XLOOKUP(K179,'Fevereiro 2023 - Valor Real'!A3:A15,'Fevereiro 2023 - Valor Real'!C3:C15,0))+1)/(((L179-1)*(1-_xlfn.XLOOKUP(K179,'Fevereiro 2023 - Valor Real'!A3:A15,'Fevereiro 2023 - Valor Real'!C3:C15,0))+1)+((L178-1)*(1-_xlfn.XLOOKUP(K178,'Fevereiro 2023 - Valor Real'!A3:A15,'Fevereiro 2023 - Valor Real'!C3:C15,0))+1))))))</f>
        <v>0.59318181818181814</v>
      </c>
      <c r="AF178" s="66">
        <f t="shared" si="351"/>
        <v>0</v>
      </c>
      <c r="AG178" s="67">
        <f t="shared" si="351"/>
        <v>0</v>
      </c>
      <c r="AH178" s="67">
        <f t="shared" si="351"/>
        <v>0</v>
      </c>
      <c r="AI178" s="67">
        <f t="shared" si="351"/>
        <v>0</v>
      </c>
      <c r="AJ178" s="67">
        <f t="shared" si="351"/>
        <v>112.5</v>
      </c>
      <c r="AK178" s="67">
        <f t="shared" si="351"/>
        <v>0</v>
      </c>
      <c r="AL178" s="67">
        <f t="shared" si="351"/>
        <v>0</v>
      </c>
      <c r="AM178" s="67">
        <f t="shared" si="351"/>
        <v>0</v>
      </c>
      <c r="AN178" s="67">
        <f t="shared" si="351"/>
        <v>0</v>
      </c>
      <c r="AO178" s="67">
        <f t="shared" si="351"/>
        <v>0</v>
      </c>
      <c r="AP178" s="67">
        <f t="shared" si="351"/>
        <v>0</v>
      </c>
      <c r="AQ178" s="67">
        <f t="shared" si="351"/>
        <v>0</v>
      </c>
      <c r="AR178" s="68">
        <f t="shared" si="351"/>
        <v>0</v>
      </c>
      <c r="AS178" s="66">
        <f t="shared" ref="AS178:BE178" si="358">IF(AND($B178=" ",$K178=AS$3),$O178,0)</f>
        <v>0</v>
      </c>
      <c r="AT178" s="67">
        <f t="shared" si="358"/>
        <v>0</v>
      </c>
      <c r="AU178" s="67">
        <f t="shared" si="358"/>
        <v>0</v>
      </c>
      <c r="AV178" s="67">
        <f t="shared" si="358"/>
        <v>0</v>
      </c>
      <c r="AW178" s="67">
        <f t="shared" si="358"/>
        <v>0</v>
      </c>
      <c r="AX178" s="67">
        <f t="shared" si="358"/>
        <v>0</v>
      </c>
      <c r="AY178" s="69">
        <f t="shared" si="358"/>
        <v>0</v>
      </c>
      <c r="AZ178" s="70">
        <f t="shared" si="358"/>
        <v>0</v>
      </c>
      <c r="BA178" s="70">
        <f t="shared" si="358"/>
        <v>0</v>
      </c>
      <c r="BB178" s="70">
        <f t="shared" si="358"/>
        <v>0</v>
      </c>
      <c r="BC178" s="71">
        <f t="shared" si="358"/>
        <v>0</v>
      </c>
      <c r="BD178" s="67">
        <f t="shared" si="358"/>
        <v>0</v>
      </c>
      <c r="BE178" s="68">
        <f t="shared" si="358"/>
        <v>0</v>
      </c>
      <c r="BF178" s="66">
        <f t="shared" si="353"/>
        <v>0</v>
      </c>
      <c r="BG178" s="67">
        <f t="shared" si="353"/>
        <v>0</v>
      </c>
      <c r="BH178" s="67">
        <f t="shared" si="353"/>
        <v>0</v>
      </c>
      <c r="BI178" s="67">
        <f t="shared" si="353"/>
        <v>0</v>
      </c>
      <c r="BJ178" s="67">
        <f t="shared" si="353"/>
        <v>142.41</v>
      </c>
      <c r="BK178" s="67">
        <f t="shared" si="353"/>
        <v>0</v>
      </c>
      <c r="BL178" s="67">
        <f t="shared" si="353"/>
        <v>0</v>
      </c>
      <c r="BM178" s="69">
        <f t="shared" si="353"/>
        <v>0</v>
      </c>
      <c r="BN178" s="70">
        <f t="shared" si="353"/>
        <v>0</v>
      </c>
      <c r="BO178" s="70">
        <f t="shared" si="353"/>
        <v>0</v>
      </c>
      <c r="BP178" s="70">
        <f t="shared" si="353"/>
        <v>0</v>
      </c>
      <c r="BQ178" s="71">
        <f t="shared" si="353"/>
        <v>0</v>
      </c>
      <c r="BR178" s="68">
        <f t="shared" si="353"/>
        <v>0</v>
      </c>
      <c r="BS178" s="490">
        <f>IF($B178="LOSS",IF(AND($K178=BS$3,$C178="L"),-$O178,0)+IF(AND($K179=BS$3,$C179="L"),-$O179,0)+IF(AND($K180=BS$3,$C180="L"),-$O180,0),IF(OR(AND($K178=BS$3,OR($C178="W",$C178="1/2W")),AND($K179=BS$3,OR($C179="W",$C179="1/2W")),AND($K180=BS$3,OR($C180="W",$C180="1/2W"))),$S178,0))</f>
        <v>0</v>
      </c>
      <c r="BT178" s="498">
        <f>IF($B178="LOSS",IF(AND($K178=BT$3,$C178="L"),-$O178,0)+IF(AND($K179=BT$3,$C179="L"),-$O179,0)+IF(AND($K179=BT$3,$C180="L"),-$O180,0),IF(OR(AND($K179=BT$3,OR($C178="W",$C178="1/2W")),AND($K179=BT$3,OR($C179="W",$C179="1/2W")),AND($K179=BT$3,OR($C180="W",$C180="1/2W"))),$S178,0))</f>
        <v>0</v>
      </c>
      <c r="BU178" s="488">
        <f>IF($B178="LOSS",IF(AND($K178=BU$3,$C178="L"),-$O178,0)+IF(AND($K179=BU$3,$C179="L"),-$O179,0)+IF(AND($K179=BU$3,$C180="L"),-$O180,0),IF(OR(AND($K179=BU$3,OR($C178="W",$C178="1/2W")),AND($K179=BU$3,OR($C179="W",$C179="1/2W")),AND($K179=BU$3,OR($C180="W",$C180="1/2W"))),$S178,0))</f>
        <v>0</v>
      </c>
      <c r="BV178" s="488">
        <f t="shared" ref="BV178:CE178" si="359">IF($B178="LOSS",IF(AND($K178=BV$3,$C178="L"),-$O178,0)+IF(AND($K179=BV$3,$C179="L"),-$O179,0)+IF(AND($K180=BV$3,$C180="L"),-$O180,0),IF(OR(AND($K178=BV$3,OR($C178="W",$C178="1/2W")),AND($K179=BV$3,OR($C179="W",$C179="1/2W")),AND($K180=BV$3,OR($C180="W",$C180="1/2W"))),$S178,0))</f>
        <v>0</v>
      </c>
      <c r="BW178" s="488">
        <f t="shared" si="359"/>
        <v>15.2</v>
      </c>
      <c r="BX178" s="488">
        <f t="shared" si="359"/>
        <v>0</v>
      </c>
      <c r="BY178" s="488">
        <f t="shared" si="359"/>
        <v>0</v>
      </c>
      <c r="BZ178" s="488">
        <f t="shared" si="359"/>
        <v>0</v>
      </c>
      <c r="CA178" s="488">
        <f t="shared" si="359"/>
        <v>0</v>
      </c>
      <c r="CB178" s="488">
        <f t="shared" si="359"/>
        <v>0</v>
      </c>
      <c r="CC178" s="488">
        <f t="shared" si="359"/>
        <v>0</v>
      </c>
      <c r="CD178" s="500">
        <f t="shared" si="359"/>
        <v>0</v>
      </c>
      <c r="CE178" s="504">
        <f t="shared" si="359"/>
        <v>0</v>
      </c>
      <c r="CF178" s="160">
        <f t="shared" si="258"/>
        <v>0</v>
      </c>
      <c r="CG178" s="161">
        <f t="shared" si="259"/>
        <v>0</v>
      </c>
      <c r="CH178" s="161">
        <f t="shared" si="260"/>
        <v>0</v>
      </c>
      <c r="CI178" s="161">
        <f t="shared" si="261"/>
        <v>0</v>
      </c>
      <c r="CJ178" s="161">
        <f t="shared" si="262"/>
        <v>0</v>
      </c>
      <c r="CK178" s="161">
        <f t="shared" si="263"/>
        <v>0</v>
      </c>
      <c r="CL178" s="161">
        <f t="shared" si="264"/>
        <v>0</v>
      </c>
      <c r="CM178" s="161">
        <f t="shared" si="265"/>
        <v>0</v>
      </c>
      <c r="CN178" s="161">
        <f t="shared" si="266"/>
        <v>1</v>
      </c>
      <c r="CO178" s="161">
        <f t="shared" si="267"/>
        <v>0</v>
      </c>
      <c r="CP178" s="161">
        <f t="shared" si="268"/>
        <v>0</v>
      </c>
      <c r="CQ178" s="161">
        <f t="shared" si="269"/>
        <v>0</v>
      </c>
      <c r="CR178" s="161">
        <f t="shared" si="270"/>
        <v>0</v>
      </c>
      <c r="CS178" s="161">
        <f t="shared" si="271"/>
        <v>0</v>
      </c>
      <c r="CT178" s="75">
        <f t="shared" si="272"/>
        <v>0</v>
      </c>
      <c r="CU178" s="76">
        <f t="shared" si="273"/>
        <v>0</v>
      </c>
      <c r="CV178" s="76">
        <f t="shared" si="274"/>
        <v>0</v>
      </c>
      <c r="CW178" s="76">
        <f t="shared" si="275"/>
        <v>0</v>
      </c>
      <c r="CX178" s="76">
        <f t="shared" si="276"/>
        <v>0</v>
      </c>
      <c r="CY178" s="76">
        <f t="shared" si="277"/>
        <v>0</v>
      </c>
      <c r="CZ178" s="76">
        <f t="shared" si="278"/>
        <v>0</v>
      </c>
      <c r="DA178" s="76">
        <f t="shared" si="279"/>
        <v>0</v>
      </c>
      <c r="DB178" s="76">
        <f t="shared" si="280"/>
        <v>0</v>
      </c>
      <c r="DC178" s="76">
        <f t="shared" si="281"/>
        <v>0</v>
      </c>
      <c r="DD178" s="76">
        <f t="shared" si="282"/>
        <v>0</v>
      </c>
      <c r="DE178" s="77">
        <f t="shared" si="283"/>
        <v>0</v>
      </c>
      <c r="DF178" s="73">
        <f t="shared" si="286"/>
        <v>12</v>
      </c>
      <c r="DG178" s="67">
        <f t="shared" si="287"/>
        <v>15.760000000000002</v>
      </c>
      <c r="DH178" s="76">
        <f t="shared" si="288"/>
        <v>4</v>
      </c>
      <c r="DI178" s="67">
        <f t="shared" si="289"/>
        <v>18.100000000000001</v>
      </c>
      <c r="DJ178" s="202" t="str">
        <f>IF($D178="","",$D178)</f>
        <v>6</v>
      </c>
      <c r="DK178" s="492">
        <f>IF(AND($B178=" ",$D178&lt;&gt;""),1,0)</f>
        <v>0</v>
      </c>
    </row>
    <row r="179" spans="1:115" ht="14.5" customHeight="1" x14ac:dyDescent="0.2">
      <c r="A179" s="389"/>
      <c r="B179" s="456"/>
      <c r="C179" s="53" t="s">
        <v>55</v>
      </c>
      <c r="D179" s="374"/>
      <c r="E179" s="386"/>
      <c r="F179" s="377"/>
      <c r="G179" s="508"/>
      <c r="H179" s="476"/>
      <c r="I179" s="182" t="s">
        <v>66</v>
      </c>
      <c r="J179" s="56">
        <f>IF(OR(I178="TO",I178="TU",I178="TO1",I178="TU1",I178="TO2",I178="TU2"),J178,IF(OR(I178="AH1",I178="AH2"),IF(OR(I179="AH1",I179="AH2"),-J178,IF(OR(I179="EH1",I179="EH2"),-J178+0.5,"")),IF(OR(I178="EH1",I178="EH2"),IF(OR(I179="AH1",I179="AH2"),-J178+0.5,IF(OR(I179="EH1",I179="EH2"),-J178+1,"")),IF(AND(OR(I178="DNB1",I178="DNB2"),OR(I179="AH1",I179="AH2")),0,IF(AND(I178="Not ScoreBoth",OR(I179="TO1",I179="TO2")),0.5,"")))))</f>
        <v>-1</v>
      </c>
      <c r="K179" s="57" t="s">
        <v>43</v>
      </c>
      <c r="L179" s="164">
        <v>2.61</v>
      </c>
      <c r="M179" s="165">
        <v>97.3</v>
      </c>
      <c r="N179" s="406"/>
      <c r="O179" s="60">
        <f>IF(OR(AE178="",AE179=""),"",ROUND(IF(L180&gt;0,IF(M179&gt;0,M179,IF(M178&gt;0,IF(N178=TRUE,ROUND((M178*AE179)/AE178,0),(M178*AE179)/AE178),IF(M179&gt;0,ROUND(M179,IF(N178=0,2,IF(N178=0.1,1,0))),IF(M180&gt;0,ROUND(O180*AE179/AE180,IF(N178=0,2,IF(N178=0.1,1,0))),0)))),IF(M179&gt;0,M179,ROUND((M178*AE179)/AE178,IF(N178=0,2,IF(N178=0.1,1,0))))),2))</f>
        <v>97.3</v>
      </c>
      <c r="P179" s="61">
        <f>IF(OR(L179="",O179=""),"",IF($C179="1/2W",O179/2+O179/2*L179,IF($C179="1/2L",O179/2,IF(I179="Lay",((O179*(L179/(L179-1)))-O179)*(1-_xlfn.XLOOKUP(K179,'Fevereiro 2023 - Valor Real'!A3:A15,'Fevereiro 2023 - Valor Real'!C3:C15,0))+O179,(O179*L179-O179)*(1-_xlfn.XLOOKUP(K179,'Fevereiro 2023 - Valor Real'!A3:A15,'Fevereiro 2023 - Valor Real'!C3:C15,0))+O179))))</f>
        <v>253.95299999999997</v>
      </c>
      <c r="Q179" s="166">
        <f>IF(K179="","",IF(_xlfn.XLOOKUP(K179,K$4:K178,$DJ$4:DJ178,0,,-1)=DJ179,_xlfn.XLOOKUP(K179,K$4:K178,Q$4:Q178,1,,-1)+1,1))</f>
        <v>1</v>
      </c>
      <c r="R179" s="167">
        <f>IF(K179="","",_xlfn.XLOOKUP(K179,K$4:K178,R$4:R178,0,,-1)+IF($C179=" ",1,0))</f>
        <v>0</v>
      </c>
      <c r="S179" s="403"/>
      <c r="T179" s="380"/>
      <c r="U179" s="380"/>
      <c r="V179" s="481"/>
      <c r="W179" s="380"/>
      <c r="X179" s="452"/>
      <c r="Y179" s="383"/>
      <c r="Z179" s="384"/>
      <c r="AA179" s="384"/>
      <c r="AB179" s="384"/>
      <c r="AC179" s="384"/>
      <c r="AD179" s="64"/>
      <c r="AE179" s="65">
        <f>IF(L179="","",IF(L180&gt;0,(SUM(((L178-1)*(1-_xlfn.XLOOKUP(K178,'Fevereiro 2023 - Valor Real'!A3:A15,'Fevereiro 2023 - Valor Real'!C3:C15,0))+1),((L179-1)*(1-_xlfn.XLOOKUP(K179,'Fevereiro 2023 - Valor Real'!A3:A15,'Fevereiro 2023 - Valor Real'!C3:C15,0))+1),((L180-1)*(1-_xlfn.XLOOKUP(K180,'Fevereiro 2023 - Valor Real'!A3:A15,'Fevereiro 2023 - Valor Real'!C3:C15,0))+1))/((L179-1)*(1-_xlfn.XLOOKUP(K179,'Fevereiro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Real'!C3:C15,0))+1))/((L178-1)*(1-_xlfn.XLOOKUP(K178,'Fevereiro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Real'!C3:C15,0))+1))/((L179-1)*(1-_xlfn.XLOOKUP(K179,'Fevereiro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Real'!C3:C15,0))+1))/((L180-1)*(1-_xlfn.XLOOKUP(K180,'Fevereiro 2023 - Valor Real'!A3:A15,'Fevereiro 2023 - Valor Real'!C3:C15,0))+1)),IF(I179="Lay",IF(I178="Lay",((L178/(L178-1)-1)*(1-_xlfn.XLOOKUP(K178,'Fevereiro 2023 - Valor Real'!A3:A15,'Fevereiro 2023 - Valor Real'!C3:C15,0))+1)/(((L178/(L178-1)-1)*(1-_xlfn.XLOOKUP(K178,'Fevereiro 2023 - Valor Real'!A3:A15,'Fevereiro 2023 - Valor Real'!C3:C15,0))+1)+((L179/(L179-1)-1)*(1-_xlfn.XLOOKUP(K179,'Fevereiro 2023 - Valor Real'!A3:A15,'Fevereiro 2023 - Valor Real'!C3:C15,0))+1)),((L178-1)*(1-_xlfn.XLOOKUP(K178,'Fevereiro 2023 - Valor Real'!A3:A15,'Fevereiro 2023 - Valor Real'!C3:C15,0))+1)/(((L178-1)*(1-_xlfn.XLOOKUP(K178,'Fevereiro 2023 - Valor Real'!A3:A15,'Fevereiro 2023 - Valor Real'!C3:C15,0))+1)+((L179/(L179-1)-1)*(1-_xlfn.XLOOKUP(K179,'Fevereiro 2023 - Valor Real'!A3:A15,'Fevereiro 2023 - Valor Real'!C3:C15,0))+1))),IF(I178="Lay",((L178/(L178-1)-1)*(1-_xlfn.XLOOKUP(K178,'Fevereiro 2023 - Valor Real'!A3:A15,'Fevereiro 2023 - Valor Real'!C3:C15,0))+1)/((((L178/(L178-1)-1)*(1-_xlfn.XLOOKUP(K178,'Fevereiro 2023 - Valor Real'!A3:A15,'Fevereiro 2023 - Valor Real'!C3:C15,0))+1))+((L179-1)*(1-_xlfn.XLOOKUP(K179,'Fevereiro 2023 - Valor Real'!A3:A15,'Fevereiro 2023 - Valor Real'!C3:C15,0))+1)),((L178-1)*(1-_xlfn.XLOOKUP(K178,'Fevereiro 2023 - Valor Real'!A3:A15,'Fevereiro 2023 - Valor Real'!C3:C15,0))+1)/(((L178-1)*(1-_xlfn.XLOOKUP(K178,'Fevereiro 2023 - Valor Real'!A3:A15,'Fevereiro 2023 - Valor Real'!C3:C15,0))+1)+((L179-1)*(1-_xlfn.XLOOKUP(K179,'Fevereiro 2023 - Valor Real'!A3:A15,'Fevereiro 2023 - Valor Real'!C3:C15,0))+1))))))</f>
        <v>0.4068181818181818</v>
      </c>
      <c r="AF179" s="66">
        <f t="shared" si="351"/>
        <v>0</v>
      </c>
      <c r="AG179" s="67">
        <f t="shared" si="351"/>
        <v>0</v>
      </c>
      <c r="AH179" s="67">
        <f t="shared" si="351"/>
        <v>0</v>
      </c>
      <c r="AI179" s="67">
        <f t="shared" si="351"/>
        <v>0</v>
      </c>
      <c r="AJ179" s="67">
        <f t="shared" si="351"/>
        <v>0</v>
      </c>
      <c r="AK179" s="67">
        <f t="shared" si="351"/>
        <v>0</v>
      </c>
      <c r="AL179" s="67">
        <f t="shared" si="351"/>
        <v>0</v>
      </c>
      <c r="AM179" s="67">
        <f t="shared" si="351"/>
        <v>-97.3</v>
      </c>
      <c r="AN179" s="67">
        <f t="shared" si="351"/>
        <v>0</v>
      </c>
      <c r="AO179" s="67">
        <f t="shared" si="351"/>
        <v>0</v>
      </c>
      <c r="AP179" s="67">
        <f t="shared" si="351"/>
        <v>0</v>
      </c>
      <c r="AQ179" s="67">
        <f t="shared" si="351"/>
        <v>0</v>
      </c>
      <c r="AR179" s="68">
        <f t="shared" si="351"/>
        <v>0</v>
      </c>
      <c r="AS179" s="66">
        <f>IF(AND($B178=" ",$K179=AS$3),$O179,0)</f>
        <v>0</v>
      </c>
      <c r="AT179" s="67">
        <f>IF(AND($B178=" ",K179=AT$3),$O179,0)</f>
        <v>0</v>
      </c>
      <c r="AU179" s="67">
        <f t="shared" ref="AU179:BE179" si="360">IF(AND($B178=" ",$K179=AU$3),$O179,0)</f>
        <v>0</v>
      </c>
      <c r="AV179" s="67">
        <f t="shared" si="360"/>
        <v>0</v>
      </c>
      <c r="AW179" s="67">
        <f t="shared" si="360"/>
        <v>0</v>
      </c>
      <c r="AX179" s="67">
        <f t="shared" si="360"/>
        <v>0</v>
      </c>
      <c r="AY179" s="69">
        <f t="shared" si="360"/>
        <v>0</v>
      </c>
      <c r="AZ179" s="70">
        <f t="shared" si="360"/>
        <v>0</v>
      </c>
      <c r="BA179" s="70">
        <f t="shared" si="360"/>
        <v>0</v>
      </c>
      <c r="BB179" s="70">
        <f t="shared" si="360"/>
        <v>0</v>
      </c>
      <c r="BC179" s="71">
        <f t="shared" si="360"/>
        <v>0</v>
      </c>
      <c r="BD179" s="67">
        <f t="shared" si="360"/>
        <v>0</v>
      </c>
      <c r="BE179" s="68">
        <f t="shared" si="360"/>
        <v>0</v>
      </c>
      <c r="BF179" s="66">
        <f t="shared" si="353"/>
        <v>0</v>
      </c>
      <c r="BG179" s="168">
        <f t="shared" si="353"/>
        <v>0</v>
      </c>
      <c r="BH179" s="67">
        <f t="shared" si="353"/>
        <v>0</v>
      </c>
      <c r="BI179" s="67">
        <f t="shared" si="353"/>
        <v>0</v>
      </c>
      <c r="BJ179" s="67">
        <f t="shared" si="353"/>
        <v>0</v>
      </c>
      <c r="BK179" s="67">
        <f t="shared" si="353"/>
        <v>0</v>
      </c>
      <c r="BL179" s="67">
        <f t="shared" si="353"/>
        <v>0</v>
      </c>
      <c r="BM179" s="69">
        <f t="shared" si="353"/>
        <v>97.3</v>
      </c>
      <c r="BN179" s="70">
        <f t="shared" si="353"/>
        <v>0</v>
      </c>
      <c r="BO179" s="70">
        <f t="shared" si="353"/>
        <v>0</v>
      </c>
      <c r="BP179" s="70">
        <f t="shared" si="353"/>
        <v>0</v>
      </c>
      <c r="BQ179" s="71">
        <f t="shared" si="353"/>
        <v>0</v>
      </c>
      <c r="BR179" s="68">
        <f t="shared" si="353"/>
        <v>0</v>
      </c>
      <c r="BS179" s="491"/>
      <c r="BT179" s="489"/>
      <c r="BU179" s="392"/>
      <c r="BV179" s="489"/>
      <c r="BW179" s="392"/>
      <c r="BX179" s="392"/>
      <c r="BY179" s="392"/>
      <c r="BZ179" s="489"/>
      <c r="CA179" s="392"/>
      <c r="CB179" s="392"/>
      <c r="CC179" s="392"/>
      <c r="CD179" s="401"/>
      <c r="CE179" s="409"/>
      <c r="CF179" s="169">
        <f t="shared" si="258"/>
        <v>0</v>
      </c>
      <c r="CG179" s="170">
        <f t="shared" si="259"/>
        <v>0</v>
      </c>
      <c r="CH179" s="170">
        <f t="shared" si="260"/>
        <v>0</v>
      </c>
      <c r="CI179" s="170">
        <f t="shared" si="261"/>
        <v>0</v>
      </c>
      <c r="CJ179" s="170">
        <f t="shared" si="262"/>
        <v>0</v>
      </c>
      <c r="CK179" s="170">
        <f t="shared" si="263"/>
        <v>0</v>
      </c>
      <c r="CL179" s="170">
        <f t="shared" si="264"/>
        <v>0</v>
      </c>
      <c r="CM179" s="170">
        <f t="shared" si="265"/>
        <v>0</v>
      </c>
      <c r="CN179" s="170">
        <f t="shared" si="266"/>
        <v>0</v>
      </c>
      <c r="CO179" s="170">
        <f t="shared" si="267"/>
        <v>0</v>
      </c>
      <c r="CP179" s="170">
        <f t="shared" si="268"/>
        <v>0</v>
      </c>
      <c r="CQ179" s="170">
        <f t="shared" si="269"/>
        <v>0</v>
      </c>
      <c r="CR179" s="170">
        <f t="shared" si="270"/>
        <v>0</v>
      </c>
      <c r="CS179" s="170">
        <f t="shared" si="271"/>
        <v>0</v>
      </c>
      <c r="CT179" s="75">
        <f t="shared" si="272"/>
        <v>0</v>
      </c>
      <c r="CU179" s="76">
        <f t="shared" si="273"/>
        <v>1</v>
      </c>
      <c r="CV179" s="76">
        <f t="shared" si="274"/>
        <v>0</v>
      </c>
      <c r="CW179" s="76">
        <f t="shared" si="275"/>
        <v>0</v>
      </c>
      <c r="CX179" s="76">
        <f t="shared" si="276"/>
        <v>0</v>
      </c>
      <c r="CY179" s="76">
        <f t="shared" si="277"/>
        <v>0</v>
      </c>
      <c r="CZ179" s="76">
        <f t="shared" si="278"/>
        <v>0</v>
      </c>
      <c r="DA179" s="76">
        <f t="shared" si="279"/>
        <v>0</v>
      </c>
      <c r="DB179" s="76">
        <f t="shared" si="280"/>
        <v>0</v>
      </c>
      <c r="DC179" s="76">
        <f t="shared" si="281"/>
        <v>0</v>
      </c>
      <c r="DD179" s="76">
        <f t="shared" si="282"/>
        <v>0</v>
      </c>
      <c r="DE179" s="77">
        <f t="shared" si="283"/>
        <v>0</v>
      </c>
      <c r="DF179" s="73">
        <f t="shared" si="286"/>
        <v>12</v>
      </c>
      <c r="DG179" s="67">
        <f t="shared" si="287"/>
        <v>15.760000000000002</v>
      </c>
      <c r="DH179" s="76">
        <f t="shared" si="288"/>
        <v>4</v>
      </c>
      <c r="DI179" s="67">
        <f t="shared" si="289"/>
        <v>18.100000000000001</v>
      </c>
      <c r="DJ179" s="202" t="str">
        <f>IF($D178="","",$D178)</f>
        <v>6</v>
      </c>
      <c r="DK179" s="493"/>
    </row>
    <row r="180" spans="1:115" ht="14.5" customHeight="1" x14ac:dyDescent="0.2">
      <c r="A180" s="390"/>
      <c r="B180" s="457"/>
      <c r="C180" s="79" t="s">
        <v>53</v>
      </c>
      <c r="D180" s="375"/>
      <c r="E180" s="387"/>
      <c r="F180" s="378"/>
      <c r="G180" s="508"/>
      <c r="H180" s="477"/>
      <c r="I180" s="171"/>
      <c r="J180" s="172"/>
      <c r="K180" s="81"/>
      <c r="L180" s="173"/>
      <c r="M180" s="174"/>
      <c r="N180" s="407"/>
      <c r="O180" s="86" t="str">
        <f>IF(OR(AE178="",AE179=""),"",IF(L180&gt;0,ROUND(IF(M180&gt;0,M180,IF(M178&gt;0,ROUND((M178*AE180)/AE178,IF(N178=0,2,IF(N178=0.1,1,0))),IF(M179&gt;0,ROUND((M179*AE180)/AE179,IF(N178=0,2,IF(N178=0.1,1,0))),IF(M180&gt;0,M180,0)))),2),""))</f>
        <v/>
      </c>
      <c r="P180" s="87" t="str">
        <f>IF(I179="Lay",O179*(L179/(L179-1))-O179,IF(I178="Lay",O178*(L178/(L178-1))-O178,IF(OR(L180="",O180=""),"",IF($C180="1/2W",O180/2+O180/2*L180,IF($C180="1/2L",O180/2,(O180*L180-O180)*(1-_xlfn.XLOOKUP(K180,'Fevereiro 2023 - Valor Real'!A3:A15,'Fevereiro 2023 - Valor Real'!C3:C15,0))+O180)))))</f>
        <v/>
      </c>
      <c r="Q180" s="54" t="str">
        <f>IF(K180="","",IF(_xlfn.XLOOKUP(K180,K$4:K179,$DJ$4:DJ179,0,,-1)=DJ180,_xlfn.XLOOKUP(K180,K$4:K179,Q$4:Q179,1,,-1)+1,1))</f>
        <v/>
      </c>
      <c r="R180" s="87" t="str">
        <f>IF(K180="","",_xlfn.XLOOKUP(K180,K$4:K179,R$4:R179,0,,-1)+IF($C180=" ",1,0))</f>
        <v/>
      </c>
      <c r="S180" s="404"/>
      <c r="T180" s="378"/>
      <c r="U180" s="378"/>
      <c r="V180" s="404"/>
      <c r="W180" s="378"/>
      <c r="X180" s="453"/>
      <c r="Y180" s="383"/>
      <c r="Z180" s="384"/>
      <c r="AA180" s="384"/>
      <c r="AB180" s="384"/>
      <c r="AC180" s="384"/>
      <c r="AD180" s="90"/>
      <c r="AE180" s="91" t="str">
        <f>IF(L180="","",(SUM(((L178-1)*(1-_xlfn.XLOOKUP(K178,'Fevereiro 2023 - Valor Real'!A3:A15,'Fevereiro 2023 - Valor Real'!C3:C15,0))+1),((L179-1)*(1-_xlfn.XLOOKUP(K179,'Fevereiro 2023 - Valor Real'!A3:A15,'Fevereiro 2023 - Valor Real'!C3:C15,0))+1),((L180-1)*(1-_xlfn.XLOOKUP(K180,'Fevereiro 2023 - Valor Real'!A3:A15,'Fevereiro 2023 - Valor Real'!C3:C15,0))+1))/((L180-1)*(1-_xlfn.XLOOKUP(K180,'Fevereiro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Real'!C3:C15,0))+1))/((L178-1)*(1-_xlfn.XLOOKUP(K178,'Fevereiro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Real'!C3:C15,0))+1))/((L179-1)*(1-_xlfn.XLOOKUP(K179,'Fevereiro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Real'!C3:C15,0))+1))/((L180-1)*(1-_xlfn.XLOOKUP(K180,'Fevereiro 2023 - Valor Real'!A3:A15,'Fevereiro 2023 - Valor Real'!C3:C15,0))+1)))</f>
        <v/>
      </c>
      <c r="AF180" s="66">
        <f t="shared" si="351"/>
        <v>0</v>
      </c>
      <c r="AG180" s="67">
        <f t="shared" si="351"/>
        <v>0</v>
      </c>
      <c r="AH180" s="67">
        <f t="shared" si="351"/>
        <v>0</v>
      </c>
      <c r="AI180" s="67">
        <f t="shared" si="351"/>
        <v>0</v>
      </c>
      <c r="AJ180" s="67">
        <f t="shared" si="351"/>
        <v>0</v>
      </c>
      <c r="AK180" s="67">
        <f t="shared" si="351"/>
        <v>0</v>
      </c>
      <c r="AL180" s="67">
        <f t="shared" si="351"/>
        <v>0</v>
      </c>
      <c r="AM180" s="67">
        <f t="shared" si="351"/>
        <v>0</v>
      </c>
      <c r="AN180" s="67">
        <f t="shared" si="351"/>
        <v>0</v>
      </c>
      <c r="AO180" s="67">
        <f t="shared" si="351"/>
        <v>0</v>
      </c>
      <c r="AP180" s="67">
        <f t="shared" si="351"/>
        <v>0</v>
      </c>
      <c r="AQ180" s="67">
        <f t="shared" si="351"/>
        <v>0</v>
      </c>
      <c r="AR180" s="68">
        <f t="shared" si="351"/>
        <v>0</v>
      </c>
      <c r="AS180" s="66">
        <f>IF(AND($B178=" ",$K180=AS$3),$O180,0)</f>
        <v>0</v>
      </c>
      <c r="AT180" s="67">
        <f>IF(AND($B178=" ",K180=AT$3),$O180,0)</f>
        <v>0</v>
      </c>
      <c r="AU180" s="67">
        <f t="shared" ref="AU180:BE180" si="361">IF(AND($B178=" ",$K180=AU$3),$O180,0)</f>
        <v>0</v>
      </c>
      <c r="AV180" s="67">
        <f t="shared" si="361"/>
        <v>0</v>
      </c>
      <c r="AW180" s="67">
        <f t="shared" si="361"/>
        <v>0</v>
      </c>
      <c r="AX180" s="67">
        <f t="shared" si="361"/>
        <v>0</v>
      </c>
      <c r="AY180" s="69">
        <f t="shared" si="361"/>
        <v>0</v>
      </c>
      <c r="AZ180" s="70">
        <f t="shared" si="361"/>
        <v>0</v>
      </c>
      <c r="BA180" s="70">
        <f t="shared" si="361"/>
        <v>0</v>
      </c>
      <c r="BB180" s="70">
        <f t="shared" si="361"/>
        <v>0</v>
      </c>
      <c r="BC180" s="71">
        <f t="shared" si="361"/>
        <v>0</v>
      </c>
      <c r="BD180" s="67">
        <f t="shared" si="361"/>
        <v>0</v>
      </c>
      <c r="BE180" s="68">
        <f t="shared" si="361"/>
        <v>0</v>
      </c>
      <c r="BF180" s="66">
        <f t="shared" si="353"/>
        <v>0</v>
      </c>
      <c r="BG180" s="168">
        <f t="shared" si="353"/>
        <v>0</v>
      </c>
      <c r="BH180" s="67">
        <f t="shared" si="353"/>
        <v>0</v>
      </c>
      <c r="BI180" s="67">
        <f t="shared" si="353"/>
        <v>0</v>
      </c>
      <c r="BJ180" s="67">
        <f t="shared" si="353"/>
        <v>0</v>
      </c>
      <c r="BK180" s="67">
        <f t="shared" si="353"/>
        <v>0</v>
      </c>
      <c r="BL180" s="67">
        <f t="shared" si="353"/>
        <v>0</v>
      </c>
      <c r="BM180" s="69">
        <f t="shared" si="353"/>
        <v>0</v>
      </c>
      <c r="BN180" s="70">
        <f t="shared" si="353"/>
        <v>0</v>
      </c>
      <c r="BO180" s="70">
        <f t="shared" si="353"/>
        <v>0</v>
      </c>
      <c r="BP180" s="70">
        <f t="shared" si="353"/>
        <v>0</v>
      </c>
      <c r="BQ180" s="71">
        <f t="shared" si="353"/>
        <v>0</v>
      </c>
      <c r="BR180" s="68">
        <f t="shared" si="353"/>
        <v>0</v>
      </c>
      <c r="BS180" s="491"/>
      <c r="BT180" s="489"/>
      <c r="BU180" s="392"/>
      <c r="BV180" s="489"/>
      <c r="BW180" s="392"/>
      <c r="BX180" s="392"/>
      <c r="BY180" s="392"/>
      <c r="BZ180" s="489"/>
      <c r="CA180" s="392"/>
      <c r="CB180" s="392"/>
      <c r="CC180" s="392"/>
      <c r="CD180" s="401"/>
      <c r="CE180" s="409"/>
      <c r="CF180" s="169">
        <f t="shared" si="258"/>
        <v>0</v>
      </c>
      <c r="CG180" s="170">
        <f t="shared" si="259"/>
        <v>0</v>
      </c>
      <c r="CH180" s="170">
        <f t="shared" si="260"/>
        <v>0</v>
      </c>
      <c r="CI180" s="170">
        <f t="shared" si="261"/>
        <v>0</v>
      </c>
      <c r="CJ180" s="170">
        <f t="shared" si="262"/>
        <v>0</v>
      </c>
      <c r="CK180" s="170">
        <f t="shared" si="263"/>
        <v>0</v>
      </c>
      <c r="CL180" s="170">
        <f t="shared" si="264"/>
        <v>0</v>
      </c>
      <c r="CM180" s="170">
        <f t="shared" si="265"/>
        <v>0</v>
      </c>
      <c r="CN180" s="170">
        <f t="shared" si="266"/>
        <v>0</v>
      </c>
      <c r="CO180" s="170">
        <f t="shared" si="267"/>
        <v>0</v>
      </c>
      <c r="CP180" s="170">
        <f t="shared" si="268"/>
        <v>0</v>
      </c>
      <c r="CQ180" s="170">
        <f t="shared" si="269"/>
        <v>0</v>
      </c>
      <c r="CR180" s="170">
        <f t="shared" si="270"/>
        <v>0</v>
      </c>
      <c r="CS180" s="170">
        <f t="shared" si="271"/>
        <v>0</v>
      </c>
      <c r="CT180" s="75">
        <f t="shared" si="272"/>
        <v>0</v>
      </c>
      <c r="CU180" s="76">
        <f t="shared" si="273"/>
        <v>0</v>
      </c>
      <c r="CV180" s="76">
        <f t="shared" si="274"/>
        <v>0</v>
      </c>
      <c r="CW180" s="76">
        <f t="shared" si="275"/>
        <v>0</v>
      </c>
      <c r="CX180" s="76">
        <f t="shared" si="276"/>
        <v>0</v>
      </c>
      <c r="CY180" s="76">
        <f t="shared" si="277"/>
        <v>0</v>
      </c>
      <c r="CZ180" s="76">
        <f t="shared" si="278"/>
        <v>0</v>
      </c>
      <c r="DA180" s="76">
        <f t="shared" si="279"/>
        <v>0</v>
      </c>
      <c r="DB180" s="76">
        <f t="shared" si="280"/>
        <v>0</v>
      </c>
      <c r="DC180" s="76">
        <f t="shared" si="281"/>
        <v>0</v>
      </c>
      <c r="DD180" s="76">
        <f t="shared" si="282"/>
        <v>0</v>
      </c>
      <c r="DE180" s="77">
        <f t="shared" si="283"/>
        <v>0</v>
      </c>
      <c r="DF180" s="73">
        <f t="shared" si="286"/>
        <v>12</v>
      </c>
      <c r="DG180" s="67">
        <f t="shared" si="287"/>
        <v>15.760000000000002</v>
      </c>
      <c r="DH180" s="76">
        <f t="shared" si="288"/>
        <v>4</v>
      </c>
      <c r="DI180" s="67">
        <f t="shared" si="289"/>
        <v>18.100000000000001</v>
      </c>
      <c r="DJ180" s="202" t="str">
        <f>IF($D178="","",$D178)</f>
        <v>6</v>
      </c>
      <c r="DK180" s="493"/>
    </row>
    <row r="181" spans="1:115" ht="14.5" customHeight="1" x14ac:dyDescent="0.2">
      <c r="A181" s="459">
        <f>$A178+1</f>
        <v>60</v>
      </c>
      <c r="B181" s="507" t="str">
        <f>IF(OR(C181="W",C182="W",C183="W",C181="1/2W",C182="1/2W",C183="1/2W",C181="1/2L",C182="1/2L",C183="1/2L"),"OK",IF(OR(C181="L",C182="L",C183="L"),"LOSS",IF(OR(C181="X",C182="X",C183="X"),"Anulado"," ")))</f>
        <v>OK</v>
      </c>
      <c r="C181" s="93" t="s">
        <v>54</v>
      </c>
      <c r="D181" s="468" t="str">
        <f>IF(G181="","",$D178)</f>
        <v>6</v>
      </c>
      <c r="E181" s="485" t="str">
        <f>IF(G181=""," ","– "&amp;COUNTIF(D$4:D183,$D181))</f>
        <v>– 3</v>
      </c>
      <c r="F181" s="509" t="str">
        <f ca="1">IF(G181="","",IF(OR(AND($C181&lt;&gt;" ",$C182=" "),AND($C182&lt;&gt;" ",$C181=" "),AND(L183&gt;0,OR(AND($C183&lt;&gt;" ",OR($C181=" ",$C182=" ")),AND($C183=" ",OR($C181&lt;&gt;" ",$C182&lt;&gt;" "))))),IF(SUM(F$4:F180)=0,1,LARGE(F$4:F180,1)+1),IF(MONTH(G181)=MONTH(TODAY()),IF(AND(DAY(G181)&lt;DAY(TODAY()),$B181=" "),IF(SUM(F$4:F180)=0,1,LARGE(F$4:F180,1)+1),IF($B181=" ",IF(AND(DAY(G181)=DAY(TODAY()),HOUR(G181)&lt;=HOUR(NOW())+1),IF(AND(HOUR(G181)+2&lt;=HOUR(NOW()),DAY(G181)&lt;=DAY(TODAY()),MINUTE(G181)&lt;=MINUTE(NOW())),IF(SUM(F$4:F180)=0,1,LARGE(F$4:F180,1)+1),IF(OR(MINUTE(G181)&lt;=MINUTE(NOW()),HOUR(G181)&lt;=HOUR(NOW())),"!!!","")),""),"")),"")))</f>
        <v/>
      </c>
      <c r="G181" s="482">
        <v>44991.625</v>
      </c>
      <c r="H181" s="475" t="s">
        <v>111</v>
      </c>
      <c r="I181" s="94" t="s">
        <v>63</v>
      </c>
      <c r="J181" s="176"/>
      <c r="K181" s="96" t="s">
        <v>47</v>
      </c>
      <c r="L181" s="97">
        <v>3.83</v>
      </c>
      <c r="M181" s="98">
        <v>9.24</v>
      </c>
      <c r="N181" s="478">
        <v>0</v>
      </c>
      <c r="O181" s="99">
        <f>IF(OR(AE181="",AE182=""),"",ROUND(IF(L183&gt;0,IF(M181&gt;0,M181,IF(M182&gt;0,ROUND((M182*AE181)/AE182,IF(N181=0,2,IF(N181=0.1,1,0))),ROUND((M183*AE181)/AE183,IF(N181=0,2,IF(N181=0.1,1,0))))),IF(M181&gt;0,M181,ROUND((M182*AE181)/AE182,IF(N181=0,2,IF(N181=0.1,1,0))))),2))</f>
        <v>9.24</v>
      </c>
      <c r="P181" s="100">
        <f>IF(OR(L181="",O181=""),"",IF($C181="1/2W",O181/2+O181/2*L181,IF($C181="1/2L",O181/2,IF(I181="Lay",(O181*(L181/(L181-1))-O181)*(1-_xlfn.XLOOKUP(K181,'Fevereiro 2023 - Valor Real'!A3:A15,'Fevereiro 2023 - Valor Real'!C3:C15,0))+O181,(O181*L181-O181)*(1-_xlfn.XLOOKUP(K181,'Fevereiro 2023 - Valor Real'!A3:A15,'Fevereiro 2023 - Valor Real'!C3:C15,0))+O181))))</f>
        <v>35.389200000000002</v>
      </c>
      <c r="Q181" s="101">
        <f>IF(K181="","",IF(_xlfn.XLOOKUP(K181,K$4:K180,$DJ$4:DJ180,0,,-1)=DJ181,_xlfn.XLOOKUP(K181,K$4:K180,Q$4:Q180,1,,-1)+1,1))</f>
        <v>2</v>
      </c>
      <c r="R181" s="102">
        <f>IF(K181="","",_xlfn.XLOOKUP(K181,K$4:K180,R$4:R180,0,,-1)+IF($C181=" ",1,0))</f>
        <v>0</v>
      </c>
      <c r="S181" s="474">
        <f>IF($B181="Anulado",0,ROUND(IF(OR($B181="LOSS",$B181="OK"),IF(OR($C181="W",$C181="1/2W",$C181="1/2L"),P181-O181,IF($C181="L",-O181,0))+IF(OR($C182="W",$C182="1/2W",$C182="1/2L"),P182-O182,IF($C182="L",-O182,0))+IF(OR($C183="W",$C183="1/2W",$C183="1/2L"),P183-O183,IF($C183="L",-O183,0)),IF(AND(OR($C181="W",$C181="1/2W",$C181="1/2L"),C182="W"),P181+P182-SUM(O181:O183)+_xlfn.XLOOKUP("X",C181:C183,O181:O183,0),IF(AND(C181=TRUE,C183="W"),P181+P183-SUM(O181:O183),IF(AND(C182="W",C183="W"),P182+P183-SUM(O181:O183)+_xlfn.XLOOKUP("X",C181:C183,O181:O183,0),IF(L183&gt;0,IF(OR($C181="W",$C181="1/2W",$C181="1/2L"),P181-SUM(O181:O183)+_xlfn.XLOOKUP("X",C181:C183,O181:O183,0),IF(OR($C181="W",$C181="1/2W",$C181="1/2L"),P182-SUM(O181:O183)+_xlfn.XLOOKUP("X",C181:C183,O181:O183,0),IF(OR($C181="W",$C181="1/2W",$C181="1/2L"),P183-SUM(O181:O183)+_xlfn.XLOOKUP("X",C181:C183,O181:O183,0),IF(SUM(P181:P183)/3-SUM(O181:O183)+_xlfn.XLOOKUP("X",C181:C183,O181:O183,0)&gt;0,SUM(P181:P183)/3-SUM(O181:O183)+_xlfn.XLOOKUP("X",C181:C183,O181:O183,0),LARGE(P181:P183,1)-SUM(O181:O183))))),IF(OR($C181="W",$C181="1/2W",$C181="1/2L"),P181-SUM(O181:O182)+_xlfn.XLOOKUP("X",C181:C183,O181:O183,0),IF(OR($C181="W",$C181="1/2W",$C181="1/2L"),P182-SUM(O181:O182)+_xlfn.XLOOKUP("X",C181:C183,O181:O183,0),SUM(P181:P182)/2-SUM(O181:O182)+_xlfn.XLOOKUP("X",C181:C183,O181:O183,0)))))))),2))</f>
        <v>1.45</v>
      </c>
      <c r="T181" s="458">
        <f>IF(S181=0,0,S181/SUM(O181:O183))</f>
        <v>4.2722451384796696E-2</v>
      </c>
      <c r="U181" s="470">
        <f>IF($D181=$D178,IF(OR($B181="LOSS",$B181="OK",$B181="Anulada"),S181,0)+U178,IF(OR($B181="LOSS",$B181="OK",$B181="Anulada"),S181,0))</f>
        <v>19.279999999999998</v>
      </c>
      <c r="V181" s="470">
        <f>IF($D181="",0,IF($D181=$D178,IF($B181=" ",IF(I183="",IF(OR(AND(I181="DNB1",I182="DNB2"),AND(OR(I181="DNB1",I181="DNB2"),J182=0),AND(OR(I182="DNB1",I182="DNB2"),J181=0),AND(I181="DNB2",I182="DNB1"),AND(IF(J181=0,(J181+1)/ROUND(J181+1,0),J181/ROUND(J181,0))=1,IF(J182=0,(J182+1)/ROUND(IF(J182="",0,J182)+1,0),IF(J182="",0,J182)/ROUND(IF(J182="",1,J182),0))=1,OR(J181&lt;&gt;""),J182&lt;&gt;"")),0,IF(S181&lt;0,IF(I183="",SMALL(P181:P182,1)-SUM(O181:O182),0),SMALL(P181:P182,1)-SUM(O181:O182))),IF(S181&lt;0,IF(I183="",SMALL(P181:P183,1)-SUM(O181:O183),0),LARGE(P181:P183,1)-SUM(O181:O183))),S181)+V178,IF(I183="",IF(OR(AND(I181="DNB1",I182="DNB2"),AND(OR(I181="DNB1",I181="DNB2"),J182=0),AND(OR(I182="DNB1",I182="DNB2"),J181=0),AND(I181="DNB2",I182="DNB1"),AND(IF(J181=0,(J181+1)/ROUND(J181+1,0),J181/ROUND(J181,0))=1,IF(J182=0,(IF(J182="",0,J182)+1)/ROUND(IF(J182="",0,J182)+1,0),IF(J182="",0,J182)/ROUND(IF(J182="",0,J182)+1,0))=1,OR(J181&lt;&gt;""),J182&lt;&gt;"")),0,IF(S181&lt;0,IF(I183="",SMALL(P181:P182,1)-SUM(O181:O182),0),SMALL(P181:P183,1)-SUM(O181:O183))),IF(S181&lt;0,IF(I183="",SMALL(P181:P183,1)-SUM(O181:O183),0),LARGE(P181:P183,1)-SUM(O181:O183)))))</f>
        <v>19.271999999999991</v>
      </c>
      <c r="W181" s="470">
        <f>IF($D181=$D178,IF(S181&lt;0,IF(I183="",S181,0),S181)+W178,S181)</f>
        <v>19.279999999999998</v>
      </c>
      <c r="X181" s="480" t="str">
        <f>IF(OR(SUM(R181:R183)=0,V181=W181),ROUND(IF(W181=0,0,W181/Y181)*100,2)&amp;"%",ROUND(IF(V181=0,0,V181/Y181)*100,2)&amp;"% a "&amp;ROUND(IF(W181=0,0,W181/Y181)*100,2)&amp;"%")</f>
        <v>5,81%</v>
      </c>
      <c r="Y181" s="471">
        <f>IF($D181=$D178,Y178+SUM(O181:O183),SUM(O181:O183))</f>
        <v>331.82</v>
      </c>
      <c r="Z181" s="470">
        <f>IF($B181=" ",SUM(O181:O183),0)+Z178</f>
        <v>0</v>
      </c>
      <c r="AA181" s="470">
        <f>IF(G181="","",IF($B181="Anulado",LARGE(P181:P183,1)-SUM(O181:O183)+AA178,AA178))</f>
        <v>1.4607999999999972</v>
      </c>
      <c r="AB181" s="470">
        <f>IF($D181="","",AB178+S181)</f>
        <v>159.12999999999994</v>
      </c>
      <c r="AC181" s="472">
        <f ca="1">IF($D181="","",IF($B181=" ",IF(DAY(G181)=DAY(TODAY()),1+AC178,0+AC178),0+AC178))</f>
        <v>0</v>
      </c>
      <c r="AD181" s="103">
        <f>(((L182/(L182-1)-1)*(1-_xlfn.XLOOKUP(K182,'Fevereiro 2023 - Valor Real'!A3:A15,'Fevereiro 2023 - Valor Real'!C3:C15,0))+1))/(((L181-1)*(1-_xlfn.XLOOKUP(K181,'Fevereiro 2023 - Valor Real'!A3:A15,'Fevereiro 2023 - Valor Real'!C3:C15,0))+1)+((L182/(L182-1)-1)*(1-_xlfn.XLOOKUP(K182,'Fevereiro 2023 - Valor Real'!A3:A15,'Fevereiro 2023 - Valor Real'!C3:C15,0))+1))</f>
        <v>0.48670381604006496</v>
      </c>
      <c r="AE181" s="104">
        <f>IF(L181="","",IF(L183&gt;0,(SUM(((L181-1)*(1-_xlfn.XLOOKUP(K181,'Fevereiro 2023 - Valor Real'!A3:A15,'Fevereiro 2023 - Valor Real'!C3:C15,0))+1),((L182-1)*(1-_xlfn.XLOOKUP(K182,'Fevereiro 2023 - Valor Real'!A3:A15,'Fevereiro 2023 - Valor Real'!C3:C15,0))+1),((L183-1)*(1-_xlfn.XLOOKUP(K183,'Fevereiro 2023 - Valor Real'!A3:A15,'Fevereiro 2023 - Valor Real'!C3:C15,0))+1))/((L181-1)*(1-_xlfn.XLOOKUP(K181,'Fevereiro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Real'!C3:C15,0))+1))/((L181-1)*(1-_xlfn.XLOOKUP(K181,'Fevereiro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Real'!C3:C15,0))+1))/((L182-1)*(1-_xlfn.XLOOKUP(K182,'Fevereiro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Real'!C3:C15,0))+1))/((L183-1)*(1-_xlfn.XLOOKUP(K183,'Fevereiro 2023 - Valor Real'!A3:A15,'Fevereiro 2023 - Valor Real'!C3:C15,0))+1)),IF(I181="Lay",IF(I182="Lay",((L182/(L182-1)-1)*(1-_xlfn.XLOOKUP(K182,'Fevereiro 2023 - Valor Real'!A3:A15,'Fevereiro 2023 - Valor Real'!C3:C15,0))+1)/(((L182/(L182-1)-1)*(1-_xlfn.XLOOKUP(K182,'Fevereiro 2023 - Valor Real'!A3:A15,'Fevereiro 2023 - Valor Real'!C3:C15,0))+1)+((L181/(L181-1)-1)*(1-_xlfn.XLOOKUP(K181,'Fevereiro 2023 - Valor Real'!A3:A15,'Fevereiro 2023 - Valor Real'!C3:C15,0))+1)),((L182-1)*(1-_xlfn.XLOOKUP(K182,'Fevereiro 2023 - Valor Real'!A3:A15,'Fevereiro 2023 - Valor Real'!C3:C15,0))+1)/(((L182-1)*(1-_xlfn.XLOOKUP(K182,'Fevereiro 2023 - Valor Real'!A3:A15,'Fevereiro 2023 - Valor Real'!C3:C15,0))+1)+((L181/(L181-1)-1)*(1-_xlfn.XLOOKUP(K181,'Fevereiro 2023 - Valor Real'!A3:A15,'Fevereiro 2023 - Valor Real'!C3:C15,0))+1))),IF(I182="Lay",(((L182/(L182-1)-1)*(1-_xlfn.XLOOKUP(K182,'Fevereiro 2023 - Valor Real'!A3:A15,'Fevereiro 2023 - Valor Real'!C3:C15,0))+1))/(((L181-1)*(1-_xlfn.XLOOKUP(K181,'Fevereiro 2023 - Valor Real'!A3:A15,'Fevereiro 2023 - Valor Real'!C3:C15,0))+1)+((L182/(L182-1)-1)*(1-_xlfn.XLOOKUP(K182,'Fevereiro 2023 - Valor Real'!A3:A15,'Fevereiro 2023 - Valor Real'!C3:C15,0))+1)),((L182-1)*(1-_xlfn.XLOOKUP(K182,'Fevereiro 2023 - Valor Real'!A3:A15,'Fevereiro 2023 - Valor Real'!C3:C15,0))+1)/(((L182-1)*(1-_xlfn.XLOOKUP(K182,'Fevereiro 2023 - Valor Real'!A3:A15,'Fevereiro 2023 - Valor Real'!C3:C15,0))+1)+((L181-1)*(1-_xlfn.XLOOKUP(K181,'Fevereiro 2023 - Valor Real'!A3:A15,'Fevereiro 2023 - Valor Real'!C3:C15,0))+1))))))</f>
        <v>0.16364661817235243</v>
      </c>
      <c r="AF181" s="105">
        <f t="shared" si="351"/>
        <v>0</v>
      </c>
      <c r="AG181" s="106">
        <f t="shared" si="351"/>
        <v>0</v>
      </c>
      <c r="AH181" s="106">
        <f t="shared" si="351"/>
        <v>0</v>
      </c>
      <c r="AI181" s="106">
        <f t="shared" si="351"/>
        <v>0</v>
      </c>
      <c r="AJ181" s="106">
        <f t="shared" si="351"/>
        <v>0</v>
      </c>
      <c r="AK181" s="106">
        <f t="shared" si="351"/>
        <v>0</v>
      </c>
      <c r="AL181" s="106">
        <f t="shared" si="351"/>
        <v>0</v>
      </c>
      <c r="AM181" s="106">
        <f t="shared" si="351"/>
        <v>0</v>
      </c>
      <c r="AN181" s="106">
        <f t="shared" si="351"/>
        <v>0</v>
      </c>
      <c r="AO181" s="106">
        <f t="shared" si="351"/>
        <v>0</v>
      </c>
      <c r="AP181" s="106">
        <f t="shared" si="351"/>
        <v>0</v>
      </c>
      <c r="AQ181" s="106">
        <f t="shared" si="351"/>
        <v>26.15</v>
      </c>
      <c r="AR181" s="107">
        <f t="shared" si="351"/>
        <v>0</v>
      </c>
      <c r="AS181" s="105">
        <f t="shared" ref="AS181:BE181" si="362">IF(AND($B181=" ",$K181=AS$3),$O181,0)</f>
        <v>0</v>
      </c>
      <c r="AT181" s="106">
        <f t="shared" si="362"/>
        <v>0</v>
      </c>
      <c r="AU181" s="106">
        <f t="shared" si="362"/>
        <v>0</v>
      </c>
      <c r="AV181" s="106">
        <f t="shared" si="362"/>
        <v>0</v>
      </c>
      <c r="AW181" s="106">
        <f t="shared" si="362"/>
        <v>0</v>
      </c>
      <c r="AX181" s="106">
        <f t="shared" si="362"/>
        <v>0</v>
      </c>
      <c r="AY181" s="108">
        <f t="shared" si="362"/>
        <v>0</v>
      </c>
      <c r="AZ181" s="109">
        <f t="shared" si="362"/>
        <v>0</v>
      </c>
      <c r="BA181" s="109">
        <f t="shared" si="362"/>
        <v>0</v>
      </c>
      <c r="BB181" s="109">
        <f t="shared" si="362"/>
        <v>0</v>
      </c>
      <c r="BC181" s="110">
        <f t="shared" si="362"/>
        <v>0</v>
      </c>
      <c r="BD181" s="106">
        <f t="shared" si="362"/>
        <v>0</v>
      </c>
      <c r="BE181" s="107">
        <f t="shared" si="362"/>
        <v>0</v>
      </c>
      <c r="BF181" s="111">
        <f t="shared" si="353"/>
        <v>0</v>
      </c>
      <c r="BG181" s="106">
        <f t="shared" si="353"/>
        <v>0</v>
      </c>
      <c r="BH181" s="106">
        <f t="shared" si="353"/>
        <v>0</v>
      </c>
      <c r="BI181" s="106">
        <f t="shared" si="353"/>
        <v>0</v>
      </c>
      <c r="BJ181" s="106">
        <f t="shared" si="353"/>
        <v>0</v>
      </c>
      <c r="BK181" s="106">
        <f t="shared" si="353"/>
        <v>0</v>
      </c>
      <c r="BL181" s="106">
        <f t="shared" si="353"/>
        <v>0</v>
      </c>
      <c r="BM181" s="108">
        <f t="shared" si="353"/>
        <v>0</v>
      </c>
      <c r="BN181" s="109">
        <f t="shared" si="353"/>
        <v>0</v>
      </c>
      <c r="BO181" s="109">
        <f t="shared" si="353"/>
        <v>0</v>
      </c>
      <c r="BP181" s="109">
        <f t="shared" si="353"/>
        <v>0</v>
      </c>
      <c r="BQ181" s="110">
        <f t="shared" si="353"/>
        <v>9.24</v>
      </c>
      <c r="BR181" s="107">
        <f t="shared" si="353"/>
        <v>0</v>
      </c>
      <c r="BS181" s="463">
        <f>IF($B181="LOSS",IF(AND($K181=BS$3,$C181="L"),-$O181,0)+IF(AND($K182=BS$3,$C182="L"),-$O182,0)+IF(AND($K183=BS$3,$C183="L"),-$O183,0),IF(OR(AND($K181=BS$3,OR($C181="W",$C181="1/2W")),AND($K182=BS$3,OR($C182="W",$C182="1/2W")),AND($K183=BS$3,OR($C183="W",$C183="1/2W"))),$S181,0))</f>
        <v>0</v>
      </c>
      <c r="BT181" s="462">
        <f>IF($B181="LOSS",IF(AND($K181=BT$3,$C181="L"),-$O181,0)+IF(AND($K182=BT$3,$C182="L"),-$O182,0)+IF(AND($K182=BT$3,$C183="L"),-$O183,0),IF(OR(AND($K182=BT$3,OR($C181="W",$C181="1/2W")),AND($K182=BT$3,OR($C182="W",$C182="1/2W")),AND($K182=BT$3,OR($C183="W",$C183="1/2W"))),$S181,0))</f>
        <v>0</v>
      </c>
      <c r="BU181" s="462">
        <f>IF($B181="LOSS",IF(AND($K181=BU$3,$C181="L"),-$O181,0)+IF(AND($K182=BU$3,$C182="L"),-$O182,0)+IF(AND($K182=BU$3,$C183="L"),-$O183,0),IF(OR(AND($K182=BU$3,OR($C181="W",$C181="1/2W")),AND($K182=BU$3,OR($C182="W",$C182="1/2W")),AND($K182=BU$3,OR($C183="W",$C183="1/2W"))),$S181,0))</f>
        <v>0</v>
      </c>
      <c r="BV181" s="462">
        <f t="shared" ref="BV181:CE181" si="363">IF($B181="LOSS",IF(AND($K181=BV$3,$C181="L"),-$O181,0)+IF(AND($K182=BV$3,$C182="L"),-$O182,0)+IF(AND($K183=BV$3,$C183="L"),-$O183,0),IF(OR(AND($K181=BV$3,OR($C181="W",$C181="1/2W")),AND($K182=BV$3,OR($C182="W",$C182="1/2W")),AND($K183=BV$3,OR($C183="W",$C183="1/2W"))),$S181,0))</f>
        <v>0</v>
      </c>
      <c r="BW181" s="462">
        <f t="shared" si="363"/>
        <v>0</v>
      </c>
      <c r="BX181" s="462">
        <f t="shared" si="363"/>
        <v>0</v>
      </c>
      <c r="BY181" s="462">
        <f t="shared" si="363"/>
        <v>0</v>
      </c>
      <c r="BZ181" s="460">
        <f t="shared" si="363"/>
        <v>0</v>
      </c>
      <c r="CA181" s="460">
        <f t="shared" si="363"/>
        <v>0</v>
      </c>
      <c r="CB181" s="460">
        <f t="shared" si="363"/>
        <v>0</v>
      </c>
      <c r="CC181" s="460">
        <f t="shared" si="363"/>
        <v>0</v>
      </c>
      <c r="CD181" s="473">
        <f t="shared" si="363"/>
        <v>1.45</v>
      </c>
      <c r="CE181" s="479">
        <f t="shared" si="363"/>
        <v>0</v>
      </c>
      <c r="CF181" s="113">
        <f t="shared" si="258"/>
        <v>0</v>
      </c>
      <c r="CG181" s="114">
        <f t="shared" si="259"/>
        <v>0</v>
      </c>
      <c r="CH181" s="114">
        <f t="shared" si="260"/>
        <v>0</v>
      </c>
      <c r="CI181" s="114">
        <f t="shared" si="261"/>
        <v>0</v>
      </c>
      <c r="CJ181" s="114">
        <f t="shared" si="262"/>
        <v>0</v>
      </c>
      <c r="CK181" s="114">
        <f t="shared" si="263"/>
        <v>0</v>
      </c>
      <c r="CL181" s="114">
        <f t="shared" si="264"/>
        <v>0</v>
      </c>
      <c r="CM181" s="114">
        <f t="shared" si="265"/>
        <v>0</v>
      </c>
      <c r="CN181" s="114">
        <f t="shared" si="266"/>
        <v>0</v>
      </c>
      <c r="CO181" s="114">
        <f t="shared" si="267"/>
        <v>0</v>
      </c>
      <c r="CP181" s="114">
        <f t="shared" si="268"/>
        <v>0</v>
      </c>
      <c r="CQ181" s="114">
        <f t="shared" si="269"/>
        <v>0</v>
      </c>
      <c r="CR181" s="114">
        <f t="shared" si="270"/>
        <v>0</v>
      </c>
      <c r="CS181" s="114">
        <f t="shared" si="271"/>
        <v>0</v>
      </c>
      <c r="CT181" s="115">
        <f t="shared" si="272"/>
        <v>0</v>
      </c>
      <c r="CU181" s="116">
        <f t="shared" si="273"/>
        <v>0</v>
      </c>
      <c r="CV181" s="116">
        <f t="shared" si="274"/>
        <v>0</v>
      </c>
      <c r="CW181" s="116">
        <f t="shared" si="275"/>
        <v>0</v>
      </c>
      <c r="CX181" s="116">
        <f t="shared" si="276"/>
        <v>0</v>
      </c>
      <c r="CY181" s="116">
        <f t="shared" si="277"/>
        <v>0</v>
      </c>
      <c r="CZ181" s="116">
        <f t="shared" si="278"/>
        <v>0</v>
      </c>
      <c r="DA181" s="116">
        <f t="shared" si="279"/>
        <v>0</v>
      </c>
      <c r="DB181" s="116">
        <f t="shared" si="280"/>
        <v>1</v>
      </c>
      <c r="DC181" s="116">
        <f t="shared" si="281"/>
        <v>0</v>
      </c>
      <c r="DD181" s="116">
        <f t="shared" si="282"/>
        <v>0</v>
      </c>
      <c r="DE181" s="117">
        <f t="shared" si="283"/>
        <v>0</v>
      </c>
      <c r="DF181" s="118">
        <f t="shared" si="286"/>
        <v>12</v>
      </c>
      <c r="DG181" s="106">
        <f t="shared" si="287"/>
        <v>15.760000000000002</v>
      </c>
      <c r="DH181" s="116">
        <f t="shared" si="288"/>
        <v>5</v>
      </c>
      <c r="DI181" s="106">
        <f t="shared" si="289"/>
        <v>21.93</v>
      </c>
      <c r="DJ181" s="201" t="str">
        <f>IF($D181="","",$D181)</f>
        <v>6</v>
      </c>
      <c r="DK181" s="465">
        <f>IF(AND($B181=" ",$D181&lt;&gt;""),1,0)</f>
        <v>0</v>
      </c>
    </row>
    <row r="182" spans="1:115" ht="14.5" customHeight="1" x14ac:dyDescent="0.2">
      <c r="A182" s="389"/>
      <c r="B182" s="456"/>
      <c r="C182" s="120" t="s">
        <v>55</v>
      </c>
      <c r="D182" s="374"/>
      <c r="E182" s="386"/>
      <c r="F182" s="377"/>
      <c r="G182" s="483"/>
      <c r="H182" s="476"/>
      <c r="I182" s="121" t="s">
        <v>64</v>
      </c>
      <c r="J182" s="179" t="str">
        <f>IF(OR(I181="TO",I181="TU",I181="TO1",I181="TU1",I181="TO2",I181="TU2"),J181,IF(OR(I181="AH1",I181="AH2"),IF(OR(I182="AH1",I182="AH2"),-J181,IF(OR(I182="EH1",I182="EH2"),-J181+0.5,"")),IF(OR(I181="EH1",I181="EH2"),IF(OR(I182="AH1",I182="AH2"),-J181+0.5,IF(OR(I182="EH1",I182="EH2"),-J181+1,"")),IF(AND(OR(I181="DNB1",I181="DNB2"),OR(I182="AH1",I182="AH2")),0,IF(AND(I181="Not ScoreBoth",OR(I182="TO1",I182="TO2")),0.5,"")))))</f>
        <v/>
      </c>
      <c r="K182" s="123" t="s">
        <v>40</v>
      </c>
      <c r="L182" s="124">
        <v>1.38</v>
      </c>
      <c r="M182" s="125">
        <v>19</v>
      </c>
      <c r="N182" s="406"/>
      <c r="O182" s="126">
        <f>IF(OR(AE181="",AE182=""),"",ROUND(IF(L183&gt;0,IF(M182&gt;0,M182,IF(M181&gt;0,IF(N181=TRUE,ROUND((M181*AE182)/AE181,0),(M181*AE182)/AE181),IF(M182&gt;0,ROUND(M182,IF(N181=0,2,IF(N181=0.1,1,0))),IF(M183&gt;0,ROUND(O183*AE182/AE183,IF(N181=0,2,IF(N181=0.1,1,0))),0)))),IF(M182&gt;0,M182,ROUND((M181*AE182)/AE181,IF(N181=0,2,IF(N181=0.1,1,0))))),2))</f>
        <v>19</v>
      </c>
      <c r="P182" s="127">
        <f>IF(OR(L182="",O182=""),"",IF($C182="1/2W",O182/2+O182/2*L182,IF($C182="1/2L",O182/2,IF(I182="Lay",((O182*(L182/(L182-1)))-O182)*(1-_xlfn.XLOOKUP(K182,'Fevereiro 2023 - Valor Real'!A3:A15,'Fevereiro 2023 - Valor Real'!C3:C15,0))+O182,(O182*L182-O182)*(1-_xlfn.XLOOKUP(K182,'Fevereiro 2023 - Valor Real'!A3:A15,'Fevereiro 2023 - Valor Real'!C3:C15,0))+O182))))</f>
        <v>26.22</v>
      </c>
      <c r="Q182" s="128">
        <f>IF(K182="","",IF(_xlfn.XLOOKUP(K182,K$4:K181,$DJ$4:DJ181,0,,-1)=DJ182,_xlfn.XLOOKUP(K182,K$4:K181,Q$4:Q181,1,,-1)+1,1))</f>
        <v>2</v>
      </c>
      <c r="R182" s="129">
        <f>IF(K182="","",_xlfn.XLOOKUP(K182,K$4:K181,R$4:R181,0,,-1)+IF($C182=" ",1,0))</f>
        <v>0</v>
      </c>
      <c r="S182" s="403"/>
      <c r="T182" s="380"/>
      <c r="U182" s="380"/>
      <c r="V182" s="481"/>
      <c r="W182" s="380"/>
      <c r="X182" s="452"/>
      <c r="Y182" s="383"/>
      <c r="Z182" s="384"/>
      <c r="AA182" s="384"/>
      <c r="AB182" s="384"/>
      <c r="AC182" s="384"/>
      <c r="AD182" s="130">
        <f>(((L182/(L182-1)-1)*(1-_xlfn.XLOOKUP(K182,'Fevereiro 2023 - Valor Real'!A3:A15,'Fevereiro 2023 - Valor Real'!C3:C15,0))+1))</f>
        <v>3.6315789473684217</v>
      </c>
      <c r="AE182" s="131">
        <f>IF(L182="","",IF(L183&gt;0,(SUM(((L181-1)*(1-_xlfn.XLOOKUP(K181,'Fevereiro 2023 - Valor Real'!A3:A15,'Fevereiro 2023 - Valor Real'!C3:C15,0))+1),((L182-1)*(1-_xlfn.XLOOKUP(K182,'Fevereiro 2023 - Valor Real'!A3:A15,'Fevereiro 2023 - Valor Real'!C3:C15,0))+1),((L183-1)*(1-_xlfn.XLOOKUP(K183,'Fevereiro 2023 - Valor Real'!A3:A15,'Fevereiro 2023 - Valor Real'!C3:C15,0))+1))/((L182-1)*(1-_xlfn.XLOOKUP(K182,'Fevereiro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Real'!C3:C15,0))+1))/((L181-1)*(1-_xlfn.XLOOKUP(K181,'Fevereiro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Real'!C3:C15,0))+1))/((L182-1)*(1-_xlfn.XLOOKUP(K182,'Fevereiro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Real'!C3:C15,0))+1))/((L183-1)*(1-_xlfn.XLOOKUP(K183,'Fevereiro 2023 - Valor Real'!A3:A15,'Fevereiro 2023 - Valor Real'!C3:C15,0))+1)),IF(I182="Lay",IF(I181="Lay",((L181/(L181-1)-1)*(1-_xlfn.XLOOKUP(K181,'Fevereiro 2023 - Valor Real'!A3:A15,'Fevereiro 2023 - Valor Real'!C3:C15,0))+1)/(((L181/(L181-1)-1)*(1-_xlfn.XLOOKUP(K181,'Fevereiro 2023 - Valor Real'!A3:A15,'Fevereiro 2023 - Valor Real'!C3:C15,0))+1)+((L182/(L182-1)-1)*(1-_xlfn.XLOOKUP(K182,'Fevereiro 2023 - Valor Real'!A3:A15,'Fevereiro 2023 - Valor Real'!C3:C15,0))+1)),((L181-1)*(1-_xlfn.XLOOKUP(K181,'Fevereiro 2023 - Valor Real'!A3:A15,'Fevereiro 2023 - Valor Real'!C3:C15,0))+1)/(((L181-1)*(1-_xlfn.XLOOKUP(K181,'Fevereiro 2023 - Valor Real'!A3:A15,'Fevereiro 2023 - Valor Real'!C3:C15,0))+1)+((L182/(L182-1)-1)*(1-_xlfn.XLOOKUP(K182,'Fevereiro 2023 - Valor Real'!A3:A15,'Fevereiro 2023 - Valor Real'!C3:C15,0))+1))),IF(I181="Lay",((L181/(L181-1)-1)*(1-_xlfn.XLOOKUP(K181,'Fevereiro 2023 - Valor Real'!A3:A15,'Fevereiro 2023 - Valor Real'!C3:C15,0))+1)/((((L181/(L181-1)-1)*(1-_xlfn.XLOOKUP(K181,'Fevereiro 2023 - Valor Real'!A3:A15,'Fevereiro 2023 - Valor Real'!C3:C15,0))+1))+((L182-1)*(1-_xlfn.XLOOKUP(K182,'Fevereiro 2023 - Valor Real'!A3:A15,'Fevereiro 2023 - Valor Real'!C3:C15,0))+1)),((L181-1)*(1-_xlfn.XLOOKUP(K181,'Fevereiro 2023 - Valor Real'!A3:A15,'Fevereiro 2023 - Valor Real'!C3:C15,0))+1)/(((L181-1)*(1-_xlfn.XLOOKUP(K181,'Fevereiro 2023 - Valor Real'!A3:A15,'Fevereiro 2023 - Valor Real'!C3:C15,0))+1)+((L182-1)*(1-_xlfn.XLOOKUP(K182,'Fevereiro 2023 - Valor Real'!A3:A15,'Fevereiro 2023 - Valor Real'!C3:C15,0))+1))))))</f>
        <v>0.45417865768123905</v>
      </c>
      <c r="AF182" s="105">
        <f t="shared" si="351"/>
        <v>0</v>
      </c>
      <c r="AG182" s="106">
        <f t="shared" si="351"/>
        <v>0</v>
      </c>
      <c r="AH182" s="106">
        <f t="shared" si="351"/>
        <v>0</v>
      </c>
      <c r="AI182" s="106">
        <f t="shared" si="351"/>
        <v>0</v>
      </c>
      <c r="AJ182" s="106">
        <f t="shared" si="351"/>
        <v>-19</v>
      </c>
      <c r="AK182" s="106">
        <f t="shared" si="351"/>
        <v>0</v>
      </c>
      <c r="AL182" s="106">
        <f t="shared" si="351"/>
        <v>0</v>
      </c>
      <c r="AM182" s="106">
        <f t="shared" si="351"/>
        <v>0</v>
      </c>
      <c r="AN182" s="106">
        <f t="shared" si="351"/>
        <v>0</v>
      </c>
      <c r="AO182" s="106">
        <f t="shared" si="351"/>
        <v>0</v>
      </c>
      <c r="AP182" s="106">
        <f t="shared" si="351"/>
        <v>0</v>
      </c>
      <c r="AQ182" s="106">
        <f t="shared" si="351"/>
        <v>0</v>
      </c>
      <c r="AR182" s="107">
        <f t="shared" si="351"/>
        <v>0</v>
      </c>
      <c r="AS182" s="105">
        <f>IF(AND($B181=" ",$K182=AS$3),$O182,0)</f>
        <v>0</v>
      </c>
      <c r="AT182" s="106">
        <f>IF(AND($B181=" ",K182=AT$3),$O182,0)</f>
        <v>0</v>
      </c>
      <c r="AU182" s="106">
        <f t="shared" ref="AU182:BE182" si="364">IF(AND($B181=" ",$K182=AU$3),$O182,0)</f>
        <v>0</v>
      </c>
      <c r="AV182" s="106">
        <f t="shared" si="364"/>
        <v>0</v>
      </c>
      <c r="AW182" s="106">
        <f t="shared" si="364"/>
        <v>0</v>
      </c>
      <c r="AX182" s="106">
        <f t="shared" si="364"/>
        <v>0</v>
      </c>
      <c r="AY182" s="108">
        <f t="shared" si="364"/>
        <v>0</v>
      </c>
      <c r="AZ182" s="109">
        <f t="shared" si="364"/>
        <v>0</v>
      </c>
      <c r="BA182" s="109">
        <f t="shared" si="364"/>
        <v>0</v>
      </c>
      <c r="BB182" s="109">
        <f t="shared" si="364"/>
        <v>0</v>
      </c>
      <c r="BC182" s="110">
        <f t="shared" si="364"/>
        <v>0</v>
      </c>
      <c r="BD182" s="106">
        <f t="shared" si="364"/>
        <v>0</v>
      </c>
      <c r="BE182" s="107">
        <f t="shared" si="364"/>
        <v>0</v>
      </c>
      <c r="BF182" s="105">
        <f t="shared" si="353"/>
        <v>0</v>
      </c>
      <c r="BG182" s="106">
        <f t="shared" si="353"/>
        <v>0</v>
      </c>
      <c r="BH182" s="106">
        <f t="shared" si="353"/>
        <v>0</v>
      </c>
      <c r="BI182" s="106">
        <f t="shared" si="353"/>
        <v>0</v>
      </c>
      <c r="BJ182" s="106">
        <f t="shared" si="353"/>
        <v>19</v>
      </c>
      <c r="BK182" s="106">
        <f t="shared" si="353"/>
        <v>0</v>
      </c>
      <c r="BL182" s="106">
        <f t="shared" si="353"/>
        <v>0</v>
      </c>
      <c r="BM182" s="132">
        <f t="shared" si="353"/>
        <v>0</v>
      </c>
      <c r="BN182" s="112">
        <f t="shared" si="353"/>
        <v>0</v>
      </c>
      <c r="BO182" s="112">
        <f t="shared" si="353"/>
        <v>0</v>
      </c>
      <c r="BP182" s="112">
        <f t="shared" si="353"/>
        <v>0</v>
      </c>
      <c r="BQ182" s="110">
        <f t="shared" si="353"/>
        <v>0</v>
      </c>
      <c r="BR182" s="107">
        <f t="shared" si="353"/>
        <v>0</v>
      </c>
      <c r="BS182" s="464"/>
      <c r="BT182" s="461"/>
      <c r="BU182" s="392"/>
      <c r="BV182" s="461"/>
      <c r="BW182" s="392"/>
      <c r="BX182" s="392"/>
      <c r="BY182" s="392"/>
      <c r="BZ182" s="461"/>
      <c r="CA182" s="392"/>
      <c r="CB182" s="392"/>
      <c r="CC182" s="392"/>
      <c r="CD182" s="401"/>
      <c r="CE182" s="409"/>
      <c r="CF182" s="133">
        <f t="shared" si="258"/>
        <v>0</v>
      </c>
      <c r="CG182" s="134">
        <f t="shared" si="259"/>
        <v>0</v>
      </c>
      <c r="CH182" s="134">
        <f t="shared" si="260"/>
        <v>0</v>
      </c>
      <c r="CI182" s="134">
        <f t="shared" si="261"/>
        <v>0</v>
      </c>
      <c r="CJ182" s="134">
        <f t="shared" si="262"/>
        <v>0</v>
      </c>
      <c r="CK182" s="134">
        <f t="shared" si="263"/>
        <v>0</v>
      </c>
      <c r="CL182" s="134">
        <f t="shared" si="264"/>
        <v>0</v>
      </c>
      <c r="CM182" s="134">
        <f t="shared" si="265"/>
        <v>0</v>
      </c>
      <c r="CN182" s="134">
        <f t="shared" si="266"/>
        <v>0</v>
      </c>
      <c r="CO182" s="134">
        <f t="shared" si="267"/>
        <v>1</v>
      </c>
      <c r="CP182" s="134">
        <f t="shared" si="268"/>
        <v>0</v>
      </c>
      <c r="CQ182" s="134">
        <f t="shared" si="269"/>
        <v>0</v>
      </c>
      <c r="CR182" s="134">
        <f t="shared" si="270"/>
        <v>0</v>
      </c>
      <c r="CS182" s="134">
        <f t="shared" si="271"/>
        <v>0</v>
      </c>
      <c r="CT182" s="115">
        <f t="shared" si="272"/>
        <v>0</v>
      </c>
      <c r="CU182" s="116">
        <f t="shared" si="273"/>
        <v>0</v>
      </c>
      <c r="CV182" s="116">
        <f t="shared" si="274"/>
        <v>0</v>
      </c>
      <c r="CW182" s="116">
        <f t="shared" si="275"/>
        <v>0</v>
      </c>
      <c r="CX182" s="116">
        <f t="shared" si="276"/>
        <v>0</v>
      </c>
      <c r="CY182" s="116">
        <f t="shared" si="277"/>
        <v>0</v>
      </c>
      <c r="CZ182" s="116">
        <f t="shared" si="278"/>
        <v>0</v>
      </c>
      <c r="DA182" s="116">
        <f t="shared" si="279"/>
        <v>0</v>
      </c>
      <c r="DB182" s="116">
        <f t="shared" si="280"/>
        <v>0</v>
      </c>
      <c r="DC182" s="116">
        <f t="shared" si="281"/>
        <v>0</v>
      </c>
      <c r="DD182" s="116">
        <f t="shared" si="282"/>
        <v>0</v>
      </c>
      <c r="DE182" s="117">
        <f t="shared" si="283"/>
        <v>0</v>
      </c>
      <c r="DF182" s="118">
        <f t="shared" si="286"/>
        <v>12</v>
      </c>
      <c r="DG182" s="106">
        <f t="shared" si="287"/>
        <v>15.760000000000002</v>
      </c>
      <c r="DH182" s="116">
        <f t="shared" si="288"/>
        <v>5</v>
      </c>
      <c r="DI182" s="106">
        <f t="shared" si="289"/>
        <v>21.93</v>
      </c>
      <c r="DJ182" s="201" t="str">
        <f>IF($D181="","",$D181)</f>
        <v>6</v>
      </c>
      <c r="DK182" s="466"/>
    </row>
    <row r="183" spans="1:115" ht="14.5" customHeight="1" x14ac:dyDescent="0.2">
      <c r="A183" s="390"/>
      <c r="B183" s="457"/>
      <c r="C183" s="135" t="s">
        <v>55</v>
      </c>
      <c r="D183" s="375"/>
      <c r="E183" s="387"/>
      <c r="F183" s="378"/>
      <c r="G183" s="484"/>
      <c r="H183" s="477"/>
      <c r="I183" s="192">
        <v>2</v>
      </c>
      <c r="J183" s="137"/>
      <c r="K183" s="193" t="s">
        <v>40</v>
      </c>
      <c r="L183" s="194">
        <v>1.64</v>
      </c>
      <c r="M183" s="140">
        <v>5.7</v>
      </c>
      <c r="N183" s="407"/>
      <c r="O183" s="195">
        <f>IF(OR(AE181="",AE182=""),"",IF(L183&gt;0,ROUND(IF(M183&gt;0,M183,IF(M181&gt;0,ROUND((M181*AE183)/AE181,IF(N181=0,2,IF(N181=0.1,1,0))),IF(M182&gt;0,ROUND((M182*AE183)/AE182,IF(N181=0,2,IF(N181=0.1,1,0))),IF(M183&gt;0,M183,0)))),2),""))</f>
        <v>5.7</v>
      </c>
      <c r="P183" s="196">
        <f>IF(I182="Lay",O182*(L182/(L182-1))-O182,IF(I181="Lay",O181*(L181/(L181-1))-O181,IF(OR(L183="",O183=""),"",IF($C183="1/2W",O183/2+O183/2*L183,IF($C183="1/2L",O183/2,(O183*L183-O183)*(1-_xlfn.XLOOKUP(K183,'Fevereiro 2023 - Valor Real'!A3:A15,'Fevereiro 2023 - Valor Real'!C3:C15,0))+O183)))))</f>
        <v>9.347999999999999</v>
      </c>
      <c r="Q183" s="197">
        <f>IF(K183="","",IF(_xlfn.XLOOKUP(K183,K$4:K182,$DJ$4:DJ182,0,,-1)=DJ183,_xlfn.XLOOKUP(K183,K$4:K182,Q$4:Q182,1,,-1)+1,1))</f>
        <v>3</v>
      </c>
      <c r="R183" s="198">
        <f>IF(K183="","",_xlfn.XLOOKUP(K183,K$4:K182,R$4:R182,0,,-1)+IF($C183=" ",1,0))</f>
        <v>0</v>
      </c>
      <c r="S183" s="404"/>
      <c r="T183" s="378"/>
      <c r="U183" s="378"/>
      <c r="V183" s="404"/>
      <c r="W183" s="378"/>
      <c r="X183" s="453"/>
      <c r="Y183" s="383"/>
      <c r="Z183" s="384"/>
      <c r="AA183" s="384"/>
      <c r="AB183" s="384"/>
      <c r="AC183" s="384"/>
      <c r="AD183" s="145">
        <f>((L182/(L182-1)-1))</f>
        <v>2.6315789473684217</v>
      </c>
      <c r="AE183" s="199">
        <f>IF(L183="","",(SUM(((L181-1)*(1-_xlfn.XLOOKUP(K181,'Fevereiro 2023 - Valor Real'!A3:A15,'Fevereiro 2023 - Valor Real'!C3:C15,0))+1),((L182-1)*(1-_xlfn.XLOOKUP(K182,'Fevereiro 2023 - Valor Real'!A3:A15,'Fevereiro 2023 - Valor Real'!C3:C15,0))+1),((L183-1)*(1-_xlfn.XLOOKUP(K183,'Fevereiro 2023 - Valor Real'!A3:A15,'Fevereiro 2023 - Valor Real'!C3:C15,0))+1))/((L183-1)*(1-_xlfn.XLOOKUP(K183,'Fevereiro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Real'!C3:C15,0))+1))/((L181-1)*(1-_xlfn.XLOOKUP(K181,'Fevereiro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Real'!C3:C15,0))+1))/((L182-1)*(1-_xlfn.XLOOKUP(K182,'Fevereiro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Real'!C3:C15,0))+1))/((L183-1)*(1-_xlfn.XLOOKUP(K183,'Fevereiro 2023 - Valor Real'!A3:A15,'Fevereiro 2023 - Valor Real'!C3:C15,0))+1)))</f>
        <v>0.38217472414640846</v>
      </c>
      <c r="AF183" s="105">
        <f t="shared" si="351"/>
        <v>0</v>
      </c>
      <c r="AG183" s="106">
        <f t="shared" si="351"/>
        <v>0</v>
      </c>
      <c r="AH183" s="106">
        <f t="shared" si="351"/>
        <v>0</v>
      </c>
      <c r="AI183" s="106">
        <f t="shared" si="351"/>
        <v>0</v>
      </c>
      <c r="AJ183" s="106">
        <f t="shared" si="351"/>
        <v>-5.7</v>
      </c>
      <c r="AK183" s="106">
        <f t="shared" si="351"/>
        <v>0</v>
      </c>
      <c r="AL183" s="106">
        <f t="shared" si="351"/>
        <v>0</v>
      </c>
      <c r="AM183" s="106">
        <f t="shared" si="351"/>
        <v>0</v>
      </c>
      <c r="AN183" s="106">
        <f t="shared" si="351"/>
        <v>0</v>
      </c>
      <c r="AO183" s="106">
        <f t="shared" si="351"/>
        <v>0</v>
      </c>
      <c r="AP183" s="106">
        <f t="shared" si="351"/>
        <v>0</v>
      </c>
      <c r="AQ183" s="106">
        <f t="shared" si="351"/>
        <v>0</v>
      </c>
      <c r="AR183" s="107">
        <f t="shared" si="351"/>
        <v>0</v>
      </c>
      <c r="AS183" s="105">
        <f>IF(AND($B181=" ",$K183=AS$3),$O183,0)</f>
        <v>0</v>
      </c>
      <c r="AT183" s="106">
        <f>IF(AND($B181=" ",K183=AT$3),$O183,0)</f>
        <v>0</v>
      </c>
      <c r="AU183" s="106">
        <f t="shared" ref="AU183:BE183" si="365">IF(AND($B181=" ",$K183=AU$3),$O183,0)</f>
        <v>0</v>
      </c>
      <c r="AV183" s="106">
        <f t="shared" si="365"/>
        <v>0</v>
      </c>
      <c r="AW183" s="106">
        <f t="shared" si="365"/>
        <v>0</v>
      </c>
      <c r="AX183" s="106">
        <f t="shared" si="365"/>
        <v>0</v>
      </c>
      <c r="AY183" s="108">
        <f t="shared" si="365"/>
        <v>0</v>
      </c>
      <c r="AZ183" s="109">
        <f t="shared" si="365"/>
        <v>0</v>
      </c>
      <c r="BA183" s="109">
        <f t="shared" si="365"/>
        <v>0</v>
      </c>
      <c r="BB183" s="109">
        <f t="shared" si="365"/>
        <v>0</v>
      </c>
      <c r="BC183" s="110">
        <f t="shared" si="365"/>
        <v>0</v>
      </c>
      <c r="BD183" s="106">
        <f t="shared" si="365"/>
        <v>0</v>
      </c>
      <c r="BE183" s="107">
        <f t="shared" si="365"/>
        <v>0</v>
      </c>
      <c r="BF183" s="105">
        <f t="shared" si="353"/>
        <v>0</v>
      </c>
      <c r="BG183" s="106">
        <f t="shared" si="353"/>
        <v>0</v>
      </c>
      <c r="BH183" s="106">
        <f t="shared" si="353"/>
        <v>0</v>
      </c>
      <c r="BI183" s="106">
        <f t="shared" si="353"/>
        <v>0</v>
      </c>
      <c r="BJ183" s="106">
        <f t="shared" si="353"/>
        <v>5.7</v>
      </c>
      <c r="BK183" s="106">
        <f t="shared" si="353"/>
        <v>0</v>
      </c>
      <c r="BL183" s="106">
        <f t="shared" si="353"/>
        <v>0</v>
      </c>
      <c r="BM183" s="108">
        <f t="shared" si="353"/>
        <v>0</v>
      </c>
      <c r="BN183" s="109">
        <f t="shared" si="353"/>
        <v>0</v>
      </c>
      <c r="BO183" s="109">
        <f t="shared" si="353"/>
        <v>0</v>
      </c>
      <c r="BP183" s="109">
        <f t="shared" si="353"/>
        <v>0</v>
      </c>
      <c r="BQ183" s="110">
        <f t="shared" si="353"/>
        <v>0</v>
      </c>
      <c r="BR183" s="107">
        <f t="shared" si="353"/>
        <v>0</v>
      </c>
      <c r="BS183" s="464"/>
      <c r="BT183" s="461"/>
      <c r="BU183" s="392"/>
      <c r="BV183" s="461"/>
      <c r="BW183" s="392"/>
      <c r="BX183" s="392"/>
      <c r="BY183" s="392"/>
      <c r="BZ183" s="461"/>
      <c r="CA183" s="392"/>
      <c r="CB183" s="392"/>
      <c r="CC183" s="392"/>
      <c r="CD183" s="401"/>
      <c r="CE183" s="409"/>
      <c r="CF183" s="133">
        <f t="shared" si="258"/>
        <v>0</v>
      </c>
      <c r="CG183" s="134">
        <f t="shared" si="259"/>
        <v>0</v>
      </c>
      <c r="CH183" s="134">
        <f t="shared" si="260"/>
        <v>0</v>
      </c>
      <c r="CI183" s="134">
        <f t="shared" si="261"/>
        <v>0</v>
      </c>
      <c r="CJ183" s="134">
        <f t="shared" si="262"/>
        <v>0</v>
      </c>
      <c r="CK183" s="134">
        <f t="shared" si="263"/>
        <v>0</v>
      </c>
      <c r="CL183" s="134">
        <f t="shared" si="264"/>
        <v>0</v>
      </c>
      <c r="CM183" s="134">
        <f t="shared" si="265"/>
        <v>0</v>
      </c>
      <c r="CN183" s="134">
        <f t="shared" si="266"/>
        <v>0</v>
      </c>
      <c r="CO183" s="134">
        <f t="shared" si="267"/>
        <v>1</v>
      </c>
      <c r="CP183" s="134">
        <f t="shared" si="268"/>
        <v>0</v>
      </c>
      <c r="CQ183" s="134">
        <f t="shared" si="269"/>
        <v>0</v>
      </c>
      <c r="CR183" s="134">
        <f t="shared" si="270"/>
        <v>0</v>
      </c>
      <c r="CS183" s="134">
        <f t="shared" si="271"/>
        <v>0</v>
      </c>
      <c r="CT183" s="115">
        <f t="shared" si="272"/>
        <v>0</v>
      </c>
      <c r="CU183" s="116">
        <f t="shared" si="273"/>
        <v>0</v>
      </c>
      <c r="CV183" s="116">
        <f t="shared" si="274"/>
        <v>0</v>
      </c>
      <c r="CW183" s="116">
        <f t="shared" si="275"/>
        <v>0</v>
      </c>
      <c r="CX183" s="116">
        <f t="shared" si="276"/>
        <v>0</v>
      </c>
      <c r="CY183" s="116">
        <f t="shared" si="277"/>
        <v>0</v>
      </c>
      <c r="CZ183" s="116">
        <f t="shared" si="278"/>
        <v>0</v>
      </c>
      <c r="DA183" s="116">
        <f t="shared" si="279"/>
        <v>0</v>
      </c>
      <c r="DB183" s="116">
        <f t="shared" si="280"/>
        <v>0</v>
      </c>
      <c r="DC183" s="116">
        <f t="shared" si="281"/>
        <v>0</v>
      </c>
      <c r="DD183" s="116">
        <f t="shared" si="282"/>
        <v>0</v>
      </c>
      <c r="DE183" s="117">
        <f t="shared" si="283"/>
        <v>0</v>
      </c>
      <c r="DF183" s="118">
        <f t="shared" si="286"/>
        <v>12</v>
      </c>
      <c r="DG183" s="106">
        <f t="shared" si="287"/>
        <v>15.760000000000002</v>
      </c>
      <c r="DH183" s="116">
        <f t="shared" si="288"/>
        <v>5</v>
      </c>
      <c r="DI183" s="106">
        <f t="shared" si="289"/>
        <v>21.93</v>
      </c>
      <c r="DJ183" s="201" t="str">
        <f>IF($D181="","",$D181)</f>
        <v>6</v>
      </c>
      <c r="DK183" s="466"/>
    </row>
    <row r="184" spans="1:115" ht="14.5" customHeight="1" x14ac:dyDescent="0.2">
      <c r="A184" s="487">
        <f>$A181+1</f>
        <v>61</v>
      </c>
      <c r="B184" s="506" t="str">
        <f>IF(OR(C184="W",C185="W",C186="W",C184="1/2W",C185="1/2W",C186="1/2W",C184="1/2L",C185="1/2L",C186="1/2L"),"OK",IF(OR(C184="L",C185="L",C186="L"),"LOSS",IF(OR(C184="X",C185="X",C186="X"),"Anulado"," ")))</f>
        <v>OK</v>
      </c>
      <c r="C184" s="147" t="s">
        <v>54</v>
      </c>
      <c r="D184" s="494" t="str">
        <f>IF(G184="","",$D181)</f>
        <v>6</v>
      </c>
      <c r="E184" s="511" t="str">
        <f>IF(G184=""," ","– "&amp;COUNTIF(D$4:D186,$D184))</f>
        <v>– 4</v>
      </c>
      <c r="F184" s="510" t="str">
        <f ca="1">IF(G184="","",IF(OR(AND($C184&lt;&gt;" ",$C185=" "),AND($C185&lt;&gt;" ",$C184=" "),AND(L186&gt;0,OR(AND($C186&lt;&gt;" ",OR($C184=" ",$C185=" ")),AND($C186=" ",OR($C184&lt;&gt;" ",$C185&lt;&gt;" "))))),IF(SUM(F$4:F183)=0,1,LARGE(F$4:F183,1)+1),IF(MONTH(G184)=MONTH(TODAY()),IF(AND(DAY(G184)&lt;DAY(TODAY()),$B184=" "),IF(SUM(F$4:F183)=0,1,LARGE(F$4:F183,1)+1),IF($B184=" ",IF(AND(DAY(G184)=DAY(TODAY()),HOUR(G184)&lt;=HOUR(NOW())+1),IF(AND(HOUR(G184)+2&lt;=HOUR(NOW()),DAY(G184)&lt;=DAY(TODAY()),MINUTE(G184)&lt;=MINUTE(NOW())),IF(SUM(F$4:F183)=0,1,LARGE(F$4:F183,1)+1),IF(OR(MINUTE(G184)&lt;=MINUTE(NOW()),HOUR(G184)&lt;=HOUR(NOW())),"!!!","")),""),"")),"")))</f>
        <v/>
      </c>
      <c r="G184" s="508">
        <f>IF(H184="","",_xlfn.XLOOKUP(H184,$H$4:H183,$G$4:G183,""))</f>
        <v>44991.625</v>
      </c>
      <c r="H184" s="502" t="s">
        <v>111</v>
      </c>
      <c r="I184" s="180" t="s">
        <v>63</v>
      </c>
      <c r="J184" s="149"/>
      <c r="K184" s="150" t="s">
        <v>43</v>
      </c>
      <c r="L184" s="151">
        <v>3.7</v>
      </c>
      <c r="M184" s="152">
        <v>20.399999999999999</v>
      </c>
      <c r="N184" s="503">
        <v>0</v>
      </c>
      <c r="O184" s="153">
        <f>IF(OR(AE184="",AE185=""),"",ROUND(IF(L186&gt;0,IF(M184&gt;0,M184,IF(M185&gt;0,ROUND((M185*AE184)/AE185,IF(N184=0,2,IF(N184=0.1,1,0))),ROUND((M186*AE184)/AE186,IF(N184=0,2,IF(N184=0.1,1,0))))),IF(M184&gt;0,M184,ROUND((M185*AE184)/AE185,IF(N184=0,2,IF(N184=0.1,1,0))))),2))</f>
        <v>20.399999999999999</v>
      </c>
      <c r="P184" s="154">
        <f>IF(OR(L184="",O184=""),"",IF($C184="1/2W",O184/2+O184/2*L184,IF($C184="1/2L",O184/2,IF(I184="Lay",(O184*(L184/(L184-1))-O184)*(1-_xlfn.XLOOKUP(K184,'Fevereiro 2023 - Valor Real'!A3:A15,'Fevereiro 2023 - Valor Real'!C3:C15,0))+O184,(O184*L184-O184)*(1-_xlfn.XLOOKUP(K184,'Fevereiro 2023 - Valor Real'!A3:A15,'Fevereiro 2023 - Valor Real'!C3:C15,0))+O184))))</f>
        <v>75.48</v>
      </c>
      <c r="Q184" s="155">
        <f>IF(K184="","",IF(_xlfn.XLOOKUP(K184,K$4:K183,$DJ$4:DJ183,0,,-1)=DJ184,_xlfn.XLOOKUP(K184,K$4:K183,Q$4:Q183,1,,-1)+1,1))</f>
        <v>2</v>
      </c>
      <c r="R184" s="156">
        <f>IF(K184="","",_xlfn.XLOOKUP(K184,K$4:K183,R$4:R183,0,,-1)+IF($C184=" ",1,0))</f>
        <v>0</v>
      </c>
      <c r="S184" s="501">
        <f>IF($B184="Anulado",0,ROUND(IF(OR($B184="LOSS",$B184="OK"),IF(OR($C184="W",$C184="1/2W",$C184="1/2L"),P184-O184,IF($C184="L",-O184,0))+IF(OR($C185="W",$C185="1/2W",$C185="1/2L"),P185-O185,IF($C185="L",-O185,0))+IF(OR($C186="W",$C186="1/2W",$C186="1/2L"),P186-O186,IF($C186="L",-O186,0)),IF(AND(OR($C184="W",$C184="1/2W",$C184="1/2L"),C185="W"),P184+P185-SUM(O184:O186)+_xlfn.XLOOKUP("X",C184:C186,O184:O186,0),IF(AND(C184=TRUE,C186="W"),P184+P186-SUM(O184:O186),IF(AND(C185="W",C186="W"),P185+P186-SUM(O184:O186)+_xlfn.XLOOKUP("X",C184:C186,O184:O186,0),IF(L186&gt;0,IF(OR($C184="W",$C184="1/2W",$C184="1/2L"),P184-SUM(O184:O186)+_xlfn.XLOOKUP("X",C184:C186,O184:O186,0),IF(OR($C184="W",$C184="1/2W",$C184="1/2L"),P185-SUM(O184:O186)+_xlfn.XLOOKUP("X",C184:C186,O184:O186,0),IF(OR($C184="W",$C184="1/2W",$C184="1/2L"),P186-SUM(O184:O186)+_xlfn.XLOOKUP("X",C184:C186,O184:O186,0),IF(SUM(P184:P186)/3-SUM(O184:O186)+_xlfn.XLOOKUP("X",C184:C186,O184:O186,0)&gt;0,SUM(P184:P186)/3-SUM(O184:O186)+_xlfn.XLOOKUP("X",C184:C186,O184:O186,0),LARGE(P184:P186,1)-SUM(O184:O186))))),IF(OR($C184="W",$C184="1/2W",$C184="1/2L"),P184-SUM(O184:O185)+_xlfn.XLOOKUP("X",C184:C186,O184:O186,0),IF(OR($C184="W",$C184="1/2W",$C184="1/2L"),P185-SUM(O184:O185)+_xlfn.XLOOKUP("X",C184:C186,O184:O186,0),SUM(P184:P185)/2-SUM(O184:O185)+_xlfn.XLOOKUP("X",C184:C186,O184:O186,0)))))))),2))</f>
        <v>3.08</v>
      </c>
      <c r="T184" s="486">
        <f>IF(S184=0,0,S184/SUM(O184:O186))</f>
        <v>4.2541436464088395E-2</v>
      </c>
      <c r="U184" s="496">
        <f>IF($D184=$D181,IF(OR($B184="LOSS",$B184="OK",$B184="Anulada"),S184,0)+U181,IF(OR($B184="LOSS",$B184="OK",$B184="Anulada"),S184,0))</f>
        <v>22.36</v>
      </c>
      <c r="V184" s="496">
        <f>IF($D184="",0,IF($D184=$D181,IF($B184=" ",IF(I186="",IF(OR(AND(I184="DNB1",I185="DNB2"),AND(OR(I184="DNB1",I184="DNB2"),J185=0),AND(OR(I185="DNB1",I185="DNB2"),J184=0),AND(I184="DNB2",I185="DNB1"),AND(IF(J184=0,(J184+1)/ROUND(J184+1,0),J184/ROUND(J184,0))=1,IF(J185=0,(J185+1)/ROUND(IF(J185="",0,J185)+1,0),IF(J185="",0,J185)/ROUND(IF(J185="",1,J185),0))=1,OR(J184&lt;&gt;""),J185&lt;&gt;"")),0,IF(S184&lt;0,IF(I186="",SMALL(P184:P185,1)-SUM(O184:O185),0),SMALL(P184:P185,1)-SUM(O184:O185))),IF(S184&lt;0,IF(I186="",SMALL(P184:P186,1)-SUM(O184:O186),0),LARGE(P184:P186,1)-SUM(O184:O186))),S184)+V181,IF(I186="",IF(OR(AND(I184="DNB1",I185="DNB2"),AND(OR(I184="DNB1",I184="DNB2"),J185=0),AND(OR(I185="DNB1",I185="DNB2"),J184=0),AND(I184="DNB2",I185="DNB1"),AND(IF(J184=0,(J184+1)/ROUND(J184+1,0),J184/ROUND(J184,0))=1,IF(J185=0,(IF(J185="",0,J185)+1)/ROUND(IF(J185="",0,J185)+1,0),IF(J185="",0,J185)/ROUND(IF(J185="",0,J185)+1,0))=1,OR(J184&lt;&gt;""),J185&lt;&gt;"")),0,IF(S184&lt;0,IF(I186="",SMALL(P184:P185,1)-SUM(O184:O185),0),SMALL(P184:P186,1)-SUM(O184:O186))),IF(S184&lt;0,IF(I186="",SMALL(P184:P186,1)-SUM(O184:O186),0),LARGE(P184:P186,1)-SUM(O184:O186)))))</f>
        <v>22.35199999999999</v>
      </c>
      <c r="W184" s="496">
        <f>IF($D184=$D181,IF(S184&lt;0,IF(I186="",S184,0),S184)+W181,S184)</f>
        <v>22.36</v>
      </c>
      <c r="X184" s="505" t="str">
        <f>IF(OR(SUM(R184:R186)=0,V184=W184),ROUND(IF(W184=0,0,W184/Y184)*100,2)&amp;"%",ROUND(IF(V184=0,0,V184/Y184)*100,2)&amp;"% a "&amp;ROUND(IF(W184=0,0,W184/Y184)*100,2)&amp;"%")</f>
        <v>5,53%</v>
      </c>
      <c r="Y184" s="497">
        <f>IF($D184=$D181,Y181+SUM(O184:O186),SUM(O184:O186))</f>
        <v>404.22</v>
      </c>
      <c r="Z184" s="496">
        <f>IF($B184=" ",SUM(O184:O186),0)+Z181</f>
        <v>0</v>
      </c>
      <c r="AA184" s="496">
        <f>IF(G184="","",IF($B184="Anulado",LARGE(P184:P186,1)-SUM(O184:O186)+AA181,AA181))</f>
        <v>1.4607999999999972</v>
      </c>
      <c r="AB184" s="496">
        <f>IF($D184="","",AB181+S184)</f>
        <v>162.20999999999995</v>
      </c>
      <c r="AC184" s="499">
        <f ca="1">IF($D184="","",IF($B184=" ",IF(DAY(G184)=DAY(TODAY()),1+AC181,0+AC181),0+AC181))</f>
        <v>0</v>
      </c>
      <c r="AD184" s="157">
        <f>(1-_xlfn.XLOOKUP(K182,'Fevereiro 2023 - Valor Real'!A3:A15,'Fevereiro 2023 - Valor Real'!C3:C15,0))+1</f>
        <v>2</v>
      </c>
      <c r="AE184" s="158">
        <f>IF(L184="","",IF(L186&gt;0,(SUM(((L184-1)*(1-_xlfn.XLOOKUP(K184,'Fevereiro 2023 - Valor Real'!A3:A15,'Fevereiro 2023 - Valor Real'!C3:C15,0))+1),((L185-1)*(1-_xlfn.XLOOKUP(K185,'Fevereiro 2023 - Valor Real'!A3:A15,'Fevereiro 2023 - Valor Real'!C3:C15,0))+1),((L186-1)*(1-_xlfn.XLOOKUP(K186,'Fevereiro 2023 - Valor Real'!A3:A15,'Fevereiro 2023 - Valor Real'!C3:C15,0))+1))/((L184-1)*(1-_xlfn.XLOOKUP(K184,'Fevereiro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Real'!C3:C15,0))+1))/((L184-1)*(1-_xlfn.XLOOKUP(K184,'Fevereiro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Real'!C3:C15,0))+1))/((L185-1)*(1-_xlfn.XLOOKUP(K185,'Fevereiro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Real'!C3:C15,0))+1))/((L186-1)*(1-_xlfn.XLOOKUP(K186,'Fevereiro 2023 - Valor Real'!A3:A15,'Fevereiro 2023 - Valor Real'!C3:C15,0))+1)),IF(I184="Lay",IF(I185="Lay",((L185/(L185-1)-1)*(1-_xlfn.XLOOKUP(K185,'Fevereiro 2023 - Valor Real'!A3:A15,'Fevereiro 2023 - Valor Real'!C3:C15,0))+1)/(((L185/(L185-1)-1)*(1-_xlfn.XLOOKUP(K185,'Fevereiro 2023 - Valor Real'!A3:A15,'Fevereiro 2023 - Valor Real'!C3:C15,0))+1)+((L184/(L184-1)-1)*(1-_xlfn.XLOOKUP(K184,'Fevereiro 2023 - Valor Real'!A3:A15,'Fevereiro 2023 - Valor Real'!C3:C15,0))+1)),((L185-1)*(1-_xlfn.XLOOKUP(K185,'Fevereiro 2023 - Valor Real'!A3:A15,'Fevereiro 2023 - Valor Real'!C3:C15,0))+1)/(((L185-1)*(1-_xlfn.XLOOKUP(K185,'Fevereiro 2023 - Valor Real'!A3:A15,'Fevereiro 2023 - Valor Real'!C3:C15,0))+1)+((L184/(L184-1)-1)*(1-_xlfn.XLOOKUP(K184,'Fevereiro 2023 - Valor Real'!A3:A15,'Fevereiro 2023 - Valor Real'!C3:C15,0))+1))),IF(I185="Lay",(((L185/(L185-1)-1)*(1-_xlfn.XLOOKUP(K185,'Fevereiro 2023 - Valor Real'!A3:A15,'Fevereiro 2023 - Valor Real'!C3:C15,0))+1))/(((L184-1)*(1-_xlfn.XLOOKUP(K184,'Fevereiro 2023 - Valor Real'!A3:A15,'Fevereiro 2023 - Valor Real'!C3:C15,0))+1)+((L185/(L185-1)-1)*(1-_xlfn.XLOOKUP(K185,'Fevereiro 2023 - Valor Real'!A3:A15,'Fevereiro 2023 - Valor Real'!C3:C15,0))+1)),((L185-1)*(1-_xlfn.XLOOKUP(K185,'Fevereiro 2023 - Valor Real'!A3:A15,'Fevereiro 2023 - Valor Real'!C3:C15,0))+1)/(((L185-1)*(1-_xlfn.XLOOKUP(K185,'Fevereiro 2023 - Valor Real'!A3:A15,'Fevereiro 2023 - Valor Real'!C3:C15,0))+1)+((L184-1)*(1-_xlfn.XLOOKUP(K184,'Fevereiro 2023 - Valor Real'!A3:A15,'Fevereiro 2023 - Valor Real'!C3:C15,0))+1))))))</f>
        <v>0.16842794629833596</v>
      </c>
      <c r="AF184" s="66">
        <f t="shared" ref="AF184:AR193" si="366">IF($K184=AF$3,ROUND(IF(OR($C184="W",$C184="1/2W",$C184="1/2L"),$P184-$O184,IF($C184="X",0,-$O184)),2),0)</f>
        <v>0</v>
      </c>
      <c r="AG184" s="67">
        <f t="shared" si="366"/>
        <v>0</v>
      </c>
      <c r="AH184" s="67">
        <f t="shared" si="366"/>
        <v>0</v>
      </c>
      <c r="AI184" s="67">
        <f t="shared" si="366"/>
        <v>0</v>
      </c>
      <c r="AJ184" s="67">
        <f t="shared" si="366"/>
        <v>0</v>
      </c>
      <c r="AK184" s="67">
        <f t="shared" si="366"/>
        <v>0</v>
      </c>
      <c r="AL184" s="67">
        <f t="shared" si="366"/>
        <v>0</v>
      </c>
      <c r="AM184" s="67">
        <f t="shared" si="366"/>
        <v>55.08</v>
      </c>
      <c r="AN184" s="67">
        <f t="shared" si="366"/>
        <v>0</v>
      </c>
      <c r="AO184" s="67">
        <f t="shared" si="366"/>
        <v>0</v>
      </c>
      <c r="AP184" s="67">
        <f t="shared" si="366"/>
        <v>0</v>
      </c>
      <c r="AQ184" s="67">
        <f t="shared" si="366"/>
        <v>0</v>
      </c>
      <c r="AR184" s="68">
        <f t="shared" si="366"/>
        <v>0</v>
      </c>
      <c r="AS184" s="66">
        <f t="shared" ref="AS184:BE184" si="367">IF(AND($B184=" ",$K184=AS$3),$O184,0)</f>
        <v>0</v>
      </c>
      <c r="AT184" s="67">
        <f t="shared" si="367"/>
        <v>0</v>
      </c>
      <c r="AU184" s="67">
        <f t="shared" si="367"/>
        <v>0</v>
      </c>
      <c r="AV184" s="67">
        <f t="shared" si="367"/>
        <v>0</v>
      </c>
      <c r="AW184" s="67">
        <f t="shared" si="367"/>
        <v>0</v>
      </c>
      <c r="AX184" s="67">
        <f t="shared" si="367"/>
        <v>0</v>
      </c>
      <c r="AY184" s="69">
        <f t="shared" si="367"/>
        <v>0</v>
      </c>
      <c r="AZ184" s="70">
        <f t="shared" si="367"/>
        <v>0</v>
      </c>
      <c r="BA184" s="70">
        <f t="shared" si="367"/>
        <v>0</v>
      </c>
      <c r="BB184" s="70">
        <f t="shared" si="367"/>
        <v>0</v>
      </c>
      <c r="BC184" s="71">
        <f t="shared" si="367"/>
        <v>0</v>
      </c>
      <c r="BD184" s="67">
        <f t="shared" si="367"/>
        <v>0</v>
      </c>
      <c r="BE184" s="68">
        <f t="shared" si="367"/>
        <v>0</v>
      </c>
      <c r="BF184" s="66">
        <f t="shared" ref="BF184:BR193" si="368">IF($K184=BF$3,IF($C184="X",0,$O184),0)</f>
        <v>0</v>
      </c>
      <c r="BG184" s="67">
        <f t="shared" si="368"/>
        <v>0</v>
      </c>
      <c r="BH184" s="67">
        <f t="shared" si="368"/>
        <v>0</v>
      </c>
      <c r="BI184" s="67">
        <f t="shared" si="368"/>
        <v>0</v>
      </c>
      <c r="BJ184" s="67">
        <f t="shared" si="368"/>
        <v>0</v>
      </c>
      <c r="BK184" s="67">
        <f t="shared" si="368"/>
        <v>0</v>
      </c>
      <c r="BL184" s="67">
        <f t="shared" si="368"/>
        <v>0</v>
      </c>
      <c r="BM184" s="69">
        <f t="shared" si="368"/>
        <v>20.399999999999999</v>
      </c>
      <c r="BN184" s="70">
        <f t="shared" si="368"/>
        <v>0</v>
      </c>
      <c r="BO184" s="70">
        <f t="shared" si="368"/>
        <v>0</v>
      </c>
      <c r="BP184" s="70">
        <f t="shared" si="368"/>
        <v>0</v>
      </c>
      <c r="BQ184" s="71">
        <f t="shared" si="368"/>
        <v>0</v>
      </c>
      <c r="BR184" s="68">
        <f t="shared" si="368"/>
        <v>0</v>
      </c>
      <c r="BS184" s="490">
        <f>IF($B184="LOSS",IF(AND($K184=BS$3,$C184="L"),-$O184,0)+IF(AND($K185=BS$3,$C185="L"),-$O185,0)+IF(AND($K186=BS$3,$C186="L"),-$O186,0),IF(OR(AND($K184=BS$3,OR($C184="W",$C184="1/2W")),AND($K185=BS$3,OR($C185="W",$C185="1/2W")),AND($K186=BS$3,OR($C186="W",$C186="1/2W"))),$S184,0))</f>
        <v>0</v>
      </c>
      <c r="BT184" s="498">
        <f>IF($B184="LOSS",IF(AND($K184=BT$3,$C184="L"),-$O184,0)+IF(AND($K185=BT$3,$C185="L"),-$O185,0)+IF(AND($K185=BT$3,$C186="L"),-$O186,0),IF(OR(AND($K185=BT$3,OR($C184="W",$C184="1/2W")),AND($K185=BT$3,OR($C185="W",$C185="1/2W")),AND($K185=BT$3,OR($C186="W",$C186="1/2W"))),$S184,0))</f>
        <v>0</v>
      </c>
      <c r="BU184" s="488">
        <f>IF($B184="LOSS",IF(AND($K184=BU$3,$C184="L"),-$O184,0)+IF(AND($K185=BU$3,$C185="L"),-$O185,0)+IF(AND($K185=BU$3,$C186="L"),-$O186,0),IF(OR(AND($K185=BU$3,OR($C184="W",$C184="1/2W")),AND($K185=BU$3,OR($C185="W",$C185="1/2W")),AND($K185=BU$3,OR($C186="W",$C186="1/2W"))),$S184,0))</f>
        <v>0</v>
      </c>
      <c r="BV184" s="488">
        <f t="shared" ref="BV184:CE184" si="369">IF($B184="LOSS",IF(AND($K184=BV$3,$C184="L"),-$O184,0)+IF(AND($K185=BV$3,$C185="L"),-$O185,0)+IF(AND($K186=BV$3,$C186="L"),-$O186,0),IF(OR(AND($K184=BV$3,OR($C184="W",$C184="1/2W")),AND($K185=BV$3,OR($C185="W",$C185="1/2W")),AND($K186=BV$3,OR($C186="W",$C186="1/2W"))),$S184,0))</f>
        <v>0</v>
      </c>
      <c r="BW184" s="488">
        <f t="shared" si="369"/>
        <v>0</v>
      </c>
      <c r="BX184" s="488">
        <f t="shared" si="369"/>
        <v>0</v>
      </c>
      <c r="BY184" s="488">
        <f t="shared" si="369"/>
        <v>0</v>
      </c>
      <c r="BZ184" s="488">
        <f t="shared" si="369"/>
        <v>3.08</v>
      </c>
      <c r="CA184" s="488">
        <f t="shared" si="369"/>
        <v>0</v>
      </c>
      <c r="CB184" s="488">
        <f t="shared" si="369"/>
        <v>0</v>
      </c>
      <c r="CC184" s="488">
        <f t="shared" si="369"/>
        <v>0</v>
      </c>
      <c r="CD184" s="500">
        <f t="shared" si="369"/>
        <v>0</v>
      </c>
      <c r="CE184" s="504">
        <f t="shared" si="369"/>
        <v>0</v>
      </c>
      <c r="CF184" s="160">
        <f t="shared" si="258"/>
        <v>0</v>
      </c>
      <c r="CG184" s="161">
        <f t="shared" si="259"/>
        <v>0</v>
      </c>
      <c r="CH184" s="161">
        <f t="shared" si="260"/>
        <v>0</v>
      </c>
      <c r="CI184" s="161">
        <f t="shared" si="261"/>
        <v>0</v>
      </c>
      <c r="CJ184" s="161">
        <f t="shared" si="262"/>
        <v>0</v>
      </c>
      <c r="CK184" s="161">
        <f t="shared" si="263"/>
        <v>0</v>
      </c>
      <c r="CL184" s="161">
        <f t="shared" si="264"/>
        <v>0</v>
      </c>
      <c r="CM184" s="161">
        <f t="shared" si="265"/>
        <v>0</v>
      </c>
      <c r="CN184" s="161">
        <f t="shared" si="266"/>
        <v>0</v>
      </c>
      <c r="CO184" s="161">
        <f t="shared" si="267"/>
        <v>0</v>
      </c>
      <c r="CP184" s="161">
        <f t="shared" si="268"/>
        <v>0</v>
      </c>
      <c r="CQ184" s="161">
        <f t="shared" si="269"/>
        <v>0</v>
      </c>
      <c r="CR184" s="161">
        <f t="shared" si="270"/>
        <v>0</v>
      </c>
      <c r="CS184" s="161">
        <f t="shared" si="271"/>
        <v>0</v>
      </c>
      <c r="CT184" s="75">
        <f t="shared" si="272"/>
        <v>1</v>
      </c>
      <c r="CU184" s="76">
        <f t="shared" si="273"/>
        <v>0</v>
      </c>
      <c r="CV184" s="76">
        <f t="shared" si="274"/>
        <v>0</v>
      </c>
      <c r="CW184" s="76">
        <f t="shared" si="275"/>
        <v>0</v>
      </c>
      <c r="CX184" s="76">
        <f t="shared" si="276"/>
        <v>0</v>
      </c>
      <c r="CY184" s="76">
        <f t="shared" si="277"/>
        <v>0</v>
      </c>
      <c r="CZ184" s="76">
        <f t="shared" si="278"/>
        <v>0</v>
      </c>
      <c r="DA184" s="76">
        <f t="shared" si="279"/>
        <v>0</v>
      </c>
      <c r="DB184" s="76">
        <f t="shared" si="280"/>
        <v>0</v>
      </c>
      <c r="DC184" s="76">
        <f t="shared" si="281"/>
        <v>0</v>
      </c>
      <c r="DD184" s="76">
        <f t="shared" si="282"/>
        <v>0</v>
      </c>
      <c r="DE184" s="77">
        <f t="shared" si="283"/>
        <v>0</v>
      </c>
      <c r="DF184" s="73">
        <f t="shared" si="286"/>
        <v>12</v>
      </c>
      <c r="DG184" s="67">
        <f t="shared" si="287"/>
        <v>15.760000000000002</v>
      </c>
      <c r="DH184" s="76">
        <f t="shared" si="288"/>
        <v>6</v>
      </c>
      <c r="DI184" s="67">
        <f t="shared" si="289"/>
        <v>25.63</v>
      </c>
      <c r="DJ184" s="202" t="str">
        <f>IF($D184="","",$D184)</f>
        <v>6</v>
      </c>
      <c r="DK184" s="492">
        <f>IF(AND($B184=" ",$D184&lt;&gt;""),1,0)</f>
        <v>0</v>
      </c>
    </row>
    <row r="185" spans="1:115" ht="14.5" customHeight="1" x14ac:dyDescent="0.2">
      <c r="A185" s="389"/>
      <c r="B185" s="456"/>
      <c r="C185" s="53" t="s">
        <v>55</v>
      </c>
      <c r="D185" s="374"/>
      <c r="E185" s="386"/>
      <c r="F185" s="377"/>
      <c r="G185" s="508"/>
      <c r="H185" s="476"/>
      <c r="I185" s="182" t="s">
        <v>64</v>
      </c>
      <c r="J185" s="163" t="str">
        <f>IF(OR(I184="TO",I184="TU",I184="TO1",I184="TU1",I184="TO2",I184="TU2"),J184,IF(OR(I184="AH1",I184="AH2"),IF(OR(I185="AH1",I185="AH2"),-J184,IF(OR(I185="EH1",I185="EH2"),-J184+0.5,"")),IF(OR(I184="EH1",I184="EH2"),IF(OR(I185="AH1",I185="AH2"),-J184+0.5,IF(OR(I185="EH1",I185="EH2"),-J184+1,"")),IF(AND(OR(I184="DNB1",I184="DNB2"),OR(I185="AH1",I185="AH2")),0,IF(AND(I184="Not ScoreBoth",OR(I185="TO1",I185="TO2")),0.5,"")))))</f>
        <v/>
      </c>
      <c r="K185" s="57" t="s">
        <v>40</v>
      </c>
      <c r="L185" s="164">
        <v>1.38</v>
      </c>
      <c r="M185" s="165">
        <v>40</v>
      </c>
      <c r="N185" s="406"/>
      <c r="O185" s="60">
        <f>IF(OR(AE184="",AE185=""),"",ROUND(IF(L186&gt;0,IF(M185&gt;0,M185,IF(M184&gt;0,IF(N184=TRUE,ROUND((M184*AE185)/AE184,0),(M184*AE185)/AE184),IF(M185&gt;0,ROUND(M185,IF(N184=0,2,IF(N184=0.1,1,0))),IF(M186&gt;0,ROUND(O186*AE185/AE186,IF(N184=0,2,IF(N184=0.1,1,0))),0)))),IF(M185&gt;0,M185,ROUND((M184*AE185)/AE184,IF(N184=0,2,IF(N184=0.1,1,0))))),2))</f>
        <v>40</v>
      </c>
      <c r="P185" s="61">
        <f>IF(OR(L185="",O185=""),"",IF($C185="1/2W",O185/2+O185/2*L185,IF($C185="1/2L",O185/2,IF(I185="Lay",((O185*(L185/(L185-1)))-O185)*(1-_xlfn.XLOOKUP(K185,'Fevereiro 2023 - Valor Real'!A3:A15,'Fevereiro 2023 - Valor Real'!C3:C15,0))+O185,(O185*L185-O185)*(1-_xlfn.XLOOKUP(K185,'Fevereiro 2023 - Valor Real'!A3:A15,'Fevereiro 2023 - Valor Real'!C3:C15,0))+O185))))</f>
        <v>55.199999999999996</v>
      </c>
      <c r="Q185" s="166">
        <f>IF(K185="","",IF(_xlfn.XLOOKUP(K185,K$4:K184,$DJ$4:DJ184,0,,-1)=DJ185,_xlfn.XLOOKUP(K185,K$4:K184,Q$4:Q184,1,,-1)+1,1))</f>
        <v>4</v>
      </c>
      <c r="R185" s="167">
        <f>IF(K185="","",_xlfn.XLOOKUP(K185,K$4:K184,R$4:R184,0,,-1)+IF($C185=" ",1,0))</f>
        <v>0</v>
      </c>
      <c r="S185" s="403"/>
      <c r="T185" s="380"/>
      <c r="U185" s="380"/>
      <c r="V185" s="481"/>
      <c r="W185" s="380"/>
      <c r="X185" s="452"/>
      <c r="Y185" s="383"/>
      <c r="Z185" s="384"/>
      <c r="AA185" s="384"/>
      <c r="AB185" s="384"/>
      <c r="AC185" s="384"/>
      <c r="AD185" s="64"/>
      <c r="AE185" s="65">
        <f>IF(L185="","",IF(L186&gt;0,(SUM(((L184-1)*(1-_xlfn.XLOOKUP(K184,'Fevereiro 2023 - Valor Real'!A3:A15,'Fevereiro 2023 - Valor Real'!C3:C15,0))+1),((L185-1)*(1-_xlfn.XLOOKUP(K185,'Fevereiro 2023 - Valor Real'!A3:A15,'Fevereiro 2023 - Valor Real'!C3:C15,0))+1),((L186-1)*(1-_xlfn.XLOOKUP(K186,'Fevereiro 2023 - Valor Real'!A3:A15,'Fevereiro 2023 - Valor Real'!C3:C15,0))+1))/((L185-1)*(1-_xlfn.XLOOKUP(K185,'Fevereiro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Real'!C3:C15,0))+1))/((L184-1)*(1-_xlfn.XLOOKUP(K184,'Fevereiro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Real'!C3:C15,0))+1))/((L185-1)*(1-_xlfn.XLOOKUP(K185,'Fevereiro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Real'!C3:C15,0))+1))/((L186-1)*(1-_xlfn.XLOOKUP(K186,'Fevereiro 2023 - Valor Real'!A3:A15,'Fevereiro 2023 - Valor Real'!C3:C15,0))+1)),IF(I185="Lay",IF(I184="Lay",((L184/(L184-1)-1)*(1-_xlfn.XLOOKUP(K184,'Fevereiro 2023 - Valor Real'!A3:A15,'Fevereiro 2023 - Valor Real'!C3:C15,0))+1)/(((L184/(L184-1)-1)*(1-_xlfn.XLOOKUP(K184,'Fevereiro 2023 - Valor Real'!A3:A15,'Fevereiro 2023 - Valor Real'!C3:C15,0))+1)+((L185/(L185-1)-1)*(1-_xlfn.XLOOKUP(K185,'Fevereiro 2023 - Valor Real'!A3:A15,'Fevereiro 2023 - Valor Real'!C3:C15,0))+1)),((L184-1)*(1-_xlfn.XLOOKUP(K184,'Fevereiro 2023 - Valor Real'!A3:A15,'Fevereiro 2023 - Valor Real'!C3:C15,0))+1)/(((L184-1)*(1-_xlfn.XLOOKUP(K184,'Fevereiro 2023 - Valor Real'!A3:A15,'Fevereiro 2023 - Valor Real'!C3:C15,0))+1)+((L185/(L185-1)-1)*(1-_xlfn.XLOOKUP(K185,'Fevereiro 2023 - Valor Real'!A3:A15,'Fevereiro 2023 - Valor Real'!C3:C15,0))+1))),IF(I184="Lay",((L184/(L184-1)-1)*(1-_xlfn.XLOOKUP(K184,'Fevereiro 2023 - Valor Real'!A3:A15,'Fevereiro 2023 - Valor Real'!C3:C15,0))+1)/((((L184/(L184-1)-1)*(1-_xlfn.XLOOKUP(K184,'Fevereiro 2023 - Valor Real'!A3:A15,'Fevereiro 2023 - Valor Real'!C3:C15,0))+1))+((L185-1)*(1-_xlfn.XLOOKUP(K185,'Fevereiro 2023 - Valor Real'!A3:A15,'Fevereiro 2023 - Valor Real'!C3:C15,0))+1)),((L184-1)*(1-_xlfn.XLOOKUP(K184,'Fevereiro 2023 - Valor Real'!A3:A15,'Fevereiro 2023 - Valor Real'!C3:C15,0))+1)/(((L184-1)*(1-_xlfn.XLOOKUP(K184,'Fevereiro 2023 - Valor Real'!A3:A15,'Fevereiro 2023 - Valor Real'!C3:C15,0))+1)+((L185-1)*(1-_xlfn.XLOOKUP(K185,'Fevereiro 2023 - Valor Real'!A3:A15,'Fevereiro 2023 - Valor Real'!C3:C15,0))+1))))))</f>
        <v>0.45158217485785734</v>
      </c>
      <c r="AF185" s="66">
        <f t="shared" si="366"/>
        <v>0</v>
      </c>
      <c r="AG185" s="67">
        <f t="shared" si="366"/>
        <v>0</v>
      </c>
      <c r="AH185" s="67">
        <f t="shared" si="366"/>
        <v>0</v>
      </c>
      <c r="AI185" s="67">
        <f t="shared" si="366"/>
        <v>0</v>
      </c>
      <c r="AJ185" s="67">
        <f t="shared" si="366"/>
        <v>-40</v>
      </c>
      <c r="AK185" s="67">
        <f t="shared" si="366"/>
        <v>0</v>
      </c>
      <c r="AL185" s="67">
        <f t="shared" si="366"/>
        <v>0</v>
      </c>
      <c r="AM185" s="67">
        <f t="shared" si="366"/>
        <v>0</v>
      </c>
      <c r="AN185" s="67">
        <f t="shared" si="366"/>
        <v>0</v>
      </c>
      <c r="AO185" s="67">
        <f t="shared" si="366"/>
        <v>0</v>
      </c>
      <c r="AP185" s="67">
        <f t="shared" si="366"/>
        <v>0</v>
      </c>
      <c r="AQ185" s="67">
        <f t="shared" si="366"/>
        <v>0</v>
      </c>
      <c r="AR185" s="68">
        <f t="shared" si="366"/>
        <v>0</v>
      </c>
      <c r="AS185" s="66">
        <f>IF(AND($B184=" ",$K185=AS$3),$O185,0)</f>
        <v>0</v>
      </c>
      <c r="AT185" s="67">
        <f>IF(AND($B184=" ",K185=AT$3),$O185,0)</f>
        <v>0</v>
      </c>
      <c r="AU185" s="67">
        <f t="shared" ref="AU185:BE185" si="370">IF(AND($B184=" ",$K185=AU$3),$O185,0)</f>
        <v>0</v>
      </c>
      <c r="AV185" s="67">
        <f t="shared" si="370"/>
        <v>0</v>
      </c>
      <c r="AW185" s="67">
        <f t="shared" si="370"/>
        <v>0</v>
      </c>
      <c r="AX185" s="67">
        <f t="shared" si="370"/>
        <v>0</v>
      </c>
      <c r="AY185" s="69">
        <f t="shared" si="370"/>
        <v>0</v>
      </c>
      <c r="AZ185" s="70">
        <f t="shared" si="370"/>
        <v>0</v>
      </c>
      <c r="BA185" s="70">
        <f t="shared" si="370"/>
        <v>0</v>
      </c>
      <c r="BB185" s="70">
        <f t="shared" si="370"/>
        <v>0</v>
      </c>
      <c r="BC185" s="71">
        <f t="shared" si="370"/>
        <v>0</v>
      </c>
      <c r="BD185" s="67">
        <f t="shared" si="370"/>
        <v>0</v>
      </c>
      <c r="BE185" s="68">
        <f t="shared" si="370"/>
        <v>0</v>
      </c>
      <c r="BF185" s="66">
        <f t="shared" si="368"/>
        <v>0</v>
      </c>
      <c r="BG185" s="168">
        <f t="shared" si="368"/>
        <v>0</v>
      </c>
      <c r="BH185" s="67">
        <f t="shared" si="368"/>
        <v>0</v>
      </c>
      <c r="BI185" s="67">
        <f t="shared" si="368"/>
        <v>0</v>
      </c>
      <c r="BJ185" s="67">
        <f t="shared" si="368"/>
        <v>40</v>
      </c>
      <c r="BK185" s="67">
        <f t="shared" si="368"/>
        <v>0</v>
      </c>
      <c r="BL185" s="67">
        <f t="shared" si="368"/>
        <v>0</v>
      </c>
      <c r="BM185" s="69">
        <f t="shared" si="368"/>
        <v>0</v>
      </c>
      <c r="BN185" s="70">
        <f t="shared" si="368"/>
        <v>0</v>
      </c>
      <c r="BO185" s="70">
        <f t="shared" si="368"/>
        <v>0</v>
      </c>
      <c r="BP185" s="70">
        <f t="shared" si="368"/>
        <v>0</v>
      </c>
      <c r="BQ185" s="71">
        <f t="shared" si="368"/>
        <v>0</v>
      </c>
      <c r="BR185" s="68">
        <f t="shared" si="368"/>
        <v>0</v>
      </c>
      <c r="BS185" s="491"/>
      <c r="BT185" s="489"/>
      <c r="BU185" s="392"/>
      <c r="BV185" s="489"/>
      <c r="BW185" s="392"/>
      <c r="BX185" s="392"/>
      <c r="BY185" s="392"/>
      <c r="BZ185" s="489"/>
      <c r="CA185" s="392"/>
      <c r="CB185" s="392"/>
      <c r="CC185" s="392"/>
      <c r="CD185" s="401"/>
      <c r="CE185" s="409"/>
      <c r="CF185" s="169">
        <f t="shared" si="258"/>
        <v>0</v>
      </c>
      <c r="CG185" s="170">
        <f t="shared" si="259"/>
        <v>0</v>
      </c>
      <c r="CH185" s="170">
        <f t="shared" si="260"/>
        <v>0</v>
      </c>
      <c r="CI185" s="170">
        <f t="shared" si="261"/>
        <v>0</v>
      </c>
      <c r="CJ185" s="170">
        <f t="shared" si="262"/>
        <v>0</v>
      </c>
      <c r="CK185" s="170">
        <f t="shared" si="263"/>
        <v>0</v>
      </c>
      <c r="CL185" s="170">
        <f t="shared" si="264"/>
        <v>0</v>
      </c>
      <c r="CM185" s="170">
        <f t="shared" si="265"/>
        <v>0</v>
      </c>
      <c r="CN185" s="170">
        <f t="shared" si="266"/>
        <v>0</v>
      </c>
      <c r="CO185" s="170">
        <f t="shared" si="267"/>
        <v>1</v>
      </c>
      <c r="CP185" s="170">
        <f t="shared" si="268"/>
        <v>0</v>
      </c>
      <c r="CQ185" s="170">
        <f t="shared" si="269"/>
        <v>0</v>
      </c>
      <c r="CR185" s="170">
        <f t="shared" si="270"/>
        <v>0</v>
      </c>
      <c r="CS185" s="170">
        <f t="shared" si="271"/>
        <v>0</v>
      </c>
      <c r="CT185" s="75">
        <f t="shared" si="272"/>
        <v>0</v>
      </c>
      <c r="CU185" s="76">
        <f t="shared" si="273"/>
        <v>0</v>
      </c>
      <c r="CV185" s="76">
        <f t="shared" si="274"/>
        <v>0</v>
      </c>
      <c r="CW185" s="76">
        <f t="shared" si="275"/>
        <v>0</v>
      </c>
      <c r="CX185" s="76">
        <f t="shared" si="276"/>
        <v>0</v>
      </c>
      <c r="CY185" s="76">
        <f t="shared" si="277"/>
        <v>0</v>
      </c>
      <c r="CZ185" s="76">
        <f t="shared" si="278"/>
        <v>0</v>
      </c>
      <c r="DA185" s="76">
        <f t="shared" si="279"/>
        <v>0</v>
      </c>
      <c r="DB185" s="76">
        <f t="shared" si="280"/>
        <v>0</v>
      </c>
      <c r="DC185" s="76">
        <f t="shared" si="281"/>
        <v>0</v>
      </c>
      <c r="DD185" s="76">
        <f t="shared" si="282"/>
        <v>0</v>
      </c>
      <c r="DE185" s="77">
        <f t="shared" si="283"/>
        <v>0</v>
      </c>
      <c r="DF185" s="73">
        <f t="shared" si="286"/>
        <v>12</v>
      </c>
      <c r="DG185" s="67">
        <f t="shared" si="287"/>
        <v>15.760000000000002</v>
      </c>
      <c r="DH185" s="76">
        <f t="shared" si="288"/>
        <v>6</v>
      </c>
      <c r="DI185" s="67">
        <f t="shared" si="289"/>
        <v>25.63</v>
      </c>
      <c r="DJ185" s="202" t="str">
        <f>IF($D184="","",$D184)</f>
        <v>6</v>
      </c>
      <c r="DK185" s="493"/>
    </row>
    <row r="186" spans="1:115" ht="14.5" customHeight="1" x14ac:dyDescent="0.2">
      <c r="A186" s="390"/>
      <c r="B186" s="457"/>
      <c r="C186" s="79" t="s">
        <v>55</v>
      </c>
      <c r="D186" s="375"/>
      <c r="E186" s="387"/>
      <c r="F186" s="378"/>
      <c r="G186" s="508"/>
      <c r="H186" s="477"/>
      <c r="I186" s="191">
        <v>2</v>
      </c>
      <c r="J186" s="172"/>
      <c r="K186" s="185" t="s">
        <v>40</v>
      </c>
      <c r="L186" s="186">
        <v>1.64</v>
      </c>
      <c r="M186" s="174">
        <v>12</v>
      </c>
      <c r="N186" s="407"/>
      <c r="O186" s="187">
        <f>IF(OR(AE184="",AE185=""),"",IF(L186&gt;0,ROUND(IF(M186&gt;0,M186,IF(M184&gt;0,ROUND((M184*AE186)/AE184,IF(N184=0,2,IF(N184=0.1,1,0))),IF(M185&gt;0,ROUND((M185*AE186)/AE185,IF(N184=0,2,IF(N184=0.1,1,0))),IF(M186&gt;0,M186,0)))),2),""))</f>
        <v>12</v>
      </c>
      <c r="P186" s="188">
        <f>IF(I185="Lay",O185*(L185/(L185-1))-O185,IF(I184="Lay",O184*(L184/(L184-1))-O184,IF(OR(L186="",O186=""),"",IF($C186="1/2W",O186/2+O186/2*L186,IF($C186="1/2L",O186/2,(O186*L186-O186)*(1-_xlfn.XLOOKUP(K186,'Fevereiro 2023 - Valor Real'!A3:A15,'Fevereiro 2023 - Valor Real'!C3:C15,0))+O186)))))</f>
        <v>19.68</v>
      </c>
      <c r="Q186" s="200">
        <f>IF(K186="","",IF(_xlfn.XLOOKUP(K186,K$4:K185,$DJ$4:DJ185,0,,-1)=DJ186,_xlfn.XLOOKUP(K186,K$4:K185,Q$4:Q185,1,,-1)+1,1))</f>
        <v>5</v>
      </c>
      <c r="R186" s="189">
        <f>IF(K186="","",_xlfn.XLOOKUP(K186,K$4:K185,R$4:R185,0,,-1)+IF($C186=" ",1,0))</f>
        <v>0</v>
      </c>
      <c r="S186" s="404"/>
      <c r="T186" s="378"/>
      <c r="U186" s="378"/>
      <c r="V186" s="404"/>
      <c r="W186" s="378"/>
      <c r="X186" s="453"/>
      <c r="Y186" s="383"/>
      <c r="Z186" s="384"/>
      <c r="AA186" s="384"/>
      <c r="AB186" s="384"/>
      <c r="AC186" s="384"/>
      <c r="AD186" s="90"/>
      <c r="AE186" s="190">
        <f>IF(L186="","",(SUM(((L184-1)*(1-_xlfn.XLOOKUP(K184,'Fevereiro 2023 - Valor Real'!A3:A15,'Fevereiro 2023 - Valor Real'!C3:C15,0))+1),((L185-1)*(1-_xlfn.XLOOKUP(K185,'Fevereiro 2023 - Valor Real'!A3:A15,'Fevereiro 2023 - Valor Real'!C3:C15,0))+1),((L186-1)*(1-_xlfn.XLOOKUP(K186,'Fevereiro 2023 - Valor Real'!A3:A15,'Fevereiro 2023 - Valor Real'!C3:C15,0))+1))/((L186-1)*(1-_xlfn.XLOOKUP(K186,'Fevereiro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Real'!C3:C15,0))+1))/((L184-1)*(1-_xlfn.XLOOKUP(K184,'Fevereiro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Real'!C3:C15,0))+1))/((L185-1)*(1-_xlfn.XLOOKUP(K185,'Fevereiro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Real'!C3:C15,0))+1))/((L186-1)*(1-_xlfn.XLOOKUP(K186,'Fevereiro 2023 - Valor Real'!A3:A15,'Fevereiro 2023 - Valor Real'!C3:C15,0))+1)))</f>
        <v>0.37998987884380675</v>
      </c>
      <c r="AF186" s="66">
        <f t="shared" si="366"/>
        <v>0</v>
      </c>
      <c r="AG186" s="67">
        <f t="shared" si="366"/>
        <v>0</v>
      </c>
      <c r="AH186" s="67">
        <f t="shared" si="366"/>
        <v>0</v>
      </c>
      <c r="AI186" s="67">
        <f t="shared" si="366"/>
        <v>0</v>
      </c>
      <c r="AJ186" s="67">
        <f t="shared" si="366"/>
        <v>-12</v>
      </c>
      <c r="AK186" s="67">
        <f t="shared" si="366"/>
        <v>0</v>
      </c>
      <c r="AL186" s="67">
        <f t="shared" si="366"/>
        <v>0</v>
      </c>
      <c r="AM186" s="67">
        <f t="shared" si="366"/>
        <v>0</v>
      </c>
      <c r="AN186" s="67">
        <f t="shared" si="366"/>
        <v>0</v>
      </c>
      <c r="AO186" s="67">
        <f t="shared" si="366"/>
        <v>0</v>
      </c>
      <c r="AP186" s="67">
        <f t="shared" si="366"/>
        <v>0</v>
      </c>
      <c r="AQ186" s="67">
        <f t="shared" si="366"/>
        <v>0</v>
      </c>
      <c r="AR186" s="68">
        <f t="shared" si="366"/>
        <v>0</v>
      </c>
      <c r="AS186" s="66">
        <f>IF(AND($B184=" ",$K186=AS$3),$O186,0)</f>
        <v>0</v>
      </c>
      <c r="AT186" s="67">
        <f>IF(AND($B184=" ",K186=AT$3),$O186,0)</f>
        <v>0</v>
      </c>
      <c r="AU186" s="67">
        <f t="shared" ref="AU186:BE186" si="371">IF(AND($B184=" ",$K186=AU$3),$O186,0)</f>
        <v>0</v>
      </c>
      <c r="AV186" s="67">
        <f t="shared" si="371"/>
        <v>0</v>
      </c>
      <c r="AW186" s="67">
        <f t="shared" si="371"/>
        <v>0</v>
      </c>
      <c r="AX186" s="67">
        <f t="shared" si="371"/>
        <v>0</v>
      </c>
      <c r="AY186" s="69">
        <f t="shared" si="371"/>
        <v>0</v>
      </c>
      <c r="AZ186" s="70">
        <f t="shared" si="371"/>
        <v>0</v>
      </c>
      <c r="BA186" s="70">
        <f t="shared" si="371"/>
        <v>0</v>
      </c>
      <c r="BB186" s="70">
        <f t="shared" si="371"/>
        <v>0</v>
      </c>
      <c r="BC186" s="71">
        <f t="shared" si="371"/>
        <v>0</v>
      </c>
      <c r="BD186" s="67">
        <f t="shared" si="371"/>
        <v>0</v>
      </c>
      <c r="BE186" s="68">
        <f t="shared" si="371"/>
        <v>0</v>
      </c>
      <c r="BF186" s="66">
        <f t="shared" si="368"/>
        <v>0</v>
      </c>
      <c r="BG186" s="168">
        <f t="shared" si="368"/>
        <v>0</v>
      </c>
      <c r="BH186" s="67">
        <f t="shared" si="368"/>
        <v>0</v>
      </c>
      <c r="BI186" s="67">
        <f t="shared" si="368"/>
        <v>0</v>
      </c>
      <c r="BJ186" s="67">
        <f t="shared" si="368"/>
        <v>12</v>
      </c>
      <c r="BK186" s="67">
        <f t="shared" si="368"/>
        <v>0</v>
      </c>
      <c r="BL186" s="67">
        <f t="shared" si="368"/>
        <v>0</v>
      </c>
      <c r="BM186" s="69">
        <f t="shared" si="368"/>
        <v>0</v>
      </c>
      <c r="BN186" s="70">
        <f t="shared" si="368"/>
        <v>0</v>
      </c>
      <c r="BO186" s="70">
        <f t="shared" si="368"/>
        <v>0</v>
      </c>
      <c r="BP186" s="70">
        <f t="shared" si="368"/>
        <v>0</v>
      </c>
      <c r="BQ186" s="71">
        <f t="shared" si="368"/>
        <v>0</v>
      </c>
      <c r="BR186" s="68">
        <f t="shared" si="368"/>
        <v>0</v>
      </c>
      <c r="BS186" s="491"/>
      <c r="BT186" s="489"/>
      <c r="BU186" s="392"/>
      <c r="BV186" s="489"/>
      <c r="BW186" s="392"/>
      <c r="BX186" s="392"/>
      <c r="BY186" s="392"/>
      <c r="BZ186" s="489"/>
      <c r="CA186" s="392"/>
      <c r="CB186" s="392"/>
      <c r="CC186" s="392"/>
      <c r="CD186" s="401"/>
      <c r="CE186" s="409"/>
      <c r="CF186" s="169">
        <f t="shared" si="258"/>
        <v>0</v>
      </c>
      <c r="CG186" s="170">
        <f t="shared" si="259"/>
        <v>0</v>
      </c>
      <c r="CH186" s="170">
        <f t="shared" si="260"/>
        <v>0</v>
      </c>
      <c r="CI186" s="170">
        <f t="shared" si="261"/>
        <v>0</v>
      </c>
      <c r="CJ186" s="170">
        <f t="shared" si="262"/>
        <v>0</v>
      </c>
      <c r="CK186" s="170">
        <f t="shared" si="263"/>
        <v>0</v>
      </c>
      <c r="CL186" s="170">
        <f t="shared" si="264"/>
        <v>0</v>
      </c>
      <c r="CM186" s="170">
        <f t="shared" si="265"/>
        <v>0</v>
      </c>
      <c r="CN186" s="170">
        <f t="shared" si="266"/>
        <v>0</v>
      </c>
      <c r="CO186" s="170">
        <f t="shared" si="267"/>
        <v>1</v>
      </c>
      <c r="CP186" s="170">
        <f t="shared" si="268"/>
        <v>0</v>
      </c>
      <c r="CQ186" s="170">
        <f t="shared" si="269"/>
        <v>0</v>
      </c>
      <c r="CR186" s="170">
        <f t="shared" si="270"/>
        <v>0</v>
      </c>
      <c r="CS186" s="170">
        <f t="shared" si="271"/>
        <v>0</v>
      </c>
      <c r="CT186" s="75">
        <f t="shared" si="272"/>
        <v>0</v>
      </c>
      <c r="CU186" s="76">
        <f t="shared" si="273"/>
        <v>0</v>
      </c>
      <c r="CV186" s="76">
        <f t="shared" si="274"/>
        <v>0</v>
      </c>
      <c r="CW186" s="76">
        <f t="shared" si="275"/>
        <v>0</v>
      </c>
      <c r="CX186" s="76">
        <f t="shared" si="276"/>
        <v>0</v>
      </c>
      <c r="CY186" s="76">
        <f t="shared" si="277"/>
        <v>0</v>
      </c>
      <c r="CZ186" s="76">
        <f t="shared" si="278"/>
        <v>0</v>
      </c>
      <c r="DA186" s="76">
        <f t="shared" si="279"/>
        <v>0</v>
      </c>
      <c r="DB186" s="76">
        <f t="shared" si="280"/>
        <v>0</v>
      </c>
      <c r="DC186" s="76">
        <f t="shared" si="281"/>
        <v>0</v>
      </c>
      <c r="DD186" s="76">
        <f t="shared" si="282"/>
        <v>0</v>
      </c>
      <c r="DE186" s="77">
        <f t="shared" si="283"/>
        <v>0</v>
      </c>
      <c r="DF186" s="73">
        <f t="shared" si="286"/>
        <v>12</v>
      </c>
      <c r="DG186" s="67">
        <f t="shared" si="287"/>
        <v>15.760000000000002</v>
      </c>
      <c r="DH186" s="76">
        <f t="shared" si="288"/>
        <v>6</v>
      </c>
      <c r="DI186" s="67">
        <f t="shared" si="289"/>
        <v>25.63</v>
      </c>
      <c r="DJ186" s="202" t="str">
        <f>IF($D184="","",$D184)</f>
        <v>6</v>
      </c>
      <c r="DK186" s="493"/>
    </row>
    <row r="187" spans="1:115" ht="14.5" customHeight="1" x14ac:dyDescent="0.2">
      <c r="A187" s="459">
        <f>$A184+1</f>
        <v>62</v>
      </c>
      <c r="B187" s="507" t="str">
        <f>IF(OR(C187="W",C188="W",C189="W",C187="1/2W",C188="1/2W",C189="1/2W",C187="1/2L",C188="1/2L",C189="1/2L"),"OK",IF(OR(C187="L",C188="L",C189="L"),"LOSS",IF(OR(C187="X",C188="X",C189="X"),"Anulado"," ")))</f>
        <v>OK</v>
      </c>
      <c r="C187" s="93" t="s">
        <v>54</v>
      </c>
      <c r="D187" s="468" t="str">
        <f>IF(G187="","",$D184)</f>
        <v>6</v>
      </c>
      <c r="E187" s="485" t="str">
        <f>IF(G187=""," ","– "&amp;COUNTIF(D$4:D189,$D187))</f>
        <v>– 5</v>
      </c>
      <c r="F187" s="509" t="str">
        <f ca="1">IF(G187="","",IF(OR(AND($C187&lt;&gt;" ",$C188=" "),AND($C188&lt;&gt;" ",$C187=" "),AND(L189&gt;0,OR(AND($C189&lt;&gt;" ",OR($C187=" ",$C188=" ")),AND($C189=" ",OR($C187&lt;&gt;" ",$C188&lt;&gt;" "))))),IF(SUM(F$6:F182)=0,1,LARGE(F$6:F182,1)+1),IF(MONTH(G187)=MONTH(TODAY()),IF(AND(DAY(G187)&lt;DAY(TODAY()),$B187=" "),IF(SUM(F$6:F182)=0,1,LARGE(F$6:F182,1)+1),IF($B187=" ",IF(AND(DAY(G187)=DAY(TODAY()),HOUR(G187)&lt;=HOUR(NOW())+1),IF(AND(HOUR(G187)+2&lt;=HOUR(NOW()),DAY(G187)&lt;=DAY(TODAY()),MINUTE(G187)&lt;=MINUTE(NOW())),IF(SUM(F$6:F182)=0,1,LARGE(F$6:F182,1)+1),IF(OR(MINUTE(G187)&lt;=MINUTE(NOW()),HOUR(G187)&lt;=HOUR(NOW())),"!!!","")),""),"")),"")))</f>
        <v/>
      </c>
      <c r="G187" s="482">
        <v>44991.4375</v>
      </c>
      <c r="H187" s="475" t="s">
        <v>112</v>
      </c>
      <c r="I187" s="94" t="s">
        <v>52</v>
      </c>
      <c r="J187" s="95">
        <v>3.75</v>
      </c>
      <c r="K187" s="96" t="s">
        <v>36</v>
      </c>
      <c r="L187" s="97">
        <v>1.9</v>
      </c>
      <c r="M187" s="98">
        <v>11.67</v>
      </c>
      <c r="N187" s="478">
        <v>0</v>
      </c>
      <c r="O187" s="99">
        <f>IF(OR(AE187="",AE188=""),"",ROUND(IF(L189&gt;0,IF(M187&gt;0,M187,IF(M188&gt;0,ROUND((M188*AE187)/AE188,IF(N187=0,2,IF(N187=0.1,1,0))),ROUND((M189*AE187)/AE189,IF(N187=0,2,IF(N187=0.1,1,0))))),IF(M187&gt;0,M187,ROUND((M188*AE187)/AE188,IF(N187=0,2,IF(N187=0.1,1,0))))),2))</f>
        <v>11.67</v>
      </c>
      <c r="P187" s="100">
        <f>IF(OR(L187="",O187=""),"",IF($C187="1/2W",O187/2+O187/2*L187,IF($C187="1/2L",O187/2,IF(I187="Lay",(O187*(L187/(L187-1))-O187)*(1-_xlfn.XLOOKUP(K187,'Fevereiro 2023 - Valor Real'!A3:A15,'Fevereiro 2023 - Valor Real'!C3:C15,0))+O187,(O187*L187-O187)*(1-_xlfn.XLOOKUP(K187,'Fevereiro 2023 - Valor Real'!A3:A15,'Fevereiro 2023 - Valor Real'!C3:C15,0))+O187))))</f>
        <v>22.172999999999998</v>
      </c>
      <c r="Q187" s="177">
        <f>IF(K187="","",IF(_xlfn.XLOOKUP(K187,K$6:K182,$DJ$6:DJ182,0,,-1)=DJ187,_xlfn.XLOOKUP(K187,K$6:K182,Q$6:Q182,1,,-1)+1,1))</f>
        <v>1</v>
      </c>
      <c r="R187" s="102">
        <f>IF(K187="","",_xlfn.XLOOKUP(K187,K$6:K182,R$6:R182,0,,-1)+IF($C187=" ",1,0))</f>
        <v>0</v>
      </c>
      <c r="S187" s="474">
        <f>IF($B187="Anulado",0,ROUND(IF(OR($B187="LOSS",$B187="OK"),IF(OR($C187="W",$C187="1/2W",$C187="1/2L"),P187-O187,IF($C187="L",-O187,0))+IF(OR($C188="W",$C188="1/2W",$C188="1/2L"),P188-O188,IF($C188="L",-O188,0))+IF(OR($C189="W",$C189="1/2W",$C189="1/2L"),P189-O189,IF($C189="L",-O189,0)),IF(AND(OR($C187="W",$C187="1/2W",$C187="1/2L"),C188="W"),P187+P188-SUM(O187:O189)+_xlfn.XLOOKUP("X",C187:C189,O187:O189,0),IF(AND(C187=TRUE,C189="W"),P187+P189-SUM(O187:O189),IF(AND(C188="W",C189="W"),P188+P189-SUM(O187:O189)+_xlfn.XLOOKUP("X",C187:C189,O187:O189,0),IF(L189&gt;0,IF(OR($C187="W",$C187="1/2W",$C187="1/2L"),P187-SUM(O187:O189)+_xlfn.XLOOKUP("X",C187:C189,O187:O189,0),IF(OR($C187="W",$C187="1/2W",$C187="1/2L"),P188-SUM(O187:O189)+_xlfn.XLOOKUP("X",C187:C189,O187:O189,0),IF(OR($C187="W",$C187="1/2W",$C187="1/2L"),P189-SUM(O187:O189)+_xlfn.XLOOKUP("X",C187:C189,O187:O189,0),IF(SUM(P187:P189)/3-SUM(O187:O189)+_xlfn.XLOOKUP("X",C187:C189,O187:O189,0)&gt;0,SUM(P187:P189)/3-SUM(O187:O189)+_xlfn.XLOOKUP("X",C187:C189,O187:O189,0),LARGE(P187:P189,1)-SUM(O187:O189))))),IF(OR($C187="W",$C187="1/2W",$C187="1/2L"),P187-SUM(O187:O188)+_xlfn.XLOOKUP("X",C187:C189,O187:O189,0),IF(OR($C187="W",$C187="1/2W",$C187="1/2L"),P188-SUM(O187:O188)+_xlfn.XLOOKUP("X",C187:C189,O187:O189,0),SUM(P187:P188)/2-SUM(O187:O188)+_xlfn.XLOOKUP("X",C187:C189,O187:O189,0)))))))),2))</f>
        <v>1.61</v>
      </c>
      <c r="T187" s="458">
        <f>IF(S187=0,0,S187/SUM(O187:O189))</f>
        <v>7.8307392996108949E-2</v>
      </c>
      <c r="U187" s="470">
        <f>IF($D187=$D184,IF(OR($B187="LOSS",$B187="OK",$B187="Anulada"),S187,0)+U184,IF(OR($B187="LOSS",$B187="OK",$B187="Anulada"),S187,0))</f>
        <v>23.97</v>
      </c>
      <c r="V187" s="470">
        <f>IF($D187="",0,IF($D187=$D184,IF($B187=" ",IF(I189="",IF(OR(AND(I187="DNB1",I188="DNB2"),AND(OR(I187="DNB1",I187="DNB2"),J188=0),AND(OR(I188="DNB1",I188="DNB2"),J187=0),AND(I187="DNB2",I188="DNB1"),AND(IF(J187=0,(J187+1)/ROUND(J187+1,0),J187/ROUND(J187,0))=1,IF(J188=0,(J188+1)/ROUND(IF(J188="",0,J188)+1,0),IF(J188="",0,J188)/ROUND(IF(J188="",1,J188),0))=1,OR(J187&lt;&gt;""),J188&lt;&gt;"")),0,IF(S187&lt;0,IF(I189="",SMALL(P187:P188,1)-SUM(O187:O188),0),SMALL(P187:P188,1)-SUM(O187:O188))),IF(S187&lt;0,IF(I189="",SMALL(P187:P189,1)-SUM(O187:O189),0),LARGE(P187:P189,1)-SUM(O187:O189))),S187)+V184,IF(I189="",IF(OR(AND(I187="DNB1",I188="DNB2"),AND(OR(I187="DNB1",I187="DNB2"),J188=0),AND(OR(I188="DNB1",I188="DNB2"),J187=0),AND(I187="DNB2",I188="DNB1"),AND(IF(J187=0,(J187+1)/ROUND(J187+1,0),J187/ROUND(J187,0))=1,IF(J188=0,(IF(J188="",0,J188)+1)/ROUND(IF(J188="",0,J188)+1,0),IF(J188="",0,J188)/ROUND(IF(J188="",0,J188)+1,0))=1,OR(J187&lt;&gt;""),J188&lt;&gt;"")),0,IF(S187&lt;0,IF(I189="",SMALL(P187:P188,1)-SUM(O187:O188),0),SMALL(P187:P189,1)-SUM(O187:O189))),IF(S187&lt;0,IF(I189="",SMALL(P187:P189,1)-SUM(O187:O189),0),LARGE(P187:P189,1)-SUM(O187:O189)))))</f>
        <v>23.961999999999989</v>
      </c>
      <c r="W187" s="470">
        <f>IF($D187=$D184,IF(S187&lt;0,IF(I189="",S187,0),S187)+W184,S187)</f>
        <v>23.97</v>
      </c>
      <c r="X187" s="480" t="str">
        <f>IF(OR(SUM(R187:R189)=0,V187=W187),ROUND(IF(W187=0,0,W187/Y187)*100,2)&amp;"%",ROUND(IF(V187=0,0,V187/Y187)*100,2)&amp;"% a "&amp;ROUND(IF(W187=0,0,W187/Y187)*100,2)&amp;"%")</f>
        <v>5,64%</v>
      </c>
      <c r="Y187" s="471">
        <f>IF($D187=$D184,Y184+SUM(O187:O189),SUM(O187:O189))</f>
        <v>424.78000000000003</v>
      </c>
      <c r="Z187" s="470">
        <f>IF($B187=" ",SUM(O187:O189),0)+Z184</f>
        <v>0</v>
      </c>
      <c r="AA187" s="470">
        <f>IF(G187="","",IF($B187="Anulado",LARGE(P187:P189,1)-SUM(O187:O189)+AA184,AA184))</f>
        <v>1.4607999999999972</v>
      </c>
      <c r="AB187" s="470">
        <f>IF($D187="","",AB184+S187)</f>
        <v>163.81999999999996</v>
      </c>
      <c r="AC187" s="472">
        <f ca="1">IF($D187="","",IF($B187=" ",IF(DAY(G187)=DAY(TODAY()),1+AC184,0+AC184),0+AC184))</f>
        <v>0</v>
      </c>
      <c r="AD187" s="103">
        <f>(((L188/(L188-1)-1)*(1-_xlfn.XLOOKUP(K188,'Fevereiro 2023 - Valor Real'!A3:A15,'Fevereiro 2023 - Valor Real'!C3:C15,0))+1))/(((L187-1)*(1-_xlfn.XLOOKUP(K187,'Fevereiro 2023 - Valor Real'!A3:A15,'Fevereiro 2023 - Valor Real'!C3:C15,0))+1)+((L188/(L188-1)-1)*(1-_xlfn.XLOOKUP(K188,'Fevereiro 2023 - Valor Real'!A3:A15,'Fevereiro 2023 - Valor Real'!C3:C15,0))+1))</f>
        <v>0.49107142857142855</v>
      </c>
      <c r="AE187" s="104">
        <f>IF(L187="","",IF(L189&gt;0,(SUM(((L187-1)*(1-_xlfn.XLOOKUP(K187,'Fevereiro 2023 - Valor Real'!A3:A15,'Fevereiro 2023 - Valor Real'!C3:C15,0))+1),((L188-1)*(1-_xlfn.XLOOKUP(K188,'Fevereiro 2023 - Valor Real'!A3:A15,'Fevereiro 2023 - Valor Real'!C3:C15,0))+1),((L189-1)*(1-_xlfn.XLOOKUP(K189,'Fevereiro 2023 - Valor Real'!A3:A15,'Fevereiro 2023 - Valor Real'!C3:C15,0))+1))/((L187-1)*(1-_xlfn.XLOOKUP(K187,'Fevereiro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Real'!C3:C15,0))+1))/((L187-1)*(1-_xlfn.XLOOKUP(K187,'Fevereiro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Real'!C3:C15,0))+1))/((L188-1)*(1-_xlfn.XLOOKUP(K188,'Fevereiro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Real'!C3:C15,0))+1))/((L189-1)*(1-_xlfn.XLOOKUP(K189,'Fevereiro 2023 - Valor Real'!A3:A15,'Fevereiro 2023 - Valor Real'!C3:C15,0))+1)),IF(I187="Lay",IF(I188="Lay",((L188/(L188-1)-1)*(1-_xlfn.XLOOKUP(K188,'Fevereiro 2023 - Valor Real'!A3:A15,'Fevereiro 2023 - Valor Real'!C3:C15,0))+1)/(((L188/(L188-1)-1)*(1-_xlfn.XLOOKUP(K188,'Fevereiro 2023 - Valor Real'!A3:A15,'Fevereiro 2023 - Valor Real'!C3:C15,0))+1)+((L187/(L187-1)-1)*(1-_xlfn.XLOOKUP(K187,'Fevereiro 2023 - Valor Real'!A3:A15,'Fevereiro 2023 - Valor Real'!C3:C15,0))+1)),((L188-1)*(1-_xlfn.XLOOKUP(K188,'Fevereiro 2023 - Valor Real'!A3:A15,'Fevereiro 2023 - Valor Real'!C3:C15,0))+1)/(((L188-1)*(1-_xlfn.XLOOKUP(K188,'Fevereiro 2023 - Valor Real'!A3:A15,'Fevereiro 2023 - Valor Real'!C3:C15,0))+1)+((L187/(L187-1)-1)*(1-_xlfn.XLOOKUP(K187,'Fevereiro 2023 - Valor Real'!A3:A15,'Fevereiro 2023 - Valor Real'!C3:C15,0))+1))),IF(I188="Lay",(((L188/(L188-1)-1)*(1-_xlfn.XLOOKUP(K188,'Fevereiro 2023 - Valor Real'!A3:A15,'Fevereiro 2023 - Valor Real'!C3:C15,0))+1))/(((L187-1)*(1-_xlfn.XLOOKUP(K187,'Fevereiro 2023 - Valor Real'!A3:A15,'Fevereiro 2023 - Valor Real'!C3:C15,0))+1)+((L188/(L188-1)-1)*(1-_xlfn.XLOOKUP(K188,'Fevereiro 2023 - Valor Real'!A3:A15,'Fevereiro 2023 - Valor Real'!C3:C15,0))+1)),((L188-1)*(1-_xlfn.XLOOKUP(K188,'Fevereiro 2023 - Valor Real'!A3:A15,'Fevereiro 2023 - Valor Real'!C3:C15,0))+1)/(((L188-1)*(1-_xlfn.XLOOKUP(K188,'Fevereiro 2023 - Valor Real'!A3:A15,'Fevereiro 2023 - Valor Real'!C3:C15,0))+1)+((L187-1)*(1-_xlfn.XLOOKUP(K187,'Fevereiro 2023 - Valor Real'!A3:A15,'Fevereiro 2023 - Valor Real'!C3:C15,0))+1))))))</f>
        <v>0.42759961127308066</v>
      </c>
      <c r="AF187" s="105">
        <f t="shared" si="366"/>
        <v>10.5</v>
      </c>
      <c r="AG187" s="106">
        <f t="shared" si="366"/>
        <v>0</v>
      </c>
      <c r="AH187" s="106">
        <f t="shared" si="366"/>
        <v>0</v>
      </c>
      <c r="AI187" s="106">
        <f t="shared" si="366"/>
        <v>0</v>
      </c>
      <c r="AJ187" s="106">
        <f t="shared" si="366"/>
        <v>0</v>
      </c>
      <c r="AK187" s="106">
        <f t="shared" si="366"/>
        <v>0</v>
      </c>
      <c r="AL187" s="106">
        <f t="shared" si="366"/>
        <v>0</v>
      </c>
      <c r="AM187" s="106">
        <f t="shared" si="366"/>
        <v>0</v>
      </c>
      <c r="AN187" s="106">
        <f t="shared" si="366"/>
        <v>0</v>
      </c>
      <c r="AO187" s="106">
        <f t="shared" si="366"/>
        <v>0</v>
      </c>
      <c r="AP187" s="106">
        <f t="shared" si="366"/>
        <v>0</v>
      </c>
      <c r="AQ187" s="106">
        <f t="shared" si="366"/>
        <v>0</v>
      </c>
      <c r="AR187" s="107">
        <f t="shared" si="366"/>
        <v>0</v>
      </c>
      <c r="AS187" s="105">
        <f t="shared" ref="AS187:BE187" si="372">IF(AND($B187=" ",$K187=AS$3),$O187,0)</f>
        <v>0</v>
      </c>
      <c r="AT187" s="106">
        <f t="shared" si="372"/>
        <v>0</v>
      </c>
      <c r="AU187" s="106">
        <f t="shared" si="372"/>
        <v>0</v>
      </c>
      <c r="AV187" s="106">
        <f t="shared" si="372"/>
        <v>0</v>
      </c>
      <c r="AW187" s="106">
        <f t="shared" si="372"/>
        <v>0</v>
      </c>
      <c r="AX187" s="106">
        <f t="shared" si="372"/>
        <v>0</v>
      </c>
      <c r="AY187" s="108">
        <f t="shared" si="372"/>
        <v>0</v>
      </c>
      <c r="AZ187" s="109">
        <f t="shared" si="372"/>
        <v>0</v>
      </c>
      <c r="BA187" s="109">
        <f t="shared" si="372"/>
        <v>0</v>
      </c>
      <c r="BB187" s="109">
        <f t="shared" si="372"/>
        <v>0</v>
      </c>
      <c r="BC187" s="110">
        <f t="shared" si="372"/>
        <v>0</v>
      </c>
      <c r="BD187" s="106">
        <f t="shared" si="372"/>
        <v>0</v>
      </c>
      <c r="BE187" s="107">
        <f t="shared" si="372"/>
        <v>0</v>
      </c>
      <c r="BF187" s="111">
        <f t="shared" si="368"/>
        <v>11.67</v>
      </c>
      <c r="BG187" s="106">
        <f t="shared" si="368"/>
        <v>0</v>
      </c>
      <c r="BH187" s="106">
        <f t="shared" si="368"/>
        <v>0</v>
      </c>
      <c r="BI187" s="106">
        <f t="shared" si="368"/>
        <v>0</v>
      </c>
      <c r="BJ187" s="106">
        <f t="shared" si="368"/>
        <v>0</v>
      </c>
      <c r="BK187" s="106">
        <f t="shared" si="368"/>
        <v>0</v>
      </c>
      <c r="BL187" s="106">
        <f t="shared" si="368"/>
        <v>0</v>
      </c>
      <c r="BM187" s="108">
        <f t="shared" si="368"/>
        <v>0</v>
      </c>
      <c r="BN187" s="109">
        <f t="shared" si="368"/>
        <v>0</v>
      </c>
      <c r="BO187" s="109">
        <f t="shared" si="368"/>
        <v>0</v>
      </c>
      <c r="BP187" s="109">
        <f t="shared" si="368"/>
        <v>0</v>
      </c>
      <c r="BQ187" s="110">
        <f t="shared" si="368"/>
        <v>0</v>
      </c>
      <c r="BR187" s="107">
        <f t="shared" si="368"/>
        <v>0</v>
      </c>
      <c r="BS187" s="463">
        <f>IF($B187="LOSS",IF(AND($K187=BS$3,$C187="L"),-$O187,0)+IF(AND($K188=BS$3,$C188="L"),-$O188,0)+IF(AND($K189=BS$3,$C189="L"),-$O189,0),IF(OR(AND($K187=BS$3,OR($C187="W",$C187="1/2W")),AND($K188=BS$3,OR($C188="W",$C188="1/2W")),AND($K189=BS$3,OR($C189="W",$C189="1/2W"))),$S187,0))</f>
        <v>1.61</v>
      </c>
      <c r="BT187" s="462">
        <f>IF($B187="LOSS",IF(AND($K187=BT$3,$C187="L"),-$O187,0)+IF(AND($K188=BT$3,$C188="L"),-$O188,0)+IF(AND($K188=BT$3,$C189="L"),-$O189,0),IF(OR(AND($K188=BT$3,OR($C187="W",$C187="1/2W")),AND($K188=BT$3,OR($C188="W",$C188="1/2W")),AND($K188=BT$3,OR($C189="W",$C189="1/2W"))),$S187,0))</f>
        <v>1.61</v>
      </c>
      <c r="BU187" s="462">
        <f>IF($B187="LOSS",IF(AND($K187=BU$3,$C187="L"),-$O187,0)+IF(AND($K188=BU$3,$C188="L"),-$O188,0)+IF(AND($K188=BU$3,$C189="L"),-$O189,0),IF(OR(AND($K188=BU$3,OR($C187="W",$C187="1/2W")),AND($K188=BU$3,OR($C188="W",$C188="1/2W")),AND($K188=BU$3,OR($C189="W",$C189="1/2W"))),$S187,0))</f>
        <v>0</v>
      </c>
      <c r="BV187" s="462">
        <f t="shared" ref="BV187:CE187" si="373">IF($B187="LOSS",IF(AND($K187=BV$3,$C187="L"),-$O187,0)+IF(AND($K188=BV$3,$C188="L"),-$O188,0)+IF(AND($K189=BV$3,$C189="L"),-$O189,0),IF(OR(AND($K187=BV$3,OR($C187="W",$C187="1/2W")),AND($K188=BV$3,OR($C188="W",$C188="1/2W")),AND($K189=BV$3,OR($C189="W",$C189="1/2W"))),$S187,0))</f>
        <v>0</v>
      </c>
      <c r="BW187" s="462">
        <f t="shared" si="373"/>
        <v>0</v>
      </c>
      <c r="BX187" s="462">
        <f t="shared" si="373"/>
        <v>0</v>
      </c>
      <c r="BY187" s="462">
        <f t="shared" si="373"/>
        <v>0</v>
      </c>
      <c r="BZ187" s="460">
        <f t="shared" si="373"/>
        <v>0</v>
      </c>
      <c r="CA187" s="460">
        <f t="shared" si="373"/>
        <v>0</v>
      </c>
      <c r="CB187" s="460">
        <f t="shared" si="373"/>
        <v>0</v>
      </c>
      <c r="CC187" s="460">
        <f t="shared" si="373"/>
        <v>0</v>
      </c>
      <c r="CD187" s="473">
        <f t="shared" si="373"/>
        <v>0</v>
      </c>
      <c r="CE187" s="479">
        <f t="shared" si="373"/>
        <v>0</v>
      </c>
      <c r="CF187" s="113">
        <f t="shared" si="258"/>
        <v>1</v>
      </c>
      <c r="CG187" s="114">
        <f t="shared" si="259"/>
        <v>0</v>
      </c>
      <c r="CH187" s="114">
        <f t="shared" si="260"/>
        <v>0</v>
      </c>
      <c r="CI187" s="114">
        <f t="shared" si="261"/>
        <v>0</v>
      </c>
      <c r="CJ187" s="114">
        <f t="shared" si="262"/>
        <v>0</v>
      </c>
      <c r="CK187" s="114">
        <f t="shared" si="263"/>
        <v>0</v>
      </c>
      <c r="CL187" s="114">
        <f t="shared" si="264"/>
        <v>0</v>
      </c>
      <c r="CM187" s="114">
        <f t="shared" si="265"/>
        <v>0</v>
      </c>
      <c r="CN187" s="114">
        <f t="shared" si="266"/>
        <v>0</v>
      </c>
      <c r="CO187" s="114">
        <f t="shared" si="267"/>
        <v>0</v>
      </c>
      <c r="CP187" s="114">
        <f t="shared" si="268"/>
        <v>0</v>
      </c>
      <c r="CQ187" s="114">
        <f t="shared" si="269"/>
        <v>0</v>
      </c>
      <c r="CR187" s="114">
        <f t="shared" si="270"/>
        <v>0</v>
      </c>
      <c r="CS187" s="114">
        <f t="shared" si="271"/>
        <v>0</v>
      </c>
      <c r="CT187" s="115">
        <f t="shared" si="272"/>
        <v>0</v>
      </c>
      <c r="CU187" s="116">
        <f t="shared" si="273"/>
        <v>0</v>
      </c>
      <c r="CV187" s="116">
        <f t="shared" si="274"/>
        <v>0</v>
      </c>
      <c r="CW187" s="116">
        <f t="shared" si="275"/>
        <v>0</v>
      </c>
      <c r="CX187" s="116">
        <f t="shared" si="276"/>
        <v>0</v>
      </c>
      <c r="CY187" s="116">
        <f t="shared" si="277"/>
        <v>0</v>
      </c>
      <c r="CZ187" s="116">
        <f t="shared" si="278"/>
        <v>0</v>
      </c>
      <c r="DA187" s="116">
        <f t="shared" si="279"/>
        <v>0</v>
      </c>
      <c r="DB187" s="116">
        <f t="shared" si="280"/>
        <v>0</v>
      </c>
      <c r="DC187" s="116">
        <f t="shared" si="281"/>
        <v>0</v>
      </c>
      <c r="DD187" s="116">
        <f t="shared" si="282"/>
        <v>0</v>
      </c>
      <c r="DE187" s="117">
        <f t="shared" si="283"/>
        <v>0</v>
      </c>
      <c r="DF187" s="118">
        <f t="shared" si="286"/>
        <v>12</v>
      </c>
      <c r="DG187" s="106">
        <f t="shared" si="287"/>
        <v>15.760000000000002</v>
      </c>
      <c r="DH187" s="116">
        <f t="shared" si="288"/>
        <v>6</v>
      </c>
      <c r="DI187" s="106">
        <f t="shared" si="289"/>
        <v>25.63</v>
      </c>
      <c r="DJ187" s="201" t="str">
        <f>IF($D187="","",$D187)</f>
        <v>6</v>
      </c>
      <c r="DK187" s="465">
        <f>IF(AND($B187=" ",$D187&lt;&gt;""),1,0)</f>
        <v>0</v>
      </c>
    </row>
    <row r="188" spans="1:115" ht="14.5" customHeight="1" x14ac:dyDescent="0.2">
      <c r="A188" s="389"/>
      <c r="B188" s="456"/>
      <c r="C188" s="120" t="s">
        <v>55</v>
      </c>
      <c r="D188" s="374"/>
      <c r="E188" s="386"/>
      <c r="F188" s="377"/>
      <c r="G188" s="483"/>
      <c r="H188" s="476"/>
      <c r="I188" s="121" t="s">
        <v>51</v>
      </c>
      <c r="J188" s="122">
        <v>3.5</v>
      </c>
      <c r="K188" s="123" t="s">
        <v>37</v>
      </c>
      <c r="L188" s="124">
        <v>2.2000000000000002</v>
      </c>
      <c r="M188" s="125">
        <v>7.43</v>
      </c>
      <c r="N188" s="406"/>
      <c r="O188" s="126">
        <f>IF(OR(AE187="",AE188=""),"",ROUND(IF(L189&gt;0,IF(M188&gt;0,M188,IF(M187&gt;0,IF(N187=TRUE,ROUND((M187*AE188)/AE187,0),(M187*AE188)/AE187),IF(M188&gt;0,ROUND(M188,IF(N187=0,2,IF(N187=0.1,1,0))),IF(M189&gt;0,ROUND(O189*AE188/AE189,IF(N187=0,2,IF(N187=0.1,1,0))),0)))),IF(M188&gt;0,M188,ROUND((M187*AE188)/AE187,IF(N187=0,2,IF(N187=0.1,1,0))))),2))</f>
        <v>7.43</v>
      </c>
      <c r="P188" s="127">
        <f>IF(OR(L188="",O188=""),"",IF($C188="1/2W",O188/2+O188/2*L188,IF($C188="1/2L",O188/2,IF(I188="Lay",((O188*(L188/(L188-1)))-O188)*(1-_xlfn.XLOOKUP(K188,'Fevereiro 2023 - Valor Real'!A3:A15,'Fevereiro 2023 - Valor Real'!C3:C15,0))+O188,(O188*L188-O188)*(1-_xlfn.XLOOKUP(K188,'Fevereiro 2023 - Valor Real'!A3:A15,'Fevereiro 2023 - Valor Real'!C3:C15,0))+O188))))</f>
        <v>16.346</v>
      </c>
      <c r="Q188" s="128">
        <f>IF(K188="","",IF(_xlfn.XLOOKUP(K188,K$7:K182,$DJ$7:DJ182,0,,-1)=DJ188,_xlfn.XLOOKUP(K188,K$7:K182,Q$7:Q182,1,,-1)+1,1))</f>
        <v>2</v>
      </c>
      <c r="R188" s="129">
        <f>IF(K188="","",_xlfn.XLOOKUP(K188,K$7:K182,R$7:R182,0,,-1)+IF($C188=" ",1,0))</f>
        <v>0</v>
      </c>
      <c r="S188" s="403"/>
      <c r="T188" s="380"/>
      <c r="U188" s="380"/>
      <c r="V188" s="481"/>
      <c r="W188" s="380"/>
      <c r="X188" s="452"/>
      <c r="Y188" s="383"/>
      <c r="Z188" s="384"/>
      <c r="AA188" s="384"/>
      <c r="AB188" s="384"/>
      <c r="AC188" s="384"/>
      <c r="AD188" s="130">
        <f>(((L188/(L188-1)-1)*(1-_xlfn.XLOOKUP(K188,'Fevereiro 2023 - Valor Real'!A3:A15,'Fevereiro 2023 - Valor Real'!C3:C15,0))+1))</f>
        <v>1.8333333333333333</v>
      </c>
      <c r="AE188" s="131">
        <f>IF(L188="","",IF(L189&gt;0,(SUM(((L187-1)*(1-_xlfn.XLOOKUP(K187,'Fevereiro 2023 - Valor Real'!A3:A15,'Fevereiro 2023 - Valor Real'!C3:C15,0))+1),((L188-1)*(1-_xlfn.XLOOKUP(K188,'Fevereiro 2023 - Valor Real'!A3:A15,'Fevereiro 2023 - Valor Real'!C3:C15,0))+1),((L189-1)*(1-_xlfn.XLOOKUP(K189,'Fevereiro 2023 - Valor Real'!A3:A15,'Fevereiro 2023 - Valor Real'!C3:C15,0))+1))/((L188-1)*(1-_xlfn.XLOOKUP(K188,'Fevereiro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Real'!C3:C15,0))+1))/((L187-1)*(1-_xlfn.XLOOKUP(K187,'Fevereiro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Real'!C3:C15,0))+1))/((L188-1)*(1-_xlfn.XLOOKUP(K188,'Fevereiro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Real'!C3:C15,0))+1))/((L189-1)*(1-_xlfn.XLOOKUP(K189,'Fevereiro 2023 - Valor Real'!A3:A15,'Fevereiro 2023 - Valor Real'!C3:C15,0))+1)),IF(I188="Lay",IF(I187="Lay",((L187/(L187-1)-1)*(1-_xlfn.XLOOKUP(K187,'Fevereiro 2023 - Valor Real'!A3:A15,'Fevereiro 2023 - Valor Real'!C3:C15,0))+1)/(((L187/(L187-1)-1)*(1-_xlfn.XLOOKUP(K187,'Fevereiro 2023 - Valor Real'!A3:A15,'Fevereiro 2023 - Valor Real'!C3:C15,0))+1)+((L188/(L188-1)-1)*(1-_xlfn.XLOOKUP(K188,'Fevereiro 2023 - Valor Real'!A3:A15,'Fevereiro 2023 - Valor Real'!C3:C15,0))+1)),((L187-1)*(1-_xlfn.XLOOKUP(K187,'Fevereiro 2023 - Valor Real'!A3:A15,'Fevereiro 2023 - Valor Real'!C3:C15,0))+1)/(((L187-1)*(1-_xlfn.XLOOKUP(K187,'Fevereiro 2023 - Valor Real'!A3:A15,'Fevereiro 2023 - Valor Real'!C3:C15,0))+1)+((L188/(L188-1)-1)*(1-_xlfn.XLOOKUP(K188,'Fevereiro 2023 - Valor Real'!A3:A15,'Fevereiro 2023 - Valor Real'!C3:C15,0))+1))),IF(I187="Lay",((L187/(L187-1)-1)*(1-_xlfn.XLOOKUP(K187,'Fevereiro 2023 - Valor Real'!A3:A15,'Fevereiro 2023 - Valor Real'!C3:C15,0))+1)/((((L187/(L187-1)-1)*(1-_xlfn.XLOOKUP(K187,'Fevereiro 2023 - Valor Real'!A3:A15,'Fevereiro 2023 - Valor Real'!C3:C15,0))+1))+((L188-1)*(1-_xlfn.XLOOKUP(K188,'Fevereiro 2023 - Valor Real'!A3:A15,'Fevereiro 2023 - Valor Real'!C3:C15,0))+1)),((L187-1)*(1-_xlfn.XLOOKUP(K187,'Fevereiro 2023 - Valor Real'!A3:A15,'Fevereiro 2023 - Valor Real'!C3:C15,0))+1)/(((L187-1)*(1-_xlfn.XLOOKUP(K187,'Fevereiro 2023 - Valor Real'!A3:A15,'Fevereiro 2023 - Valor Real'!C3:C15,0))+1)+((L188-1)*(1-_xlfn.XLOOKUP(K188,'Fevereiro 2023 - Valor Real'!A3:A15,'Fevereiro 2023 - Valor Real'!C3:C15,0))+1))))))</f>
        <v>0.36929057337220594</v>
      </c>
      <c r="AF188" s="105">
        <f t="shared" si="366"/>
        <v>0</v>
      </c>
      <c r="AG188" s="106">
        <f t="shared" si="366"/>
        <v>-7.43</v>
      </c>
      <c r="AH188" s="106">
        <f t="shared" si="366"/>
        <v>0</v>
      </c>
      <c r="AI188" s="106">
        <f t="shared" si="366"/>
        <v>0</v>
      </c>
      <c r="AJ188" s="106">
        <f t="shared" si="366"/>
        <v>0</v>
      </c>
      <c r="AK188" s="106">
        <f t="shared" si="366"/>
        <v>0</v>
      </c>
      <c r="AL188" s="106">
        <f t="shared" si="366"/>
        <v>0</v>
      </c>
      <c r="AM188" s="106">
        <f t="shared" si="366"/>
        <v>0</v>
      </c>
      <c r="AN188" s="106">
        <f t="shared" si="366"/>
        <v>0</v>
      </c>
      <c r="AO188" s="106">
        <f t="shared" si="366"/>
        <v>0</v>
      </c>
      <c r="AP188" s="106">
        <f t="shared" si="366"/>
        <v>0</v>
      </c>
      <c r="AQ188" s="106">
        <f t="shared" si="366"/>
        <v>0</v>
      </c>
      <c r="AR188" s="107">
        <f t="shared" si="366"/>
        <v>0</v>
      </c>
      <c r="AS188" s="105">
        <f>IF(AND($B187=" ",$K188=AS$3),$O188,0)</f>
        <v>0</v>
      </c>
      <c r="AT188" s="106">
        <f>IF(AND($B187=" ",K188=AT$3),$O188,0)</f>
        <v>0</v>
      </c>
      <c r="AU188" s="106">
        <f t="shared" ref="AU188:BE188" si="374">IF(AND($B187=" ",$K188=AU$3),$O188,0)</f>
        <v>0</v>
      </c>
      <c r="AV188" s="106">
        <f t="shared" si="374"/>
        <v>0</v>
      </c>
      <c r="AW188" s="106">
        <f t="shared" si="374"/>
        <v>0</v>
      </c>
      <c r="AX188" s="106">
        <f t="shared" si="374"/>
        <v>0</v>
      </c>
      <c r="AY188" s="108">
        <f t="shared" si="374"/>
        <v>0</v>
      </c>
      <c r="AZ188" s="109">
        <f t="shared" si="374"/>
        <v>0</v>
      </c>
      <c r="BA188" s="109">
        <f t="shared" si="374"/>
        <v>0</v>
      </c>
      <c r="BB188" s="109">
        <f t="shared" si="374"/>
        <v>0</v>
      </c>
      <c r="BC188" s="110">
        <f t="shared" si="374"/>
        <v>0</v>
      </c>
      <c r="BD188" s="106">
        <f t="shared" si="374"/>
        <v>0</v>
      </c>
      <c r="BE188" s="107">
        <f t="shared" si="374"/>
        <v>0</v>
      </c>
      <c r="BF188" s="105">
        <f t="shared" si="368"/>
        <v>0</v>
      </c>
      <c r="BG188" s="106">
        <f t="shared" si="368"/>
        <v>7.43</v>
      </c>
      <c r="BH188" s="106">
        <f t="shared" si="368"/>
        <v>0</v>
      </c>
      <c r="BI188" s="106">
        <f t="shared" si="368"/>
        <v>0</v>
      </c>
      <c r="BJ188" s="106">
        <f t="shared" si="368"/>
        <v>0</v>
      </c>
      <c r="BK188" s="106">
        <f t="shared" si="368"/>
        <v>0</v>
      </c>
      <c r="BL188" s="106">
        <f t="shared" si="368"/>
        <v>0</v>
      </c>
      <c r="BM188" s="132">
        <f t="shared" si="368"/>
        <v>0</v>
      </c>
      <c r="BN188" s="112">
        <f t="shared" si="368"/>
        <v>0</v>
      </c>
      <c r="BO188" s="112">
        <f t="shared" si="368"/>
        <v>0</v>
      </c>
      <c r="BP188" s="112">
        <f t="shared" si="368"/>
        <v>0</v>
      </c>
      <c r="BQ188" s="110">
        <f t="shared" si="368"/>
        <v>0</v>
      </c>
      <c r="BR188" s="107">
        <f t="shared" si="368"/>
        <v>0</v>
      </c>
      <c r="BS188" s="464"/>
      <c r="BT188" s="461"/>
      <c r="BU188" s="392"/>
      <c r="BV188" s="461"/>
      <c r="BW188" s="392"/>
      <c r="BX188" s="392"/>
      <c r="BY188" s="392"/>
      <c r="BZ188" s="461"/>
      <c r="CA188" s="392"/>
      <c r="CB188" s="392"/>
      <c r="CC188" s="392"/>
      <c r="CD188" s="401"/>
      <c r="CE188" s="409"/>
      <c r="CF188" s="133">
        <f t="shared" si="258"/>
        <v>0</v>
      </c>
      <c r="CG188" s="134">
        <f t="shared" si="259"/>
        <v>0</v>
      </c>
      <c r="CH188" s="134">
        <f t="shared" si="260"/>
        <v>0</v>
      </c>
      <c r="CI188" s="134">
        <f t="shared" si="261"/>
        <v>1</v>
      </c>
      <c r="CJ188" s="134">
        <f t="shared" si="262"/>
        <v>0</v>
      </c>
      <c r="CK188" s="134">
        <f t="shared" si="263"/>
        <v>0</v>
      </c>
      <c r="CL188" s="134">
        <f t="shared" si="264"/>
        <v>0</v>
      </c>
      <c r="CM188" s="134">
        <f t="shared" si="265"/>
        <v>0</v>
      </c>
      <c r="CN188" s="134">
        <f t="shared" si="266"/>
        <v>0</v>
      </c>
      <c r="CO188" s="134">
        <f t="shared" si="267"/>
        <v>0</v>
      </c>
      <c r="CP188" s="134">
        <f t="shared" si="268"/>
        <v>0</v>
      </c>
      <c r="CQ188" s="134">
        <f t="shared" si="269"/>
        <v>0</v>
      </c>
      <c r="CR188" s="134">
        <f t="shared" si="270"/>
        <v>0</v>
      </c>
      <c r="CS188" s="134">
        <f t="shared" si="271"/>
        <v>0</v>
      </c>
      <c r="CT188" s="115">
        <f t="shared" si="272"/>
        <v>0</v>
      </c>
      <c r="CU188" s="116">
        <f t="shared" si="273"/>
        <v>0</v>
      </c>
      <c r="CV188" s="116">
        <f t="shared" si="274"/>
        <v>0</v>
      </c>
      <c r="CW188" s="116">
        <f t="shared" si="275"/>
        <v>0</v>
      </c>
      <c r="CX188" s="116">
        <f t="shared" si="276"/>
        <v>0</v>
      </c>
      <c r="CY188" s="116">
        <f t="shared" si="277"/>
        <v>0</v>
      </c>
      <c r="CZ188" s="116">
        <f t="shared" si="278"/>
        <v>0</v>
      </c>
      <c r="DA188" s="116">
        <f t="shared" si="279"/>
        <v>0</v>
      </c>
      <c r="DB188" s="116">
        <f t="shared" si="280"/>
        <v>0</v>
      </c>
      <c r="DC188" s="116">
        <f t="shared" si="281"/>
        <v>0</v>
      </c>
      <c r="DD188" s="116">
        <f t="shared" si="282"/>
        <v>0</v>
      </c>
      <c r="DE188" s="117">
        <f t="shared" si="283"/>
        <v>0</v>
      </c>
      <c r="DF188" s="118">
        <f t="shared" si="286"/>
        <v>12</v>
      </c>
      <c r="DG188" s="106">
        <f t="shared" si="287"/>
        <v>15.760000000000002</v>
      </c>
      <c r="DH188" s="116">
        <f t="shared" si="288"/>
        <v>6</v>
      </c>
      <c r="DI188" s="106">
        <f t="shared" si="289"/>
        <v>25.63</v>
      </c>
      <c r="DJ188" s="201" t="str">
        <f>IF($D187="","",$D187)</f>
        <v>6</v>
      </c>
      <c r="DK188" s="466"/>
    </row>
    <row r="189" spans="1:115" ht="14.5" customHeight="1" x14ac:dyDescent="0.2">
      <c r="A189" s="390"/>
      <c r="B189" s="457"/>
      <c r="C189" s="135" t="s">
        <v>55</v>
      </c>
      <c r="D189" s="375"/>
      <c r="E189" s="387"/>
      <c r="F189" s="378"/>
      <c r="G189" s="484"/>
      <c r="H189" s="477"/>
      <c r="I189" s="203" t="s">
        <v>51</v>
      </c>
      <c r="J189" s="204">
        <v>4.5</v>
      </c>
      <c r="K189" s="193" t="s">
        <v>37</v>
      </c>
      <c r="L189" s="194">
        <v>4</v>
      </c>
      <c r="M189" s="140">
        <v>1.46</v>
      </c>
      <c r="N189" s="407"/>
      <c r="O189" s="195">
        <f>IF(OR(AE187="",AE188=""),"",IF(L189&gt;0,ROUND(IF(M189&gt;0,M189,IF(M187&gt;0,ROUND((M187*AE189)/AE187,IF(N187=0,2,IF(N187=0.1,1,0))),IF(M188&gt;0,ROUND((M188*AE189)/AE188,IF(N187=0,2,IF(N187=0.1,1,0))),IF(M189&gt;0,M189,0)))),2),""))</f>
        <v>1.46</v>
      </c>
      <c r="P189" s="196">
        <f>IF(I188="Lay",O188*(L188/(L188-1))-O188,IF(I187="Lay",O187*(L187/(L187-1))-O187,IF(OR(L189="",O189=""),"",IF($C189="1/2W",O189/2+O189/2*L189,IF($C189="1/2L",O189/2,(O189*L189-O189)*(1-_xlfn.XLOOKUP(K189,'Fevereiro 2023 - Valor Real'!A3:A15,'Fevereiro 2023 - Valor Real'!C3:C15,0))+O189)))))</f>
        <v>5.84</v>
      </c>
      <c r="Q189" s="197">
        <f>IF(K189="","",IF(_xlfn.XLOOKUP(K189,K$8:K182,$DJ$8:DJ182,0,,-1)=DJ189,_xlfn.XLOOKUP(K189,K$8:K182,Q$8:Q182,1,,-1)+1,1))</f>
        <v>2</v>
      </c>
      <c r="R189" s="198">
        <f>IF(K189="","",_xlfn.XLOOKUP(K189,K$8:K182,R$8:R182,0,,-1)+IF($C189=" ",1,0))</f>
        <v>0</v>
      </c>
      <c r="S189" s="404"/>
      <c r="T189" s="378"/>
      <c r="U189" s="378"/>
      <c r="V189" s="404"/>
      <c r="W189" s="378"/>
      <c r="X189" s="453"/>
      <c r="Y189" s="383"/>
      <c r="Z189" s="384"/>
      <c r="AA189" s="384"/>
      <c r="AB189" s="384"/>
      <c r="AC189" s="384"/>
      <c r="AD189" s="145">
        <f>((L188/(L188-1)-1))</f>
        <v>0.83333333333333326</v>
      </c>
      <c r="AE189" s="199">
        <f>IF(L189="","",(SUM(((L187-1)*(1-_xlfn.XLOOKUP(K187,'Fevereiro 2023 - Valor Real'!A3:A15,'Fevereiro 2023 - Valor Real'!C3:C15,0))+1),((L188-1)*(1-_xlfn.XLOOKUP(K188,'Fevereiro 2023 - Valor Real'!A3:A15,'Fevereiro 2023 - Valor Real'!C3:C15,0))+1),((L189-1)*(1-_xlfn.XLOOKUP(K189,'Fevereiro 2023 - Valor Real'!A3:A15,'Fevereiro 2023 - Valor Real'!C3:C15,0))+1))/((L189-1)*(1-_xlfn.XLOOKUP(K189,'Fevereiro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Real'!C3:C15,0))+1))/((L187-1)*(1-_xlfn.XLOOKUP(K187,'Fevereiro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Real'!C3:C15,0))+1))/((L188-1)*(1-_xlfn.XLOOKUP(K188,'Fevereiro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Real'!C3:C15,0))+1))/((L189-1)*(1-_xlfn.XLOOKUP(K189,'Fevereiro 2023 - Valor Real'!A3:A15,'Fevereiro 2023 - Valor Real'!C3:C15,0))+1)))</f>
        <v>0.20310981535471329</v>
      </c>
      <c r="AF189" s="105">
        <f t="shared" si="366"/>
        <v>0</v>
      </c>
      <c r="AG189" s="106">
        <f t="shared" si="366"/>
        <v>-1.46</v>
      </c>
      <c r="AH189" s="106">
        <f t="shared" si="366"/>
        <v>0</v>
      </c>
      <c r="AI189" s="106">
        <f t="shared" si="366"/>
        <v>0</v>
      </c>
      <c r="AJ189" s="106">
        <f t="shared" si="366"/>
        <v>0</v>
      </c>
      <c r="AK189" s="106">
        <f t="shared" si="366"/>
        <v>0</v>
      </c>
      <c r="AL189" s="106">
        <f t="shared" si="366"/>
        <v>0</v>
      </c>
      <c r="AM189" s="106">
        <f t="shared" si="366"/>
        <v>0</v>
      </c>
      <c r="AN189" s="106">
        <f t="shared" si="366"/>
        <v>0</v>
      </c>
      <c r="AO189" s="106">
        <f t="shared" si="366"/>
        <v>0</v>
      </c>
      <c r="AP189" s="106">
        <f t="shared" si="366"/>
        <v>0</v>
      </c>
      <c r="AQ189" s="106">
        <f t="shared" si="366"/>
        <v>0</v>
      </c>
      <c r="AR189" s="107">
        <f t="shared" si="366"/>
        <v>0</v>
      </c>
      <c r="AS189" s="105">
        <f>IF(AND($B187=" ",$K189=AS$3),$O189,0)</f>
        <v>0</v>
      </c>
      <c r="AT189" s="106">
        <f>IF(AND($B187=" ",K189=AT$3),$O189,0)</f>
        <v>0</v>
      </c>
      <c r="AU189" s="106">
        <f t="shared" ref="AU189:BE189" si="375">IF(AND($B187=" ",$K189=AU$3),$O189,0)</f>
        <v>0</v>
      </c>
      <c r="AV189" s="106">
        <f t="shared" si="375"/>
        <v>0</v>
      </c>
      <c r="AW189" s="106">
        <f t="shared" si="375"/>
        <v>0</v>
      </c>
      <c r="AX189" s="106">
        <f t="shared" si="375"/>
        <v>0</v>
      </c>
      <c r="AY189" s="108">
        <f t="shared" si="375"/>
        <v>0</v>
      </c>
      <c r="AZ189" s="109">
        <f t="shared" si="375"/>
        <v>0</v>
      </c>
      <c r="BA189" s="109">
        <f t="shared" si="375"/>
        <v>0</v>
      </c>
      <c r="BB189" s="109">
        <f t="shared" si="375"/>
        <v>0</v>
      </c>
      <c r="BC189" s="110">
        <f t="shared" si="375"/>
        <v>0</v>
      </c>
      <c r="BD189" s="106">
        <f t="shared" si="375"/>
        <v>0</v>
      </c>
      <c r="BE189" s="107">
        <f t="shared" si="375"/>
        <v>0</v>
      </c>
      <c r="BF189" s="105">
        <f t="shared" si="368"/>
        <v>0</v>
      </c>
      <c r="BG189" s="106">
        <f t="shared" si="368"/>
        <v>1.46</v>
      </c>
      <c r="BH189" s="106">
        <f t="shared" si="368"/>
        <v>0</v>
      </c>
      <c r="BI189" s="106">
        <f t="shared" si="368"/>
        <v>0</v>
      </c>
      <c r="BJ189" s="106">
        <f t="shared" si="368"/>
        <v>0</v>
      </c>
      <c r="BK189" s="106">
        <f t="shared" si="368"/>
        <v>0</v>
      </c>
      <c r="BL189" s="106">
        <f t="shared" si="368"/>
        <v>0</v>
      </c>
      <c r="BM189" s="108">
        <f t="shared" si="368"/>
        <v>0</v>
      </c>
      <c r="BN189" s="109">
        <f t="shared" si="368"/>
        <v>0</v>
      </c>
      <c r="BO189" s="109">
        <f t="shared" si="368"/>
        <v>0</v>
      </c>
      <c r="BP189" s="109">
        <f t="shared" si="368"/>
        <v>0</v>
      </c>
      <c r="BQ189" s="110">
        <f t="shared" si="368"/>
        <v>0</v>
      </c>
      <c r="BR189" s="107">
        <f t="shared" si="368"/>
        <v>0</v>
      </c>
      <c r="BS189" s="464"/>
      <c r="BT189" s="461"/>
      <c r="BU189" s="392"/>
      <c r="BV189" s="461"/>
      <c r="BW189" s="392"/>
      <c r="BX189" s="392"/>
      <c r="BY189" s="392"/>
      <c r="BZ189" s="461"/>
      <c r="CA189" s="392"/>
      <c r="CB189" s="392"/>
      <c r="CC189" s="392"/>
      <c r="CD189" s="401"/>
      <c r="CE189" s="409"/>
      <c r="CF189" s="133">
        <f t="shared" si="258"/>
        <v>0</v>
      </c>
      <c r="CG189" s="134">
        <f t="shared" si="259"/>
        <v>0</v>
      </c>
      <c r="CH189" s="134">
        <f t="shared" si="260"/>
        <v>0</v>
      </c>
      <c r="CI189" s="134">
        <f t="shared" si="261"/>
        <v>1</v>
      </c>
      <c r="CJ189" s="134">
        <f t="shared" si="262"/>
        <v>0</v>
      </c>
      <c r="CK189" s="134">
        <f t="shared" si="263"/>
        <v>0</v>
      </c>
      <c r="CL189" s="134">
        <f t="shared" si="264"/>
        <v>0</v>
      </c>
      <c r="CM189" s="134">
        <f t="shared" si="265"/>
        <v>0</v>
      </c>
      <c r="CN189" s="134">
        <f t="shared" si="266"/>
        <v>0</v>
      </c>
      <c r="CO189" s="134">
        <f t="shared" si="267"/>
        <v>0</v>
      </c>
      <c r="CP189" s="134">
        <f t="shared" si="268"/>
        <v>0</v>
      </c>
      <c r="CQ189" s="134">
        <f t="shared" si="269"/>
        <v>0</v>
      </c>
      <c r="CR189" s="134">
        <f t="shared" si="270"/>
        <v>0</v>
      </c>
      <c r="CS189" s="134">
        <f t="shared" si="271"/>
        <v>0</v>
      </c>
      <c r="CT189" s="115">
        <f t="shared" si="272"/>
        <v>0</v>
      </c>
      <c r="CU189" s="116">
        <f t="shared" si="273"/>
        <v>0</v>
      </c>
      <c r="CV189" s="116">
        <f t="shared" si="274"/>
        <v>0</v>
      </c>
      <c r="CW189" s="116">
        <f t="shared" si="275"/>
        <v>0</v>
      </c>
      <c r="CX189" s="116">
        <f t="shared" si="276"/>
        <v>0</v>
      </c>
      <c r="CY189" s="116">
        <f t="shared" si="277"/>
        <v>0</v>
      </c>
      <c r="CZ189" s="116">
        <f t="shared" si="278"/>
        <v>0</v>
      </c>
      <c r="DA189" s="116">
        <f t="shared" si="279"/>
        <v>0</v>
      </c>
      <c r="DB189" s="116">
        <f t="shared" si="280"/>
        <v>0</v>
      </c>
      <c r="DC189" s="116">
        <f t="shared" si="281"/>
        <v>0</v>
      </c>
      <c r="DD189" s="116">
        <f t="shared" si="282"/>
        <v>0</v>
      </c>
      <c r="DE189" s="117">
        <f t="shared" si="283"/>
        <v>0</v>
      </c>
      <c r="DF189" s="118">
        <f t="shared" si="286"/>
        <v>12</v>
      </c>
      <c r="DG189" s="106">
        <f t="shared" si="287"/>
        <v>15.760000000000002</v>
      </c>
      <c r="DH189" s="116">
        <f t="shared" si="288"/>
        <v>6</v>
      </c>
      <c r="DI189" s="106">
        <f t="shared" si="289"/>
        <v>25.63</v>
      </c>
      <c r="DJ189" s="201" t="str">
        <f>IF($D187="","",$D187)</f>
        <v>6</v>
      </c>
      <c r="DK189" s="466"/>
    </row>
    <row r="190" spans="1:115" ht="14.5" customHeight="1" x14ac:dyDescent="0.2">
      <c r="A190" s="487">
        <f>$A187+1</f>
        <v>63</v>
      </c>
      <c r="B190" s="506" t="str">
        <f>IF(OR(C190="W",C191="W",C192="W",C190="1/2W",C191="1/2W",C192="1/2W",C190="1/2L",C191="1/2L",C192="1/2L"),"OK",IF(OR(C190="L",C191="L",C192="L"),"LOSS",IF(OR(C190="X",C191="X",C192="X"),"Anulado"," ")))</f>
        <v>OK</v>
      </c>
      <c r="C190" s="147" t="s">
        <v>55</v>
      </c>
      <c r="D190" s="494" t="str">
        <f>IF(G190="","",$D187)</f>
        <v>6</v>
      </c>
      <c r="E190" s="511" t="str">
        <f>IF(G190=""," ","– "&amp;COUNTIF(D$4:D192,$D190))</f>
        <v>– 6</v>
      </c>
      <c r="F190" s="510" t="str">
        <f ca="1">IF(G190="","",IF(OR(AND($C190&lt;&gt;" ",$C191=" "),AND($C191&lt;&gt;" ",$C190=" "),AND(L192&gt;0,OR(AND($C192&lt;&gt;" ",OR($C190=" ",$C191=" ")),AND($C192=" ",OR($C190&lt;&gt;" ",$C191&lt;&gt;" "))))),IF(SUM(F$9:F182)=0,1,LARGE(F$9:F182,1)+1),IF(MONTH(G190)=MONTH(TODAY()),IF(AND(DAY(G190)&lt;DAY(TODAY()),$B190=" "),IF(SUM(F$9:F182)=0,1,LARGE(F$9:F182,1)+1),IF($B190=" ",IF(AND(DAY(G190)=DAY(TODAY()),HOUR(G190)&lt;=HOUR(NOW())+1),IF(AND(HOUR(G190)+2&lt;=HOUR(NOW()),DAY(G190)&lt;=DAY(TODAY()),MINUTE(G190)&lt;=MINUTE(NOW())),IF(SUM(F$9:F182)=0,1,LARGE(F$9:F182,1)+1),IF(OR(MINUTE(G190)&lt;=MINUTE(NOW()),HOUR(G190)&lt;=HOUR(NOW())),"!!!","")),""),"")),"")))</f>
        <v/>
      </c>
      <c r="G190" s="508">
        <v>44991.427083333336</v>
      </c>
      <c r="H190" s="502" t="s">
        <v>113</v>
      </c>
      <c r="I190" s="148">
        <v>2</v>
      </c>
      <c r="J190" s="149"/>
      <c r="K190" s="150" t="s">
        <v>37</v>
      </c>
      <c r="L190" s="151">
        <v>2.1</v>
      </c>
      <c r="M190" s="152">
        <v>5.79</v>
      </c>
      <c r="N190" s="503">
        <v>0</v>
      </c>
      <c r="O190" s="153">
        <f>IF(OR(AE190="",AE191=""),"",ROUND(IF(L192&gt;0,IF(M190&gt;0,M190,IF(M191&gt;0,ROUND((M191*AE190)/AE191,IF(N190=0,2,IF(N190=0.1,1,0))),ROUND((M192*AE190)/AE192,IF(N190=0,2,IF(N190=0.1,1,0))))),IF(M190&gt;0,M190,ROUND((M191*AE190)/AE191,IF(N190=0,2,IF(N190=0.1,1,0))))),2))</f>
        <v>5.79</v>
      </c>
      <c r="P190" s="154">
        <f>IF(OR(L190="",O190=""),"",IF($C190="1/2W",O190/2+O190/2*L190,IF($C190="1/2L",O190/2,IF(I190="Lay",(O190*(L190/(L190-1))-O190)*(1-_xlfn.XLOOKUP(K190,'Fevereiro 2023 - Valor Real'!A3:A15,'Fevereiro 2023 - Valor Real'!C3:C15,0))+O190,(O190*L190-O190)*(1-_xlfn.XLOOKUP(K190,'Fevereiro 2023 - Valor Real'!A3:A15,'Fevereiro 2023 - Valor Real'!C3:C15,0))+O190))))</f>
        <v>12.159000000000001</v>
      </c>
      <c r="Q190" s="155">
        <f>IF(K190="","",IF(_xlfn.XLOOKUP(K190,K$9:K182,$DJ$9:DJ182,0,,-1)=DJ190,_xlfn.XLOOKUP(K190,K$9:K182,Q$9:Q182,1,,-1)+1,1))</f>
        <v>2</v>
      </c>
      <c r="R190" s="156">
        <f>IF(K190="","",_xlfn.XLOOKUP(K190,K$9:K182,R$9:R182,0,,-1)+IF($C190=" ",1,0))</f>
        <v>0</v>
      </c>
      <c r="S190" s="501">
        <f>IF($B190="Anulado",0,ROUND(IF(OR($B190="LOSS",$B190="OK"),IF(OR($C190="W",$C190="1/2W",$C190="1/2L"),P190-O190,IF($C190="L",-O190,0))+IF(OR($C191="W",$C191="1/2W",$C191="1/2L"),P191-O191,IF($C191="L",-O191,0))+IF(OR($C192="W",$C192="1/2W",$C192="1/2L"),P192-O192,IF($C192="L",-O192,0)),IF(AND(OR($C190="W",$C190="1/2W",$C190="1/2L"),C191="W"),P190+P191-SUM(O190:O192)+_xlfn.XLOOKUP("X",C190:C192,O190:O192,0),IF(AND(C190=TRUE,C192="W"),P190+P192-SUM(O190:O192),IF(AND(C191="W",C192="W"),P191+P192-SUM(O190:O192)+_xlfn.XLOOKUP("X",C190:C192,O190:O192,0),IF(L192&gt;0,IF(OR($C190="W",$C190="1/2W",$C190="1/2L"),P190-SUM(O190:O192)+_xlfn.XLOOKUP("X",C190:C192,O190:O192,0),IF(OR($C190="W",$C190="1/2W",$C190="1/2L"),P191-SUM(O190:O192)+_xlfn.XLOOKUP("X",C190:C192,O190:O192,0),IF(OR($C190="W",$C190="1/2W",$C190="1/2L"),P192-SUM(O190:O192)+_xlfn.XLOOKUP("X",C190:C192,O190:O192,0),IF(SUM(P190:P192)/3-SUM(O190:O192)+_xlfn.XLOOKUP("X",C190:C192,O190:O192,0)&gt;0,SUM(P190:P192)/3-SUM(O190:O192)+_xlfn.XLOOKUP("X",C190:C192,O190:O192,0),LARGE(P190:P192,1)-SUM(O190:O192))))),IF(OR($C190="W",$C190="1/2W",$C190="1/2L"),P190-SUM(O190:O191)+_xlfn.XLOOKUP("X",C190:C192,O190:O192,0),IF(OR($C190="W",$C190="1/2W",$C190="1/2L"),P191-SUM(O190:O191)+_xlfn.XLOOKUP("X",C190:C192,O190:O192,0),SUM(P190:P191)/2-SUM(O190:O191)+_xlfn.XLOOKUP("X",C190:C192,O190:O192,0)))))))),2))</f>
        <v>0.83</v>
      </c>
      <c r="T190" s="486">
        <f>IF(S190=0,0,S190/SUM(O190:O192))</f>
        <v>7.3386383731211327E-2</v>
      </c>
      <c r="U190" s="496">
        <f>IF($D190=$D187,IF(OR($B190="LOSS",$B190="OK",$B190="Anulada"),S190,0)+U187,IF(OR($B190="LOSS",$B190="OK",$B190="Anulada"),S190,0))</f>
        <v>24.799999999999997</v>
      </c>
      <c r="V190" s="496">
        <f>IF($D190="",0,IF($D190=$D187,IF($B190=" ",IF(I192="",IF(OR(AND(I190="DNB1",I191="DNB2"),AND(OR(I190="DNB1",I190="DNB2"),J191=0),AND(OR(I191="DNB1",I191="DNB2"),J190=0),AND(I190="DNB2",I191="DNB1"),AND(IF(J190=0,(J190+1)/ROUND(J190+1,0),J190/ROUND(J190,0))=1,IF(J191=0,(J191+1)/ROUND(IF(J191="",0,J191)+1,0),IF(J191="",0,J191)/ROUND(IF(J191="",1,J191),0))=1,OR(J190&lt;&gt;""),J191&lt;&gt;"")),0,IF(S190&lt;0,IF(I192="",SMALL(P190:P191,1)-SUM(O190:O191),0),SMALL(P190:P191,1)-SUM(O190:O191))),IF(S190&lt;0,IF(I192="",SMALL(P190:P192,1)-SUM(O190:O192),0),LARGE(P190:P192,1)-SUM(O190:O192))),S190)+V187,IF(I192="",IF(OR(AND(I190="DNB1",I191="DNB2"),AND(OR(I190="DNB1",I190="DNB2"),J191=0),AND(OR(I191="DNB1",I191="DNB2"),J190=0),AND(I190="DNB2",I191="DNB1"),AND(IF(J190=0,(J190+1)/ROUND(J190+1,0),J190/ROUND(J190,0))=1,IF(J191=0,(IF(J191="",0,J191)+1)/ROUND(IF(J191="",0,J191)+1,0),IF(J191="",0,J191)/ROUND(IF(J191="",0,J191)+1,0))=1,OR(J190&lt;&gt;""),J191&lt;&gt;"")),0,IF(S190&lt;0,IF(I192="",SMALL(P190:P191,1)-SUM(O190:O191),0),SMALL(P190:P192,1)-SUM(O190:O192))),IF(S190&lt;0,IF(I192="",SMALL(P190:P192,1)-SUM(O190:O192),0),LARGE(P190:P192,1)-SUM(O190:O192)))))</f>
        <v>24.791999999999987</v>
      </c>
      <c r="W190" s="496">
        <f>IF($D190=$D187,IF(S190&lt;0,IF(I192="",S190,0),S190)+W187,S190)</f>
        <v>24.799999999999997</v>
      </c>
      <c r="X190" s="505" t="str">
        <f>IF(OR(SUM(R190:R192)=0,V190=W190),ROUND(IF(W190=0,0,W190/Y190)*100,2)&amp;"%",ROUND(IF(V190=0,0,V190/Y190)*100,2)&amp;"% a "&amp;ROUND(IF(W190=0,0,W190/Y190)*100,2)&amp;"%")</f>
        <v>5,69%</v>
      </c>
      <c r="Y190" s="497">
        <f>IF($D190=$D187,Y187+SUM(O190:O192),SUM(O190:O192))</f>
        <v>436.09000000000003</v>
      </c>
      <c r="Z190" s="496">
        <f>IF($B190=" ",SUM(O190:O192),0)+Z187</f>
        <v>0</v>
      </c>
      <c r="AA190" s="496">
        <f>IF(G190="","",IF($B190="Anulado",LARGE(P190:P192,1)-SUM(O190:O192)+AA187,AA187))</f>
        <v>1.4607999999999972</v>
      </c>
      <c r="AB190" s="496">
        <f>IF($D190="","",AB187+S190)</f>
        <v>164.64999999999998</v>
      </c>
      <c r="AC190" s="499">
        <f ca="1">IF($D190="","",IF($B190=" ",IF(DAY(G190)=DAY(TODAY()),1+AC187,0+AC187),0+AC187))</f>
        <v>0</v>
      </c>
      <c r="AD190" s="157">
        <f>(1-_xlfn.XLOOKUP(K188,'Fevereiro 2023 - Valor Real'!A3:A15,'Fevereiro 2023 - Valor Real'!C3:C15,0))+1</f>
        <v>2</v>
      </c>
      <c r="AE190" s="158">
        <f>IF(L190="","",IF(L192&gt;0,(SUM(((L190-1)*(1-_xlfn.XLOOKUP(K190,'Fevereiro 2023 - Valor Real'!A3:A15,'Fevereiro 2023 - Valor Real'!C3:C15,0))+1),((L191-1)*(1-_xlfn.XLOOKUP(K191,'Fevereiro 2023 - Valor Real'!A3:A15,'Fevereiro 2023 - Valor Real'!C3:C15,0))+1),((L192-1)*(1-_xlfn.XLOOKUP(K192,'Fevereiro 2023 - Valor Real'!A3:A15,'Fevereiro 2023 - Valor Real'!C3:C15,0))+1))/((L190-1)*(1-_xlfn.XLOOKUP(K190,'Fevereiro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Real'!C3:C15,0))+1))/((L190-1)*(1-_xlfn.XLOOKUP(K190,'Fevereiro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Real'!C3:C15,0))+1))/((L191-1)*(1-_xlfn.XLOOKUP(K191,'Fevereiro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Real'!C3:C15,0))+1))/((L192-1)*(1-_xlfn.XLOOKUP(K192,'Fevereiro 2023 - Valor Real'!A3:A15,'Fevereiro 2023 - Valor Real'!C3:C15,0))+1)),IF(I190="Lay",IF(I191="Lay",((L191/(L191-1)-1)*(1-_xlfn.XLOOKUP(K191,'Fevereiro 2023 - Valor Real'!A3:A15,'Fevereiro 2023 - Valor Real'!C3:C15,0))+1)/(((L191/(L191-1)-1)*(1-_xlfn.XLOOKUP(K191,'Fevereiro 2023 - Valor Real'!A3:A15,'Fevereiro 2023 - Valor Real'!C3:C15,0))+1)+((L190/(L190-1)-1)*(1-_xlfn.XLOOKUP(K190,'Fevereiro 2023 - Valor Real'!A3:A15,'Fevereiro 2023 - Valor Real'!C3:C15,0))+1)),((L191-1)*(1-_xlfn.XLOOKUP(K191,'Fevereiro 2023 - Valor Real'!A3:A15,'Fevereiro 2023 - Valor Real'!C3:C15,0))+1)/(((L191-1)*(1-_xlfn.XLOOKUP(K191,'Fevereiro 2023 - Valor Real'!A3:A15,'Fevereiro 2023 - Valor Real'!C3:C15,0))+1)+((L190/(L190-1)-1)*(1-_xlfn.XLOOKUP(K190,'Fevereiro 2023 - Valor Real'!A3:A15,'Fevereiro 2023 - Valor Real'!C3:C15,0))+1))),IF(I191="Lay",(((L191/(L191-1)-1)*(1-_xlfn.XLOOKUP(K191,'Fevereiro 2023 - Valor Real'!A3:A15,'Fevereiro 2023 - Valor Real'!C3:C15,0))+1))/(((L190-1)*(1-_xlfn.XLOOKUP(K190,'Fevereiro 2023 - Valor Real'!A3:A15,'Fevereiro 2023 - Valor Real'!C3:C15,0))+1)+((L191/(L191-1)-1)*(1-_xlfn.XLOOKUP(K191,'Fevereiro 2023 - Valor Real'!A3:A15,'Fevereiro 2023 - Valor Real'!C3:C15,0))+1)),((L191-1)*(1-_xlfn.XLOOKUP(K191,'Fevereiro 2023 - Valor Real'!A3:A15,'Fevereiro 2023 - Valor Real'!C3:C15,0))+1)/(((L191-1)*(1-_xlfn.XLOOKUP(K191,'Fevereiro 2023 - Valor Real'!A3:A15,'Fevereiro 2023 - Valor Real'!C3:C15,0))+1)+((L190-1)*(1-_xlfn.XLOOKUP(K190,'Fevereiro 2023 - Valor Real'!A3:A15,'Fevereiro 2023 - Valor Real'!C3:C15,0))+1))))))</f>
        <v>0.5116279069767441</v>
      </c>
      <c r="AF190" s="66">
        <f t="shared" si="366"/>
        <v>0</v>
      </c>
      <c r="AG190" s="67">
        <f t="shared" si="366"/>
        <v>-5.79</v>
      </c>
      <c r="AH190" s="67">
        <f t="shared" si="366"/>
        <v>0</v>
      </c>
      <c r="AI190" s="67">
        <f t="shared" si="366"/>
        <v>0</v>
      </c>
      <c r="AJ190" s="67">
        <f t="shared" si="366"/>
        <v>0</v>
      </c>
      <c r="AK190" s="67">
        <f t="shared" si="366"/>
        <v>0</v>
      </c>
      <c r="AL190" s="67">
        <f t="shared" si="366"/>
        <v>0</v>
      </c>
      <c r="AM190" s="67">
        <f t="shared" si="366"/>
        <v>0</v>
      </c>
      <c r="AN190" s="67">
        <f t="shared" si="366"/>
        <v>0</v>
      </c>
      <c r="AO190" s="67">
        <f t="shared" si="366"/>
        <v>0</v>
      </c>
      <c r="AP190" s="67">
        <f t="shared" si="366"/>
        <v>0</v>
      </c>
      <c r="AQ190" s="67">
        <f t="shared" si="366"/>
        <v>0</v>
      </c>
      <c r="AR190" s="68">
        <f t="shared" si="366"/>
        <v>0</v>
      </c>
      <c r="AS190" s="66">
        <f t="shared" ref="AS190:BE190" si="376">IF(AND($B190=" ",$K190=AS$3),$O190,0)</f>
        <v>0</v>
      </c>
      <c r="AT190" s="67">
        <f t="shared" si="376"/>
        <v>0</v>
      </c>
      <c r="AU190" s="67">
        <f t="shared" si="376"/>
        <v>0</v>
      </c>
      <c r="AV190" s="67">
        <f t="shared" si="376"/>
        <v>0</v>
      </c>
      <c r="AW190" s="67">
        <f t="shared" si="376"/>
        <v>0</v>
      </c>
      <c r="AX190" s="67">
        <f t="shared" si="376"/>
        <v>0</v>
      </c>
      <c r="AY190" s="69">
        <f t="shared" si="376"/>
        <v>0</v>
      </c>
      <c r="AZ190" s="70">
        <f t="shared" si="376"/>
        <v>0</v>
      </c>
      <c r="BA190" s="70">
        <f t="shared" si="376"/>
        <v>0</v>
      </c>
      <c r="BB190" s="70">
        <f t="shared" si="376"/>
        <v>0</v>
      </c>
      <c r="BC190" s="71">
        <f t="shared" si="376"/>
        <v>0</v>
      </c>
      <c r="BD190" s="67">
        <f t="shared" si="376"/>
        <v>0</v>
      </c>
      <c r="BE190" s="68">
        <f t="shared" si="376"/>
        <v>0</v>
      </c>
      <c r="BF190" s="66">
        <f t="shared" si="368"/>
        <v>0</v>
      </c>
      <c r="BG190" s="67">
        <f t="shared" si="368"/>
        <v>5.79</v>
      </c>
      <c r="BH190" s="67">
        <f t="shared" si="368"/>
        <v>0</v>
      </c>
      <c r="BI190" s="67">
        <f t="shared" si="368"/>
        <v>0</v>
      </c>
      <c r="BJ190" s="67">
        <f t="shared" si="368"/>
        <v>0</v>
      </c>
      <c r="BK190" s="67">
        <f t="shared" si="368"/>
        <v>0</v>
      </c>
      <c r="BL190" s="67">
        <f t="shared" si="368"/>
        <v>0</v>
      </c>
      <c r="BM190" s="69">
        <f t="shared" si="368"/>
        <v>0</v>
      </c>
      <c r="BN190" s="70">
        <f t="shared" si="368"/>
        <v>0</v>
      </c>
      <c r="BO190" s="70">
        <f t="shared" si="368"/>
        <v>0</v>
      </c>
      <c r="BP190" s="70">
        <f t="shared" si="368"/>
        <v>0</v>
      </c>
      <c r="BQ190" s="71">
        <f t="shared" si="368"/>
        <v>0</v>
      </c>
      <c r="BR190" s="68">
        <f t="shared" si="368"/>
        <v>0</v>
      </c>
      <c r="BS190" s="490">
        <f>IF($B190="LOSS",IF(AND($K190=BS$3,$C190="L"),-$O190,0)+IF(AND($K191=BS$3,$C191="L"),-$O191,0)+IF(AND($K192=BS$3,$C192="L"),-$O192,0),IF(OR(AND($K190=BS$3,OR($C190="W",$C190="1/2W")),AND($K191=BS$3,OR($C191="W",$C191="1/2W")),AND($K192=BS$3,OR($C192="W",$C192="1/2W"))),$S190,0))</f>
        <v>0</v>
      </c>
      <c r="BT190" s="498">
        <f>IF($B190="LOSS",IF(AND($K190=BT$3,$C190="L"),-$O190,0)+IF(AND($K191=BT$3,$C191="L"),-$O191,0)+IF(AND($K191=BT$3,$C192="L"),-$O192,0),IF(OR(AND($K191=BT$3,OR($C190="W",$C190="1/2W")),AND($K191=BT$3,OR($C191="W",$C191="1/2W")),AND($K191=BT$3,OR($C192="W",$C192="1/2W"))),$S190,0))</f>
        <v>0</v>
      </c>
      <c r="BU190" s="488">
        <f>IF($B190="LOSS",IF(AND($K190=BU$3,$C190="L"),-$O190,0)+IF(AND($K191=BU$3,$C191="L"),-$O191,0)+IF(AND($K191=BU$3,$C192="L"),-$O192,0),IF(OR(AND($K191=BU$3,OR($C190="W",$C190="1/2W")),AND($K191=BU$3,OR($C191="W",$C191="1/2W")),AND($K191=BU$3,OR($C192="W",$C192="1/2W"))),$S190,0))</f>
        <v>0</v>
      </c>
      <c r="BV190" s="488">
        <f t="shared" ref="BV190:CE190" si="377">IF($B190="LOSS",IF(AND($K190=BV$3,$C190="L"),-$O190,0)+IF(AND($K191=BV$3,$C191="L"),-$O191,0)+IF(AND($K192=BV$3,$C192="L"),-$O192,0),IF(OR(AND($K190=BV$3,OR($C190="W",$C190="1/2W")),AND($K191=BV$3,OR($C191="W",$C191="1/2W")),AND($K192=BV$3,OR($C192="W",$C192="1/2W"))),$S190,0))</f>
        <v>0.83</v>
      </c>
      <c r="BW190" s="488">
        <f t="shared" si="377"/>
        <v>0</v>
      </c>
      <c r="BX190" s="488">
        <f t="shared" si="377"/>
        <v>0</v>
      </c>
      <c r="BY190" s="488">
        <f t="shared" si="377"/>
        <v>0</v>
      </c>
      <c r="BZ190" s="488">
        <f t="shared" si="377"/>
        <v>0</v>
      </c>
      <c r="CA190" s="488">
        <f t="shared" si="377"/>
        <v>0</v>
      </c>
      <c r="CB190" s="488">
        <f t="shared" si="377"/>
        <v>0</v>
      </c>
      <c r="CC190" s="488">
        <f t="shared" si="377"/>
        <v>0</v>
      </c>
      <c r="CD190" s="500">
        <f t="shared" si="377"/>
        <v>0</v>
      </c>
      <c r="CE190" s="504">
        <f t="shared" si="377"/>
        <v>0</v>
      </c>
      <c r="CF190" s="160">
        <f t="shared" si="258"/>
        <v>0</v>
      </c>
      <c r="CG190" s="161">
        <f t="shared" si="259"/>
        <v>0</v>
      </c>
      <c r="CH190" s="161">
        <f t="shared" si="260"/>
        <v>0</v>
      </c>
      <c r="CI190" s="161">
        <f t="shared" si="261"/>
        <v>1</v>
      </c>
      <c r="CJ190" s="161">
        <f t="shared" si="262"/>
        <v>0</v>
      </c>
      <c r="CK190" s="161">
        <f t="shared" si="263"/>
        <v>0</v>
      </c>
      <c r="CL190" s="161">
        <f t="shared" si="264"/>
        <v>0</v>
      </c>
      <c r="CM190" s="161">
        <f t="shared" si="265"/>
        <v>0</v>
      </c>
      <c r="CN190" s="161">
        <f t="shared" si="266"/>
        <v>0</v>
      </c>
      <c r="CO190" s="161">
        <f t="shared" si="267"/>
        <v>0</v>
      </c>
      <c r="CP190" s="161">
        <f t="shared" si="268"/>
        <v>0</v>
      </c>
      <c r="CQ190" s="161">
        <f t="shared" si="269"/>
        <v>0</v>
      </c>
      <c r="CR190" s="161">
        <f t="shared" si="270"/>
        <v>0</v>
      </c>
      <c r="CS190" s="161">
        <f t="shared" si="271"/>
        <v>0</v>
      </c>
      <c r="CT190" s="75">
        <f t="shared" si="272"/>
        <v>0</v>
      </c>
      <c r="CU190" s="76">
        <f t="shared" si="273"/>
        <v>0</v>
      </c>
      <c r="CV190" s="76">
        <f t="shared" si="274"/>
        <v>0</v>
      </c>
      <c r="CW190" s="76">
        <f t="shared" si="275"/>
        <v>0</v>
      </c>
      <c r="CX190" s="76">
        <f t="shared" si="276"/>
        <v>0</v>
      </c>
      <c r="CY190" s="76">
        <f t="shared" si="277"/>
        <v>0</v>
      </c>
      <c r="CZ190" s="76">
        <f t="shared" si="278"/>
        <v>0</v>
      </c>
      <c r="DA190" s="76">
        <f t="shared" si="279"/>
        <v>0</v>
      </c>
      <c r="DB190" s="76">
        <f t="shared" si="280"/>
        <v>0</v>
      </c>
      <c r="DC190" s="76">
        <f t="shared" si="281"/>
        <v>0</v>
      </c>
      <c r="DD190" s="76">
        <f t="shared" si="282"/>
        <v>0</v>
      </c>
      <c r="DE190" s="77">
        <f t="shared" si="283"/>
        <v>0</v>
      </c>
      <c r="DF190" s="73">
        <f t="shared" si="286"/>
        <v>12</v>
      </c>
      <c r="DG190" s="67">
        <f t="shared" si="287"/>
        <v>15.760000000000002</v>
      </c>
      <c r="DH190" s="76">
        <f t="shared" si="288"/>
        <v>6</v>
      </c>
      <c r="DI190" s="67">
        <f t="shared" si="289"/>
        <v>25.63</v>
      </c>
      <c r="DJ190" s="202" t="str">
        <f>IF($D190="","",$D190)</f>
        <v>6</v>
      </c>
      <c r="DK190" s="492">
        <f>IF(AND($B190=" ",$D190&lt;&gt;""),1,0)</f>
        <v>0</v>
      </c>
    </row>
    <row r="191" spans="1:115" ht="14.5" customHeight="1" x14ac:dyDescent="0.2">
      <c r="A191" s="389"/>
      <c r="B191" s="456"/>
      <c r="C191" s="53" t="s">
        <v>54</v>
      </c>
      <c r="D191" s="374"/>
      <c r="E191" s="386"/>
      <c r="F191" s="377"/>
      <c r="G191" s="508"/>
      <c r="H191" s="476"/>
      <c r="I191" s="162">
        <v>1</v>
      </c>
      <c r="J191" s="163" t="str">
        <f>IF(OR(I190="TO",I190="TU",I190="TO1",I190="TU1",I190="TO2",I190="TU2"),J190,IF(OR(I190="AH1",I190="AH2"),IF(OR(I191="AH1",I191="AH2"),-J190,IF(OR(I191="EH1",I191="EH2"),-J190+0.5,"")),IF(OR(I190="EH1",I190="EH2"),IF(OR(I191="AH1",I191="AH2"),-J190+0.5,IF(OR(I191="EH1",I191="EH2"),-J190+1,"")),IF(AND(OR(I190="DNB1",I190="DNB2"),OR(I191="AH1",I191="AH2")),0,IF(AND(I190="Not ScoreBoth",OR(I191="TO1",I191="TO2")),0.5,"")))))</f>
        <v/>
      </c>
      <c r="K191" s="57" t="s">
        <v>39</v>
      </c>
      <c r="L191" s="164">
        <v>2.2000000000000002</v>
      </c>
      <c r="M191" s="165">
        <v>5.52</v>
      </c>
      <c r="N191" s="406"/>
      <c r="O191" s="60">
        <f>IF(OR(AE190="",AE191=""),"",ROUND(IF(L192&gt;0,IF(M191&gt;0,M191,IF(M190&gt;0,IF(N190=TRUE,ROUND((M190*AE191)/AE190,0),(M190*AE191)/AE190),IF(M191&gt;0,ROUND(M191,IF(N190=0,2,IF(N190=0.1,1,0))),IF(M192&gt;0,ROUND(O192*AE191/AE192,IF(N190=0,2,IF(N190=0.1,1,0))),0)))),IF(M191&gt;0,M191,ROUND((M190*AE191)/AE190,IF(N190=0,2,IF(N190=0.1,1,0))))),2))</f>
        <v>5.52</v>
      </c>
      <c r="P191" s="61">
        <f>IF(OR(L191="",O191=""),"",IF($C191="1/2W",O191/2+O191/2*L191,IF($C191="1/2L",O191/2,IF(I191="Lay",((O191*(L191/(L191-1)))-O191)*(1-_xlfn.XLOOKUP(K191,'Fevereiro 2023 - Valor Real'!A3:A15,'Fevereiro 2023 - Valor Real'!C3:C15,0))+O191,(O191*L191-O191)*(1-_xlfn.XLOOKUP(K191,'Fevereiro 2023 - Valor Real'!A3:A15,'Fevereiro 2023 - Valor Real'!C3:C15,0))+O191))))</f>
        <v>12.144</v>
      </c>
      <c r="Q191" s="166">
        <f>IF(K191="","",IF(_xlfn.XLOOKUP(K191,K$10:K182,$DJ$10:DJ182,0,,-1)=DJ191,_xlfn.XLOOKUP(K191,K$10:K182,Q$10:Q182,1,,-1)+1,1))</f>
        <v>1</v>
      </c>
      <c r="R191" s="167">
        <f>IF(K191="","",_xlfn.XLOOKUP(K191,K$10:K182,R$10:R182,0,,-1)+IF($C191=" ",1,0))</f>
        <v>0</v>
      </c>
      <c r="S191" s="403"/>
      <c r="T191" s="380"/>
      <c r="U191" s="380"/>
      <c r="V191" s="481"/>
      <c r="W191" s="380"/>
      <c r="X191" s="452"/>
      <c r="Y191" s="383"/>
      <c r="Z191" s="384"/>
      <c r="AA191" s="384"/>
      <c r="AB191" s="384"/>
      <c r="AC191" s="384"/>
      <c r="AD191" s="64"/>
      <c r="AE191" s="65">
        <f>IF(L191="","",IF(L192&gt;0,(SUM(((L190-1)*(1-_xlfn.XLOOKUP(K190,'Fevereiro 2023 - Valor Real'!A3:A15,'Fevereiro 2023 - Valor Real'!C3:C15,0))+1),((L191-1)*(1-_xlfn.XLOOKUP(K191,'Fevereiro 2023 - Valor Real'!A3:A15,'Fevereiro 2023 - Valor Real'!C3:C15,0))+1),((L192-1)*(1-_xlfn.XLOOKUP(K192,'Fevereiro 2023 - Valor Real'!A3:A15,'Fevereiro 2023 - Valor Real'!C3:C15,0))+1))/((L191-1)*(1-_xlfn.XLOOKUP(K191,'Fevereiro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Real'!C3:C15,0))+1))/((L190-1)*(1-_xlfn.XLOOKUP(K190,'Fevereiro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Real'!C3:C15,0))+1))/((L191-1)*(1-_xlfn.XLOOKUP(K191,'Fevereiro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Real'!C3:C15,0))+1))/((L192-1)*(1-_xlfn.XLOOKUP(K192,'Fevereiro 2023 - Valor Real'!A3:A15,'Fevereiro 2023 - Valor Real'!C3:C15,0))+1)),IF(I191="Lay",IF(I190="Lay",((L190/(L190-1)-1)*(1-_xlfn.XLOOKUP(K190,'Fevereiro 2023 - Valor Real'!A3:A15,'Fevereiro 2023 - Valor Real'!C3:C15,0))+1)/(((L190/(L190-1)-1)*(1-_xlfn.XLOOKUP(K190,'Fevereiro 2023 - Valor Real'!A3:A15,'Fevereiro 2023 - Valor Real'!C3:C15,0))+1)+((L191/(L191-1)-1)*(1-_xlfn.XLOOKUP(K191,'Fevereiro 2023 - Valor Real'!A3:A15,'Fevereiro 2023 - Valor Real'!C3:C15,0))+1)),((L190-1)*(1-_xlfn.XLOOKUP(K190,'Fevereiro 2023 - Valor Real'!A3:A15,'Fevereiro 2023 - Valor Real'!C3:C15,0))+1)/(((L190-1)*(1-_xlfn.XLOOKUP(K190,'Fevereiro 2023 - Valor Real'!A3:A15,'Fevereiro 2023 - Valor Real'!C3:C15,0))+1)+((L191/(L191-1)-1)*(1-_xlfn.XLOOKUP(K191,'Fevereiro 2023 - Valor Real'!A3:A15,'Fevereiro 2023 - Valor Real'!C3:C15,0))+1))),IF(I190="Lay",((L190/(L190-1)-1)*(1-_xlfn.XLOOKUP(K190,'Fevereiro 2023 - Valor Real'!A3:A15,'Fevereiro 2023 - Valor Real'!C3:C15,0))+1)/((((L190/(L190-1)-1)*(1-_xlfn.XLOOKUP(K190,'Fevereiro 2023 - Valor Real'!A3:A15,'Fevereiro 2023 - Valor Real'!C3:C15,0))+1))+((L191-1)*(1-_xlfn.XLOOKUP(K191,'Fevereiro 2023 - Valor Real'!A3:A15,'Fevereiro 2023 - Valor Real'!C3:C15,0))+1)),((L190-1)*(1-_xlfn.XLOOKUP(K190,'Fevereiro 2023 - Valor Real'!A3:A15,'Fevereiro 2023 - Valor Real'!C3:C15,0))+1)/(((L190-1)*(1-_xlfn.XLOOKUP(K190,'Fevereiro 2023 - Valor Real'!A3:A15,'Fevereiro 2023 - Valor Real'!C3:C15,0))+1)+((L191-1)*(1-_xlfn.XLOOKUP(K191,'Fevereiro 2023 - Valor Real'!A3:A15,'Fevereiro 2023 - Valor Real'!C3:C15,0))+1))))))</f>
        <v>0.48837209302325574</v>
      </c>
      <c r="AF191" s="66">
        <f t="shared" si="366"/>
        <v>0</v>
      </c>
      <c r="AG191" s="67">
        <f t="shared" si="366"/>
        <v>0</v>
      </c>
      <c r="AH191" s="67">
        <f t="shared" si="366"/>
        <v>0</v>
      </c>
      <c r="AI191" s="67">
        <f t="shared" si="366"/>
        <v>6.62</v>
      </c>
      <c r="AJ191" s="67">
        <f t="shared" si="366"/>
        <v>0</v>
      </c>
      <c r="AK191" s="67">
        <f t="shared" si="366"/>
        <v>0</v>
      </c>
      <c r="AL191" s="67">
        <f t="shared" si="366"/>
        <v>0</v>
      </c>
      <c r="AM191" s="67">
        <f t="shared" si="366"/>
        <v>0</v>
      </c>
      <c r="AN191" s="67">
        <f t="shared" si="366"/>
        <v>0</v>
      </c>
      <c r="AO191" s="67">
        <f t="shared" si="366"/>
        <v>0</v>
      </c>
      <c r="AP191" s="67">
        <f t="shared" si="366"/>
        <v>0</v>
      </c>
      <c r="AQ191" s="67">
        <f t="shared" si="366"/>
        <v>0</v>
      </c>
      <c r="AR191" s="68">
        <f t="shared" si="366"/>
        <v>0</v>
      </c>
      <c r="AS191" s="66">
        <f>IF(AND($B190=" ",$K191=AS$3),$O191,0)</f>
        <v>0</v>
      </c>
      <c r="AT191" s="67">
        <f>IF(AND($B190=" ",K191=AT$3),$O191,0)</f>
        <v>0</v>
      </c>
      <c r="AU191" s="67">
        <f t="shared" ref="AU191:BE191" si="378">IF(AND($B190=" ",$K191=AU$3),$O191,0)</f>
        <v>0</v>
      </c>
      <c r="AV191" s="67">
        <f t="shared" si="378"/>
        <v>0</v>
      </c>
      <c r="AW191" s="67">
        <f t="shared" si="378"/>
        <v>0</v>
      </c>
      <c r="AX191" s="67">
        <f t="shared" si="378"/>
        <v>0</v>
      </c>
      <c r="AY191" s="69">
        <f t="shared" si="378"/>
        <v>0</v>
      </c>
      <c r="AZ191" s="70">
        <f t="shared" si="378"/>
        <v>0</v>
      </c>
      <c r="BA191" s="70">
        <f t="shared" si="378"/>
        <v>0</v>
      </c>
      <c r="BB191" s="70">
        <f t="shared" si="378"/>
        <v>0</v>
      </c>
      <c r="BC191" s="71">
        <f t="shared" si="378"/>
        <v>0</v>
      </c>
      <c r="BD191" s="67">
        <f t="shared" si="378"/>
        <v>0</v>
      </c>
      <c r="BE191" s="68">
        <f t="shared" si="378"/>
        <v>0</v>
      </c>
      <c r="BF191" s="66">
        <f t="shared" si="368"/>
        <v>0</v>
      </c>
      <c r="BG191" s="168">
        <f t="shared" si="368"/>
        <v>0</v>
      </c>
      <c r="BH191" s="67">
        <f t="shared" si="368"/>
        <v>0</v>
      </c>
      <c r="BI191" s="67">
        <f t="shared" si="368"/>
        <v>5.52</v>
      </c>
      <c r="BJ191" s="67">
        <f t="shared" si="368"/>
        <v>0</v>
      </c>
      <c r="BK191" s="67">
        <f t="shared" si="368"/>
        <v>0</v>
      </c>
      <c r="BL191" s="67">
        <f t="shared" si="368"/>
        <v>0</v>
      </c>
      <c r="BM191" s="69">
        <f t="shared" si="368"/>
        <v>0</v>
      </c>
      <c r="BN191" s="70">
        <f t="shared" si="368"/>
        <v>0</v>
      </c>
      <c r="BO191" s="70">
        <f t="shared" si="368"/>
        <v>0</v>
      </c>
      <c r="BP191" s="70">
        <f t="shared" si="368"/>
        <v>0</v>
      </c>
      <c r="BQ191" s="71">
        <f t="shared" si="368"/>
        <v>0</v>
      </c>
      <c r="BR191" s="68">
        <f t="shared" si="368"/>
        <v>0</v>
      </c>
      <c r="BS191" s="491"/>
      <c r="BT191" s="489"/>
      <c r="BU191" s="392"/>
      <c r="BV191" s="489"/>
      <c r="BW191" s="392"/>
      <c r="BX191" s="392"/>
      <c r="BY191" s="392"/>
      <c r="BZ191" s="489"/>
      <c r="CA191" s="392"/>
      <c r="CB191" s="392"/>
      <c r="CC191" s="392"/>
      <c r="CD191" s="401"/>
      <c r="CE191" s="409"/>
      <c r="CF191" s="169">
        <f t="shared" si="258"/>
        <v>0</v>
      </c>
      <c r="CG191" s="170">
        <f t="shared" si="259"/>
        <v>0</v>
      </c>
      <c r="CH191" s="170">
        <f t="shared" si="260"/>
        <v>0</v>
      </c>
      <c r="CI191" s="170">
        <f t="shared" si="261"/>
        <v>0</v>
      </c>
      <c r="CJ191" s="170">
        <f t="shared" si="262"/>
        <v>0</v>
      </c>
      <c r="CK191" s="170">
        <f t="shared" si="263"/>
        <v>0</v>
      </c>
      <c r="CL191" s="170">
        <f t="shared" si="264"/>
        <v>1</v>
      </c>
      <c r="CM191" s="170">
        <f t="shared" si="265"/>
        <v>0</v>
      </c>
      <c r="CN191" s="170">
        <f t="shared" si="266"/>
        <v>0</v>
      </c>
      <c r="CO191" s="170">
        <f t="shared" si="267"/>
        <v>0</v>
      </c>
      <c r="CP191" s="170">
        <f t="shared" si="268"/>
        <v>0</v>
      </c>
      <c r="CQ191" s="170">
        <f t="shared" si="269"/>
        <v>0</v>
      </c>
      <c r="CR191" s="170">
        <f t="shared" si="270"/>
        <v>0</v>
      </c>
      <c r="CS191" s="170">
        <f t="shared" si="271"/>
        <v>0</v>
      </c>
      <c r="CT191" s="75">
        <f t="shared" si="272"/>
        <v>0</v>
      </c>
      <c r="CU191" s="76">
        <f t="shared" si="273"/>
        <v>0</v>
      </c>
      <c r="CV191" s="76">
        <f t="shared" si="274"/>
        <v>0</v>
      </c>
      <c r="CW191" s="76">
        <f t="shared" si="275"/>
        <v>0</v>
      </c>
      <c r="CX191" s="76">
        <f t="shared" si="276"/>
        <v>0</v>
      </c>
      <c r="CY191" s="76">
        <f t="shared" si="277"/>
        <v>0</v>
      </c>
      <c r="CZ191" s="76">
        <f t="shared" si="278"/>
        <v>0</v>
      </c>
      <c r="DA191" s="76">
        <f t="shared" si="279"/>
        <v>0</v>
      </c>
      <c r="DB191" s="76">
        <f t="shared" si="280"/>
        <v>0</v>
      </c>
      <c r="DC191" s="76">
        <f t="shared" si="281"/>
        <v>0</v>
      </c>
      <c r="DD191" s="76">
        <f t="shared" si="282"/>
        <v>0</v>
      </c>
      <c r="DE191" s="77">
        <f t="shared" si="283"/>
        <v>0</v>
      </c>
      <c r="DF191" s="73">
        <f t="shared" si="286"/>
        <v>12</v>
      </c>
      <c r="DG191" s="67">
        <f t="shared" si="287"/>
        <v>15.760000000000002</v>
      </c>
      <c r="DH191" s="76">
        <f t="shared" si="288"/>
        <v>6</v>
      </c>
      <c r="DI191" s="67">
        <f t="shared" si="289"/>
        <v>25.63</v>
      </c>
      <c r="DJ191" s="202" t="str">
        <f>IF($D190="","",$D190)</f>
        <v>6</v>
      </c>
      <c r="DK191" s="493"/>
    </row>
    <row r="192" spans="1:115" ht="14.5" customHeight="1" x14ac:dyDescent="0.2">
      <c r="A192" s="390"/>
      <c r="B192" s="457"/>
      <c r="C192" s="79" t="s">
        <v>53</v>
      </c>
      <c r="D192" s="375"/>
      <c r="E192" s="387"/>
      <c r="F192" s="378"/>
      <c r="G192" s="508"/>
      <c r="H192" s="477"/>
      <c r="I192" s="171"/>
      <c r="J192" s="172"/>
      <c r="K192" s="81"/>
      <c r="L192" s="173"/>
      <c r="M192" s="174"/>
      <c r="N192" s="407"/>
      <c r="O192" s="86" t="str">
        <f>IF(OR(AE190="",AE191=""),"",IF(L192&gt;0,ROUND(IF(M192&gt;0,M192,IF(M190&gt;0,ROUND((M190*AE192)/AE190,IF(N190=0,2,IF(N190=0.1,1,0))),IF(M191&gt;0,ROUND((M191*AE192)/AE191,IF(N190=0,2,IF(N190=0.1,1,0))),IF(M192&gt;0,M192,0)))),2),""))</f>
        <v/>
      </c>
      <c r="P192" s="87" t="str">
        <f>IF(I191="Lay",O191*(L191/(L191-1))-O191,IF(I190="Lay",O190*(L190/(L190-1))-O190,IF(OR(L192="",O192=""),"",IF($C192="1/2W",O192/2+O192/2*L192,IF($C192="1/2L",O192/2,(O192*L192-O192)*(1-_xlfn.XLOOKUP(K192,'Fevereiro 2023 - Valor Real'!A3:A15,'Fevereiro 2023 - Valor Real'!C3:C15,0))+O192)))))</f>
        <v/>
      </c>
      <c r="Q192" s="54" t="str">
        <f>IF(K192="","",IF(_xlfn.XLOOKUP(K192,K$11:K182,$DJ$11:DJ182,0,,-1)=DJ192,_xlfn.XLOOKUP(K192,K$11:K182,Q$11:Q182,1,,-1)+1,1))</f>
        <v/>
      </c>
      <c r="R192" s="87" t="str">
        <f>IF(K192="","",_xlfn.XLOOKUP(K192,K$11:K182,R$11:R182,0,,-1)+IF($C192=" ",1,0))</f>
        <v/>
      </c>
      <c r="S192" s="404"/>
      <c r="T192" s="378"/>
      <c r="U192" s="378"/>
      <c r="V192" s="404"/>
      <c r="W192" s="378"/>
      <c r="X192" s="453"/>
      <c r="Y192" s="383"/>
      <c r="Z192" s="384"/>
      <c r="AA192" s="384"/>
      <c r="AB192" s="384"/>
      <c r="AC192" s="384"/>
      <c r="AD192" s="90"/>
      <c r="AE192" s="91" t="str">
        <f>IF(L192="","",(SUM(((L190-1)*(1-_xlfn.XLOOKUP(K190,'Fevereiro 2023 - Valor Real'!A3:A15,'Fevereiro 2023 - Valor Real'!C3:C15,0))+1),((L191-1)*(1-_xlfn.XLOOKUP(K191,'Fevereiro 2023 - Valor Real'!A3:A15,'Fevereiro 2023 - Valor Real'!C3:C15,0))+1),((L192-1)*(1-_xlfn.XLOOKUP(K192,'Fevereiro 2023 - Valor Real'!A3:A15,'Fevereiro 2023 - Valor Real'!C3:C15,0))+1))/((L192-1)*(1-_xlfn.XLOOKUP(K192,'Fevereiro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Real'!C3:C15,0))+1))/((L190-1)*(1-_xlfn.XLOOKUP(K190,'Fevereiro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Real'!C3:C15,0))+1))/((L191-1)*(1-_xlfn.XLOOKUP(K191,'Fevereiro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Real'!C3:C15,0))+1))/((L192-1)*(1-_xlfn.XLOOKUP(K192,'Fevereiro 2023 - Valor Real'!A3:A15,'Fevereiro 2023 - Valor Real'!C3:C15,0))+1)))</f>
        <v/>
      </c>
      <c r="AF192" s="66">
        <f t="shared" si="366"/>
        <v>0</v>
      </c>
      <c r="AG192" s="67">
        <f t="shared" si="366"/>
        <v>0</v>
      </c>
      <c r="AH192" s="67">
        <f t="shared" si="366"/>
        <v>0</v>
      </c>
      <c r="AI192" s="67">
        <f t="shared" si="366"/>
        <v>0</v>
      </c>
      <c r="AJ192" s="67">
        <f t="shared" si="366"/>
        <v>0</v>
      </c>
      <c r="AK192" s="67">
        <f t="shared" si="366"/>
        <v>0</v>
      </c>
      <c r="AL192" s="67">
        <f t="shared" si="366"/>
        <v>0</v>
      </c>
      <c r="AM192" s="67">
        <f t="shared" si="366"/>
        <v>0</v>
      </c>
      <c r="AN192" s="67">
        <f t="shared" si="366"/>
        <v>0</v>
      </c>
      <c r="AO192" s="67">
        <f t="shared" si="366"/>
        <v>0</v>
      </c>
      <c r="AP192" s="67">
        <f t="shared" si="366"/>
        <v>0</v>
      </c>
      <c r="AQ192" s="67">
        <f t="shared" si="366"/>
        <v>0</v>
      </c>
      <c r="AR192" s="68">
        <f t="shared" si="366"/>
        <v>0</v>
      </c>
      <c r="AS192" s="66">
        <f>IF(AND($B190=" ",$K192=AS$3),$O192,0)</f>
        <v>0</v>
      </c>
      <c r="AT192" s="67">
        <f>IF(AND($B190=" ",K192=AT$3),$O192,0)</f>
        <v>0</v>
      </c>
      <c r="AU192" s="67">
        <f t="shared" ref="AU192:BE192" si="379">IF(AND($B190=" ",$K192=AU$3),$O192,0)</f>
        <v>0</v>
      </c>
      <c r="AV192" s="67">
        <f t="shared" si="379"/>
        <v>0</v>
      </c>
      <c r="AW192" s="67">
        <f t="shared" si="379"/>
        <v>0</v>
      </c>
      <c r="AX192" s="67">
        <f t="shared" si="379"/>
        <v>0</v>
      </c>
      <c r="AY192" s="69">
        <f t="shared" si="379"/>
        <v>0</v>
      </c>
      <c r="AZ192" s="70">
        <f t="shared" si="379"/>
        <v>0</v>
      </c>
      <c r="BA192" s="70">
        <f t="shared" si="379"/>
        <v>0</v>
      </c>
      <c r="BB192" s="70">
        <f t="shared" si="379"/>
        <v>0</v>
      </c>
      <c r="BC192" s="71">
        <f t="shared" si="379"/>
        <v>0</v>
      </c>
      <c r="BD192" s="67">
        <f t="shared" si="379"/>
        <v>0</v>
      </c>
      <c r="BE192" s="68">
        <f t="shared" si="379"/>
        <v>0</v>
      </c>
      <c r="BF192" s="66">
        <f t="shared" si="368"/>
        <v>0</v>
      </c>
      <c r="BG192" s="168">
        <f t="shared" si="368"/>
        <v>0</v>
      </c>
      <c r="BH192" s="67">
        <f t="shared" si="368"/>
        <v>0</v>
      </c>
      <c r="BI192" s="67">
        <f t="shared" si="368"/>
        <v>0</v>
      </c>
      <c r="BJ192" s="67">
        <f t="shared" si="368"/>
        <v>0</v>
      </c>
      <c r="BK192" s="67">
        <f t="shared" si="368"/>
        <v>0</v>
      </c>
      <c r="BL192" s="67">
        <f t="shared" si="368"/>
        <v>0</v>
      </c>
      <c r="BM192" s="69">
        <f t="shared" si="368"/>
        <v>0</v>
      </c>
      <c r="BN192" s="70">
        <f t="shared" si="368"/>
        <v>0</v>
      </c>
      <c r="BO192" s="70">
        <f t="shared" si="368"/>
        <v>0</v>
      </c>
      <c r="BP192" s="70">
        <f t="shared" si="368"/>
        <v>0</v>
      </c>
      <c r="BQ192" s="71">
        <f t="shared" si="368"/>
        <v>0</v>
      </c>
      <c r="BR192" s="68">
        <f t="shared" si="368"/>
        <v>0</v>
      </c>
      <c r="BS192" s="491"/>
      <c r="BT192" s="489"/>
      <c r="BU192" s="392"/>
      <c r="BV192" s="489"/>
      <c r="BW192" s="392"/>
      <c r="BX192" s="392"/>
      <c r="BY192" s="392"/>
      <c r="BZ192" s="489"/>
      <c r="CA192" s="392"/>
      <c r="CB192" s="392"/>
      <c r="CC192" s="392"/>
      <c r="CD192" s="401"/>
      <c r="CE192" s="409"/>
      <c r="CF192" s="169">
        <f t="shared" si="258"/>
        <v>0</v>
      </c>
      <c r="CG192" s="170">
        <f t="shared" si="259"/>
        <v>0</v>
      </c>
      <c r="CH192" s="170">
        <f t="shared" si="260"/>
        <v>0</v>
      </c>
      <c r="CI192" s="170">
        <f t="shared" si="261"/>
        <v>0</v>
      </c>
      <c r="CJ192" s="170">
        <f t="shared" si="262"/>
        <v>0</v>
      </c>
      <c r="CK192" s="170">
        <f t="shared" si="263"/>
        <v>0</v>
      </c>
      <c r="CL192" s="170">
        <f t="shared" si="264"/>
        <v>0</v>
      </c>
      <c r="CM192" s="170">
        <f t="shared" si="265"/>
        <v>0</v>
      </c>
      <c r="CN192" s="170">
        <f t="shared" si="266"/>
        <v>0</v>
      </c>
      <c r="CO192" s="170">
        <f t="shared" si="267"/>
        <v>0</v>
      </c>
      <c r="CP192" s="170">
        <f t="shared" si="268"/>
        <v>0</v>
      </c>
      <c r="CQ192" s="170">
        <f t="shared" si="269"/>
        <v>0</v>
      </c>
      <c r="CR192" s="170">
        <f t="shared" si="270"/>
        <v>0</v>
      </c>
      <c r="CS192" s="170">
        <f t="shared" si="271"/>
        <v>0</v>
      </c>
      <c r="CT192" s="75">
        <f t="shared" si="272"/>
        <v>0</v>
      </c>
      <c r="CU192" s="76">
        <f t="shared" si="273"/>
        <v>0</v>
      </c>
      <c r="CV192" s="76">
        <f t="shared" si="274"/>
        <v>0</v>
      </c>
      <c r="CW192" s="76">
        <f t="shared" si="275"/>
        <v>0</v>
      </c>
      <c r="CX192" s="76">
        <f t="shared" si="276"/>
        <v>0</v>
      </c>
      <c r="CY192" s="76">
        <f t="shared" si="277"/>
        <v>0</v>
      </c>
      <c r="CZ192" s="76">
        <f t="shared" si="278"/>
        <v>0</v>
      </c>
      <c r="DA192" s="76">
        <f t="shared" si="279"/>
        <v>0</v>
      </c>
      <c r="DB192" s="76">
        <f t="shared" si="280"/>
        <v>0</v>
      </c>
      <c r="DC192" s="76">
        <f t="shared" si="281"/>
        <v>0</v>
      </c>
      <c r="DD192" s="76">
        <f t="shared" si="282"/>
        <v>0</v>
      </c>
      <c r="DE192" s="77">
        <f t="shared" si="283"/>
        <v>0</v>
      </c>
      <c r="DF192" s="73">
        <f t="shared" si="286"/>
        <v>12</v>
      </c>
      <c r="DG192" s="67">
        <f t="shared" si="287"/>
        <v>15.760000000000002</v>
      </c>
      <c r="DH192" s="76">
        <f t="shared" si="288"/>
        <v>6</v>
      </c>
      <c r="DI192" s="67">
        <f t="shared" si="289"/>
        <v>25.63</v>
      </c>
      <c r="DJ192" s="202" t="str">
        <f>IF($D190="","",$D190)</f>
        <v>6</v>
      </c>
      <c r="DK192" s="493"/>
    </row>
    <row r="193" spans="1:115" ht="14.5" customHeight="1" x14ac:dyDescent="0.2">
      <c r="A193" s="459">
        <f>$A190+1</f>
        <v>64</v>
      </c>
      <c r="B193" s="507" t="str">
        <f>IF(OR(C193="W",C194="W",C195="W",C193="1/2W",C194="1/2W",C195="1/2W",C193="1/2L",C194="1/2L",C195="1/2L"),"OK",IF(OR(C193="L",C194="L",C195="L"),"LOSS",IF(OR(C193="X",C194="X",C195="X"),"Anulado"," ")))</f>
        <v>OK</v>
      </c>
      <c r="C193" s="93" t="s">
        <v>55</v>
      </c>
      <c r="D193" s="468" t="str">
        <f>IF(G193="","",$D190)</f>
        <v>6</v>
      </c>
      <c r="E193" s="485" t="str">
        <f>IF(G193=""," ","– "&amp;COUNTIF(D$4:D195,$D193))</f>
        <v>– 7</v>
      </c>
      <c r="F193" s="509" t="str">
        <f ca="1">IF(G193="","",IF(OR(AND($C193&lt;&gt;" ",$C194=" "),AND($C194&lt;&gt;" ",$C193=" "),AND(L195&gt;0,OR(AND($C195&lt;&gt;" ",OR($C193=" ",$C194=" ")),AND($C195=" ",OR($C193&lt;&gt;" ",$C194&lt;&gt;" "))))),IF(SUM(F$6:F188)=0,1,LARGE(F$6:F188,1)+1),IF(MONTH(G193)=MONTH(TODAY()),IF(AND(DAY(G193)&lt;DAY(TODAY()),$B193=" "),IF(SUM(F$6:F188)=0,1,LARGE(F$6:F188,1)+1),IF($B193=" ",IF(AND(DAY(G193)=DAY(TODAY()),HOUR(G193)&lt;=HOUR(NOW())+1),IF(AND(HOUR(G193)+2&lt;=HOUR(NOW()),DAY(G193)&lt;=DAY(TODAY()),MINUTE(G193)&lt;=MINUTE(NOW())),IF(SUM(F$6:F188)=0,1,LARGE(F$6:F188,1)+1),IF(OR(MINUTE(G193)&lt;=MINUTE(NOW()),HOUR(G193)&lt;=HOUR(NOW())),"!!!","")),""),"")),"")))</f>
        <v/>
      </c>
      <c r="G193" s="482">
        <v>44992.708333333336</v>
      </c>
      <c r="H193" s="475" t="s">
        <v>114</v>
      </c>
      <c r="I193" s="94" t="s">
        <v>51</v>
      </c>
      <c r="J193" s="95">
        <v>9.5</v>
      </c>
      <c r="K193" s="96" t="s">
        <v>37</v>
      </c>
      <c r="L193" s="97">
        <v>2.25</v>
      </c>
      <c r="M193" s="98"/>
      <c r="N193" s="478">
        <v>0</v>
      </c>
      <c r="O193" s="99">
        <f>IF(OR(AE193="",AE194=""),"",ROUND(IF(L195&gt;0,IF(M193&gt;0,M193,IF(M194&gt;0,ROUND((M194*AE193)/AE194,IF(N193=0,2,IF(N193=0.1,1,0))),ROUND((M195*AE193)/AE195,IF(N193=0,2,IF(N193=0.1,1,0))))),IF(M193&gt;0,M193,ROUND((M194*AE193)/AE194,IF(N193=0,2,IF(N193=0.1,1,0))))),2))</f>
        <v>15.56</v>
      </c>
      <c r="P193" s="100">
        <f>IF(OR(L193="",O193=""),"",IF($C193="1/2W",O193/2+O193/2*L193,IF($C193="1/2L",O193/2,IF(I193="Lay",(O193*(L193/(L193-1))-O193)*(1-_xlfn.XLOOKUP(K193,'Fevereiro 2023 - Valor Real'!A3:A15,'Fevereiro 2023 - Valor Real'!C3:C15,0))+O193,(O193*L193-O193)*(1-_xlfn.XLOOKUP(K193,'Fevereiro 2023 - Valor Real'!A3:A15,'Fevereiro 2023 - Valor Real'!C3:C15,0))+O193))))</f>
        <v>35.01</v>
      </c>
      <c r="Q193" s="101">
        <f>IF(K193="","",IF(_xlfn.XLOOKUP(K193,K$6:K188,$DJ$6:DJ188,0,,-1)=DJ193,_xlfn.XLOOKUP(K193,K$6:K188,Q$6:Q188,1,,-1)+1,1))</f>
        <v>3</v>
      </c>
      <c r="R193" s="102">
        <f>IF(K193="","",_xlfn.XLOOKUP(K193,K$6:K188,R$6:R188,0,,-1)+IF($C193=" ",1,0))</f>
        <v>0</v>
      </c>
      <c r="S193" s="474">
        <f>IF($B193="Anulado",0,ROUND(IF(OR($B193="LOSS",$B193="OK"),IF(OR($C193="W",$C193="1/2W",$C193="1/2L"),P193-O193,IF($C193="L",-O193,0))+IF(OR($C194="W",$C194="1/2W",$C194="1/2L"),P194-O194,IF($C194="L",-O194,0))+IF(OR($C195="W",$C195="1/2W",$C195="1/2L"),P195-O195,IF($C195="L",-O195,0)),IF(AND(OR($C193="W",$C193="1/2W",$C193="1/2L"),C194="W"),P193+P194-SUM(O193:O195)+_xlfn.XLOOKUP("X",C193:C195,O193:O195,0),IF(AND(C193=TRUE,C195="W"),P193+P195-SUM(O193:O195),IF(AND(C194="W",C195="W"),P194+P195-SUM(O193:O195)+_xlfn.XLOOKUP("X",C193:C195,O193:O195,0),IF(L195&gt;0,IF(OR($C193="W",$C193="1/2W",$C193="1/2L"),P193-SUM(O193:O195)+_xlfn.XLOOKUP("X",C193:C195,O193:O195,0),IF(OR($C193="W",$C193="1/2W",$C193="1/2L"),P194-SUM(O193:O195)+_xlfn.XLOOKUP("X",C193:C195,O193:O195,0),IF(OR($C193="W",$C193="1/2W",$C193="1/2L"),P195-SUM(O193:O195)+_xlfn.XLOOKUP("X",C193:C195,O193:O195,0),IF(SUM(P193:P195)/3-SUM(O193:O195)+_xlfn.XLOOKUP("X",C193:C195,O193:O195,0)&gt;0,SUM(P193:P195)/3-SUM(O193:O195)+_xlfn.XLOOKUP("X",C193:C195,O193:O195,0),LARGE(P193:P195,1)-SUM(O193:O195))))),IF(OR($C193="W",$C193="1/2W",$C193="1/2L"),P193-SUM(O193:O194)+_xlfn.XLOOKUP("X",C193:C195,O193:O195,0),IF(OR($C193="W",$C193="1/2W",$C193="1/2L"),P194-SUM(O193:O194)+_xlfn.XLOOKUP("X",C193:C195,O193:O195,0),SUM(P193:P194)/2-SUM(O193:O194)+_xlfn.XLOOKUP("X",C193:C195,O193:O195,0)))))))),2))</f>
        <v>1.94</v>
      </c>
      <c r="T193" s="458">
        <f>IF(S193=0,0,S193/SUM(O193:O195))</f>
        <v>5.8681185722928006E-2</v>
      </c>
      <c r="U193" s="470">
        <f>IF($D193=$D190,IF(OR($B193="LOSS",$B193="OK",$B193="Anulada"),S193,0)+U190,IF(OR($B193="LOSS",$B193="OK",$B193="Anulada"),S193,0))</f>
        <v>26.74</v>
      </c>
      <c r="V193" s="470">
        <f>IF($D193="",0,IF($D193=$D190,IF($B193=" ",IF(I195="",IF(OR(AND(I193="DNB1",I194="DNB2"),AND(OR(I193="DNB1",I193="DNB2"),J194=0),AND(OR(I194="DNB1",I194="DNB2"),J193=0),AND(I193="DNB2",I194="DNB1"),AND(IF(J193=0,(J193+1)/ROUND(J193+1,0),J193/ROUND(J193,0))=1,IF(J194=0,(J194+1)/ROUND(IF(J194="",0,J194)+1,0),IF(J194="",0,J194)/ROUND(IF(J194="",1,J194),0))=1,OR(J193&lt;&gt;""),J194&lt;&gt;"")),0,IF(S193&lt;0,IF(I195="",SMALL(P193:P194,1)-SUM(O193:O194),0),SMALL(P193:P194,1)-SUM(O193:O194))),IF(S193&lt;0,IF(I195="",SMALL(P193:P195,1)-SUM(O193:O195),0),LARGE(P193:P195,1)-SUM(O193:O195))),S193)+V190,IF(I195="",IF(OR(AND(I193="DNB1",I194="DNB2"),AND(OR(I193="DNB1",I193="DNB2"),J194=0),AND(OR(I194="DNB1",I194="DNB2"),J193=0),AND(I193="DNB2",I194="DNB1"),AND(IF(J193=0,(J193+1)/ROUND(J193+1,0),J193/ROUND(J193,0))=1,IF(J194=0,(IF(J194="",0,J194)+1)/ROUND(IF(J194="",0,J194)+1,0),IF(J194="",0,J194)/ROUND(IF(J194="",0,J194)+1,0))=1,OR(J193&lt;&gt;""),J194&lt;&gt;"")),0,IF(S193&lt;0,IF(I195="",SMALL(P193:P194,1)-SUM(O193:O194),0),SMALL(P193:P195,1)-SUM(O193:O195))),IF(S193&lt;0,IF(I195="",SMALL(P193:P195,1)-SUM(O193:O195),0),LARGE(P193:P195,1)-SUM(O193:O195)))))</f>
        <v>26.731999999999989</v>
      </c>
      <c r="W193" s="470">
        <f>IF($D193=$D190,IF(S193&lt;0,IF(I195="",S193,0),S193)+W190,S193)</f>
        <v>26.74</v>
      </c>
      <c r="X193" s="480" t="str">
        <f>IF(OR(SUM(R193:R195)=0,V193=W193),ROUND(IF(W193=0,0,W193/Y193)*100,2)&amp;"%",ROUND(IF(V193=0,0,V193/Y193)*100,2)&amp;"% a "&amp;ROUND(IF(W193=0,0,W193/Y193)*100,2)&amp;"%")</f>
        <v>5,7%</v>
      </c>
      <c r="Y193" s="471">
        <f>IF($D193=$D190,Y190+SUM(O193:O195),SUM(O193:O195))</f>
        <v>469.15000000000003</v>
      </c>
      <c r="Z193" s="470">
        <f>IF($B193=" ",SUM(O193:O195),0)+Z190</f>
        <v>0</v>
      </c>
      <c r="AA193" s="470">
        <f>IF(G193="","",IF($B193="Anulado",LARGE(P193:P195,1)-SUM(O193:O195)+AA190,AA190))</f>
        <v>1.4607999999999972</v>
      </c>
      <c r="AB193" s="470">
        <f>IF($D193="","",AB190+S193)</f>
        <v>166.58999999999997</v>
      </c>
      <c r="AC193" s="472">
        <f ca="1">IF($D193="","",IF($B193=" ",IF(DAY(G193)=DAY(TODAY()),1+AC190,0+AC190),0+AC190))</f>
        <v>0</v>
      </c>
      <c r="AD193" s="103">
        <f>(((L194/(L194-1)-1)*(1-_xlfn.XLOOKUP(K194,'Fevereiro 2023 - Valor Real'!A3:A15,'Fevereiro 2023 - Valor Real'!C3:C15,0))+1))/(((L193-1)*(1-_xlfn.XLOOKUP(K193,'Fevereiro 2023 - Valor Real'!A3:A15,'Fevereiro 2023 - Valor Real'!C3:C15,0))+1)+((L194/(L194-1)-1)*(1-_xlfn.XLOOKUP(K194,'Fevereiro 2023 - Valor Real'!A3:A15,'Fevereiro 2023 - Valor Real'!C3:C15,0))+1))</f>
        <v>0.47058823529411764</v>
      </c>
      <c r="AE193" s="104">
        <f>IF(L193="","",IF(L195&gt;0,(SUM(((L193-1)*(1-_xlfn.XLOOKUP(K193,'Fevereiro 2023 - Valor Real'!A3:A15,'Fevereiro 2023 - Valor Real'!C3:C15,0))+1),((L194-1)*(1-_xlfn.XLOOKUP(K194,'Fevereiro 2023 - Valor Real'!A3:A15,'Fevereiro 2023 - Valor Real'!C3:C15,0))+1),((L195-1)*(1-_xlfn.XLOOKUP(K195,'Fevereiro 2023 - Valor Real'!A3:A15,'Fevereiro 2023 - Valor Real'!C3:C15,0))+1))/((L193-1)*(1-_xlfn.XLOOKUP(K193,'Fevereiro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Real'!C3:C15,0))+1))/((L193-1)*(1-_xlfn.XLOOKUP(K193,'Fevereiro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Real'!C3:C15,0))+1))/((L194-1)*(1-_xlfn.XLOOKUP(K194,'Fevereiro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Real'!C3:C15,0))+1))/((L195-1)*(1-_xlfn.XLOOKUP(K195,'Fevereiro 2023 - Valor Real'!A3:A15,'Fevereiro 2023 - Valor Real'!C3:C15,0))+1)),IF(I193="Lay",IF(I194="Lay",((L194/(L194-1)-1)*(1-_xlfn.XLOOKUP(K194,'Fevereiro 2023 - Valor Real'!A3:A15,'Fevereiro 2023 - Valor Real'!C3:C15,0))+1)/(((L194/(L194-1)-1)*(1-_xlfn.XLOOKUP(K194,'Fevereiro 2023 - Valor Real'!A3:A15,'Fevereiro 2023 - Valor Real'!C3:C15,0))+1)+((L193/(L193-1)-1)*(1-_xlfn.XLOOKUP(K193,'Fevereiro 2023 - Valor Real'!A3:A15,'Fevereiro 2023 - Valor Real'!C3:C15,0))+1)),((L194-1)*(1-_xlfn.XLOOKUP(K194,'Fevereiro 2023 - Valor Real'!A3:A15,'Fevereiro 2023 - Valor Real'!C3:C15,0))+1)/(((L194-1)*(1-_xlfn.XLOOKUP(K194,'Fevereiro 2023 - Valor Real'!A3:A15,'Fevereiro 2023 - Valor Real'!C3:C15,0))+1)+((L193/(L193-1)-1)*(1-_xlfn.XLOOKUP(K193,'Fevereiro 2023 - Valor Real'!A3:A15,'Fevereiro 2023 - Valor Real'!C3:C15,0))+1))),IF(I194="Lay",(((L194/(L194-1)-1)*(1-_xlfn.XLOOKUP(K194,'Fevereiro 2023 - Valor Real'!A3:A15,'Fevereiro 2023 - Valor Real'!C3:C15,0))+1))/(((L193-1)*(1-_xlfn.XLOOKUP(K193,'Fevereiro 2023 - Valor Real'!A3:A15,'Fevereiro 2023 - Valor Real'!C3:C15,0))+1)+((L194/(L194-1)-1)*(1-_xlfn.XLOOKUP(K194,'Fevereiro 2023 - Valor Real'!A3:A15,'Fevereiro 2023 - Valor Real'!C3:C15,0))+1)),((L194-1)*(1-_xlfn.XLOOKUP(K194,'Fevereiro 2023 - Valor Real'!A3:A15,'Fevereiro 2023 - Valor Real'!C3:C15,0))+1)/(((L194-1)*(1-_xlfn.XLOOKUP(K194,'Fevereiro 2023 - Valor Real'!A3:A15,'Fevereiro 2023 - Valor Real'!C3:C15,0))+1)+((L193-1)*(1-_xlfn.XLOOKUP(K193,'Fevereiro 2023 - Valor Real'!A3:A15,'Fevereiro 2023 - Valor Real'!C3:C15,0))+1))))))</f>
        <v>0.47058823529411764</v>
      </c>
      <c r="AF193" s="105">
        <f t="shared" si="366"/>
        <v>0</v>
      </c>
      <c r="AG193" s="106">
        <f t="shared" si="366"/>
        <v>-15.56</v>
      </c>
      <c r="AH193" s="106">
        <f t="shared" si="366"/>
        <v>0</v>
      </c>
      <c r="AI193" s="106">
        <f t="shared" si="366"/>
        <v>0</v>
      </c>
      <c r="AJ193" s="106">
        <f t="shared" si="366"/>
        <v>0</v>
      </c>
      <c r="AK193" s="106">
        <f t="shared" si="366"/>
        <v>0</v>
      </c>
      <c r="AL193" s="106">
        <f t="shared" si="366"/>
        <v>0</v>
      </c>
      <c r="AM193" s="106">
        <f t="shared" si="366"/>
        <v>0</v>
      </c>
      <c r="AN193" s="106">
        <f t="shared" si="366"/>
        <v>0</v>
      </c>
      <c r="AO193" s="106">
        <f t="shared" si="366"/>
        <v>0</v>
      </c>
      <c r="AP193" s="106">
        <f t="shared" si="366"/>
        <v>0</v>
      </c>
      <c r="AQ193" s="106">
        <f t="shared" si="366"/>
        <v>0</v>
      </c>
      <c r="AR193" s="107">
        <f t="shared" si="366"/>
        <v>0</v>
      </c>
      <c r="AS193" s="105">
        <f t="shared" ref="AS193:BE193" si="380">IF(AND($B193=" ",$K193=AS$3),$O193,0)</f>
        <v>0</v>
      </c>
      <c r="AT193" s="106">
        <f t="shared" si="380"/>
        <v>0</v>
      </c>
      <c r="AU193" s="106">
        <f t="shared" si="380"/>
        <v>0</v>
      </c>
      <c r="AV193" s="106">
        <f t="shared" si="380"/>
        <v>0</v>
      </c>
      <c r="AW193" s="106">
        <f t="shared" si="380"/>
        <v>0</v>
      </c>
      <c r="AX193" s="106">
        <f t="shared" si="380"/>
        <v>0</v>
      </c>
      <c r="AY193" s="108">
        <f t="shared" si="380"/>
        <v>0</v>
      </c>
      <c r="AZ193" s="109">
        <f t="shared" si="380"/>
        <v>0</v>
      </c>
      <c r="BA193" s="109">
        <f t="shared" si="380"/>
        <v>0</v>
      </c>
      <c r="BB193" s="109">
        <f t="shared" si="380"/>
        <v>0</v>
      </c>
      <c r="BC193" s="110">
        <f t="shared" si="380"/>
        <v>0</v>
      </c>
      <c r="BD193" s="106">
        <f t="shared" si="380"/>
        <v>0</v>
      </c>
      <c r="BE193" s="107">
        <f t="shared" si="380"/>
        <v>0</v>
      </c>
      <c r="BF193" s="111">
        <f t="shared" si="368"/>
        <v>0</v>
      </c>
      <c r="BG193" s="106">
        <f t="shared" si="368"/>
        <v>15.56</v>
      </c>
      <c r="BH193" s="106">
        <f t="shared" si="368"/>
        <v>0</v>
      </c>
      <c r="BI193" s="106">
        <f t="shared" si="368"/>
        <v>0</v>
      </c>
      <c r="BJ193" s="106">
        <f t="shared" si="368"/>
        <v>0</v>
      </c>
      <c r="BK193" s="106">
        <f t="shared" si="368"/>
        <v>0</v>
      </c>
      <c r="BL193" s="106">
        <f t="shared" si="368"/>
        <v>0</v>
      </c>
      <c r="BM193" s="108">
        <f t="shared" si="368"/>
        <v>0</v>
      </c>
      <c r="BN193" s="109">
        <f t="shared" si="368"/>
        <v>0</v>
      </c>
      <c r="BO193" s="109">
        <f t="shared" si="368"/>
        <v>0</v>
      </c>
      <c r="BP193" s="109">
        <f t="shared" si="368"/>
        <v>0</v>
      </c>
      <c r="BQ193" s="110">
        <f t="shared" si="368"/>
        <v>0</v>
      </c>
      <c r="BR193" s="107">
        <f t="shared" si="368"/>
        <v>0</v>
      </c>
      <c r="BS193" s="463">
        <f>IF($B193="LOSS",IF(AND($K193=BS$3,$C193="L"),-$O193,0)+IF(AND($K194=BS$3,$C194="L"),-$O194,0)+IF(AND($K195=BS$3,$C195="L"),-$O195,0),IF(OR(AND($K193=BS$3,OR($C193="W",$C193="1/2W")),AND($K194=BS$3,OR($C194="W",$C194="1/2W")),AND($K195=BS$3,OR($C195="W",$C195="1/2W"))),$S193,0))</f>
        <v>1.94</v>
      </c>
      <c r="BT193" s="462">
        <f>IF($B193="LOSS",IF(AND($K193=BT$3,$C193="L"),-$O193,0)+IF(AND($K194=BT$3,$C194="L"),-$O194,0)+IF(AND($K194=BT$3,$C195="L"),-$O195,0),IF(OR(AND($K194=BT$3,OR($C193="W",$C193="1/2W")),AND($K194=BT$3,OR($C194="W",$C194="1/2W")),AND($K194=BT$3,OR($C195="W",$C195="1/2W"))),$S193,0))</f>
        <v>0</v>
      </c>
      <c r="BU193" s="462">
        <f>IF($B193="LOSS",IF(AND($K193=BU$3,$C193="L"),-$O193,0)+IF(AND($K194=BU$3,$C194="L"),-$O194,0)+IF(AND($K194=BU$3,$C195="L"),-$O195,0),IF(OR(AND($K194=BU$3,OR($C193="W",$C193="1/2W")),AND($K194=BU$3,OR($C194="W",$C194="1/2W")),AND($K194=BU$3,OR($C195="W",$C195="1/2W"))),$S193,0))</f>
        <v>0</v>
      </c>
      <c r="BV193" s="462">
        <f t="shared" ref="BV193:CE193" si="381">IF($B193="LOSS",IF(AND($K193=BV$3,$C193="L"),-$O193,0)+IF(AND($K194=BV$3,$C194="L"),-$O194,0)+IF(AND($K195=BV$3,$C195="L"),-$O195,0),IF(OR(AND($K193=BV$3,OR($C193="W",$C193="1/2W")),AND($K194=BV$3,OR($C194="W",$C194="1/2W")),AND($K195=BV$3,OR($C195="W",$C195="1/2W"))),$S193,0))</f>
        <v>0</v>
      </c>
      <c r="BW193" s="462">
        <f t="shared" si="381"/>
        <v>0</v>
      </c>
      <c r="BX193" s="462">
        <f t="shared" si="381"/>
        <v>0</v>
      </c>
      <c r="BY193" s="462">
        <f t="shared" si="381"/>
        <v>0</v>
      </c>
      <c r="BZ193" s="460">
        <f t="shared" si="381"/>
        <v>0</v>
      </c>
      <c r="CA193" s="460">
        <f t="shared" si="381"/>
        <v>0</v>
      </c>
      <c r="CB193" s="460">
        <f t="shared" si="381"/>
        <v>0</v>
      </c>
      <c r="CC193" s="460">
        <f t="shared" si="381"/>
        <v>0</v>
      </c>
      <c r="CD193" s="473">
        <f t="shared" si="381"/>
        <v>0</v>
      </c>
      <c r="CE193" s="479">
        <f t="shared" si="381"/>
        <v>0</v>
      </c>
      <c r="CF193" s="113">
        <f t="shared" si="258"/>
        <v>0</v>
      </c>
      <c r="CG193" s="114">
        <f t="shared" si="259"/>
        <v>0</v>
      </c>
      <c r="CH193" s="114">
        <f t="shared" si="260"/>
        <v>0</v>
      </c>
      <c r="CI193" s="114">
        <f t="shared" si="261"/>
        <v>1</v>
      </c>
      <c r="CJ193" s="114">
        <f t="shared" si="262"/>
        <v>0</v>
      </c>
      <c r="CK193" s="114">
        <f t="shared" si="263"/>
        <v>0</v>
      </c>
      <c r="CL193" s="114">
        <f t="shared" si="264"/>
        <v>0</v>
      </c>
      <c r="CM193" s="114">
        <f t="shared" si="265"/>
        <v>0</v>
      </c>
      <c r="CN193" s="114">
        <f t="shared" si="266"/>
        <v>0</v>
      </c>
      <c r="CO193" s="114">
        <f t="shared" si="267"/>
        <v>0</v>
      </c>
      <c r="CP193" s="114">
        <f t="shared" si="268"/>
        <v>0</v>
      </c>
      <c r="CQ193" s="114">
        <f t="shared" si="269"/>
        <v>0</v>
      </c>
      <c r="CR193" s="114">
        <f t="shared" si="270"/>
        <v>0</v>
      </c>
      <c r="CS193" s="114">
        <f t="shared" si="271"/>
        <v>0</v>
      </c>
      <c r="CT193" s="115">
        <f t="shared" si="272"/>
        <v>0</v>
      </c>
      <c r="CU193" s="116">
        <f t="shared" si="273"/>
        <v>0</v>
      </c>
      <c r="CV193" s="116">
        <f t="shared" si="274"/>
        <v>0</v>
      </c>
      <c r="CW193" s="116">
        <f t="shared" si="275"/>
        <v>0</v>
      </c>
      <c r="CX193" s="116">
        <f t="shared" si="276"/>
        <v>0</v>
      </c>
      <c r="CY193" s="116">
        <f t="shared" si="277"/>
        <v>0</v>
      </c>
      <c r="CZ193" s="116">
        <f t="shared" si="278"/>
        <v>0</v>
      </c>
      <c r="DA193" s="116">
        <f t="shared" si="279"/>
        <v>0</v>
      </c>
      <c r="DB193" s="116">
        <f t="shared" si="280"/>
        <v>0</v>
      </c>
      <c r="DC193" s="116">
        <f t="shared" si="281"/>
        <v>0</v>
      </c>
      <c r="DD193" s="116">
        <f t="shared" si="282"/>
        <v>0</v>
      </c>
      <c r="DE193" s="117">
        <f t="shared" si="283"/>
        <v>0</v>
      </c>
      <c r="DF193" s="118">
        <f t="shared" si="286"/>
        <v>12</v>
      </c>
      <c r="DG193" s="106">
        <f t="shared" si="287"/>
        <v>15.760000000000002</v>
      </c>
      <c r="DH193" s="116">
        <f t="shared" si="288"/>
        <v>6</v>
      </c>
      <c r="DI193" s="106">
        <f t="shared" si="289"/>
        <v>25.63</v>
      </c>
      <c r="DJ193" s="201" t="str">
        <f>IF($D193="","",$D193)</f>
        <v>6</v>
      </c>
      <c r="DK193" s="465">
        <f>IF(AND($B193=" ",$D193&lt;&gt;""),1,0)</f>
        <v>0</v>
      </c>
    </row>
    <row r="194" spans="1:115" ht="14.5" customHeight="1" x14ac:dyDescent="0.2">
      <c r="A194" s="389"/>
      <c r="B194" s="456"/>
      <c r="C194" s="120" t="s">
        <v>54</v>
      </c>
      <c r="D194" s="374"/>
      <c r="E194" s="386"/>
      <c r="F194" s="377"/>
      <c r="G194" s="483"/>
      <c r="H194" s="476"/>
      <c r="I194" s="121" t="s">
        <v>52</v>
      </c>
      <c r="J194" s="122">
        <f>IF(OR(I193="TO",I193="TU",I193="TO1",I193="TU1",I193="TO2",I193="TU2"),J193,IF(OR(I193="AH1",I193="AH2"),IF(OR(I194="AH1",I194="AH2"),-J193,IF(OR(I194="EH1",I194="EH2"),-J193+0.5,"")),IF(OR(I193="EH1",I193="EH2"),IF(OR(I194="AH1",I194="AH2"),-J193+0.5,IF(OR(I194="EH1",I194="EH2"),-J193+1,"")),IF(AND(OR(I193="DNB1",I193="DNB2"),OR(I194="AH1",I194="AH2")),0,IF(AND(I193="Not ScoreBoth",OR(I194="TO1",I194="TO2")),0.5,"")))))</f>
        <v>9.5</v>
      </c>
      <c r="K194" s="123" t="s">
        <v>36</v>
      </c>
      <c r="L194" s="124">
        <v>2</v>
      </c>
      <c r="M194" s="125">
        <v>17.5</v>
      </c>
      <c r="N194" s="406"/>
      <c r="O194" s="126">
        <f>IF(OR(AE193="",AE194=""),"",ROUND(IF(L195&gt;0,IF(M194&gt;0,M194,IF(M193&gt;0,IF(N193=TRUE,ROUND((M193*AE194)/AE193,0),(M193*AE194)/AE193),IF(M194&gt;0,ROUND(M194,IF(N193=0,2,IF(N193=0.1,1,0))),IF(M195&gt;0,ROUND(O195*AE194/AE195,IF(N193=0,2,IF(N193=0.1,1,0))),0)))),IF(M194&gt;0,M194,ROUND((M193*AE194)/AE193,IF(N193=0,2,IF(N193=0.1,1,0))))),2))</f>
        <v>17.5</v>
      </c>
      <c r="P194" s="127">
        <f>IF(OR(L194="",O194=""),"",IF($C194="1/2W",O194/2+O194/2*L194,IF($C194="1/2L",O194/2,IF(I194="Lay",((O194*(L194/(L194-1)))-O194)*(1-_xlfn.XLOOKUP(K194,'Fevereiro 2023 - Valor Real'!A3:A15,'Fevereiro 2023 - Valor Real'!C3:C15,0))+O194,(O194*L194-O194)*(1-_xlfn.XLOOKUP(K194,'Fevereiro 2023 - Valor Real'!A3:A15,'Fevereiro 2023 - Valor Real'!C3:C15,0))+O194))))</f>
        <v>35</v>
      </c>
      <c r="Q194" s="128">
        <f>IF(K194="","",IF(_xlfn.XLOOKUP(K194,K$7:K188,$DJ$7:DJ188,0,,-1)=DJ194,_xlfn.XLOOKUP(K194,K$7:K188,Q$7:Q188,1,,-1)+1,1))</f>
        <v>2</v>
      </c>
      <c r="R194" s="129">
        <f>IF(K194="","",_xlfn.XLOOKUP(K194,K$7:K188,R$7:R188,0,,-1)+IF($C194=" ",1,0))</f>
        <v>0</v>
      </c>
      <c r="S194" s="403"/>
      <c r="T194" s="380"/>
      <c r="U194" s="380"/>
      <c r="V194" s="481"/>
      <c r="W194" s="380"/>
      <c r="X194" s="452"/>
      <c r="Y194" s="383"/>
      <c r="Z194" s="384"/>
      <c r="AA194" s="384"/>
      <c r="AB194" s="384"/>
      <c r="AC194" s="384"/>
      <c r="AD194" s="130">
        <f>(((L194/(L194-1)-1)*(1-_xlfn.XLOOKUP(K194,'Fevereiro 2023 - Valor Real'!A3:A15,'Fevereiro 2023 - Valor Real'!C3:C15,0))+1))</f>
        <v>2</v>
      </c>
      <c r="AE194" s="131">
        <f>IF(L194="","",IF(L195&gt;0,(SUM(((L193-1)*(1-_xlfn.XLOOKUP(K193,'Fevereiro 2023 - Valor Real'!A3:A15,'Fevereiro 2023 - Valor Real'!C3:C15,0))+1),((L194-1)*(1-_xlfn.XLOOKUP(K194,'Fevereiro 2023 - Valor Real'!A3:A15,'Fevereiro 2023 - Valor Real'!C3:C15,0))+1),((L195-1)*(1-_xlfn.XLOOKUP(K195,'Fevereiro 2023 - Valor Real'!A3:A15,'Fevereiro 2023 - Valor Real'!C3:C15,0))+1))/((L194-1)*(1-_xlfn.XLOOKUP(K194,'Fevereiro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Real'!C3:C15,0))+1))/((L193-1)*(1-_xlfn.XLOOKUP(K193,'Fevereiro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Real'!C3:C15,0))+1))/((L194-1)*(1-_xlfn.XLOOKUP(K194,'Fevereiro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Real'!C3:C15,0))+1))/((L195-1)*(1-_xlfn.XLOOKUP(K195,'Fevereiro 2023 - Valor Real'!A3:A15,'Fevereiro 2023 - Valor Real'!C3:C15,0))+1)),IF(I194="Lay",IF(I193="Lay",((L193/(L193-1)-1)*(1-_xlfn.XLOOKUP(K193,'Fevereiro 2023 - Valor Real'!A3:A15,'Fevereiro 2023 - Valor Real'!C3:C15,0))+1)/(((L193/(L193-1)-1)*(1-_xlfn.XLOOKUP(K193,'Fevereiro 2023 - Valor Real'!A3:A15,'Fevereiro 2023 - Valor Real'!C3:C15,0))+1)+((L194/(L194-1)-1)*(1-_xlfn.XLOOKUP(K194,'Fevereiro 2023 - Valor Real'!A3:A15,'Fevereiro 2023 - Valor Real'!C3:C15,0))+1)),((L193-1)*(1-_xlfn.XLOOKUP(K193,'Fevereiro 2023 - Valor Real'!A3:A15,'Fevereiro 2023 - Valor Real'!C3:C15,0))+1)/(((L193-1)*(1-_xlfn.XLOOKUP(K193,'Fevereiro 2023 - Valor Real'!A3:A15,'Fevereiro 2023 - Valor Real'!C3:C15,0))+1)+((L194/(L194-1)-1)*(1-_xlfn.XLOOKUP(K194,'Fevereiro 2023 - Valor Real'!A3:A15,'Fevereiro 2023 - Valor Real'!C3:C15,0))+1))),IF(I193="Lay",((L193/(L193-1)-1)*(1-_xlfn.XLOOKUP(K193,'Fevereiro 2023 - Valor Real'!A3:A15,'Fevereiro 2023 - Valor Real'!C3:C15,0))+1)/((((L193/(L193-1)-1)*(1-_xlfn.XLOOKUP(K193,'Fevereiro 2023 - Valor Real'!A3:A15,'Fevereiro 2023 - Valor Real'!C3:C15,0))+1))+((L194-1)*(1-_xlfn.XLOOKUP(K194,'Fevereiro 2023 - Valor Real'!A3:A15,'Fevereiro 2023 - Valor Real'!C3:C15,0))+1)),((L193-1)*(1-_xlfn.XLOOKUP(K193,'Fevereiro 2023 - Valor Real'!A3:A15,'Fevereiro 2023 - Valor Real'!C3:C15,0))+1)/(((L193-1)*(1-_xlfn.XLOOKUP(K193,'Fevereiro 2023 - Valor Real'!A3:A15,'Fevereiro 2023 - Valor Real'!C3:C15,0))+1)+((L194-1)*(1-_xlfn.XLOOKUP(K194,'Fevereiro 2023 - Valor Real'!A3:A15,'Fevereiro 2023 - Valor Real'!C3:C15,0))+1))))))</f>
        <v>0.52941176470588236</v>
      </c>
      <c r="AF194" s="105">
        <f t="shared" ref="AF194:AR203" si="382">IF($K194=AF$3,ROUND(IF(OR($C194="W",$C194="1/2W",$C194="1/2L"),$P194-$O194,IF($C194="X",0,-$O194)),2),0)</f>
        <v>17.5</v>
      </c>
      <c r="AG194" s="106">
        <f t="shared" si="382"/>
        <v>0</v>
      </c>
      <c r="AH194" s="106">
        <f t="shared" si="382"/>
        <v>0</v>
      </c>
      <c r="AI194" s="106">
        <f t="shared" si="382"/>
        <v>0</v>
      </c>
      <c r="AJ194" s="106">
        <f t="shared" si="382"/>
        <v>0</v>
      </c>
      <c r="AK194" s="106">
        <f t="shared" si="382"/>
        <v>0</v>
      </c>
      <c r="AL194" s="106">
        <f t="shared" si="382"/>
        <v>0</v>
      </c>
      <c r="AM194" s="106">
        <f t="shared" si="382"/>
        <v>0</v>
      </c>
      <c r="AN194" s="106">
        <f t="shared" si="382"/>
        <v>0</v>
      </c>
      <c r="AO194" s="106">
        <f t="shared" si="382"/>
        <v>0</v>
      </c>
      <c r="AP194" s="106">
        <f t="shared" si="382"/>
        <v>0</v>
      </c>
      <c r="AQ194" s="106">
        <f t="shared" si="382"/>
        <v>0</v>
      </c>
      <c r="AR194" s="107">
        <f t="shared" si="382"/>
        <v>0</v>
      </c>
      <c r="AS194" s="105">
        <f>IF(AND($B193=" ",$K194=AS$3),$O194,0)</f>
        <v>0</v>
      </c>
      <c r="AT194" s="106">
        <f>IF(AND($B193=" ",K194=AT$3),$O194,0)</f>
        <v>0</v>
      </c>
      <c r="AU194" s="106">
        <f t="shared" ref="AU194:BE194" si="383">IF(AND($B193=" ",$K194=AU$3),$O194,0)</f>
        <v>0</v>
      </c>
      <c r="AV194" s="106">
        <f t="shared" si="383"/>
        <v>0</v>
      </c>
      <c r="AW194" s="106">
        <f t="shared" si="383"/>
        <v>0</v>
      </c>
      <c r="AX194" s="106">
        <f t="shared" si="383"/>
        <v>0</v>
      </c>
      <c r="AY194" s="108">
        <f t="shared" si="383"/>
        <v>0</v>
      </c>
      <c r="AZ194" s="109">
        <f t="shared" si="383"/>
        <v>0</v>
      </c>
      <c r="BA194" s="109">
        <f t="shared" si="383"/>
        <v>0</v>
      </c>
      <c r="BB194" s="109">
        <f t="shared" si="383"/>
        <v>0</v>
      </c>
      <c r="BC194" s="110">
        <f t="shared" si="383"/>
        <v>0</v>
      </c>
      <c r="BD194" s="106">
        <f t="shared" si="383"/>
        <v>0</v>
      </c>
      <c r="BE194" s="107">
        <f t="shared" si="383"/>
        <v>0</v>
      </c>
      <c r="BF194" s="105">
        <f t="shared" ref="BF194:BR203" si="384">IF($K194=BF$3,IF($C194="X",0,$O194),0)</f>
        <v>17.5</v>
      </c>
      <c r="BG194" s="106">
        <f t="shared" si="384"/>
        <v>0</v>
      </c>
      <c r="BH194" s="106">
        <f t="shared" si="384"/>
        <v>0</v>
      </c>
      <c r="BI194" s="106">
        <f t="shared" si="384"/>
        <v>0</v>
      </c>
      <c r="BJ194" s="106">
        <f t="shared" si="384"/>
        <v>0</v>
      </c>
      <c r="BK194" s="106">
        <f t="shared" si="384"/>
        <v>0</v>
      </c>
      <c r="BL194" s="106">
        <f t="shared" si="384"/>
        <v>0</v>
      </c>
      <c r="BM194" s="132">
        <f t="shared" si="384"/>
        <v>0</v>
      </c>
      <c r="BN194" s="112">
        <f t="shared" si="384"/>
        <v>0</v>
      </c>
      <c r="BO194" s="112">
        <f t="shared" si="384"/>
        <v>0</v>
      </c>
      <c r="BP194" s="112">
        <f t="shared" si="384"/>
        <v>0</v>
      </c>
      <c r="BQ194" s="110">
        <f t="shared" si="384"/>
        <v>0</v>
      </c>
      <c r="BR194" s="107">
        <f t="shared" si="384"/>
        <v>0</v>
      </c>
      <c r="BS194" s="464"/>
      <c r="BT194" s="461"/>
      <c r="BU194" s="392"/>
      <c r="BV194" s="461"/>
      <c r="BW194" s="392"/>
      <c r="BX194" s="392"/>
      <c r="BY194" s="392"/>
      <c r="BZ194" s="461"/>
      <c r="CA194" s="392"/>
      <c r="CB194" s="392"/>
      <c r="CC194" s="392"/>
      <c r="CD194" s="401"/>
      <c r="CE194" s="409"/>
      <c r="CF194" s="133">
        <f t="shared" si="258"/>
        <v>1</v>
      </c>
      <c r="CG194" s="134">
        <f t="shared" si="259"/>
        <v>0</v>
      </c>
      <c r="CH194" s="134">
        <f t="shared" si="260"/>
        <v>0</v>
      </c>
      <c r="CI194" s="134">
        <f t="shared" si="261"/>
        <v>0</v>
      </c>
      <c r="CJ194" s="134">
        <f t="shared" si="262"/>
        <v>0</v>
      </c>
      <c r="CK194" s="134">
        <f t="shared" si="263"/>
        <v>0</v>
      </c>
      <c r="CL194" s="134">
        <f t="shared" si="264"/>
        <v>0</v>
      </c>
      <c r="CM194" s="134">
        <f t="shared" si="265"/>
        <v>0</v>
      </c>
      <c r="CN194" s="134">
        <f t="shared" si="266"/>
        <v>0</v>
      </c>
      <c r="CO194" s="134">
        <f t="shared" si="267"/>
        <v>0</v>
      </c>
      <c r="CP194" s="134">
        <f t="shared" si="268"/>
        <v>0</v>
      </c>
      <c r="CQ194" s="134">
        <f t="shared" si="269"/>
        <v>0</v>
      </c>
      <c r="CR194" s="134">
        <f t="shared" si="270"/>
        <v>0</v>
      </c>
      <c r="CS194" s="134">
        <f t="shared" si="271"/>
        <v>0</v>
      </c>
      <c r="CT194" s="115">
        <f t="shared" si="272"/>
        <v>0</v>
      </c>
      <c r="CU194" s="116">
        <f t="shared" si="273"/>
        <v>0</v>
      </c>
      <c r="CV194" s="116">
        <f t="shared" si="274"/>
        <v>0</v>
      </c>
      <c r="CW194" s="116">
        <f t="shared" si="275"/>
        <v>0</v>
      </c>
      <c r="CX194" s="116">
        <f t="shared" si="276"/>
        <v>0</v>
      </c>
      <c r="CY194" s="116">
        <f t="shared" si="277"/>
        <v>0</v>
      </c>
      <c r="CZ194" s="116">
        <f t="shared" si="278"/>
        <v>0</v>
      </c>
      <c r="DA194" s="116">
        <f t="shared" si="279"/>
        <v>0</v>
      </c>
      <c r="DB194" s="116">
        <f t="shared" si="280"/>
        <v>0</v>
      </c>
      <c r="DC194" s="116">
        <f t="shared" si="281"/>
        <v>0</v>
      </c>
      <c r="DD194" s="116">
        <f t="shared" si="282"/>
        <v>0</v>
      </c>
      <c r="DE194" s="117">
        <f t="shared" si="283"/>
        <v>0</v>
      </c>
      <c r="DF194" s="118">
        <f t="shared" si="286"/>
        <v>12</v>
      </c>
      <c r="DG194" s="106">
        <f t="shared" si="287"/>
        <v>15.760000000000002</v>
      </c>
      <c r="DH194" s="116">
        <f t="shared" si="288"/>
        <v>6</v>
      </c>
      <c r="DI194" s="106">
        <f t="shared" si="289"/>
        <v>25.63</v>
      </c>
      <c r="DJ194" s="201" t="str">
        <f>IF($D193="","",$D193)</f>
        <v>6</v>
      </c>
      <c r="DK194" s="466"/>
    </row>
    <row r="195" spans="1:115" ht="14.5" customHeight="1" x14ac:dyDescent="0.2">
      <c r="A195" s="390"/>
      <c r="B195" s="457"/>
      <c r="C195" s="135" t="s">
        <v>53</v>
      </c>
      <c r="D195" s="375"/>
      <c r="E195" s="387"/>
      <c r="F195" s="378"/>
      <c r="G195" s="484"/>
      <c r="H195" s="477"/>
      <c r="I195" s="136"/>
      <c r="J195" s="137"/>
      <c r="K195" s="138"/>
      <c r="L195" s="139"/>
      <c r="M195" s="140"/>
      <c r="N195" s="407"/>
      <c r="O195" s="141" t="str">
        <f>IF(OR(AE193="",AE194=""),"",IF(L195&gt;0,ROUND(IF(M195&gt;0,M195,IF(M193&gt;0,ROUND((M193*AE195)/AE193,IF(N193=0,2,IF(N193=0.1,1,0))),IF(M194&gt;0,ROUND((M194*AE195)/AE194,IF(N193=0,2,IF(N193=0.1,1,0))),IF(M195&gt;0,M195,0)))),2),""))</f>
        <v/>
      </c>
      <c r="P195" s="142" t="str">
        <f>IF(I194="Lay",O194*(L194/(L194-1))-O194,IF(I193="Lay",O193*(L193/(L193-1))-O193,IF(OR(L195="",O195=""),"",IF($C195="1/2W",O195/2+O195/2*L195,IF($C195="1/2L",O195/2,(O195*L195-O195)*(1-_xlfn.XLOOKUP(K195,'Fevereiro 2023 - Valor Real'!A3:A15,'Fevereiro 2023 - Valor Real'!C3:C15,0))+O195)))))</f>
        <v/>
      </c>
      <c r="Q195" s="143" t="str">
        <f>IF(K195="","",IF(_xlfn.XLOOKUP(K195,K$8:K188,$DJ$8:DJ188,0,,-1)=DJ195,_xlfn.XLOOKUP(K195,K$8:K188,Q$8:Q188,1,,-1)+1,1))</f>
        <v/>
      </c>
      <c r="R195" s="144" t="str">
        <f>IF(K195="","",_xlfn.XLOOKUP(K195,K$8:K188,R$8:R188,0,,-1)+IF($C195=" ",1,0))</f>
        <v/>
      </c>
      <c r="S195" s="404"/>
      <c r="T195" s="378"/>
      <c r="U195" s="378"/>
      <c r="V195" s="404"/>
      <c r="W195" s="378"/>
      <c r="X195" s="453"/>
      <c r="Y195" s="383"/>
      <c r="Z195" s="384"/>
      <c r="AA195" s="384"/>
      <c r="AB195" s="384"/>
      <c r="AC195" s="384"/>
      <c r="AD195" s="145">
        <f>((L194/(L194-1)-1))</f>
        <v>1</v>
      </c>
      <c r="AE195" s="146" t="str">
        <f>IF(L195="","",(SUM(((L193-1)*(1-_xlfn.XLOOKUP(K193,'Fevereiro 2023 - Valor Real'!A3:A15,'Fevereiro 2023 - Valor Real'!C3:C15,0))+1),((L194-1)*(1-_xlfn.XLOOKUP(K194,'Fevereiro 2023 - Valor Real'!A3:A15,'Fevereiro 2023 - Valor Real'!C3:C15,0))+1),((L195-1)*(1-_xlfn.XLOOKUP(K195,'Fevereiro 2023 - Valor Real'!A3:A15,'Fevereiro 2023 - Valor Real'!C3:C15,0))+1))/((L195-1)*(1-_xlfn.XLOOKUP(K195,'Fevereiro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Real'!C3:C15,0))+1))/((L193-1)*(1-_xlfn.XLOOKUP(K193,'Fevereiro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Real'!C3:C15,0))+1))/((L194-1)*(1-_xlfn.XLOOKUP(K194,'Fevereiro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Real'!C3:C15,0))+1))/((L195-1)*(1-_xlfn.XLOOKUP(K195,'Fevereiro 2023 - Valor Real'!A3:A15,'Fevereiro 2023 - Valor Real'!C3:C15,0))+1)))</f>
        <v/>
      </c>
      <c r="AF195" s="105">
        <f t="shared" si="382"/>
        <v>0</v>
      </c>
      <c r="AG195" s="106">
        <f t="shared" si="382"/>
        <v>0</v>
      </c>
      <c r="AH195" s="106">
        <f t="shared" si="382"/>
        <v>0</v>
      </c>
      <c r="AI195" s="106">
        <f t="shared" si="382"/>
        <v>0</v>
      </c>
      <c r="AJ195" s="106">
        <f t="shared" si="382"/>
        <v>0</v>
      </c>
      <c r="AK195" s="106">
        <f t="shared" si="382"/>
        <v>0</v>
      </c>
      <c r="AL195" s="106">
        <f t="shared" si="382"/>
        <v>0</v>
      </c>
      <c r="AM195" s="106">
        <f t="shared" si="382"/>
        <v>0</v>
      </c>
      <c r="AN195" s="106">
        <f t="shared" si="382"/>
        <v>0</v>
      </c>
      <c r="AO195" s="106">
        <f t="shared" si="382"/>
        <v>0</v>
      </c>
      <c r="AP195" s="106">
        <f t="shared" si="382"/>
        <v>0</v>
      </c>
      <c r="AQ195" s="106">
        <f t="shared" si="382"/>
        <v>0</v>
      </c>
      <c r="AR195" s="107">
        <f t="shared" si="382"/>
        <v>0</v>
      </c>
      <c r="AS195" s="105">
        <f>IF(AND($B193=" ",$K195=AS$3),$O195,0)</f>
        <v>0</v>
      </c>
      <c r="AT195" s="106">
        <f>IF(AND($B193=" ",K195=AT$3),$O195,0)</f>
        <v>0</v>
      </c>
      <c r="AU195" s="106">
        <f t="shared" ref="AU195:BE195" si="385">IF(AND($B193=" ",$K195=AU$3),$O195,0)</f>
        <v>0</v>
      </c>
      <c r="AV195" s="106">
        <f t="shared" si="385"/>
        <v>0</v>
      </c>
      <c r="AW195" s="106">
        <f t="shared" si="385"/>
        <v>0</v>
      </c>
      <c r="AX195" s="106">
        <f t="shared" si="385"/>
        <v>0</v>
      </c>
      <c r="AY195" s="108">
        <f t="shared" si="385"/>
        <v>0</v>
      </c>
      <c r="AZ195" s="109">
        <f t="shared" si="385"/>
        <v>0</v>
      </c>
      <c r="BA195" s="109">
        <f t="shared" si="385"/>
        <v>0</v>
      </c>
      <c r="BB195" s="109">
        <f t="shared" si="385"/>
        <v>0</v>
      </c>
      <c r="BC195" s="110">
        <f t="shared" si="385"/>
        <v>0</v>
      </c>
      <c r="BD195" s="106">
        <f t="shared" si="385"/>
        <v>0</v>
      </c>
      <c r="BE195" s="107">
        <f t="shared" si="385"/>
        <v>0</v>
      </c>
      <c r="BF195" s="105">
        <f t="shared" si="384"/>
        <v>0</v>
      </c>
      <c r="BG195" s="106">
        <f t="shared" si="384"/>
        <v>0</v>
      </c>
      <c r="BH195" s="106">
        <f t="shared" si="384"/>
        <v>0</v>
      </c>
      <c r="BI195" s="106">
        <f t="shared" si="384"/>
        <v>0</v>
      </c>
      <c r="BJ195" s="106">
        <f t="shared" si="384"/>
        <v>0</v>
      </c>
      <c r="BK195" s="106">
        <f t="shared" si="384"/>
        <v>0</v>
      </c>
      <c r="BL195" s="106">
        <f t="shared" si="384"/>
        <v>0</v>
      </c>
      <c r="BM195" s="108">
        <f t="shared" si="384"/>
        <v>0</v>
      </c>
      <c r="BN195" s="109">
        <f t="shared" si="384"/>
        <v>0</v>
      </c>
      <c r="BO195" s="109">
        <f t="shared" si="384"/>
        <v>0</v>
      </c>
      <c r="BP195" s="109">
        <f t="shared" si="384"/>
        <v>0</v>
      </c>
      <c r="BQ195" s="110">
        <f t="shared" si="384"/>
        <v>0</v>
      </c>
      <c r="BR195" s="107">
        <f t="shared" si="384"/>
        <v>0</v>
      </c>
      <c r="BS195" s="464"/>
      <c r="BT195" s="461"/>
      <c r="BU195" s="392"/>
      <c r="BV195" s="461"/>
      <c r="BW195" s="392"/>
      <c r="BX195" s="392"/>
      <c r="BY195" s="392"/>
      <c r="BZ195" s="461"/>
      <c r="CA195" s="392"/>
      <c r="CB195" s="392"/>
      <c r="CC195" s="392"/>
      <c r="CD195" s="401"/>
      <c r="CE195" s="409"/>
      <c r="CF195" s="133">
        <f t="shared" si="258"/>
        <v>0</v>
      </c>
      <c r="CG195" s="134">
        <f t="shared" si="259"/>
        <v>0</v>
      </c>
      <c r="CH195" s="134">
        <f t="shared" si="260"/>
        <v>0</v>
      </c>
      <c r="CI195" s="134">
        <f t="shared" si="261"/>
        <v>0</v>
      </c>
      <c r="CJ195" s="134">
        <f t="shared" si="262"/>
        <v>0</v>
      </c>
      <c r="CK195" s="134">
        <f t="shared" si="263"/>
        <v>0</v>
      </c>
      <c r="CL195" s="134">
        <f t="shared" si="264"/>
        <v>0</v>
      </c>
      <c r="CM195" s="134">
        <f t="shared" si="265"/>
        <v>0</v>
      </c>
      <c r="CN195" s="134">
        <f t="shared" si="266"/>
        <v>0</v>
      </c>
      <c r="CO195" s="134">
        <f t="shared" si="267"/>
        <v>0</v>
      </c>
      <c r="CP195" s="134">
        <f t="shared" si="268"/>
        <v>0</v>
      </c>
      <c r="CQ195" s="134">
        <f t="shared" si="269"/>
        <v>0</v>
      </c>
      <c r="CR195" s="134">
        <f t="shared" si="270"/>
        <v>0</v>
      </c>
      <c r="CS195" s="134">
        <f t="shared" si="271"/>
        <v>0</v>
      </c>
      <c r="CT195" s="115">
        <f t="shared" si="272"/>
        <v>0</v>
      </c>
      <c r="CU195" s="116">
        <f t="shared" si="273"/>
        <v>0</v>
      </c>
      <c r="CV195" s="116">
        <f t="shared" si="274"/>
        <v>0</v>
      </c>
      <c r="CW195" s="116">
        <f t="shared" si="275"/>
        <v>0</v>
      </c>
      <c r="CX195" s="116">
        <f t="shared" si="276"/>
        <v>0</v>
      </c>
      <c r="CY195" s="116">
        <f t="shared" si="277"/>
        <v>0</v>
      </c>
      <c r="CZ195" s="116">
        <f t="shared" si="278"/>
        <v>0</v>
      </c>
      <c r="DA195" s="116">
        <f t="shared" si="279"/>
        <v>0</v>
      </c>
      <c r="DB195" s="116">
        <f t="shared" si="280"/>
        <v>0</v>
      </c>
      <c r="DC195" s="116">
        <f t="shared" si="281"/>
        <v>0</v>
      </c>
      <c r="DD195" s="116">
        <f t="shared" si="282"/>
        <v>0</v>
      </c>
      <c r="DE195" s="117">
        <f t="shared" si="283"/>
        <v>0</v>
      </c>
      <c r="DF195" s="118">
        <f t="shared" si="286"/>
        <v>12</v>
      </c>
      <c r="DG195" s="106">
        <f t="shared" si="287"/>
        <v>15.760000000000002</v>
      </c>
      <c r="DH195" s="116">
        <f t="shared" si="288"/>
        <v>6</v>
      </c>
      <c r="DI195" s="106">
        <f t="shared" si="289"/>
        <v>25.63</v>
      </c>
      <c r="DJ195" s="201" t="str">
        <f>IF($D193="","",$D193)</f>
        <v>6</v>
      </c>
      <c r="DK195" s="466"/>
    </row>
    <row r="196" spans="1:115" ht="14.5" customHeight="1" x14ac:dyDescent="0.2">
      <c r="A196" s="487">
        <f>$A193+1</f>
        <v>65</v>
      </c>
      <c r="B196" s="506" t="str">
        <f>IF(OR(C196="W",C197="W",C198="W",C196="1/2W",C197="1/2W",C198="1/2W",C196="1/2L",C197="1/2L",C198="1/2L"),"OK",IF(OR(C196="L",C197="L",C198="L"),"LOSS",IF(OR(C196="X",C197="X",C198="X"),"Anulado"," ")))</f>
        <v>OK</v>
      </c>
      <c r="C196" s="147" t="s">
        <v>55</v>
      </c>
      <c r="D196" s="494" t="str">
        <f>IF(G196="","",$D193)</f>
        <v>6</v>
      </c>
      <c r="E196" s="511" t="str">
        <f>IF(G196=""," ","– "&amp;COUNTIF(D$4:D198,$D196))</f>
        <v>– 8</v>
      </c>
      <c r="F196" s="510" t="str">
        <f ca="1">IF(G196="","",IF(OR(AND($C196&lt;&gt;" ",$C197=" "),AND($C197&lt;&gt;" ",$C196=" "),AND(L198&gt;0,OR(AND($C198&lt;&gt;" ",OR($C196=" ",$C197=" ")),AND($C198=" ",OR($C196&lt;&gt;" ",$C197&lt;&gt;" "))))),IF(SUM(F$9:F188)=0,1,LARGE(F$9:F188,1)+1),IF(MONTH(G196)=MONTH(TODAY()),IF(AND(DAY(G196)&lt;DAY(TODAY()),$B196=" "),IF(SUM(F$9:F188)=0,1,LARGE(F$9:F188,1)+1),IF($B196=" ",IF(AND(DAY(G196)=DAY(TODAY()),HOUR(G196)&lt;=HOUR(NOW())+1),IF(AND(HOUR(G196)+2&lt;=HOUR(NOW()),DAY(G196)&lt;=DAY(TODAY()),MINUTE(G196)&lt;=MINUTE(NOW())),IF(SUM(F$9:F188)=0,1,LARGE(F$9:F188,1)+1),IF(OR(MINUTE(G196)&lt;=MINUTE(NOW()),HOUR(G196)&lt;=HOUR(NOW())),"!!!","")),""),"")),"")))</f>
        <v/>
      </c>
      <c r="G196" s="508">
        <v>44993.5</v>
      </c>
      <c r="H196" s="502" t="s">
        <v>115</v>
      </c>
      <c r="I196" s="148">
        <v>1</v>
      </c>
      <c r="J196" s="149"/>
      <c r="K196" s="150" t="s">
        <v>39</v>
      </c>
      <c r="L196" s="151">
        <v>11</v>
      </c>
      <c r="M196" s="152">
        <v>1.66</v>
      </c>
      <c r="N196" s="503">
        <v>1</v>
      </c>
      <c r="O196" s="153">
        <f>IF(OR(AE196="",AE197=""),"",ROUND(IF(L198&gt;0,IF(M196&gt;0,M196,IF(M197&gt;0,ROUND((M197*AE196)/AE197,IF(N196=0,2,IF(N196=0.1,1,0))),ROUND((M198*AE196)/AE198,IF(N196=0,2,IF(N196=0.1,1,0))))),IF(M196&gt;0,M196,ROUND((M197*AE196)/AE197,IF(N196=0,2,IF(N196=0.1,1,0))))),2))</f>
        <v>1.66</v>
      </c>
      <c r="P196" s="154">
        <f>IF(OR(L196="",O196=""),"",IF($C196="1/2W",O196/2+O196/2*L196,IF($C196="1/2L",O196/2,IF(I196="Lay",(O196*(L196/(L196-1))-O196)*(1-_xlfn.XLOOKUP(K196,'Fevereiro 2023 - Valor Real'!A3:A15,'Fevereiro 2023 - Valor Real'!C3:C15,0))+O196,(O196*L196-O196)*(1-_xlfn.XLOOKUP(K196,'Fevereiro 2023 - Valor Real'!A3:A15,'Fevereiro 2023 - Valor Real'!C3:C15,0))+O196))))</f>
        <v>18.259999999999998</v>
      </c>
      <c r="Q196" s="155">
        <f>IF(K196="","",IF(_xlfn.XLOOKUP(K196,K$9:K188,$DJ$9:DJ188,0,,-1)=DJ196,_xlfn.XLOOKUP(K196,K$9:K188,Q$9:Q188,1,,-1)+1,1))</f>
        <v>1</v>
      </c>
      <c r="R196" s="156">
        <f>IF(K196="","",_xlfn.XLOOKUP(K196,K$9:K188,R$9:R188,0,,-1)+IF($C196=" ",1,0))</f>
        <v>0</v>
      </c>
      <c r="S196" s="501">
        <f>IF($B196="Anulado",0,ROUND(IF(OR($B196="LOSS",$B196="OK"),IF(OR($C196="W",$C196="1/2W",$C196="1/2L"),P196-O196,IF($C196="L",-O196,0))+IF(OR($C197="W",$C197="1/2W",$C197="1/2L"),P197-O197,IF($C197="L",-O197,0))+IF(OR($C198="W",$C198="1/2W",$C198="1/2L"),P198-O198,IF($C198="L",-O198,0)),IF(AND(OR($C196="W",$C196="1/2W",$C196="1/2L"),C197="W"),P196+P197-SUM(O196:O198)+_xlfn.XLOOKUP("X",C196:C198,O196:O198,0),IF(AND(C196=TRUE,C198="W"),P196+P198-SUM(O196:O198),IF(AND(C197="W",C198="W"),P197+P198-SUM(O196:O198)+_xlfn.XLOOKUP("X",C196:C198,O196:O198,0),IF(L198&gt;0,IF(OR($C196="W",$C196="1/2W",$C196="1/2L"),P196-SUM(O196:O198)+_xlfn.XLOOKUP("X",C196:C198,O196:O198,0),IF(OR($C196="W",$C196="1/2W",$C196="1/2L"),P197-SUM(O196:O198)+_xlfn.XLOOKUP("X",C196:C198,O196:O198,0),IF(OR($C196="W",$C196="1/2W",$C196="1/2L"),P198-SUM(O196:O198)+_xlfn.XLOOKUP("X",C196:C198,O196:O198,0),IF(SUM(P196:P198)/3-SUM(O196:O198)+_xlfn.XLOOKUP("X",C196:C198,O196:O198,0)&gt;0,SUM(P196:P198)/3-SUM(O196:O198)+_xlfn.XLOOKUP("X",C196:C198,O196:O198,0),LARGE(P196:P198,1)-SUM(O196:O198))))),IF(OR($C196="W",$C196="1/2W",$C196="1/2L"),P196-SUM(O196:O197)+_xlfn.XLOOKUP("X",C196:C198,O196:O198,0),IF(OR($C196="W",$C196="1/2W",$C196="1/2L"),P197-SUM(O196:O197)+_xlfn.XLOOKUP("X",C196:C198,O196:O198,0),SUM(P196:P197)/2-SUM(O196:O197)+_xlfn.XLOOKUP("X",C196:C198,O196:O198,0)))))))),2))</f>
        <v>0.74</v>
      </c>
      <c r="T196" s="486">
        <f>IF(S196=0,0,S196/SUM(O196:O198))</f>
        <v>4.1902604756511891E-2</v>
      </c>
      <c r="U196" s="496">
        <f>IF($D196=$D193,IF(OR($B196="LOSS",$B196="OK",$B196="Anulada"),S196,0)+U193,IF(OR($B196="LOSS",$B196="OK",$B196="Anulada"),S196,0))</f>
        <v>27.479999999999997</v>
      </c>
      <c r="V196" s="496">
        <f>IF($D196="",0,IF($D196=$D193,IF($B196=" ",IF(I198="",IF(OR(AND(I196="DNB1",I197="DNB2"),AND(OR(I196="DNB1",I196="DNB2"),J197=0),AND(OR(I197="DNB1",I197="DNB2"),J196=0),AND(I196="DNB2",I197="DNB1"),AND(IF(J196=0,(J196+1)/ROUND(J196+1,0),J196/ROUND(J196,0))=1,IF(J197=0,(J197+1)/ROUND(IF(J197="",0,J197)+1,0),IF(J197="",0,J197)/ROUND(IF(J197="",1,J197),0))=1,OR(J196&lt;&gt;""),J197&lt;&gt;"")),0,IF(S196&lt;0,IF(I198="",SMALL(P196:P197,1)-SUM(O196:O197),0),SMALL(P196:P197,1)-SUM(O196:O197))),IF(S196&lt;0,IF(I198="",SMALL(P196:P198,1)-SUM(O196:O198),0),LARGE(P196:P198,1)-SUM(O196:O198))),S196)+V193,IF(I198="",IF(OR(AND(I196="DNB1",I197="DNB2"),AND(OR(I196="DNB1",I196="DNB2"),J197=0),AND(OR(I197="DNB1",I197="DNB2"),J196=0),AND(I196="DNB2",I197="DNB1"),AND(IF(J196=0,(J196+1)/ROUND(J196+1,0),J196/ROUND(J196,0))=1,IF(J197=0,(IF(J197="",0,J197)+1)/ROUND(IF(J197="",0,J197)+1,0),IF(J197="",0,J197)/ROUND(IF(J197="",0,J197)+1,0))=1,OR(J196&lt;&gt;""),J197&lt;&gt;"")),0,IF(S196&lt;0,IF(I198="",SMALL(P196:P197,1)-SUM(O196:O197),0),SMALL(P196:P198,1)-SUM(O196:O198))),IF(S196&lt;0,IF(I198="",SMALL(P196:P198,1)-SUM(O196:O198),0),LARGE(P196:P198,1)-SUM(O196:O198)))))</f>
        <v>27.471999999999987</v>
      </c>
      <c r="W196" s="496">
        <f>IF($D196=$D193,IF(S196&lt;0,IF(I198="",S196,0),S196)+W193,S196)</f>
        <v>27.479999999999997</v>
      </c>
      <c r="X196" s="505" t="str">
        <f>IF(OR(SUM(R196:R198)=0,V196=W196),ROUND(IF(W196=0,0,W196/Y196)*100,2)&amp;"%",ROUND(IF(V196=0,0,V196/Y196)*100,2)&amp;"% a "&amp;ROUND(IF(W196=0,0,W196/Y196)*100,2)&amp;"%")</f>
        <v>5,64%</v>
      </c>
      <c r="Y196" s="497">
        <f>IF($D196=$D193,Y193+SUM(O196:O198),SUM(O196:O198))</f>
        <v>486.81000000000006</v>
      </c>
      <c r="Z196" s="496">
        <f>IF($B196=" ",SUM(O196:O198),0)+Z193</f>
        <v>0</v>
      </c>
      <c r="AA196" s="496">
        <f>IF(G196="","",IF($B196="Anulado",LARGE(P196:P198,1)-SUM(O196:O198)+AA193,AA193))</f>
        <v>1.4607999999999972</v>
      </c>
      <c r="AB196" s="496">
        <f>IF($D196="","",AB193+S196)</f>
        <v>167.32999999999998</v>
      </c>
      <c r="AC196" s="499">
        <f ca="1">IF($D196="","",IF($B196=" ",IF(DAY(G196)=DAY(TODAY()),1+AC193,0+AC193),0+AC193))</f>
        <v>0</v>
      </c>
      <c r="AD196" s="157">
        <f>(1-_xlfn.XLOOKUP(K194,'Fevereiro 2023 - Valor Real'!A3:A15,'Fevereiro 2023 - Valor Real'!C3:C15,0))+1</f>
        <v>2</v>
      </c>
      <c r="AE196" s="158">
        <f>IF(L196="","",IF(L198&gt;0,(SUM(((L196-1)*(1-_xlfn.XLOOKUP(K196,'Fevereiro 2023 - Valor Real'!A3:A15,'Fevereiro 2023 - Valor Real'!C3:C15,0))+1),((L197-1)*(1-_xlfn.XLOOKUP(K197,'Fevereiro 2023 - Valor Real'!A3:A15,'Fevereiro 2023 - Valor Real'!C3:C15,0))+1),((L198-1)*(1-_xlfn.XLOOKUP(K198,'Fevereiro 2023 - Valor Real'!A3:A15,'Fevereiro 2023 - Valor Real'!C3:C15,0))+1))/((L196-1)*(1-_xlfn.XLOOKUP(K196,'Fevereiro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Real'!C3:C15,0))+1))/((L196-1)*(1-_xlfn.XLOOKUP(K196,'Fevereiro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Real'!C3:C15,0))+1))/((L197-1)*(1-_xlfn.XLOOKUP(K197,'Fevereiro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Real'!C3:C15,0))+1))/((L198-1)*(1-_xlfn.XLOOKUP(K198,'Fevereiro 2023 - Valor Real'!A3:A15,'Fevereiro 2023 - Valor Real'!C3:C15,0))+1)),IF(I196="Lay",IF(I197="Lay",((L197/(L197-1)-1)*(1-_xlfn.XLOOKUP(K197,'Fevereiro 2023 - Valor Real'!A3:A15,'Fevereiro 2023 - Valor Real'!C3:C15,0))+1)/(((L197/(L197-1)-1)*(1-_xlfn.XLOOKUP(K197,'Fevereiro 2023 - Valor Real'!A3:A15,'Fevereiro 2023 - Valor Real'!C3:C15,0))+1)+((L196/(L196-1)-1)*(1-_xlfn.XLOOKUP(K196,'Fevereiro 2023 - Valor Real'!A3:A15,'Fevereiro 2023 - Valor Real'!C3:C15,0))+1)),((L197-1)*(1-_xlfn.XLOOKUP(K197,'Fevereiro 2023 - Valor Real'!A3:A15,'Fevereiro 2023 - Valor Real'!C3:C15,0))+1)/(((L197-1)*(1-_xlfn.XLOOKUP(K197,'Fevereiro 2023 - Valor Real'!A3:A15,'Fevereiro 2023 - Valor Real'!C3:C15,0))+1)+((L196/(L196-1)-1)*(1-_xlfn.XLOOKUP(K196,'Fevereiro 2023 - Valor Real'!A3:A15,'Fevereiro 2023 - Valor Real'!C3:C15,0))+1))),IF(I197="Lay",(((L197/(L197-1)-1)*(1-_xlfn.XLOOKUP(K197,'Fevereiro 2023 - Valor Real'!A3:A15,'Fevereiro 2023 - Valor Real'!C3:C15,0))+1))/(((L196-1)*(1-_xlfn.XLOOKUP(K196,'Fevereiro 2023 - Valor Real'!A3:A15,'Fevereiro 2023 - Valor Real'!C3:C15,0))+1)+((L197/(L197-1)-1)*(1-_xlfn.XLOOKUP(K197,'Fevereiro 2023 - Valor Real'!A3:A15,'Fevereiro 2023 - Valor Real'!C3:C15,0))+1)),((L197-1)*(1-_xlfn.XLOOKUP(K197,'Fevereiro 2023 - Valor Real'!A3:A15,'Fevereiro 2023 - Valor Real'!C3:C15,0))+1)/(((L197-1)*(1-_xlfn.XLOOKUP(K197,'Fevereiro 2023 - Valor Real'!A3:A15,'Fevereiro 2023 - Valor Real'!C3:C15,0))+1)+((L196-1)*(1-_xlfn.XLOOKUP(K196,'Fevereiro 2023 - Valor Real'!A3:A15,'Fevereiro 2023 - Valor Real'!C3:C15,0))+1))))))</f>
        <v>9.4650205761316858E-2</v>
      </c>
      <c r="AF196" s="66">
        <f t="shared" si="382"/>
        <v>0</v>
      </c>
      <c r="AG196" s="67">
        <f t="shared" si="382"/>
        <v>0</v>
      </c>
      <c r="AH196" s="67">
        <f t="shared" si="382"/>
        <v>0</v>
      </c>
      <c r="AI196" s="67">
        <f t="shared" si="382"/>
        <v>-1.66</v>
      </c>
      <c r="AJ196" s="67">
        <f t="shared" si="382"/>
        <v>0</v>
      </c>
      <c r="AK196" s="67">
        <f t="shared" si="382"/>
        <v>0</v>
      </c>
      <c r="AL196" s="67">
        <f t="shared" si="382"/>
        <v>0</v>
      </c>
      <c r="AM196" s="67">
        <f t="shared" si="382"/>
        <v>0</v>
      </c>
      <c r="AN196" s="67">
        <f t="shared" si="382"/>
        <v>0</v>
      </c>
      <c r="AO196" s="67">
        <f t="shared" si="382"/>
        <v>0</v>
      </c>
      <c r="AP196" s="67">
        <f t="shared" si="382"/>
        <v>0</v>
      </c>
      <c r="AQ196" s="67">
        <f t="shared" si="382"/>
        <v>0</v>
      </c>
      <c r="AR196" s="68">
        <f t="shared" si="382"/>
        <v>0</v>
      </c>
      <c r="AS196" s="66">
        <f t="shared" ref="AS196:BE196" si="386">IF(AND($B196=" ",$K196=AS$3),$O196,0)</f>
        <v>0</v>
      </c>
      <c r="AT196" s="67">
        <f t="shared" si="386"/>
        <v>0</v>
      </c>
      <c r="AU196" s="67">
        <f t="shared" si="386"/>
        <v>0</v>
      </c>
      <c r="AV196" s="67">
        <f t="shared" si="386"/>
        <v>0</v>
      </c>
      <c r="AW196" s="67">
        <f t="shared" si="386"/>
        <v>0</v>
      </c>
      <c r="AX196" s="67">
        <f t="shared" si="386"/>
        <v>0</v>
      </c>
      <c r="AY196" s="69">
        <f t="shared" si="386"/>
        <v>0</v>
      </c>
      <c r="AZ196" s="70">
        <f t="shared" si="386"/>
        <v>0</v>
      </c>
      <c r="BA196" s="70">
        <f t="shared" si="386"/>
        <v>0</v>
      </c>
      <c r="BB196" s="70">
        <f t="shared" si="386"/>
        <v>0</v>
      </c>
      <c r="BC196" s="71">
        <f t="shared" si="386"/>
        <v>0</v>
      </c>
      <c r="BD196" s="67">
        <f t="shared" si="386"/>
        <v>0</v>
      </c>
      <c r="BE196" s="68">
        <f t="shared" si="386"/>
        <v>0</v>
      </c>
      <c r="BF196" s="66">
        <f t="shared" si="384"/>
        <v>0</v>
      </c>
      <c r="BG196" s="67">
        <f t="shared" si="384"/>
        <v>0</v>
      </c>
      <c r="BH196" s="67">
        <f t="shared" si="384"/>
        <v>0</v>
      </c>
      <c r="BI196" s="67">
        <f t="shared" si="384"/>
        <v>1.66</v>
      </c>
      <c r="BJ196" s="67">
        <f t="shared" si="384"/>
        <v>0</v>
      </c>
      <c r="BK196" s="67">
        <f t="shared" si="384"/>
        <v>0</v>
      </c>
      <c r="BL196" s="67">
        <f t="shared" si="384"/>
        <v>0</v>
      </c>
      <c r="BM196" s="69">
        <f t="shared" si="384"/>
        <v>0</v>
      </c>
      <c r="BN196" s="70">
        <f t="shared" si="384"/>
        <v>0</v>
      </c>
      <c r="BO196" s="70">
        <f t="shared" si="384"/>
        <v>0</v>
      </c>
      <c r="BP196" s="70">
        <f t="shared" si="384"/>
        <v>0</v>
      </c>
      <c r="BQ196" s="71">
        <f t="shared" si="384"/>
        <v>0</v>
      </c>
      <c r="BR196" s="68">
        <f t="shared" si="384"/>
        <v>0</v>
      </c>
      <c r="BS196" s="490">
        <f>IF($B196="LOSS",IF(AND($K196=BS$3,$C196="L"),-$O196,0)+IF(AND($K197=BS$3,$C197="L"),-$O197,0)+IF(AND($K198=BS$3,$C198="L"),-$O198,0),IF(OR(AND($K196=BS$3,OR($C196="W",$C196="1/2W")),AND($K197=BS$3,OR($C197="W",$C197="1/2W")),AND($K198=BS$3,OR($C198="W",$C198="1/2W"))),$S196,0))</f>
        <v>0</v>
      </c>
      <c r="BT196" s="498">
        <f>IF($B196="LOSS",IF(AND($K196=BT$3,$C196="L"),-$O196,0)+IF(AND($K197=BT$3,$C197="L"),-$O197,0)+IF(AND($K197=BT$3,$C198="L"),-$O198,0),IF(OR(AND($K197=BT$3,OR($C196="W",$C196="1/2W")),AND($K197=BT$3,OR($C197="W",$C197="1/2W")),AND($K197=BT$3,OR($C198="W",$C198="1/2W"))),$S196,0))</f>
        <v>0</v>
      </c>
      <c r="BU196" s="488">
        <f>IF($B196="LOSS",IF(AND($K196=BU$3,$C196="L"),-$O196,0)+IF(AND($K197=BU$3,$C197="L"),-$O197,0)+IF(AND($K197=BU$3,$C198="L"),-$O198,0),IF(OR(AND($K197=BU$3,OR($C196="W",$C196="1/2W")),AND($K197=BU$3,OR($C197="W",$C197="1/2W")),AND($K197=BU$3,OR($C198="W",$C198="1/2W"))),$S196,0))</f>
        <v>0</v>
      </c>
      <c r="BV196" s="488">
        <f t="shared" ref="BV196:CE196" si="387">IF($B196="LOSS",IF(AND($K196=BV$3,$C196="L"),-$O196,0)+IF(AND($K197=BV$3,$C197="L"),-$O197,0)+IF(AND($K198=BV$3,$C198="L"),-$O198,0),IF(OR(AND($K196=BV$3,OR($C196="W",$C196="1/2W")),AND($K197=BV$3,OR($C197="W",$C197="1/2W")),AND($K198=BV$3,OR($C198="W",$C198="1/2W"))),$S196,0))</f>
        <v>0</v>
      </c>
      <c r="BW196" s="488">
        <f t="shared" si="387"/>
        <v>0.74</v>
      </c>
      <c r="BX196" s="488">
        <f t="shared" si="387"/>
        <v>0</v>
      </c>
      <c r="BY196" s="488">
        <f t="shared" si="387"/>
        <v>0</v>
      </c>
      <c r="BZ196" s="488">
        <f t="shared" si="387"/>
        <v>0</v>
      </c>
      <c r="CA196" s="488">
        <f t="shared" si="387"/>
        <v>0</v>
      </c>
      <c r="CB196" s="488">
        <f t="shared" si="387"/>
        <v>0</v>
      </c>
      <c r="CC196" s="488">
        <f t="shared" si="387"/>
        <v>0</v>
      </c>
      <c r="CD196" s="500">
        <f t="shared" si="387"/>
        <v>0</v>
      </c>
      <c r="CE196" s="504">
        <f t="shared" si="387"/>
        <v>0</v>
      </c>
      <c r="CF196" s="160">
        <f t="shared" ref="CF196:CF259" si="388">IF(CF$3=$K196,IF($C196="W",1,IF($C196="1/2W",0.5,0)),0)</f>
        <v>0</v>
      </c>
      <c r="CG196" s="161">
        <f t="shared" ref="CG196:CG259" si="389">IF(CF$3=$K196,IF($C196="L",1,IF($C196="1/2L",0.5,0)),0)</f>
        <v>0</v>
      </c>
      <c r="CH196" s="161">
        <f t="shared" ref="CH196:CH259" si="390">IF(CH$3=$K196,IF($C196="W",1,IF($C196="1/2W",0.5,0)),0)</f>
        <v>0</v>
      </c>
      <c r="CI196" s="161">
        <f t="shared" ref="CI196:CI259" si="391">IF(CH$3=$K196,IF($C196="L",1,IF($C196="1/2L",0.5,0)),0)</f>
        <v>0</v>
      </c>
      <c r="CJ196" s="161">
        <f t="shared" ref="CJ196:CJ259" si="392">IF(CJ$3=$K196,IF($C196="W",1,IF($C196="1/2W",0.5,0)),0)</f>
        <v>0</v>
      </c>
      <c r="CK196" s="161">
        <f t="shared" ref="CK196:CK259" si="393">IF(CJ$3=$K196,IF($C196="L",1,IF($C196="1/2L",0.5,0)),0)</f>
        <v>0</v>
      </c>
      <c r="CL196" s="161">
        <f t="shared" ref="CL196:CL259" si="394">IF(CL$3=$K196,IF($C196="W",1,IF($C196="1/2W",0.5,0)),0)</f>
        <v>0</v>
      </c>
      <c r="CM196" s="161">
        <f t="shared" ref="CM196:CM259" si="395">IF(CL$3=$K196,IF($C196="L",1,IF($C196="1/2L",0.5,0)),0)</f>
        <v>1</v>
      </c>
      <c r="CN196" s="161">
        <f t="shared" ref="CN196:CN259" si="396">IF(CN$3=$K196,IF($C196="W",1,IF($C196="1/2W",0.5,0)),0)</f>
        <v>0</v>
      </c>
      <c r="CO196" s="161">
        <f t="shared" ref="CO196:CO259" si="397">IF(CN$3=$K196,IF($C196="L",1,IF($C196="1/2L",0.5,0)),0)</f>
        <v>0</v>
      </c>
      <c r="CP196" s="161">
        <f t="shared" ref="CP196:CP259" si="398">IF(CP$3=$K196,IF($C196="W",1,IF($C196="1/2W",0.5,0)),0)</f>
        <v>0</v>
      </c>
      <c r="CQ196" s="161">
        <f t="shared" ref="CQ196:CQ259" si="399">IF(CP$3=$K196,IF($C196="L",1,IF($C196="1/2L",0.5,0)),0)</f>
        <v>0</v>
      </c>
      <c r="CR196" s="161">
        <f t="shared" ref="CR196:CR259" si="400">IF(CR$3=$K196,IF($C196="W",1,IF($C196="1/2W",0.5,0)),0)</f>
        <v>0</v>
      </c>
      <c r="CS196" s="161">
        <f t="shared" ref="CS196:CS259" si="401">IF(CR$3=$K196,IF($C196="L",1,IF($C196="1/2L",0.5,0)),0)</f>
        <v>0</v>
      </c>
      <c r="CT196" s="75">
        <f t="shared" ref="CT196:CT259" si="402">IF(CT$3=$K196,IF($C196="W",1,IF($C196="1/2W",0.5,0)),0)</f>
        <v>0</v>
      </c>
      <c r="CU196" s="76">
        <f t="shared" ref="CU196:CU259" si="403">IF(CT$3=$K196,IF($C196="L",1,IF($C196="1/2L",0.5,0)),0)</f>
        <v>0</v>
      </c>
      <c r="CV196" s="76">
        <f t="shared" ref="CV196:CV259" si="404">IF(CV$3=$K196,IF($C196="W",1,IF($C196="1/2W",0.5,0)),0)</f>
        <v>0</v>
      </c>
      <c r="CW196" s="76">
        <f t="shared" ref="CW196:CW259" si="405">IF(CV$3=$K196,IF($C196="L",1,IF($C196="1/2L",0.5,0)),0)</f>
        <v>0</v>
      </c>
      <c r="CX196" s="76">
        <f t="shared" ref="CX196:CX259" si="406">IF(CX$3=$K196,IF($C196="W",1,IF($C196="1/2W",0.5,0)),0)</f>
        <v>0</v>
      </c>
      <c r="CY196" s="76">
        <f t="shared" ref="CY196:CY259" si="407">IF(CX$3=$K196,IF($C196="L",1,IF($C196="1/2L",0.5,0)),0)</f>
        <v>0</v>
      </c>
      <c r="CZ196" s="76">
        <f t="shared" ref="CZ196:CZ259" si="408">IF(CZ$3=$K196,IF($C196="W",1,IF($C196="1/2W",0.5,0)),0)</f>
        <v>0</v>
      </c>
      <c r="DA196" s="76">
        <f t="shared" ref="DA196:DA259" si="409">IF(CZ$3=$K196,IF($C196="L",1,IF($C196="1/2L",0.5,0)),0)</f>
        <v>0</v>
      </c>
      <c r="DB196" s="76">
        <f t="shared" ref="DB196:DB259" si="410">IF(DB$3=$K196,IF($C196="W",1,IF($C196="1/2W",0.5,0)),0)</f>
        <v>0</v>
      </c>
      <c r="DC196" s="76">
        <f t="shared" ref="DC196:DC259" si="411">IF(DB$3=$K196,IF($C196="L",1,IF($C196="1/2L",0.5,0)),0)</f>
        <v>0</v>
      </c>
      <c r="DD196" s="76">
        <f t="shared" ref="DD196:DD259" si="412">IF(DD$3=$K196,IF($C196="W",1,IF($C196="1/2W",0.5,0)),0)</f>
        <v>0</v>
      </c>
      <c r="DE196" s="77">
        <f t="shared" ref="DE196:DE259" si="413">IF(DD$3=$K196,IF($C196="L",1,IF($C196="1/2L",0.5,0)),0)</f>
        <v>0</v>
      </c>
      <c r="DF196" s="73">
        <f t="shared" si="286"/>
        <v>12</v>
      </c>
      <c r="DG196" s="67">
        <f t="shared" si="287"/>
        <v>15.760000000000002</v>
      </c>
      <c r="DH196" s="76">
        <f t="shared" si="288"/>
        <v>6</v>
      </c>
      <c r="DI196" s="67">
        <f t="shared" si="289"/>
        <v>25.63</v>
      </c>
      <c r="DJ196" s="202" t="str">
        <f>IF($D196="","",$D196)</f>
        <v>6</v>
      </c>
      <c r="DK196" s="492">
        <f>IF(AND($B196=" ",$D196&lt;&gt;""),1,0)</f>
        <v>0</v>
      </c>
    </row>
    <row r="197" spans="1:115" ht="14.5" customHeight="1" x14ac:dyDescent="0.2">
      <c r="A197" s="389"/>
      <c r="B197" s="456"/>
      <c r="C197" s="53" t="s">
        <v>54</v>
      </c>
      <c r="D197" s="374"/>
      <c r="E197" s="386"/>
      <c r="F197" s="377"/>
      <c r="G197" s="508"/>
      <c r="H197" s="476"/>
      <c r="I197" s="162">
        <v>2</v>
      </c>
      <c r="J197" s="163" t="str">
        <f>IF(OR(I196="TO",I196="TU",I196="TO1",I196="TU1",I196="TO2",I196="TU2"),J196,IF(OR(I196="AH1",I196="AH2"),IF(OR(I197="AH1",I197="AH2"),-J196,IF(OR(I197="EH1",I197="EH2"),-J196+0.5,"")),IF(OR(I196="EH1",I196="EH2"),IF(OR(I197="AH1",I197="AH2"),-J196+0.5,IF(OR(I197="EH1",I197="EH2"),-J196+1,"")),IF(AND(OR(I196="DNB1",I196="DNB2"),OR(I197="AH1",I197="AH2")),0,IF(AND(I196="Not ScoreBoth",OR(I197="TO1",I197="TO2")),0.5,"")))))</f>
        <v/>
      </c>
      <c r="K197" s="57" t="s">
        <v>40</v>
      </c>
      <c r="L197" s="164">
        <v>1.1499999999999999</v>
      </c>
      <c r="M197" s="165"/>
      <c r="N197" s="406"/>
      <c r="O197" s="60">
        <f>IF(OR(AE196="",AE197=""),"",ROUND(IF(L198&gt;0,IF(M197&gt;0,M197,IF(M196&gt;0,IF(N196=TRUE,ROUND((M196*AE197)/AE196,0),(M196*AE197)/AE196),IF(M197&gt;0,ROUND(M197,IF(N196=0,2,IF(N196=0.1,1,0))),IF(M198&gt;0,ROUND(O198*AE197/AE198,IF(N196=0,2,IF(N196=0.1,1,0))),0)))),IF(M197&gt;0,M197,ROUND((M196*AE197)/AE196,IF(N196=0,2,IF(N196=0.1,1,0))))),2))</f>
        <v>16</v>
      </c>
      <c r="P197" s="61">
        <f>IF(OR(L197="",O197=""),"",IF($C197="1/2W",O197/2+O197/2*L197,IF($C197="1/2L",O197/2,IF(I197="Lay",((O197*(L197/(L197-1)))-O197)*(1-_xlfn.XLOOKUP(K197,'Fevereiro 2023 - Valor Real'!A3:A15,'Fevereiro 2023 - Valor Real'!C3:C15,0))+O197,(O197*L197-O197)*(1-_xlfn.XLOOKUP(K197,'Fevereiro 2023 - Valor Real'!A3:A15,'Fevereiro 2023 - Valor Real'!C3:C15,0))+O197))))</f>
        <v>18.399999999999999</v>
      </c>
      <c r="Q197" s="166">
        <f>IF(K197="","",IF(_xlfn.XLOOKUP(K197,K$10:K188,$DJ$10:DJ188,0,,-1)=DJ197,_xlfn.XLOOKUP(K197,K$10:K188,Q$10:Q188,1,,-1)+1,1))</f>
        <v>6</v>
      </c>
      <c r="R197" s="167">
        <f>IF(K197="","",_xlfn.XLOOKUP(K197,K$10:K188,R$10:R188,0,,-1)+IF($C197=" ",1,0))</f>
        <v>0</v>
      </c>
      <c r="S197" s="403"/>
      <c r="T197" s="380"/>
      <c r="U197" s="380"/>
      <c r="V197" s="481"/>
      <c r="W197" s="380"/>
      <c r="X197" s="452"/>
      <c r="Y197" s="383"/>
      <c r="Z197" s="384"/>
      <c r="AA197" s="384"/>
      <c r="AB197" s="384"/>
      <c r="AC197" s="384"/>
      <c r="AD197" s="64"/>
      <c r="AE197" s="65">
        <f>IF(L197="","",IF(L198&gt;0,(SUM(((L196-1)*(1-_xlfn.XLOOKUP(K196,'Fevereiro 2023 - Valor Real'!A3:A15,'Fevereiro 2023 - Valor Real'!C3:C15,0))+1),((L197-1)*(1-_xlfn.XLOOKUP(K197,'Fevereiro 2023 - Valor Real'!A3:A15,'Fevereiro 2023 - Valor Real'!C3:C15,0))+1),((L198-1)*(1-_xlfn.XLOOKUP(K198,'Fevereiro 2023 - Valor Real'!A3:A15,'Fevereiro 2023 - Valor Real'!C3:C15,0))+1))/((L197-1)*(1-_xlfn.XLOOKUP(K197,'Fevereiro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Real'!C3:C15,0))+1))/((L196-1)*(1-_xlfn.XLOOKUP(K196,'Fevereiro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Real'!C3:C15,0))+1))/((L197-1)*(1-_xlfn.XLOOKUP(K197,'Fevereiro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Real'!C3:C15,0))+1))/((L198-1)*(1-_xlfn.XLOOKUP(K198,'Fevereiro 2023 - Valor Real'!A3:A15,'Fevereiro 2023 - Valor Real'!C3:C15,0))+1)),IF(I197="Lay",IF(I196="Lay",((L196/(L196-1)-1)*(1-_xlfn.XLOOKUP(K196,'Fevereiro 2023 - Valor Real'!A3:A15,'Fevereiro 2023 - Valor Real'!C3:C15,0))+1)/(((L196/(L196-1)-1)*(1-_xlfn.XLOOKUP(K196,'Fevereiro 2023 - Valor Real'!A3:A15,'Fevereiro 2023 - Valor Real'!C3:C15,0))+1)+((L197/(L197-1)-1)*(1-_xlfn.XLOOKUP(K197,'Fevereiro 2023 - Valor Real'!A3:A15,'Fevereiro 2023 - Valor Real'!C3:C15,0))+1)),((L196-1)*(1-_xlfn.XLOOKUP(K196,'Fevereiro 2023 - Valor Real'!A3:A15,'Fevereiro 2023 - Valor Real'!C3:C15,0))+1)/(((L196-1)*(1-_xlfn.XLOOKUP(K196,'Fevereiro 2023 - Valor Real'!A3:A15,'Fevereiro 2023 - Valor Real'!C3:C15,0))+1)+((L197/(L197-1)-1)*(1-_xlfn.XLOOKUP(K197,'Fevereiro 2023 - Valor Real'!A3:A15,'Fevereiro 2023 - Valor Real'!C3:C15,0))+1))),IF(I196="Lay",((L196/(L196-1)-1)*(1-_xlfn.XLOOKUP(K196,'Fevereiro 2023 - Valor Real'!A3:A15,'Fevereiro 2023 - Valor Real'!C3:C15,0))+1)/((((L196/(L196-1)-1)*(1-_xlfn.XLOOKUP(K196,'Fevereiro 2023 - Valor Real'!A3:A15,'Fevereiro 2023 - Valor Real'!C3:C15,0))+1))+((L197-1)*(1-_xlfn.XLOOKUP(K197,'Fevereiro 2023 - Valor Real'!A3:A15,'Fevereiro 2023 - Valor Real'!C3:C15,0))+1)),((L196-1)*(1-_xlfn.XLOOKUP(K196,'Fevereiro 2023 - Valor Real'!A3:A15,'Fevereiro 2023 - Valor Real'!C3:C15,0))+1)/(((L196-1)*(1-_xlfn.XLOOKUP(K196,'Fevereiro 2023 - Valor Real'!A3:A15,'Fevereiro 2023 - Valor Real'!C3:C15,0))+1)+((L197-1)*(1-_xlfn.XLOOKUP(K197,'Fevereiro 2023 - Valor Real'!A3:A15,'Fevereiro 2023 - Valor Real'!C3:C15,0))+1))))))</f>
        <v>0.90534979423868311</v>
      </c>
      <c r="AF197" s="66">
        <f t="shared" si="382"/>
        <v>0</v>
      </c>
      <c r="AG197" s="67">
        <f t="shared" si="382"/>
        <v>0</v>
      </c>
      <c r="AH197" s="67">
        <f t="shared" si="382"/>
        <v>0</v>
      </c>
      <c r="AI197" s="67">
        <f t="shared" si="382"/>
        <v>0</v>
      </c>
      <c r="AJ197" s="67">
        <f t="shared" si="382"/>
        <v>2.4</v>
      </c>
      <c r="AK197" s="67">
        <f t="shared" si="382"/>
        <v>0</v>
      </c>
      <c r="AL197" s="67">
        <f t="shared" si="382"/>
        <v>0</v>
      </c>
      <c r="AM197" s="67">
        <f t="shared" si="382"/>
        <v>0</v>
      </c>
      <c r="AN197" s="67">
        <f t="shared" si="382"/>
        <v>0</v>
      </c>
      <c r="AO197" s="67">
        <f t="shared" si="382"/>
        <v>0</v>
      </c>
      <c r="AP197" s="67">
        <f t="shared" si="382"/>
        <v>0</v>
      </c>
      <c r="AQ197" s="67">
        <f t="shared" si="382"/>
        <v>0</v>
      </c>
      <c r="AR197" s="68">
        <f t="shared" si="382"/>
        <v>0</v>
      </c>
      <c r="AS197" s="66">
        <f>IF(AND($B196=" ",$K197=AS$3),$O197,0)</f>
        <v>0</v>
      </c>
      <c r="AT197" s="67">
        <f>IF(AND($B196=" ",K197=AT$3),$O197,0)</f>
        <v>0</v>
      </c>
      <c r="AU197" s="67">
        <f t="shared" ref="AU197:BE197" si="414">IF(AND($B196=" ",$K197=AU$3),$O197,0)</f>
        <v>0</v>
      </c>
      <c r="AV197" s="67">
        <f t="shared" si="414"/>
        <v>0</v>
      </c>
      <c r="AW197" s="67">
        <f t="shared" si="414"/>
        <v>0</v>
      </c>
      <c r="AX197" s="67">
        <f t="shared" si="414"/>
        <v>0</v>
      </c>
      <c r="AY197" s="69">
        <f t="shared" si="414"/>
        <v>0</v>
      </c>
      <c r="AZ197" s="70">
        <f t="shared" si="414"/>
        <v>0</v>
      </c>
      <c r="BA197" s="70">
        <f t="shared" si="414"/>
        <v>0</v>
      </c>
      <c r="BB197" s="70">
        <f t="shared" si="414"/>
        <v>0</v>
      </c>
      <c r="BC197" s="71">
        <f t="shared" si="414"/>
        <v>0</v>
      </c>
      <c r="BD197" s="67">
        <f t="shared" si="414"/>
        <v>0</v>
      </c>
      <c r="BE197" s="68">
        <f t="shared" si="414"/>
        <v>0</v>
      </c>
      <c r="BF197" s="66">
        <f t="shared" si="384"/>
        <v>0</v>
      </c>
      <c r="BG197" s="168">
        <f t="shared" si="384"/>
        <v>0</v>
      </c>
      <c r="BH197" s="67">
        <f t="shared" si="384"/>
        <v>0</v>
      </c>
      <c r="BI197" s="67">
        <f t="shared" si="384"/>
        <v>0</v>
      </c>
      <c r="BJ197" s="67">
        <f t="shared" si="384"/>
        <v>16</v>
      </c>
      <c r="BK197" s="67">
        <f t="shared" si="384"/>
        <v>0</v>
      </c>
      <c r="BL197" s="67">
        <f t="shared" si="384"/>
        <v>0</v>
      </c>
      <c r="BM197" s="69">
        <f t="shared" si="384"/>
        <v>0</v>
      </c>
      <c r="BN197" s="70">
        <f t="shared" si="384"/>
        <v>0</v>
      </c>
      <c r="BO197" s="70">
        <f t="shared" si="384"/>
        <v>0</v>
      </c>
      <c r="BP197" s="70">
        <f t="shared" si="384"/>
        <v>0</v>
      </c>
      <c r="BQ197" s="71">
        <f t="shared" si="384"/>
        <v>0</v>
      </c>
      <c r="BR197" s="68">
        <f t="shared" si="384"/>
        <v>0</v>
      </c>
      <c r="BS197" s="491"/>
      <c r="BT197" s="489"/>
      <c r="BU197" s="392"/>
      <c r="BV197" s="489"/>
      <c r="BW197" s="392"/>
      <c r="BX197" s="392"/>
      <c r="BY197" s="392"/>
      <c r="BZ197" s="489"/>
      <c r="CA197" s="392"/>
      <c r="CB197" s="392"/>
      <c r="CC197" s="392"/>
      <c r="CD197" s="401"/>
      <c r="CE197" s="409"/>
      <c r="CF197" s="169">
        <f t="shared" si="388"/>
        <v>0</v>
      </c>
      <c r="CG197" s="170">
        <f t="shared" si="389"/>
        <v>0</v>
      </c>
      <c r="CH197" s="170">
        <f t="shared" si="390"/>
        <v>0</v>
      </c>
      <c r="CI197" s="170">
        <f t="shared" si="391"/>
        <v>0</v>
      </c>
      <c r="CJ197" s="170">
        <f t="shared" si="392"/>
        <v>0</v>
      </c>
      <c r="CK197" s="170">
        <f t="shared" si="393"/>
        <v>0</v>
      </c>
      <c r="CL197" s="170">
        <f t="shared" si="394"/>
        <v>0</v>
      </c>
      <c r="CM197" s="170">
        <f t="shared" si="395"/>
        <v>0</v>
      </c>
      <c r="CN197" s="170">
        <f t="shared" si="396"/>
        <v>1</v>
      </c>
      <c r="CO197" s="170">
        <f t="shared" si="397"/>
        <v>0</v>
      </c>
      <c r="CP197" s="170">
        <f t="shared" si="398"/>
        <v>0</v>
      </c>
      <c r="CQ197" s="170">
        <f t="shared" si="399"/>
        <v>0</v>
      </c>
      <c r="CR197" s="170">
        <f t="shared" si="400"/>
        <v>0</v>
      </c>
      <c r="CS197" s="170">
        <f t="shared" si="401"/>
        <v>0</v>
      </c>
      <c r="CT197" s="75">
        <f t="shared" si="402"/>
        <v>0</v>
      </c>
      <c r="CU197" s="76">
        <f t="shared" si="403"/>
        <v>0</v>
      </c>
      <c r="CV197" s="76">
        <f t="shared" si="404"/>
        <v>0</v>
      </c>
      <c r="CW197" s="76">
        <f t="shared" si="405"/>
        <v>0</v>
      </c>
      <c r="CX197" s="76">
        <f t="shared" si="406"/>
        <v>0</v>
      </c>
      <c r="CY197" s="76">
        <f t="shared" si="407"/>
        <v>0</v>
      </c>
      <c r="CZ197" s="76">
        <f t="shared" si="408"/>
        <v>0</v>
      </c>
      <c r="DA197" s="76">
        <f t="shared" si="409"/>
        <v>0</v>
      </c>
      <c r="DB197" s="76">
        <f t="shared" si="410"/>
        <v>0</v>
      </c>
      <c r="DC197" s="76">
        <f t="shared" si="411"/>
        <v>0</v>
      </c>
      <c r="DD197" s="76">
        <f t="shared" si="412"/>
        <v>0</v>
      </c>
      <c r="DE197" s="77">
        <f t="shared" si="413"/>
        <v>0</v>
      </c>
      <c r="DF197" s="73">
        <f t="shared" ref="DF197:DF260" si="415">IF(AND(L197&lt;DF$3,$C197="W"),1+DF196,DF196)</f>
        <v>13</v>
      </c>
      <c r="DG197" s="67">
        <f t="shared" ref="DG197:DG260" si="416">IF(DF197&gt;DF196,L197+DG196,DG196)</f>
        <v>16.91</v>
      </c>
      <c r="DH197" s="76">
        <f t="shared" ref="DH197:DH260" si="417">IF(AND(L197&gt;DH$3,$C197="W"),1+DH196,0+DH196)</f>
        <v>6</v>
      </c>
      <c r="DI197" s="67">
        <f t="shared" ref="DI197:DI260" si="418">IF(DH197&gt;DH196,L197+DI196,DI196)</f>
        <v>25.63</v>
      </c>
      <c r="DJ197" s="202" t="str">
        <f>IF($D196="","",$D196)</f>
        <v>6</v>
      </c>
      <c r="DK197" s="493"/>
    </row>
    <row r="198" spans="1:115" ht="14.5" customHeight="1" x14ac:dyDescent="0.2">
      <c r="A198" s="390"/>
      <c r="B198" s="457"/>
      <c r="C198" s="79" t="s">
        <v>53</v>
      </c>
      <c r="D198" s="375"/>
      <c r="E198" s="387"/>
      <c r="F198" s="378"/>
      <c r="G198" s="508"/>
      <c r="H198" s="477"/>
      <c r="I198" s="171"/>
      <c r="J198" s="172"/>
      <c r="K198" s="81"/>
      <c r="L198" s="173"/>
      <c r="M198" s="174"/>
      <c r="N198" s="407"/>
      <c r="O198" s="86" t="str">
        <f>IF(OR(AE196="",AE197=""),"",IF(L198&gt;0,ROUND(IF(M198&gt;0,M198,IF(M196&gt;0,ROUND((M196*AE198)/AE196,IF(N196=0,2,IF(N196=0.1,1,0))),IF(M197&gt;0,ROUND((M197*AE198)/AE197,IF(N196=0,2,IF(N196=0.1,1,0))),IF(M198&gt;0,M198,0)))),2),""))</f>
        <v/>
      </c>
      <c r="P198" s="87" t="str">
        <f>IF(I197="Lay",O197*(L197/(L197-1))-O197,IF(I196="Lay",O196*(L196/(L196-1))-O196,IF(OR(L198="",O198=""),"",IF($C198="1/2W",O198/2+O198/2*L198,IF($C198="1/2L",O198/2,(O198*L198-O198)*(1-_xlfn.XLOOKUP(K198,'Fevereiro 2023 - Valor Real'!A3:A15,'Fevereiro 2023 - Valor Real'!C3:C15,0))+O198)))))</f>
        <v/>
      </c>
      <c r="Q198" s="54" t="str">
        <f>IF(K198="","",IF(_xlfn.XLOOKUP(K198,K$11:K188,$DJ$11:DJ188,0,,-1)=DJ198,_xlfn.XLOOKUP(K198,K$11:K188,Q$11:Q188,1,,-1)+1,1))</f>
        <v/>
      </c>
      <c r="R198" s="87" t="str">
        <f>IF(K198="","",_xlfn.XLOOKUP(K198,K$11:K188,R$11:R188,0,,-1)+IF($C198=" ",1,0))</f>
        <v/>
      </c>
      <c r="S198" s="404"/>
      <c r="T198" s="378"/>
      <c r="U198" s="378"/>
      <c r="V198" s="404"/>
      <c r="W198" s="378"/>
      <c r="X198" s="453"/>
      <c r="Y198" s="383"/>
      <c r="Z198" s="384"/>
      <c r="AA198" s="384"/>
      <c r="AB198" s="384"/>
      <c r="AC198" s="384"/>
      <c r="AD198" s="90"/>
      <c r="AE198" s="91" t="str">
        <f>IF(L198="","",(SUM(((L196-1)*(1-_xlfn.XLOOKUP(K196,'Fevereiro 2023 - Valor Real'!A3:A15,'Fevereiro 2023 - Valor Real'!C3:C15,0))+1),((L197-1)*(1-_xlfn.XLOOKUP(K197,'Fevereiro 2023 - Valor Real'!A3:A15,'Fevereiro 2023 - Valor Real'!C3:C15,0))+1),((L198-1)*(1-_xlfn.XLOOKUP(K198,'Fevereiro 2023 - Valor Real'!A3:A15,'Fevereiro 2023 - Valor Real'!C3:C15,0))+1))/((L198-1)*(1-_xlfn.XLOOKUP(K198,'Fevereiro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Real'!C3:C15,0))+1))/((L196-1)*(1-_xlfn.XLOOKUP(K196,'Fevereiro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Real'!C3:C15,0))+1))/((L197-1)*(1-_xlfn.XLOOKUP(K197,'Fevereiro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Real'!C3:C15,0))+1))/((L198-1)*(1-_xlfn.XLOOKUP(K198,'Fevereiro 2023 - Valor Real'!A3:A15,'Fevereiro 2023 - Valor Real'!C3:C15,0))+1)))</f>
        <v/>
      </c>
      <c r="AF198" s="66">
        <f t="shared" si="382"/>
        <v>0</v>
      </c>
      <c r="AG198" s="67">
        <f t="shared" si="382"/>
        <v>0</v>
      </c>
      <c r="AH198" s="67">
        <f t="shared" si="382"/>
        <v>0</v>
      </c>
      <c r="AI198" s="67">
        <f t="shared" si="382"/>
        <v>0</v>
      </c>
      <c r="AJ198" s="67">
        <f t="shared" si="382"/>
        <v>0</v>
      </c>
      <c r="AK198" s="67">
        <f t="shared" si="382"/>
        <v>0</v>
      </c>
      <c r="AL198" s="67">
        <f t="shared" si="382"/>
        <v>0</v>
      </c>
      <c r="AM198" s="67">
        <f t="shared" si="382"/>
        <v>0</v>
      </c>
      <c r="AN198" s="67">
        <f t="shared" si="382"/>
        <v>0</v>
      </c>
      <c r="AO198" s="67">
        <f t="shared" si="382"/>
        <v>0</v>
      </c>
      <c r="AP198" s="67">
        <f t="shared" si="382"/>
        <v>0</v>
      </c>
      <c r="AQ198" s="67">
        <f t="shared" si="382"/>
        <v>0</v>
      </c>
      <c r="AR198" s="68">
        <f t="shared" si="382"/>
        <v>0</v>
      </c>
      <c r="AS198" s="66">
        <f>IF(AND($B196=" ",$K198=AS$3),$O198,0)</f>
        <v>0</v>
      </c>
      <c r="AT198" s="67">
        <f>IF(AND($B196=" ",K198=AT$3),$O198,0)</f>
        <v>0</v>
      </c>
      <c r="AU198" s="67">
        <f t="shared" ref="AU198:BE198" si="419">IF(AND($B196=" ",$K198=AU$3),$O198,0)</f>
        <v>0</v>
      </c>
      <c r="AV198" s="67">
        <f t="shared" si="419"/>
        <v>0</v>
      </c>
      <c r="AW198" s="67">
        <f t="shared" si="419"/>
        <v>0</v>
      </c>
      <c r="AX198" s="67">
        <f t="shared" si="419"/>
        <v>0</v>
      </c>
      <c r="AY198" s="69">
        <f t="shared" si="419"/>
        <v>0</v>
      </c>
      <c r="AZ198" s="70">
        <f t="shared" si="419"/>
        <v>0</v>
      </c>
      <c r="BA198" s="70">
        <f t="shared" si="419"/>
        <v>0</v>
      </c>
      <c r="BB198" s="70">
        <f t="shared" si="419"/>
        <v>0</v>
      </c>
      <c r="BC198" s="71">
        <f t="shared" si="419"/>
        <v>0</v>
      </c>
      <c r="BD198" s="67">
        <f t="shared" si="419"/>
        <v>0</v>
      </c>
      <c r="BE198" s="68">
        <f t="shared" si="419"/>
        <v>0</v>
      </c>
      <c r="BF198" s="66">
        <f t="shared" si="384"/>
        <v>0</v>
      </c>
      <c r="BG198" s="168">
        <f t="shared" si="384"/>
        <v>0</v>
      </c>
      <c r="BH198" s="67">
        <f t="shared" si="384"/>
        <v>0</v>
      </c>
      <c r="BI198" s="67">
        <f t="shared" si="384"/>
        <v>0</v>
      </c>
      <c r="BJ198" s="67">
        <f t="shared" si="384"/>
        <v>0</v>
      </c>
      <c r="BK198" s="67">
        <f t="shared" si="384"/>
        <v>0</v>
      </c>
      <c r="BL198" s="67">
        <f t="shared" si="384"/>
        <v>0</v>
      </c>
      <c r="BM198" s="69">
        <f t="shared" si="384"/>
        <v>0</v>
      </c>
      <c r="BN198" s="70">
        <f t="shared" si="384"/>
        <v>0</v>
      </c>
      <c r="BO198" s="70">
        <f t="shared" si="384"/>
        <v>0</v>
      </c>
      <c r="BP198" s="70">
        <f t="shared" si="384"/>
        <v>0</v>
      </c>
      <c r="BQ198" s="71">
        <f t="shared" si="384"/>
        <v>0</v>
      </c>
      <c r="BR198" s="68">
        <f t="shared" si="384"/>
        <v>0</v>
      </c>
      <c r="BS198" s="491"/>
      <c r="BT198" s="489"/>
      <c r="BU198" s="392"/>
      <c r="BV198" s="489"/>
      <c r="BW198" s="392"/>
      <c r="BX198" s="392"/>
      <c r="BY198" s="392"/>
      <c r="BZ198" s="489"/>
      <c r="CA198" s="392"/>
      <c r="CB198" s="392"/>
      <c r="CC198" s="392"/>
      <c r="CD198" s="401"/>
      <c r="CE198" s="409"/>
      <c r="CF198" s="169">
        <f t="shared" si="388"/>
        <v>0</v>
      </c>
      <c r="CG198" s="170">
        <f t="shared" si="389"/>
        <v>0</v>
      </c>
      <c r="CH198" s="170">
        <f t="shared" si="390"/>
        <v>0</v>
      </c>
      <c r="CI198" s="170">
        <f t="shared" si="391"/>
        <v>0</v>
      </c>
      <c r="CJ198" s="170">
        <f t="shared" si="392"/>
        <v>0</v>
      </c>
      <c r="CK198" s="170">
        <f t="shared" si="393"/>
        <v>0</v>
      </c>
      <c r="CL198" s="170">
        <f t="shared" si="394"/>
        <v>0</v>
      </c>
      <c r="CM198" s="170">
        <f t="shared" si="395"/>
        <v>0</v>
      </c>
      <c r="CN198" s="170">
        <f t="shared" si="396"/>
        <v>0</v>
      </c>
      <c r="CO198" s="170">
        <f t="shared" si="397"/>
        <v>0</v>
      </c>
      <c r="CP198" s="170">
        <f t="shared" si="398"/>
        <v>0</v>
      </c>
      <c r="CQ198" s="170">
        <f t="shared" si="399"/>
        <v>0</v>
      </c>
      <c r="CR198" s="170">
        <f t="shared" si="400"/>
        <v>0</v>
      </c>
      <c r="CS198" s="170">
        <f t="shared" si="401"/>
        <v>0</v>
      </c>
      <c r="CT198" s="75">
        <f t="shared" si="402"/>
        <v>0</v>
      </c>
      <c r="CU198" s="76">
        <f t="shared" si="403"/>
        <v>0</v>
      </c>
      <c r="CV198" s="76">
        <f t="shared" si="404"/>
        <v>0</v>
      </c>
      <c r="CW198" s="76">
        <f t="shared" si="405"/>
        <v>0</v>
      </c>
      <c r="CX198" s="76">
        <f t="shared" si="406"/>
        <v>0</v>
      </c>
      <c r="CY198" s="76">
        <f t="shared" si="407"/>
        <v>0</v>
      </c>
      <c r="CZ198" s="76">
        <f t="shared" si="408"/>
        <v>0</v>
      </c>
      <c r="DA198" s="76">
        <f t="shared" si="409"/>
        <v>0</v>
      </c>
      <c r="DB198" s="76">
        <f t="shared" si="410"/>
        <v>0</v>
      </c>
      <c r="DC198" s="76">
        <f t="shared" si="411"/>
        <v>0</v>
      </c>
      <c r="DD198" s="76">
        <f t="shared" si="412"/>
        <v>0</v>
      </c>
      <c r="DE198" s="77">
        <f t="shared" si="413"/>
        <v>0</v>
      </c>
      <c r="DF198" s="73">
        <f t="shared" si="415"/>
        <v>13</v>
      </c>
      <c r="DG198" s="67">
        <f t="shared" si="416"/>
        <v>16.91</v>
      </c>
      <c r="DH198" s="76">
        <f t="shared" si="417"/>
        <v>6</v>
      </c>
      <c r="DI198" s="67">
        <f t="shared" si="418"/>
        <v>25.63</v>
      </c>
      <c r="DJ198" s="202" t="str">
        <f>IF($D196="","",$D196)</f>
        <v>6</v>
      </c>
      <c r="DK198" s="493"/>
    </row>
    <row r="199" spans="1:115" ht="14.5" customHeight="1" x14ac:dyDescent="0.2">
      <c r="A199" s="459">
        <f>$A196+1</f>
        <v>66</v>
      </c>
      <c r="B199" s="507" t="str">
        <f>IF(OR(C199="W",C200="W",C201="W",C199="1/2W",C200="1/2W",C201="1/2W",C199="1/2L",C200="1/2L",C201="1/2L"),"OK",IF(OR(C199="L",C200="L",C201="L"),"LOSS",IF(OR(C199="X",C200="X",C201="X"),"Anulado"," ")))</f>
        <v>OK</v>
      </c>
      <c r="C199" s="93" t="s">
        <v>54</v>
      </c>
      <c r="D199" s="468" t="str">
        <f>IF(G199="","",$D196)</f>
        <v>6</v>
      </c>
      <c r="E199" s="485" t="str">
        <f>IF(G199=""," ","– "&amp;COUNTIF(D$4:D201,$D199))</f>
        <v>– 9</v>
      </c>
      <c r="F199" s="509" t="str">
        <f ca="1">IF(G199="","",IF(OR(AND($C199&lt;&gt;" ",$C200=" "),AND($C200&lt;&gt;" ",$C199=" "),AND(L201&gt;0,OR(AND($C201&lt;&gt;" ",OR($C199=" ",$C200=" ")),AND($C201=" ",OR($C199&lt;&gt;" ",$C200&lt;&gt;" "))))),IF(SUM(F$6:F194)=0,1,LARGE(F$6:F194,1)+1),IF(MONTH(G199)=MONTH(TODAY()),IF(AND(DAY(G199)&lt;DAY(TODAY()),$B199=" "),IF(SUM(F$6:F194)=0,1,LARGE(F$6:F194,1)+1),IF($B199=" ",IF(AND(DAY(G199)=DAY(TODAY()),HOUR(G199)&lt;=HOUR(NOW())+1),IF(AND(HOUR(G199)+2&lt;=HOUR(NOW()),DAY(G199)&lt;=DAY(TODAY()),MINUTE(G199)&lt;=MINUTE(NOW())),IF(SUM(F$6:F194)=0,1,LARGE(F$6:F194,1)+1),IF(OR(MINUTE(G199)&lt;=MINUTE(NOW()),HOUR(G199)&lt;=HOUR(NOW())),"!!!","")),""),"")),"")))</f>
        <v/>
      </c>
      <c r="G199" s="482">
        <v>44991.4375</v>
      </c>
      <c r="H199" s="475" t="s">
        <v>116</v>
      </c>
      <c r="I199" s="94" t="s">
        <v>76</v>
      </c>
      <c r="J199" s="95">
        <v>0</v>
      </c>
      <c r="K199" s="96" t="s">
        <v>43</v>
      </c>
      <c r="L199" s="97">
        <v>2.0499999999999998</v>
      </c>
      <c r="M199" s="98"/>
      <c r="N199" s="478">
        <v>0</v>
      </c>
      <c r="O199" s="99">
        <f>IF(OR(AE199="",AE200=""),"",ROUND(IF(L201&gt;0,IF(M199&gt;0,M199,IF(M200&gt;0,ROUND((M200*AE199)/AE200,IF(N199=0,2,IF(N199=0.1,1,0))),ROUND((M201*AE199)/AE201,IF(N199=0,2,IF(N199=0.1,1,0))))),IF(M199&gt;0,M199,ROUND((M200*AE199)/AE200,IF(N199=0,2,IF(N199=0.1,1,0))))),2))</f>
        <v>9.74</v>
      </c>
      <c r="P199" s="100">
        <f>IF(OR(L199="",O199=""),"",IF($C199="1/2W",O199/2+O199/2*L199,IF($C199="1/2L",O199/2,IF(I199="Lay",(O199*(L199/(L199-1))-O199)*(1-_xlfn.XLOOKUP(K199,'Fevereiro 2023 - Valor Real'!A3:A15,'Fevereiro 2023 - Valor Real'!C3:C15,0))+O199,(O199*L199-O199)*(1-_xlfn.XLOOKUP(K199,'Fevereiro 2023 - Valor Real'!A3:A15,'Fevereiro 2023 - Valor Real'!C3:C15,0))+O199))))</f>
        <v>19.966999999999999</v>
      </c>
      <c r="Q199" s="101">
        <f>IF(K199="","",IF(_xlfn.XLOOKUP(K199,K$6:K194,$DJ$6:DJ194,0,,-1)=DJ199,_xlfn.XLOOKUP(K199,K$6:K194,Q$6:Q194,1,,-1)+1,1))</f>
        <v>3</v>
      </c>
      <c r="R199" s="102">
        <f>IF(K199="","",_xlfn.XLOOKUP(K199,K$6:K194,R$6:R194,0,,-1)+IF($C199=" ",1,0))</f>
        <v>0</v>
      </c>
      <c r="S199" s="474">
        <f>IF($B199="Anulado",0,ROUND(IF(OR($B199="LOSS",$B199="OK"),IF(OR($C199="W",$C199="1/2W",$C199="1/2L"),P199-O199,IF($C199="L",-O199,0))+IF(OR($C200="W",$C200="1/2W",$C200="1/2L"),P200-O200,IF($C200="L",-O200,0))+IF(OR($C201="W",$C201="1/2W",$C201="1/2L"),P201-O201,IF($C201="L",-O201,0)),IF(AND(OR($C199="W",$C199="1/2W",$C199="1/2L"),C200="W"),P199+P200-SUM(O199:O201)+_xlfn.XLOOKUP("X",C199:C201,O199:O201,0),IF(AND(C199=TRUE,C201="W"),P199+P201-SUM(O199:O201),IF(AND(C200="W",C201="W"),P200+P201-SUM(O199:O201)+_xlfn.XLOOKUP("X",C199:C201,O199:O201,0),IF(L201&gt;0,IF(OR($C199="W",$C199="1/2W",$C199="1/2L"),P199-SUM(O199:O201)+_xlfn.XLOOKUP("X",C199:C201,O199:O201,0),IF(OR($C199="W",$C199="1/2W",$C199="1/2L"),P200-SUM(O199:O201)+_xlfn.XLOOKUP("X",C199:C201,O199:O201,0),IF(OR($C199="W",$C199="1/2W",$C199="1/2L"),P201-SUM(O199:O201)+_xlfn.XLOOKUP("X",C199:C201,O199:O201,0),IF(SUM(P199:P201)/3-SUM(O199:O201)+_xlfn.XLOOKUP("X",C199:C201,O199:O201,0)&gt;0,SUM(P199:P201)/3-SUM(O199:O201)+_xlfn.XLOOKUP("X",C199:C201,O199:O201,0),LARGE(P199:P201,1)-SUM(O199:O201))))),IF(OR($C199="W",$C199="1/2W",$C199="1/2L"),P199-SUM(O199:O200)+_xlfn.XLOOKUP("X",C199:C201,O199:O201,0),IF(OR($C199="W",$C199="1/2W",$C199="1/2L"),P200-SUM(O199:O200)+_xlfn.XLOOKUP("X",C199:C201,O199:O201,0),SUM(P199:P200)/2-SUM(O199:O200)+_xlfn.XLOOKUP("X",C199:C201,O199:O201,0)))))))),2))</f>
        <v>1.51</v>
      </c>
      <c r="T199" s="458">
        <f>IF(S199=0,0,S199/SUM(O199:O201))</f>
        <v>8.1798483206933906E-2</v>
      </c>
      <c r="U199" s="470">
        <f>IF($D199=$D196,IF(OR($B199="LOSS",$B199="OK",$B199="Anulada"),S199,0)+U196,IF(OR($B199="LOSS",$B199="OK",$B199="Anulada"),S199,0))</f>
        <v>28.99</v>
      </c>
      <c r="V199" s="470">
        <f>IF($D199="",0,IF($D199=$D196,IF($B199=" ",IF(I201="",IF(OR(AND(I199="DNB1",I200="DNB2"),AND(OR(I199="DNB1",I199="DNB2"),J200=0),AND(OR(I200="DNB1",I200="DNB2"),J199=0),AND(I199="DNB2",I200="DNB1"),AND(IF(J199=0,(J199+1)/ROUND(J199+1,0),J199/ROUND(J199,0))=1,IF(J200=0,(J200+1)/ROUND(IF(J200="",0,J200)+1,0),IF(J200="",0,J200)/ROUND(IF(J200="",1,J200),0))=1,OR(J199&lt;&gt;""),J200&lt;&gt;"")),0,IF(S199&lt;0,IF(I201="",SMALL(P199:P200,1)-SUM(O199:O200),0),SMALL(P199:P200,1)-SUM(O199:O200))),IF(S199&lt;0,IF(I201="",SMALL(P199:P201,1)-SUM(O199:O201),0),LARGE(P199:P201,1)-SUM(O199:O201))),S199)+V196,IF(I201="",IF(OR(AND(I199="DNB1",I200="DNB2"),AND(OR(I199="DNB1",I199="DNB2"),J200=0),AND(OR(I200="DNB1",I200="DNB2"),J199=0),AND(I199="DNB2",I200="DNB1"),AND(IF(J199=0,(J199+1)/ROUND(J199+1,0),J199/ROUND(J199,0))=1,IF(J200=0,(IF(J200="",0,J200)+1)/ROUND(IF(J200="",0,J200)+1,0),IF(J200="",0,J200)/ROUND(IF(J200="",0,J200)+1,0))=1,OR(J199&lt;&gt;""),J200&lt;&gt;"")),0,IF(S199&lt;0,IF(I201="",SMALL(P199:P200,1)-SUM(O199:O200),0),SMALL(P199:P201,1)-SUM(O199:O201))),IF(S199&lt;0,IF(I201="",SMALL(P199:P201,1)-SUM(O199:O201),0),LARGE(P199:P201,1)-SUM(O199:O201)))))</f>
        <v>28.981999999999989</v>
      </c>
      <c r="W199" s="470">
        <f>IF($D199=$D196,IF(S199&lt;0,IF(I201="",S199,0),S199)+W196,S199)</f>
        <v>28.99</v>
      </c>
      <c r="X199" s="480" t="str">
        <f>IF(OR(SUM(R199:R201)=0,V199=W199),ROUND(IF(W199=0,0,W199/Y199)*100,2)&amp;"%",ROUND(IF(V199=0,0,V199/Y199)*100,2)&amp;"% a "&amp;ROUND(IF(W199=0,0,W199/Y199)*100,2)&amp;"%")</f>
        <v>5,74%</v>
      </c>
      <c r="Y199" s="471">
        <f>IF($D199=$D196,Y196+SUM(O199:O201),SUM(O199:O201))</f>
        <v>505.27000000000004</v>
      </c>
      <c r="Z199" s="470">
        <f>IF($B199=" ",SUM(O199:O201),0)+Z196</f>
        <v>0</v>
      </c>
      <c r="AA199" s="470">
        <f>IF(G199="","",IF($B199="Anulado",LARGE(P199:P201,1)-SUM(O199:O201)+AA196,AA196))</f>
        <v>1.4607999999999972</v>
      </c>
      <c r="AB199" s="470">
        <f>IF($D199="","",AB196+S199)</f>
        <v>168.83999999999997</v>
      </c>
      <c r="AC199" s="472">
        <f ca="1">IF($D199="","",IF($B199=" ",IF(DAY(G199)=DAY(TODAY()),1+AC196,0+AC196),0+AC196))</f>
        <v>0</v>
      </c>
      <c r="AD199" s="103">
        <f>(((L200/(L200-1)-1)*(1-_xlfn.XLOOKUP(K200,'Fevereiro 2023 - Valor Real'!A3:A15,'Fevereiro 2023 - Valor Real'!C3:C15,0))+1))/(((L199-1)*(1-_xlfn.XLOOKUP(K199,'Fevereiro 2023 - Valor Real'!A3:A15,'Fevereiro 2023 - Valor Real'!C3:C15,0))+1)+((L200/(L200-1)-1)*(1-_xlfn.XLOOKUP(K200,'Fevereiro 2023 - Valor Real'!A3:A15,'Fevereiro 2023 - Valor Real'!C3:C15,0))+1))</f>
        <v>0.46407944067281387</v>
      </c>
      <c r="AE199" s="104">
        <f>IF(L199="","",IF(L201&gt;0,(SUM(((L199-1)*(1-_xlfn.XLOOKUP(K199,'Fevereiro 2023 - Valor Real'!A3:A15,'Fevereiro 2023 - Valor Real'!C3:C15,0))+1),((L200-1)*(1-_xlfn.XLOOKUP(K200,'Fevereiro 2023 - Valor Real'!A3:A15,'Fevereiro 2023 - Valor Real'!C3:C15,0))+1),((L201-1)*(1-_xlfn.XLOOKUP(K201,'Fevereiro 2023 - Valor Real'!A3:A15,'Fevereiro 2023 - Valor Real'!C3:C15,0))+1))/((L199-1)*(1-_xlfn.XLOOKUP(K199,'Fevereiro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Real'!C3:C15,0))+1))/((L199-1)*(1-_xlfn.XLOOKUP(K199,'Fevereiro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Real'!C3:C15,0))+1))/((L200-1)*(1-_xlfn.XLOOKUP(K200,'Fevereiro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Real'!C3:C15,0))+1))/((L201-1)*(1-_xlfn.XLOOKUP(K201,'Fevereiro 2023 - Valor Real'!A3:A15,'Fevereiro 2023 - Valor Real'!C3:C15,0))+1)),IF(I199="Lay",IF(I200="Lay",((L200/(L200-1)-1)*(1-_xlfn.XLOOKUP(K200,'Fevereiro 2023 - Valor Real'!A3:A15,'Fevereiro 2023 - Valor Real'!C3:C15,0))+1)/(((L200/(L200-1)-1)*(1-_xlfn.XLOOKUP(K200,'Fevereiro 2023 - Valor Real'!A3:A15,'Fevereiro 2023 - Valor Real'!C3:C15,0))+1)+((L199/(L199-1)-1)*(1-_xlfn.XLOOKUP(K199,'Fevereiro 2023 - Valor Real'!A3:A15,'Fevereiro 2023 - Valor Real'!C3:C15,0))+1)),((L200-1)*(1-_xlfn.XLOOKUP(K200,'Fevereiro 2023 - Valor Real'!A3:A15,'Fevereiro 2023 - Valor Real'!C3:C15,0))+1)/(((L200-1)*(1-_xlfn.XLOOKUP(K200,'Fevereiro 2023 - Valor Real'!A3:A15,'Fevereiro 2023 - Valor Real'!C3:C15,0))+1)+((L199/(L199-1)-1)*(1-_xlfn.XLOOKUP(K199,'Fevereiro 2023 - Valor Real'!A3:A15,'Fevereiro 2023 - Valor Real'!C3:C15,0))+1))),IF(I200="Lay",(((L200/(L200-1)-1)*(1-_xlfn.XLOOKUP(K200,'Fevereiro 2023 - Valor Real'!A3:A15,'Fevereiro 2023 - Valor Real'!C3:C15,0))+1))/(((L199-1)*(1-_xlfn.XLOOKUP(K199,'Fevereiro 2023 - Valor Real'!A3:A15,'Fevereiro 2023 - Valor Real'!C3:C15,0))+1)+((L200/(L200-1)-1)*(1-_xlfn.XLOOKUP(K200,'Fevereiro 2023 - Valor Real'!A3:A15,'Fevereiro 2023 - Valor Real'!C3:C15,0))+1)),((L200-1)*(1-_xlfn.XLOOKUP(K200,'Fevereiro 2023 - Valor Real'!A3:A15,'Fevereiro 2023 - Valor Real'!C3:C15,0))+1)/(((L200-1)*(1-_xlfn.XLOOKUP(K200,'Fevereiro 2023 - Valor Real'!A3:A15,'Fevereiro 2023 - Valor Real'!C3:C15,0))+1)+((L199-1)*(1-_xlfn.XLOOKUP(K199,'Fevereiro 2023 - Valor Real'!A3:A15,'Fevereiro 2023 - Valor Real'!C3:C15,0))+1))))))</f>
        <v>0.52764976958525345</v>
      </c>
      <c r="AF199" s="105">
        <f t="shared" si="382"/>
        <v>0</v>
      </c>
      <c r="AG199" s="106">
        <f t="shared" si="382"/>
        <v>0</v>
      </c>
      <c r="AH199" s="106">
        <f t="shared" si="382"/>
        <v>0</v>
      </c>
      <c r="AI199" s="106">
        <f t="shared" si="382"/>
        <v>0</v>
      </c>
      <c r="AJ199" s="106">
        <f t="shared" si="382"/>
        <v>0</v>
      </c>
      <c r="AK199" s="106">
        <f t="shared" si="382"/>
        <v>0</v>
      </c>
      <c r="AL199" s="106">
        <f t="shared" si="382"/>
        <v>0</v>
      </c>
      <c r="AM199" s="106">
        <f t="shared" si="382"/>
        <v>10.23</v>
      </c>
      <c r="AN199" s="106">
        <f t="shared" si="382"/>
        <v>0</v>
      </c>
      <c r="AO199" s="106">
        <f t="shared" si="382"/>
        <v>0</v>
      </c>
      <c r="AP199" s="106">
        <f t="shared" si="382"/>
        <v>0</v>
      </c>
      <c r="AQ199" s="106">
        <f t="shared" si="382"/>
        <v>0</v>
      </c>
      <c r="AR199" s="107">
        <f t="shared" si="382"/>
        <v>0</v>
      </c>
      <c r="AS199" s="105">
        <f t="shared" ref="AS199:BE199" si="420">IF(AND($B199=" ",$K199=AS$3),$O199,0)</f>
        <v>0</v>
      </c>
      <c r="AT199" s="106">
        <f t="shared" si="420"/>
        <v>0</v>
      </c>
      <c r="AU199" s="106">
        <f t="shared" si="420"/>
        <v>0</v>
      </c>
      <c r="AV199" s="106">
        <f t="shared" si="420"/>
        <v>0</v>
      </c>
      <c r="AW199" s="106">
        <f t="shared" si="420"/>
        <v>0</v>
      </c>
      <c r="AX199" s="106">
        <f t="shared" si="420"/>
        <v>0</v>
      </c>
      <c r="AY199" s="108">
        <f t="shared" si="420"/>
        <v>0</v>
      </c>
      <c r="AZ199" s="109">
        <f t="shared" si="420"/>
        <v>0</v>
      </c>
      <c r="BA199" s="109">
        <f t="shared" si="420"/>
        <v>0</v>
      </c>
      <c r="BB199" s="109">
        <f t="shared" si="420"/>
        <v>0</v>
      </c>
      <c r="BC199" s="110">
        <f t="shared" si="420"/>
        <v>0</v>
      </c>
      <c r="BD199" s="106">
        <f t="shared" si="420"/>
        <v>0</v>
      </c>
      <c r="BE199" s="107">
        <f t="shared" si="420"/>
        <v>0</v>
      </c>
      <c r="BF199" s="111">
        <f t="shared" si="384"/>
        <v>0</v>
      </c>
      <c r="BG199" s="106">
        <f t="shared" si="384"/>
        <v>0</v>
      </c>
      <c r="BH199" s="106">
        <f t="shared" si="384"/>
        <v>0</v>
      </c>
      <c r="BI199" s="106">
        <f t="shared" si="384"/>
        <v>0</v>
      </c>
      <c r="BJ199" s="106">
        <f t="shared" si="384"/>
        <v>0</v>
      </c>
      <c r="BK199" s="106">
        <f t="shared" si="384"/>
        <v>0</v>
      </c>
      <c r="BL199" s="106">
        <f t="shared" si="384"/>
        <v>0</v>
      </c>
      <c r="BM199" s="108">
        <f t="shared" si="384"/>
        <v>9.74</v>
      </c>
      <c r="BN199" s="109">
        <f t="shared" si="384"/>
        <v>0</v>
      </c>
      <c r="BO199" s="109">
        <f t="shared" si="384"/>
        <v>0</v>
      </c>
      <c r="BP199" s="109">
        <f t="shared" si="384"/>
        <v>0</v>
      </c>
      <c r="BQ199" s="110">
        <f t="shared" si="384"/>
        <v>0</v>
      </c>
      <c r="BR199" s="107">
        <f t="shared" si="384"/>
        <v>0</v>
      </c>
      <c r="BS199" s="463">
        <f>IF($B199="LOSS",IF(AND($K199=BS$3,$C199="L"),-$O199,0)+IF(AND($K200=BS$3,$C200="L"),-$O200,0)+IF(AND($K201=BS$3,$C201="L"),-$O201,0),IF(OR(AND($K199=BS$3,OR($C199="W",$C199="1/2W")),AND($K200=BS$3,OR($C200="W",$C200="1/2W")),AND($K201=BS$3,OR($C201="W",$C201="1/2W"))),$S199,0))</f>
        <v>0</v>
      </c>
      <c r="BT199" s="462">
        <f>IF($B199="LOSS",IF(AND($K199=BT$3,$C199="L"),-$O199,0)+IF(AND($K200=BT$3,$C200="L"),-$O200,0)+IF(AND($K200=BT$3,$C201="L"),-$O201,0),IF(OR(AND($K200=BT$3,OR($C199="W",$C199="1/2W")),AND($K200=BT$3,OR($C200="W",$C200="1/2W")),AND($K200=BT$3,OR($C201="W",$C201="1/2W"))),$S199,0))</f>
        <v>0</v>
      </c>
      <c r="BU199" s="462">
        <f>IF($B199="LOSS",IF(AND($K199=BU$3,$C199="L"),-$O199,0)+IF(AND($K200=BU$3,$C200="L"),-$O200,0)+IF(AND($K200=BU$3,$C201="L"),-$O201,0),IF(OR(AND($K200=BU$3,OR($C199="W",$C199="1/2W")),AND($K200=BU$3,OR($C200="W",$C200="1/2W")),AND($K200=BU$3,OR($C201="W",$C201="1/2W"))),$S199,0))</f>
        <v>0</v>
      </c>
      <c r="BV199" s="462">
        <f t="shared" ref="BV199:CE199" si="421">IF($B199="LOSS",IF(AND($K199=BV$3,$C199="L"),-$O199,0)+IF(AND($K200=BV$3,$C200="L"),-$O200,0)+IF(AND($K201=BV$3,$C201="L"),-$O201,0),IF(OR(AND($K199=BV$3,OR($C199="W",$C199="1/2W")),AND($K200=BV$3,OR($C200="W",$C200="1/2W")),AND($K201=BV$3,OR($C201="W",$C201="1/2W"))),$S199,0))</f>
        <v>0</v>
      </c>
      <c r="BW199" s="462">
        <f t="shared" si="421"/>
        <v>0</v>
      </c>
      <c r="BX199" s="462">
        <f t="shared" si="421"/>
        <v>0</v>
      </c>
      <c r="BY199" s="462">
        <f t="shared" si="421"/>
        <v>0</v>
      </c>
      <c r="BZ199" s="460">
        <f t="shared" si="421"/>
        <v>1.51</v>
      </c>
      <c r="CA199" s="460">
        <f t="shared" si="421"/>
        <v>0</v>
      </c>
      <c r="CB199" s="460">
        <f t="shared" si="421"/>
        <v>0</v>
      </c>
      <c r="CC199" s="460">
        <f t="shared" si="421"/>
        <v>0</v>
      </c>
      <c r="CD199" s="473">
        <f t="shared" si="421"/>
        <v>0</v>
      </c>
      <c r="CE199" s="479">
        <f t="shared" si="421"/>
        <v>0</v>
      </c>
      <c r="CF199" s="113">
        <f t="shared" si="388"/>
        <v>0</v>
      </c>
      <c r="CG199" s="114">
        <f t="shared" si="389"/>
        <v>0</v>
      </c>
      <c r="CH199" s="114">
        <f t="shared" si="390"/>
        <v>0</v>
      </c>
      <c r="CI199" s="114">
        <f t="shared" si="391"/>
        <v>0</v>
      </c>
      <c r="CJ199" s="114">
        <f t="shared" si="392"/>
        <v>0</v>
      </c>
      <c r="CK199" s="114">
        <f t="shared" si="393"/>
        <v>0</v>
      </c>
      <c r="CL199" s="114">
        <f t="shared" si="394"/>
        <v>0</v>
      </c>
      <c r="CM199" s="114">
        <f t="shared" si="395"/>
        <v>0</v>
      </c>
      <c r="CN199" s="114">
        <f t="shared" si="396"/>
        <v>0</v>
      </c>
      <c r="CO199" s="114">
        <f t="shared" si="397"/>
        <v>0</v>
      </c>
      <c r="CP199" s="114">
        <f t="shared" si="398"/>
        <v>0</v>
      </c>
      <c r="CQ199" s="114">
        <f t="shared" si="399"/>
        <v>0</v>
      </c>
      <c r="CR199" s="114">
        <f t="shared" si="400"/>
        <v>0</v>
      </c>
      <c r="CS199" s="114">
        <f t="shared" si="401"/>
        <v>0</v>
      </c>
      <c r="CT199" s="115">
        <f t="shared" si="402"/>
        <v>1</v>
      </c>
      <c r="CU199" s="116">
        <f t="shared" si="403"/>
        <v>0</v>
      </c>
      <c r="CV199" s="116">
        <f t="shared" si="404"/>
        <v>0</v>
      </c>
      <c r="CW199" s="116">
        <f t="shared" si="405"/>
        <v>0</v>
      </c>
      <c r="CX199" s="116">
        <f t="shared" si="406"/>
        <v>0</v>
      </c>
      <c r="CY199" s="116">
        <f t="shared" si="407"/>
        <v>0</v>
      </c>
      <c r="CZ199" s="116">
        <f t="shared" si="408"/>
        <v>0</v>
      </c>
      <c r="DA199" s="116">
        <f t="shared" si="409"/>
        <v>0</v>
      </c>
      <c r="DB199" s="116">
        <f t="shared" si="410"/>
        <v>0</v>
      </c>
      <c r="DC199" s="116">
        <f t="shared" si="411"/>
        <v>0</v>
      </c>
      <c r="DD199" s="116">
        <f t="shared" si="412"/>
        <v>0</v>
      </c>
      <c r="DE199" s="117">
        <f t="shared" si="413"/>
        <v>0</v>
      </c>
      <c r="DF199" s="118">
        <f t="shared" si="415"/>
        <v>13</v>
      </c>
      <c r="DG199" s="106">
        <f t="shared" si="416"/>
        <v>16.91</v>
      </c>
      <c r="DH199" s="116">
        <f t="shared" si="417"/>
        <v>6</v>
      </c>
      <c r="DI199" s="106">
        <f t="shared" si="418"/>
        <v>25.63</v>
      </c>
      <c r="DJ199" s="201" t="str">
        <f>IF($D199="","",$D199)</f>
        <v>6</v>
      </c>
      <c r="DK199" s="465">
        <f>IF(AND($B199=" ",$D199&lt;&gt;""),1,0)</f>
        <v>0</v>
      </c>
    </row>
    <row r="200" spans="1:115" ht="14.5" customHeight="1" x14ac:dyDescent="0.2">
      <c r="A200" s="389"/>
      <c r="B200" s="456"/>
      <c r="C200" s="120" t="s">
        <v>55</v>
      </c>
      <c r="D200" s="374"/>
      <c r="E200" s="386"/>
      <c r="F200" s="377"/>
      <c r="G200" s="483"/>
      <c r="H200" s="476"/>
      <c r="I200" s="121" t="s">
        <v>66</v>
      </c>
      <c r="J200" s="122">
        <f>IF(OR(I199="TO",I199="TU",I199="TO1",I199="TU1",I199="TO2",I199="TU2"),J199,IF(OR(I199="AH1",I199="AH2"),IF(OR(I200="AH1",I200="AH2"),-J199,IF(OR(I200="EH1",I200="EH2"),-J199+0.5,"")),IF(OR(I199="EH1",I199="EH2"),IF(OR(I200="AH1",I200="AH2"),-J199+0.5,IF(OR(I200="EH1",I200="EH2"),-J199+1,"")),IF(AND(OR(I199="DNB1",I199="DNB2"),OR(I200="AH1",I200="AH2")),0,IF(AND(I199="Not ScoreBoth",OR(I200="TO1",I200="TO2")),0.5,"")))))</f>
        <v>0</v>
      </c>
      <c r="K200" s="123" t="s">
        <v>40</v>
      </c>
      <c r="L200" s="124">
        <v>2.29</v>
      </c>
      <c r="M200" s="125">
        <v>8.7200000000000006</v>
      </c>
      <c r="N200" s="406"/>
      <c r="O200" s="126">
        <f>IF(OR(AE199="",AE200=""),"",ROUND(IF(L201&gt;0,IF(M200&gt;0,M200,IF(M199&gt;0,IF(N199=TRUE,ROUND((M199*AE200)/AE199,0),(M199*AE200)/AE199),IF(M200&gt;0,ROUND(M200,IF(N199=0,2,IF(N199=0.1,1,0))),IF(M201&gt;0,ROUND(O201*AE200/AE201,IF(N199=0,2,IF(N199=0.1,1,0))),0)))),IF(M200&gt;0,M200,ROUND((M199*AE200)/AE199,IF(N199=0,2,IF(N199=0.1,1,0))))),2))</f>
        <v>8.7200000000000006</v>
      </c>
      <c r="P200" s="127">
        <f>IF(OR(L200="",O200=""),"",IF($C200="1/2W",O200/2+O200/2*L200,IF($C200="1/2L",O200/2,IF(I200="Lay",((O200*(L200/(L200-1)))-O200)*(1-_xlfn.XLOOKUP(K200,'Fevereiro 2023 - Valor Real'!A3:A15,'Fevereiro 2023 - Valor Real'!C3:C15,0))+O200,(O200*L200-O200)*(1-_xlfn.XLOOKUP(K200,'Fevereiro 2023 - Valor Real'!A3:A15,'Fevereiro 2023 - Valor Real'!C3:C15,0))+O200))))</f>
        <v>19.968800000000002</v>
      </c>
      <c r="Q200" s="128">
        <f>IF(K200="","",IF(_xlfn.XLOOKUP(K200,K$7:K194,$DJ$7:DJ194,0,,-1)=DJ200,_xlfn.XLOOKUP(K200,K$7:K194,Q$7:Q194,1,,-1)+1,1))</f>
        <v>6</v>
      </c>
      <c r="R200" s="129">
        <f>IF(K200="","",_xlfn.XLOOKUP(K200,K$7:K194,R$7:R194,0,,-1)+IF($C200=" ",1,0))</f>
        <v>0</v>
      </c>
      <c r="S200" s="403"/>
      <c r="T200" s="380"/>
      <c r="U200" s="380"/>
      <c r="V200" s="481"/>
      <c r="W200" s="380"/>
      <c r="X200" s="452"/>
      <c r="Y200" s="383"/>
      <c r="Z200" s="384"/>
      <c r="AA200" s="384"/>
      <c r="AB200" s="384"/>
      <c r="AC200" s="384"/>
      <c r="AD200" s="130">
        <f>(((L200/(L200-1)-1)*(1-_xlfn.XLOOKUP(K200,'Fevereiro 2023 - Valor Real'!A3:A15,'Fevereiro 2023 - Valor Real'!C3:C15,0))+1))</f>
        <v>1.7751937984496124</v>
      </c>
      <c r="AE200" s="131">
        <f>IF(L200="","",IF(L201&gt;0,(SUM(((L199-1)*(1-_xlfn.XLOOKUP(K199,'Fevereiro 2023 - Valor Real'!A3:A15,'Fevereiro 2023 - Valor Real'!C3:C15,0))+1),((L200-1)*(1-_xlfn.XLOOKUP(K200,'Fevereiro 2023 - Valor Real'!A3:A15,'Fevereiro 2023 - Valor Real'!C3:C15,0))+1),((L201-1)*(1-_xlfn.XLOOKUP(K201,'Fevereiro 2023 - Valor Real'!A3:A15,'Fevereiro 2023 - Valor Real'!C3:C15,0))+1))/((L200-1)*(1-_xlfn.XLOOKUP(K200,'Fevereiro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Real'!C3:C15,0))+1))/((L199-1)*(1-_xlfn.XLOOKUP(K199,'Fevereiro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Real'!C3:C15,0))+1))/((L200-1)*(1-_xlfn.XLOOKUP(K200,'Fevereiro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Real'!C3:C15,0))+1))/((L201-1)*(1-_xlfn.XLOOKUP(K201,'Fevereiro 2023 - Valor Real'!A3:A15,'Fevereiro 2023 - Valor Real'!C3:C15,0))+1)),IF(I200="Lay",IF(I199="Lay",((L199/(L199-1)-1)*(1-_xlfn.XLOOKUP(K199,'Fevereiro 2023 - Valor Real'!A3:A15,'Fevereiro 2023 - Valor Real'!C3:C15,0))+1)/(((L199/(L199-1)-1)*(1-_xlfn.XLOOKUP(K199,'Fevereiro 2023 - Valor Real'!A3:A15,'Fevereiro 2023 - Valor Real'!C3:C15,0))+1)+((L200/(L200-1)-1)*(1-_xlfn.XLOOKUP(K200,'Fevereiro 2023 - Valor Real'!A3:A15,'Fevereiro 2023 - Valor Real'!C3:C15,0))+1)),((L199-1)*(1-_xlfn.XLOOKUP(K199,'Fevereiro 2023 - Valor Real'!A3:A15,'Fevereiro 2023 - Valor Real'!C3:C15,0))+1)/(((L199-1)*(1-_xlfn.XLOOKUP(K199,'Fevereiro 2023 - Valor Real'!A3:A15,'Fevereiro 2023 - Valor Real'!C3:C15,0))+1)+((L200/(L200-1)-1)*(1-_xlfn.XLOOKUP(K200,'Fevereiro 2023 - Valor Real'!A3:A15,'Fevereiro 2023 - Valor Real'!C3:C15,0))+1))),IF(I199="Lay",((L199/(L199-1)-1)*(1-_xlfn.XLOOKUP(K199,'Fevereiro 2023 - Valor Real'!A3:A15,'Fevereiro 2023 - Valor Real'!C3:C15,0))+1)/((((L199/(L199-1)-1)*(1-_xlfn.XLOOKUP(K199,'Fevereiro 2023 - Valor Real'!A3:A15,'Fevereiro 2023 - Valor Real'!C3:C15,0))+1))+((L200-1)*(1-_xlfn.XLOOKUP(K200,'Fevereiro 2023 - Valor Real'!A3:A15,'Fevereiro 2023 - Valor Real'!C3:C15,0))+1)),((L199-1)*(1-_xlfn.XLOOKUP(K199,'Fevereiro 2023 - Valor Real'!A3:A15,'Fevereiro 2023 - Valor Real'!C3:C15,0))+1)/(((L199-1)*(1-_xlfn.XLOOKUP(K199,'Fevereiro 2023 - Valor Real'!A3:A15,'Fevereiro 2023 - Valor Real'!C3:C15,0))+1)+((L200-1)*(1-_xlfn.XLOOKUP(K200,'Fevereiro 2023 - Valor Real'!A3:A15,'Fevereiro 2023 - Valor Real'!C3:C15,0))+1))))))</f>
        <v>0.4723502304147465</v>
      </c>
      <c r="AF200" s="105">
        <f t="shared" si="382"/>
        <v>0</v>
      </c>
      <c r="AG200" s="106">
        <f t="shared" si="382"/>
        <v>0</v>
      </c>
      <c r="AH200" s="106">
        <f t="shared" si="382"/>
        <v>0</v>
      </c>
      <c r="AI200" s="106">
        <f t="shared" si="382"/>
        <v>0</v>
      </c>
      <c r="AJ200" s="106">
        <f t="shared" si="382"/>
        <v>-8.7200000000000006</v>
      </c>
      <c r="AK200" s="106">
        <f t="shared" si="382"/>
        <v>0</v>
      </c>
      <c r="AL200" s="106">
        <f t="shared" si="382"/>
        <v>0</v>
      </c>
      <c r="AM200" s="106">
        <f t="shared" si="382"/>
        <v>0</v>
      </c>
      <c r="AN200" s="106">
        <f t="shared" si="382"/>
        <v>0</v>
      </c>
      <c r="AO200" s="106">
        <f t="shared" si="382"/>
        <v>0</v>
      </c>
      <c r="AP200" s="106">
        <f t="shared" si="382"/>
        <v>0</v>
      </c>
      <c r="AQ200" s="106">
        <f t="shared" si="382"/>
        <v>0</v>
      </c>
      <c r="AR200" s="107">
        <f t="shared" si="382"/>
        <v>0</v>
      </c>
      <c r="AS200" s="105">
        <f>IF(AND($B199=" ",$K200=AS$3),$O200,0)</f>
        <v>0</v>
      </c>
      <c r="AT200" s="106">
        <f>IF(AND($B199=" ",K200=AT$3),$O200,0)</f>
        <v>0</v>
      </c>
      <c r="AU200" s="106">
        <f t="shared" ref="AU200:BE200" si="422">IF(AND($B199=" ",$K200=AU$3),$O200,0)</f>
        <v>0</v>
      </c>
      <c r="AV200" s="106">
        <f t="shared" si="422"/>
        <v>0</v>
      </c>
      <c r="AW200" s="106">
        <f t="shared" si="422"/>
        <v>0</v>
      </c>
      <c r="AX200" s="106">
        <f t="shared" si="422"/>
        <v>0</v>
      </c>
      <c r="AY200" s="108">
        <f t="shared" si="422"/>
        <v>0</v>
      </c>
      <c r="AZ200" s="109">
        <f t="shared" si="422"/>
        <v>0</v>
      </c>
      <c r="BA200" s="109">
        <f t="shared" si="422"/>
        <v>0</v>
      </c>
      <c r="BB200" s="109">
        <f t="shared" si="422"/>
        <v>0</v>
      </c>
      <c r="BC200" s="110">
        <f t="shared" si="422"/>
        <v>0</v>
      </c>
      <c r="BD200" s="106">
        <f t="shared" si="422"/>
        <v>0</v>
      </c>
      <c r="BE200" s="107">
        <f t="shared" si="422"/>
        <v>0</v>
      </c>
      <c r="BF200" s="105">
        <f t="shared" si="384"/>
        <v>0</v>
      </c>
      <c r="BG200" s="106">
        <f t="shared" si="384"/>
        <v>0</v>
      </c>
      <c r="BH200" s="106">
        <f t="shared" si="384"/>
        <v>0</v>
      </c>
      <c r="BI200" s="106">
        <f t="shared" si="384"/>
        <v>0</v>
      </c>
      <c r="BJ200" s="106">
        <f t="shared" si="384"/>
        <v>8.7200000000000006</v>
      </c>
      <c r="BK200" s="106">
        <f t="shared" si="384"/>
        <v>0</v>
      </c>
      <c r="BL200" s="106">
        <f t="shared" si="384"/>
        <v>0</v>
      </c>
      <c r="BM200" s="132">
        <f t="shared" si="384"/>
        <v>0</v>
      </c>
      <c r="BN200" s="112">
        <f t="shared" si="384"/>
        <v>0</v>
      </c>
      <c r="BO200" s="112">
        <f t="shared" si="384"/>
        <v>0</v>
      </c>
      <c r="BP200" s="112">
        <f t="shared" si="384"/>
        <v>0</v>
      </c>
      <c r="BQ200" s="110">
        <f t="shared" si="384"/>
        <v>0</v>
      </c>
      <c r="BR200" s="107">
        <f t="shared" si="384"/>
        <v>0</v>
      </c>
      <c r="BS200" s="464"/>
      <c r="BT200" s="461"/>
      <c r="BU200" s="392"/>
      <c r="BV200" s="461"/>
      <c r="BW200" s="392"/>
      <c r="BX200" s="392"/>
      <c r="BY200" s="392"/>
      <c r="BZ200" s="461"/>
      <c r="CA200" s="392"/>
      <c r="CB200" s="392"/>
      <c r="CC200" s="392"/>
      <c r="CD200" s="401"/>
      <c r="CE200" s="409"/>
      <c r="CF200" s="133">
        <f t="shared" si="388"/>
        <v>0</v>
      </c>
      <c r="CG200" s="134">
        <f t="shared" si="389"/>
        <v>0</v>
      </c>
      <c r="CH200" s="134">
        <f t="shared" si="390"/>
        <v>0</v>
      </c>
      <c r="CI200" s="134">
        <f t="shared" si="391"/>
        <v>0</v>
      </c>
      <c r="CJ200" s="134">
        <f t="shared" si="392"/>
        <v>0</v>
      </c>
      <c r="CK200" s="134">
        <f t="shared" si="393"/>
        <v>0</v>
      </c>
      <c r="CL200" s="134">
        <f t="shared" si="394"/>
        <v>0</v>
      </c>
      <c r="CM200" s="134">
        <f t="shared" si="395"/>
        <v>0</v>
      </c>
      <c r="CN200" s="134">
        <f t="shared" si="396"/>
        <v>0</v>
      </c>
      <c r="CO200" s="134">
        <f t="shared" si="397"/>
        <v>1</v>
      </c>
      <c r="CP200" s="134">
        <f t="shared" si="398"/>
        <v>0</v>
      </c>
      <c r="CQ200" s="134">
        <f t="shared" si="399"/>
        <v>0</v>
      </c>
      <c r="CR200" s="134">
        <f t="shared" si="400"/>
        <v>0</v>
      </c>
      <c r="CS200" s="134">
        <f t="shared" si="401"/>
        <v>0</v>
      </c>
      <c r="CT200" s="115">
        <f t="shared" si="402"/>
        <v>0</v>
      </c>
      <c r="CU200" s="116">
        <f t="shared" si="403"/>
        <v>0</v>
      </c>
      <c r="CV200" s="116">
        <f t="shared" si="404"/>
        <v>0</v>
      </c>
      <c r="CW200" s="116">
        <f t="shared" si="405"/>
        <v>0</v>
      </c>
      <c r="CX200" s="116">
        <f t="shared" si="406"/>
        <v>0</v>
      </c>
      <c r="CY200" s="116">
        <f t="shared" si="407"/>
        <v>0</v>
      </c>
      <c r="CZ200" s="116">
        <f t="shared" si="408"/>
        <v>0</v>
      </c>
      <c r="DA200" s="116">
        <f t="shared" si="409"/>
        <v>0</v>
      </c>
      <c r="DB200" s="116">
        <f t="shared" si="410"/>
        <v>0</v>
      </c>
      <c r="DC200" s="116">
        <f t="shared" si="411"/>
        <v>0</v>
      </c>
      <c r="DD200" s="116">
        <f t="shared" si="412"/>
        <v>0</v>
      </c>
      <c r="DE200" s="117">
        <f t="shared" si="413"/>
        <v>0</v>
      </c>
      <c r="DF200" s="118">
        <f t="shared" si="415"/>
        <v>13</v>
      </c>
      <c r="DG200" s="106">
        <f t="shared" si="416"/>
        <v>16.91</v>
      </c>
      <c r="DH200" s="116">
        <f t="shared" si="417"/>
        <v>6</v>
      </c>
      <c r="DI200" s="106">
        <f t="shared" si="418"/>
        <v>25.63</v>
      </c>
      <c r="DJ200" s="201" t="str">
        <f>IF($D199="","",$D199)</f>
        <v>6</v>
      </c>
      <c r="DK200" s="466"/>
    </row>
    <row r="201" spans="1:115" ht="14.5" customHeight="1" x14ac:dyDescent="0.2">
      <c r="A201" s="390"/>
      <c r="B201" s="457"/>
      <c r="C201" s="135" t="s">
        <v>53</v>
      </c>
      <c r="D201" s="375"/>
      <c r="E201" s="387"/>
      <c r="F201" s="378"/>
      <c r="G201" s="484"/>
      <c r="H201" s="477"/>
      <c r="I201" s="136"/>
      <c r="J201" s="137"/>
      <c r="K201" s="138"/>
      <c r="L201" s="139"/>
      <c r="M201" s="140"/>
      <c r="N201" s="407"/>
      <c r="O201" s="141" t="str">
        <f>IF(OR(AE199="",AE200=""),"",IF(L201&gt;0,ROUND(IF(M201&gt;0,M201,IF(M199&gt;0,ROUND((M199*AE201)/AE199,IF(N199=0,2,IF(N199=0.1,1,0))),IF(M200&gt;0,ROUND((M200*AE201)/AE200,IF(N199=0,2,IF(N199=0.1,1,0))),IF(M201&gt;0,M201,0)))),2),""))</f>
        <v/>
      </c>
      <c r="P201" s="142" t="str">
        <f>IF(I200="Lay",O200*(L200/(L200-1))-O200,IF(I199="Lay",O199*(L199/(L199-1))-O199,IF(OR(L201="",O201=""),"",IF($C201="1/2W",O201/2+O201/2*L201,IF($C201="1/2L",O201/2,(O201*L201-O201)*(1-_xlfn.XLOOKUP(K201,'Fevereiro 2023 - Valor Real'!A3:A15,'Fevereiro 2023 - Valor Real'!C3:C15,0))+O201)))))</f>
        <v/>
      </c>
      <c r="Q201" s="143" t="str">
        <f>IF(K201="","",IF(_xlfn.XLOOKUP(K201,K$8:K194,$DJ$8:DJ194,0,,-1)=DJ201,_xlfn.XLOOKUP(K201,K$8:K194,Q$8:Q194,1,,-1)+1,1))</f>
        <v/>
      </c>
      <c r="R201" s="144" t="str">
        <f>IF(K201="","",_xlfn.XLOOKUP(K201,K$8:K194,R$8:R194,0,,-1)+IF($C201=" ",1,0))</f>
        <v/>
      </c>
      <c r="S201" s="404"/>
      <c r="T201" s="378"/>
      <c r="U201" s="378"/>
      <c r="V201" s="404"/>
      <c r="W201" s="378"/>
      <c r="X201" s="453"/>
      <c r="Y201" s="383"/>
      <c r="Z201" s="384"/>
      <c r="AA201" s="384"/>
      <c r="AB201" s="384"/>
      <c r="AC201" s="384"/>
      <c r="AD201" s="145">
        <f>((L200/(L200-1)-1))</f>
        <v>0.77519379844961245</v>
      </c>
      <c r="AE201" s="146" t="str">
        <f>IF(L201="","",(SUM(((L199-1)*(1-_xlfn.XLOOKUP(K199,'Fevereiro 2023 - Valor Real'!A3:A15,'Fevereiro 2023 - Valor Real'!C3:C15,0))+1),((L200-1)*(1-_xlfn.XLOOKUP(K200,'Fevereiro 2023 - Valor Real'!A3:A15,'Fevereiro 2023 - Valor Real'!C3:C15,0))+1),((L201-1)*(1-_xlfn.XLOOKUP(K201,'Fevereiro 2023 - Valor Real'!A3:A15,'Fevereiro 2023 - Valor Real'!C3:C15,0))+1))/((L201-1)*(1-_xlfn.XLOOKUP(K201,'Fevereiro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Real'!C3:C15,0))+1))/((L199-1)*(1-_xlfn.XLOOKUP(K199,'Fevereiro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Real'!C3:C15,0))+1))/((L200-1)*(1-_xlfn.XLOOKUP(K200,'Fevereiro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Real'!C3:C15,0))+1))/((L201-1)*(1-_xlfn.XLOOKUP(K201,'Fevereiro 2023 - Valor Real'!A3:A15,'Fevereiro 2023 - Valor Real'!C3:C15,0))+1)))</f>
        <v/>
      </c>
      <c r="AF201" s="105">
        <f t="shared" si="382"/>
        <v>0</v>
      </c>
      <c r="AG201" s="106">
        <f t="shared" si="382"/>
        <v>0</v>
      </c>
      <c r="AH201" s="106">
        <f t="shared" si="382"/>
        <v>0</v>
      </c>
      <c r="AI201" s="106">
        <f t="shared" si="382"/>
        <v>0</v>
      </c>
      <c r="AJ201" s="106">
        <f t="shared" si="382"/>
        <v>0</v>
      </c>
      <c r="AK201" s="106">
        <f t="shared" si="382"/>
        <v>0</v>
      </c>
      <c r="AL201" s="106">
        <f t="shared" si="382"/>
        <v>0</v>
      </c>
      <c r="AM201" s="106">
        <f t="shared" si="382"/>
        <v>0</v>
      </c>
      <c r="AN201" s="106">
        <f t="shared" si="382"/>
        <v>0</v>
      </c>
      <c r="AO201" s="106">
        <f t="shared" si="382"/>
        <v>0</v>
      </c>
      <c r="AP201" s="106">
        <f t="shared" si="382"/>
        <v>0</v>
      </c>
      <c r="AQ201" s="106">
        <f t="shared" si="382"/>
        <v>0</v>
      </c>
      <c r="AR201" s="107">
        <f t="shared" si="382"/>
        <v>0</v>
      </c>
      <c r="AS201" s="105">
        <f>IF(AND($B199=" ",$K201=AS$3),$O201,0)</f>
        <v>0</v>
      </c>
      <c r="AT201" s="106">
        <f>IF(AND($B199=" ",K201=AT$3),$O201,0)</f>
        <v>0</v>
      </c>
      <c r="AU201" s="106">
        <f t="shared" ref="AU201:BE201" si="423">IF(AND($B199=" ",$K201=AU$3),$O201,0)</f>
        <v>0</v>
      </c>
      <c r="AV201" s="106">
        <f t="shared" si="423"/>
        <v>0</v>
      </c>
      <c r="AW201" s="106">
        <f t="shared" si="423"/>
        <v>0</v>
      </c>
      <c r="AX201" s="106">
        <f t="shared" si="423"/>
        <v>0</v>
      </c>
      <c r="AY201" s="108">
        <f t="shared" si="423"/>
        <v>0</v>
      </c>
      <c r="AZ201" s="109">
        <f t="shared" si="423"/>
        <v>0</v>
      </c>
      <c r="BA201" s="109">
        <f t="shared" si="423"/>
        <v>0</v>
      </c>
      <c r="BB201" s="109">
        <f t="shared" si="423"/>
        <v>0</v>
      </c>
      <c r="BC201" s="110">
        <f t="shared" si="423"/>
        <v>0</v>
      </c>
      <c r="BD201" s="106">
        <f t="shared" si="423"/>
        <v>0</v>
      </c>
      <c r="BE201" s="107">
        <f t="shared" si="423"/>
        <v>0</v>
      </c>
      <c r="BF201" s="105">
        <f t="shared" si="384"/>
        <v>0</v>
      </c>
      <c r="BG201" s="106">
        <f t="shared" si="384"/>
        <v>0</v>
      </c>
      <c r="BH201" s="106">
        <f t="shared" si="384"/>
        <v>0</v>
      </c>
      <c r="BI201" s="106">
        <f t="shared" si="384"/>
        <v>0</v>
      </c>
      <c r="BJ201" s="106">
        <f t="shared" si="384"/>
        <v>0</v>
      </c>
      <c r="BK201" s="106">
        <f t="shared" si="384"/>
        <v>0</v>
      </c>
      <c r="BL201" s="106">
        <f t="shared" si="384"/>
        <v>0</v>
      </c>
      <c r="BM201" s="108">
        <f t="shared" si="384"/>
        <v>0</v>
      </c>
      <c r="BN201" s="109">
        <f t="shared" si="384"/>
        <v>0</v>
      </c>
      <c r="BO201" s="109">
        <f t="shared" si="384"/>
        <v>0</v>
      </c>
      <c r="BP201" s="109">
        <f t="shared" si="384"/>
        <v>0</v>
      </c>
      <c r="BQ201" s="110">
        <f t="shared" si="384"/>
        <v>0</v>
      </c>
      <c r="BR201" s="107">
        <f t="shared" si="384"/>
        <v>0</v>
      </c>
      <c r="BS201" s="464"/>
      <c r="BT201" s="461"/>
      <c r="BU201" s="392"/>
      <c r="BV201" s="461"/>
      <c r="BW201" s="392"/>
      <c r="BX201" s="392"/>
      <c r="BY201" s="392"/>
      <c r="BZ201" s="461"/>
      <c r="CA201" s="392"/>
      <c r="CB201" s="392"/>
      <c r="CC201" s="392"/>
      <c r="CD201" s="401"/>
      <c r="CE201" s="409"/>
      <c r="CF201" s="133">
        <f t="shared" si="388"/>
        <v>0</v>
      </c>
      <c r="CG201" s="134">
        <f t="shared" si="389"/>
        <v>0</v>
      </c>
      <c r="CH201" s="134">
        <f t="shared" si="390"/>
        <v>0</v>
      </c>
      <c r="CI201" s="134">
        <f t="shared" si="391"/>
        <v>0</v>
      </c>
      <c r="CJ201" s="134">
        <f t="shared" si="392"/>
        <v>0</v>
      </c>
      <c r="CK201" s="134">
        <f t="shared" si="393"/>
        <v>0</v>
      </c>
      <c r="CL201" s="134">
        <f t="shared" si="394"/>
        <v>0</v>
      </c>
      <c r="CM201" s="134">
        <f t="shared" si="395"/>
        <v>0</v>
      </c>
      <c r="CN201" s="134">
        <f t="shared" si="396"/>
        <v>0</v>
      </c>
      <c r="CO201" s="134">
        <f t="shared" si="397"/>
        <v>0</v>
      </c>
      <c r="CP201" s="134">
        <f t="shared" si="398"/>
        <v>0</v>
      </c>
      <c r="CQ201" s="134">
        <f t="shared" si="399"/>
        <v>0</v>
      </c>
      <c r="CR201" s="134">
        <f t="shared" si="400"/>
        <v>0</v>
      </c>
      <c r="CS201" s="134">
        <f t="shared" si="401"/>
        <v>0</v>
      </c>
      <c r="CT201" s="115">
        <f t="shared" si="402"/>
        <v>0</v>
      </c>
      <c r="CU201" s="116">
        <f t="shared" si="403"/>
        <v>0</v>
      </c>
      <c r="CV201" s="116">
        <f t="shared" si="404"/>
        <v>0</v>
      </c>
      <c r="CW201" s="116">
        <f t="shared" si="405"/>
        <v>0</v>
      </c>
      <c r="CX201" s="116">
        <f t="shared" si="406"/>
        <v>0</v>
      </c>
      <c r="CY201" s="116">
        <f t="shared" si="407"/>
        <v>0</v>
      </c>
      <c r="CZ201" s="116">
        <f t="shared" si="408"/>
        <v>0</v>
      </c>
      <c r="DA201" s="116">
        <f t="shared" si="409"/>
        <v>0</v>
      </c>
      <c r="DB201" s="116">
        <f t="shared" si="410"/>
        <v>0</v>
      </c>
      <c r="DC201" s="116">
        <f t="shared" si="411"/>
        <v>0</v>
      </c>
      <c r="DD201" s="116">
        <f t="shared" si="412"/>
        <v>0</v>
      </c>
      <c r="DE201" s="117">
        <f t="shared" si="413"/>
        <v>0</v>
      </c>
      <c r="DF201" s="118">
        <f t="shared" si="415"/>
        <v>13</v>
      </c>
      <c r="DG201" s="106">
        <f t="shared" si="416"/>
        <v>16.91</v>
      </c>
      <c r="DH201" s="116">
        <f t="shared" si="417"/>
        <v>6</v>
      </c>
      <c r="DI201" s="106">
        <f t="shared" si="418"/>
        <v>25.63</v>
      </c>
      <c r="DJ201" s="201" t="str">
        <f>IF($D199="","",$D199)</f>
        <v>6</v>
      </c>
      <c r="DK201" s="466"/>
    </row>
    <row r="202" spans="1:115" ht="14.5" customHeight="1" x14ac:dyDescent="0.2">
      <c r="A202" s="487">
        <f>$A199+1</f>
        <v>67</v>
      </c>
      <c r="B202" s="506" t="str">
        <f>IF(OR(C202="W",C203="W",C204="W",C202="1/2W",C203="1/2W",C204="1/2W",C202="1/2L",C203="1/2L",C204="1/2L"),"OK",IF(OR(C202="L",C203="L",C204="L"),"LOSS",IF(OR(C202="X",C203="X",C204="X"),"Anulado"," ")))</f>
        <v>OK</v>
      </c>
      <c r="C202" s="147" t="s">
        <v>55</v>
      </c>
      <c r="D202" s="494" t="str">
        <f>IF(G202="","",$D199)</f>
        <v>6</v>
      </c>
      <c r="E202" s="511" t="str">
        <f>IF(G202=""," ","– "&amp;COUNTIF(D$4:D204,$D202))</f>
        <v>– 10</v>
      </c>
      <c r="F202" s="510" t="str">
        <f ca="1">IF(G202="","",IF(OR(AND($C202&lt;&gt;" ",$C203=" "),AND($C203&lt;&gt;" ",$C202=" "),AND(L204&gt;0,OR(AND($C204&lt;&gt;" ",OR($C202=" ",$C203=" ")),AND($C204=" ",OR($C202&lt;&gt;" ",$C203&lt;&gt;" "))))),IF(SUM(F$9:F194)=0,1,LARGE(F$9:F194,1)+1),IF(MONTH(G202)=MONTH(TODAY()),IF(AND(DAY(G202)&lt;DAY(TODAY()),$B202=" "),IF(SUM(F$9:F194)=0,1,LARGE(F$9:F194,1)+1),IF($B202=" ",IF(AND(DAY(G202)=DAY(TODAY()),HOUR(G202)&lt;=HOUR(NOW())+1),IF(AND(HOUR(G202)+2&lt;=HOUR(NOW()),DAY(G202)&lt;=DAY(TODAY()),MINUTE(G202)&lt;=MINUTE(NOW())),IF(SUM(F$9:F194)=0,1,LARGE(F$9:F194,1)+1),IF(OR(MINUTE(G202)&lt;=MINUTE(NOW()),HOUR(G202)&lt;=HOUR(NOW())),"!!!","")),""),"")),"")))</f>
        <v/>
      </c>
      <c r="G202" s="508">
        <v>44991.5</v>
      </c>
      <c r="H202" s="502" t="s">
        <v>117</v>
      </c>
      <c r="I202" s="180" t="s">
        <v>76</v>
      </c>
      <c r="J202" s="181">
        <v>3.5</v>
      </c>
      <c r="K202" s="150" t="s">
        <v>47</v>
      </c>
      <c r="L202" s="151">
        <v>1.67</v>
      </c>
      <c r="M202" s="152">
        <v>13.35</v>
      </c>
      <c r="N202" s="503">
        <v>0</v>
      </c>
      <c r="O202" s="153">
        <f>IF(OR(AE202="",AE203=""),"",ROUND(IF(L204&gt;0,IF(M202&gt;0,M202,IF(M203&gt;0,ROUND((M203*AE202)/AE203,IF(N202=0,2,IF(N202=0.1,1,0))),ROUND((M204*AE202)/AE204,IF(N202=0,2,IF(N202=0.1,1,0))))),IF(M202&gt;0,M202,ROUND((M203*AE202)/AE203,IF(N202=0,2,IF(N202=0.1,1,0))))),2))</f>
        <v>13.35</v>
      </c>
      <c r="P202" s="154">
        <f>IF(OR(L202="",O202=""),"",IF($C202="1/2W",O202/2+O202/2*L202,IF($C202="1/2L",O202/2,IF(I202="Lay",(O202*(L202/(L202-1))-O202)*(1-_xlfn.XLOOKUP(K202,'Fevereiro 2023 - Valor Real'!A3:A15,'Fevereiro 2023 - Valor Real'!C3:C15,0))+O202,(O202*L202-O202)*(1-_xlfn.XLOOKUP(K202,'Fevereiro 2023 - Valor Real'!A3:A15,'Fevereiro 2023 - Valor Real'!C3:C15,0))+O202))))</f>
        <v>22.294499999999999</v>
      </c>
      <c r="Q202" s="155">
        <f>IF(K202="","",IF(_xlfn.XLOOKUP(K202,K$9:K194,$DJ$9:DJ194,0,,-1)=DJ202,_xlfn.XLOOKUP(K202,K$9:K194,Q$9:Q194,1,,-1)+1,1))</f>
        <v>3</v>
      </c>
      <c r="R202" s="156">
        <f>IF(K202="","",_xlfn.XLOOKUP(K202,K$9:K194,R$9:R194,0,,-1)+IF($C202=" ",1,0))</f>
        <v>0</v>
      </c>
      <c r="S202" s="501">
        <f>IF($B202="Anulado",0,ROUND(IF(OR($B202="LOSS",$B202="OK"),IF(OR($C202="W",$C202="1/2W",$C202="1/2L"),P202-O202,IF($C202="L",-O202,0))+IF(OR($C203="W",$C203="1/2W",$C203="1/2L"),P203-O203,IF($C203="L",-O203,0))+IF(OR($C204="W",$C204="1/2W",$C204="1/2L"),P204-O204,IF($C204="L",-O204,0)),IF(AND(OR($C202="W",$C202="1/2W",$C202="1/2L"),C203="W"),P202+P203-SUM(O202:O204)+_xlfn.XLOOKUP("X",C202:C204,O202:O204,0),IF(AND(C202=TRUE,C204="W"),P202+P204-SUM(O202:O204),IF(AND(C203="W",C204="W"),P203+P204-SUM(O202:O204)+_xlfn.XLOOKUP("X",C202:C204,O202:O204,0),IF(L204&gt;0,IF(OR($C202="W",$C202="1/2W",$C202="1/2L"),P202-SUM(O202:O204)+_xlfn.XLOOKUP("X",C202:C204,O202:O204,0),IF(OR($C202="W",$C202="1/2W",$C202="1/2L"),P203-SUM(O202:O204)+_xlfn.XLOOKUP("X",C202:C204,O202:O204,0),IF(OR($C202="W",$C202="1/2W",$C202="1/2L"),P204-SUM(O202:O204)+_xlfn.XLOOKUP("X",C202:C204,O202:O204,0),IF(SUM(P202:P204)/3-SUM(O202:O204)+_xlfn.XLOOKUP("X",C202:C204,O202:O204,0)&gt;0,SUM(P202:P204)/3-SUM(O202:O204)+_xlfn.XLOOKUP("X",C202:C204,O202:O204,0),LARGE(P202:P204,1)-SUM(O202:O204))))),IF(OR($C202="W",$C202="1/2W",$C202="1/2L"),P202-SUM(O202:O203)+_xlfn.XLOOKUP("X",C202:C204,O202:O204,0),IF(OR($C202="W",$C202="1/2W",$C202="1/2L"),P203-SUM(O202:O203)+_xlfn.XLOOKUP("X",C202:C204,O202:O204,0),SUM(P202:P203)/2-SUM(O202:O203)+_xlfn.XLOOKUP("X",C202:C204,O202:O204,0)))))))),2))</f>
        <v>1.03</v>
      </c>
      <c r="T202" s="486">
        <f>IF(S202=0,0,S202/SUM(O202:O204))</f>
        <v>4.8266166822867856E-2</v>
      </c>
      <c r="U202" s="496">
        <f>IF($D202=$D199,IF(OR($B202="LOSS",$B202="OK",$B202="Anulada"),S202,0)+U199,IF(OR($B202="LOSS",$B202="OK",$B202="Anulada"),S202,0))</f>
        <v>30.02</v>
      </c>
      <c r="V202" s="496">
        <f>IF($D202="",0,IF($D202=$D199,IF($B202=" ",IF(I204="",IF(OR(AND(I202="DNB1",I203="DNB2"),AND(OR(I202="DNB1",I202="DNB2"),J203=0),AND(OR(I203="DNB1",I203="DNB2"),J202=0),AND(I202="DNB2",I203="DNB1"),AND(IF(J202=0,(J202+1)/ROUND(J202+1,0),J202/ROUND(J202,0))=1,IF(J203=0,(J203+1)/ROUND(IF(J203="",0,J203)+1,0),IF(J203="",0,J203)/ROUND(IF(J203="",1,J203),0))=1,OR(J202&lt;&gt;""),J203&lt;&gt;"")),0,IF(S202&lt;0,IF(I204="",SMALL(P202:P203,1)-SUM(O202:O203),0),SMALL(P202:P203,1)-SUM(O202:O203))),IF(S202&lt;0,IF(I204="",SMALL(P202:P204,1)-SUM(O202:O204),0),LARGE(P202:P204,1)-SUM(O202:O204))),S202)+V199,IF(I204="",IF(OR(AND(I202="DNB1",I203="DNB2"),AND(OR(I202="DNB1",I202="DNB2"),J203=0),AND(OR(I203="DNB1",I203="DNB2"),J202=0),AND(I202="DNB2",I203="DNB1"),AND(IF(J202=0,(J202+1)/ROUND(J202+1,0),J202/ROUND(J202,0))=1,IF(J203=0,(IF(J203="",0,J203)+1)/ROUND(IF(J203="",0,J203)+1,0),IF(J203="",0,J203)/ROUND(IF(J203="",0,J203)+1,0))=1,OR(J202&lt;&gt;""),J203&lt;&gt;"")),0,IF(S202&lt;0,IF(I204="",SMALL(P202:P203,1)-SUM(O202:O203),0),SMALL(P202:P204,1)-SUM(O202:O204))),IF(S202&lt;0,IF(I204="",SMALL(P202:P204,1)-SUM(O202:O204),0),LARGE(P202:P204,1)-SUM(O202:O204)))))</f>
        <v>30.01199999999999</v>
      </c>
      <c r="W202" s="496">
        <f>IF($D202=$D199,IF(S202&lt;0,IF(I204="",S202,0),S202)+W199,S202)</f>
        <v>30.02</v>
      </c>
      <c r="X202" s="505" t="str">
        <f>IF(OR(SUM(R202:R204)=0,V202=W202),ROUND(IF(W202=0,0,W202/Y202)*100,2)&amp;"%",ROUND(IF(V202=0,0,V202/Y202)*100,2)&amp;"% a "&amp;ROUND(IF(W202=0,0,W202/Y202)*100,2)&amp;"%")</f>
        <v>5,7%</v>
      </c>
      <c r="Y202" s="497">
        <f>IF($D202=$D199,Y199+SUM(O202:O204),SUM(O202:O204))</f>
        <v>526.61</v>
      </c>
      <c r="Z202" s="496">
        <f>IF($B202=" ",SUM(O202:O204),0)+Z199</f>
        <v>0</v>
      </c>
      <c r="AA202" s="496">
        <f>IF(G202="","",IF($B202="Anulado",LARGE(P202:P204,1)-SUM(O202:O204)+AA199,AA199))</f>
        <v>1.4607999999999972</v>
      </c>
      <c r="AB202" s="496">
        <f>IF($D202="","",AB199+S202)</f>
        <v>169.86999999999998</v>
      </c>
      <c r="AC202" s="499">
        <f ca="1">IF($D202="","",IF($B202=" ",IF(DAY(G202)=DAY(TODAY()),1+AC199,0+AC199),0+AC199))</f>
        <v>0</v>
      </c>
      <c r="AD202" s="157">
        <f>(1-_xlfn.XLOOKUP(K200,'Fevereiro 2023 - Valor Real'!A3:A15,'Fevereiro 2023 - Valor Real'!C3:C15,0))+1</f>
        <v>2</v>
      </c>
      <c r="AE202" s="158">
        <f>IF(L202="","",IF(L204&gt;0,(SUM(((L202-1)*(1-_xlfn.XLOOKUP(K202,'Fevereiro 2023 - Valor Real'!A3:A15,'Fevereiro 2023 - Valor Real'!C3:C15,0))+1),((L203-1)*(1-_xlfn.XLOOKUP(K203,'Fevereiro 2023 - Valor Real'!A3:A15,'Fevereiro 2023 - Valor Real'!C3:C15,0))+1),((L204-1)*(1-_xlfn.XLOOKUP(K204,'Fevereiro 2023 - Valor Real'!A3:A15,'Fevereiro 2023 - Valor Real'!C3:C15,0))+1))/((L202-1)*(1-_xlfn.XLOOKUP(K202,'Fevereiro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Real'!C3:C15,0))+1))/((L202-1)*(1-_xlfn.XLOOKUP(K202,'Fevereiro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Real'!C3:C15,0))+1))/((L203-1)*(1-_xlfn.XLOOKUP(K203,'Fevereiro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Real'!C3:C15,0))+1))/((L204-1)*(1-_xlfn.XLOOKUP(K204,'Fevereiro 2023 - Valor Real'!A3:A15,'Fevereiro 2023 - Valor Real'!C3:C15,0))+1)),IF(I202="Lay",IF(I203="Lay",((L203/(L203-1)-1)*(1-_xlfn.XLOOKUP(K203,'Fevereiro 2023 - Valor Real'!A3:A15,'Fevereiro 2023 - Valor Real'!C3:C15,0))+1)/(((L203/(L203-1)-1)*(1-_xlfn.XLOOKUP(K203,'Fevereiro 2023 - Valor Real'!A3:A15,'Fevereiro 2023 - Valor Real'!C3:C15,0))+1)+((L202/(L202-1)-1)*(1-_xlfn.XLOOKUP(K202,'Fevereiro 2023 - Valor Real'!A3:A15,'Fevereiro 2023 - Valor Real'!C3:C15,0))+1)),((L203-1)*(1-_xlfn.XLOOKUP(K203,'Fevereiro 2023 - Valor Real'!A3:A15,'Fevereiro 2023 - Valor Real'!C3:C15,0))+1)/(((L203-1)*(1-_xlfn.XLOOKUP(K203,'Fevereiro 2023 - Valor Real'!A3:A15,'Fevereiro 2023 - Valor Real'!C3:C15,0))+1)+((L202/(L202-1)-1)*(1-_xlfn.XLOOKUP(K202,'Fevereiro 2023 - Valor Real'!A3:A15,'Fevereiro 2023 - Valor Real'!C3:C15,0))+1))),IF(I203="Lay",(((L203/(L203-1)-1)*(1-_xlfn.XLOOKUP(K203,'Fevereiro 2023 - Valor Real'!A3:A15,'Fevereiro 2023 - Valor Real'!C3:C15,0))+1))/(((L202-1)*(1-_xlfn.XLOOKUP(K202,'Fevereiro 2023 - Valor Real'!A3:A15,'Fevereiro 2023 - Valor Real'!C3:C15,0))+1)+((L203/(L203-1)-1)*(1-_xlfn.XLOOKUP(K203,'Fevereiro 2023 - Valor Real'!A3:A15,'Fevereiro 2023 - Valor Real'!C3:C15,0))+1)),((L203-1)*(1-_xlfn.XLOOKUP(K203,'Fevereiro 2023 - Valor Real'!A3:A15,'Fevereiro 2023 - Valor Real'!C3:C15,0))+1)/(((L203-1)*(1-_xlfn.XLOOKUP(K203,'Fevereiro 2023 - Valor Real'!A3:A15,'Fevereiro 2023 - Valor Real'!C3:C15,0))+1)+((L202-1)*(1-_xlfn.XLOOKUP(K202,'Fevereiro 2023 - Valor Real'!A3:A15,'Fevereiro 2023 - Valor Real'!C3:C15,0))+1))))))</f>
        <v>0.62639821029082776</v>
      </c>
      <c r="AF202" s="66">
        <f t="shared" si="382"/>
        <v>0</v>
      </c>
      <c r="AG202" s="67">
        <f t="shared" si="382"/>
        <v>0</v>
      </c>
      <c r="AH202" s="67">
        <f t="shared" si="382"/>
        <v>0</v>
      </c>
      <c r="AI202" s="67">
        <f t="shared" si="382"/>
        <v>0</v>
      </c>
      <c r="AJ202" s="67">
        <f t="shared" si="382"/>
        <v>0</v>
      </c>
      <c r="AK202" s="67">
        <f t="shared" si="382"/>
        <v>0</v>
      </c>
      <c r="AL202" s="67">
        <f t="shared" si="382"/>
        <v>0</v>
      </c>
      <c r="AM202" s="67">
        <f t="shared" si="382"/>
        <v>0</v>
      </c>
      <c r="AN202" s="67">
        <f t="shared" si="382"/>
        <v>0</v>
      </c>
      <c r="AO202" s="67">
        <f t="shared" si="382"/>
        <v>0</v>
      </c>
      <c r="AP202" s="67">
        <f t="shared" si="382"/>
        <v>0</v>
      </c>
      <c r="AQ202" s="67">
        <f t="shared" si="382"/>
        <v>-13.35</v>
      </c>
      <c r="AR202" s="68">
        <f t="shared" si="382"/>
        <v>0</v>
      </c>
      <c r="AS202" s="66">
        <f t="shared" ref="AS202:BE202" si="424">IF(AND($B202=" ",$K202=AS$3),$O202,0)</f>
        <v>0</v>
      </c>
      <c r="AT202" s="67">
        <f t="shared" si="424"/>
        <v>0</v>
      </c>
      <c r="AU202" s="67">
        <f t="shared" si="424"/>
        <v>0</v>
      </c>
      <c r="AV202" s="67">
        <f t="shared" si="424"/>
        <v>0</v>
      </c>
      <c r="AW202" s="67">
        <f t="shared" si="424"/>
        <v>0</v>
      </c>
      <c r="AX202" s="67">
        <f t="shared" si="424"/>
        <v>0</v>
      </c>
      <c r="AY202" s="69">
        <f t="shared" si="424"/>
        <v>0</v>
      </c>
      <c r="AZ202" s="70">
        <f t="shared" si="424"/>
        <v>0</v>
      </c>
      <c r="BA202" s="70">
        <f t="shared" si="424"/>
        <v>0</v>
      </c>
      <c r="BB202" s="70">
        <f t="shared" si="424"/>
        <v>0</v>
      </c>
      <c r="BC202" s="71">
        <f t="shared" si="424"/>
        <v>0</v>
      </c>
      <c r="BD202" s="67">
        <f t="shared" si="424"/>
        <v>0</v>
      </c>
      <c r="BE202" s="68">
        <f t="shared" si="424"/>
        <v>0</v>
      </c>
      <c r="BF202" s="66">
        <f t="shared" si="384"/>
        <v>0</v>
      </c>
      <c r="BG202" s="67">
        <f t="shared" si="384"/>
        <v>0</v>
      </c>
      <c r="BH202" s="67">
        <f t="shared" si="384"/>
        <v>0</v>
      </c>
      <c r="BI202" s="67">
        <f t="shared" si="384"/>
        <v>0</v>
      </c>
      <c r="BJ202" s="67">
        <f t="shared" si="384"/>
        <v>0</v>
      </c>
      <c r="BK202" s="67">
        <f t="shared" si="384"/>
        <v>0</v>
      </c>
      <c r="BL202" s="67">
        <f t="shared" si="384"/>
        <v>0</v>
      </c>
      <c r="BM202" s="69">
        <f t="shared" si="384"/>
        <v>0</v>
      </c>
      <c r="BN202" s="70">
        <f t="shared" si="384"/>
        <v>0</v>
      </c>
      <c r="BO202" s="70">
        <f t="shared" si="384"/>
        <v>0</v>
      </c>
      <c r="BP202" s="70">
        <f t="shared" si="384"/>
        <v>0</v>
      </c>
      <c r="BQ202" s="71">
        <f t="shared" si="384"/>
        <v>13.35</v>
      </c>
      <c r="BR202" s="68">
        <f t="shared" si="384"/>
        <v>0</v>
      </c>
      <c r="BS202" s="490">
        <f>IF($B202="LOSS",IF(AND($K202=BS$3,$C202="L"),-$O202,0)+IF(AND($K203=BS$3,$C203="L"),-$O203,0)+IF(AND($K204=BS$3,$C204="L"),-$O204,0),IF(OR(AND($K202=BS$3,OR($C202="W",$C202="1/2W")),AND($K203=BS$3,OR($C203="W",$C203="1/2W")),AND($K204=BS$3,OR($C204="W",$C204="1/2W"))),$S202,0))</f>
        <v>0</v>
      </c>
      <c r="BT202" s="498">
        <f>IF($B202="LOSS",IF(AND($K202=BT$3,$C202="L"),-$O202,0)+IF(AND($K203=BT$3,$C203="L"),-$O203,0)+IF(AND($K203=BT$3,$C204="L"),-$O204,0),IF(OR(AND($K203=BT$3,OR($C202="W",$C202="1/2W")),AND($K203=BT$3,OR($C203="W",$C203="1/2W")),AND($K203=BT$3,OR($C204="W",$C204="1/2W"))),$S202,0))</f>
        <v>1.03</v>
      </c>
      <c r="BU202" s="488">
        <f>IF($B202="LOSS",IF(AND($K202=BU$3,$C202="L"),-$O202,0)+IF(AND($K203=BU$3,$C203="L"),-$O203,0)+IF(AND($K203=BU$3,$C204="L"),-$O204,0),IF(OR(AND($K203=BU$3,OR($C202="W",$C202="1/2W")),AND($K203=BU$3,OR($C203="W",$C203="1/2W")),AND($K203=BU$3,OR($C204="W",$C204="1/2W"))),$S202,0))</f>
        <v>0</v>
      </c>
      <c r="BV202" s="488">
        <f t="shared" ref="BV202:CE202" si="425">IF($B202="LOSS",IF(AND($K202=BV$3,$C202="L"),-$O202,0)+IF(AND($K203=BV$3,$C203="L"),-$O203,0)+IF(AND($K204=BV$3,$C204="L"),-$O204,0),IF(OR(AND($K202=BV$3,OR($C202="W",$C202="1/2W")),AND($K203=BV$3,OR($C203="W",$C203="1/2W")),AND($K204=BV$3,OR($C204="W",$C204="1/2W"))),$S202,0))</f>
        <v>0</v>
      </c>
      <c r="BW202" s="488">
        <f t="shared" si="425"/>
        <v>0</v>
      </c>
      <c r="BX202" s="488">
        <f t="shared" si="425"/>
        <v>0</v>
      </c>
      <c r="BY202" s="488">
        <f t="shared" si="425"/>
        <v>0</v>
      </c>
      <c r="BZ202" s="488">
        <f t="shared" si="425"/>
        <v>0</v>
      </c>
      <c r="CA202" s="488">
        <f t="shared" si="425"/>
        <v>0</v>
      </c>
      <c r="CB202" s="488">
        <f t="shared" si="425"/>
        <v>0</v>
      </c>
      <c r="CC202" s="488">
        <f t="shared" si="425"/>
        <v>0</v>
      </c>
      <c r="CD202" s="500">
        <f t="shared" si="425"/>
        <v>0</v>
      </c>
      <c r="CE202" s="504">
        <f t="shared" si="425"/>
        <v>0</v>
      </c>
      <c r="CF202" s="160">
        <f t="shared" si="388"/>
        <v>0</v>
      </c>
      <c r="CG202" s="161">
        <f t="shared" si="389"/>
        <v>0</v>
      </c>
      <c r="CH202" s="161">
        <f t="shared" si="390"/>
        <v>0</v>
      </c>
      <c r="CI202" s="161">
        <f t="shared" si="391"/>
        <v>0</v>
      </c>
      <c r="CJ202" s="161">
        <f t="shared" si="392"/>
        <v>0</v>
      </c>
      <c r="CK202" s="161">
        <f t="shared" si="393"/>
        <v>0</v>
      </c>
      <c r="CL202" s="161">
        <f t="shared" si="394"/>
        <v>0</v>
      </c>
      <c r="CM202" s="161">
        <f t="shared" si="395"/>
        <v>0</v>
      </c>
      <c r="CN202" s="161">
        <f t="shared" si="396"/>
        <v>0</v>
      </c>
      <c r="CO202" s="161">
        <f t="shared" si="397"/>
        <v>0</v>
      </c>
      <c r="CP202" s="161">
        <f t="shared" si="398"/>
        <v>0</v>
      </c>
      <c r="CQ202" s="161">
        <f t="shared" si="399"/>
        <v>0</v>
      </c>
      <c r="CR202" s="161">
        <f t="shared" si="400"/>
        <v>0</v>
      </c>
      <c r="CS202" s="161">
        <f t="shared" si="401"/>
        <v>0</v>
      </c>
      <c r="CT202" s="75">
        <f t="shared" si="402"/>
        <v>0</v>
      </c>
      <c r="CU202" s="76">
        <f t="shared" si="403"/>
        <v>0</v>
      </c>
      <c r="CV202" s="76">
        <f t="shared" si="404"/>
        <v>0</v>
      </c>
      <c r="CW202" s="76">
        <f t="shared" si="405"/>
        <v>0</v>
      </c>
      <c r="CX202" s="76">
        <f t="shared" si="406"/>
        <v>0</v>
      </c>
      <c r="CY202" s="76">
        <f t="shared" si="407"/>
        <v>0</v>
      </c>
      <c r="CZ202" s="76">
        <f t="shared" si="408"/>
        <v>0</v>
      </c>
      <c r="DA202" s="76">
        <f t="shared" si="409"/>
        <v>0</v>
      </c>
      <c r="DB202" s="76">
        <f t="shared" si="410"/>
        <v>0</v>
      </c>
      <c r="DC202" s="76">
        <f t="shared" si="411"/>
        <v>1</v>
      </c>
      <c r="DD202" s="76">
        <f t="shared" si="412"/>
        <v>0</v>
      </c>
      <c r="DE202" s="77">
        <f t="shared" si="413"/>
        <v>0</v>
      </c>
      <c r="DF202" s="73">
        <f t="shared" si="415"/>
        <v>13</v>
      </c>
      <c r="DG202" s="67">
        <f t="shared" si="416"/>
        <v>16.91</v>
      </c>
      <c r="DH202" s="76">
        <f t="shared" si="417"/>
        <v>6</v>
      </c>
      <c r="DI202" s="67">
        <f t="shared" si="418"/>
        <v>25.63</v>
      </c>
      <c r="DJ202" s="202" t="str">
        <f>IF($D202="","",$D202)</f>
        <v>6</v>
      </c>
      <c r="DK202" s="492">
        <f>IF(AND($B202=" ",$D202&lt;&gt;""),1,0)</f>
        <v>0</v>
      </c>
    </row>
    <row r="203" spans="1:115" ht="14.5" customHeight="1" x14ac:dyDescent="0.2">
      <c r="A203" s="389"/>
      <c r="B203" s="456"/>
      <c r="C203" s="53" t="s">
        <v>54</v>
      </c>
      <c r="D203" s="374"/>
      <c r="E203" s="386"/>
      <c r="F203" s="377"/>
      <c r="G203" s="508"/>
      <c r="H203" s="476"/>
      <c r="I203" s="182" t="s">
        <v>102</v>
      </c>
      <c r="J203" s="56">
        <f>IF(OR(I202="TO",I202="TU",I202="TO1",I202="TU1",I202="TO2",I202="TU2"),J202,IF(OR(I202="AH1",I202="AH2"),IF(OR(I203="AH1",I203="AH2"),-J202,IF(OR(I203="EH1",I203="EH2"),-J202+0.5,"")),IF(OR(I202="EH1",I202="EH2"),IF(OR(I203="AH1",I203="AH2"),-J202+0.5,IF(OR(I203="EH1",I203="EH2"),-J202+1,"")),IF(AND(OR(I202="DNB1",I202="DNB2"),OR(I203="AH1",I203="AH2")),0,IF(AND(I202="Not ScoreBoth",OR(I203="TO1",I203="TO2")),0.5,"")))))</f>
        <v>-3</v>
      </c>
      <c r="K203" s="57" t="s">
        <v>37</v>
      </c>
      <c r="L203" s="164">
        <v>2.8</v>
      </c>
      <c r="M203" s="165">
        <v>7.99</v>
      </c>
      <c r="N203" s="406"/>
      <c r="O203" s="60">
        <f>IF(OR(AE202="",AE203=""),"",ROUND(IF(L204&gt;0,IF(M203&gt;0,M203,IF(M202&gt;0,IF(N202=TRUE,ROUND((M202*AE203)/AE202,0),(M202*AE203)/AE202),IF(M203&gt;0,ROUND(M203,IF(N202=0,2,IF(N202=0.1,1,0))),IF(M204&gt;0,ROUND(O204*AE203/AE204,IF(N202=0,2,IF(N202=0.1,1,0))),0)))),IF(M203&gt;0,M203,ROUND((M202*AE203)/AE202,IF(N202=0,2,IF(N202=0.1,1,0))))),2))</f>
        <v>7.99</v>
      </c>
      <c r="P203" s="61">
        <f>IF(OR(L203="",O203=""),"",IF($C203="1/2W",O203/2+O203/2*L203,IF($C203="1/2L",O203/2,IF(I203="Lay",((O203*(L203/(L203-1)))-O203)*(1-_xlfn.XLOOKUP(K203,'Fevereiro 2023 - Valor Real'!A3:A15,'Fevereiro 2023 - Valor Real'!C3:C15,0))+O203,(O203*L203-O203)*(1-_xlfn.XLOOKUP(K203,'Fevereiro 2023 - Valor Real'!A3:A15,'Fevereiro 2023 - Valor Real'!C3:C15,0))+O203))))</f>
        <v>22.372</v>
      </c>
      <c r="Q203" s="166">
        <f>IF(K203="","",IF(_xlfn.XLOOKUP(K203,K$10:K194,$DJ$10:DJ194,0,,-1)=DJ203,_xlfn.XLOOKUP(K203,K$10:K194,Q$10:Q194,1,,-1)+1,1))</f>
        <v>4</v>
      </c>
      <c r="R203" s="167">
        <f>IF(K203="","",_xlfn.XLOOKUP(K203,K$10:K194,R$10:R194,0,,-1)+IF($C203=" ",1,0))</f>
        <v>0</v>
      </c>
      <c r="S203" s="403"/>
      <c r="T203" s="380"/>
      <c r="U203" s="380"/>
      <c r="V203" s="481"/>
      <c r="W203" s="380"/>
      <c r="X203" s="452"/>
      <c r="Y203" s="383"/>
      <c r="Z203" s="384"/>
      <c r="AA203" s="384"/>
      <c r="AB203" s="384"/>
      <c r="AC203" s="384"/>
      <c r="AD203" s="64"/>
      <c r="AE203" s="65">
        <f>IF(L203="","",IF(L204&gt;0,(SUM(((L202-1)*(1-_xlfn.XLOOKUP(K202,'Fevereiro 2023 - Valor Real'!A3:A15,'Fevereiro 2023 - Valor Real'!C3:C15,0))+1),((L203-1)*(1-_xlfn.XLOOKUP(K203,'Fevereiro 2023 - Valor Real'!A3:A15,'Fevereiro 2023 - Valor Real'!C3:C15,0))+1),((L204-1)*(1-_xlfn.XLOOKUP(K204,'Fevereiro 2023 - Valor Real'!A3:A15,'Fevereiro 2023 - Valor Real'!C3:C15,0))+1))/((L203-1)*(1-_xlfn.XLOOKUP(K203,'Fevereiro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Real'!C3:C15,0))+1))/((L202-1)*(1-_xlfn.XLOOKUP(K202,'Fevereiro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Real'!C3:C15,0))+1))/((L203-1)*(1-_xlfn.XLOOKUP(K203,'Fevereiro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Real'!C3:C15,0))+1))/((L204-1)*(1-_xlfn.XLOOKUP(K204,'Fevereiro 2023 - Valor Real'!A3:A15,'Fevereiro 2023 - Valor Real'!C3:C15,0))+1)),IF(I203="Lay",IF(I202="Lay",((L202/(L202-1)-1)*(1-_xlfn.XLOOKUP(K202,'Fevereiro 2023 - Valor Real'!A3:A15,'Fevereiro 2023 - Valor Real'!C3:C15,0))+1)/(((L202/(L202-1)-1)*(1-_xlfn.XLOOKUP(K202,'Fevereiro 2023 - Valor Real'!A3:A15,'Fevereiro 2023 - Valor Real'!C3:C15,0))+1)+((L203/(L203-1)-1)*(1-_xlfn.XLOOKUP(K203,'Fevereiro 2023 - Valor Real'!A3:A15,'Fevereiro 2023 - Valor Real'!C3:C15,0))+1)),((L202-1)*(1-_xlfn.XLOOKUP(K202,'Fevereiro 2023 - Valor Real'!A3:A15,'Fevereiro 2023 - Valor Real'!C3:C15,0))+1)/(((L202-1)*(1-_xlfn.XLOOKUP(K202,'Fevereiro 2023 - Valor Real'!A3:A15,'Fevereiro 2023 - Valor Real'!C3:C15,0))+1)+((L203/(L203-1)-1)*(1-_xlfn.XLOOKUP(K203,'Fevereiro 2023 - Valor Real'!A3:A15,'Fevereiro 2023 - Valor Real'!C3:C15,0))+1))),IF(I202="Lay",((L202/(L202-1)-1)*(1-_xlfn.XLOOKUP(K202,'Fevereiro 2023 - Valor Real'!A3:A15,'Fevereiro 2023 - Valor Real'!C3:C15,0))+1)/((((L202/(L202-1)-1)*(1-_xlfn.XLOOKUP(K202,'Fevereiro 2023 - Valor Real'!A3:A15,'Fevereiro 2023 - Valor Real'!C3:C15,0))+1))+((L203-1)*(1-_xlfn.XLOOKUP(K203,'Fevereiro 2023 - Valor Real'!A3:A15,'Fevereiro 2023 - Valor Real'!C3:C15,0))+1)),((L202-1)*(1-_xlfn.XLOOKUP(K202,'Fevereiro 2023 - Valor Real'!A3:A15,'Fevereiro 2023 - Valor Real'!C3:C15,0))+1)/(((L202-1)*(1-_xlfn.XLOOKUP(K202,'Fevereiro 2023 - Valor Real'!A3:A15,'Fevereiro 2023 - Valor Real'!C3:C15,0))+1)+((L203-1)*(1-_xlfn.XLOOKUP(K203,'Fevereiro 2023 - Valor Real'!A3:A15,'Fevereiro 2023 - Valor Real'!C3:C15,0))+1))))))</f>
        <v>0.37360178970917224</v>
      </c>
      <c r="AF203" s="66">
        <f t="shared" si="382"/>
        <v>0</v>
      </c>
      <c r="AG203" s="67">
        <f t="shared" si="382"/>
        <v>14.38</v>
      </c>
      <c r="AH203" s="67">
        <f t="shared" si="382"/>
        <v>0</v>
      </c>
      <c r="AI203" s="67">
        <f t="shared" si="382"/>
        <v>0</v>
      </c>
      <c r="AJ203" s="67">
        <f t="shared" si="382"/>
        <v>0</v>
      </c>
      <c r="AK203" s="67">
        <f t="shared" si="382"/>
        <v>0</v>
      </c>
      <c r="AL203" s="67">
        <f t="shared" si="382"/>
        <v>0</v>
      </c>
      <c r="AM203" s="67">
        <f t="shared" si="382"/>
        <v>0</v>
      </c>
      <c r="AN203" s="67">
        <f t="shared" si="382"/>
        <v>0</v>
      </c>
      <c r="AO203" s="67">
        <f t="shared" si="382"/>
        <v>0</v>
      </c>
      <c r="AP203" s="67">
        <f t="shared" si="382"/>
        <v>0</v>
      </c>
      <c r="AQ203" s="67">
        <f t="shared" si="382"/>
        <v>0</v>
      </c>
      <c r="AR203" s="68">
        <f t="shared" si="382"/>
        <v>0</v>
      </c>
      <c r="AS203" s="66">
        <f>IF(AND($B202=" ",$K203=AS$3),$O203,0)</f>
        <v>0</v>
      </c>
      <c r="AT203" s="67">
        <f>IF(AND($B202=" ",K203=AT$3),$O203,0)</f>
        <v>0</v>
      </c>
      <c r="AU203" s="67">
        <f t="shared" ref="AU203:BE203" si="426">IF(AND($B202=" ",$K203=AU$3),$O203,0)</f>
        <v>0</v>
      </c>
      <c r="AV203" s="67">
        <f t="shared" si="426"/>
        <v>0</v>
      </c>
      <c r="AW203" s="67">
        <f t="shared" si="426"/>
        <v>0</v>
      </c>
      <c r="AX203" s="67">
        <f t="shared" si="426"/>
        <v>0</v>
      </c>
      <c r="AY203" s="69">
        <f t="shared" si="426"/>
        <v>0</v>
      </c>
      <c r="AZ203" s="70">
        <f t="shared" si="426"/>
        <v>0</v>
      </c>
      <c r="BA203" s="70">
        <f t="shared" si="426"/>
        <v>0</v>
      </c>
      <c r="BB203" s="70">
        <f t="shared" si="426"/>
        <v>0</v>
      </c>
      <c r="BC203" s="71">
        <f t="shared" si="426"/>
        <v>0</v>
      </c>
      <c r="BD203" s="67">
        <f t="shared" si="426"/>
        <v>0</v>
      </c>
      <c r="BE203" s="68">
        <f t="shared" si="426"/>
        <v>0</v>
      </c>
      <c r="BF203" s="66">
        <f t="shared" si="384"/>
        <v>0</v>
      </c>
      <c r="BG203" s="168">
        <f t="shared" si="384"/>
        <v>7.99</v>
      </c>
      <c r="BH203" s="67">
        <f t="shared" si="384"/>
        <v>0</v>
      </c>
      <c r="BI203" s="67">
        <f t="shared" si="384"/>
        <v>0</v>
      </c>
      <c r="BJ203" s="67">
        <f t="shared" si="384"/>
        <v>0</v>
      </c>
      <c r="BK203" s="67">
        <f t="shared" si="384"/>
        <v>0</v>
      </c>
      <c r="BL203" s="67">
        <f t="shared" si="384"/>
        <v>0</v>
      </c>
      <c r="BM203" s="69">
        <f t="shared" si="384"/>
        <v>0</v>
      </c>
      <c r="BN203" s="70">
        <f t="shared" si="384"/>
        <v>0</v>
      </c>
      <c r="BO203" s="70">
        <f t="shared" si="384"/>
        <v>0</v>
      </c>
      <c r="BP203" s="70">
        <f t="shared" si="384"/>
        <v>0</v>
      </c>
      <c r="BQ203" s="71">
        <f t="shared" si="384"/>
        <v>0</v>
      </c>
      <c r="BR203" s="68">
        <f t="shared" si="384"/>
        <v>0</v>
      </c>
      <c r="BS203" s="491"/>
      <c r="BT203" s="489"/>
      <c r="BU203" s="392"/>
      <c r="BV203" s="489"/>
      <c r="BW203" s="392"/>
      <c r="BX203" s="392"/>
      <c r="BY203" s="392"/>
      <c r="BZ203" s="489"/>
      <c r="CA203" s="392"/>
      <c r="CB203" s="392"/>
      <c r="CC203" s="392"/>
      <c r="CD203" s="401"/>
      <c r="CE203" s="409"/>
      <c r="CF203" s="169">
        <f t="shared" si="388"/>
        <v>0</v>
      </c>
      <c r="CG203" s="170">
        <f t="shared" si="389"/>
        <v>0</v>
      </c>
      <c r="CH203" s="170">
        <f t="shared" si="390"/>
        <v>1</v>
      </c>
      <c r="CI203" s="170">
        <f t="shared" si="391"/>
        <v>0</v>
      </c>
      <c r="CJ203" s="170">
        <f t="shared" si="392"/>
        <v>0</v>
      </c>
      <c r="CK203" s="170">
        <f t="shared" si="393"/>
        <v>0</v>
      </c>
      <c r="CL203" s="170">
        <f t="shared" si="394"/>
        <v>0</v>
      </c>
      <c r="CM203" s="170">
        <f t="shared" si="395"/>
        <v>0</v>
      </c>
      <c r="CN203" s="170">
        <f t="shared" si="396"/>
        <v>0</v>
      </c>
      <c r="CO203" s="170">
        <f t="shared" si="397"/>
        <v>0</v>
      </c>
      <c r="CP203" s="170">
        <f t="shared" si="398"/>
        <v>0</v>
      </c>
      <c r="CQ203" s="170">
        <f t="shared" si="399"/>
        <v>0</v>
      </c>
      <c r="CR203" s="170">
        <f t="shared" si="400"/>
        <v>0</v>
      </c>
      <c r="CS203" s="170">
        <f t="shared" si="401"/>
        <v>0</v>
      </c>
      <c r="CT203" s="75">
        <f t="shared" si="402"/>
        <v>0</v>
      </c>
      <c r="CU203" s="76">
        <f t="shared" si="403"/>
        <v>0</v>
      </c>
      <c r="CV203" s="76">
        <f t="shared" si="404"/>
        <v>0</v>
      </c>
      <c r="CW203" s="76">
        <f t="shared" si="405"/>
        <v>0</v>
      </c>
      <c r="CX203" s="76">
        <f t="shared" si="406"/>
        <v>0</v>
      </c>
      <c r="CY203" s="76">
        <f t="shared" si="407"/>
        <v>0</v>
      </c>
      <c r="CZ203" s="76">
        <f t="shared" si="408"/>
        <v>0</v>
      </c>
      <c r="DA203" s="76">
        <f t="shared" si="409"/>
        <v>0</v>
      </c>
      <c r="DB203" s="76">
        <f t="shared" si="410"/>
        <v>0</v>
      </c>
      <c r="DC203" s="76">
        <f t="shared" si="411"/>
        <v>0</v>
      </c>
      <c r="DD203" s="76">
        <f t="shared" si="412"/>
        <v>0</v>
      </c>
      <c r="DE203" s="77">
        <f t="shared" si="413"/>
        <v>0</v>
      </c>
      <c r="DF203" s="73">
        <f t="shared" si="415"/>
        <v>13</v>
      </c>
      <c r="DG203" s="67">
        <f t="shared" si="416"/>
        <v>16.91</v>
      </c>
      <c r="DH203" s="76">
        <f t="shared" si="417"/>
        <v>6</v>
      </c>
      <c r="DI203" s="67">
        <f t="shared" si="418"/>
        <v>25.63</v>
      </c>
      <c r="DJ203" s="202" t="str">
        <f>IF($D202="","",$D202)</f>
        <v>6</v>
      </c>
      <c r="DK203" s="493"/>
    </row>
    <row r="204" spans="1:115" ht="14.5" customHeight="1" x14ac:dyDescent="0.2">
      <c r="A204" s="390"/>
      <c r="B204" s="457"/>
      <c r="C204" s="79" t="s">
        <v>53</v>
      </c>
      <c r="D204" s="375"/>
      <c r="E204" s="387"/>
      <c r="F204" s="378"/>
      <c r="G204" s="508"/>
      <c r="H204" s="477"/>
      <c r="I204" s="171"/>
      <c r="J204" s="172"/>
      <c r="K204" s="81"/>
      <c r="L204" s="173"/>
      <c r="M204" s="174"/>
      <c r="N204" s="407"/>
      <c r="O204" s="86" t="str">
        <f>IF(OR(AE202="",AE203=""),"",IF(L204&gt;0,ROUND(IF(M204&gt;0,M204,IF(M202&gt;0,ROUND((M202*AE204)/AE202,IF(N202=0,2,IF(N202=0.1,1,0))),IF(M203&gt;0,ROUND((M203*AE204)/AE203,IF(N202=0,2,IF(N202=0.1,1,0))),IF(M204&gt;0,M204,0)))),2),""))</f>
        <v/>
      </c>
      <c r="P204" s="87" t="str">
        <f>IF(I203="Lay",O203*(L203/(L203-1))-O203,IF(I202="Lay",O202*(L202/(L202-1))-O202,IF(OR(L204="",O204=""),"",IF($C204="1/2W",O204/2+O204/2*L204,IF($C204="1/2L",O204/2,(O204*L204-O204)*(1-_xlfn.XLOOKUP(K204,'Fevereiro 2023 - Valor Real'!A3:A15,'Fevereiro 2023 - Valor Real'!C3:C15,0))+O204)))))</f>
        <v/>
      </c>
      <c r="Q204" s="54" t="str">
        <f>IF(K204="","",IF(_xlfn.XLOOKUP(K204,K$11:K194,$DJ$11:DJ194,0,,-1)=DJ204,_xlfn.XLOOKUP(K204,K$11:K194,Q$11:Q194,1,,-1)+1,1))</f>
        <v/>
      </c>
      <c r="R204" s="87" t="str">
        <f>IF(K204="","",_xlfn.XLOOKUP(K204,K$11:K194,R$11:R194,0,,-1)+IF($C204=" ",1,0))</f>
        <v/>
      </c>
      <c r="S204" s="404"/>
      <c r="T204" s="378"/>
      <c r="U204" s="378"/>
      <c r="V204" s="404"/>
      <c r="W204" s="378"/>
      <c r="X204" s="453"/>
      <c r="Y204" s="383"/>
      <c r="Z204" s="384"/>
      <c r="AA204" s="384"/>
      <c r="AB204" s="384"/>
      <c r="AC204" s="384"/>
      <c r="AD204" s="90"/>
      <c r="AE204" s="91" t="str">
        <f>IF(L204="","",(SUM(((L202-1)*(1-_xlfn.XLOOKUP(K202,'Fevereiro 2023 - Valor Real'!A3:A15,'Fevereiro 2023 - Valor Real'!C3:C15,0))+1),((L203-1)*(1-_xlfn.XLOOKUP(K203,'Fevereiro 2023 - Valor Real'!A3:A15,'Fevereiro 2023 - Valor Real'!C3:C15,0))+1),((L204-1)*(1-_xlfn.XLOOKUP(K204,'Fevereiro 2023 - Valor Real'!A3:A15,'Fevereiro 2023 - Valor Real'!C3:C15,0))+1))/((L204-1)*(1-_xlfn.XLOOKUP(K204,'Fevereiro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Real'!C3:C15,0))+1))/((L202-1)*(1-_xlfn.XLOOKUP(K202,'Fevereiro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Real'!C3:C15,0))+1))/((L203-1)*(1-_xlfn.XLOOKUP(K203,'Fevereiro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Real'!C3:C15,0))+1))/((L204-1)*(1-_xlfn.XLOOKUP(K204,'Fevereiro 2023 - Valor Real'!A3:A15,'Fevereiro 2023 - Valor Real'!C3:C15,0))+1)))</f>
        <v/>
      </c>
      <c r="AF204" s="66">
        <f t="shared" ref="AF204:AR213" si="427">IF($K204=AF$3,ROUND(IF(OR($C204="W",$C204="1/2W",$C204="1/2L"),$P204-$O204,IF($C204="X",0,-$O204)),2),0)</f>
        <v>0</v>
      </c>
      <c r="AG204" s="67">
        <f t="shared" si="427"/>
        <v>0</v>
      </c>
      <c r="AH204" s="67">
        <f t="shared" si="427"/>
        <v>0</v>
      </c>
      <c r="AI204" s="67">
        <f t="shared" si="427"/>
        <v>0</v>
      </c>
      <c r="AJ204" s="67">
        <f t="shared" si="427"/>
        <v>0</v>
      </c>
      <c r="AK204" s="67">
        <f t="shared" si="427"/>
        <v>0</v>
      </c>
      <c r="AL204" s="67">
        <f t="shared" si="427"/>
        <v>0</v>
      </c>
      <c r="AM204" s="67">
        <f t="shared" si="427"/>
        <v>0</v>
      </c>
      <c r="AN204" s="67">
        <f t="shared" si="427"/>
        <v>0</v>
      </c>
      <c r="AO204" s="67">
        <f t="shared" si="427"/>
        <v>0</v>
      </c>
      <c r="AP204" s="67">
        <f t="shared" si="427"/>
        <v>0</v>
      </c>
      <c r="AQ204" s="67">
        <f t="shared" si="427"/>
        <v>0</v>
      </c>
      <c r="AR204" s="68">
        <f t="shared" si="427"/>
        <v>0</v>
      </c>
      <c r="AS204" s="66">
        <f>IF(AND($B202=" ",$K204=AS$3),$O204,0)</f>
        <v>0</v>
      </c>
      <c r="AT204" s="67">
        <f>IF(AND($B202=" ",K204=AT$3),$O204,0)</f>
        <v>0</v>
      </c>
      <c r="AU204" s="67">
        <f t="shared" ref="AU204:BE204" si="428">IF(AND($B202=" ",$K204=AU$3),$O204,0)</f>
        <v>0</v>
      </c>
      <c r="AV204" s="67">
        <f t="shared" si="428"/>
        <v>0</v>
      </c>
      <c r="AW204" s="67">
        <f t="shared" si="428"/>
        <v>0</v>
      </c>
      <c r="AX204" s="67">
        <f t="shared" si="428"/>
        <v>0</v>
      </c>
      <c r="AY204" s="69">
        <f t="shared" si="428"/>
        <v>0</v>
      </c>
      <c r="AZ204" s="70">
        <f t="shared" si="428"/>
        <v>0</v>
      </c>
      <c r="BA204" s="70">
        <f t="shared" si="428"/>
        <v>0</v>
      </c>
      <c r="BB204" s="70">
        <f t="shared" si="428"/>
        <v>0</v>
      </c>
      <c r="BC204" s="71">
        <f t="shared" si="428"/>
        <v>0</v>
      </c>
      <c r="BD204" s="67">
        <f t="shared" si="428"/>
        <v>0</v>
      </c>
      <c r="BE204" s="68">
        <f t="shared" si="428"/>
        <v>0</v>
      </c>
      <c r="BF204" s="66">
        <f t="shared" ref="BF204:BR213" si="429">IF($K204=BF$3,IF($C204="X",0,$O204),0)</f>
        <v>0</v>
      </c>
      <c r="BG204" s="168">
        <f t="shared" si="429"/>
        <v>0</v>
      </c>
      <c r="BH204" s="67">
        <f t="shared" si="429"/>
        <v>0</v>
      </c>
      <c r="BI204" s="67">
        <f t="shared" si="429"/>
        <v>0</v>
      </c>
      <c r="BJ204" s="67">
        <f t="shared" si="429"/>
        <v>0</v>
      </c>
      <c r="BK204" s="67">
        <f t="shared" si="429"/>
        <v>0</v>
      </c>
      <c r="BL204" s="67">
        <f t="shared" si="429"/>
        <v>0</v>
      </c>
      <c r="BM204" s="69">
        <f t="shared" si="429"/>
        <v>0</v>
      </c>
      <c r="BN204" s="70">
        <f t="shared" si="429"/>
        <v>0</v>
      </c>
      <c r="BO204" s="70">
        <f t="shared" si="429"/>
        <v>0</v>
      </c>
      <c r="BP204" s="70">
        <f t="shared" si="429"/>
        <v>0</v>
      </c>
      <c r="BQ204" s="71">
        <f t="shared" si="429"/>
        <v>0</v>
      </c>
      <c r="BR204" s="68">
        <f t="shared" si="429"/>
        <v>0</v>
      </c>
      <c r="BS204" s="491"/>
      <c r="BT204" s="489"/>
      <c r="BU204" s="392"/>
      <c r="BV204" s="489"/>
      <c r="BW204" s="392"/>
      <c r="BX204" s="392"/>
      <c r="BY204" s="392"/>
      <c r="BZ204" s="489"/>
      <c r="CA204" s="392"/>
      <c r="CB204" s="392"/>
      <c r="CC204" s="392"/>
      <c r="CD204" s="401"/>
      <c r="CE204" s="409"/>
      <c r="CF204" s="169">
        <f t="shared" si="388"/>
        <v>0</v>
      </c>
      <c r="CG204" s="170">
        <f t="shared" si="389"/>
        <v>0</v>
      </c>
      <c r="CH204" s="170">
        <f t="shared" si="390"/>
        <v>0</v>
      </c>
      <c r="CI204" s="170">
        <f t="shared" si="391"/>
        <v>0</v>
      </c>
      <c r="CJ204" s="170">
        <f t="shared" si="392"/>
        <v>0</v>
      </c>
      <c r="CK204" s="170">
        <f t="shared" si="393"/>
        <v>0</v>
      </c>
      <c r="CL204" s="170">
        <f t="shared" si="394"/>
        <v>0</v>
      </c>
      <c r="CM204" s="170">
        <f t="shared" si="395"/>
        <v>0</v>
      </c>
      <c r="CN204" s="170">
        <f t="shared" si="396"/>
        <v>0</v>
      </c>
      <c r="CO204" s="170">
        <f t="shared" si="397"/>
        <v>0</v>
      </c>
      <c r="CP204" s="170">
        <f t="shared" si="398"/>
        <v>0</v>
      </c>
      <c r="CQ204" s="170">
        <f t="shared" si="399"/>
        <v>0</v>
      </c>
      <c r="CR204" s="170">
        <f t="shared" si="400"/>
        <v>0</v>
      </c>
      <c r="CS204" s="170">
        <f t="shared" si="401"/>
        <v>0</v>
      </c>
      <c r="CT204" s="75">
        <f t="shared" si="402"/>
        <v>0</v>
      </c>
      <c r="CU204" s="76">
        <f t="shared" si="403"/>
        <v>0</v>
      </c>
      <c r="CV204" s="76">
        <f t="shared" si="404"/>
        <v>0</v>
      </c>
      <c r="CW204" s="76">
        <f t="shared" si="405"/>
        <v>0</v>
      </c>
      <c r="CX204" s="76">
        <f t="shared" si="406"/>
        <v>0</v>
      </c>
      <c r="CY204" s="76">
        <f t="shared" si="407"/>
        <v>0</v>
      </c>
      <c r="CZ204" s="76">
        <f t="shared" si="408"/>
        <v>0</v>
      </c>
      <c r="DA204" s="76">
        <f t="shared" si="409"/>
        <v>0</v>
      </c>
      <c r="DB204" s="76">
        <f t="shared" si="410"/>
        <v>0</v>
      </c>
      <c r="DC204" s="76">
        <f t="shared" si="411"/>
        <v>0</v>
      </c>
      <c r="DD204" s="76">
        <f t="shared" si="412"/>
        <v>0</v>
      </c>
      <c r="DE204" s="77">
        <f t="shared" si="413"/>
        <v>0</v>
      </c>
      <c r="DF204" s="73">
        <f t="shared" si="415"/>
        <v>13</v>
      </c>
      <c r="DG204" s="67">
        <f t="shared" si="416"/>
        <v>16.91</v>
      </c>
      <c r="DH204" s="76">
        <f t="shared" si="417"/>
        <v>6</v>
      </c>
      <c r="DI204" s="67">
        <f t="shared" si="418"/>
        <v>25.63</v>
      </c>
      <c r="DJ204" s="202" t="str">
        <f>IF($D202="","",$D202)</f>
        <v>6</v>
      </c>
      <c r="DK204" s="493"/>
    </row>
    <row r="205" spans="1:115" ht="14.5" customHeight="1" x14ac:dyDescent="0.2">
      <c r="A205" s="459">
        <f>$A202+1</f>
        <v>68</v>
      </c>
      <c r="B205" s="507" t="str">
        <f>IF(OR(C205="W",C206="W",C207="W",C205="1/2W",C206="1/2W",C207="1/2W",C205="1/2L",C206="1/2L",C207="1/2L"),"OK",IF(OR(C205="L",C206="L",C207="L"),"LOSS",IF(OR(C205="X",C206="X",C207="X"),"Anulado"," ")))</f>
        <v>OK</v>
      </c>
      <c r="C205" s="93" t="s">
        <v>54</v>
      </c>
      <c r="D205" s="468" t="str">
        <f>IF(G205="","",$D202)</f>
        <v>6</v>
      </c>
      <c r="E205" s="485" t="str">
        <f>IF(G205=""," ","– "&amp;COUNTIF(D$4:D207,$D205))</f>
        <v>– 11</v>
      </c>
      <c r="F205" s="509" t="str">
        <f ca="1">IF(G205="","",IF(OR(AND($C205&lt;&gt;" ",$C206=" "),AND($C206&lt;&gt;" ",$C205=" "),AND(L207&gt;0,OR(AND($C207&lt;&gt;" ",OR($C205=" ",$C206=" ")),AND($C207=" ",OR($C205&lt;&gt;" ",$C206&lt;&gt;" "))))),IF(SUM(F$6:F200)=0,1,LARGE(F$6:F200,1)+1),IF(MONTH(G205)=MONTH(TODAY()),IF(AND(DAY(G205)&lt;DAY(TODAY()),$B205=" "),IF(SUM(F$6:F200)=0,1,LARGE(F$6:F200,1)+1),IF($B205=" ",IF(AND(DAY(G205)=DAY(TODAY()),HOUR(G205)&lt;=HOUR(NOW())+1),IF(AND(HOUR(G205)+2&lt;=HOUR(NOW()),DAY(G205)&lt;=DAY(TODAY()),MINUTE(G205)&lt;=MINUTE(NOW())),IF(SUM(F$6:F200)=0,1,LARGE(F$6:F200,1)+1),IF(OR(MINUTE(G205)&lt;=MINUTE(NOW()),HOUR(G205)&lt;=HOUR(NOW())),"!!!","")),""),"")),"")))</f>
        <v/>
      </c>
      <c r="G205" s="482">
        <v>44991.895833333336</v>
      </c>
      <c r="H205" s="475" t="s">
        <v>118</v>
      </c>
      <c r="I205" s="94" t="s">
        <v>76</v>
      </c>
      <c r="J205" s="95">
        <v>1</v>
      </c>
      <c r="K205" s="96" t="s">
        <v>43</v>
      </c>
      <c r="L205" s="97">
        <v>1.645</v>
      </c>
      <c r="M205" s="98"/>
      <c r="N205" s="478">
        <v>0</v>
      </c>
      <c r="O205" s="99">
        <f>IF(OR(AE205="",AE206=""),"",ROUND(IF(L207&gt;0,IF(M205&gt;0,M205,IF(M206&gt;0,ROUND((M206*AE205)/AE206,IF(N205=0,2,IF(N205=0.1,1,0))),ROUND((M207*AE205)/AE207,IF(N205=0,2,IF(N205=0.1,1,0))))),IF(M205&gt;0,M205,ROUND((M206*AE205)/AE206,IF(N205=0,2,IF(N205=0.1,1,0))))),2))</f>
        <v>24.48</v>
      </c>
      <c r="P205" s="100">
        <f>IF(OR(L205="",O205=""),"",IF($C205="1/2W",O205/2+O205/2*L205,IF($C205="1/2L",O205/2,IF(I205="Lay",(O205*(L205/(L205-1))-O205)*(1-_xlfn.XLOOKUP(K205,'Fevereiro 2023 - Valor Real'!A3:A15,'Fevereiro 2023 - Valor Real'!C3:C15,0))+O205,(O205*L205-O205)*(1-_xlfn.XLOOKUP(K205,'Fevereiro 2023 - Valor Real'!A3:A15,'Fevereiro 2023 - Valor Real'!C3:C15,0))+O205))))</f>
        <v>40.269600000000004</v>
      </c>
      <c r="Q205" s="101">
        <f>IF(K205="","",IF(_xlfn.XLOOKUP(K205,K$6:K200,$DJ$6:DJ200,0,,-1)=DJ205,_xlfn.XLOOKUP(K205,K$6:K200,Q$6:Q200,1,,-1)+1,1))</f>
        <v>4</v>
      </c>
      <c r="R205" s="102">
        <f>IF(K205="","",_xlfn.XLOOKUP(K205,K$6:K200,R$6:R200,0,,-1)+IF($C205=" ",1,0))</f>
        <v>0</v>
      </c>
      <c r="S205" s="474">
        <f>IF($B205="Anulado",0,ROUND(IF(OR($B205="LOSS",$B205="OK"),IF(OR($C205="W",$C205="1/2W",$C205="1/2L"),P205-O205,IF($C205="L",-O205,0))+IF(OR($C206="W",$C206="1/2W",$C206="1/2L"),P206-O206,IF($C206="L",-O206,0))+IF(OR($C207="W",$C207="1/2W",$C207="1/2L"),P207-O207,IF($C207="L",-O207,0)),IF(AND(OR($C205="W",$C205="1/2W",$C205="1/2L"),C206="W"),P205+P206-SUM(O205:O207)+_xlfn.XLOOKUP("X",C205:C207,O205:O207,0),IF(AND(C205=TRUE,C207="W"),P205+P207-SUM(O205:O207),IF(AND(C206="W",C207="W"),P206+P207-SUM(O205:O207)+_xlfn.XLOOKUP("X",C205:C207,O205:O207,0),IF(L207&gt;0,IF(OR($C205="W",$C205="1/2W",$C205="1/2L"),P205-SUM(O205:O207)+_xlfn.XLOOKUP("X",C205:C207,O205:O207,0),IF(OR($C205="W",$C205="1/2W",$C205="1/2L"),P206-SUM(O205:O207)+_xlfn.XLOOKUP("X",C205:C207,O205:O207,0),IF(OR($C205="W",$C205="1/2W",$C205="1/2L"),P207-SUM(O205:O207)+_xlfn.XLOOKUP("X",C205:C207,O205:O207,0),IF(SUM(P205:P207)/3-SUM(O205:O207)+_xlfn.XLOOKUP("X",C205:C207,O205:O207,0)&gt;0,SUM(P205:P207)/3-SUM(O205:O207)+_xlfn.XLOOKUP("X",C205:C207,O205:O207,0),LARGE(P205:P207,1)-SUM(O205:O207))))),IF(OR($C205="W",$C205="1/2W",$C205="1/2L"),P205-SUM(O205:O206)+_xlfn.XLOOKUP("X",C205:C207,O205:O207,0),IF(OR($C205="W",$C205="1/2W",$C205="1/2L"),P206-SUM(O205:O206)+_xlfn.XLOOKUP("X",C205:C207,O205:O207,0),SUM(P205:P206)/2-SUM(O205:O206)+_xlfn.XLOOKUP("X",C205:C207,O205:O207,0)))))))),2))</f>
        <v>1.66</v>
      </c>
      <c r="T205" s="458">
        <f>IF(S205=0,0,S205/SUM(O205:O207))</f>
        <v>4.299404299404299E-2</v>
      </c>
      <c r="U205" s="470">
        <f>IF($D205=$D202,IF(OR($B205="LOSS",$B205="OK",$B205="Anulada"),S205,0)+U202,IF(OR($B205="LOSS",$B205="OK",$B205="Anulada"),S205,0))</f>
        <v>31.68</v>
      </c>
      <c r="V205" s="470">
        <f>IF($D205="",0,IF($D205=$D202,IF($B205=" ",IF(I207="",IF(OR(AND(I205="DNB1",I206="DNB2"),AND(OR(I205="DNB1",I205="DNB2"),J206=0),AND(OR(I206="DNB1",I206="DNB2"),J205=0),AND(I205="DNB2",I206="DNB1"),AND(IF(J205=0,(J205+1)/ROUND(J205+1,0),J205/ROUND(J205,0))=1,IF(J206=0,(J206+1)/ROUND(IF(J206="",0,J206)+1,0),IF(J206="",0,J206)/ROUND(IF(J206="",1,J206),0))=1,OR(J205&lt;&gt;""),J206&lt;&gt;"")),0,IF(S205&lt;0,IF(I207="",SMALL(P205:P206,1)-SUM(O205:O206),0),SMALL(P205:P206,1)-SUM(O205:O206))),IF(S205&lt;0,IF(I207="",SMALL(P205:P207,1)-SUM(O205:O207),0),LARGE(P205:P207,1)-SUM(O205:O207))),S205)+V202,IF(I207="",IF(OR(AND(I205="DNB1",I206="DNB2"),AND(OR(I205="DNB1",I205="DNB2"),J206=0),AND(OR(I206="DNB1",I206="DNB2"),J205=0),AND(I205="DNB2",I206="DNB1"),AND(IF(J205=0,(J205+1)/ROUND(J205+1,0),J205/ROUND(J205,0))=1,IF(J206=0,(IF(J206="",0,J206)+1)/ROUND(IF(J206="",0,J206)+1,0),IF(J206="",0,J206)/ROUND(IF(J206="",0,J206)+1,0))=1,OR(J205&lt;&gt;""),J206&lt;&gt;"")),0,IF(S205&lt;0,IF(I207="",SMALL(P205:P206,1)-SUM(O205:O206),0),SMALL(P205:P207,1)-SUM(O205:O207))),IF(S205&lt;0,IF(I207="",SMALL(P205:P207,1)-SUM(O205:O207),0),LARGE(P205:P207,1)-SUM(O205:O207)))))</f>
        <v>31.67199999999999</v>
      </c>
      <c r="W205" s="470">
        <f>IF($D205=$D202,IF(S205&lt;0,IF(I207="",S205,0),S205)+W202,S205)</f>
        <v>31.68</v>
      </c>
      <c r="X205" s="480" t="str">
        <f>IF(OR(SUM(R205:R207)=0,V205=W205),ROUND(IF(W205=0,0,W205/Y205)*100,2)&amp;"%",ROUND(IF(V205=0,0,V205/Y205)*100,2)&amp;"% a "&amp;ROUND(IF(W205=0,0,W205/Y205)*100,2)&amp;"%")</f>
        <v>5,6%</v>
      </c>
      <c r="Y205" s="471">
        <f>IF($D205=$D202,Y202+SUM(O205:O207),SUM(O205:O207))</f>
        <v>565.22</v>
      </c>
      <c r="Z205" s="470">
        <f>IF($B205=" ",SUM(O205:O207),0)+Z202</f>
        <v>0</v>
      </c>
      <c r="AA205" s="470">
        <f>IF(G205="","",IF($B205="Anulado",LARGE(P205:P207,1)-SUM(O205:O207)+AA202,AA202))</f>
        <v>1.4607999999999972</v>
      </c>
      <c r="AB205" s="470">
        <f>IF($D205="","",AB202+S205)</f>
        <v>171.52999999999997</v>
      </c>
      <c r="AC205" s="472">
        <f ca="1">IF($D205="","",IF($B205=" ",IF(DAY(G205)=DAY(TODAY()),1+AC202,0+AC202),0+AC202))</f>
        <v>0</v>
      </c>
      <c r="AD205" s="103">
        <f>(((L206/(L206-1)-1)*(1-_xlfn.XLOOKUP(K206,'Fevereiro 2023 - Valor Real'!A3:A15,'Fevereiro 2023 - Valor Real'!C3:C15,0))+1))/(((L205-1)*(1-_xlfn.XLOOKUP(K205,'Fevereiro 2023 - Valor Real'!A3:A15,'Fevereiro 2023 - Valor Real'!C3:C15,0))+1)+((L206/(L206-1)-1)*(1-_xlfn.XLOOKUP(K206,'Fevereiro 2023 - Valor Real'!A3:A15,'Fevereiro 2023 - Valor Real'!C3:C15,0))+1))</f>
        <v>0.48360412336147285</v>
      </c>
      <c r="AE205" s="104">
        <f>IF(L205="","",IF(L207&gt;0,(SUM(((L205-1)*(1-_xlfn.XLOOKUP(K205,'Fevereiro 2023 - Valor Real'!A3:A15,'Fevereiro 2023 - Valor Real'!C3:C15,0))+1),((L206-1)*(1-_xlfn.XLOOKUP(K206,'Fevereiro 2023 - Valor Real'!A3:A15,'Fevereiro 2023 - Valor Real'!C3:C15,0))+1),((L207-1)*(1-_xlfn.XLOOKUP(K207,'Fevereiro 2023 - Valor Real'!A3:A15,'Fevereiro 2023 - Valor Real'!C3:C15,0))+1))/((L205-1)*(1-_xlfn.XLOOKUP(K205,'Fevereiro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Real'!C3:C15,0))+1))/((L205-1)*(1-_xlfn.XLOOKUP(K205,'Fevereiro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Real'!C3:C15,0))+1))/((L206-1)*(1-_xlfn.XLOOKUP(K206,'Fevereiro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Real'!C3:C15,0))+1))/((L207-1)*(1-_xlfn.XLOOKUP(K207,'Fevereiro 2023 - Valor Real'!A3:A15,'Fevereiro 2023 - Valor Real'!C3:C15,0))+1)),IF(I205="Lay",IF(I206="Lay",((L206/(L206-1)-1)*(1-_xlfn.XLOOKUP(K206,'Fevereiro 2023 - Valor Real'!A3:A15,'Fevereiro 2023 - Valor Real'!C3:C15,0))+1)/(((L206/(L206-1)-1)*(1-_xlfn.XLOOKUP(K206,'Fevereiro 2023 - Valor Real'!A3:A15,'Fevereiro 2023 - Valor Real'!C3:C15,0))+1)+((L205/(L205-1)-1)*(1-_xlfn.XLOOKUP(K205,'Fevereiro 2023 - Valor Real'!A3:A15,'Fevereiro 2023 - Valor Real'!C3:C15,0))+1)),((L206-1)*(1-_xlfn.XLOOKUP(K206,'Fevereiro 2023 - Valor Real'!A3:A15,'Fevereiro 2023 - Valor Real'!C3:C15,0))+1)/(((L206-1)*(1-_xlfn.XLOOKUP(K206,'Fevereiro 2023 - Valor Real'!A3:A15,'Fevereiro 2023 - Valor Real'!C3:C15,0))+1)+((L205/(L205-1)-1)*(1-_xlfn.XLOOKUP(K205,'Fevereiro 2023 - Valor Real'!A3:A15,'Fevereiro 2023 - Valor Real'!C3:C15,0))+1))),IF(I206="Lay",(((L206/(L206-1)-1)*(1-_xlfn.XLOOKUP(K206,'Fevereiro 2023 - Valor Real'!A3:A15,'Fevereiro 2023 - Valor Real'!C3:C15,0))+1))/(((L205-1)*(1-_xlfn.XLOOKUP(K205,'Fevereiro 2023 - Valor Real'!A3:A15,'Fevereiro 2023 - Valor Real'!C3:C15,0))+1)+((L206/(L206-1)-1)*(1-_xlfn.XLOOKUP(K206,'Fevereiro 2023 - Valor Real'!A3:A15,'Fevereiro 2023 - Valor Real'!C3:C15,0))+1)),((L206-1)*(1-_xlfn.XLOOKUP(K206,'Fevereiro 2023 - Valor Real'!A3:A15,'Fevereiro 2023 - Valor Real'!C3:C15,0))+1)/(((L206-1)*(1-_xlfn.XLOOKUP(K206,'Fevereiro 2023 - Valor Real'!A3:A15,'Fevereiro 2023 - Valor Real'!C3:C15,0))+1)+((L205-1)*(1-_xlfn.XLOOKUP(K205,'Fevereiro 2023 - Valor Real'!A3:A15,'Fevereiro 2023 - Valor Real'!C3:C15,0))+1))))))</f>
        <v>0.63403781979977758</v>
      </c>
      <c r="AF205" s="105">
        <f t="shared" si="427"/>
        <v>0</v>
      </c>
      <c r="AG205" s="106">
        <f t="shared" si="427"/>
        <v>0</v>
      </c>
      <c r="AH205" s="106">
        <f t="shared" si="427"/>
        <v>0</v>
      </c>
      <c r="AI205" s="106">
        <f t="shared" si="427"/>
        <v>0</v>
      </c>
      <c r="AJ205" s="106">
        <f t="shared" si="427"/>
        <v>0</v>
      </c>
      <c r="AK205" s="106">
        <f t="shared" si="427"/>
        <v>0</v>
      </c>
      <c r="AL205" s="106">
        <f t="shared" si="427"/>
        <v>0</v>
      </c>
      <c r="AM205" s="106">
        <f t="shared" si="427"/>
        <v>15.79</v>
      </c>
      <c r="AN205" s="106">
        <f t="shared" si="427"/>
        <v>0</v>
      </c>
      <c r="AO205" s="106">
        <f t="shared" si="427"/>
        <v>0</v>
      </c>
      <c r="AP205" s="106">
        <f t="shared" si="427"/>
        <v>0</v>
      </c>
      <c r="AQ205" s="106">
        <f t="shared" si="427"/>
        <v>0</v>
      </c>
      <c r="AR205" s="107">
        <f t="shared" si="427"/>
        <v>0</v>
      </c>
      <c r="AS205" s="105">
        <f t="shared" ref="AS205:BE205" si="430">IF(AND($B205=" ",$K205=AS$3),$O205,0)</f>
        <v>0</v>
      </c>
      <c r="AT205" s="106">
        <f t="shared" si="430"/>
        <v>0</v>
      </c>
      <c r="AU205" s="106">
        <f t="shared" si="430"/>
        <v>0</v>
      </c>
      <c r="AV205" s="106">
        <f t="shared" si="430"/>
        <v>0</v>
      </c>
      <c r="AW205" s="106">
        <f t="shared" si="430"/>
        <v>0</v>
      </c>
      <c r="AX205" s="106">
        <f t="shared" si="430"/>
        <v>0</v>
      </c>
      <c r="AY205" s="108">
        <f t="shared" si="430"/>
        <v>0</v>
      </c>
      <c r="AZ205" s="109">
        <f t="shared" si="430"/>
        <v>0</v>
      </c>
      <c r="BA205" s="109">
        <f t="shared" si="430"/>
        <v>0</v>
      </c>
      <c r="BB205" s="109">
        <f t="shared" si="430"/>
        <v>0</v>
      </c>
      <c r="BC205" s="110">
        <f t="shared" si="430"/>
        <v>0</v>
      </c>
      <c r="BD205" s="106">
        <f t="shared" si="430"/>
        <v>0</v>
      </c>
      <c r="BE205" s="107">
        <f t="shared" si="430"/>
        <v>0</v>
      </c>
      <c r="BF205" s="111">
        <f t="shared" si="429"/>
        <v>0</v>
      </c>
      <c r="BG205" s="106">
        <f t="shared" si="429"/>
        <v>0</v>
      </c>
      <c r="BH205" s="106">
        <f t="shared" si="429"/>
        <v>0</v>
      </c>
      <c r="BI205" s="106">
        <f t="shared" si="429"/>
        <v>0</v>
      </c>
      <c r="BJ205" s="106">
        <f t="shared" si="429"/>
        <v>0</v>
      </c>
      <c r="BK205" s="106">
        <f t="shared" si="429"/>
        <v>0</v>
      </c>
      <c r="BL205" s="106">
        <f t="shared" si="429"/>
        <v>0</v>
      </c>
      <c r="BM205" s="108">
        <f t="shared" si="429"/>
        <v>24.48</v>
      </c>
      <c r="BN205" s="109">
        <f t="shared" si="429"/>
        <v>0</v>
      </c>
      <c r="BO205" s="109">
        <f t="shared" si="429"/>
        <v>0</v>
      </c>
      <c r="BP205" s="109">
        <f t="shared" si="429"/>
        <v>0</v>
      </c>
      <c r="BQ205" s="110">
        <f t="shared" si="429"/>
        <v>0</v>
      </c>
      <c r="BR205" s="107">
        <f t="shared" si="429"/>
        <v>0</v>
      </c>
      <c r="BS205" s="463">
        <f>IF($B205="LOSS",IF(AND($K205=BS$3,$C205="L"),-$O205,0)+IF(AND($K206=BS$3,$C206="L"),-$O206,0)+IF(AND($K207=BS$3,$C207="L"),-$O207,0),IF(OR(AND($K205=BS$3,OR($C205="W",$C205="1/2W")),AND($K206=BS$3,OR($C206="W",$C206="1/2W")),AND($K207=BS$3,OR($C207="W",$C207="1/2W"))),$S205,0))</f>
        <v>0</v>
      </c>
      <c r="BT205" s="462">
        <f>IF($B205="LOSS",IF(AND($K205=BT$3,$C205="L"),-$O205,0)+IF(AND($K206=BT$3,$C206="L"),-$O206,0)+IF(AND($K206=BT$3,$C207="L"),-$O207,0),IF(OR(AND($K206=BT$3,OR($C205="W",$C205="1/2W")),AND($K206=BT$3,OR($C206="W",$C206="1/2W")),AND($K206=BT$3,OR($C207="W",$C207="1/2W"))),$S205,0))</f>
        <v>0</v>
      </c>
      <c r="BU205" s="462">
        <f>IF($B205="LOSS",IF(AND($K205=BU$3,$C205="L"),-$O205,0)+IF(AND($K206=BU$3,$C206="L"),-$O206,0)+IF(AND($K206=BU$3,$C207="L"),-$O207,0),IF(OR(AND($K206=BU$3,OR($C205="W",$C205="1/2W")),AND($K206=BU$3,OR($C206="W",$C206="1/2W")),AND($K206=BU$3,OR($C207="W",$C207="1/2W"))),$S205,0))</f>
        <v>0</v>
      </c>
      <c r="BV205" s="462">
        <f t="shared" ref="BV205:CE205" si="431">IF($B205="LOSS",IF(AND($K205=BV$3,$C205="L"),-$O205,0)+IF(AND($K206=BV$3,$C206="L"),-$O206,0)+IF(AND($K207=BV$3,$C207="L"),-$O207,0),IF(OR(AND($K205=BV$3,OR($C205="W",$C205="1/2W")),AND($K206=BV$3,OR($C206="W",$C206="1/2W")),AND($K207=BV$3,OR($C207="W",$C207="1/2W"))),$S205,0))</f>
        <v>0</v>
      </c>
      <c r="BW205" s="462">
        <f t="shared" si="431"/>
        <v>0</v>
      </c>
      <c r="BX205" s="462">
        <f t="shared" si="431"/>
        <v>0</v>
      </c>
      <c r="BY205" s="462">
        <f t="shared" si="431"/>
        <v>0</v>
      </c>
      <c r="BZ205" s="460">
        <f t="shared" si="431"/>
        <v>1.66</v>
      </c>
      <c r="CA205" s="460">
        <f t="shared" si="431"/>
        <v>0</v>
      </c>
      <c r="CB205" s="460">
        <f t="shared" si="431"/>
        <v>0</v>
      </c>
      <c r="CC205" s="460">
        <f t="shared" si="431"/>
        <v>0</v>
      </c>
      <c r="CD205" s="473">
        <f t="shared" si="431"/>
        <v>0</v>
      </c>
      <c r="CE205" s="479">
        <f t="shared" si="431"/>
        <v>0</v>
      </c>
      <c r="CF205" s="113">
        <f t="shared" si="388"/>
        <v>0</v>
      </c>
      <c r="CG205" s="114">
        <f t="shared" si="389"/>
        <v>0</v>
      </c>
      <c r="CH205" s="114">
        <f t="shared" si="390"/>
        <v>0</v>
      </c>
      <c r="CI205" s="114">
        <f t="shared" si="391"/>
        <v>0</v>
      </c>
      <c r="CJ205" s="114">
        <f t="shared" si="392"/>
        <v>0</v>
      </c>
      <c r="CK205" s="114">
        <f t="shared" si="393"/>
        <v>0</v>
      </c>
      <c r="CL205" s="114">
        <f t="shared" si="394"/>
        <v>0</v>
      </c>
      <c r="CM205" s="114">
        <f t="shared" si="395"/>
        <v>0</v>
      </c>
      <c r="CN205" s="114">
        <f t="shared" si="396"/>
        <v>0</v>
      </c>
      <c r="CO205" s="114">
        <f t="shared" si="397"/>
        <v>0</v>
      </c>
      <c r="CP205" s="114">
        <f t="shared" si="398"/>
        <v>0</v>
      </c>
      <c r="CQ205" s="114">
        <f t="shared" si="399"/>
        <v>0</v>
      </c>
      <c r="CR205" s="114">
        <f t="shared" si="400"/>
        <v>0</v>
      </c>
      <c r="CS205" s="114">
        <f t="shared" si="401"/>
        <v>0</v>
      </c>
      <c r="CT205" s="115">
        <f t="shared" si="402"/>
        <v>1</v>
      </c>
      <c r="CU205" s="116">
        <f t="shared" si="403"/>
        <v>0</v>
      </c>
      <c r="CV205" s="116">
        <f t="shared" si="404"/>
        <v>0</v>
      </c>
      <c r="CW205" s="116">
        <f t="shared" si="405"/>
        <v>0</v>
      </c>
      <c r="CX205" s="116">
        <f t="shared" si="406"/>
        <v>0</v>
      </c>
      <c r="CY205" s="116">
        <f t="shared" si="407"/>
        <v>0</v>
      </c>
      <c r="CZ205" s="116">
        <f t="shared" si="408"/>
        <v>0</v>
      </c>
      <c r="DA205" s="116">
        <f t="shared" si="409"/>
        <v>0</v>
      </c>
      <c r="DB205" s="116">
        <f t="shared" si="410"/>
        <v>0</v>
      </c>
      <c r="DC205" s="116">
        <f t="shared" si="411"/>
        <v>0</v>
      </c>
      <c r="DD205" s="116">
        <f t="shared" si="412"/>
        <v>0</v>
      </c>
      <c r="DE205" s="117">
        <f t="shared" si="413"/>
        <v>0</v>
      </c>
      <c r="DF205" s="118">
        <f t="shared" si="415"/>
        <v>13</v>
      </c>
      <c r="DG205" s="106">
        <f t="shared" si="416"/>
        <v>16.91</v>
      </c>
      <c r="DH205" s="116">
        <f t="shared" si="417"/>
        <v>6</v>
      </c>
      <c r="DI205" s="106">
        <f t="shared" si="418"/>
        <v>25.63</v>
      </c>
      <c r="DJ205" s="201" t="str">
        <f>IF($D205="","",$D205)</f>
        <v>6</v>
      </c>
      <c r="DK205" s="465">
        <f>IF(AND($B205=" ",$D205&lt;&gt;""),1,0)</f>
        <v>0</v>
      </c>
    </row>
    <row r="206" spans="1:115" ht="14.5" customHeight="1" x14ac:dyDescent="0.2">
      <c r="A206" s="389"/>
      <c r="B206" s="456"/>
      <c r="C206" s="120" t="s">
        <v>55</v>
      </c>
      <c r="D206" s="374"/>
      <c r="E206" s="386"/>
      <c r="F206" s="377"/>
      <c r="G206" s="483"/>
      <c r="H206" s="476"/>
      <c r="I206" s="121" t="s">
        <v>66</v>
      </c>
      <c r="J206" s="122">
        <f>IF(OR(I205="TO",I205="TU",I205="TO1",I205="TU1",I205="TO2",I205="TU2"),J205,IF(OR(I205="AH1",I205="AH2"),IF(OR(I206="AH1",I206="AH2"),-J205,IF(OR(I206="EH1",I206="EH2"),-J205+0.5,"")),IF(OR(I205="EH1",I205="EH2"),IF(OR(I206="AH1",I206="AH2"),-J205+0.5,IF(OR(I206="EH1",I206="EH2"),-J205+1,"")),IF(AND(OR(I205="DNB1",I205="DNB2"),OR(I206="AH1",I206="AH2")),0,IF(AND(I205="Not ScoreBoth",OR(I206="TO1",I206="TO2")),0.5,"")))))</f>
        <v>-1</v>
      </c>
      <c r="K206" s="123" t="s">
        <v>47</v>
      </c>
      <c r="L206" s="124">
        <v>2.85</v>
      </c>
      <c r="M206" s="125">
        <v>14.13</v>
      </c>
      <c r="N206" s="406"/>
      <c r="O206" s="126">
        <f>IF(OR(AE205="",AE206=""),"",ROUND(IF(L207&gt;0,IF(M206&gt;0,M206,IF(M205&gt;0,IF(N205=TRUE,ROUND((M205*AE206)/AE205,0),(M205*AE206)/AE205),IF(M206&gt;0,ROUND(M206,IF(N205=0,2,IF(N205=0.1,1,0))),IF(M207&gt;0,ROUND(O207*AE206/AE207,IF(N205=0,2,IF(N205=0.1,1,0))),0)))),IF(M206&gt;0,M206,ROUND((M205*AE206)/AE205,IF(N205=0,2,IF(N205=0.1,1,0))))),2))</f>
        <v>14.13</v>
      </c>
      <c r="P206" s="127">
        <f>IF(OR(L206="",O206=""),"",IF($C206="1/2W",O206/2+O206/2*L206,IF($C206="1/2L",O206/2,IF(I206="Lay",((O206*(L206/(L206-1)))-O206)*(1-_xlfn.XLOOKUP(K206,'Fevereiro 2023 - Valor Real'!A3:A15,'Fevereiro 2023 - Valor Real'!C3:C15,0))+O206,(O206*L206-O206)*(1-_xlfn.XLOOKUP(K206,'Fevereiro 2023 - Valor Real'!A3:A15,'Fevereiro 2023 - Valor Real'!C3:C15,0))+O206))))</f>
        <v>40.270500000000006</v>
      </c>
      <c r="Q206" s="128">
        <f>IF(K206="","",IF(_xlfn.XLOOKUP(K206,K$7:K200,$DJ$7:DJ200,0,,-1)=DJ206,_xlfn.XLOOKUP(K206,K$7:K200,Q$7:Q200,1,,-1)+1,1))</f>
        <v>3</v>
      </c>
      <c r="R206" s="129">
        <f>IF(K206="","",_xlfn.XLOOKUP(K206,K$7:K200,R$7:R200,0,,-1)+IF($C206=" ",1,0))</f>
        <v>0</v>
      </c>
      <c r="S206" s="403"/>
      <c r="T206" s="380"/>
      <c r="U206" s="380"/>
      <c r="V206" s="481"/>
      <c r="W206" s="380"/>
      <c r="X206" s="452"/>
      <c r="Y206" s="383"/>
      <c r="Z206" s="384"/>
      <c r="AA206" s="384"/>
      <c r="AB206" s="384"/>
      <c r="AC206" s="384"/>
      <c r="AD206" s="130">
        <f>(((L206/(L206-1)-1)*(1-_xlfn.XLOOKUP(K206,'Fevereiro 2023 - Valor Real'!A3:A15,'Fevereiro 2023 - Valor Real'!C3:C15,0))+1))</f>
        <v>1.5405405405405406</v>
      </c>
      <c r="AE206" s="131">
        <f>IF(L206="","",IF(L207&gt;0,(SUM(((L205-1)*(1-_xlfn.XLOOKUP(K205,'Fevereiro 2023 - Valor Real'!A3:A15,'Fevereiro 2023 - Valor Real'!C3:C15,0))+1),((L206-1)*(1-_xlfn.XLOOKUP(K206,'Fevereiro 2023 - Valor Real'!A3:A15,'Fevereiro 2023 - Valor Real'!C3:C15,0))+1),((L207-1)*(1-_xlfn.XLOOKUP(K207,'Fevereiro 2023 - Valor Real'!A3:A15,'Fevereiro 2023 - Valor Real'!C3:C15,0))+1))/((L206-1)*(1-_xlfn.XLOOKUP(K206,'Fevereiro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Real'!C3:C15,0))+1))/((L205-1)*(1-_xlfn.XLOOKUP(K205,'Fevereiro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Real'!C3:C15,0))+1))/((L206-1)*(1-_xlfn.XLOOKUP(K206,'Fevereiro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Real'!C3:C15,0))+1))/((L207-1)*(1-_xlfn.XLOOKUP(K207,'Fevereiro 2023 - Valor Real'!A3:A15,'Fevereiro 2023 - Valor Real'!C3:C15,0))+1)),IF(I206="Lay",IF(I205="Lay",((L205/(L205-1)-1)*(1-_xlfn.XLOOKUP(K205,'Fevereiro 2023 - Valor Real'!A3:A15,'Fevereiro 2023 - Valor Real'!C3:C15,0))+1)/(((L205/(L205-1)-1)*(1-_xlfn.XLOOKUP(K205,'Fevereiro 2023 - Valor Real'!A3:A15,'Fevereiro 2023 - Valor Real'!C3:C15,0))+1)+((L206/(L206-1)-1)*(1-_xlfn.XLOOKUP(K206,'Fevereiro 2023 - Valor Real'!A3:A15,'Fevereiro 2023 - Valor Real'!C3:C15,0))+1)),((L205-1)*(1-_xlfn.XLOOKUP(K205,'Fevereiro 2023 - Valor Real'!A3:A15,'Fevereiro 2023 - Valor Real'!C3:C15,0))+1)/(((L205-1)*(1-_xlfn.XLOOKUP(K205,'Fevereiro 2023 - Valor Real'!A3:A15,'Fevereiro 2023 - Valor Real'!C3:C15,0))+1)+((L206/(L206-1)-1)*(1-_xlfn.XLOOKUP(K206,'Fevereiro 2023 - Valor Real'!A3:A15,'Fevereiro 2023 - Valor Real'!C3:C15,0))+1))),IF(I205="Lay",((L205/(L205-1)-1)*(1-_xlfn.XLOOKUP(K205,'Fevereiro 2023 - Valor Real'!A3:A15,'Fevereiro 2023 - Valor Real'!C3:C15,0))+1)/((((L205/(L205-1)-1)*(1-_xlfn.XLOOKUP(K205,'Fevereiro 2023 - Valor Real'!A3:A15,'Fevereiro 2023 - Valor Real'!C3:C15,0))+1))+((L206-1)*(1-_xlfn.XLOOKUP(K206,'Fevereiro 2023 - Valor Real'!A3:A15,'Fevereiro 2023 - Valor Real'!C3:C15,0))+1)),((L205-1)*(1-_xlfn.XLOOKUP(K205,'Fevereiro 2023 - Valor Real'!A3:A15,'Fevereiro 2023 - Valor Real'!C3:C15,0))+1)/(((L205-1)*(1-_xlfn.XLOOKUP(K205,'Fevereiro 2023 - Valor Real'!A3:A15,'Fevereiro 2023 - Valor Real'!C3:C15,0))+1)+((L206-1)*(1-_xlfn.XLOOKUP(K206,'Fevereiro 2023 - Valor Real'!A3:A15,'Fevereiro 2023 - Valor Real'!C3:C15,0))+1))))))</f>
        <v>0.36596218020022248</v>
      </c>
      <c r="AF206" s="105">
        <f t="shared" si="427"/>
        <v>0</v>
      </c>
      <c r="AG206" s="106">
        <f t="shared" si="427"/>
        <v>0</v>
      </c>
      <c r="AH206" s="106">
        <f t="shared" si="427"/>
        <v>0</v>
      </c>
      <c r="AI206" s="106">
        <f t="shared" si="427"/>
        <v>0</v>
      </c>
      <c r="AJ206" s="106">
        <f t="shared" si="427"/>
        <v>0</v>
      </c>
      <c r="AK206" s="106">
        <f t="shared" si="427"/>
        <v>0</v>
      </c>
      <c r="AL206" s="106">
        <f t="shared" si="427"/>
        <v>0</v>
      </c>
      <c r="AM206" s="106">
        <f t="shared" si="427"/>
        <v>0</v>
      </c>
      <c r="AN206" s="106">
        <f t="shared" si="427"/>
        <v>0</v>
      </c>
      <c r="AO206" s="106">
        <f t="shared" si="427"/>
        <v>0</v>
      </c>
      <c r="AP206" s="106">
        <f t="shared" si="427"/>
        <v>0</v>
      </c>
      <c r="AQ206" s="106">
        <f t="shared" si="427"/>
        <v>-14.13</v>
      </c>
      <c r="AR206" s="107">
        <f t="shared" si="427"/>
        <v>0</v>
      </c>
      <c r="AS206" s="105">
        <f>IF(AND($B205=" ",$K206=AS$3),$O206,0)</f>
        <v>0</v>
      </c>
      <c r="AT206" s="106">
        <f>IF(AND($B205=" ",K206=AT$3),$O206,0)</f>
        <v>0</v>
      </c>
      <c r="AU206" s="106">
        <f t="shared" ref="AU206:BE206" si="432">IF(AND($B205=" ",$K206=AU$3),$O206,0)</f>
        <v>0</v>
      </c>
      <c r="AV206" s="106">
        <f t="shared" si="432"/>
        <v>0</v>
      </c>
      <c r="AW206" s="106">
        <f t="shared" si="432"/>
        <v>0</v>
      </c>
      <c r="AX206" s="106">
        <f t="shared" si="432"/>
        <v>0</v>
      </c>
      <c r="AY206" s="108">
        <f t="shared" si="432"/>
        <v>0</v>
      </c>
      <c r="AZ206" s="109">
        <f t="shared" si="432"/>
        <v>0</v>
      </c>
      <c r="BA206" s="109">
        <f t="shared" si="432"/>
        <v>0</v>
      </c>
      <c r="BB206" s="109">
        <f t="shared" si="432"/>
        <v>0</v>
      </c>
      <c r="BC206" s="110">
        <f t="shared" si="432"/>
        <v>0</v>
      </c>
      <c r="BD206" s="106">
        <f t="shared" si="432"/>
        <v>0</v>
      </c>
      <c r="BE206" s="107">
        <f t="shared" si="432"/>
        <v>0</v>
      </c>
      <c r="BF206" s="105">
        <f t="shared" si="429"/>
        <v>0</v>
      </c>
      <c r="BG206" s="106">
        <f t="shared" si="429"/>
        <v>0</v>
      </c>
      <c r="BH206" s="106">
        <f t="shared" si="429"/>
        <v>0</v>
      </c>
      <c r="BI206" s="106">
        <f t="shared" si="429"/>
        <v>0</v>
      </c>
      <c r="BJ206" s="106">
        <f t="shared" si="429"/>
        <v>0</v>
      </c>
      <c r="BK206" s="106">
        <f t="shared" si="429"/>
        <v>0</v>
      </c>
      <c r="BL206" s="106">
        <f t="shared" si="429"/>
        <v>0</v>
      </c>
      <c r="BM206" s="132">
        <f t="shared" si="429"/>
        <v>0</v>
      </c>
      <c r="BN206" s="112">
        <f t="shared" si="429"/>
        <v>0</v>
      </c>
      <c r="BO206" s="112">
        <f t="shared" si="429"/>
        <v>0</v>
      </c>
      <c r="BP206" s="112">
        <f t="shared" si="429"/>
        <v>0</v>
      </c>
      <c r="BQ206" s="110">
        <f t="shared" si="429"/>
        <v>14.13</v>
      </c>
      <c r="BR206" s="107">
        <f t="shared" si="429"/>
        <v>0</v>
      </c>
      <c r="BS206" s="464"/>
      <c r="BT206" s="461"/>
      <c r="BU206" s="392"/>
      <c r="BV206" s="461"/>
      <c r="BW206" s="392"/>
      <c r="BX206" s="392"/>
      <c r="BY206" s="392"/>
      <c r="BZ206" s="461"/>
      <c r="CA206" s="392"/>
      <c r="CB206" s="392"/>
      <c r="CC206" s="392"/>
      <c r="CD206" s="401"/>
      <c r="CE206" s="409"/>
      <c r="CF206" s="133">
        <f t="shared" si="388"/>
        <v>0</v>
      </c>
      <c r="CG206" s="134">
        <f t="shared" si="389"/>
        <v>0</v>
      </c>
      <c r="CH206" s="134">
        <f t="shared" si="390"/>
        <v>0</v>
      </c>
      <c r="CI206" s="134">
        <f t="shared" si="391"/>
        <v>0</v>
      </c>
      <c r="CJ206" s="134">
        <f t="shared" si="392"/>
        <v>0</v>
      </c>
      <c r="CK206" s="134">
        <f t="shared" si="393"/>
        <v>0</v>
      </c>
      <c r="CL206" s="134">
        <f t="shared" si="394"/>
        <v>0</v>
      </c>
      <c r="CM206" s="134">
        <f t="shared" si="395"/>
        <v>0</v>
      </c>
      <c r="CN206" s="134">
        <f t="shared" si="396"/>
        <v>0</v>
      </c>
      <c r="CO206" s="134">
        <f t="shared" si="397"/>
        <v>0</v>
      </c>
      <c r="CP206" s="134">
        <f t="shared" si="398"/>
        <v>0</v>
      </c>
      <c r="CQ206" s="134">
        <f t="shared" si="399"/>
        <v>0</v>
      </c>
      <c r="CR206" s="134">
        <f t="shared" si="400"/>
        <v>0</v>
      </c>
      <c r="CS206" s="134">
        <f t="shared" si="401"/>
        <v>0</v>
      </c>
      <c r="CT206" s="115">
        <f t="shared" si="402"/>
        <v>0</v>
      </c>
      <c r="CU206" s="116">
        <f t="shared" si="403"/>
        <v>0</v>
      </c>
      <c r="CV206" s="116">
        <f t="shared" si="404"/>
        <v>0</v>
      </c>
      <c r="CW206" s="116">
        <f t="shared" si="405"/>
        <v>0</v>
      </c>
      <c r="CX206" s="116">
        <f t="shared" si="406"/>
        <v>0</v>
      </c>
      <c r="CY206" s="116">
        <f t="shared" si="407"/>
        <v>0</v>
      </c>
      <c r="CZ206" s="116">
        <f t="shared" si="408"/>
        <v>0</v>
      </c>
      <c r="DA206" s="116">
        <f t="shared" si="409"/>
        <v>0</v>
      </c>
      <c r="DB206" s="116">
        <f t="shared" si="410"/>
        <v>0</v>
      </c>
      <c r="DC206" s="116">
        <f t="shared" si="411"/>
        <v>1</v>
      </c>
      <c r="DD206" s="116">
        <f t="shared" si="412"/>
        <v>0</v>
      </c>
      <c r="DE206" s="117">
        <f t="shared" si="413"/>
        <v>0</v>
      </c>
      <c r="DF206" s="118">
        <f t="shared" si="415"/>
        <v>13</v>
      </c>
      <c r="DG206" s="106">
        <f t="shared" si="416"/>
        <v>16.91</v>
      </c>
      <c r="DH206" s="116">
        <f t="shared" si="417"/>
        <v>6</v>
      </c>
      <c r="DI206" s="106">
        <f t="shared" si="418"/>
        <v>25.63</v>
      </c>
      <c r="DJ206" s="201" t="str">
        <f>IF($D205="","",$D205)</f>
        <v>6</v>
      </c>
      <c r="DK206" s="466"/>
    </row>
    <row r="207" spans="1:115" ht="14.5" customHeight="1" x14ac:dyDescent="0.2">
      <c r="A207" s="390"/>
      <c r="B207" s="457"/>
      <c r="C207" s="135" t="s">
        <v>53</v>
      </c>
      <c r="D207" s="375"/>
      <c r="E207" s="387"/>
      <c r="F207" s="378"/>
      <c r="G207" s="484"/>
      <c r="H207" s="477"/>
      <c r="I207" s="136"/>
      <c r="J207" s="137"/>
      <c r="K207" s="138"/>
      <c r="L207" s="139"/>
      <c r="M207" s="140"/>
      <c r="N207" s="407"/>
      <c r="O207" s="141" t="str">
        <f>IF(OR(AE205="",AE206=""),"",IF(L207&gt;0,ROUND(IF(M207&gt;0,M207,IF(M205&gt;0,ROUND((M205*AE207)/AE205,IF(N205=0,2,IF(N205=0.1,1,0))),IF(M206&gt;0,ROUND((M206*AE207)/AE206,IF(N205=0,2,IF(N205=0.1,1,0))),IF(M207&gt;0,M207,0)))),2),""))</f>
        <v/>
      </c>
      <c r="P207" s="142" t="str">
        <f>IF(I206="Lay",O206*(L206/(L206-1))-O206,IF(I205="Lay",O205*(L205/(L205-1))-O205,IF(OR(L207="",O207=""),"",IF($C207="1/2W",O207/2+O207/2*L207,IF($C207="1/2L",O207/2,(O207*L207-O207)*(1-_xlfn.XLOOKUP(K207,'Fevereiro 2023 - Valor Real'!A3:A15,'Fevereiro 2023 - Valor Real'!C3:C15,0))+O207)))))</f>
        <v/>
      </c>
      <c r="Q207" s="143" t="str">
        <f>IF(K207="","",IF(_xlfn.XLOOKUP(K207,K$8:K200,$DJ$8:DJ200,0,,-1)=DJ207,_xlfn.XLOOKUP(K207,K$8:K200,Q$8:Q200,1,,-1)+1,1))</f>
        <v/>
      </c>
      <c r="R207" s="144" t="str">
        <f>IF(K207="","",_xlfn.XLOOKUP(K207,K$8:K200,R$8:R200,0,,-1)+IF($C207=" ",1,0))</f>
        <v/>
      </c>
      <c r="S207" s="404"/>
      <c r="T207" s="378"/>
      <c r="U207" s="378"/>
      <c r="V207" s="404"/>
      <c r="W207" s="378"/>
      <c r="X207" s="453"/>
      <c r="Y207" s="383"/>
      <c r="Z207" s="384"/>
      <c r="AA207" s="384"/>
      <c r="AB207" s="384"/>
      <c r="AC207" s="384"/>
      <c r="AD207" s="145">
        <f>((L206/(L206-1)-1))</f>
        <v>0.54054054054054057</v>
      </c>
      <c r="AE207" s="146" t="str">
        <f>IF(L207="","",(SUM(((L205-1)*(1-_xlfn.XLOOKUP(K205,'Fevereiro 2023 - Valor Real'!A3:A15,'Fevereiro 2023 - Valor Real'!C3:C15,0))+1),((L206-1)*(1-_xlfn.XLOOKUP(K206,'Fevereiro 2023 - Valor Real'!A3:A15,'Fevereiro 2023 - Valor Real'!C3:C15,0))+1),((L207-1)*(1-_xlfn.XLOOKUP(K207,'Fevereiro 2023 - Valor Real'!A3:A15,'Fevereiro 2023 - Valor Real'!C3:C15,0))+1))/((L207-1)*(1-_xlfn.XLOOKUP(K207,'Fevereiro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Real'!C3:C15,0))+1))/((L205-1)*(1-_xlfn.XLOOKUP(K205,'Fevereiro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Real'!C3:C15,0))+1))/((L206-1)*(1-_xlfn.XLOOKUP(K206,'Fevereiro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Real'!C3:C15,0))+1))/((L207-1)*(1-_xlfn.XLOOKUP(K207,'Fevereiro 2023 - Valor Real'!A3:A15,'Fevereiro 2023 - Valor Real'!C3:C15,0))+1)))</f>
        <v/>
      </c>
      <c r="AF207" s="105">
        <f t="shared" si="427"/>
        <v>0</v>
      </c>
      <c r="AG207" s="106">
        <f t="shared" si="427"/>
        <v>0</v>
      </c>
      <c r="AH207" s="106">
        <f t="shared" si="427"/>
        <v>0</v>
      </c>
      <c r="AI207" s="106">
        <f t="shared" si="427"/>
        <v>0</v>
      </c>
      <c r="AJ207" s="106">
        <f t="shared" si="427"/>
        <v>0</v>
      </c>
      <c r="AK207" s="106">
        <f t="shared" si="427"/>
        <v>0</v>
      </c>
      <c r="AL207" s="106">
        <f t="shared" si="427"/>
        <v>0</v>
      </c>
      <c r="AM207" s="106">
        <f t="shared" si="427"/>
        <v>0</v>
      </c>
      <c r="AN207" s="106">
        <f t="shared" si="427"/>
        <v>0</v>
      </c>
      <c r="AO207" s="106">
        <f t="shared" si="427"/>
        <v>0</v>
      </c>
      <c r="AP207" s="106">
        <f t="shared" si="427"/>
        <v>0</v>
      </c>
      <c r="AQ207" s="106">
        <f t="shared" si="427"/>
        <v>0</v>
      </c>
      <c r="AR207" s="107">
        <f t="shared" si="427"/>
        <v>0</v>
      </c>
      <c r="AS207" s="105">
        <f>IF(AND($B205=" ",$K207=AS$3),$O207,0)</f>
        <v>0</v>
      </c>
      <c r="AT207" s="106">
        <f>IF(AND($B205=" ",K207=AT$3),$O207,0)</f>
        <v>0</v>
      </c>
      <c r="AU207" s="106">
        <f t="shared" ref="AU207:BE207" si="433">IF(AND($B205=" ",$K207=AU$3),$O207,0)</f>
        <v>0</v>
      </c>
      <c r="AV207" s="106">
        <f t="shared" si="433"/>
        <v>0</v>
      </c>
      <c r="AW207" s="106">
        <f t="shared" si="433"/>
        <v>0</v>
      </c>
      <c r="AX207" s="106">
        <f t="shared" si="433"/>
        <v>0</v>
      </c>
      <c r="AY207" s="108">
        <f t="shared" si="433"/>
        <v>0</v>
      </c>
      <c r="AZ207" s="109">
        <f t="shared" si="433"/>
        <v>0</v>
      </c>
      <c r="BA207" s="109">
        <f t="shared" si="433"/>
        <v>0</v>
      </c>
      <c r="BB207" s="109">
        <f t="shared" si="433"/>
        <v>0</v>
      </c>
      <c r="BC207" s="110">
        <f t="shared" si="433"/>
        <v>0</v>
      </c>
      <c r="BD207" s="106">
        <f t="shared" si="433"/>
        <v>0</v>
      </c>
      <c r="BE207" s="107">
        <f t="shared" si="433"/>
        <v>0</v>
      </c>
      <c r="BF207" s="105">
        <f t="shared" si="429"/>
        <v>0</v>
      </c>
      <c r="BG207" s="106">
        <f t="shared" si="429"/>
        <v>0</v>
      </c>
      <c r="BH207" s="106">
        <f t="shared" si="429"/>
        <v>0</v>
      </c>
      <c r="BI207" s="106">
        <f t="shared" si="429"/>
        <v>0</v>
      </c>
      <c r="BJ207" s="106">
        <f t="shared" si="429"/>
        <v>0</v>
      </c>
      <c r="BK207" s="106">
        <f t="shared" si="429"/>
        <v>0</v>
      </c>
      <c r="BL207" s="106">
        <f t="shared" si="429"/>
        <v>0</v>
      </c>
      <c r="BM207" s="108">
        <f t="shared" si="429"/>
        <v>0</v>
      </c>
      <c r="BN207" s="109">
        <f t="shared" si="429"/>
        <v>0</v>
      </c>
      <c r="BO207" s="109">
        <f t="shared" si="429"/>
        <v>0</v>
      </c>
      <c r="BP207" s="109">
        <f t="shared" si="429"/>
        <v>0</v>
      </c>
      <c r="BQ207" s="110">
        <f t="shared" si="429"/>
        <v>0</v>
      </c>
      <c r="BR207" s="107">
        <f t="shared" si="429"/>
        <v>0</v>
      </c>
      <c r="BS207" s="464"/>
      <c r="BT207" s="461"/>
      <c r="BU207" s="392"/>
      <c r="BV207" s="461"/>
      <c r="BW207" s="392"/>
      <c r="BX207" s="392"/>
      <c r="BY207" s="392"/>
      <c r="BZ207" s="461"/>
      <c r="CA207" s="392"/>
      <c r="CB207" s="392"/>
      <c r="CC207" s="392"/>
      <c r="CD207" s="401"/>
      <c r="CE207" s="409"/>
      <c r="CF207" s="133">
        <f t="shared" si="388"/>
        <v>0</v>
      </c>
      <c r="CG207" s="134">
        <f t="shared" si="389"/>
        <v>0</v>
      </c>
      <c r="CH207" s="134">
        <f t="shared" si="390"/>
        <v>0</v>
      </c>
      <c r="CI207" s="134">
        <f t="shared" si="391"/>
        <v>0</v>
      </c>
      <c r="CJ207" s="134">
        <f t="shared" si="392"/>
        <v>0</v>
      </c>
      <c r="CK207" s="134">
        <f t="shared" si="393"/>
        <v>0</v>
      </c>
      <c r="CL207" s="134">
        <f t="shared" si="394"/>
        <v>0</v>
      </c>
      <c r="CM207" s="134">
        <f t="shared" si="395"/>
        <v>0</v>
      </c>
      <c r="CN207" s="134">
        <f t="shared" si="396"/>
        <v>0</v>
      </c>
      <c r="CO207" s="134">
        <f t="shared" si="397"/>
        <v>0</v>
      </c>
      <c r="CP207" s="134">
        <f t="shared" si="398"/>
        <v>0</v>
      </c>
      <c r="CQ207" s="134">
        <f t="shared" si="399"/>
        <v>0</v>
      </c>
      <c r="CR207" s="134">
        <f t="shared" si="400"/>
        <v>0</v>
      </c>
      <c r="CS207" s="134">
        <f t="shared" si="401"/>
        <v>0</v>
      </c>
      <c r="CT207" s="115">
        <f t="shared" si="402"/>
        <v>0</v>
      </c>
      <c r="CU207" s="116">
        <f t="shared" si="403"/>
        <v>0</v>
      </c>
      <c r="CV207" s="116">
        <f t="shared" si="404"/>
        <v>0</v>
      </c>
      <c r="CW207" s="116">
        <f t="shared" si="405"/>
        <v>0</v>
      </c>
      <c r="CX207" s="116">
        <f t="shared" si="406"/>
        <v>0</v>
      </c>
      <c r="CY207" s="116">
        <f t="shared" si="407"/>
        <v>0</v>
      </c>
      <c r="CZ207" s="116">
        <f t="shared" si="408"/>
        <v>0</v>
      </c>
      <c r="DA207" s="116">
        <f t="shared" si="409"/>
        <v>0</v>
      </c>
      <c r="DB207" s="116">
        <f t="shared" si="410"/>
        <v>0</v>
      </c>
      <c r="DC207" s="116">
        <f t="shared" si="411"/>
        <v>0</v>
      </c>
      <c r="DD207" s="116">
        <f t="shared" si="412"/>
        <v>0</v>
      </c>
      <c r="DE207" s="117">
        <f t="shared" si="413"/>
        <v>0</v>
      </c>
      <c r="DF207" s="118">
        <f t="shared" si="415"/>
        <v>13</v>
      </c>
      <c r="DG207" s="106">
        <f t="shared" si="416"/>
        <v>16.91</v>
      </c>
      <c r="DH207" s="116">
        <f t="shared" si="417"/>
        <v>6</v>
      </c>
      <c r="DI207" s="106">
        <f t="shared" si="418"/>
        <v>25.63</v>
      </c>
      <c r="DJ207" s="201" t="str">
        <f>IF($D205="","",$D205)</f>
        <v>6</v>
      </c>
      <c r="DK207" s="466"/>
    </row>
    <row r="208" spans="1:115" ht="14.5" customHeight="1" x14ac:dyDescent="0.2">
      <c r="A208" s="487">
        <f>$A205+1</f>
        <v>69</v>
      </c>
      <c r="B208" s="506" t="str">
        <f>IF(OR(C208="W",C209="W",C210="W",C208="1/2W",C209="1/2W",C210="1/2W",C208="1/2L",C209="1/2L",C210="1/2L"),"OK",IF(OR(C208="L",C209="L",C210="L"),"LOSS",IF(OR(C208="X",C209="X",C210="X"),"Anulado"," ")))</f>
        <v>OK</v>
      </c>
      <c r="C208" s="147" t="s">
        <v>55</v>
      </c>
      <c r="D208" s="494" t="str">
        <f>IF(G208="","",$D205)</f>
        <v>6</v>
      </c>
      <c r="E208" s="511" t="str">
        <f>IF(G208=""," ","– "&amp;COUNTIF(D$4:D210,$D208))</f>
        <v>– 12</v>
      </c>
      <c r="F208" s="510" t="str">
        <f ca="1">IF(G208="","",IF(OR(AND($C208&lt;&gt;" ",$C209=" "),AND($C209&lt;&gt;" ",$C208=" "),AND(L210&gt;0,OR(AND($C210&lt;&gt;" ",OR($C208=" ",$C209=" ")),AND($C210=" ",OR($C208&lt;&gt;" ",$C209&lt;&gt;" "))))),IF(SUM(F$9:F200)=0,1,LARGE(F$9:F200,1)+1),IF(MONTH(G208)=MONTH(TODAY()),IF(AND(DAY(G208)&lt;DAY(TODAY()),$B208=" "),IF(SUM(F$9:F200)=0,1,LARGE(F$9:F200,1)+1),IF($B208=" ",IF(AND(DAY(G208)=DAY(TODAY()),HOUR(G208)&lt;=HOUR(NOW())+1),IF(AND(HOUR(G208)+2&lt;=HOUR(NOW()),DAY(G208)&lt;=DAY(TODAY()),MINUTE(G208)&lt;=MINUTE(NOW())),IF(SUM(F$9:F200)=0,1,LARGE(F$9:F200,1)+1),IF(OR(MINUTE(G208)&lt;=MINUTE(NOW()),HOUR(G208)&lt;=HOUR(NOW())),"!!!","")),""),"")),"")))</f>
        <v/>
      </c>
      <c r="G208" s="508">
        <v>44993.708333333336</v>
      </c>
      <c r="H208" s="502" t="s">
        <v>119</v>
      </c>
      <c r="I208" s="180" t="s">
        <v>51</v>
      </c>
      <c r="J208" s="181">
        <v>12.5</v>
      </c>
      <c r="K208" s="150" t="s">
        <v>37</v>
      </c>
      <c r="L208" s="151">
        <v>2.63</v>
      </c>
      <c r="M208" s="152">
        <v>10.71</v>
      </c>
      <c r="N208" s="503">
        <v>0.1</v>
      </c>
      <c r="O208" s="153">
        <f>IF(OR(AE208="",AE209=""),"",ROUND(IF(L210&gt;0,IF(M208&gt;0,M208,IF(M209&gt;0,ROUND((M209*AE208)/AE209,IF(N208=0,2,IF(N208=0.1,1,0))),ROUND((M210*AE208)/AE210,IF(N208=0,2,IF(N208=0.1,1,0))))),IF(M208&gt;0,M208,ROUND((M209*AE208)/AE209,IF(N208=0,2,IF(N208=0.1,1,0))))),2))</f>
        <v>10.71</v>
      </c>
      <c r="P208" s="154">
        <f>IF(OR(L208="",O208=""),"",IF($C208="1/2W",O208/2+O208/2*L208,IF($C208="1/2L",O208/2,IF(I208="Lay",(O208*(L208/(L208-1))-O208)*(1-_xlfn.XLOOKUP(K208,'Fevereiro 2023 - Valor Real'!A3:A15,'Fevereiro 2023 - Valor Real'!C3:C15,0))+O208,(O208*L208-O208)*(1-_xlfn.XLOOKUP(K208,'Fevereiro 2023 - Valor Real'!A3:A15,'Fevereiro 2023 - Valor Real'!C3:C15,0))+O208))))</f>
        <v>28.167300000000001</v>
      </c>
      <c r="Q208" s="155">
        <f>IF(K208="","",IF(_xlfn.XLOOKUP(K208,K$9:K200,$DJ$9:DJ200,0,,-1)=DJ208,_xlfn.XLOOKUP(K208,K$9:K200,Q$9:Q200,1,,-1)+1,1))</f>
        <v>4</v>
      </c>
      <c r="R208" s="156">
        <f>IF(K208="","",_xlfn.XLOOKUP(K208,K$9:K200,R$9:R200,0,,-1)+IF($C208=" ",1,0))</f>
        <v>0</v>
      </c>
      <c r="S208" s="501">
        <f>IF($B208="Anulado",0,ROUND(IF(OR($B208="LOSS",$B208="OK"),IF(OR($C208="W",$C208="1/2W",$C208="1/2L"),P208-O208,IF($C208="L",-O208,0))+IF(OR($C209="W",$C209="1/2W",$C209="1/2L"),P209-O209,IF($C209="L",-O209,0))+IF(OR($C210="W",$C210="1/2W",$C210="1/2L"),P210-O210,IF($C210="L",-O210,0)),IF(AND(OR($C208="W",$C208="1/2W",$C208="1/2L"),C209="W"),P208+P209-SUM(O208:O210)+_xlfn.XLOOKUP("X",C208:C210,O208:O210,0),IF(AND(C208=TRUE,C210="W"),P208+P210-SUM(O208:O210),IF(AND(C209="W",C210="W"),P209+P210-SUM(O208:O210)+_xlfn.XLOOKUP("X",C208:C210,O208:O210,0),IF(L210&gt;0,IF(OR($C208="W",$C208="1/2W",$C208="1/2L"),P208-SUM(O208:O210)+_xlfn.XLOOKUP("X",C208:C210,O208:O210,0),IF(OR($C208="W",$C208="1/2W",$C208="1/2L"),P209-SUM(O208:O210)+_xlfn.XLOOKUP("X",C208:C210,O208:O210,0),IF(OR($C208="W",$C208="1/2W",$C208="1/2L"),P210-SUM(O208:O210)+_xlfn.XLOOKUP("X",C208:C210,O208:O210,0),IF(SUM(P208:P210)/3-SUM(O208:O210)+_xlfn.XLOOKUP("X",C208:C210,O208:O210,0)&gt;0,SUM(P208:P210)/3-SUM(O208:O210)+_xlfn.XLOOKUP("X",C208:C210,O208:O210,0),LARGE(P208:P210,1)-SUM(O208:O210))))),IF(OR($C208="W",$C208="1/2W",$C208="1/2L"),P208-SUM(O208:O209)+_xlfn.XLOOKUP("X",C208:C210,O208:O210,0),IF(OR($C208="W",$C208="1/2W",$C208="1/2L"),P209-SUM(O208:O209)+_xlfn.XLOOKUP("X",C208:C210,O208:O210,0),SUM(P208:P209)/2-SUM(O208:O209)+_xlfn.XLOOKUP("X",C208:C210,O208:O210,0)))))))),2))</f>
        <v>2.12</v>
      </c>
      <c r="T208" s="486">
        <f>IF(S208=0,0,S208/SUM(O208:O210))</f>
        <v>8.1194944465721952E-2</v>
      </c>
      <c r="U208" s="496">
        <f>IF($D208=$D205,IF(OR($B208="LOSS",$B208="OK",$B208="Anulada"),S208,0)+U205,IF(OR($B208="LOSS",$B208="OK",$B208="Anulada"),S208,0))</f>
        <v>33.799999999999997</v>
      </c>
      <c r="V208" s="496">
        <f>IF($D208="",0,IF($D208=$D205,IF($B208=" ",IF(I210="",IF(OR(AND(I208="DNB1",I209="DNB2"),AND(OR(I208="DNB1",I208="DNB2"),J209=0),AND(OR(I209="DNB1",I209="DNB2"),J208=0),AND(I208="DNB2",I209="DNB1"),AND(IF(J208=0,(J208+1)/ROUND(J208+1,0),J208/ROUND(J208,0))=1,IF(J209=0,(J209+1)/ROUND(IF(J209="",0,J209)+1,0),IF(J209="",0,J209)/ROUND(IF(J209="",1,J209),0))=1,OR(J208&lt;&gt;""),J209&lt;&gt;"")),0,IF(S208&lt;0,IF(I210="",SMALL(P208:P209,1)-SUM(O208:O209),0),SMALL(P208:P209,1)-SUM(O208:O209))),IF(S208&lt;0,IF(I210="",SMALL(P208:P210,1)-SUM(O208:O210),0),LARGE(P208:P210,1)-SUM(O208:O210))),S208)+V205,IF(I210="",IF(OR(AND(I208="DNB1",I209="DNB2"),AND(OR(I208="DNB1",I208="DNB2"),J209=0),AND(OR(I209="DNB1",I209="DNB2"),J208=0),AND(I208="DNB2",I209="DNB1"),AND(IF(J208=0,(J208+1)/ROUND(J208+1,0),J208/ROUND(J208,0))=1,IF(J209=0,(IF(J209="",0,J209)+1)/ROUND(IF(J209="",0,J209)+1,0),IF(J209="",0,J209)/ROUND(IF(J209="",0,J209)+1,0))=1,OR(J208&lt;&gt;""),J209&lt;&gt;"")),0,IF(S208&lt;0,IF(I210="",SMALL(P208:P209,1)-SUM(O208:O209),0),SMALL(P208:P210,1)-SUM(O208:O210))),IF(S208&lt;0,IF(I210="",SMALL(P208:P210,1)-SUM(O208:O210),0),LARGE(P208:P210,1)-SUM(O208:O210)))))</f>
        <v>33.791999999999987</v>
      </c>
      <c r="W208" s="496">
        <f>IF($D208=$D205,IF(S208&lt;0,IF(I210="",S208,0),S208)+W205,S208)</f>
        <v>33.799999999999997</v>
      </c>
      <c r="X208" s="505" t="str">
        <f>IF(OR(SUM(R208:R210)=0,V208=W208),ROUND(IF(W208=0,0,W208/Y208)*100,2)&amp;"%",ROUND(IF(V208=0,0,V208/Y208)*100,2)&amp;"% a "&amp;ROUND(IF(W208=0,0,W208/Y208)*100,2)&amp;"%")</f>
        <v>5,72%</v>
      </c>
      <c r="Y208" s="497">
        <f>IF($D208=$D205,Y205+SUM(O208:O210),SUM(O208:O210))</f>
        <v>591.33000000000004</v>
      </c>
      <c r="Z208" s="496">
        <f>IF($B208=" ",SUM(O208:O210),0)+Z205</f>
        <v>0</v>
      </c>
      <c r="AA208" s="496">
        <f>IF(G208="","",IF($B208="Anulado",LARGE(P208:P210,1)-SUM(O208:O210)+AA205,AA205))</f>
        <v>1.4607999999999972</v>
      </c>
      <c r="AB208" s="496">
        <f>IF($D208="","",AB205+S208)</f>
        <v>173.64999999999998</v>
      </c>
      <c r="AC208" s="499">
        <f ca="1">IF($D208="","",IF($B208=" ",IF(DAY(G208)=DAY(TODAY()),1+AC205,0+AC205),0+AC205))</f>
        <v>0</v>
      </c>
      <c r="AD208" s="157">
        <f>(1-_xlfn.XLOOKUP(K206,'Fevereiro 2023 - Valor Real'!A3:A15,'Fevereiro 2023 - Valor Real'!C3:C15,0))+1</f>
        <v>2</v>
      </c>
      <c r="AE208" s="158">
        <f>IF(L208="","",IF(L210&gt;0,(SUM(((L208-1)*(1-_xlfn.XLOOKUP(K208,'Fevereiro 2023 - Valor Real'!A3:A15,'Fevereiro 2023 - Valor Real'!C3:C15,0))+1),((L209-1)*(1-_xlfn.XLOOKUP(K209,'Fevereiro 2023 - Valor Real'!A3:A15,'Fevereiro 2023 - Valor Real'!C3:C15,0))+1),((L210-1)*(1-_xlfn.XLOOKUP(K210,'Fevereiro 2023 - Valor Real'!A3:A15,'Fevereiro 2023 - Valor Real'!C3:C15,0))+1))/((L208-1)*(1-_xlfn.XLOOKUP(K208,'Fevereiro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Real'!C3:C15,0))+1))/((L208-1)*(1-_xlfn.XLOOKUP(K208,'Fevereiro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Real'!C3:C15,0))+1))/((L209-1)*(1-_xlfn.XLOOKUP(K209,'Fevereiro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Real'!C3:C15,0))+1))/((L210-1)*(1-_xlfn.XLOOKUP(K210,'Fevereiro 2023 - Valor Real'!A3:A15,'Fevereiro 2023 - Valor Real'!C3:C15,0))+1)),IF(I208="Lay",IF(I209="Lay",((L209/(L209-1)-1)*(1-_xlfn.XLOOKUP(K209,'Fevereiro 2023 - Valor Real'!A3:A15,'Fevereiro 2023 - Valor Real'!C3:C15,0))+1)/(((L209/(L209-1)-1)*(1-_xlfn.XLOOKUP(K209,'Fevereiro 2023 - Valor Real'!A3:A15,'Fevereiro 2023 - Valor Real'!C3:C15,0))+1)+((L208/(L208-1)-1)*(1-_xlfn.XLOOKUP(K208,'Fevereiro 2023 - Valor Real'!A3:A15,'Fevereiro 2023 - Valor Real'!C3:C15,0))+1)),((L209-1)*(1-_xlfn.XLOOKUP(K209,'Fevereiro 2023 - Valor Real'!A3:A15,'Fevereiro 2023 - Valor Real'!C3:C15,0))+1)/(((L209-1)*(1-_xlfn.XLOOKUP(K209,'Fevereiro 2023 - Valor Real'!A3:A15,'Fevereiro 2023 - Valor Real'!C3:C15,0))+1)+((L208/(L208-1)-1)*(1-_xlfn.XLOOKUP(K208,'Fevereiro 2023 - Valor Real'!A3:A15,'Fevereiro 2023 - Valor Real'!C3:C15,0))+1))),IF(I209="Lay",(((L209/(L209-1)-1)*(1-_xlfn.XLOOKUP(K209,'Fevereiro 2023 - Valor Real'!A3:A15,'Fevereiro 2023 - Valor Real'!C3:C15,0))+1))/(((L208-1)*(1-_xlfn.XLOOKUP(K208,'Fevereiro 2023 - Valor Real'!A3:A15,'Fevereiro 2023 - Valor Real'!C3:C15,0))+1)+((L209/(L209-1)-1)*(1-_xlfn.XLOOKUP(K209,'Fevereiro 2023 - Valor Real'!A3:A15,'Fevereiro 2023 - Valor Real'!C3:C15,0))+1)),((L209-1)*(1-_xlfn.XLOOKUP(K209,'Fevereiro 2023 - Valor Real'!A3:A15,'Fevereiro 2023 - Valor Real'!C3:C15,0))+1)/(((L209-1)*(1-_xlfn.XLOOKUP(K209,'Fevereiro 2023 - Valor Real'!A3:A15,'Fevereiro 2023 - Valor Real'!C3:C15,0))+1)+((L208-1)*(1-_xlfn.XLOOKUP(K208,'Fevereiro 2023 - Valor Real'!A3:A15,'Fevereiro 2023 - Valor Real'!C3:C15,0))+1))))))</f>
        <v>0.41071028456195385</v>
      </c>
      <c r="AF208" s="66">
        <f t="shared" si="427"/>
        <v>0</v>
      </c>
      <c r="AG208" s="67">
        <f t="shared" si="427"/>
        <v>-10.71</v>
      </c>
      <c r="AH208" s="67">
        <f t="shared" si="427"/>
        <v>0</v>
      </c>
      <c r="AI208" s="67">
        <f t="shared" si="427"/>
        <v>0</v>
      </c>
      <c r="AJ208" s="67">
        <f t="shared" si="427"/>
        <v>0</v>
      </c>
      <c r="AK208" s="67">
        <f t="shared" si="427"/>
        <v>0</v>
      </c>
      <c r="AL208" s="67">
        <f t="shared" si="427"/>
        <v>0</v>
      </c>
      <c r="AM208" s="67">
        <f t="shared" si="427"/>
        <v>0</v>
      </c>
      <c r="AN208" s="67">
        <f t="shared" si="427"/>
        <v>0</v>
      </c>
      <c r="AO208" s="67">
        <f t="shared" si="427"/>
        <v>0</v>
      </c>
      <c r="AP208" s="67">
        <f t="shared" si="427"/>
        <v>0</v>
      </c>
      <c r="AQ208" s="67">
        <f t="shared" si="427"/>
        <v>0</v>
      </c>
      <c r="AR208" s="68">
        <f t="shared" si="427"/>
        <v>0</v>
      </c>
      <c r="AS208" s="66">
        <f t="shared" ref="AS208:BE208" si="434">IF(AND($B208=" ",$K208=AS$3),$O208,0)</f>
        <v>0</v>
      </c>
      <c r="AT208" s="67">
        <f t="shared" si="434"/>
        <v>0</v>
      </c>
      <c r="AU208" s="67">
        <f t="shared" si="434"/>
        <v>0</v>
      </c>
      <c r="AV208" s="67">
        <f t="shared" si="434"/>
        <v>0</v>
      </c>
      <c r="AW208" s="67">
        <f t="shared" si="434"/>
        <v>0</v>
      </c>
      <c r="AX208" s="67">
        <f t="shared" si="434"/>
        <v>0</v>
      </c>
      <c r="AY208" s="69">
        <f t="shared" si="434"/>
        <v>0</v>
      </c>
      <c r="AZ208" s="70">
        <f t="shared" si="434"/>
        <v>0</v>
      </c>
      <c r="BA208" s="70">
        <f t="shared" si="434"/>
        <v>0</v>
      </c>
      <c r="BB208" s="70">
        <f t="shared" si="434"/>
        <v>0</v>
      </c>
      <c r="BC208" s="71">
        <f t="shared" si="434"/>
        <v>0</v>
      </c>
      <c r="BD208" s="67">
        <f t="shared" si="434"/>
        <v>0</v>
      </c>
      <c r="BE208" s="68">
        <f t="shared" si="434"/>
        <v>0</v>
      </c>
      <c r="BF208" s="66">
        <f t="shared" si="429"/>
        <v>0</v>
      </c>
      <c r="BG208" s="67">
        <f t="shared" si="429"/>
        <v>10.71</v>
      </c>
      <c r="BH208" s="67">
        <f t="shared" si="429"/>
        <v>0</v>
      </c>
      <c r="BI208" s="67">
        <f t="shared" si="429"/>
        <v>0</v>
      </c>
      <c r="BJ208" s="67">
        <f t="shared" si="429"/>
        <v>0</v>
      </c>
      <c r="BK208" s="67">
        <f t="shared" si="429"/>
        <v>0</v>
      </c>
      <c r="BL208" s="67">
        <f t="shared" si="429"/>
        <v>0</v>
      </c>
      <c r="BM208" s="69">
        <f t="shared" si="429"/>
        <v>0</v>
      </c>
      <c r="BN208" s="70">
        <f t="shared" si="429"/>
        <v>0</v>
      </c>
      <c r="BO208" s="70">
        <f t="shared" si="429"/>
        <v>0</v>
      </c>
      <c r="BP208" s="70">
        <f t="shared" si="429"/>
        <v>0</v>
      </c>
      <c r="BQ208" s="71">
        <f t="shared" si="429"/>
        <v>0</v>
      </c>
      <c r="BR208" s="68">
        <f t="shared" si="429"/>
        <v>0</v>
      </c>
      <c r="BS208" s="490">
        <f>IF($B208="LOSS",IF(AND($K208=BS$3,$C208="L"),-$O208,0)+IF(AND($K209=BS$3,$C209="L"),-$O209,0)+IF(AND($K210=BS$3,$C210="L"),-$O210,0),IF(OR(AND($K208=BS$3,OR($C208="W",$C208="1/2W")),AND($K209=BS$3,OR($C209="W",$C209="1/2W")),AND($K210=BS$3,OR($C210="W",$C210="1/2W"))),$S208,0))</f>
        <v>2.12</v>
      </c>
      <c r="BT208" s="498">
        <f>IF($B208="LOSS",IF(AND($K208=BT$3,$C208="L"),-$O208,0)+IF(AND($K209=BT$3,$C209="L"),-$O209,0)+IF(AND($K209=BT$3,$C210="L"),-$O210,0),IF(OR(AND($K209=BT$3,OR($C208="W",$C208="1/2W")),AND($K209=BT$3,OR($C209="W",$C209="1/2W")),AND($K209=BT$3,OR($C210="W",$C210="1/2W"))),$S208,0))</f>
        <v>0</v>
      </c>
      <c r="BU208" s="488">
        <f>IF($B208="LOSS",IF(AND($K208=BU$3,$C208="L"),-$O208,0)+IF(AND($K209=BU$3,$C209="L"),-$O209,0)+IF(AND($K209=BU$3,$C210="L"),-$O210,0),IF(OR(AND($K209=BU$3,OR($C208="W",$C208="1/2W")),AND($K209=BU$3,OR($C209="W",$C209="1/2W")),AND($K209=BU$3,OR($C210="W",$C210="1/2W"))),$S208,0))</f>
        <v>0</v>
      </c>
      <c r="BV208" s="488">
        <f t="shared" ref="BV208:CE208" si="435">IF($B208="LOSS",IF(AND($K208=BV$3,$C208="L"),-$O208,0)+IF(AND($K209=BV$3,$C209="L"),-$O209,0)+IF(AND($K210=BV$3,$C210="L"),-$O210,0),IF(OR(AND($K208=BV$3,OR($C208="W",$C208="1/2W")),AND($K209=BV$3,OR($C209="W",$C209="1/2W")),AND($K210=BV$3,OR($C210="W",$C210="1/2W"))),$S208,0))</f>
        <v>0</v>
      </c>
      <c r="BW208" s="488">
        <f t="shared" si="435"/>
        <v>0</v>
      </c>
      <c r="BX208" s="488">
        <f t="shared" si="435"/>
        <v>0</v>
      </c>
      <c r="BY208" s="488">
        <f t="shared" si="435"/>
        <v>0</v>
      </c>
      <c r="BZ208" s="488">
        <f t="shared" si="435"/>
        <v>0</v>
      </c>
      <c r="CA208" s="488">
        <f t="shared" si="435"/>
        <v>0</v>
      </c>
      <c r="CB208" s="488">
        <f t="shared" si="435"/>
        <v>0</v>
      </c>
      <c r="CC208" s="488">
        <f t="shared" si="435"/>
        <v>0</v>
      </c>
      <c r="CD208" s="500">
        <f t="shared" si="435"/>
        <v>0</v>
      </c>
      <c r="CE208" s="504">
        <f t="shared" si="435"/>
        <v>0</v>
      </c>
      <c r="CF208" s="160">
        <f t="shared" si="388"/>
        <v>0</v>
      </c>
      <c r="CG208" s="161">
        <f t="shared" si="389"/>
        <v>0</v>
      </c>
      <c r="CH208" s="161">
        <f t="shared" si="390"/>
        <v>0</v>
      </c>
      <c r="CI208" s="161">
        <f t="shared" si="391"/>
        <v>1</v>
      </c>
      <c r="CJ208" s="161">
        <f t="shared" si="392"/>
        <v>0</v>
      </c>
      <c r="CK208" s="161">
        <f t="shared" si="393"/>
        <v>0</v>
      </c>
      <c r="CL208" s="161">
        <f t="shared" si="394"/>
        <v>0</v>
      </c>
      <c r="CM208" s="161">
        <f t="shared" si="395"/>
        <v>0</v>
      </c>
      <c r="CN208" s="161">
        <f t="shared" si="396"/>
        <v>0</v>
      </c>
      <c r="CO208" s="161">
        <f t="shared" si="397"/>
        <v>0</v>
      </c>
      <c r="CP208" s="161">
        <f t="shared" si="398"/>
        <v>0</v>
      </c>
      <c r="CQ208" s="161">
        <f t="shared" si="399"/>
        <v>0</v>
      </c>
      <c r="CR208" s="161">
        <f t="shared" si="400"/>
        <v>0</v>
      </c>
      <c r="CS208" s="161">
        <f t="shared" si="401"/>
        <v>0</v>
      </c>
      <c r="CT208" s="75">
        <f t="shared" si="402"/>
        <v>0</v>
      </c>
      <c r="CU208" s="76">
        <f t="shared" si="403"/>
        <v>0</v>
      </c>
      <c r="CV208" s="76">
        <f t="shared" si="404"/>
        <v>0</v>
      </c>
      <c r="CW208" s="76">
        <f t="shared" si="405"/>
        <v>0</v>
      </c>
      <c r="CX208" s="76">
        <f t="shared" si="406"/>
        <v>0</v>
      </c>
      <c r="CY208" s="76">
        <f t="shared" si="407"/>
        <v>0</v>
      </c>
      <c r="CZ208" s="76">
        <f t="shared" si="408"/>
        <v>0</v>
      </c>
      <c r="DA208" s="76">
        <f t="shared" si="409"/>
        <v>0</v>
      </c>
      <c r="DB208" s="76">
        <f t="shared" si="410"/>
        <v>0</v>
      </c>
      <c r="DC208" s="76">
        <f t="shared" si="411"/>
        <v>0</v>
      </c>
      <c r="DD208" s="76">
        <f t="shared" si="412"/>
        <v>0</v>
      </c>
      <c r="DE208" s="77">
        <f t="shared" si="413"/>
        <v>0</v>
      </c>
      <c r="DF208" s="73">
        <f t="shared" si="415"/>
        <v>13</v>
      </c>
      <c r="DG208" s="67">
        <f t="shared" si="416"/>
        <v>16.91</v>
      </c>
      <c r="DH208" s="76">
        <f t="shared" si="417"/>
        <v>6</v>
      </c>
      <c r="DI208" s="67">
        <f t="shared" si="418"/>
        <v>25.63</v>
      </c>
      <c r="DJ208" s="202" t="str">
        <f>IF($D208="","",$D208)</f>
        <v>6</v>
      </c>
      <c r="DK208" s="492">
        <f>IF(AND($B208=" ",$D208&lt;&gt;""),1,0)</f>
        <v>0</v>
      </c>
    </row>
    <row r="209" spans="1:115" ht="14.5" customHeight="1" x14ac:dyDescent="0.2">
      <c r="A209" s="389"/>
      <c r="B209" s="456"/>
      <c r="C209" s="53" t="s">
        <v>54</v>
      </c>
      <c r="D209" s="374"/>
      <c r="E209" s="386"/>
      <c r="F209" s="377"/>
      <c r="G209" s="508"/>
      <c r="H209" s="476"/>
      <c r="I209" s="182" t="s">
        <v>52</v>
      </c>
      <c r="J209" s="56">
        <f>IF(OR(I208="TO",I208="TU",I208="TO1",I208="TU1",I208="TO2",I208="TU2"),J208,IF(OR(I208="AH1",I208="AH2"),IF(OR(I209="AH1",I209="AH2"),-J208,IF(OR(I209="EH1",I209="EH2"),-J208+0.5,"")),IF(OR(I208="EH1",I208="EH2"),IF(OR(I209="AH1",I209="AH2"),-J208+0.5,IF(OR(I209="EH1",I209="EH2"),-J208+1,"")),IF(AND(OR(I208="DNB1",I208="DNB2"),OR(I209="AH1",I209="AH2")),0,IF(AND(I208="Not ScoreBoth",OR(I209="TO1",I209="TO2")),0.5,"")))))</f>
        <v>12.5</v>
      </c>
      <c r="K209" s="57" t="s">
        <v>36</v>
      </c>
      <c r="L209" s="164">
        <v>1.833</v>
      </c>
      <c r="M209" s="165"/>
      <c r="N209" s="406"/>
      <c r="O209" s="60">
        <f>IF(OR(AE208="",AE209=""),"",ROUND(IF(L210&gt;0,IF(M209&gt;0,M209,IF(M208&gt;0,IF(N208=TRUE,ROUND((M208*AE209)/AE208,0),(M208*AE209)/AE208),IF(M209&gt;0,ROUND(M209,IF(N208=0,2,IF(N208=0.1,1,0))),IF(M210&gt;0,ROUND(O210*AE209/AE210,IF(N208=0,2,IF(N208=0.1,1,0))),0)))),IF(M209&gt;0,M209,ROUND((M208*AE209)/AE208,IF(N208=0,2,IF(N208=0.1,1,0))))),2))</f>
        <v>15.4</v>
      </c>
      <c r="P209" s="61">
        <f>IF(OR(L209="",O209=""),"",IF($C209="1/2W",O209/2+O209/2*L209,IF($C209="1/2L",O209/2,IF(I209="Lay",((O209*(L209/(L209-1)))-O209)*(1-_xlfn.XLOOKUP(K209,'Fevereiro 2023 - Valor Real'!A3:A15,'Fevereiro 2023 - Valor Real'!C3:C15,0))+O209,(O209*L209-O209)*(1-_xlfn.XLOOKUP(K209,'Fevereiro 2023 - Valor Real'!A3:A15,'Fevereiro 2023 - Valor Real'!C3:C15,0))+O209))))</f>
        <v>28.228200000000001</v>
      </c>
      <c r="Q209" s="166">
        <f>IF(K209="","",IF(_xlfn.XLOOKUP(K209,K$10:K200,$DJ$10:DJ200,0,,-1)=DJ209,_xlfn.XLOOKUP(K209,K$10:K200,Q$10:Q200,1,,-1)+1,1))</f>
        <v>3</v>
      </c>
      <c r="R209" s="167">
        <f>IF(K209="","",_xlfn.XLOOKUP(K209,K$10:K200,R$10:R200,0,,-1)+IF($C209=" ",1,0))</f>
        <v>0</v>
      </c>
      <c r="S209" s="403"/>
      <c r="T209" s="380"/>
      <c r="U209" s="380"/>
      <c r="V209" s="481"/>
      <c r="W209" s="380"/>
      <c r="X209" s="452"/>
      <c r="Y209" s="383"/>
      <c r="Z209" s="384"/>
      <c r="AA209" s="384"/>
      <c r="AB209" s="384"/>
      <c r="AC209" s="384"/>
      <c r="AD209" s="64"/>
      <c r="AE209" s="65">
        <f>IF(L209="","",IF(L210&gt;0,(SUM(((L208-1)*(1-_xlfn.XLOOKUP(K208,'Fevereiro 2023 - Valor Real'!A3:A15,'Fevereiro 2023 - Valor Real'!C3:C15,0))+1),((L209-1)*(1-_xlfn.XLOOKUP(K209,'Fevereiro 2023 - Valor Real'!A3:A15,'Fevereiro 2023 - Valor Real'!C3:C15,0))+1),((L210-1)*(1-_xlfn.XLOOKUP(K210,'Fevereiro 2023 - Valor Real'!A3:A15,'Fevereiro 2023 - Valor Real'!C3:C15,0))+1))/((L209-1)*(1-_xlfn.XLOOKUP(K209,'Fevereiro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Real'!C3:C15,0))+1))/((L208-1)*(1-_xlfn.XLOOKUP(K208,'Fevereiro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Real'!C3:C15,0))+1))/((L209-1)*(1-_xlfn.XLOOKUP(K209,'Fevereiro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Real'!C3:C15,0))+1))/((L210-1)*(1-_xlfn.XLOOKUP(K210,'Fevereiro 2023 - Valor Real'!A3:A15,'Fevereiro 2023 - Valor Real'!C3:C15,0))+1)),IF(I209="Lay",IF(I208="Lay",((L208/(L208-1)-1)*(1-_xlfn.XLOOKUP(K208,'Fevereiro 2023 - Valor Real'!A3:A15,'Fevereiro 2023 - Valor Real'!C3:C15,0))+1)/(((L208/(L208-1)-1)*(1-_xlfn.XLOOKUP(K208,'Fevereiro 2023 - Valor Real'!A3:A15,'Fevereiro 2023 - Valor Real'!C3:C15,0))+1)+((L209/(L209-1)-1)*(1-_xlfn.XLOOKUP(K209,'Fevereiro 2023 - Valor Real'!A3:A15,'Fevereiro 2023 - Valor Real'!C3:C15,0))+1)),((L208-1)*(1-_xlfn.XLOOKUP(K208,'Fevereiro 2023 - Valor Real'!A3:A15,'Fevereiro 2023 - Valor Real'!C3:C15,0))+1)/(((L208-1)*(1-_xlfn.XLOOKUP(K208,'Fevereiro 2023 - Valor Real'!A3:A15,'Fevereiro 2023 - Valor Real'!C3:C15,0))+1)+((L209/(L209-1)-1)*(1-_xlfn.XLOOKUP(K209,'Fevereiro 2023 - Valor Real'!A3:A15,'Fevereiro 2023 - Valor Real'!C3:C15,0))+1))),IF(I208="Lay",((L208/(L208-1)-1)*(1-_xlfn.XLOOKUP(K208,'Fevereiro 2023 - Valor Real'!A3:A15,'Fevereiro 2023 - Valor Real'!C3:C15,0))+1)/((((L208/(L208-1)-1)*(1-_xlfn.XLOOKUP(K208,'Fevereiro 2023 - Valor Real'!A3:A15,'Fevereiro 2023 - Valor Real'!C3:C15,0))+1))+((L209-1)*(1-_xlfn.XLOOKUP(K209,'Fevereiro 2023 - Valor Real'!A3:A15,'Fevereiro 2023 - Valor Real'!C3:C15,0))+1)),((L208-1)*(1-_xlfn.XLOOKUP(K208,'Fevereiro 2023 - Valor Real'!A3:A15,'Fevereiro 2023 - Valor Real'!C3:C15,0))+1)/(((L208-1)*(1-_xlfn.XLOOKUP(K208,'Fevereiro 2023 - Valor Real'!A3:A15,'Fevereiro 2023 - Valor Real'!C3:C15,0))+1)+((L209-1)*(1-_xlfn.XLOOKUP(K209,'Fevereiro 2023 - Valor Real'!A3:A15,'Fevereiro 2023 - Valor Real'!C3:C15,0))+1))))))</f>
        <v>0.58928971543804609</v>
      </c>
      <c r="AF209" s="66">
        <f t="shared" si="427"/>
        <v>12.83</v>
      </c>
      <c r="AG209" s="67">
        <f t="shared" si="427"/>
        <v>0</v>
      </c>
      <c r="AH209" s="67">
        <f t="shared" si="427"/>
        <v>0</v>
      </c>
      <c r="AI209" s="67">
        <f t="shared" si="427"/>
        <v>0</v>
      </c>
      <c r="AJ209" s="67">
        <f t="shared" si="427"/>
        <v>0</v>
      </c>
      <c r="AK209" s="67">
        <f t="shared" si="427"/>
        <v>0</v>
      </c>
      <c r="AL209" s="67">
        <f t="shared" si="427"/>
        <v>0</v>
      </c>
      <c r="AM209" s="67">
        <f t="shared" si="427"/>
        <v>0</v>
      </c>
      <c r="AN209" s="67">
        <f t="shared" si="427"/>
        <v>0</v>
      </c>
      <c r="AO209" s="67">
        <f t="shared" si="427"/>
        <v>0</v>
      </c>
      <c r="AP209" s="67">
        <f t="shared" si="427"/>
        <v>0</v>
      </c>
      <c r="AQ209" s="67">
        <f t="shared" si="427"/>
        <v>0</v>
      </c>
      <c r="AR209" s="68">
        <f t="shared" si="427"/>
        <v>0</v>
      </c>
      <c r="AS209" s="66">
        <f>IF(AND($B208=" ",$K209=AS$3),$O209,0)</f>
        <v>0</v>
      </c>
      <c r="AT209" s="67">
        <f>IF(AND($B208=" ",K209=AT$3),$O209,0)</f>
        <v>0</v>
      </c>
      <c r="AU209" s="67">
        <f t="shared" ref="AU209:BE209" si="436">IF(AND($B208=" ",$K209=AU$3),$O209,0)</f>
        <v>0</v>
      </c>
      <c r="AV209" s="67">
        <f t="shared" si="436"/>
        <v>0</v>
      </c>
      <c r="AW209" s="67">
        <f t="shared" si="436"/>
        <v>0</v>
      </c>
      <c r="AX209" s="67">
        <f t="shared" si="436"/>
        <v>0</v>
      </c>
      <c r="AY209" s="69">
        <f t="shared" si="436"/>
        <v>0</v>
      </c>
      <c r="AZ209" s="70">
        <f t="shared" si="436"/>
        <v>0</v>
      </c>
      <c r="BA209" s="70">
        <f t="shared" si="436"/>
        <v>0</v>
      </c>
      <c r="BB209" s="70">
        <f t="shared" si="436"/>
        <v>0</v>
      </c>
      <c r="BC209" s="71">
        <f t="shared" si="436"/>
        <v>0</v>
      </c>
      <c r="BD209" s="67">
        <f t="shared" si="436"/>
        <v>0</v>
      </c>
      <c r="BE209" s="68">
        <f t="shared" si="436"/>
        <v>0</v>
      </c>
      <c r="BF209" s="66">
        <f t="shared" si="429"/>
        <v>15.4</v>
      </c>
      <c r="BG209" s="168">
        <f t="shared" si="429"/>
        <v>0</v>
      </c>
      <c r="BH209" s="67">
        <f t="shared" si="429"/>
        <v>0</v>
      </c>
      <c r="BI209" s="67">
        <f t="shared" si="429"/>
        <v>0</v>
      </c>
      <c r="BJ209" s="67">
        <f t="shared" si="429"/>
        <v>0</v>
      </c>
      <c r="BK209" s="67">
        <f t="shared" si="429"/>
        <v>0</v>
      </c>
      <c r="BL209" s="67">
        <f t="shared" si="429"/>
        <v>0</v>
      </c>
      <c r="BM209" s="69">
        <f t="shared" si="429"/>
        <v>0</v>
      </c>
      <c r="BN209" s="70">
        <f t="shared" si="429"/>
        <v>0</v>
      </c>
      <c r="BO209" s="70">
        <f t="shared" si="429"/>
        <v>0</v>
      </c>
      <c r="BP209" s="70">
        <f t="shared" si="429"/>
        <v>0</v>
      </c>
      <c r="BQ209" s="71">
        <f t="shared" si="429"/>
        <v>0</v>
      </c>
      <c r="BR209" s="68">
        <f t="shared" si="429"/>
        <v>0</v>
      </c>
      <c r="BS209" s="491"/>
      <c r="BT209" s="489"/>
      <c r="BU209" s="392"/>
      <c r="BV209" s="489"/>
      <c r="BW209" s="392"/>
      <c r="BX209" s="392"/>
      <c r="BY209" s="392"/>
      <c r="BZ209" s="489"/>
      <c r="CA209" s="392"/>
      <c r="CB209" s="392"/>
      <c r="CC209" s="392"/>
      <c r="CD209" s="401"/>
      <c r="CE209" s="409"/>
      <c r="CF209" s="169">
        <f t="shared" si="388"/>
        <v>1</v>
      </c>
      <c r="CG209" s="170">
        <f t="shared" si="389"/>
        <v>0</v>
      </c>
      <c r="CH209" s="170">
        <f t="shared" si="390"/>
        <v>0</v>
      </c>
      <c r="CI209" s="170">
        <f t="shared" si="391"/>
        <v>0</v>
      </c>
      <c r="CJ209" s="170">
        <f t="shared" si="392"/>
        <v>0</v>
      </c>
      <c r="CK209" s="170">
        <f t="shared" si="393"/>
        <v>0</v>
      </c>
      <c r="CL209" s="170">
        <f t="shared" si="394"/>
        <v>0</v>
      </c>
      <c r="CM209" s="170">
        <f t="shared" si="395"/>
        <v>0</v>
      </c>
      <c r="CN209" s="170">
        <f t="shared" si="396"/>
        <v>0</v>
      </c>
      <c r="CO209" s="170">
        <f t="shared" si="397"/>
        <v>0</v>
      </c>
      <c r="CP209" s="170">
        <f t="shared" si="398"/>
        <v>0</v>
      </c>
      <c r="CQ209" s="170">
        <f t="shared" si="399"/>
        <v>0</v>
      </c>
      <c r="CR209" s="170">
        <f t="shared" si="400"/>
        <v>0</v>
      </c>
      <c r="CS209" s="170">
        <f t="shared" si="401"/>
        <v>0</v>
      </c>
      <c r="CT209" s="75">
        <f t="shared" si="402"/>
        <v>0</v>
      </c>
      <c r="CU209" s="76">
        <f t="shared" si="403"/>
        <v>0</v>
      </c>
      <c r="CV209" s="76">
        <f t="shared" si="404"/>
        <v>0</v>
      </c>
      <c r="CW209" s="76">
        <f t="shared" si="405"/>
        <v>0</v>
      </c>
      <c r="CX209" s="76">
        <f t="shared" si="406"/>
        <v>0</v>
      </c>
      <c r="CY209" s="76">
        <f t="shared" si="407"/>
        <v>0</v>
      </c>
      <c r="CZ209" s="76">
        <f t="shared" si="408"/>
        <v>0</v>
      </c>
      <c r="DA209" s="76">
        <f t="shared" si="409"/>
        <v>0</v>
      </c>
      <c r="DB209" s="76">
        <f t="shared" si="410"/>
        <v>0</v>
      </c>
      <c r="DC209" s="76">
        <f t="shared" si="411"/>
        <v>0</v>
      </c>
      <c r="DD209" s="76">
        <f t="shared" si="412"/>
        <v>0</v>
      </c>
      <c r="DE209" s="77">
        <f t="shared" si="413"/>
        <v>0</v>
      </c>
      <c r="DF209" s="73">
        <f t="shared" si="415"/>
        <v>13</v>
      </c>
      <c r="DG209" s="67">
        <f t="shared" si="416"/>
        <v>16.91</v>
      </c>
      <c r="DH209" s="76">
        <f t="shared" si="417"/>
        <v>6</v>
      </c>
      <c r="DI209" s="67">
        <f t="shared" si="418"/>
        <v>25.63</v>
      </c>
      <c r="DJ209" s="202" t="str">
        <f>IF($D208="","",$D208)</f>
        <v>6</v>
      </c>
      <c r="DK209" s="493"/>
    </row>
    <row r="210" spans="1:115" ht="14.5" customHeight="1" x14ac:dyDescent="0.2">
      <c r="A210" s="390"/>
      <c r="B210" s="457"/>
      <c r="C210" s="79" t="s">
        <v>53</v>
      </c>
      <c r="D210" s="375"/>
      <c r="E210" s="387"/>
      <c r="F210" s="378"/>
      <c r="G210" s="508"/>
      <c r="H210" s="477"/>
      <c r="I210" s="171"/>
      <c r="J210" s="172"/>
      <c r="K210" s="81"/>
      <c r="L210" s="173"/>
      <c r="M210" s="174"/>
      <c r="N210" s="407"/>
      <c r="O210" s="86" t="str">
        <f>IF(OR(AE208="",AE209=""),"",IF(L210&gt;0,ROUND(IF(M210&gt;0,M210,IF(M208&gt;0,ROUND((M208*AE210)/AE208,IF(N208=0,2,IF(N208=0.1,1,0))),IF(M209&gt;0,ROUND((M209*AE210)/AE209,IF(N208=0,2,IF(N208=0.1,1,0))),IF(M210&gt;0,M210,0)))),2),""))</f>
        <v/>
      </c>
      <c r="P210" s="87" t="str">
        <f>IF(I209="Lay",O209*(L209/(L209-1))-O209,IF(I208="Lay",O208*(L208/(L208-1))-O208,IF(OR(L210="",O210=""),"",IF($C210="1/2W",O210/2+O210/2*L210,IF($C210="1/2L",O210/2,(O210*L210-O210)*(1-_xlfn.XLOOKUP(K210,'Fevereiro 2023 - Valor Real'!A3:A15,'Fevereiro 2023 - Valor Real'!C3:C15,0))+O210)))))</f>
        <v/>
      </c>
      <c r="Q210" s="54" t="str">
        <f>IF(K210="","",IF(_xlfn.XLOOKUP(K210,K$11:K200,$DJ$11:DJ200,0,,-1)=DJ210,_xlfn.XLOOKUP(K210,K$11:K200,Q$11:Q200,1,,-1)+1,1))</f>
        <v/>
      </c>
      <c r="R210" s="87" t="str">
        <f>IF(K210="","",_xlfn.XLOOKUP(K210,K$11:K200,R$11:R200,0,,-1)+IF($C210=" ",1,0))</f>
        <v/>
      </c>
      <c r="S210" s="404"/>
      <c r="T210" s="378"/>
      <c r="U210" s="378"/>
      <c r="V210" s="404"/>
      <c r="W210" s="378"/>
      <c r="X210" s="453"/>
      <c r="Y210" s="383"/>
      <c r="Z210" s="384"/>
      <c r="AA210" s="384"/>
      <c r="AB210" s="384"/>
      <c r="AC210" s="384"/>
      <c r="AD210" s="90"/>
      <c r="AE210" s="91" t="str">
        <f>IF(L210="","",(SUM(((L208-1)*(1-_xlfn.XLOOKUP(K208,'Fevereiro 2023 - Valor Real'!A3:A15,'Fevereiro 2023 - Valor Real'!C3:C15,0))+1),((L209-1)*(1-_xlfn.XLOOKUP(K209,'Fevereiro 2023 - Valor Real'!A3:A15,'Fevereiro 2023 - Valor Real'!C3:C15,0))+1),((L210-1)*(1-_xlfn.XLOOKUP(K210,'Fevereiro 2023 - Valor Real'!A3:A15,'Fevereiro 2023 - Valor Real'!C3:C15,0))+1))/((L210-1)*(1-_xlfn.XLOOKUP(K210,'Fevereiro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Real'!C3:C15,0))+1))/((L208-1)*(1-_xlfn.XLOOKUP(K208,'Fevereiro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Real'!C3:C15,0))+1))/((L209-1)*(1-_xlfn.XLOOKUP(K209,'Fevereiro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Real'!C3:C15,0))+1))/((L210-1)*(1-_xlfn.XLOOKUP(K210,'Fevereiro 2023 - Valor Real'!A3:A15,'Fevereiro 2023 - Valor Real'!C3:C15,0))+1)))</f>
        <v/>
      </c>
      <c r="AF210" s="66">
        <f t="shared" si="427"/>
        <v>0</v>
      </c>
      <c r="AG210" s="67">
        <f t="shared" si="427"/>
        <v>0</v>
      </c>
      <c r="AH210" s="67">
        <f t="shared" si="427"/>
        <v>0</v>
      </c>
      <c r="AI210" s="67">
        <f t="shared" si="427"/>
        <v>0</v>
      </c>
      <c r="AJ210" s="67">
        <f t="shared" si="427"/>
        <v>0</v>
      </c>
      <c r="AK210" s="67">
        <f t="shared" si="427"/>
        <v>0</v>
      </c>
      <c r="AL210" s="67">
        <f t="shared" si="427"/>
        <v>0</v>
      </c>
      <c r="AM210" s="67">
        <f t="shared" si="427"/>
        <v>0</v>
      </c>
      <c r="AN210" s="67">
        <f t="shared" si="427"/>
        <v>0</v>
      </c>
      <c r="AO210" s="67">
        <f t="shared" si="427"/>
        <v>0</v>
      </c>
      <c r="AP210" s="67">
        <f t="shared" si="427"/>
        <v>0</v>
      </c>
      <c r="AQ210" s="67">
        <f t="shared" si="427"/>
        <v>0</v>
      </c>
      <c r="AR210" s="68">
        <f t="shared" si="427"/>
        <v>0</v>
      </c>
      <c r="AS210" s="66">
        <f>IF(AND($B208=" ",$K210=AS$3),$O210,0)</f>
        <v>0</v>
      </c>
      <c r="AT210" s="67">
        <f>IF(AND($B208=" ",K210=AT$3),$O210,0)</f>
        <v>0</v>
      </c>
      <c r="AU210" s="67">
        <f t="shared" ref="AU210:BE210" si="437">IF(AND($B208=" ",$K210=AU$3),$O210,0)</f>
        <v>0</v>
      </c>
      <c r="AV210" s="67">
        <f t="shared" si="437"/>
        <v>0</v>
      </c>
      <c r="AW210" s="67">
        <f t="shared" si="437"/>
        <v>0</v>
      </c>
      <c r="AX210" s="67">
        <f t="shared" si="437"/>
        <v>0</v>
      </c>
      <c r="AY210" s="69">
        <f t="shared" si="437"/>
        <v>0</v>
      </c>
      <c r="AZ210" s="70">
        <f t="shared" si="437"/>
        <v>0</v>
      </c>
      <c r="BA210" s="70">
        <f t="shared" si="437"/>
        <v>0</v>
      </c>
      <c r="BB210" s="70">
        <f t="shared" si="437"/>
        <v>0</v>
      </c>
      <c r="BC210" s="71">
        <f t="shared" si="437"/>
        <v>0</v>
      </c>
      <c r="BD210" s="67">
        <f t="shared" si="437"/>
        <v>0</v>
      </c>
      <c r="BE210" s="68">
        <f t="shared" si="437"/>
        <v>0</v>
      </c>
      <c r="BF210" s="66">
        <f t="shared" si="429"/>
        <v>0</v>
      </c>
      <c r="BG210" s="168">
        <f t="shared" si="429"/>
        <v>0</v>
      </c>
      <c r="BH210" s="67">
        <f t="shared" si="429"/>
        <v>0</v>
      </c>
      <c r="BI210" s="67">
        <f t="shared" si="429"/>
        <v>0</v>
      </c>
      <c r="BJ210" s="67">
        <f t="shared" si="429"/>
        <v>0</v>
      </c>
      <c r="BK210" s="67">
        <f t="shared" si="429"/>
        <v>0</v>
      </c>
      <c r="BL210" s="67">
        <f t="shared" si="429"/>
        <v>0</v>
      </c>
      <c r="BM210" s="69">
        <f t="shared" si="429"/>
        <v>0</v>
      </c>
      <c r="BN210" s="70">
        <f t="shared" si="429"/>
        <v>0</v>
      </c>
      <c r="BO210" s="70">
        <f t="shared" si="429"/>
        <v>0</v>
      </c>
      <c r="BP210" s="70">
        <f t="shared" si="429"/>
        <v>0</v>
      </c>
      <c r="BQ210" s="71">
        <f t="shared" si="429"/>
        <v>0</v>
      </c>
      <c r="BR210" s="68">
        <f t="shared" si="429"/>
        <v>0</v>
      </c>
      <c r="BS210" s="491"/>
      <c r="BT210" s="489"/>
      <c r="BU210" s="392"/>
      <c r="BV210" s="489"/>
      <c r="BW210" s="392"/>
      <c r="BX210" s="392"/>
      <c r="BY210" s="392"/>
      <c r="BZ210" s="489"/>
      <c r="CA210" s="392"/>
      <c r="CB210" s="392"/>
      <c r="CC210" s="392"/>
      <c r="CD210" s="401"/>
      <c r="CE210" s="409"/>
      <c r="CF210" s="169">
        <f t="shared" si="388"/>
        <v>0</v>
      </c>
      <c r="CG210" s="170">
        <f t="shared" si="389"/>
        <v>0</v>
      </c>
      <c r="CH210" s="170">
        <f t="shared" si="390"/>
        <v>0</v>
      </c>
      <c r="CI210" s="170">
        <f t="shared" si="391"/>
        <v>0</v>
      </c>
      <c r="CJ210" s="170">
        <f t="shared" si="392"/>
        <v>0</v>
      </c>
      <c r="CK210" s="170">
        <f t="shared" si="393"/>
        <v>0</v>
      </c>
      <c r="CL210" s="170">
        <f t="shared" si="394"/>
        <v>0</v>
      </c>
      <c r="CM210" s="170">
        <f t="shared" si="395"/>
        <v>0</v>
      </c>
      <c r="CN210" s="170">
        <f t="shared" si="396"/>
        <v>0</v>
      </c>
      <c r="CO210" s="170">
        <f t="shared" si="397"/>
        <v>0</v>
      </c>
      <c r="CP210" s="170">
        <f t="shared" si="398"/>
        <v>0</v>
      </c>
      <c r="CQ210" s="170">
        <f t="shared" si="399"/>
        <v>0</v>
      </c>
      <c r="CR210" s="170">
        <f t="shared" si="400"/>
        <v>0</v>
      </c>
      <c r="CS210" s="170">
        <f t="shared" si="401"/>
        <v>0</v>
      </c>
      <c r="CT210" s="75">
        <f t="shared" si="402"/>
        <v>0</v>
      </c>
      <c r="CU210" s="76">
        <f t="shared" si="403"/>
        <v>0</v>
      </c>
      <c r="CV210" s="76">
        <f t="shared" si="404"/>
        <v>0</v>
      </c>
      <c r="CW210" s="76">
        <f t="shared" si="405"/>
        <v>0</v>
      </c>
      <c r="CX210" s="76">
        <f t="shared" si="406"/>
        <v>0</v>
      </c>
      <c r="CY210" s="76">
        <f t="shared" si="407"/>
        <v>0</v>
      </c>
      <c r="CZ210" s="76">
        <f t="shared" si="408"/>
        <v>0</v>
      </c>
      <c r="DA210" s="76">
        <f t="shared" si="409"/>
        <v>0</v>
      </c>
      <c r="DB210" s="76">
        <f t="shared" si="410"/>
        <v>0</v>
      </c>
      <c r="DC210" s="76">
        <f t="shared" si="411"/>
        <v>0</v>
      </c>
      <c r="DD210" s="76">
        <f t="shared" si="412"/>
        <v>0</v>
      </c>
      <c r="DE210" s="77">
        <f t="shared" si="413"/>
        <v>0</v>
      </c>
      <c r="DF210" s="73">
        <f t="shared" si="415"/>
        <v>13</v>
      </c>
      <c r="DG210" s="67">
        <f t="shared" si="416"/>
        <v>16.91</v>
      </c>
      <c r="DH210" s="76">
        <f t="shared" si="417"/>
        <v>6</v>
      </c>
      <c r="DI210" s="67">
        <f t="shared" si="418"/>
        <v>25.63</v>
      </c>
      <c r="DJ210" s="202" t="str">
        <f>IF($D208="","",$D208)</f>
        <v>6</v>
      </c>
      <c r="DK210" s="493"/>
    </row>
    <row r="211" spans="1:115" ht="14.5" customHeight="1" x14ac:dyDescent="0.2">
      <c r="A211" s="459">
        <f>$A208+1</f>
        <v>70</v>
      </c>
      <c r="B211" s="507" t="str">
        <f>IF(OR(C211="W",C212="W",C213="W",C211="1/2W",C212="1/2W",C213="1/2W",C211="1/2L",C212="1/2L",C213="1/2L"),"OK",IF(OR(C211="L",C212="L",C213="L"),"LOSS",IF(OR(C211="X",C212="X",C213="X"),"Anulado"," ")))</f>
        <v>OK</v>
      </c>
      <c r="C211" s="93" t="s">
        <v>54</v>
      </c>
      <c r="D211" s="468" t="str">
        <f>IF(G211="","",$D208)</f>
        <v>6</v>
      </c>
      <c r="E211" s="485" t="str">
        <f>IF(G211=""," ","– "&amp;COUNTIF(D$4:D213,$D211))</f>
        <v>– 13</v>
      </c>
      <c r="F211" s="509" t="str">
        <f ca="1">IF(G211="","",IF(OR(AND($C211&lt;&gt;" ",$C212=" "),AND($C212&lt;&gt;" ",$C211=" "),AND(L213&gt;0,OR(AND($C213&lt;&gt;" ",OR($C211=" ",$C212=" ")),AND($C213=" ",OR($C211&lt;&gt;" ",$C212&lt;&gt;" "))))),IF(SUM(F$4:F210)=0,1,LARGE(F$4:F210,1)+1),IF(MONTH(G211)=MONTH(TODAY()),IF(AND(DAY(G211)&lt;DAY(TODAY()),$B211=" "),IF(SUM(F$4:F210)=0,1,LARGE(F$4:F210,1)+1),IF($B211=" ",IF(AND(DAY(G211)=DAY(TODAY()),HOUR(G211)&lt;=HOUR(NOW())+1),IF(AND(HOUR(G211)+2&lt;=HOUR(NOW()),DAY(G211)&lt;=DAY(TODAY()),MINUTE(G211)&lt;=MINUTE(NOW())),IF(SUM(F$4:F210)=0,1,LARGE(F$4:F210,1)+1),IF(OR(MINUTE(G211)&lt;=MINUTE(NOW()),HOUR(G211)&lt;=HOUR(NOW())),"!!!","")),""),"")),"")))</f>
        <v/>
      </c>
      <c r="G211" s="482">
        <v>44993.583333333336</v>
      </c>
      <c r="H211" s="475" t="s">
        <v>120</v>
      </c>
      <c r="I211" s="175">
        <v>2</v>
      </c>
      <c r="J211" s="176"/>
      <c r="K211" s="96" t="s">
        <v>40</v>
      </c>
      <c r="L211" s="97">
        <v>1.1399999999999999</v>
      </c>
      <c r="M211" s="98"/>
      <c r="N211" s="478">
        <v>1</v>
      </c>
      <c r="O211" s="99">
        <f>IF(OR(AE211="",AE212=""),"",ROUND(IF(L213&gt;0,IF(M211&gt;0,M211,IF(M212&gt;0,ROUND((M212*AE211)/AE212,IF(N211=0,2,IF(N211=0.1,1,0))),ROUND((M213*AE211)/AE213,IF(N211=0,2,IF(N211=0.1,1,0))))),IF(M211&gt;0,M211,ROUND((M212*AE211)/AE212,IF(N211=0,2,IF(N211=0.1,1,0))))),2))</f>
        <v>33</v>
      </c>
      <c r="P211" s="100">
        <f>IF(OR(L211="",O211=""),"",IF($C211="1/2W",O211/2+O211/2*L211,IF($C211="1/2L",O211/2,IF(I211="Lay",(O211*(L211/(L211-1))-O211)*(1-_xlfn.XLOOKUP(K211,'Fevereiro 2023 - Valor Real'!A3:A15,'Fevereiro 2023 - Valor Real'!C3:C15,0))+O211,(O211*L211-O211)*(1-_xlfn.XLOOKUP(K211,'Fevereiro 2023 - Valor Real'!A3:A15,'Fevereiro 2023 - Valor Real'!C3:C15,0))+O211))))</f>
        <v>37.619999999999997</v>
      </c>
      <c r="Q211" s="101">
        <f>IF(K211="","",IF(_xlfn.XLOOKUP(K211,K$4:K210,$DJ$4:DJ210,0,,-1)=DJ211,_xlfn.XLOOKUP(K211,K$4:K210,Q$4:Q210,1,,-1)+1,1))</f>
        <v>7</v>
      </c>
      <c r="R211" s="102">
        <f>IF(K211="","",_xlfn.XLOOKUP(K211,K$4:K210,R$4:R210,0,,-1)+IF($C211=" ",1,0))</f>
        <v>0</v>
      </c>
      <c r="S211" s="474">
        <f>IF($B211="Anulado",0,ROUND(IF(OR($B211="LOSS",$B211="OK"),IF(OR($C211="W",$C211="1/2W",$C211="1/2L"),P211-O211,IF($C211="L",-O211,0))+IF(OR($C212="W",$C212="1/2W",$C212="1/2L"),P212-O212,IF($C212="L",-O212,0))+IF(OR($C213="W",$C213="1/2W",$C213="1/2L"),P213-O213,IF($C213="L",-O213,0)),IF(AND(OR($C211="W",$C211="1/2W",$C211="1/2L"),C212="W"),P211+P212-SUM(O211:O213)+_xlfn.XLOOKUP("X",C211:C213,O211:O213,0),IF(AND(C211=TRUE,C213="W"),P211+P213-SUM(O211:O213),IF(AND(C212="W",C213="W"),P212+P213-SUM(O211:O213)+_xlfn.XLOOKUP("X",C211:C213,O211:O213,0),IF(L213&gt;0,IF(OR($C211="W",$C211="1/2W",$C211="1/2L"),P211-SUM(O211:O213)+_xlfn.XLOOKUP("X",C211:C213,O211:O213,0),IF(OR($C211="W",$C211="1/2W",$C211="1/2L"),P212-SUM(O211:O213)+_xlfn.XLOOKUP("X",C211:C213,O211:O213,0),IF(OR($C211="W",$C211="1/2W",$C211="1/2L"),P213-SUM(O211:O213)+_xlfn.XLOOKUP("X",C211:C213,O211:O213,0),IF(SUM(P211:P213)/3-SUM(O211:O213)+_xlfn.XLOOKUP("X",C211:C213,O211:O213,0)&gt;0,SUM(P211:P213)/3-SUM(O211:O213)+_xlfn.XLOOKUP("X",C211:C213,O211:O213,0),LARGE(P211:P213,1)-SUM(O211:O213))))),IF(OR($C211="W",$C211="1/2W",$C211="1/2L"),P211-SUM(O211:O212)+_xlfn.XLOOKUP("X",C211:C213,O211:O213,0),IF(OR($C211="W",$C211="1/2W",$C211="1/2L"),P212-SUM(O211:O212)+_xlfn.XLOOKUP("X",C211:C213,O211:O213,0),SUM(P211:P212)/2-SUM(O211:O212)+_xlfn.XLOOKUP("X",C211:C213,O211:O213,0)))))))),2))</f>
        <v>2.4300000000000002</v>
      </c>
      <c r="T211" s="458">
        <f>IF(S211=0,0,S211/SUM(O211:O213))</f>
        <v>6.9053708439897707E-2</v>
      </c>
      <c r="U211" s="470">
        <f>IF($D211=$D208,IF(OR($B211="LOSS",$B211="OK",$B211="Anulada"),S211,0)+U208,IF(OR($B211="LOSS",$B211="OK",$B211="Anulada"),S211,0))</f>
        <v>36.229999999999997</v>
      </c>
      <c r="V211" s="470">
        <f>IF($D211="",0,IF($D211=$D208,IF($B211=" ",IF(I213="",IF(OR(AND(I211="DNB1",I212="DNB2"),AND(OR(I211="DNB1",I211="DNB2"),J212=0),AND(OR(I212="DNB1",I212="DNB2"),J211=0),AND(I211="DNB2",I212="DNB1"),AND(IF(J211=0,(J211+1)/ROUND(J211+1,0),J211/ROUND(J211,0))=1,IF(J212=0,(J212+1)/ROUND(IF(J212="",0,J212)+1,0),IF(J212="",0,J212)/ROUND(IF(J212="",1,J212),0))=1,OR(J211&lt;&gt;""),J212&lt;&gt;"")),0,IF(S211&lt;0,IF(I213="",SMALL(P211:P212,1)-SUM(O211:O212),0),SMALL(P211:P212,1)-SUM(O211:O212))),IF(S211&lt;0,IF(I213="",SMALL(P211:P213,1)-SUM(O211:O213),0),LARGE(P211:P213,1)-SUM(O211:O213))),S211)+V208,IF(I213="",IF(OR(AND(I211="DNB1",I212="DNB2"),AND(OR(I211="DNB1",I211="DNB2"),J212=0),AND(OR(I212="DNB1",I212="DNB2"),J211=0),AND(I211="DNB2",I212="DNB1"),AND(IF(J211=0,(J211+1)/ROUND(J211+1,0),J211/ROUND(J211,0))=1,IF(J212=0,(IF(J212="",0,J212)+1)/ROUND(IF(J212="",0,J212)+1,0),IF(J212="",0,J212)/ROUND(IF(J212="",0,J212)+1,0))=1,OR(J211&lt;&gt;""),J212&lt;&gt;"")),0,IF(S211&lt;0,IF(I213="",SMALL(P211:P212,1)-SUM(O211:O212),0),SMALL(P211:P213,1)-SUM(O211:O213))),IF(S211&lt;0,IF(I213="",SMALL(P211:P213,1)-SUM(O211:O213),0),LARGE(P211:P213,1)-SUM(O211:O213)))))</f>
        <v>36.221999999999987</v>
      </c>
      <c r="W211" s="470">
        <f>IF($D211=$D208,IF(S211&lt;0,IF(I213="",S211,0),S211)+W208,S211)</f>
        <v>36.229999999999997</v>
      </c>
      <c r="X211" s="480" t="str">
        <f>IF(OR(SUM(R211:R213)=0,V211=W211),ROUND(IF(W211=0,0,W211/Y211)*100,2)&amp;"%",ROUND(IF(V211=0,0,V211/Y211)*100,2)&amp;"% a "&amp;ROUND(IF(W211=0,0,W211/Y211)*100,2)&amp;"%")</f>
        <v>5,78%</v>
      </c>
      <c r="Y211" s="471">
        <f>IF($D211=$D208,Y208+SUM(O211:O213),SUM(O211:O213))</f>
        <v>626.52</v>
      </c>
      <c r="Z211" s="470">
        <f>IF($B211=" ",SUM(O211:O213),0)+Z208</f>
        <v>0</v>
      </c>
      <c r="AA211" s="470">
        <f>IF(G211="","",IF($B211="Anulado",LARGE(P211:P213,1)-SUM(O211:O213)+AA208,AA208))</f>
        <v>1.4607999999999972</v>
      </c>
      <c r="AB211" s="470">
        <f>IF($D211="","",AB208+S211)</f>
        <v>176.07999999999998</v>
      </c>
      <c r="AC211" s="472">
        <f ca="1">IF($D211="","",IF($B211=" ",IF(DAY(G211)=DAY(TODAY()),1+AC208,0+AC208),0+AC208))</f>
        <v>0</v>
      </c>
      <c r="AD211" s="103">
        <f>(((L212/(L212-1)-1)*(1-_xlfn.XLOOKUP(K212,'Fevereiro 2023 - Valor Real'!A3:A15,'Fevereiro 2023 - Valor Real'!C3:C15,0))+1))/(((L211-1)*(1-_xlfn.XLOOKUP(K211,'Fevereiro 2023 - Valor Real'!A3:A15,'Fevereiro 2023 - Valor Real'!C3:C15,0))+1)+((L212/(L212-1)-1)*(1-_xlfn.XLOOKUP(K212,'Fevereiro 2023 - Valor Real'!A3:A15,'Fevereiro 2023 - Valor Real'!C3:C15,0))+1))</f>
        <v>0.48240635641316693</v>
      </c>
      <c r="AE211" s="104">
        <f>IF(L211="","",IF(L213&gt;0,(SUM(((L211-1)*(1-_xlfn.XLOOKUP(K211,'Fevereiro 2023 - Valor Real'!A3:A15,'Fevereiro 2023 - Valor Real'!C3:C15,0))+1),((L212-1)*(1-_xlfn.XLOOKUP(K212,'Fevereiro 2023 - Valor Real'!A3:A15,'Fevereiro 2023 - Valor Real'!C3:C15,0))+1),((L213-1)*(1-_xlfn.XLOOKUP(K213,'Fevereiro 2023 - Valor Real'!A3:A15,'Fevereiro 2023 - Valor Real'!C3:C15,0))+1))/((L211-1)*(1-_xlfn.XLOOKUP(K211,'Fevereiro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Real'!C3:C15,0))+1))/((L211-1)*(1-_xlfn.XLOOKUP(K211,'Fevereiro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Real'!C3:C15,0))+1))/((L212-1)*(1-_xlfn.XLOOKUP(K212,'Fevereiro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Real'!C3:C15,0))+1))/((L213-1)*(1-_xlfn.XLOOKUP(K213,'Fevereiro 2023 - Valor Real'!A3:A15,'Fevereiro 2023 - Valor Real'!C3:C15,0))+1)),IF(I211="Lay",IF(I212="Lay",((L212/(L212-1)-1)*(1-_xlfn.XLOOKUP(K212,'Fevereiro 2023 - Valor Real'!A3:A15,'Fevereiro 2023 - Valor Real'!C3:C15,0))+1)/(((L212/(L212-1)-1)*(1-_xlfn.XLOOKUP(K212,'Fevereiro 2023 - Valor Real'!A3:A15,'Fevereiro 2023 - Valor Real'!C3:C15,0))+1)+((L211/(L211-1)-1)*(1-_xlfn.XLOOKUP(K211,'Fevereiro 2023 - Valor Real'!A3:A15,'Fevereiro 2023 - Valor Real'!C3:C15,0))+1)),((L212-1)*(1-_xlfn.XLOOKUP(K212,'Fevereiro 2023 - Valor Real'!A3:A15,'Fevereiro 2023 - Valor Real'!C3:C15,0))+1)/(((L212-1)*(1-_xlfn.XLOOKUP(K212,'Fevereiro 2023 - Valor Real'!A3:A15,'Fevereiro 2023 - Valor Real'!C3:C15,0))+1)+((L211/(L211-1)-1)*(1-_xlfn.XLOOKUP(K211,'Fevereiro 2023 - Valor Real'!A3:A15,'Fevereiro 2023 - Valor Real'!C3:C15,0))+1))),IF(I212="Lay",(((L212/(L212-1)-1)*(1-_xlfn.XLOOKUP(K212,'Fevereiro 2023 - Valor Real'!A3:A15,'Fevereiro 2023 - Valor Real'!C3:C15,0))+1))/(((L211-1)*(1-_xlfn.XLOOKUP(K211,'Fevereiro 2023 - Valor Real'!A3:A15,'Fevereiro 2023 - Valor Real'!C3:C15,0))+1)+((L212/(L212-1)-1)*(1-_xlfn.XLOOKUP(K212,'Fevereiro 2023 - Valor Real'!A3:A15,'Fevereiro 2023 - Valor Real'!C3:C15,0))+1)),((L212-1)*(1-_xlfn.XLOOKUP(K212,'Fevereiro 2023 - Valor Real'!A3:A15,'Fevereiro 2023 - Valor Real'!C3:C15,0))+1)/(((L212-1)*(1-_xlfn.XLOOKUP(K212,'Fevereiro 2023 - Valor Real'!A3:A15,'Fevereiro 2023 - Valor Real'!C3:C15,0))+1)+((L211-1)*(1-_xlfn.XLOOKUP(K211,'Fevereiro 2023 - Valor Real'!A3:A15,'Fevereiro 2023 - Valor Real'!C3:C15,0))+1))))))</f>
        <v>0.9371554575523704</v>
      </c>
      <c r="AF211" s="105">
        <f t="shared" si="427"/>
        <v>0</v>
      </c>
      <c r="AG211" s="106">
        <f t="shared" si="427"/>
        <v>0</v>
      </c>
      <c r="AH211" s="106">
        <f t="shared" si="427"/>
        <v>0</v>
      </c>
      <c r="AI211" s="106">
        <f t="shared" si="427"/>
        <v>0</v>
      </c>
      <c r="AJ211" s="106">
        <f t="shared" si="427"/>
        <v>4.62</v>
      </c>
      <c r="AK211" s="106">
        <f t="shared" si="427"/>
        <v>0</v>
      </c>
      <c r="AL211" s="106">
        <f t="shared" si="427"/>
        <v>0</v>
      </c>
      <c r="AM211" s="106">
        <f t="shared" si="427"/>
        <v>0</v>
      </c>
      <c r="AN211" s="106">
        <f t="shared" si="427"/>
        <v>0</v>
      </c>
      <c r="AO211" s="106">
        <f t="shared" si="427"/>
        <v>0</v>
      </c>
      <c r="AP211" s="106">
        <f t="shared" si="427"/>
        <v>0</v>
      </c>
      <c r="AQ211" s="106">
        <f t="shared" si="427"/>
        <v>0</v>
      </c>
      <c r="AR211" s="107">
        <f t="shared" si="427"/>
        <v>0</v>
      </c>
      <c r="AS211" s="105">
        <f t="shared" ref="AS211:BE211" si="438">IF(AND($B211=" ",$K211=AS$3),$O211,0)</f>
        <v>0</v>
      </c>
      <c r="AT211" s="106">
        <f t="shared" si="438"/>
        <v>0</v>
      </c>
      <c r="AU211" s="106">
        <f t="shared" si="438"/>
        <v>0</v>
      </c>
      <c r="AV211" s="106">
        <f t="shared" si="438"/>
        <v>0</v>
      </c>
      <c r="AW211" s="106">
        <f t="shared" si="438"/>
        <v>0</v>
      </c>
      <c r="AX211" s="106">
        <f t="shared" si="438"/>
        <v>0</v>
      </c>
      <c r="AY211" s="108">
        <f t="shared" si="438"/>
        <v>0</v>
      </c>
      <c r="AZ211" s="109">
        <f t="shared" si="438"/>
        <v>0</v>
      </c>
      <c r="BA211" s="109">
        <f t="shared" si="438"/>
        <v>0</v>
      </c>
      <c r="BB211" s="109">
        <f t="shared" si="438"/>
        <v>0</v>
      </c>
      <c r="BC211" s="110">
        <f t="shared" si="438"/>
        <v>0</v>
      </c>
      <c r="BD211" s="106">
        <f t="shared" si="438"/>
        <v>0</v>
      </c>
      <c r="BE211" s="107">
        <f t="shared" si="438"/>
        <v>0</v>
      </c>
      <c r="BF211" s="111">
        <f t="shared" si="429"/>
        <v>0</v>
      </c>
      <c r="BG211" s="106">
        <f t="shared" si="429"/>
        <v>0</v>
      </c>
      <c r="BH211" s="106">
        <f t="shared" si="429"/>
        <v>0</v>
      </c>
      <c r="BI211" s="106">
        <f t="shared" si="429"/>
        <v>0</v>
      </c>
      <c r="BJ211" s="106">
        <f t="shared" si="429"/>
        <v>33</v>
      </c>
      <c r="BK211" s="106">
        <f t="shared" si="429"/>
        <v>0</v>
      </c>
      <c r="BL211" s="106">
        <f t="shared" si="429"/>
        <v>0</v>
      </c>
      <c r="BM211" s="108">
        <f t="shared" si="429"/>
        <v>0</v>
      </c>
      <c r="BN211" s="109">
        <f t="shared" si="429"/>
        <v>0</v>
      </c>
      <c r="BO211" s="109">
        <f t="shared" si="429"/>
        <v>0</v>
      </c>
      <c r="BP211" s="109">
        <f t="shared" si="429"/>
        <v>0</v>
      </c>
      <c r="BQ211" s="110">
        <f t="shared" si="429"/>
        <v>0</v>
      </c>
      <c r="BR211" s="107">
        <f t="shared" si="429"/>
        <v>0</v>
      </c>
      <c r="BS211" s="463">
        <f>IF($B211="LOSS",IF(AND($K211=BS$3,$C211="L"),-$O211,0)+IF(AND($K212=BS$3,$C212="L"),-$O212,0)+IF(AND($K213=BS$3,$C213="L"),-$O213,0),IF(OR(AND($K211=BS$3,OR($C211="W",$C211="1/2W")),AND($K212=BS$3,OR($C212="W",$C212="1/2W")),AND($K213=BS$3,OR($C213="W",$C213="1/2W"))),$S211,0))</f>
        <v>0</v>
      </c>
      <c r="BT211" s="462">
        <f>IF($B211="LOSS",IF(AND($K211=BT$3,$C211="L"),-$O211,0)+IF(AND($K212=BT$3,$C212="L"),-$O212,0)+IF(AND($K212=BT$3,$C213="L"),-$O213,0),IF(OR(AND($K212=BT$3,OR($C211="W",$C211="1/2W")),AND($K212=BT$3,OR($C212="W",$C212="1/2W")),AND($K212=BT$3,OR($C213="W",$C213="1/2W"))),$S211,0))</f>
        <v>0</v>
      </c>
      <c r="BU211" s="462">
        <f>IF($B211="LOSS",IF(AND($K211=BU$3,$C211="L"),-$O211,0)+IF(AND($K212=BU$3,$C212="L"),-$O212,0)+IF(AND($K212=BU$3,$C213="L"),-$O213,0),IF(OR(AND($K212=BU$3,OR($C211="W",$C211="1/2W")),AND($K212=BU$3,OR($C212="W",$C212="1/2W")),AND($K212=BU$3,OR($C213="W",$C213="1/2W"))),$S211,0))</f>
        <v>0</v>
      </c>
      <c r="BV211" s="462">
        <f t="shared" ref="BV211:CE211" si="439">IF($B211="LOSS",IF(AND($K211=BV$3,$C211="L"),-$O211,0)+IF(AND($K212=BV$3,$C212="L"),-$O212,0)+IF(AND($K213=BV$3,$C213="L"),-$O213,0),IF(OR(AND($K211=BV$3,OR($C211="W",$C211="1/2W")),AND($K212=BV$3,OR($C212="W",$C212="1/2W")),AND($K213=BV$3,OR($C213="W",$C213="1/2W"))),$S211,0))</f>
        <v>0</v>
      </c>
      <c r="BW211" s="462">
        <f t="shared" si="439"/>
        <v>2.4300000000000002</v>
      </c>
      <c r="BX211" s="462">
        <f t="shared" si="439"/>
        <v>0</v>
      </c>
      <c r="BY211" s="462">
        <f t="shared" si="439"/>
        <v>0</v>
      </c>
      <c r="BZ211" s="460">
        <f t="shared" si="439"/>
        <v>0</v>
      </c>
      <c r="CA211" s="460">
        <f t="shared" si="439"/>
        <v>0</v>
      </c>
      <c r="CB211" s="460">
        <f t="shared" si="439"/>
        <v>0</v>
      </c>
      <c r="CC211" s="460">
        <f t="shared" si="439"/>
        <v>0</v>
      </c>
      <c r="CD211" s="473">
        <f t="shared" si="439"/>
        <v>0</v>
      </c>
      <c r="CE211" s="479">
        <f t="shared" si="439"/>
        <v>0</v>
      </c>
      <c r="CF211" s="113">
        <f t="shared" si="388"/>
        <v>0</v>
      </c>
      <c r="CG211" s="114">
        <f t="shared" si="389"/>
        <v>0</v>
      </c>
      <c r="CH211" s="114">
        <f t="shared" si="390"/>
        <v>0</v>
      </c>
      <c r="CI211" s="114">
        <f t="shared" si="391"/>
        <v>0</v>
      </c>
      <c r="CJ211" s="114">
        <f t="shared" si="392"/>
        <v>0</v>
      </c>
      <c r="CK211" s="114">
        <f t="shared" si="393"/>
        <v>0</v>
      </c>
      <c r="CL211" s="114">
        <f t="shared" si="394"/>
        <v>0</v>
      </c>
      <c r="CM211" s="114">
        <f t="shared" si="395"/>
        <v>0</v>
      </c>
      <c r="CN211" s="114">
        <f t="shared" si="396"/>
        <v>1</v>
      </c>
      <c r="CO211" s="114">
        <f t="shared" si="397"/>
        <v>0</v>
      </c>
      <c r="CP211" s="114">
        <f t="shared" si="398"/>
        <v>0</v>
      </c>
      <c r="CQ211" s="114">
        <f t="shared" si="399"/>
        <v>0</v>
      </c>
      <c r="CR211" s="114">
        <f t="shared" si="400"/>
        <v>0</v>
      </c>
      <c r="CS211" s="114">
        <f t="shared" si="401"/>
        <v>0</v>
      </c>
      <c r="CT211" s="115">
        <f t="shared" si="402"/>
        <v>0</v>
      </c>
      <c r="CU211" s="116">
        <f t="shared" si="403"/>
        <v>0</v>
      </c>
      <c r="CV211" s="116">
        <f t="shared" si="404"/>
        <v>0</v>
      </c>
      <c r="CW211" s="116">
        <f t="shared" si="405"/>
        <v>0</v>
      </c>
      <c r="CX211" s="116">
        <f t="shared" si="406"/>
        <v>0</v>
      </c>
      <c r="CY211" s="116">
        <f t="shared" si="407"/>
        <v>0</v>
      </c>
      <c r="CZ211" s="116">
        <f t="shared" si="408"/>
        <v>0</v>
      </c>
      <c r="DA211" s="116">
        <f t="shared" si="409"/>
        <v>0</v>
      </c>
      <c r="DB211" s="116">
        <f t="shared" si="410"/>
        <v>0</v>
      </c>
      <c r="DC211" s="116">
        <f t="shared" si="411"/>
        <v>0</v>
      </c>
      <c r="DD211" s="116">
        <f t="shared" si="412"/>
        <v>0</v>
      </c>
      <c r="DE211" s="117">
        <f t="shared" si="413"/>
        <v>0</v>
      </c>
      <c r="DF211" s="118">
        <f t="shared" si="415"/>
        <v>14</v>
      </c>
      <c r="DG211" s="106">
        <f t="shared" si="416"/>
        <v>18.05</v>
      </c>
      <c r="DH211" s="116">
        <f t="shared" si="417"/>
        <v>6</v>
      </c>
      <c r="DI211" s="106">
        <f t="shared" si="418"/>
        <v>25.63</v>
      </c>
      <c r="DJ211" s="201" t="str">
        <f>IF($D211="","",$D211)</f>
        <v>6</v>
      </c>
      <c r="DK211" s="465">
        <f>IF(AND($B211=" ",$D211&lt;&gt;""),1,0)</f>
        <v>0</v>
      </c>
    </row>
    <row r="212" spans="1:115" ht="14.5" customHeight="1" x14ac:dyDescent="0.2">
      <c r="A212" s="389"/>
      <c r="B212" s="456"/>
      <c r="C212" s="120" t="s">
        <v>55</v>
      </c>
      <c r="D212" s="374"/>
      <c r="E212" s="386"/>
      <c r="F212" s="377"/>
      <c r="G212" s="483"/>
      <c r="H212" s="476"/>
      <c r="I212" s="178">
        <v>1</v>
      </c>
      <c r="J212" s="179" t="str">
        <f>IF(OR(I211="TO",I211="TU",I211="TO1",I211="TU1",I211="TO2",I211="TU2"),J211,IF(OR(I211="AH1",I211="AH2"),IF(OR(I212="AH1",I212="AH2"),-J211,IF(OR(I212="EH1",I212="EH2"),-J211+0.5,"")),IF(OR(I211="EH1",I211="EH2"),IF(OR(I212="AH1",I212="AH2"),-J211+0.5,IF(OR(I212="EH1",I212="EH2"),-J211+1,"")),IF(AND(OR(I211="DNB1",I211="DNB2"),OR(I212="AH1",I212="AH2")),0,IF(AND(I211="Not ScoreBoth",OR(I212="TO1",I212="TO2")),0.5,"")))))</f>
        <v/>
      </c>
      <c r="K212" s="123" t="s">
        <v>36</v>
      </c>
      <c r="L212" s="124">
        <v>17</v>
      </c>
      <c r="M212" s="125">
        <v>2.19</v>
      </c>
      <c r="N212" s="406"/>
      <c r="O212" s="126">
        <f>IF(OR(AE211="",AE212=""),"",ROUND(IF(L213&gt;0,IF(M212&gt;0,M212,IF(M211&gt;0,IF(N211=TRUE,ROUND((M211*AE212)/AE211,0),(M211*AE212)/AE211),IF(M212&gt;0,ROUND(M212,IF(N211=0,2,IF(N211=0.1,1,0))),IF(M213&gt;0,ROUND(O213*AE212/AE213,IF(N211=0,2,IF(N211=0.1,1,0))),0)))),IF(M212&gt;0,M212,ROUND((M211*AE212)/AE211,IF(N211=0,2,IF(N211=0.1,1,0))))),2))</f>
        <v>2.19</v>
      </c>
      <c r="P212" s="127">
        <f>IF(OR(L212="",O212=""),"",IF($C212="1/2W",O212/2+O212/2*L212,IF($C212="1/2L",O212/2,IF(I212="Lay",((O212*(L212/(L212-1)))-O212)*(1-_xlfn.XLOOKUP(K212,'Fevereiro 2023 - Valor Real'!A3:A15,'Fevereiro 2023 - Valor Real'!C3:C15,0))+O212,(O212*L212-O212)*(1-_xlfn.XLOOKUP(K212,'Fevereiro 2023 - Valor Real'!A3:A15,'Fevereiro 2023 - Valor Real'!C3:C15,0))+O212))))</f>
        <v>37.229999999999997</v>
      </c>
      <c r="Q212" s="128">
        <f>IF(K212="","",IF(_xlfn.XLOOKUP(K212,K$4:K211,$DJ$4:DJ211,0,,-1)=DJ212,_xlfn.XLOOKUP(K212,K$4:K211,Q$4:Q211,1,,-1)+1,1))</f>
        <v>4</v>
      </c>
      <c r="R212" s="129">
        <f>IF(K212="","",_xlfn.XLOOKUP(K212,K$4:K211,R$4:R211,0,,-1)+IF($C212=" ",1,0))</f>
        <v>0</v>
      </c>
      <c r="S212" s="403"/>
      <c r="T212" s="380"/>
      <c r="U212" s="380"/>
      <c r="V212" s="481"/>
      <c r="W212" s="380"/>
      <c r="X212" s="452"/>
      <c r="Y212" s="383"/>
      <c r="Z212" s="384"/>
      <c r="AA212" s="384"/>
      <c r="AB212" s="384"/>
      <c r="AC212" s="384"/>
      <c r="AD212" s="130">
        <f>(((L212/(L212-1)-1)*(1-_xlfn.XLOOKUP(K212,'Fevereiro 2023 - Valor Real'!A3:A15,'Fevereiro 2023 - Valor Real'!C3:C15,0))+1))</f>
        <v>1.0625</v>
      </c>
      <c r="AE212" s="131">
        <f>IF(L212="","",IF(L213&gt;0,(SUM(((L211-1)*(1-_xlfn.XLOOKUP(K211,'Fevereiro 2023 - Valor Real'!A3:A15,'Fevereiro 2023 - Valor Real'!C3:C15,0))+1),((L212-1)*(1-_xlfn.XLOOKUP(K212,'Fevereiro 2023 - Valor Real'!A3:A15,'Fevereiro 2023 - Valor Real'!C3:C15,0))+1),((L213-1)*(1-_xlfn.XLOOKUP(K213,'Fevereiro 2023 - Valor Real'!A3:A15,'Fevereiro 2023 - Valor Real'!C3:C15,0))+1))/((L212-1)*(1-_xlfn.XLOOKUP(K212,'Fevereiro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Real'!C3:C15,0))+1))/((L211-1)*(1-_xlfn.XLOOKUP(K211,'Fevereiro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Real'!C3:C15,0))+1))/((L212-1)*(1-_xlfn.XLOOKUP(K212,'Fevereiro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Real'!C3:C15,0))+1))/((L213-1)*(1-_xlfn.XLOOKUP(K213,'Fevereiro 2023 - Valor Real'!A3:A15,'Fevereiro 2023 - Valor Real'!C3:C15,0))+1)),IF(I212="Lay",IF(I211="Lay",((L211/(L211-1)-1)*(1-_xlfn.XLOOKUP(K211,'Fevereiro 2023 - Valor Real'!A3:A15,'Fevereiro 2023 - Valor Real'!C3:C15,0))+1)/(((L211/(L211-1)-1)*(1-_xlfn.XLOOKUP(K211,'Fevereiro 2023 - Valor Real'!A3:A15,'Fevereiro 2023 - Valor Real'!C3:C15,0))+1)+((L212/(L212-1)-1)*(1-_xlfn.XLOOKUP(K212,'Fevereiro 2023 - Valor Real'!A3:A15,'Fevereiro 2023 - Valor Real'!C3:C15,0))+1)),((L211-1)*(1-_xlfn.XLOOKUP(K211,'Fevereiro 2023 - Valor Real'!A3:A15,'Fevereiro 2023 - Valor Real'!C3:C15,0))+1)/(((L211-1)*(1-_xlfn.XLOOKUP(K211,'Fevereiro 2023 - Valor Real'!A3:A15,'Fevereiro 2023 - Valor Real'!C3:C15,0))+1)+((L212/(L212-1)-1)*(1-_xlfn.XLOOKUP(K212,'Fevereiro 2023 - Valor Real'!A3:A15,'Fevereiro 2023 - Valor Real'!C3:C15,0))+1))),IF(I211="Lay",((L211/(L211-1)-1)*(1-_xlfn.XLOOKUP(K211,'Fevereiro 2023 - Valor Real'!A3:A15,'Fevereiro 2023 - Valor Real'!C3:C15,0))+1)/((((L211/(L211-1)-1)*(1-_xlfn.XLOOKUP(K211,'Fevereiro 2023 - Valor Real'!A3:A15,'Fevereiro 2023 - Valor Real'!C3:C15,0))+1))+((L212-1)*(1-_xlfn.XLOOKUP(K212,'Fevereiro 2023 - Valor Real'!A3:A15,'Fevereiro 2023 - Valor Real'!C3:C15,0))+1)),((L211-1)*(1-_xlfn.XLOOKUP(K211,'Fevereiro 2023 - Valor Real'!A3:A15,'Fevereiro 2023 - Valor Real'!C3:C15,0))+1)/(((L211-1)*(1-_xlfn.XLOOKUP(K211,'Fevereiro 2023 - Valor Real'!A3:A15,'Fevereiro 2023 - Valor Real'!C3:C15,0))+1)+((L212-1)*(1-_xlfn.XLOOKUP(K212,'Fevereiro 2023 - Valor Real'!A3:A15,'Fevereiro 2023 - Valor Real'!C3:C15,0))+1))))))</f>
        <v>6.2844542447629534E-2</v>
      </c>
      <c r="AF212" s="105">
        <f t="shared" si="427"/>
        <v>-2.19</v>
      </c>
      <c r="AG212" s="106">
        <f t="shared" si="427"/>
        <v>0</v>
      </c>
      <c r="AH212" s="106">
        <f t="shared" si="427"/>
        <v>0</v>
      </c>
      <c r="AI212" s="106">
        <f t="shared" si="427"/>
        <v>0</v>
      </c>
      <c r="AJ212" s="106">
        <f t="shared" si="427"/>
        <v>0</v>
      </c>
      <c r="AK212" s="106">
        <f t="shared" si="427"/>
        <v>0</v>
      </c>
      <c r="AL212" s="106">
        <f t="shared" si="427"/>
        <v>0</v>
      </c>
      <c r="AM212" s="106">
        <f t="shared" si="427"/>
        <v>0</v>
      </c>
      <c r="AN212" s="106">
        <f t="shared" si="427"/>
        <v>0</v>
      </c>
      <c r="AO212" s="106">
        <f t="shared" si="427"/>
        <v>0</v>
      </c>
      <c r="AP212" s="106">
        <f t="shared" si="427"/>
        <v>0</v>
      </c>
      <c r="AQ212" s="106">
        <f t="shared" si="427"/>
        <v>0</v>
      </c>
      <c r="AR212" s="107">
        <f t="shared" si="427"/>
        <v>0</v>
      </c>
      <c r="AS212" s="105">
        <f>IF(AND($B211=" ",$K212=AS$3),$O212,0)</f>
        <v>0</v>
      </c>
      <c r="AT212" s="106">
        <f>IF(AND($B211=" ",K212=AT$3),$O212,0)</f>
        <v>0</v>
      </c>
      <c r="AU212" s="106">
        <f t="shared" ref="AU212:BE212" si="440">IF(AND($B211=" ",$K212=AU$3),$O212,0)</f>
        <v>0</v>
      </c>
      <c r="AV212" s="106">
        <f t="shared" si="440"/>
        <v>0</v>
      </c>
      <c r="AW212" s="106">
        <f t="shared" si="440"/>
        <v>0</v>
      </c>
      <c r="AX212" s="106">
        <f t="shared" si="440"/>
        <v>0</v>
      </c>
      <c r="AY212" s="108">
        <f t="shared" si="440"/>
        <v>0</v>
      </c>
      <c r="AZ212" s="109">
        <f t="shared" si="440"/>
        <v>0</v>
      </c>
      <c r="BA212" s="109">
        <f t="shared" si="440"/>
        <v>0</v>
      </c>
      <c r="BB212" s="109">
        <f t="shared" si="440"/>
        <v>0</v>
      </c>
      <c r="BC212" s="110">
        <f t="shared" si="440"/>
        <v>0</v>
      </c>
      <c r="BD212" s="106">
        <f t="shared" si="440"/>
        <v>0</v>
      </c>
      <c r="BE212" s="107">
        <f t="shared" si="440"/>
        <v>0</v>
      </c>
      <c r="BF212" s="105">
        <f t="shared" si="429"/>
        <v>2.19</v>
      </c>
      <c r="BG212" s="106">
        <f t="shared" si="429"/>
        <v>0</v>
      </c>
      <c r="BH212" s="106">
        <f t="shared" si="429"/>
        <v>0</v>
      </c>
      <c r="BI212" s="106">
        <f t="shared" si="429"/>
        <v>0</v>
      </c>
      <c r="BJ212" s="106">
        <f t="shared" si="429"/>
        <v>0</v>
      </c>
      <c r="BK212" s="106">
        <f t="shared" si="429"/>
        <v>0</v>
      </c>
      <c r="BL212" s="106">
        <f t="shared" si="429"/>
        <v>0</v>
      </c>
      <c r="BM212" s="132">
        <f t="shared" si="429"/>
        <v>0</v>
      </c>
      <c r="BN212" s="112">
        <f t="shared" si="429"/>
        <v>0</v>
      </c>
      <c r="BO212" s="112">
        <f t="shared" si="429"/>
        <v>0</v>
      </c>
      <c r="BP212" s="112">
        <f t="shared" si="429"/>
        <v>0</v>
      </c>
      <c r="BQ212" s="110">
        <f t="shared" si="429"/>
        <v>0</v>
      </c>
      <c r="BR212" s="107">
        <f t="shared" si="429"/>
        <v>0</v>
      </c>
      <c r="BS212" s="464"/>
      <c r="BT212" s="461"/>
      <c r="BU212" s="392"/>
      <c r="BV212" s="461"/>
      <c r="BW212" s="392"/>
      <c r="BX212" s="392"/>
      <c r="BY212" s="392"/>
      <c r="BZ212" s="461"/>
      <c r="CA212" s="392"/>
      <c r="CB212" s="392"/>
      <c r="CC212" s="392"/>
      <c r="CD212" s="401"/>
      <c r="CE212" s="409"/>
      <c r="CF212" s="133">
        <f t="shared" si="388"/>
        <v>0</v>
      </c>
      <c r="CG212" s="134">
        <f t="shared" si="389"/>
        <v>1</v>
      </c>
      <c r="CH212" s="134">
        <f t="shared" si="390"/>
        <v>0</v>
      </c>
      <c r="CI212" s="134">
        <f t="shared" si="391"/>
        <v>0</v>
      </c>
      <c r="CJ212" s="134">
        <f t="shared" si="392"/>
        <v>0</v>
      </c>
      <c r="CK212" s="134">
        <f t="shared" si="393"/>
        <v>0</v>
      </c>
      <c r="CL212" s="134">
        <f t="shared" si="394"/>
        <v>0</v>
      </c>
      <c r="CM212" s="134">
        <f t="shared" si="395"/>
        <v>0</v>
      </c>
      <c r="CN212" s="134">
        <f t="shared" si="396"/>
        <v>0</v>
      </c>
      <c r="CO212" s="134">
        <f t="shared" si="397"/>
        <v>0</v>
      </c>
      <c r="CP212" s="134">
        <f t="shared" si="398"/>
        <v>0</v>
      </c>
      <c r="CQ212" s="134">
        <f t="shared" si="399"/>
        <v>0</v>
      </c>
      <c r="CR212" s="134">
        <f t="shared" si="400"/>
        <v>0</v>
      </c>
      <c r="CS212" s="134">
        <f t="shared" si="401"/>
        <v>0</v>
      </c>
      <c r="CT212" s="115">
        <f t="shared" si="402"/>
        <v>0</v>
      </c>
      <c r="CU212" s="116">
        <f t="shared" si="403"/>
        <v>0</v>
      </c>
      <c r="CV212" s="116">
        <f t="shared" si="404"/>
        <v>0</v>
      </c>
      <c r="CW212" s="116">
        <f t="shared" si="405"/>
        <v>0</v>
      </c>
      <c r="CX212" s="116">
        <f t="shared" si="406"/>
        <v>0</v>
      </c>
      <c r="CY212" s="116">
        <f t="shared" si="407"/>
        <v>0</v>
      </c>
      <c r="CZ212" s="116">
        <f t="shared" si="408"/>
        <v>0</v>
      </c>
      <c r="DA212" s="116">
        <f t="shared" si="409"/>
        <v>0</v>
      </c>
      <c r="DB212" s="116">
        <f t="shared" si="410"/>
        <v>0</v>
      </c>
      <c r="DC212" s="116">
        <f t="shared" si="411"/>
        <v>0</v>
      </c>
      <c r="DD212" s="116">
        <f t="shared" si="412"/>
        <v>0</v>
      </c>
      <c r="DE212" s="117">
        <f t="shared" si="413"/>
        <v>0</v>
      </c>
      <c r="DF212" s="118">
        <f t="shared" si="415"/>
        <v>14</v>
      </c>
      <c r="DG212" s="106">
        <f t="shared" si="416"/>
        <v>18.05</v>
      </c>
      <c r="DH212" s="116">
        <f t="shared" si="417"/>
        <v>6</v>
      </c>
      <c r="DI212" s="106">
        <f t="shared" si="418"/>
        <v>25.63</v>
      </c>
      <c r="DJ212" s="201" t="str">
        <f>IF($D211="","",$D211)</f>
        <v>6</v>
      </c>
      <c r="DK212" s="466"/>
    </row>
    <row r="213" spans="1:115" ht="14.5" customHeight="1" x14ac:dyDescent="0.2">
      <c r="A213" s="390"/>
      <c r="B213" s="457"/>
      <c r="C213" s="135" t="s">
        <v>53</v>
      </c>
      <c r="D213" s="375"/>
      <c r="E213" s="387"/>
      <c r="F213" s="378"/>
      <c r="G213" s="484"/>
      <c r="H213" s="477"/>
      <c r="I213" s="136"/>
      <c r="J213" s="137"/>
      <c r="K213" s="138"/>
      <c r="L213" s="139"/>
      <c r="M213" s="140"/>
      <c r="N213" s="407"/>
      <c r="O213" s="141" t="str">
        <f>IF(OR(AE211="",AE212=""),"",IF(L213&gt;0,ROUND(IF(M213&gt;0,M213,IF(M211&gt;0,ROUND((M211*AE213)/AE211,IF(N211=0,2,IF(N211=0.1,1,0))),IF(M212&gt;0,ROUND((M212*AE213)/AE212,IF(N211=0,2,IF(N211=0.1,1,0))),IF(M213&gt;0,M213,0)))),2),""))</f>
        <v/>
      </c>
      <c r="P213" s="142" t="str">
        <f>IF(I212="Lay",O212*(L212/(L212-1))-O212,IF(I211="Lay",O211*(L211/(L211-1))-O211,IF(OR(L213="",O213=""),"",IF($C213="1/2W",O213/2+O213/2*L213,IF($C213="1/2L",O213/2,(O213*L213-O213)*(1-_xlfn.XLOOKUP(K213,'Fevereiro 2023 - Valor Real'!A3:A15,'Fevereiro 2023 - Valor Real'!C3:C15,0))+O213)))))</f>
        <v/>
      </c>
      <c r="Q213" s="143" t="str">
        <f>IF(K213="","",IF(_xlfn.XLOOKUP(K213,K$4:K212,$DJ$4:DJ212,0,,-1)=DJ213,_xlfn.XLOOKUP(K213,K$4:K212,Q$4:Q212,1,,-1)+1,1))</f>
        <v/>
      </c>
      <c r="R213" s="144" t="str">
        <f>IF(K213="","",_xlfn.XLOOKUP(K213,K$4:K212,R$4:R212,0,,-1)+IF($C213=" ",1,0))</f>
        <v/>
      </c>
      <c r="S213" s="404"/>
      <c r="T213" s="378"/>
      <c r="U213" s="378"/>
      <c r="V213" s="404"/>
      <c r="W213" s="378"/>
      <c r="X213" s="453"/>
      <c r="Y213" s="383"/>
      <c r="Z213" s="384"/>
      <c r="AA213" s="384"/>
      <c r="AB213" s="384"/>
      <c r="AC213" s="384"/>
      <c r="AD213" s="145">
        <f>((L212/(L212-1)-1))</f>
        <v>6.25E-2</v>
      </c>
      <c r="AE213" s="146" t="str">
        <f>IF(L213="","",(SUM(((L211-1)*(1-_xlfn.XLOOKUP(K211,'Fevereiro 2023 - Valor Real'!A3:A15,'Fevereiro 2023 - Valor Real'!C3:C15,0))+1),((L212-1)*(1-_xlfn.XLOOKUP(K212,'Fevereiro 2023 - Valor Real'!A3:A15,'Fevereiro 2023 - Valor Real'!C3:C15,0))+1),((L213-1)*(1-_xlfn.XLOOKUP(K213,'Fevereiro 2023 - Valor Real'!A3:A15,'Fevereiro 2023 - Valor Real'!C3:C15,0))+1))/((L213-1)*(1-_xlfn.XLOOKUP(K213,'Fevereiro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Real'!C3:C15,0))+1))/((L211-1)*(1-_xlfn.XLOOKUP(K211,'Fevereiro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Real'!C3:C15,0))+1))/((L212-1)*(1-_xlfn.XLOOKUP(K212,'Fevereiro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Real'!C3:C15,0))+1))/((L213-1)*(1-_xlfn.XLOOKUP(K213,'Fevereiro 2023 - Valor Real'!A3:A15,'Fevereiro 2023 - Valor Real'!C3:C15,0))+1)))</f>
        <v/>
      </c>
      <c r="AF213" s="105">
        <f t="shared" si="427"/>
        <v>0</v>
      </c>
      <c r="AG213" s="106">
        <f t="shared" si="427"/>
        <v>0</v>
      </c>
      <c r="AH213" s="106">
        <f t="shared" si="427"/>
        <v>0</v>
      </c>
      <c r="AI213" s="106">
        <f t="shared" si="427"/>
        <v>0</v>
      </c>
      <c r="AJ213" s="106">
        <f t="shared" si="427"/>
        <v>0</v>
      </c>
      <c r="AK213" s="106">
        <f t="shared" si="427"/>
        <v>0</v>
      </c>
      <c r="AL213" s="106">
        <f t="shared" si="427"/>
        <v>0</v>
      </c>
      <c r="AM213" s="106">
        <f t="shared" si="427"/>
        <v>0</v>
      </c>
      <c r="AN213" s="106">
        <f t="shared" si="427"/>
        <v>0</v>
      </c>
      <c r="AO213" s="106">
        <f t="shared" si="427"/>
        <v>0</v>
      </c>
      <c r="AP213" s="106">
        <f t="shared" si="427"/>
        <v>0</v>
      </c>
      <c r="AQ213" s="106">
        <f t="shared" si="427"/>
        <v>0</v>
      </c>
      <c r="AR213" s="107">
        <f t="shared" si="427"/>
        <v>0</v>
      </c>
      <c r="AS213" s="105">
        <f>IF(AND($B211=" ",$K213=AS$3),$O213,0)</f>
        <v>0</v>
      </c>
      <c r="AT213" s="106">
        <f>IF(AND($B211=" ",K213=AT$3),$O213,0)</f>
        <v>0</v>
      </c>
      <c r="AU213" s="106">
        <f t="shared" ref="AU213:BE213" si="441">IF(AND($B211=" ",$K213=AU$3),$O213,0)</f>
        <v>0</v>
      </c>
      <c r="AV213" s="106">
        <f t="shared" si="441"/>
        <v>0</v>
      </c>
      <c r="AW213" s="106">
        <f t="shared" si="441"/>
        <v>0</v>
      </c>
      <c r="AX213" s="106">
        <f t="shared" si="441"/>
        <v>0</v>
      </c>
      <c r="AY213" s="108">
        <f t="shared" si="441"/>
        <v>0</v>
      </c>
      <c r="AZ213" s="109">
        <f t="shared" si="441"/>
        <v>0</v>
      </c>
      <c r="BA213" s="109">
        <f t="shared" si="441"/>
        <v>0</v>
      </c>
      <c r="BB213" s="109">
        <f t="shared" si="441"/>
        <v>0</v>
      </c>
      <c r="BC213" s="110">
        <f t="shared" si="441"/>
        <v>0</v>
      </c>
      <c r="BD213" s="106">
        <f t="shared" si="441"/>
        <v>0</v>
      </c>
      <c r="BE213" s="107">
        <f t="shared" si="441"/>
        <v>0</v>
      </c>
      <c r="BF213" s="105">
        <f t="shared" si="429"/>
        <v>0</v>
      </c>
      <c r="BG213" s="106">
        <f t="shared" si="429"/>
        <v>0</v>
      </c>
      <c r="BH213" s="106">
        <f t="shared" si="429"/>
        <v>0</v>
      </c>
      <c r="BI213" s="106">
        <f t="shared" si="429"/>
        <v>0</v>
      </c>
      <c r="BJ213" s="106">
        <f t="shared" si="429"/>
        <v>0</v>
      </c>
      <c r="BK213" s="106">
        <f t="shared" si="429"/>
        <v>0</v>
      </c>
      <c r="BL213" s="106">
        <f t="shared" si="429"/>
        <v>0</v>
      </c>
      <c r="BM213" s="108">
        <f t="shared" si="429"/>
        <v>0</v>
      </c>
      <c r="BN213" s="109">
        <f t="shared" si="429"/>
        <v>0</v>
      </c>
      <c r="BO213" s="109">
        <f t="shared" si="429"/>
        <v>0</v>
      </c>
      <c r="BP213" s="109">
        <f t="shared" si="429"/>
        <v>0</v>
      </c>
      <c r="BQ213" s="110">
        <f t="shared" si="429"/>
        <v>0</v>
      </c>
      <c r="BR213" s="107">
        <f t="shared" si="429"/>
        <v>0</v>
      </c>
      <c r="BS213" s="464"/>
      <c r="BT213" s="461"/>
      <c r="BU213" s="392"/>
      <c r="BV213" s="461"/>
      <c r="BW213" s="392"/>
      <c r="BX213" s="392"/>
      <c r="BY213" s="392"/>
      <c r="BZ213" s="461"/>
      <c r="CA213" s="392"/>
      <c r="CB213" s="392"/>
      <c r="CC213" s="392"/>
      <c r="CD213" s="401"/>
      <c r="CE213" s="409"/>
      <c r="CF213" s="133">
        <f t="shared" si="388"/>
        <v>0</v>
      </c>
      <c r="CG213" s="134">
        <f t="shared" si="389"/>
        <v>0</v>
      </c>
      <c r="CH213" s="134">
        <f t="shared" si="390"/>
        <v>0</v>
      </c>
      <c r="CI213" s="134">
        <f t="shared" si="391"/>
        <v>0</v>
      </c>
      <c r="CJ213" s="134">
        <f t="shared" si="392"/>
        <v>0</v>
      </c>
      <c r="CK213" s="134">
        <f t="shared" si="393"/>
        <v>0</v>
      </c>
      <c r="CL213" s="134">
        <f t="shared" si="394"/>
        <v>0</v>
      </c>
      <c r="CM213" s="134">
        <f t="shared" si="395"/>
        <v>0</v>
      </c>
      <c r="CN213" s="134">
        <f t="shared" si="396"/>
        <v>0</v>
      </c>
      <c r="CO213" s="134">
        <f t="shared" si="397"/>
        <v>0</v>
      </c>
      <c r="CP213" s="134">
        <f t="shared" si="398"/>
        <v>0</v>
      </c>
      <c r="CQ213" s="134">
        <f t="shared" si="399"/>
        <v>0</v>
      </c>
      <c r="CR213" s="134">
        <f t="shared" si="400"/>
        <v>0</v>
      </c>
      <c r="CS213" s="134">
        <f t="shared" si="401"/>
        <v>0</v>
      </c>
      <c r="CT213" s="115">
        <f t="shared" si="402"/>
        <v>0</v>
      </c>
      <c r="CU213" s="116">
        <f t="shared" si="403"/>
        <v>0</v>
      </c>
      <c r="CV213" s="116">
        <f t="shared" si="404"/>
        <v>0</v>
      </c>
      <c r="CW213" s="116">
        <f t="shared" si="405"/>
        <v>0</v>
      </c>
      <c r="CX213" s="116">
        <f t="shared" si="406"/>
        <v>0</v>
      </c>
      <c r="CY213" s="116">
        <f t="shared" si="407"/>
        <v>0</v>
      </c>
      <c r="CZ213" s="116">
        <f t="shared" si="408"/>
        <v>0</v>
      </c>
      <c r="DA213" s="116">
        <f t="shared" si="409"/>
        <v>0</v>
      </c>
      <c r="DB213" s="116">
        <f t="shared" si="410"/>
        <v>0</v>
      </c>
      <c r="DC213" s="116">
        <f t="shared" si="411"/>
        <v>0</v>
      </c>
      <c r="DD213" s="116">
        <f t="shared" si="412"/>
        <v>0</v>
      </c>
      <c r="DE213" s="117">
        <f t="shared" si="413"/>
        <v>0</v>
      </c>
      <c r="DF213" s="118">
        <f t="shared" si="415"/>
        <v>14</v>
      </c>
      <c r="DG213" s="106">
        <f t="shared" si="416"/>
        <v>18.05</v>
      </c>
      <c r="DH213" s="116">
        <f t="shared" si="417"/>
        <v>6</v>
      </c>
      <c r="DI213" s="106">
        <f t="shared" si="418"/>
        <v>25.63</v>
      </c>
      <c r="DJ213" s="201" t="str">
        <f>IF($D211="","",$D211)</f>
        <v>6</v>
      </c>
      <c r="DK213" s="466"/>
    </row>
    <row r="214" spans="1:115" ht="14.5" customHeight="1" x14ac:dyDescent="0.2">
      <c r="A214" s="487">
        <f>$A211+1</f>
        <v>71</v>
      </c>
      <c r="B214" s="506" t="str">
        <f>IF(OR(C214="W",C215="W",C216="W",C214="1/2W",C215="1/2W",C216="1/2W",C214="1/2L",C215="1/2L",C216="1/2L"),"OK",IF(OR(C214="L",C215="L",C216="L"),"LOSS",IF(OR(C214="X",C215="X",C216="X"),"Anulado"," ")))</f>
        <v>OK</v>
      </c>
      <c r="C214" s="147" t="s">
        <v>55</v>
      </c>
      <c r="D214" s="494" t="str">
        <f>IF(G214="","",$D211)</f>
        <v>6</v>
      </c>
      <c r="E214" s="511" t="str">
        <f>IF(G214=""," ","– "&amp;COUNTIF(D$4:D216,$D214))</f>
        <v>– 14</v>
      </c>
      <c r="F214" s="510" t="str">
        <f ca="1">IF(G214="","",IF(OR(AND($C214&lt;&gt;" ",$C215=" "),AND($C215&lt;&gt;" ",$C214=" "),AND(L216&gt;0,OR(AND($C216&lt;&gt;" ",OR($C214=" ",$C215=" ")),AND($C216=" ",OR($C214&lt;&gt;" ",$C215&lt;&gt;" "))))),IF(SUM(F$4:F213)=0,1,LARGE(F$4:F213,1)+1),IF(MONTH(G214)=MONTH(TODAY()),IF(AND(DAY(G214)&lt;DAY(TODAY()),$B214=" "),IF(SUM(F$4:F213)=0,1,LARGE(F$4:F213,1)+1),IF($B214=" ",IF(AND(DAY(G214)=DAY(TODAY()),HOUR(G214)&lt;=HOUR(NOW())+1),IF(AND(HOUR(G214)+2&lt;=HOUR(NOW()),DAY(G214)&lt;=DAY(TODAY()),MINUTE(G214)&lt;=MINUTE(NOW())),IF(SUM(F$4:F213)=0,1,LARGE(F$4:F213,1)+1),IF(OR(MINUTE(G214)&lt;=MINUTE(NOW()),HOUR(G214)&lt;=HOUR(NOW())),"!!!","")),""),"")),"")))</f>
        <v/>
      </c>
      <c r="G214" s="508">
        <v>44992.833333333336</v>
      </c>
      <c r="H214" s="502" t="s">
        <v>121</v>
      </c>
      <c r="I214" s="180" t="s">
        <v>71</v>
      </c>
      <c r="J214" s="149"/>
      <c r="K214" s="150" t="s">
        <v>39</v>
      </c>
      <c r="L214" s="151">
        <v>3.8</v>
      </c>
      <c r="M214" s="152">
        <v>4.9400000000000004</v>
      </c>
      <c r="N214" s="503">
        <v>0</v>
      </c>
      <c r="O214" s="153">
        <f>IF(OR(AE214="",AE215=""),"",ROUND(IF(L216&gt;0,IF(M214&gt;0,M214,IF(M215&gt;0,ROUND((M215*AE214)/AE215,IF(N214=0,2,IF(N214=0.1,1,0))),ROUND((M216*AE214)/AE216,IF(N214=0,2,IF(N214=0.1,1,0))))),IF(M214&gt;0,M214,ROUND((M215*AE214)/AE215,IF(N214=0,2,IF(N214=0.1,1,0))))),2))</f>
        <v>4.9400000000000004</v>
      </c>
      <c r="P214" s="154">
        <f>IF(OR(L214="",O214=""),"",IF($C214="1/2W",O214/2+O214/2*L214,IF($C214="1/2L",O214/2,IF(I214="Lay",(O214*(L214/(L214-1))-O214)*(1-_xlfn.XLOOKUP(K214,'Fevereiro 2023 - Valor Real'!A3:A15,'Fevereiro 2023 - Valor Real'!C3:C15,0))+O214,(O214*L214-O214)*(1-_xlfn.XLOOKUP(K214,'Fevereiro 2023 - Valor Real'!A3:A15,'Fevereiro 2023 - Valor Real'!C3:C15,0))+O214))))</f>
        <v>18.772000000000002</v>
      </c>
      <c r="Q214" s="155">
        <f>IF(K214="","",IF(_xlfn.XLOOKUP(K214,K$4:K213,$DJ$4:DJ213,0,,-1)=DJ214,_xlfn.XLOOKUP(K214,K$4:K213,Q$4:Q213,1,,-1)+1,1))</f>
        <v>2</v>
      </c>
      <c r="R214" s="156">
        <f>IF(K214="","",_xlfn.XLOOKUP(K214,K$4:K213,R$4:R213,0,,-1)+IF($C214=" ",1,0))</f>
        <v>0</v>
      </c>
      <c r="S214" s="501">
        <f>IF($B214="Anulado",0,ROUND(IF(OR($B214="LOSS",$B214="OK"),IF(OR($C214="W",$C214="1/2W",$C214="1/2L"),P214-O214,IF($C214="L",-O214,0))+IF(OR($C215="W",$C215="1/2W",$C215="1/2L"),P215-O215,IF($C215="L",-O215,0))+IF(OR($C216="W",$C216="1/2W",$C216="1/2L"),P216-O216,IF($C216="L",-O216,0)),IF(AND(OR($C214="W",$C214="1/2W",$C214="1/2L"),C215="W"),P214+P215-SUM(O214:O216)+_xlfn.XLOOKUP("X",C214:C216,O214:O216,0),IF(AND(C214=TRUE,C216="W"),P214+P216-SUM(O214:O216),IF(AND(C215="W",C216="W"),P215+P216-SUM(O214:O216)+_xlfn.XLOOKUP("X",C214:C216,O214:O216,0),IF(L216&gt;0,IF(OR($C214="W",$C214="1/2W",$C214="1/2L"),P214-SUM(O214:O216)+_xlfn.XLOOKUP("X",C214:C216,O214:O216,0),IF(OR($C214="W",$C214="1/2W",$C214="1/2L"),P215-SUM(O214:O216)+_xlfn.XLOOKUP("X",C214:C216,O214:O216,0),IF(OR($C214="W",$C214="1/2W",$C214="1/2L"),P216-SUM(O214:O216)+_xlfn.XLOOKUP("X",C214:C216,O214:O216,0),IF(SUM(P214:P216)/3-SUM(O214:O216)+_xlfn.XLOOKUP("X",C214:C216,O214:O216,0)&gt;0,SUM(P214:P216)/3-SUM(O214:O216)+_xlfn.XLOOKUP("X",C214:C216,O214:O216,0),LARGE(P214:P216,1)-SUM(O214:O216))))),IF(OR($C214="W",$C214="1/2W",$C214="1/2L"),P214-SUM(O214:O215)+_xlfn.XLOOKUP("X",C214:C216,O214:O216,0),IF(OR($C214="W",$C214="1/2W",$C214="1/2L"),P215-SUM(O214:O215)+_xlfn.XLOOKUP("X",C214:C216,O214:O216,0),SUM(P214:P215)/2-SUM(O214:O215)+_xlfn.XLOOKUP("X",C214:C216,O214:O216,0)))))))),2))</f>
        <v>1.72</v>
      </c>
      <c r="T214" s="486">
        <f>IF(S214=0,0,S214/SUM(O214:O216))</f>
        <v>0.10087976539589442</v>
      </c>
      <c r="U214" s="496">
        <f>IF($D214=$D211,IF(OR($B214="LOSS",$B214="OK",$B214="Anulada"),S214,0)+U211,IF(OR($B214="LOSS",$B214="OK",$B214="Anulada"),S214,0))</f>
        <v>37.949999999999996</v>
      </c>
      <c r="V214" s="496">
        <f>IF($D214="",0,IF($D214=$D211,IF($B214=" ",IF(I216="",IF(OR(AND(I214="DNB1",I215="DNB2"),AND(OR(I214="DNB1",I214="DNB2"),J215=0),AND(OR(I215="DNB1",I215="DNB2"),J214=0),AND(I214="DNB2",I215="DNB1"),AND(IF(J214=0,(J214+1)/ROUND(J214+1,0),J214/ROUND(J214,0))=1,IF(J215=0,(J215+1)/ROUND(IF(J215="",0,J215)+1,0),IF(J215="",0,J215)/ROUND(IF(J215="",1,J215),0))=1,OR(J214&lt;&gt;""),J215&lt;&gt;"")),0,IF(S214&lt;0,IF(I216="",SMALL(P214:P215,1)-SUM(O214:O215),0),SMALL(P214:P215,1)-SUM(O214:O215))),IF(S214&lt;0,IF(I216="",SMALL(P214:P216,1)-SUM(O214:O216),0),LARGE(P214:P216,1)-SUM(O214:O216))),S214)+V211,IF(I216="",IF(OR(AND(I214="DNB1",I215="DNB2"),AND(OR(I214="DNB1",I214="DNB2"),J215=0),AND(OR(I215="DNB1",I215="DNB2"),J214=0),AND(I214="DNB2",I215="DNB1"),AND(IF(J214=0,(J214+1)/ROUND(J214+1,0),J214/ROUND(J214,0))=1,IF(J215=0,(IF(J215="",0,J215)+1)/ROUND(IF(J215="",0,J215)+1,0),IF(J215="",0,J215)/ROUND(IF(J215="",0,J215)+1,0))=1,OR(J214&lt;&gt;""),J215&lt;&gt;"")),0,IF(S214&lt;0,IF(I216="",SMALL(P214:P215,1)-SUM(O214:O215),0),SMALL(P214:P216,1)-SUM(O214:O216))),IF(S214&lt;0,IF(I216="",SMALL(P214:P216,1)-SUM(O214:O216),0),LARGE(P214:P216,1)-SUM(O214:O216)))))</f>
        <v>37.941999999999986</v>
      </c>
      <c r="W214" s="496">
        <f>IF($D214=$D211,IF(S214&lt;0,IF(I216="",S214,0),S214)+W211,S214)</f>
        <v>37.949999999999996</v>
      </c>
      <c r="X214" s="505" t="str">
        <f>IF(OR(SUM(R214:R216)=0,V214=W214),ROUND(IF(W214=0,0,W214/Y214)*100,2)&amp;"%",ROUND(IF(V214=0,0,V214/Y214)*100,2)&amp;"% a "&amp;ROUND(IF(W214=0,0,W214/Y214)*100,2)&amp;"%")</f>
        <v>5,9%</v>
      </c>
      <c r="Y214" s="497">
        <f>IF($D214=$D211,Y211+SUM(O214:O216),SUM(O214:O216))</f>
        <v>643.56999999999994</v>
      </c>
      <c r="Z214" s="496">
        <f>IF($B214=" ",SUM(O214:O216),0)+Z211</f>
        <v>0</v>
      </c>
      <c r="AA214" s="496">
        <f>IF(G214="","",IF($B214="Anulado",LARGE(P214:P216,1)-SUM(O214:O216)+AA211,AA211))</f>
        <v>1.4607999999999972</v>
      </c>
      <c r="AB214" s="496">
        <f>IF($D214="","",AB211+S214)</f>
        <v>177.79999999999998</v>
      </c>
      <c r="AC214" s="499">
        <f ca="1">IF($D214="","",IF($B214=" ",IF(DAY(G214)=DAY(TODAY()),1+AC211,0+AC211),0+AC211))</f>
        <v>0</v>
      </c>
      <c r="AD214" s="157">
        <f>(1-_xlfn.XLOOKUP(K212,'Fevereiro 2023 - Valor Real'!A3:A15,'Fevereiro 2023 - Valor Real'!C3:C15,0))+1</f>
        <v>2</v>
      </c>
      <c r="AE214" s="158">
        <f>IF(L214="","",IF(L216&gt;0,(SUM(((L214-1)*(1-_xlfn.XLOOKUP(K214,'Fevereiro 2023 - Valor Real'!A3:A15,'Fevereiro 2023 - Valor Real'!C3:C15,0))+1),((L215-1)*(1-_xlfn.XLOOKUP(K215,'Fevereiro 2023 - Valor Real'!A3:A15,'Fevereiro 2023 - Valor Real'!C3:C15,0))+1),((L216-1)*(1-_xlfn.XLOOKUP(K216,'Fevereiro 2023 - Valor Real'!A3:A15,'Fevereiro 2023 - Valor Real'!C3:C15,0))+1))/((L214-1)*(1-_xlfn.XLOOKUP(K214,'Fevereiro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Real'!C3:C15,0))+1))/((L214-1)*(1-_xlfn.XLOOKUP(K214,'Fevereiro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Real'!C3:C15,0))+1))/((L215-1)*(1-_xlfn.XLOOKUP(K215,'Fevereiro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Real'!C3:C15,0))+1))/((L216-1)*(1-_xlfn.XLOOKUP(K216,'Fevereiro 2023 - Valor Real'!A3:A15,'Fevereiro 2023 - Valor Real'!C3:C15,0))+1)),IF(I214="Lay",IF(I215="Lay",((L215/(L215-1)-1)*(1-_xlfn.XLOOKUP(K215,'Fevereiro 2023 - Valor Real'!A3:A15,'Fevereiro 2023 - Valor Real'!C3:C15,0))+1)/(((L215/(L215-1)-1)*(1-_xlfn.XLOOKUP(K215,'Fevereiro 2023 - Valor Real'!A3:A15,'Fevereiro 2023 - Valor Real'!C3:C15,0))+1)+((L214/(L214-1)-1)*(1-_xlfn.XLOOKUP(K214,'Fevereiro 2023 - Valor Real'!A3:A15,'Fevereiro 2023 - Valor Real'!C3:C15,0))+1)),((L215-1)*(1-_xlfn.XLOOKUP(K215,'Fevereiro 2023 - Valor Real'!A3:A15,'Fevereiro 2023 - Valor Real'!C3:C15,0))+1)/(((L215-1)*(1-_xlfn.XLOOKUP(K215,'Fevereiro 2023 - Valor Real'!A3:A15,'Fevereiro 2023 - Valor Real'!C3:C15,0))+1)+((L214/(L214-1)-1)*(1-_xlfn.XLOOKUP(K214,'Fevereiro 2023 - Valor Real'!A3:A15,'Fevereiro 2023 - Valor Real'!C3:C15,0))+1))),IF(I215="Lay",(((L215/(L215-1)-1)*(1-_xlfn.XLOOKUP(K215,'Fevereiro 2023 - Valor Real'!A3:A15,'Fevereiro 2023 - Valor Real'!C3:C15,0))+1))/(((L214-1)*(1-_xlfn.XLOOKUP(K214,'Fevereiro 2023 - Valor Real'!A3:A15,'Fevereiro 2023 - Valor Real'!C3:C15,0))+1)+((L215/(L215-1)-1)*(1-_xlfn.XLOOKUP(K215,'Fevereiro 2023 - Valor Real'!A3:A15,'Fevereiro 2023 - Valor Real'!C3:C15,0))+1)),((L215-1)*(1-_xlfn.XLOOKUP(K215,'Fevereiro 2023 - Valor Real'!A3:A15,'Fevereiro 2023 - Valor Real'!C3:C15,0))+1)/(((L215-1)*(1-_xlfn.XLOOKUP(K215,'Fevereiro 2023 - Valor Real'!A3:A15,'Fevereiro 2023 - Valor Real'!C3:C15,0))+1)+((L214-1)*(1-_xlfn.XLOOKUP(K214,'Fevereiro 2023 - Valor Real'!A3:A15,'Fevereiro 2023 - Valor Real'!C3:C15,0))+1))))))</f>
        <v>0.28971962616822433</v>
      </c>
      <c r="AF214" s="66">
        <f t="shared" ref="AF214:AR223" si="442">IF($K214=AF$3,ROUND(IF(OR($C214="W",$C214="1/2W",$C214="1/2L"),$P214-$O214,IF($C214="X",0,-$O214)),2),0)</f>
        <v>0</v>
      </c>
      <c r="AG214" s="67">
        <f t="shared" si="442"/>
        <v>0</v>
      </c>
      <c r="AH214" s="67">
        <f t="shared" si="442"/>
        <v>0</v>
      </c>
      <c r="AI214" s="67">
        <f t="shared" si="442"/>
        <v>-4.9400000000000004</v>
      </c>
      <c r="AJ214" s="67">
        <f t="shared" si="442"/>
        <v>0</v>
      </c>
      <c r="AK214" s="67">
        <f t="shared" si="442"/>
        <v>0</v>
      </c>
      <c r="AL214" s="67">
        <f t="shared" si="442"/>
        <v>0</v>
      </c>
      <c r="AM214" s="67">
        <f t="shared" si="442"/>
        <v>0</v>
      </c>
      <c r="AN214" s="67">
        <f t="shared" si="442"/>
        <v>0</v>
      </c>
      <c r="AO214" s="67">
        <f t="shared" si="442"/>
        <v>0</v>
      </c>
      <c r="AP214" s="67">
        <f t="shared" si="442"/>
        <v>0</v>
      </c>
      <c r="AQ214" s="67">
        <f t="shared" si="442"/>
        <v>0</v>
      </c>
      <c r="AR214" s="68">
        <f t="shared" si="442"/>
        <v>0</v>
      </c>
      <c r="AS214" s="66">
        <f t="shared" ref="AS214:BE214" si="443">IF(AND($B214=" ",$K214=AS$3),$O214,0)</f>
        <v>0</v>
      </c>
      <c r="AT214" s="67">
        <f t="shared" si="443"/>
        <v>0</v>
      </c>
      <c r="AU214" s="67">
        <f t="shared" si="443"/>
        <v>0</v>
      </c>
      <c r="AV214" s="67">
        <f t="shared" si="443"/>
        <v>0</v>
      </c>
      <c r="AW214" s="67">
        <f t="shared" si="443"/>
        <v>0</v>
      </c>
      <c r="AX214" s="67">
        <f t="shared" si="443"/>
        <v>0</v>
      </c>
      <c r="AY214" s="69">
        <f t="shared" si="443"/>
        <v>0</v>
      </c>
      <c r="AZ214" s="70">
        <f t="shared" si="443"/>
        <v>0</v>
      </c>
      <c r="BA214" s="70">
        <f t="shared" si="443"/>
        <v>0</v>
      </c>
      <c r="BB214" s="70">
        <f t="shared" si="443"/>
        <v>0</v>
      </c>
      <c r="BC214" s="71">
        <f t="shared" si="443"/>
        <v>0</v>
      </c>
      <c r="BD214" s="67">
        <f t="shared" si="443"/>
        <v>0</v>
      </c>
      <c r="BE214" s="68">
        <f t="shared" si="443"/>
        <v>0</v>
      </c>
      <c r="BF214" s="66">
        <f t="shared" ref="BF214:BR223" si="444">IF($K214=BF$3,IF($C214="X",0,$O214),0)</f>
        <v>0</v>
      </c>
      <c r="BG214" s="67">
        <f t="shared" si="444"/>
        <v>0</v>
      </c>
      <c r="BH214" s="67">
        <f t="shared" si="444"/>
        <v>0</v>
      </c>
      <c r="BI214" s="67">
        <f t="shared" si="444"/>
        <v>4.9400000000000004</v>
      </c>
      <c r="BJ214" s="67">
        <f t="shared" si="444"/>
        <v>0</v>
      </c>
      <c r="BK214" s="67">
        <f t="shared" si="444"/>
        <v>0</v>
      </c>
      <c r="BL214" s="67">
        <f t="shared" si="444"/>
        <v>0</v>
      </c>
      <c r="BM214" s="69">
        <f t="shared" si="444"/>
        <v>0</v>
      </c>
      <c r="BN214" s="70">
        <f t="shared" si="444"/>
        <v>0</v>
      </c>
      <c r="BO214" s="70">
        <f t="shared" si="444"/>
        <v>0</v>
      </c>
      <c r="BP214" s="70">
        <f t="shared" si="444"/>
        <v>0</v>
      </c>
      <c r="BQ214" s="71">
        <f t="shared" si="444"/>
        <v>0</v>
      </c>
      <c r="BR214" s="68">
        <f t="shared" si="444"/>
        <v>0</v>
      </c>
      <c r="BS214" s="490">
        <f>IF($B214="LOSS",IF(AND($K214=BS$3,$C214="L"),-$O214,0)+IF(AND($K215=BS$3,$C215="L"),-$O215,0)+IF(AND($K216=BS$3,$C216="L"),-$O216,0),IF(OR(AND($K214=BS$3,OR($C214="W",$C214="1/2W")),AND($K215=BS$3,OR($C215="W",$C215="1/2W")),AND($K216=BS$3,OR($C216="W",$C216="1/2W"))),$S214,0))</f>
        <v>0</v>
      </c>
      <c r="BT214" s="498">
        <f>IF($B214="LOSS",IF(AND($K214=BT$3,$C214="L"),-$O214,0)+IF(AND($K215=BT$3,$C215="L"),-$O215,0)+IF(AND($K215=BT$3,$C216="L"),-$O216,0),IF(OR(AND($K215=BT$3,OR($C214="W",$C214="1/2W")),AND($K215=BT$3,OR($C215="W",$C215="1/2W")),AND($K215=BT$3,OR($C216="W",$C216="1/2W"))),$S214,0))</f>
        <v>1.72</v>
      </c>
      <c r="BU214" s="488">
        <f>IF($B214="LOSS",IF(AND($K214=BU$3,$C214="L"),-$O214,0)+IF(AND($K215=BU$3,$C215="L"),-$O215,0)+IF(AND($K215=BU$3,$C216="L"),-$O216,0),IF(OR(AND($K215=BU$3,OR($C214="W",$C214="1/2W")),AND($K215=BU$3,OR($C215="W",$C215="1/2W")),AND($K215=BU$3,OR($C216="W",$C216="1/2W"))),$S214,0))</f>
        <v>0</v>
      </c>
      <c r="BV214" s="488">
        <f t="shared" ref="BV214:CE214" si="445">IF($B214="LOSS",IF(AND($K214=BV$3,$C214="L"),-$O214,0)+IF(AND($K215=BV$3,$C215="L"),-$O215,0)+IF(AND($K216=BV$3,$C216="L"),-$O216,0),IF(OR(AND($K214=BV$3,OR($C214="W",$C214="1/2W")),AND($K215=BV$3,OR($C215="W",$C215="1/2W")),AND($K216=BV$3,OR($C216="W",$C216="1/2W"))),$S214,0))</f>
        <v>0</v>
      </c>
      <c r="BW214" s="488">
        <f t="shared" si="445"/>
        <v>0</v>
      </c>
      <c r="BX214" s="488">
        <f t="shared" si="445"/>
        <v>0</v>
      </c>
      <c r="BY214" s="488">
        <f t="shared" si="445"/>
        <v>0</v>
      </c>
      <c r="BZ214" s="488">
        <f t="shared" si="445"/>
        <v>0</v>
      </c>
      <c r="CA214" s="488">
        <f t="shared" si="445"/>
        <v>0</v>
      </c>
      <c r="CB214" s="488">
        <f t="shared" si="445"/>
        <v>0</v>
      </c>
      <c r="CC214" s="488">
        <f t="shared" si="445"/>
        <v>0</v>
      </c>
      <c r="CD214" s="500">
        <f t="shared" si="445"/>
        <v>0</v>
      </c>
      <c r="CE214" s="504">
        <f t="shared" si="445"/>
        <v>0</v>
      </c>
      <c r="CF214" s="160">
        <f t="shared" si="388"/>
        <v>0</v>
      </c>
      <c r="CG214" s="161">
        <f t="shared" si="389"/>
        <v>0</v>
      </c>
      <c r="CH214" s="161">
        <f t="shared" si="390"/>
        <v>0</v>
      </c>
      <c r="CI214" s="161">
        <f t="shared" si="391"/>
        <v>0</v>
      </c>
      <c r="CJ214" s="161">
        <f t="shared" si="392"/>
        <v>0</v>
      </c>
      <c r="CK214" s="161">
        <f t="shared" si="393"/>
        <v>0</v>
      </c>
      <c r="CL214" s="161">
        <f t="shared" si="394"/>
        <v>0</v>
      </c>
      <c r="CM214" s="161">
        <f t="shared" si="395"/>
        <v>1</v>
      </c>
      <c r="CN214" s="161">
        <f t="shared" si="396"/>
        <v>0</v>
      </c>
      <c r="CO214" s="161">
        <f t="shared" si="397"/>
        <v>0</v>
      </c>
      <c r="CP214" s="161">
        <f t="shared" si="398"/>
        <v>0</v>
      </c>
      <c r="CQ214" s="161">
        <f t="shared" si="399"/>
        <v>0</v>
      </c>
      <c r="CR214" s="161">
        <f t="shared" si="400"/>
        <v>0</v>
      </c>
      <c r="CS214" s="161">
        <f t="shared" si="401"/>
        <v>0</v>
      </c>
      <c r="CT214" s="75">
        <f t="shared" si="402"/>
        <v>0</v>
      </c>
      <c r="CU214" s="76">
        <f t="shared" si="403"/>
        <v>0</v>
      </c>
      <c r="CV214" s="76">
        <f t="shared" si="404"/>
        <v>0</v>
      </c>
      <c r="CW214" s="76">
        <f t="shared" si="405"/>
        <v>0</v>
      </c>
      <c r="CX214" s="76">
        <f t="shared" si="406"/>
        <v>0</v>
      </c>
      <c r="CY214" s="76">
        <f t="shared" si="407"/>
        <v>0</v>
      </c>
      <c r="CZ214" s="76">
        <f t="shared" si="408"/>
        <v>0</v>
      </c>
      <c r="DA214" s="76">
        <f t="shared" si="409"/>
        <v>0</v>
      </c>
      <c r="DB214" s="76">
        <f t="shared" si="410"/>
        <v>0</v>
      </c>
      <c r="DC214" s="76">
        <f t="shared" si="411"/>
        <v>0</v>
      </c>
      <c r="DD214" s="76">
        <f t="shared" si="412"/>
        <v>0</v>
      </c>
      <c r="DE214" s="77">
        <f t="shared" si="413"/>
        <v>0</v>
      </c>
      <c r="DF214" s="73">
        <f t="shared" si="415"/>
        <v>14</v>
      </c>
      <c r="DG214" s="67">
        <f t="shared" si="416"/>
        <v>18.05</v>
      </c>
      <c r="DH214" s="76">
        <f t="shared" si="417"/>
        <v>6</v>
      </c>
      <c r="DI214" s="67">
        <f t="shared" si="418"/>
        <v>25.63</v>
      </c>
      <c r="DJ214" s="202" t="str">
        <f>IF($D214="","",$D214)</f>
        <v>6</v>
      </c>
      <c r="DK214" s="492">
        <f>IF(AND($B214=" ",$D214&lt;&gt;""),1,0)</f>
        <v>0</v>
      </c>
    </row>
    <row r="215" spans="1:115" ht="14.5" customHeight="1" x14ac:dyDescent="0.2">
      <c r="A215" s="389"/>
      <c r="B215" s="456"/>
      <c r="C215" s="53" t="s">
        <v>54</v>
      </c>
      <c r="D215" s="374"/>
      <c r="E215" s="386"/>
      <c r="F215" s="377"/>
      <c r="G215" s="508"/>
      <c r="H215" s="476"/>
      <c r="I215" s="182" t="s">
        <v>72</v>
      </c>
      <c r="J215" s="163" t="str">
        <f>IF(OR(I214="TO",I214="TU",I214="TO1",I214="TU1",I214="TO2",I214="TU2"),J214,IF(OR(I214="AH1",I214="AH2"),IF(OR(I215="AH1",I215="AH2"),-J214,IF(OR(I215="EH1",I215="EH2"),-J214+0.5,"")),IF(OR(I214="EH1",I214="EH2"),IF(OR(I215="AH1",I215="AH2"),-J214+0.5,IF(OR(I215="EH1",I215="EH2"),-J214+1,"")),IF(AND(OR(I214="DNB1",I214="DNB2"),OR(I215="AH1",I215="AH2")),0,IF(AND(I214="Not ScoreBoth",OR(I215="TO1",I215="TO2")),0.5,"")))))</f>
        <v/>
      </c>
      <c r="K215" s="57" t="s">
        <v>37</v>
      </c>
      <c r="L215" s="164">
        <v>1.55</v>
      </c>
      <c r="M215" s="165"/>
      <c r="N215" s="406"/>
      <c r="O215" s="60">
        <f>IF(OR(AE214="",AE215=""),"",ROUND(IF(L216&gt;0,IF(M215&gt;0,M215,IF(M214&gt;0,IF(N214=TRUE,ROUND((M214*AE215)/AE214,0),(M214*AE215)/AE214),IF(M215&gt;0,ROUND(M215,IF(N214=0,2,IF(N214=0.1,1,0))),IF(M216&gt;0,ROUND(O216*AE215/AE216,IF(N214=0,2,IF(N214=0.1,1,0))),0)))),IF(M215&gt;0,M215,ROUND((M214*AE215)/AE214,IF(N214=0,2,IF(N214=0.1,1,0))))),2))</f>
        <v>12.11</v>
      </c>
      <c r="P215" s="61">
        <f>IF(OR(L215="",O215=""),"",IF($C215="1/2W",O215/2+O215/2*L215,IF($C215="1/2L",O215/2,IF(I215="Lay",((O215*(L215/(L215-1)))-O215)*(1-_xlfn.XLOOKUP(K215,'Fevereiro 2023 - Valor Real'!A3:A15,'Fevereiro 2023 - Valor Real'!C3:C15,0))+O215,(O215*L215-O215)*(1-_xlfn.XLOOKUP(K215,'Fevereiro 2023 - Valor Real'!A3:A15,'Fevereiro 2023 - Valor Real'!C3:C15,0))+O215))))</f>
        <v>18.770499999999998</v>
      </c>
      <c r="Q215" s="166">
        <f>IF(K215="","",IF(_xlfn.XLOOKUP(K215,K$4:K214,$DJ$4:DJ214,0,,-1)=DJ215,_xlfn.XLOOKUP(K215,K$4:K214,Q$4:Q214,1,,-1)+1,1))</f>
        <v>5</v>
      </c>
      <c r="R215" s="167">
        <f>IF(K215="","",_xlfn.XLOOKUP(K215,K$4:K214,R$4:R214,0,,-1)+IF($C215=" ",1,0))</f>
        <v>0</v>
      </c>
      <c r="S215" s="403"/>
      <c r="T215" s="380"/>
      <c r="U215" s="380"/>
      <c r="V215" s="481"/>
      <c r="W215" s="380"/>
      <c r="X215" s="452"/>
      <c r="Y215" s="383"/>
      <c r="Z215" s="384"/>
      <c r="AA215" s="384"/>
      <c r="AB215" s="384"/>
      <c r="AC215" s="384"/>
      <c r="AD215" s="64"/>
      <c r="AE215" s="65">
        <f>IF(L215="","",IF(L216&gt;0,(SUM(((L214-1)*(1-_xlfn.XLOOKUP(K214,'Fevereiro 2023 - Valor Real'!A3:A15,'Fevereiro 2023 - Valor Real'!C3:C15,0))+1),((L215-1)*(1-_xlfn.XLOOKUP(K215,'Fevereiro 2023 - Valor Real'!A3:A15,'Fevereiro 2023 - Valor Real'!C3:C15,0))+1),((L216-1)*(1-_xlfn.XLOOKUP(K216,'Fevereiro 2023 - Valor Real'!A3:A15,'Fevereiro 2023 - Valor Real'!C3:C15,0))+1))/((L215-1)*(1-_xlfn.XLOOKUP(K215,'Fevereiro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Real'!C3:C15,0))+1))/((L214-1)*(1-_xlfn.XLOOKUP(K214,'Fevereiro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Real'!C3:C15,0))+1))/((L215-1)*(1-_xlfn.XLOOKUP(K215,'Fevereiro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Real'!C3:C15,0))+1))/((L216-1)*(1-_xlfn.XLOOKUP(K216,'Fevereiro 2023 - Valor Real'!A3:A15,'Fevereiro 2023 - Valor Real'!C3:C15,0))+1)),IF(I215="Lay",IF(I214="Lay",((L214/(L214-1)-1)*(1-_xlfn.XLOOKUP(K214,'Fevereiro 2023 - Valor Real'!A3:A15,'Fevereiro 2023 - Valor Real'!C3:C15,0))+1)/(((L214/(L214-1)-1)*(1-_xlfn.XLOOKUP(K214,'Fevereiro 2023 - Valor Real'!A3:A15,'Fevereiro 2023 - Valor Real'!C3:C15,0))+1)+((L215/(L215-1)-1)*(1-_xlfn.XLOOKUP(K215,'Fevereiro 2023 - Valor Real'!A3:A15,'Fevereiro 2023 - Valor Real'!C3:C15,0))+1)),((L214-1)*(1-_xlfn.XLOOKUP(K214,'Fevereiro 2023 - Valor Real'!A3:A15,'Fevereiro 2023 - Valor Real'!C3:C15,0))+1)/(((L214-1)*(1-_xlfn.XLOOKUP(K214,'Fevereiro 2023 - Valor Real'!A3:A15,'Fevereiro 2023 - Valor Real'!C3:C15,0))+1)+((L215/(L215-1)-1)*(1-_xlfn.XLOOKUP(K215,'Fevereiro 2023 - Valor Real'!A3:A15,'Fevereiro 2023 - Valor Real'!C3:C15,0))+1))),IF(I214="Lay",((L214/(L214-1)-1)*(1-_xlfn.XLOOKUP(K214,'Fevereiro 2023 - Valor Real'!A3:A15,'Fevereiro 2023 - Valor Real'!C3:C15,0))+1)/((((L214/(L214-1)-1)*(1-_xlfn.XLOOKUP(K214,'Fevereiro 2023 - Valor Real'!A3:A15,'Fevereiro 2023 - Valor Real'!C3:C15,0))+1))+((L215-1)*(1-_xlfn.XLOOKUP(K215,'Fevereiro 2023 - Valor Real'!A3:A15,'Fevereiro 2023 - Valor Real'!C3:C15,0))+1)),((L214-1)*(1-_xlfn.XLOOKUP(K214,'Fevereiro 2023 - Valor Real'!A3:A15,'Fevereiro 2023 - Valor Real'!C3:C15,0))+1)/(((L214-1)*(1-_xlfn.XLOOKUP(K214,'Fevereiro 2023 - Valor Real'!A3:A15,'Fevereiro 2023 - Valor Real'!C3:C15,0))+1)+((L215-1)*(1-_xlfn.XLOOKUP(K215,'Fevereiro 2023 - Valor Real'!A3:A15,'Fevereiro 2023 - Valor Real'!C3:C15,0))+1))))))</f>
        <v>0.71028037383177567</v>
      </c>
      <c r="AF215" s="66">
        <f t="shared" si="442"/>
        <v>0</v>
      </c>
      <c r="AG215" s="67">
        <f t="shared" si="442"/>
        <v>6.66</v>
      </c>
      <c r="AH215" s="67">
        <f t="shared" si="442"/>
        <v>0</v>
      </c>
      <c r="AI215" s="67">
        <f t="shared" si="442"/>
        <v>0</v>
      </c>
      <c r="AJ215" s="67">
        <f t="shared" si="442"/>
        <v>0</v>
      </c>
      <c r="AK215" s="67">
        <f t="shared" si="442"/>
        <v>0</v>
      </c>
      <c r="AL215" s="67">
        <f t="shared" si="442"/>
        <v>0</v>
      </c>
      <c r="AM215" s="67">
        <f t="shared" si="442"/>
        <v>0</v>
      </c>
      <c r="AN215" s="67">
        <f t="shared" si="442"/>
        <v>0</v>
      </c>
      <c r="AO215" s="67">
        <f t="shared" si="442"/>
        <v>0</v>
      </c>
      <c r="AP215" s="67">
        <f t="shared" si="442"/>
        <v>0</v>
      </c>
      <c r="AQ215" s="67">
        <f t="shared" si="442"/>
        <v>0</v>
      </c>
      <c r="AR215" s="68">
        <f t="shared" si="442"/>
        <v>0</v>
      </c>
      <c r="AS215" s="66">
        <f>IF(AND($B214=" ",$K215=AS$3),$O215,0)</f>
        <v>0</v>
      </c>
      <c r="AT215" s="67">
        <f>IF(AND($B214=" ",K215=AT$3),$O215,0)</f>
        <v>0</v>
      </c>
      <c r="AU215" s="67">
        <f t="shared" ref="AU215:BE215" si="446">IF(AND($B214=" ",$K215=AU$3),$O215,0)</f>
        <v>0</v>
      </c>
      <c r="AV215" s="67">
        <f t="shared" si="446"/>
        <v>0</v>
      </c>
      <c r="AW215" s="67">
        <f t="shared" si="446"/>
        <v>0</v>
      </c>
      <c r="AX215" s="67">
        <f t="shared" si="446"/>
        <v>0</v>
      </c>
      <c r="AY215" s="69">
        <f t="shared" si="446"/>
        <v>0</v>
      </c>
      <c r="AZ215" s="70">
        <f t="shared" si="446"/>
        <v>0</v>
      </c>
      <c r="BA215" s="70">
        <f t="shared" si="446"/>
        <v>0</v>
      </c>
      <c r="BB215" s="70">
        <f t="shared" si="446"/>
        <v>0</v>
      </c>
      <c r="BC215" s="71">
        <f t="shared" si="446"/>
        <v>0</v>
      </c>
      <c r="BD215" s="67">
        <f t="shared" si="446"/>
        <v>0</v>
      </c>
      <c r="BE215" s="68">
        <f t="shared" si="446"/>
        <v>0</v>
      </c>
      <c r="BF215" s="66">
        <f t="shared" si="444"/>
        <v>0</v>
      </c>
      <c r="BG215" s="168">
        <f t="shared" si="444"/>
        <v>12.11</v>
      </c>
      <c r="BH215" s="67">
        <f t="shared" si="444"/>
        <v>0</v>
      </c>
      <c r="BI215" s="67">
        <f t="shared" si="444"/>
        <v>0</v>
      </c>
      <c r="BJ215" s="67">
        <f t="shared" si="444"/>
        <v>0</v>
      </c>
      <c r="BK215" s="67">
        <f t="shared" si="444"/>
        <v>0</v>
      </c>
      <c r="BL215" s="67">
        <f t="shared" si="444"/>
        <v>0</v>
      </c>
      <c r="BM215" s="69">
        <f t="shared" si="444"/>
        <v>0</v>
      </c>
      <c r="BN215" s="70">
        <f t="shared" si="444"/>
        <v>0</v>
      </c>
      <c r="BO215" s="70">
        <f t="shared" si="444"/>
        <v>0</v>
      </c>
      <c r="BP215" s="70">
        <f t="shared" si="444"/>
        <v>0</v>
      </c>
      <c r="BQ215" s="71">
        <f t="shared" si="444"/>
        <v>0</v>
      </c>
      <c r="BR215" s="68">
        <f t="shared" si="444"/>
        <v>0</v>
      </c>
      <c r="BS215" s="491"/>
      <c r="BT215" s="489"/>
      <c r="BU215" s="392"/>
      <c r="BV215" s="489"/>
      <c r="BW215" s="392"/>
      <c r="BX215" s="392"/>
      <c r="BY215" s="392"/>
      <c r="BZ215" s="489"/>
      <c r="CA215" s="392"/>
      <c r="CB215" s="392"/>
      <c r="CC215" s="392"/>
      <c r="CD215" s="401"/>
      <c r="CE215" s="409"/>
      <c r="CF215" s="169">
        <f t="shared" si="388"/>
        <v>0</v>
      </c>
      <c r="CG215" s="170">
        <f t="shared" si="389"/>
        <v>0</v>
      </c>
      <c r="CH215" s="170">
        <f t="shared" si="390"/>
        <v>1</v>
      </c>
      <c r="CI215" s="170">
        <f t="shared" si="391"/>
        <v>0</v>
      </c>
      <c r="CJ215" s="170">
        <f t="shared" si="392"/>
        <v>0</v>
      </c>
      <c r="CK215" s="170">
        <f t="shared" si="393"/>
        <v>0</v>
      </c>
      <c r="CL215" s="170">
        <f t="shared" si="394"/>
        <v>0</v>
      </c>
      <c r="CM215" s="170">
        <f t="shared" si="395"/>
        <v>0</v>
      </c>
      <c r="CN215" s="170">
        <f t="shared" si="396"/>
        <v>0</v>
      </c>
      <c r="CO215" s="170">
        <f t="shared" si="397"/>
        <v>0</v>
      </c>
      <c r="CP215" s="170">
        <f t="shared" si="398"/>
        <v>0</v>
      </c>
      <c r="CQ215" s="170">
        <f t="shared" si="399"/>
        <v>0</v>
      </c>
      <c r="CR215" s="170">
        <f t="shared" si="400"/>
        <v>0</v>
      </c>
      <c r="CS215" s="170">
        <f t="shared" si="401"/>
        <v>0</v>
      </c>
      <c r="CT215" s="75">
        <f t="shared" si="402"/>
        <v>0</v>
      </c>
      <c r="CU215" s="76">
        <f t="shared" si="403"/>
        <v>0</v>
      </c>
      <c r="CV215" s="76">
        <f t="shared" si="404"/>
        <v>0</v>
      </c>
      <c r="CW215" s="76">
        <f t="shared" si="405"/>
        <v>0</v>
      </c>
      <c r="CX215" s="76">
        <f t="shared" si="406"/>
        <v>0</v>
      </c>
      <c r="CY215" s="76">
        <f t="shared" si="407"/>
        <v>0</v>
      </c>
      <c r="CZ215" s="76">
        <f t="shared" si="408"/>
        <v>0</v>
      </c>
      <c r="DA215" s="76">
        <f t="shared" si="409"/>
        <v>0</v>
      </c>
      <c r="DB215" s="76">
        <f t="shared" si="410"/>
        <v>0</v>
      </c>
      <c r="DC215" s="76">
        <f t="shared" si="411"/>
        <v>0</v>
      </c>
      <c r="DD215" s="76">
        <f t="shared" si="412"/>
        <v>0</v>
      </c>
      <c r="DE215" s="77">
        <f t="shared" si="413"/>
        <v>0</v>
      </c>
      <c r="DF215" s="73">
        <f t="shared" si="415"/>
        <v>14</v>
      </c>
      <c r="DG215" s="67">
        <f t="shared" si="416"/>
        <v>18.05</v>
      </c>
      <c r="DH215" s="76">
        <f t="shared" si="417"/>
        <v>6</v>
      </c>
      <c r="DI215" s="67">
        <f t="shared" si="418"/>
        <v>25.63</v>
      </c>
      <c r="DJ215" s="202" t="str">
        <f>IF($D214="","",$D214)</f>
        <v>6</v>
      </c>
      <c r="DK215" s="493"/>
    </row>
    <row r="216" spans="1:115" ht="14.5" customHeight="1" x14ac:dyDescent="0.2">
      <c r="A216" s="390"/>
      <c r="B216" s="457"/>
      <c r="C216" s="79" t="s">
        <v>53</v>
      </c>
      <c r="D216" s="375"/>
      <c r="E216" s="387"/>
      <c r="F216" s="378"/>
      <c r="G216" s="508"/>
      <c r="H216" s="477"/>
      <c r="I216" s="171"/>
      <c r="J216" s="172"/>
      <c r="K216" s="81"/>
      <c r="L216" s="173"/>
      <c r="M216" s="174"/>
      <c r="N216" s="407"/>
      <c r="O216" s="86" t="str">
        <f>IF(OR(AE214="",AE215=""),"",IF(L216&gt;0,ROUND(IF(M216&gt;0,M216,IF(M214&gt;0,ROUND((M214*AE216)/AE214,IF(N214=0,2,IF(N214=0.1,1,0))),IF(M215&gt;0,ROUND((M215*AE216)/AE215,IF(N214=0,2,IF(N214=0.1,1,0))),IF(M216&gt;0,M216,0)))),2),""))</f>
        <v/>
      </c>
      <c r="P216" s="87" t="str">
        <f>IF(I215="Lay",O215*(L215/(L215-1))-O215,IF(I214="Lay",O214*(L214/(L214-1))-O214,IF(OR(L216="",O216=""),"",IF($C216="1/2W",O216/2+O216/2*L216,IF($C216="1/2L",O216/2,(O216*L216-O216)*(1-_xlfn.XLOOKUP(K216,'Fevereiro 2023 - Valor Real'!A3:A15,'Fevereiro 2023 - Valor Real'!C3:C15,0))+O216)))))</f>
        <v/>
      </c>
      <c r="Q216" s="54" t="str">
        <f>IF(K216="","",IF(_xlfn.XLOOKUP(K216,K$4:K215,$DJ$4:DJ215,0,,-1)=DJ216,_xlfn.XLOOKUP(K216,K$4:K215,Q$4:Q215,1,,-1)+1,1))</f>
        <v/>
      </c>
      <c r="R216" s="87" t="str">
        <f>IF(K216="","",_xlfn.XLOOKUP(K216,K$4:K215,R$4:R215,0,,-1)+IF($C216=" ",1,0))</f>
        <v/>
      </c>
      <c r="S216" s="404"/>
      <c r="T216" s="378"/>
      <c r="U216" s="378"/>
      <c r="V216" s="404"/>
      <c r="W216" s="378"/>
      <c r="X216" s="453"/>
      <c r="Y216" s="383"/>
      <c r="Z216" s="384"/>
      <c r="AA216" s="384"/>
      <c r="AB216" s="384"/>
      <c r="AC216" s="384"/>
      <c r="AD216" s="90"/>
      <c r="AE216" s="91" t="str">
        <f>IF(L216="","",(SUM(((L214-1)*(1-_xlfn.XLOOKUP(K214,'Fevereiro 2023 - Valor Real'!A3:A15,'Fevereiro 2023 - Valor Real'!C3:C15,0))+1),((L215-1)*(1-_xlfn.XLOOKUP(K215,'Fevereiro 2023 - Valor Real'!A3:A15,'Fevereiro 2023 - Valor Real'!C3:C15,0))+1),((L216-1)*(1-_xlfn.XLOOKUP(K216,'Fevereiro 2023 - Valor Real'!A3:A15,'Fevereiro 2023 - Valor Real'!C3:C15,0))+1))/((L216-1)*(1-_xlfn.XLOOKUP(K216,'Fevereiro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Real'!C3:C15,0))+1))/((L214-1)*(1-_xlfn.XLOOKUP(K214,'Fevereiro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Real'!C3:C15,0))+1))/((L215-1)*(1-_xlfn.XLOOKUP(K215,'Fevereiro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Real'!C3:C15,0))+1))/((L216-1)*(1-_xlfn.XLOOKUP(K216,'Fevereiro 2023 - Valor Real'!A3:A15,'Fevereiro 2023 - Valor Real'!C3:C15,0))+1)))</f>
        <v/>
      </c>
      <c r="AF216" s="66">
        <f t="shared" si="442"/>
        <v>0</v>
      </c>
      <c r="AG216" s="67">
        <f t="shared" si="442"/>
        <v>0</v>
      </c>
      <c r="AH216" s="67">
        <f t="shared" si="442"/>
        <v>0</v>
      </c>
      <c r="AI216" s="67">
        <f t="shared" si="442"/>
        <v>0</v>
      </c>
      <c r="AJ216" s="67">
        <f t="shared" si="442"/>
        <v>0</v>
      </c>
      <c r="AK216" s="67">
        <f t="shared" si="442"/>
        <v>0</v>
      </c>
      <c r="AL216" s="67">
        <f t="shared" si="442"/>
        <v>0</v>
      </c>
      <c r="AM216" s="67">
        <f t="shared" si="442"/>
        <v>0</v>
      </c>
      <c r="AN216" s="67">
        <f t="shared" si="442"/>
        <v>0</v>
      </c>
      <c r="AO216" s="67">
        <f t="shared" si="442"/>
        <v>0</v>
      </c>
      <c r="AP216" s="67">
        <f t="shared" si="442"/>
        <v>0</v>
      </c>
      <c r="AQ216" s="67">
        <f t="shared" si="442"/>
        <v>0</v>
      </c>
      <c r="AR216" s="68">
        <f t="shared" si="442"/>
        <v>0</v>
      </c>
      <c r="AS216" s="66">
        <f>IF(AND($B214=" ",$K216=AS$3),$O216,0)</f>
        <v>0</v>
      </c>
      <c r="AT216" s="67">
        <f>IF(AND($B214=" ",K216=AT$3),$O216,0)</f>
        <v>0</v>
      </c>
      <c r="AU216" s="67">
        <f t="shared" ref="AU216:BE216" si="447">IF(AND($B214=" ",$K216=AU$3),$O216,0)</f>
        <v>0</v>
      </c>
      <c r="AV216" s="67">
        <f t="shared" si="447"/>
        <v>0</v>
      </c>
      <c r="AW216" s="67">
        <f t="shared" si="447"/>
        <v>0</v>
      </c>
      <c r="AX216" s="67">
        <f t="shared" si="447"/>
        <v>0</v>
      </c>
      <c r="AY216" s="69">
        <f t="shared" si="447"/>
        <v>0</v>
      </c>
      <c r="AZ216" s="70">
        <f t="shared" si="447"/>
        <v>0</v>
      </c>
      <c r="BA216" s="70">
        <f t="shared" si="447"/>
        <v>0</v>
      </c>
      <c r="BB216" s="70">
        <f t="shared" si="447"/>
        <v>0</v>
      </c>
      <c r="BC216" s="71">
        <f t="shared" si="447"/>
        <v>0</v>
      </c>
      <c r="BD216" s="67">
        <f t="shared" si="447"/>
        <v>0</v>
      </c>
      <c r="BE216" s="68">
        <f t="shared" si="447"/>
        <v>0</v>
      </c>
      <c r="BF216" s="66">
        <f t="shared" si="444"/>
        <v>0</v>
      </c>
      <c r="BG216" s="168">
        <f t="shared" si="444"/>
        <v>0</v>
      </c>
      <c r="BH216" s="67">
        <f t="shared" si="444"/>
        <v>0</v>
      </c>
      <c r="BI216" s="67">
        <f t="shared" si="444"/>
        <v>0</v>
      </c>
      <c r="BJ216" s="67">
        <f t="shared" si="444"/>
        <v>0</v>
      </c>
      <c r="BK216" s="67">
        <f t="shared" si="444"/>
        <v>0</v>
      </c>
      <c r="BL216" s="67">
        <f t="shared" si="444"/>
        <v>0</v>
      </c>
      <c r="BM216" s="69">
        <f t="shared" si="444"/>
        <v>0</v>
      </c>
      <c r="BN216" s="70">
        <f t="shared" si="444"/>
        <v>0</v>
      </c>
      <c r="BO216" s="70">
        <f t="shared" si="444"/>
        <v>0</v>
      </c>
      <c r="BP216" s="70">
        <f t="shared" si="444"/>
        <v>0</v>
      </c>
      <c r="BQ216" s="71">
        <f t="shared" si="444"/>
        <v>0</v>
      </c>
      <c r="BR216" s="68">
        <f t="shared" si="444"/>
        <v>0</v>
      </c>
      <c r="BS216" s="491"/>
      <c r="BT216" s="489"/>
      <c r="BU216" s="392"/>
      <c r="BV216" s="489"/>
      <c r="BW216" s="392"/>
      <c r="BX216" s="392"/>
      <c r="BY216" s="392"/>
      <c r="BZ216" s="489"/>
      <c r="CA216" s="392"/>
      <c r="CB216" s="392"/>
      <c r="CC216" s="392"/>
      <c r="CD216" s="401"/>
      <c r="CE216" s="409"/>
      <c r="CF216" s="169">
        <f t="shared" si="388"/>
        <v>0</v>
      </c>
      <c r="CG216" s="170">
        <f t="shared" si="389"/>
        <v>0</v>
      </c>
      <c r="CH216" s="170">
        <f t="shared" si="390"/>
        <v>0</v>
      </c>
      <c r="CI216" s="170">
        <f t="shared" si="391"/>
        <v>0</v>
      </c>
      <c r="CJ216" s="170">
        <f t="shared" si="392"/>
        <v>0</v>
      </c>
      <c r="CK216" s="170">
        <f t="shared" si="393"/>
        <v>0</v>
      </c>
      <c r="CL216" s="170">
        <f t="shared" si="394"/>
        <v>0</v>
      </c>
      <c r="CM216" s="170">
        <f t="shared" si="395"/>
        <v>0</v>
      </c>
      <c r="CN216" s="170">
        <f t="shared" si="396"/>
        <v>0</v>
      </c>
      <c r="CO216" s="170">
        <f t="shared" si="397"/>
        <v>0</v>
      </c>
      <c r="CP216" s="170">
        <f t="shared" si="398"/>
        <v>0</v>
      </c>
      <c r="CQ216" s="170">
        <f t="shared" si="399"/>
        <v>0</v>
      </c>
      <c r="CR216" s="170">
        <f t="shared" si="400"/>
        <v>0</v>
      </c>
      <c r="CS216" s="170">
        <f t="shared" si="401"/>
        <v>0</v>
      </c>
      <c r="CT216" s="75">
        <f t="shared" si="402"/>
        <v>0</v>
      </c>
      <c r="CU216" s="76">
        <f t="shared" si="403"/>
        <v>0</v>
      </c>
      <c r="CV216" s="76">
        <f t="shared" si="404"/>
        <v>0</v>
      </c>
      <c r="CW216" s="76">
        <f t="shared" si="405"/>
        <v>0</v>
      </c>
      <c r="CX216" s="76">
        <f t="shared" si="406"/>
        <v>0</v>
      </c>
      <c r="CY216" s="76">
        <f t="shared" si="407"/>
        <v>0</v>
      </c>
      <c r="CZ216" s="76">
        <f t="shared" si="408"/>
        <v>0</v>
      </c>
      <c r="DA216" s="76">
        <f t="shared" si="409"/>
        <v>0</v>
      </c>
      <c r="DB216" s="76">
        <f t="shared" si="410"/>
        <v>0</v>
      </c>
      <c r="DC216" s="76">
        <f t="shared" si="411"/>
        <v>0</v>
      </c>
      <c r="DD216" s="76">
        <f t="shared" si="412"/>
        <v>0</v>
      </c>
      <c r="DE216" s="77">
        <f t="shared" si="413"/>
        <v>0</v>
      </c>
      <c r="DF216" s="73">
        <f t="shared" si="415"/>
        <v>14</v>
      </c>
      <c r="DG216" s="67">
        <f t="shared" si="416"/>
        <v>18.05</v>
      </c>
      <c r="DH216" s="76">
        <f t="shared" si="417"/>
        <v>6</v>
      </c>
      <c r="DI216" s="67">
        <f t="shared" si="418"/>
        <v>25.63</v>
      </c>
      <c r="DJ216" s="202" t="str">
        <f>IF($D214="","",$D214)</f>
        <v>6</v>
      </c>
      <c r="DK216" s="493"/>
    </row>
    <row r="217" spans="1:115" ht="14.5" customHeight="1" x14ac:dyDescent="0.2">
      <c r="A217" s="459">
        <f>$A214+1</f>
        <v>72</v>
      </c>
      <c r="B217" s="507" t="str">
        <f>IF(OR(C217="W",C218="W",C219="W",C217="1/2W",C218="1/2W",C219="1/2W",C217="1/2L",C218="1/2L",C219="1/2L"),"OK",IF(OR(C217="L",C218="L",C219="L"),"LOSS",IF(OR(C217="X",C218="X",C219="X"),"Anulado"," ")))</f>
        <v>OK</v>
      </c>
      <c r="C217" s="93" t="s">
        <v>55</v>
      </c>
      <c r="D217" s="468" t="str">
        <f>IF(G217="","",$D214)</f>
        <v>6</v>
      </c>
      <c r="E217" s="485" t="str">
        <f>IF(G217=""," ","– "&amp;COUNTIF(D$4:D219,$D217))</f>
        <v>– 15</v>
      </c>
      <c r="F217" s="509" t="str">
        <f ca="1">IF(G217="","",IF(OR(AND($C217&lt;&gt;" ",$C218=" "),AND($C218&lt;&gt;" ",$C217=" "),AND(L219&gt;0,OR(AND($C219&lt;&gt;" ",OR($C217=" ",$C218=" ")),AND($C219=" ",OR($C217&lt;&gt;" ",$C218&lt;&gt;" "))))),IF(SUM(F$4:F216)=0,1,LARGE(F$4:F216,1)+1),IF(MONTH(G217)=MONTH(TODAY()),IF(AND(DAY(G217)&lt;DAY(TODAY()),$B217=" "),IF(SUM(F$4:F216)=0,1,LARGE(F$4:F216,1)+1),IF($B217=" ",IF(AND(DAY(G217)=DAY(TODAY()),HOUR(G217)&lt;=HOUR(NOW())+1),IF(AND(HOUR(G217)+2&lt;=HOUR(NOW()),DAY(G217)&lt;=DAY(TODAY()),MINUTE(G217)&lt;=MINUTE(NOW())),IF(SUM(F$4:F216)=0,1,LARGE(F$4:F216,1)+1),IF(OR(MINUTE(G217)&lt;=MINUTE(NOW()),HOUR(G217)&lt;=HOUR(NOW())),"!!!","")),""),"")),"")))</f>
        <v/>
      </c>
      <c r="G217" s="482">
        <f>IF(H217="","",_xlfn.XLOOKUP(H217,$H$4:H216,$G$4:G216,""))</f>
        <v>44992.833333333336</v>
      </c>
      <c r="H217" s="475" t="s">
        <v>121</v>
      </c>
      <c r="I217" s="94" t="s">
        <v>51</v>
      </c>
      <c r="J217" s="95">
        <v>0.5</v>
      </c>
      <c r="K217" s="96" t="s">
        <v>47</v>
      </c>
      <c r="L217" s="97">
        <v>3.3</v>
      </c>
      <c r="M217" s="98"/>
      <c r="N217" s="478">
        <v>0.1</v>
      </c>
      <c r="O217" s="99">
        <f>IF(OR(AE217="",AE218=""),"",ROUND(IF(L219&gt;0,IF(M217&gt;0,M217,IF(M218&gt;0,ROUND((M218*AE217)/AE218,IF(N217=0,2,IF(N217=0.1,1,0))),ROUND((M219*AE217)/AE219,IF(N217=0,2,IF(N217=0.1,1,0))))),IF(M217&gt;0,M217,ROUND((M218*AE217)/AE218,IF(N217=0,2,IF(N217=0.1,1,0))))),2))</f>
        <v>11.6</v>
      </c>
      <c r="P217" s="100">
        <f>IF(OR(L217="",O217=""),"",IF($C217="1/2W",O217/2+O217/2*L217,IF($C217="1/2L",O217/2,IF(I217="Lay",(O217*(L217/(L217-1))-O217)*(1-_xlfn.XLOOKUP(K217,'Fevereiro 2023 - Valor Real'!A3:A15,'Fevereiro 2023 - Valor Real'!C3:C15,0))+O217,(O217*L217-O217)*(1-_xlfn.XLOOKUP(K217,'Fevereiro 2023 - Valor Real'!A3:A15,'Fevereiro 2023 - Valor Real'!C3:C15,0))+O217))))</f>
        <v>38.279999999999994</v>
      </c>
      <c r="Q217" s="101">
        <f>IF(K217="","",IF(_xlfn.XLOOKUP(K217,K$4:K216,$DJ$4:DJ216,0,,-1)=DJ217,_xlfn.XLOOKUP(K217,K$4:K216,Q$4:Q216,1,,-1)+1,1))</f>
        <v>4</v>
      </c>
      <c r="R217" s="102">
        <f>IF(K217="","",_xlfn.XLOOKUP(K217,K$4:K216,R$4:R216,0,,-1)+IF($C217=" ",1,0))</f>
        <v>0</v>
      </c>
      <c r="S217" s="474">
        <f>IF($B217="Anulado",0,ROUND(IF(OR($B217="LOSS",$B217="OK"),IF(OR($C217="W",$C217="1/2W",$C217="1/2L"),P217-O217,IF($C217="L",-O217,0))+IF(OR($C218="W",$C218="1/2W",$C218="1/2L"),P218-O218,IF($C218="L",-O218,0))+IF(OR($C219="W",$C219="1/2W",$C219="1/2L"),P219-O219,IF($C219="L",-O219,0)),IF(AND(OR($C217="W",$C217="1/2W",$C217="1/2L"),C218="W"),P217+P218-SUM(O217:O219)+_xlfn.XLOOKUP("X",C217:C219,O217:O219,0),IF(AND(C217=TRUE,C219="W"),P217+P219-SUM(O217:O219),IF(AND(C218="W",C219="W"),P218+P219-SUM(O217:O219)+_xlfn.XLOOKUP("X",C217:C219,O217:O219,0),IF(L219&gt;0,IF(OR($C217="W",$C217="1/2W",$C217="1/2L"),P217-SUM(O217:O219)+_xlfn.XLOOKUP("X",C217:C219,O217:O219,0),IF(OR($C217="W",$C217="1/2W",$C217="1/2L"),P218-SUM(O217:O219)+_xlfn.XLOOKUP("X",C217:C219,O217:O219,0),IF(OR($C217="W",$C217="1/2W",$C217="1/2L"),P219-SUM(O217:O219)+_xlfn.XLOOKUP("X",C217:C219,O217:O219,0),IF(SUM(P217:P219)/3-SUM(O217:O219)+_xlfn.XLOOKUP("X",C217:C219,O217:O219,0)&gt;0,SUM(P217:P219)/3-SUM(O217:O219)+_xlfn.XLOOKUP("X",C217:C219,O217:O219,0),LARGE(P217:P219,1)-SUM(O217:O219))))),IF(OR($C217="W",$C217="1/2W",$C217="1/2L"),P217-SUM(O217:O218)+_xlfn.XLOOKUP("X",C217:C219,O217:O219,0),IF(OR($C217="W",$C217="1/2W",$C217="1/2L"),P218-SUM(O217:O218)+_xlfn.XLOOKUP("X",C217:C219,O217:O219,0),SUM(P217:P218)/2-SUM(O217:O218)+_xlfn.XLOOKUP("X",C217:C219,O217:O219,0)))))))),2))</f>
        <v>2.75</v>
      </c>
      <c r="T217" s="458">
        <f>IF(S217=0,0,S217/SUM(O217:O219))</f>
        <v>7.7442973810194313E-2</v>
      </c>
      <c r="U217" s="470">
        <f>IF($D217=$D214,IF(OR($B217="LOSS",$B217="OK",$B217="Anulada"),S217,0)+U214,IF(OR($B217="LOSS",$B217="OK",$B217="Anulada"),S217,0))</f>
        <v>40.699999999999996</v>
      </c>
      <c r="V217" s="470">
        <f>IF($D217="",0,IF($D217=$D214,IF($B217=" ",IF(I219="",IF(OR(AND(I217="DNB1",I218="DNB2"),AND(OR(I217="DNB1",I217="DNB2"),J218=0),AND(OR(I218="DNB1",I218="DNB2"),J217=0),AND(I217="DNB2",I218="DNB1"),AND(IF(J217=0,(J217+1)/ROUND(J217+1,0),J217/ROUND(J217,0))=1,IF(J218=0,(J218+1)/ROUND(IF(J218="",0,J218)+1,0),IF(J218="",0,J218)/ROUND(IF(J218="",1,J218),0))=1,OR(J217&lt;&gt;""),J218&lt;&gt;"")),0,IF(S217&lt;0,IF(I219="",SMALL(P217:P218,1)-SUM(O217:O218),0),SMALL(P217:P218,1)-SUM(O217:O218))),IF(S217&lt;0,IF(I219="",SMALL(P217:P219,1)-SUM(O217:O219),0),LARGE(P217:P219,1)-SUM(O217:O219))),S217)+V214,IF(I219="",IF(OR(AND(I217="DNB1",I218="DNB2"),AND(OR(I217="DNB1",I217="DNB2"),J218=0),AND(OR(I218="DNB1",I218="DNB2"),J217=0),AND(I217="DNB2",I218="DNB1"),AND(IF(J217=0,(J217+1)/ROUND(J217+1,0),J217/ROUND(J217,0))=1,IF(J218=0,(IF(J218="",0,J218)+1)/ROUND(IF(J218="",0,J218)+1,0),IF(J218="",0,J218)/ROUND(IF(J218="",0,J218)+1,0))=1,OR(J217&lt;&gt;""),J218&lt;&gt;"")),0,IF(S217&lt;0,IF(I219="",SMALL(P217:P218,1)-SUM(O217:O218),0),SMALL(P217:P219,1)-SUM(O217:O219))),IF(S217&lt;0,IF(I219="",SMALL(P217:P219,1)-SUM(O217:O219),0),LARGE(P217:P219,1)-SUM(O217:O219)))))</f>
        <v>40.691999999999986</v>
      </c>
      <c r="W217" s="470">
        <f>IF($D217=$D214,IF(S217&lt;0,IF(I219="",S217,0),S217)+W214,S217)</f>
        <v>40.699999999999996</v>
      </c>
      <c r="X217" s="480" t="str">
        <f>IF(OR(SUM(R217:R219)=0,V217=W217),ROUND(IF(W217=0,0,W217/Y217)*100,2)&amp;"%",ROUND(IF(V217=0,0,V217/Y217)*100,2)&amp;"% a "&amp;ROUND(IF(W217=0,0,W217/Y217)*100,2)&amp;"%")</f>
        <v>5,99%</v>
      </c>
      <c r="Y217" s="471">
        <f>IF($D217=$D214,Y214+SUM(O217:O219),SUM(O217:O219))</f>
        <v>679.07999999999993</v>
      </c>
      <c r="Z217" s="470">
        <f>IF($B217=" ",SUM(O217:O219),0)+Z214</f>
        <v>0</v>
      </c>
      <c r="AA217" s="470">
        <f>IF(G217="","",IF($B217="Anulado",LARGE(P217:P219,1)-SUM(O217:O219)+AA214,AA214))</f>
        <v>1.4607999999999972</v>
      </c>
      <c r="AB217" s="470">
        <f>IF($D217="","",AB214+S217)</f>
        <v>180.54999999999998</v>
      </c>
      <c r="AC217" s="472">
        <f ca="1">IF($D217="","",IF($B217=" ",IF(DAY(G217)=DAY(TODAY()),1+AC214,0+AC214),0+AC214))</f>
        <v>0</v>
      </c>
      <c r="AD217" s="103">
        <f>(((L218/(L218-1)-1)*(1-_xlfn.XLOOKUP(K218,'Fevereiro 2023 - Valor Real'!A3:A15,'Fevereiro 2023 - Valor Real'!C3:C15,0))+1))/(((L217-1)*(1-_xlfn.XLOOKUP(K217,'Fevereiro 2023 - Valor Real'!A3:A15,'Fevereiro 2023 - Valor Real'!C3:C15,0))+1)+((L218/(L218-1)-1)*(1-_xlfn.XLOOKUP(K218,'Fevereiro 2023 - Valor Real'!A3:A15,'Fevereiro 2023 - Valor Real'!C3:C15,0))+1))</f>
        <v>0.44692737430167595</v>
      </c>
      <c r="AE217" s="104">
        <f>IF(L217="","",IF(L219&gt;0,(SUM(((L217-1)*(1-_xlfn.XLOOKUP(K217,'Fevereiro 2023 - Valor Real'!A3:A15,'Fevereiro 2023 - Valor Real'!C3:C15,0))+1),((L218-1)*(1-_xlfn.XLOOKUP(K218,'Fevereiro 2023 - Valor Real'!A3:A15,'Fevereiro 2023 - Valor Real'!C3:C15,0))+1),((L219-1)*(1-_xlfn.XLOOKUP(K219,'Fevereiro 2023 - Valor Real'!A3:A15,'Fevereiro 2023 - Valor Real'!C3:C15,0))+1))/((L217-1)*(1-_xlfn.XLOOKUP(K217,'Fevereiro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Real'!C3:C15,0))+1))/((L217-1)*(1-_xlfn.XLOOKUP(K217,'Fevereiro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Real'!C3:C15,0))+1))/((L218-1)*(1-_xlfn.XLOOKUP(K218,'Fevereiro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Real'!C3:C15,0))+1))/((L219-1)*(1-_xlfn.XLOOKUP(K219,'Fevereiro 2023 - Valor Real'!A3:A15,'Fevereiro 2023 - Valor Real'!C3:C15,0))+1)),IF(I217="Lay",IF(I218="Lay",((L218/(L218-1)-1)*(1-_xlfn.XLOOKUP(K218,'Fevereiro 2023 - Valor Real'!A3:A15,'Fevereiro 2023 - Valor Real'!C3:C15,0))+1)/(((L218/(L218-1)-1)*(1-_xlfn.XLOOKUP(K218,'Fevereiro 2023 - Valor Real'!A3:A15,'Fevereiro 2023 - Valor Real'!C3:C15,0))+1)+((L217/(L217-1)-1)*(1-_xlfn.XLOOKUP(K217,'Fevereiro 2023 - Valor Real'!A3:A15,'Fevereiro 2023 - Valor Real'!C3:C15,0))+1)),((L218-1)*(1-_xlfn.XLOOKUP(K218,'Fevereiro 2023 - Valor Real'!A3:A15,'Fevereiro 2023 - Valor Real'!C3:C15,0))+1)/(((L218-1)*(1-_xlfn.XLOOKUP(K218,'Fevereiro 2023 - Valor Real'!A3:A15,'Fevereiro 2023 - Valor Real'!C3:C15,0))+1)+((L217/(L217-1)-1)*(1-_xlfn.XLOOKUP(K217,'Fevereiro 2023 - Valor Real'!A3:A15,'Fevereiro 2023 - Valor Real'!C3:C15,0))+1))),IF(I218="Lay",(((L218/(L218-1)-1)*(1-_xlfn.XLOOKUP(K218,'Fevereiro 2023 - Valor Real'!A3:A15,'Fevereiro 2023 - Valor Real'!C3:C15,0))+1))/(((L217-1)*(1-_xlfn.XLOOKUP(K217,'Fevereiro 2023 - Valor Real'!A3:A15,'Fevereiro 2023 - Valor Real'!C3:C15,0))+1)+((L218/(L218-1)-1)*(1-_xlfn.XLOOKUP(K218,'Fevereiro 2023 - Valor Real'!A3:A15,'Fevereiro 2023 - Valor Real'!C3:C15,0))+1)),((L218-1)*(1-_xlfn.XLOOKUP(K218,'Fevereiro 2023 - Valor Real'!A3:A15,'Fevereiro 2023 - Valor Real'!C3:C15,0))+1)/(((L218-1)*(1-_xlfn.XLOOKUP(K218,'Fevereiro 2023 - Valor Real'!A3:A15,'Fevereiro 2023 - Valor Real'!C3:C15,0))+1)+((L217-1)*(1-_xlfn.XLOOKUP(K217,'Fevereiro 2023 - Valor Real'!A3:A15,'Fevereiro 2023 - Valor Real'!C3:C15,0))+1))))))</f>
        <v>0.32653061224489793</v>
      </c>
      <c r="AF217" s="105">
        <f t="shared" si="442"/>
        <v>0</v>
      </c>
      <c r="AG217" s="106">
        <f t="shared" si="442"/>
        <v>0</v>
      </c>
      <c r="AH217" s="106">
        <f t="shared" si="442"/>
        <v>0</v>
      </c>
      <c r="AI217" s="106">
        <f t="shared" si="442"/>
        <v>0</v>
      </c>
      <c r="AJ217" s="106">
        <f t="shared" si="442"/>
        <v>0</v>
      </c>
      <c r="AK217" s="106">
        <f t="shared" si="442"/>
        <v>0</v>
      </c>
      <c r="AL217" s="106">
        <f t="shared" si="442"/>
        <v>0</v>
      </c>
      <c r="AM217" s="106">
        <f t="shared" si="442"/>
        <v>0</v>
      </c>
      <c r="AN217" s="106">
        <f t="shared" si="442"/>
        <v>0</v>
      </c>
      <c r="AO217" s="106">
        <f t="shared" si="442"/>
        <v>0</v>
      </c>
      <c r="AP217" s="106">
        <f t="shared" si="442"/>
        <v>0</v>
      </c>
      <c r="AQ217" s="106">
        <f t="shared" si="442"/>
        <v>-11.6</v>
      </c>
      <c r="AR217" s="107">
        <f t="shared" si="442"/>
        <v>0</v>
      </c>
      <c r="AS217" s="105">
        <f t="shared" ref="AS217:BE217" si="448">IF(AND($B217=" ",$K217=AS$3),$O217,0)</f>
        <v>0</v>
      </c>
      <c r="AT217" s="106">
        <f t="shared" si="448"/>
        <v>0</v>
      </c>
      <c r="AU217" s="106">
        <f t="shared" si="448"/>
        <v>0</v>
      </c>
      <c r="AV217" s="106">
        <f t="shared" si="448"/>
        <v>0</v>
      </c>
      <c r="AW217" s="106">
        <f t="shared" si="448"/>
        <v>0</v>
      </c>
      <c r="AX217" s="106">
        <f t="shared" si="448"/>
        <v>0</v>
      </c>
      <c r="AY217" s="108">
        <f t="shared" si="448"/>
        <v>0</v>
      </c>
      <c r="AZ217" s="109">
        <f t="shared" si="448"/>
        <v>0</v>
      </c>
      <c r="BA217" s="109">
        <f t="shared" si="448"/>
        <v>0</v>
      </c>
      <c r="BB217" s="109">
        <f t="shared" si="448"/>
        <v>0</v>
      </c>
      <c r="BC217" s="110">
        <f t="shared" si="448"/>
        <v>0</v>
      </c>
      <c r="BD217" s="106">
        <f t="shared" si="448"/>
        <v>0</v>
      </c>
      <c r="BE217" s="107">
        <f t="shared" si="448"/>
        <v>0</v>
      </c>
      <c r="BF217" s="111">
        <f t="shared" si="444"/>
        <v>0</v>
      </c>
      <c r="BG217" s="106">
        <f t="shared" si="444"/>
        <v>0</v>
      </c>
      <c r="BH217" s="106">
        <f t="shared" si="444"/>
        <v>0</v>
      </c>
      <c r="BI217" s="106">
        <f t="shared" si="444"/>
        <v>0</v>
      </c>
      <c r="BJ217" s="106">
        <f t="shared" si="444"/>
        <v>0</v>
      </c>
      <c r="BK217" s="106">
        <f t="shared" si="444"/>
        <v>0</v>
      </c>
      <c r="BL217" s="106">
        <f t="shared" si="444"/>
        <v>0</v>
      </c>
      <c r="BM217" s="108">
        <f t="shared" si="444"/>
        <v>0</v>
      </c>
      <c r="BN217" s="109">
        <f t="shared" si="444"/>
        <v>0</v>
      </c>
      <c r="BO217" s="109">
        <f t="shared" si="444"/>
        <v>0</v>
      </c>
      <c r="BP217" s="109">
        <f t="shared" si="444"/>
        <v>0</v>
      </c>
      <c r="BQ217" s="110">
        <f t="shared" si="444"/>
        <v>11.6</v>
      </c>
      <c r="BR217" s="107">
        <f t="shared" si="444"/>
        <v>0</v>
      </c>
      <c r="BS217" s="463">
        <f>IF($B217="LOSS",IF(AND($K217=BS$3,$C217="L"),-$O217,0)+IF(AND($K218=BS$3,$C218="L"),-$O218,0)+IF(AND($K219=BS$3,$C219="L"),-$O219,0),IF(OR(AND($K217=BS$3,OR($C217="W",$C217="1/2W")),AND($K218=BS$3,OR($C218="W",$C218="1/2W")),AND($K219=BS$3,OR($C219="W",$C219="1/2W"))),$S217,0))</f>
        <v>0</v>
      </c>
      <c r="BT217" s="462">
        <f>IF($B217="LOSS",IF(AND($K217=BT$3,$C217="L"),-$O217,0)+IF(AND($K218=BT$3,$C218="L"),-$O218,0)+IF(AND($K218=BT$3,$C219="L"),-$O219,0),IF(OR(AND($K218=BT$3,OR($C217="W",$C217="1/2W")),AND($K218=BT$3,OR($C218="W",$C218="1/2W")),AND($K218=BT$3,OR($C219="W",$C219="1/2W"))),$S217,0))</f>
        <v>2.75</v>
      </c>
      <c r="BU217" s="462">
        <f>IF($B217="LOSS",IF(AND($K217=BU$3,$C217="L"),-$O217,0)+IF(AND($K218=BU$3,$C218="L"),-$O218,0)+IF(AND($K218=BU$3,$C219="L"),-$O219,0),IF(OR(AND($K218=BU$3,OR($C217="W",$C217="1/2W")),AND($K218=BU$3,OR($C218="W",$C218="1/2W")),AND($K218=BU$3,OR($C219="W",$C219="1/2W"))),$S217,0))</f>
        <v>0</v>
      </c>
      <c r="BV217" s="462">
        <f t="shared" ref="BV217:CE217" si="449">IF($B217="LOSS",IF(AND($K217=BV$3,$C217="L"),-$O217,0)+IF(AND($K218=BV$3,$C218="L"),-$O218,0)+IF(AND($K219=BV$3,$C219="L"),-$O219,0),IF(OR(AND($K217=BV$3,OR($C217="W",$C217="1/2W")),AND($K218=BV$3,OR($C218="W",$C218="1/2W")),AND($K219=BV$3,OR($C219="W",$C219="1/2W"))),$S217,0))</f>
        <v>0</v>
      </c>
      <c r="BW217" s="462">
        <f t="shared" si="449"/>
        <v>0</v>
      </c>
      <c r="BX217" s="462">
        <f t="shared" si="449"/>
        <v>0</v>
      </c>
      <c r="BY217" s="462">
        <f t="shared" si="449"/>
        <v>0</v>
      </c>
      <c r="BZ217" s="460">
        <f t="shared" si="449"/>
        <v>0</v>
      </c>
      <c r="CA217" s="460">
        <f t="shared" si="449"/>
        <v>0</v>
      </c>
      <c r="CB217" s="460">
        <f t="shared" si="449"/>
        <v>0</v>
      </c>
      <c r="CC217" s="460">
        <f t="shared" si="449"/>
        <v>0</v>
      </c>
      <c r="CD217" s="473">
        <f t="shared" si="449"/>
        <v>0</v>
      </c>
      <c r="CE217" s="479">
        <f t="shared" si="449"/>
        <v>0</v>
      </c>
      <c r="CF217" s="113">
        <f t="shared" si="388"/>
        <v>0</v>
      </c>
      <c r="CG217" s="114">
        <f t="shared" si="389"/>
        <v>0</v>
      </c>
      <c r="CH217" s="114">
        <f t="shared" si="390"/>
        <v>0</v>
      </c>
      <c r="CI217" s="114">
        <f t="shared" si="391"/>
        <v>0</v>
      </c>
      <c r="CJ217" s="114">
        <f t="shared" si="392"/>
        <v>0</v>
      </c>
      <c r="CK217" s="114">
        <f t="shared" si="393"/>
        <v>0</v>
      </c>
      <c r="CL217" s="114">
        <f t="shared" si="394"/>
        <v>0</v>
      </c>
      <c r="CM217" s="114">
        <f t="shared" si="395"/>
        <v>0</v>
      </c>
      <c r="CN217" s="114">
        <f t="shared" si="396"/>
        <v>0</v>
      </c>
      <c r="CO217" s="114">
        <f t="shared" si="397"/>
        <v>0</v>
      </c>
      <c r="CP217" s="114">
        <f t="shared" si="398"/>
        <v>0</v>
      </c>
      <c r="CQ217" s="114">
        <f t="shared" si="399"/>
        <v>0</v>
      </c>
      <c r="CR217" s="114">
        <f t="shared" si="400"/>
        <v>0</v>
      </c>
      <c r="CS217" s="114">
        <f t="shared" si="401"/>
        <v>0</v>
      </c>
      <c r="CT217" s="115">
        <f t="shared" si="402"/>
        <v>0</v>
      </c>
      <c r="CU217" s="116">
        <f t="shared" si="403"/>
        <v>0</v>
      </c>
      <c r="CV217" s="116">
        <f t="shared" si="404"/>
        <v>0</v>
      </c>
      <c r="CW217" s="116">
        <f t="shared" si="405"/>
        <v>0</v>
      </c>
      <c r="CX217" s="116">
        <f t="shared" si="406"/>
        <v>0</v>
      </c>
      <c r="CY217" s="116">
        <f t="shared" si="407"/>
        <v>0</v>
      </c>
      <c r="CZ217" s="116">
        <f t="shared" si="408"/>
        <v>0</v>
      </c>
      <c r="DA217" s="116">
        <f t="shared" si="409"/>
        <v>0</v>
      </c>
      <c r="DB217" s="116">
        <f t="shared" si="410"/>
        <v>0</v>
      </c>
      <c r="DC217" s="116">
        <f t="shared" si="411"/>
        <v>1</v>
      </c>
      <c r="DD217" s="116">
        <f t="shared" si="412"/>
        <v>0</v>
      </c>
      <c r="DE217" s="117">
        <f t="shared" si="413"/>
        <v>0</v>
      </c>
      <c r="DF217" s="118">
        <f t="shared" si="415"/>
        <v>14</v>
      </c>
      <c r="DG217" s="106">
        <f t="shared" si="416"/>
        <v>18.05</v>
      </c>
      <c r="DH217" s="116">
        <f t="shared" si="417"/>
        <v>6</v>
      </c>
      <c r="DI217" s="106">
        <f t="shared" si="418"/>
        <v>25.63</v>
      </c>
      <c r="DJ217" s="201" t="str">
        <f>IF($D217="","",$D217)</f>
        <v>6</v>
      </c>
      <c r="DK217" s="465">
        <f>IF(AND($B217=" ",$D217&lt;&gt;""),1,0)</f>
        <v>0</v>
      </c>
    </row>
    <row r="218" spans="1:115" ht="14.5" customHeight="1" x14ac:dyDescent="0.2">
      <c r="A218" s="389"/>
      <c r="B218" s="456"/>
      <c r="C218" s="120" t="s">
        <v>54</v>
      </c>
      <c r="D218" s="374"/>
      <c r="E218" s="386"/>
      <c r="F218" s="377"/>
      <c r="G218" s="483"/>
      <c r="H218" s="476"/>
      <c r="I218" s="121" t="s">
        <v>52</v>
      </c>
      <c r="J218" s="122">
        <f>IF(OR(I217="TO",I217="TU",I217="TO1",I217="TU1",I217="TO2",I217="TU2"),J217,IF(OR(I217="AH1",I217="AH2"),IF(OR(I218="AH1",I218="AH2"),-J217,IF(OR(I218="EH1",I218="EH2"),-J217+0.5,"")),IF(OR(I217="EH1",I217="EH2"),IF(OR(I218="AH1",I218="AH2"),-J217+0.5,IF(OR(I218="EH1",I218="EH2"),-J217+1,"")),IF(AND(OR(I217="DNB1",I217="DNB2"),OR(I218="AH1",I218="AH2")),0,IF(AND(I217="Not ScoreBoth",OR(I218="TO1",I218="TO2")),0.5,"")))))</f>
        <v>0.5</v>
      </c>
      <c r="K218" s="123" t="s">
        <v>37</v>
      </c>
      <c r="L218" s="124">
        <v>1.6</v>
      </c>
      <c r="M218" s="125">
        <v>23.91</v>
      </c>
      <c r="N218" s="406"/>
      <c r="O218" s="126">
        <f>IF(OR(AE217="",AE218=""),"",ROUND(IF(L219&gt;0,IF(M218&gt;0,M218,IF(M217&gt;0,IF(N217=TRUE,ROUND((M217*AE218)/AE217,0),(M217*AE218)/AE217),IF(M218&gt;0,ROUND(M218,IF(N217=0,2,IF(N217=0.1,1,0))),IF(M219&gt;0,ROUND(O219*AE218/AE219,IF(N217=0,2,IF(N217=0.1,1,0))),0)))),IF(M218&gt;0,M218,ROUND((M217*AE218)/AE217,IF(N217=0,2,IF(N217=0.1,1,0))))),2))</f>
        <v>23.91</v>
      </c>
      <c r="P218" s="127">
        <f>IF(OR(L218="",O218=""),"",IF($C218="1/2W",O218/2+O218/2*L218,IF($C218="1/2L",O218/2,IF(I218="Lay",((O218*(L218/(L218-1)))-O218)*(1-_xlfn.XLOOKUP(K218,'Fevereiro 2023 - Valor Real'!A3:A15,'Fevereiro 2023 - Valor Real'!C3:C15,0))+O218,(O218*L218-O218)*(1-_xlfn.XLOOKUP(K218,'Fevereiro 2023 - Valor Real'!A3:A15,'Fevereiro 2023 - Valor Real'!C3:C15,0))+O218))))</f>
        <v>38.256</v>
      </c>
      <c r="Q218" s="128">
        <f>IF(K218="","",IF(_xlfn.XLOOKUP(K218,K$4:K217,$DJ$4:DJ217,0,,-1)=DJ218,_xlfn.XLOOKUP(K218,K$4:K217,Q$4:Q217,1,,-1)+1,1))</f>
        <v>6</v>
      </c>
      <c r="R218" s="129">
        <f>IF(K218="","",_xlfn.XLOOKUP(K218,K$4:K217,R$4:R217,0,,-1)+IF($C218=" ",1,0))</f>
        <v>0</v>
      </c>
      <c r="S218" s="403"/>
      <c r="T218" s="380"/>
      <c r="U218" s="380"/>
      <c r="V218" s="481"/>
      <c r="W218" s="380"/>
      <c r="X218" s="452"/>
      <c r="Y218" s="383"/>
      <c r="Z218" s="384"/>
      <c r="AA218" s="384"/>
      <c r="AB218" s="384"/>
      <c r="AC218" s="384"/>
      <c r="AD218" s="130">
        <f>(((L218/(L218-1)-1)*(1-_xlfn.XLOOKUP(K218,'Fevereiro 2023 - Valor Real'!A3:A15,'Fevereiro 2023 - Valor Real'!C3:C15,0))+1))</f>
        <v>2.6666666666666665</v>
      </c>
      <c r="AE218" s="131">
        <f>IF(L218="","",IF(L219&gt;0,(SUM(((L217-1)*(1-_xlfn.XLOOKUP(K217,'Fevereiro 2023 - Valor Real'!A3:A15,'Fevereiro 2023 - Valor Real'!C3:C15,0))+1),((L218-1)*(1-_xlfn.XLOOKUP(K218,'Fevereiro 2023 - Valor Real'!A3:A15,'Fevereiro 2023 - Valor Real'!C3:C15,0))+1),((L219-1)*(1-_xlfn.XLOOKUP(K219,'Fevereiro 2023 - Valor Real'!A3:A15,'Fevereiro 2023 - Valor Real'!C3:C15,0))+1))/((L218-1)*(1-_xlfn.XLOOKUP(K218,'Fevereiro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Real'!C3:C15,0))+1))/((L217-1)*(1-_xlfn.XLOOKUP(K217,'Fevereiro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Real'!C3:C15,0))+1))/((L218-1)*(1-_xlfn.XLOOKUP(K218,'Fevereiro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Real'!C3:C15,0))+1))/((L219-1)*(1-_xlfn.XLOOKUP(K219,'Fevereiro 2023 - Valor Real'!A3:A15,'Fevereiro 2023 - Valor Real'!C3:C15,0))+1)),IF(I218="Lay",IF(I217="Lay",((L217/(L217-1)-1)*(1-_xlfn.XLOOKUP(K217,'Fevereiro 2023 - Valor Real'!A3:A15,'Fevereiro 2023 - Valor Real'!C3:C15,0))+1)/(((L217/(L217-1)-1)*(1-_xlfn.XLOOKUP(K217,'Fevereiro 2023 - Valor Real'!A3:A15,'Fevereiro 2023 - Valor Real'!C3:C15,0))+1)+((L218/(L218-1)-1)*(1-_xlfn.XLOOKUP(K218,'Fevereiro 2023 - Valor Real'!A3:A15,'Fevereiro 2023 - Valor Real'!C3:C15,0))+1)),((L217-1)*(1-_xlfn.XLOOKUP(K217,'Fevereiro 2023 - Valor Real'!A3:A15,'Fevereiro 2023 - Valor Real'!C3:C15,0))+1)/(((L217-1)*(1-_xlfn.XLOOKUP(K217,'Fevereiro 2023 - Valor Real'!A3:A15,'Fevereiro 2023 - Valor Real'!C3:C15,0))+1)+((L218/(L218-1)-1)*(1-_xlfn.XLOOKUP(K218,'Fevereiro 2023 - Valor Real'!A3:A15,'Fevereiro 2023 - Valor Real'!C3:C15,0))+1))),IF(I217="Lay",((L217/(L217-1)-1)*(1-_xlfn.XLOOKUP(K217,'Fevereiro 2023 - Valor Real'!A3:A15,'Fevereiro 2023 - Valor Real'!C3:C15,0))+1)/((((L217/(L217-1)-1)*(1-_xlfn.XLOOKUP(K217,'Fevereiro 2023 - Valor Real'!A3:A15,'Fevereiro 2023 - Valor Real'!C3:C15,0))+1))+((L218-1)*(1-_xlfn.XLOOKUP(K218,'Fevereiro 2023 - Valor Real'!A3:A15,'Fevereiro 2023 - Valor Real'!C3:C15,0))+1)),((L217-1)*(1-_xlfn.XLOOKUP(K217,'Fevereiro 2023 - Valor Real'!A3:A15,'Fevereiro 2023 - Valor Real'!C3:C15,0))+1)/(((L217-1)*(1-_xlfn.XLOOKUP(K217,'Fevereiro 2023 - Valor Real'!A3:A15,'Fevereiro 2023 - Valor Real'!C3:C15,0))+1)+((L218-1)*(1-_xlfn.XLOOKUP(K218,'Fevereiro 2023 - Valor Real'!A3:A15,'Fevereiro 2023 - Valor Real'!C3:C15,0))+1))))))</f>
        <v>0.6734693877551019</v>
      </c>
      <c r="AF218" s="105">
        <f t="shared" si="442"/>
        <v>0</v>
      </c>
      <c r="AG218" s="106">
        <f t="shared" si="442"/>
        <v>14.35</v>
      </c>
      <c r="AH218" s="106">
        <f t="shared" si="442"/>
        <v>0</v>
      </c>
      <c r="AI218" s="106">
        <f t="shared" si="442"/>
        <v>0</v>
      </c>
      <c r="AJ218" s="106">
        <f t="shared" si="442"/>
        <v>0</v>
      </c>
      <c r="AK218" s="106">
        <f t="shared" si="442"/>
        <v>0</v>
      </c>
      <c r="AL218" s="106">
        <f t="shared" si="442"/>
        <v>0</v>
      </c>
      <c r="AM218" s="106">
        <f t="shared" si="442"/>
        <v>0</v>
      </c>
      <c r="AN218" s="106">
        <f t="shared" si="442"/>
        <v>0</v>
      </c>
      <c r="AO218" s="106">
        <f t="shared" si="442"/>
        <v>0</v>
      </c>
      <c r="AP218" s="106">
        <f t="shared" si="442"/>
        <v>0</v>
      </c>
      <c r="AQ218" s="106">
        <f t="shared" si="442"/>
        <v>0</v>
      </c>
      <c r="AR218" s="107">
        <f t="shared" si="442"/>
        <v>0</v>
      </c>
      <c r="AS218" s="105">
        <f>IF(AND($B217=" ",$K218=AS$3),$O218,0)</f>
        <v>0</v>
      </c>
      <c r="AT218" s="106">
        <f>IF(AND($B217=" ",K218=AT$3),$O218,0)</f>
        <v>0</v>
      </c>
      <c r="AU218" s="106">
        <f t="shared" ref="AU218:BE218" si="450">IF(AND($B217=" ",$K218=AU$3),$O218,0)</f>
        <v>0</v>
      </c>
      <c r="AV218" s="106">
        <f t="shared" si="450"/>
        <v>0</v>
      </c>
      <c r="AW218" s="106">
        <f t="shared" si="450"/>
        <v>0</v>
      </c>
      <c r="AX218" s="106">
        <f t="shared" si="450"/>
        <v>0</v>
      </c>
      <c r="AY218" s="108">
        <f t="shared" si="450"/>
        <v>0</v>
      </c>
      <c r="AZ218" s="109">
        <f t="shared" si="450"/>
        <v>0</v>
      </c>
      <c r="BA218" s="109">
        <f t="shared" si="450"/>
        <v>0</v>
      </c>
      <c r="BB218" s="109">
        <f t="shared" si="450"/>
        <v>0</v>
      </c>
      <c r="BC218" s="110">
        <f t="shared" si="450"/>
        <v>0</v>
      </c>
      <c r="BD218" s="106">
        <f t="shared" si="450"/>
        <v>0</v>
      </c>
      <c r="BE218" s="107">
        <f t="shared" si="450"/>
        <v>0</v>
      </c>
      <c r="BF218" s="105">
        <f t="shared" si="444"/>
        <v>0</v>
      </c>
      <c r="BG218" s="106">
        <f t="shared" si="444"/>
        <v>23.91</v>
      </c>
      <c r="BH218" s="106">
        <f t="shared" si="444"/>
        <v>0</v>
      </c>
      <c r="BI218" s="106">
        <f t="shared" si="444"/>
        <v>0</v>
      </c>
      <c r="BJ218" s="106">
        <f t="shared" si="444"/>
        <v>0</v>
      </c>
      <c r="BK218" s="106">
        <f t="shared" si="444"/>
        <v>0</v>
      </c>
      <c r="BL218" s="106">
        <f t="shared" si="444"/>
        <v>0</v>
      </c>
      <c r="BM218" s="132">
        <f t="shared" si="444"/>
        <v>0</v>
      </c>
      <c r="BN218" s="112">
        <f t="shared" si="444"/>
        <v>0</v>
      </c>
      <c r="BO218" s="112">
        <f t="shared" si="444"/>
        <v>0</v>
      </c>
      <c r="BP218" s="112">
        <f t="shared" si="444"/>
        <v>0</v>
      </c>
      <c r="BQ218" s="110">
        <f t="shared" si="444"/>
        <v>0</v>
      </c>
      <c r="BR218" s="107">
        <f t="shared" si="444"/>
        <v>0</v>
      </c>
      <c r="BS218" s="464"/>
      <c r="BT218" s="461"/>
      <c r="BU218" s="392"/>
      <c r="BV218" s="461"/>
      <c r="BW218" s="392"/>
      <c r="BX218" s="392"/>
      <c r="BY218" s="392"/>
      <c r="BZ218" s="461"/>
      <c r="CA218" s="392"/>
      <c r="CB218" s="392"/>
      <c r="CC218" s="392"/>
      <c r="CD218" s="401"/>
      <c r="CE218" s="409"/>
      <c r="CF218" s="133">
        <f t="shared" si="388"/>
        <v>0</v>
      </c>
      <c r="CG218" s="134">
        <f t="shared" si="389"/>
        <v>0</v>
      </c>
      <c r="CH218" s="134">
        <f t="shared" si="390"/>
        <v>1</v>
      </c>
      <c r="CI218" s="134">
        <f t="shared" si="391"/>
        <v>0</v>
      </c>
      <c r="CJ218" s="134">
        <f t="shared" si="392"/>
        <v>0</v>
      </c>
      <c r="CK218" s="134">
        <f t="shared" si="393"/>
        <v>0</v>
      </c>
      <c r="CL218" s="134">
        <f t="shared" si="394"/>
        <v>0</v>
      </c>
      <c r="CM218" s="134">
        <f t="shared" si="395"/>
        <v>0</v>
      </c>
      <c r="CN218" s="134">
        <f t="shared" si="396"/>
        <v>0</v>
      </c>
      <c r="CO218" s="134">
        <f t="shared" si="397"/>
        <v>0</v>
      </c>
      <c r="CP218" s="134">
        <f t="shared" si="398"/>
        <v>0</v>
      </c>
      <c r="CQ218" s="134">
        <f t="shared" si="399"/>
        <v>0</v>
      </c>
      <c r="CR218" s="134">
        <f t="shared" si="400"/>
        <v>0</v>
      </c>
      <c r="CS218" s="134">
        <f t="shared" si="401"/>
        <v>0</v>
      </c>
      <c r="CT218" s="115">
        <f t="shared" si="402"/>
        <v>0</v>
      </c>
      <c r="CU218" s="116">
        <f t="shared" si="403"/>
        <v>0</v>
      </c>
      <c r="CV218" s="116">
        <f t="shared" si="404"/>
        <v>0</v>
      </c>
      <c r="CW218" s="116">
        <f t="shared" si="405"/>
        <v>0</v>
      </c>
      <c r="CX218" s="116">
        <f t="shared" si="406"/>
        <v>0</v>
      </c>
      <c r="CY218" s="116">
        <f t="shared" si="407"/>
        <v>0</v>
      </c>
      <c r="CZ218" s="116">
        <f t="shared" si="408"/>
        <v>0</v>
      </c>
      <c r="DA218" s="116">
        <f t="shared" si="409"/>
        <v>0</v>
      </c>
      <c r="DB218" s="116">
        <f t="shared" si="410"/>
        <v>0</v>
      </c>
      <c r="DC218" s="116">
        <f t="shared" si="411"/>
        <v>0</v>
      </c>
      <c r="DD218" s="116">
        <f t="shared" si="412"/>
        <v>0</v>
      </c>
      <c r="DE218" s="117">
        <f t="shared" si="413"/>
        <v>0</v>
      </c>
      <c r="DF218" s="118">
        <f t="shared" si="415"/>
        <v>14</v>
      </c>
      <c r="DG218" s="106">
        <f t="shared" si="416"/>
        <v>18.05</v>
      </c>
      <c r="DH218" s="116">
        <f t="shared" si="417"/>
        <v>6</v>
      </c>
      <c r="DI218" s="106">
        <f t="shared" si="418"/>
        <v>25.63</v>
      </c>
      <c r="DJ218" s="201" t="str">
        <f>IF($D217="","",$D217)</f>
        <v>6</v>
      </c>
      <c r="DK218" s="466"/>
    </row>
    <row r="219" spans="1:115" ht="14.5" customHeight="1" x14ac:dyDescent="0.2">
      <c r="A219" s="390"/>
      <c r="B219" s="457"/>
      <c r="C219" s="135" t="s">
        <v>53</v>
      </c>
      <c r="D219" s="375"/>
      <c r="E219" s="387"/>
      <c r="F219" s="378"/>
      <c r="G219" s="484"/>
      <c r="H219" s="477"/>
      <c r="I219" s="136"/>
      <c r="J219" s="137"/>
      <c r="K219" s="138"/>
      <c r="L219" s="139"/>
      <c r="M219" s="140"/>
      <c r="N219" s="407"/>
      <c r="O219" s="141" t="str">
        <f>IF(OR(AE217="",AE218=""),"",IF(L219&gt;0,ROUND(IF(M219&gt;0,M219,IF(M217&gt;0,ROUND((M217*AE219)/AE217,IF(N217=0,2,IF(N217=0.1,1,0))),IF(M218&gt;0,ROUND((M218*AE219)/AE218,IF(N217=0,2,IF(N217=0.1,1,0))),IF(M219&gt;0,M219,0)))),2),""))</f>
        <v/>
      </c>
      <c r="P219" s="142" t="str">
        <f>IF(I218="Lay",O218*(L218/(L218-1))-O218,IF(I217="Lay",O217*(L217/(L217-1))-O217,IF(OR(L219="",O219=""),"",IF($C219="1/2W",O219/2+O219/2*L219,IF($C219="1/2L",O219/2,(O219*L219-O219)*(1-_xlfn.XLOOKUP(K219,'Fevereiro 2023 - Valor Real'!A3:A15,'Fevereiro 2023 - Valor Real'!C3:C15,0))+O219)))))</f>
        <v/>
      </c>
      <c r="Q219" s="143" t="str">
        <f>IF(K219="","",IF(_xlfn.XLOOKUP(K219,K$4:K218,$DJ$4:DJ218,0,,-1)=DJ219,_xlfn.XLOOKUP(K219,K$4:K218,Q$4:Q218,1,,-1)+1,1))</f>
        <v/>
      </c>
      <c r="R219" s="144" t="str">
        <f>IF(K219="","",_xlfn.XLOOKUP(K219,K$4:K218,R$4:R218,0,,-1)+IF($C219=" ",1,0))</f>
        <v/>
      </c>
      <c r="S219" s="404"/>
      <c r="T219" s="378"/>
      <c r="U219" s="378"/>
      <c r="V219" s="404"/>
      <c r="W219" s="378"/>
      <c r="X219" s="453"/>
      <c r="Y219" s="383"/>
      <c r="Z219" s="384"/>
      <c r="AA219" s="384"/>
      <c r="AB219" s="384"/>
      <c r="AC219" s="384"/>
      <c r="AD219" s="145">
        <f>((L218/(L218-1)-1))</f>
        <v>1.6666666666666665</v>
      </c>
      <c r="AE219" s="146" t="str">
        <f>IF(L219="","",(SUM(((L217-1)*(1-_xlfn.XLOOKUP(K217,'Fevereiro 2023 - Valor Real'!A3:A15,'Fevereiro 2023 - Valor Real'!C3:C15,0))+1),((L218-1)*(1-_xlfn.XLOOKUP(K218,'Fevereiro 2023 - Valor Real'!A3:A15,'Fevereiro 2023 - Valor Real'!C3:C15,0))+1),((L219-1)*(1-_xlfn.XLOOKUP(K219,'Fevereiro 2023 - Valor Real'!A3:A15,'Fevereiro 2023 - Valor Real'!C3:C15,0))+1))/((L219-1)*(1-_xlfn.XLOOKUP(K219,'Fevereiro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Real'!C3:C15,0))+1))/((L217-1)*(1-_xlfn.XLOOKUP(K217,'Fevereiro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Real'!C3:C15,0))+1))/((L218-1)*(1-_xlfn.XLOOKUP(K218,'Fevereiro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Real'!C3:C15,0))+1))/((L219-1)*(1-_xlfn.XLOOKUP(K219,'Fevereiro 2023 - Valor Real'!A3:A15,'Fevereiro 2023 - Valor Real'!C3:C15,0))+1)))</f>
        <v/>
      </c>
      <c r="AF219" s="105">
        <f t="shared" si="442"/>
        <v>0</v>
      </c>
      <c r="AG219" s="106">
        <f t="shared" si="442"/>
        <v>0</v>
      </c>
      <c r="AH219" s="106">
        <f t="shared" si="442"/>
        <v>0</v>
      </c>
      <c r="AI219" s="106">
        <f t="shared" si="442"/>
        <v>0</v>
      </c>
      <c r="AJ219" s="106">
        <f t="shared" si="442"/>
        <v>0</v>
      </c>
      <c r="AK219" s="106">
        <f t="shared" si="442"/>
        <v>0</v>
      </c>
      <c r="AL219" s="106">
        <f t="shared" si="442"/>
        <v>0</v>
      </c>
      <c r="AM219" s="106">
        <f t="shared" si="442"/>
        <v>0</v>
      </c>
      <c r="AN219" s="106">
        <f t="shared" si="442"/>
        <v>0</v>
      </c>
      <c r="AO219" s="106">
        <f t="shared" si="442"/>
        <v>0</v>
      </c>
      <c r="AP219" s="106">
        <f t="shared" si="442"/>
        <v>0</v>
      </c>
      <c r="AQ219" s="106">
        <f t="shared" si="442"/>
        <v>0</v>
      </c>
      <c r="AR219" s="107">
        <f t="shared" si="442"/>
        <v>0</v>
      </c>
      <c r="AS219" s="105">
        <f>IF(AND($B217=" ",$K219=AS$3),$O219,0)</f>
        <v>0</v>
      </c>
      <c r="AT219" s="106">
        <f>IF(AND($B217=" ",K219=AT$3),$O219,0)</f>
        <v>0</v>
      </c>
      <c r="AU219" s="106">
        <f t="shared" ref="AU219:BE219" si="451">IF(AND($B217=" ",$K219=AU$3),$O219,0)</f>
        <v>0</v>
      </c>
      <c r="AV219" s="106">
        <f t="shared" si="451"/>
        <v>0</v>
      </c>
      <c r="AW219" s="106">
        <f t="shared" si="451"/>
        <v>0</v>
      </c>
      <c r="AX219" s="106">
        <f t="shared" si="451"/>
        <v>0</v>
      </c>
      <c r="AY219" s="108">
        <f t="shared" si="451"/>
        <v>0</v>
      </c>
      <c r="AZ219" s="109">
        <f t="shared" si="451"/>
        <v>0</v>
      </c>
      <c r="BA219" s="109">
        <f t="shared" si="451"/>
        <v>0</v>
      </c>
      <c r="BB219" s="109">
        <f t="shared" si="451"/>
        <v>0</v>
      </c>
      <c r="BC219" s="110">
        <f t="shared" si="451"/>
        <v>0</v>
      </c>
      <c r="BD219" s="106">
        <f t="shared" si="451"/>
        <v>0</v>
      </c>
      <c r="BE219" s="107">
        <f t="shared" si="451"/>
        <v>0</v>
      </c>
      <c r="BF219" s="105">
        <f t="shared" si="444"/>
        <v>0</v>
      </c>
      <c r="BG219" s="106">
        <f t="shared" si="444"/>
        <v>0</v>
      </c>
      <c r="BH219" s="106">
        <f t="shared" si="444"/>
        <v>0</v>
      </c>
      <c r="BI219" s="106">
        <f t="shared" si="444"/>
        <v>0</v>
      </c>
      <c r="BJ219" s="106">
        <f t="shared" si="444"/>
        <v>0</v>
      </c>
      <c r="BK219" s="106">
        <f t="shared" si="444"/>
        <v>0</v>
      </c>
      <c r="BL219" s="106">
        <f t="shared" si="444"/>
        <v>0</v>
      </c>
      <c r="BM219" s="108">
        <f t="shared" si="444"/>
        <v>0</v>
      </c>
      <c r="BN219" s="109">
        <f t="shared" si="444"/>
        <v>0</v>
      </c>
      <c r="BO219" s="109">
        <f t="shared" si="444"/>
        <v>0</v>
      </c>
      <c r="BP219" s="109">
        <f t="shared" si="444"/>
        <v>0</v>
      </c>
      <c r="BQ219" s="110">
        <f t="shared" si="444"/>
        <v>0</v>
      </c>
      <c r="BR219" s="107">
        <f t="shared" si="444"/>
        <v>0</v>
      </c>
      <c r="BS219" s="464"/>
      <c r="BT219" s="461"/>
      <c r="BU219" s="392"/>
      <c r="BV219" s="461"/>
      <c r="BW219" s="392"/>
      <c r="BX219" s="392"/>
      <c r="BY219" s="392"/>
      <c r="BZ219" s="461"/>
      <c r="CA219" s="392"/>
      <c r="CB219" s="392"/>
      <c r="CC219" s="392"/>
      <c r="CD219" s="401"/>
      <c r="CE219" s="409"/>
      <c r="CF219" s="133">
        <f t="shared" si="388"/>
        <v>0</v>
      </c>
      <c r="CG219" s="134">
        <f t="shared" si="389"/>
        <v>0</v>
      </c>
      <c r="CH219" s="134">
        <f t="shared" si="390"/>
        <v>0</v>
      </c>
      <c r="CI219" s="134">
        <f t="shared" si="391"/>
        <v>0</v>
      </c>
      <c r="CJ219" s="134">
        <f t="shared" si="392"/>
        <v>0</v>
      </c>
      <c r="CK219" s="134">
        <f t="shared" si="393"/>
        <v>0</v>
      </c>
      <c r="CL219" s="134">
        <f t="shared" si="394"/>
        <v>0</v>
      </c>
      <c r="CM219" s="134">
        <f t="shared" si="395"/>
        <v>0</v>
      </c>
      <c r="CN219" s="134">
        <f t="shared" si="396"/>
        <v>0</v>
      </c>
      <c r="CO219" s="134">
        <f t="shared" si="397"/>
        <v>0</v>
      </c>
      <c r="CP219" s="134">
        <f t="shared" si="398"/>
        <v>0</v>
      </c>
      <c r="CQ219" s="134">
        <f t="shared" si="399"/>
        <v>0</v>
      </c>
      <c r="CR219" s="134">
        <f t="shared" si="400"/>
        <v>0</v>
      </c>
      <c r="CS219" s="134">
        <f t="shared" si="401"/>
        <v>0</v>
      </c>
      <c r="CT219" s="115">
        <f t="shared" si="402"/>
        <v>0</v>
      </c>
      <c r="CU219" s="116">
        <f t="shared" si="403"/>
        <v>0</v>
      </c>
      <c r="CV219" s="116">
        <f t="shared" si="404"/>
        <v>0</v>
      </c>
      <c r="CW219" s="116">
        <f t="shared" si="405"/>
        <v>0</v>
      </c>
      <c r="CX219" s="116">
        <f t="shared" si="406"/>
        <v>0</v>
      </c>
      <c r="CY219" s="116">
        <f t="shared" si="407"/>
        <v>0</v>
      </c>
      <c r="CZ219" s="116">
        <f t="shared" si="408"/>
        <v>0</v>
      </c>
      <c r="DA219" s="116">
        <f t="shared" si="409"/>
        <v>0</v>
      </c>
      <c r="DB219" s="116">
        <f t="shared" si="410"/>
        <v>0</v>
      </c>
      <c r="DC219" s="116">
        <f t="shared" si="411"/>
        <v>0</v>
      </c>
      <c r="DD219" s="116">
        <f t="shared" si="412"/>
        <v>0</v>
      </c>
      <c r="DE219" s="117">
        <f t="shared" si="413"/>
        <v>0</v>
      </c>
      <c r="DF219" s="118">
        <f t="shared" si="415"/>
        <v>14</v>
      </c>
      <c r="DG219" s="106">
        <f t="shared" si="416"/>
        <v>18.05</v>
      </c>
      <c r="DH219" s="116">
        <f t="shared" si="417"/>
        <v>6</v>
      </c>
      <c r="DI219" s="106">
        <f t="shared" si="418"/>
        <v>25.63</v>
      </c>
      <c r="DJ219" s="201" t="str">
        <f>IF($D217="","",$D217)</f>
        <v>6</v>
      </c>
      <c r="DK219" s="466"/>
    </row>
    <row r="220" spans="1:115" ht="14.5" customHeight="1" x14ac:dyDescent="0.2">
      <c r="A220" s="487">
        <f>$A217+1</f>
        <v>73</v>
      </c>
      <c r="B220" s="506" t="str">
        <f>IF(OR(C220="W",C221="W",C222="W",C220="1/2W",C221="1/2W",C222="1/2W",C220="1/2L",C221="1/2L",C222="1/2L"),"OK",IF(OR(C220="L",C221="L",C222="L"),"LOSS",IF(OR(C220="X",C221="X",C222="X"),"Anulado"," ")))</f>
        <v>OK</v>
      </c>
      <c r="C220" s="147" t="s">
        <v>54</v>
      </c>
      <c r="D220" s="494" t="str">
        <f>IF(G220="","",$D217)</f>
        <v>6</v>
      </c>
      <c r="E220" s="511" t="str">
        <f>IF(G220=""," ","– "&amp;COUNTIF(D$4:D222,$D220))</f>
        <v>– 16</v>
      </c>
      <c r="F220" s="510" t="str">
        <f ca="1">IF(G220="","",IF(OR(AND($C220&lt;&gt;" ",$C221=" "),AND($C221&lt;&gt;" ",$C220=" "),AND(L222&gt;0,OR(AND($C222&lt;&gt;" ",OR($C220=" ",$C221=" ")),AND($C222=" ",OR($C220&lt;&gt;" ",$C221&lt;&gt;" "))))),IF(SUM(F$4:F219)=0,1,LARGE(F$4:F219,1)+1),IF(MONTH(G220)=MONTH(TODAY()),IF(AND(DAY(G220)&lt;DAY(TODAY()),$B220=" "),IF(SUM(F$4:F219)=0,1,LARGE(F$4:F219,1)+1),IF($B220=" ",IF(AND(DAY(G220)=DAY(TODAY()),HOUR(G220)&lt;=HOUR(NOW())+1),IF(AND(HOUR(G220)+2&lt;=HOUR(NOW()),DAY(G220)&lt;=DAY(TODAY()),MINUTE(G220)&lt;=MINUTE(NOW())),IF(SUM(F$4:F219)=0,1,LARGE(F$4:F219,1)+1),IF(OR(MINUTE(G220)&lt;=MINUTE(NOW()),HOUR(G220)&lt;=HOUR(NOW())),"!!!","")),""),"")),"")))</f>
        <v/>
      </c>
      <c r="G220" s="508">
        <v>44991.958333333336</v>
      </c>
      <c r="H220" s="502" t="s">
        <v>122</v>
      </c>
      <c r="I220" s="205"/>
      <c r="J220" s="149"/>
      <c r="K220" s="150" t="s">
        <v>43</v>
      </c>
      <c r="L220" s="151">
        <v>2</v>
      </c>
      <c r="M220" s="152">
        <f>863.29-848.58</f>
        <v>14.709999999999923</v>
      </c>
      <c r="N220" s="503">
        <v>0.1</v>
      </c>
      <c r="O220" s="153">
        <f>IF(OR(AE220="",AE221=""),"",ROUND(IF(L222&gt;0,IF(M220&gt;0,M220,IF(M221&gt;0,ROUND((M221*AE220)/AE221,IF(N220=0,2,IF(N220=0.1,1,0))),ROUND((M222*AE220)/AE222,IF(N220=0,2,IF(N220=0.1,1,0))))),IF(M220&gt;0,M220,ROUND((M221*AE220)/AE221,IF(N220=0,2,IF(N220=0.1,1,0))))),2))</f>
        <v>14.71</v>
      </c>
      <c r="P220" s="154">
        <f>IF(OR(L220="",O220=""),"",IF($C220="1/2W",O220/2+O220/2*L220,IF($C220="1/2L",O220/2,IF(I220="Lay",(O220*(L220/(L220-1))-O220)*(1-_xlfn.XLOOKUP(K220,'Fevereiro 2023 - Valor Real'!A3:A15,'Fevereiro 2023 - Valor Real'!C3:C15,0))+O220,(O220*L220-O220)*(1-_xlfn.XLOOKUP(K220,'Fevereiro 2023 - Valor Real'!A3:A15,'Fevereiro 2023 - Valor Real'!C3:C15,0))+O220))))</f>
        <v>29.42</v>
      </c>
      <c r="Q220" s="155">
        <f>IF(K220="","",IF(_xlfn.XLOOKUP(K220,K$4:K219,$DJ$4:DJ219,0,,-1)=DJ220,_xlfn.XLOOKUP(K220,K$4:K219,Q$4:Q219,1,,-1)+1,1))</f>
        <v>5</v>
      </c>
      <c r="R220" s="156">
        <f>IF(K220="","",_xlfn.XLOOKUP(K220,K$4:K219,R$4:R219,0,,-1)+IF($C220=" ",1,0))</f>
        <v>0</v>
      </c>
      <c r="S220" s="501">
        <f>IF($B220="Anulado",0,ROUND(IF(OR($B220="LOSS",$B220="OK"),IF(OR($C220="W",$C220="1/2W",$C220="1/2L"),P220-O220,IF($C220="L",-O220,0))+IF(OR($C221="W",$C221="1/2W",$C221="1/2L"),P221-O221,IF($C221="L",-O221,0))+IF(OR($C222="W",$C222="1/2W",$C222="1/2L"),P222-O222,IF($C222="L",-O222,0)),IF(AND(OR($C220="W",$C220="1/2W",$C220="1/2L"),C221="W"),P220+P221-SUM(O220:O222)+_xlfn.XLOOKUP("X",C220:C222,O220:O222,0),IF(AND(C220=TRUE,C222="W"),P220+P222-SUM(O220:O222),IF(AND(C221="W",C222="W"),P221+P222-SUM(O220:O222)+_xlfn.XLOOKUP("X",C220:C222,O220:O222,0),IF(L222&gt;0,IF(OR($C220="W",$C220="1/2W",$C220="1/2L"),P220-SUM(O220:O222)+_xlfn.XLOOKUP("X",C220:C222,O220:O222,0),IF(OR($C220="W",$C220="1/2W",$C220="1/2L"),P221-SUM(O220:O222)+_xlfn.XLOOKUP("X",C220:C222,O220:O222,0),IF(OR($C220="W",$C220="1/2W",$C220="1/2L"),P222-SUM(O220:O222)+_xlfn.XLOOKUP("X",C220:C222,O220:O222,0),IF(SUM(P220:P222)/3-SUM(O220:O222)+_xlfn.XLOOKUP("X",C220:C222,O220:O222,0)&gt;0,SUM(P220:P222)/3-SUM(O220:O222)+_xlfn.XLOOKUP("X",C220:C222,O220:O222,0),LARGE(P220:P222,1)-SUM(O220:O222))))),IF(OR($C220="W",$C220="1/2W",$C220="1/2L"),P220-SUM(O220:O221)+_xlfn.XLOOKUP("X",C220:C222,O220:O222,0),IF(OR($C220="W",$C220="1/2W",$C220="1/2L"),P221-SUM(O220:O221)+_xlfn.XLOOKUP("X",C220:C222,O220:O222,0),SUM(P220:P221)/2-SUM(O220:O221)+_xlfn.XLOOKUP("X",C220:C222,O220:O222,0)))))))),2))</f>
        <v>222.11</v>
      </c>
      <c r="T220" s="486">
        <f>IF(S220=0,0,S220/SUM(O220:O222))</f>
        <v>0.93006993006993011</v>
      </c>
      <c r="U220" s="496">
        <f>IF($D220=$D217,IF(OR($B220="LOSS",$B220="OK",$B220="Anulada"),S220,0)+U217,IF(OR($B220="LOSS",$B220="OK",$B220="Anulada"),S220,0))</f>
        <v>262.81</v>
      </c>
      <c r="V220" s="496">
        <f>IF($D220="",0,IF($D220=$D217,IF($B220=" ",IF(I222="",IF(OR(AND(I220="DNB1",I221="DNB2"),AND(OR(I220="DNB1",I220="DNB2"),J221=0),AND(OR(I221="DNB1",I221="DNB2"),J220=0),AND(I220="DNB2",I221="DNB1"),AND(IF(J220=0,(J220+1)/ROUND(J220+1,0),J220/ROUND(J220,0))=1,IF(J221=0,(J221+1)/ROUND(IF(J221="",0,J221)+1,0),IF(J221="",0,J221)/ROUND(IF(J221="",1,J221),0))=1,OR(J220&lt;&gt;""),J221&lt;&gt;"")),0,IF(S220&lt;0,IF(I222="",SMALL(P220:P221,1)-SUM(O220:O221),0),SMALL(P220:P221,1)-SUM(O220:O221))),IF(S220&lt;0,IF(I222="",SMALL(P220:P222,1)-SUM(O220:O222),0),LARGE(P220:P222,1)-SUM(O220:O222))),S220)+V217,IF(I222="",IF(OR(AND(I220="DNB1",I221="DNB2"),AND(OR(I220="DNB1",I220="DNB2"),J221=0),AND(OR(I221="DNB1",I221="DNB2"),J220=0),AND(I220="DNB2",I221="DNB1"),AND(IF(J220=0,(J220+1)/ROUND(J220+1,0),J220/ROUND(J220,0))=1,IF(J221=0,(IF(J221="",0,J221)+1)/ROUND(IF(J221="",0,J221)+1,0),IF(J221="",0,J221)/ROUND(IF(J221="",0,J221)+1,0))=1,OR(J220&lt;&gt;""),J221&lt;&gt;"")),0,IF(S220&lt;0,IF(I222="",SMALL(P220:P221,1)-SUM(O220:O221),0),SMALL(P220:P222,1)-SUM(O220:O222))),IF(S220&lt;0,IF(I222="",SMALL(P220:P222,1)-SUM(O220:O222),0),LARGE(P220:P222,1)-SUM(O220:O222)))))</f>
        <v>262.80200000000002</v>
      </c>
      <c r="W220" s="496">
        <f>IF($D220=$D217,IF(S220&lt;0,IF(I222="",S220,0),S220)+W217,S220)</f>
        <v>262.81</v>
      </c>
      <c r="X220" s="505" t="str">
        <f>IF(OR(SUM(R220:R222)=0,V220=W220),ROUND(IF(W220=0,0,W220/Y220)*100,2)&amp;"%",ROUND(IF(V220=0,0,V220/Y220)*100,2)&amp;"% a "&amp;ROUND(IF(W220=0,0,W220/Y220)*100,2)&amp;"%")</f>
        <v>28,63%</v>
      </c>
      <c r="Y220" s="497">
        <f>IF($D220=$D217,Y217+SUM(O220:O222),SUM(O220:O222))</f>
        <v>917.88999999999987</v>
      </c>
      <c r="Z220" s="496">
        <f>IF($B220=" ",SUM(O220:O222),0)+Z217</f>
        <v>0</v>
      </c>
      <c r="AA220" s="496">
        <f>IF(G220="","",IF($B220="Anulado",LARGE(P220:P222,1)-SUM(O220:O222)+AA217,AA217))</f>
        <v>1.4607999999999972</v>
      </c>
      <c r="AB220" s="496">
        <f>IF($D220="","",AB217+S220)</f>
        <v>402.65999999999997</v>
      </c>
      <c r="AC220" s="499">
        <f ca="1">IF($D220="","",IF($B220=" ",IF(DAY(G220)=DAY(TODAY()),1+AC217,0+AC217),0+AC217))</f>
        <v>0</v>
      </c>
      <c r="AD220" s="157">
        <f>(1-_xlfn.XLOOKUP(K218,'Fevereiro 2023 - Valor Real'!A3:A15,'Fevereiro 2023 - Valor Real'!C3:C15,0))+1</f>
        <v>2</v>
      </c>
      <c r="AE220" s="158">
        <f>IF(L220="","",IF(L222&gt;0,(SUM(((L220-1)*(1-_xlfn.XLOOKUP(K220,'Fevereiro 2023 - Valor Real'!A3:A15,'Fevereiro 2023 - Valor Real'!C3:C15,0))+1),((L221-1)*(1-_xlfn.XLOOKUP(K221,'Fevereiro 2023 - Valor Real'!A3:A15,'Fevereiro 2023 - Valor Real'!C3:C15,0))+1),((L222-1)*(1-_xlfn.XLOOKUP(K222,'Fevereiro 2023 - Valor Real'!A3:A15,'Fevereiro 2023 - Valor Real'!C3:C15,0))+1))/((L220-1)*(1-_xlfn.XLOOKUP(K220,'Fevereiro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Real'!C3:C15,0))+1))/((L220-1)*(1-_xlfn.XLOOKUP(K220,'Fevereiro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Real'!C3:C15,0))+1))/((L221-1)*(1-_xlfn.XLOOKUP(K221,'Fevereiro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Real'!C3:C15,0))+1))/((L222-1)*(1-_xlfn.XLOOKUP(K222,'Fevereiro 2023 - Valor Real'!A3:A15,'Fevereiro 2023 - Valor Real'!C3:C15,0))+1)),IF(I220="Lay",IF(I221="Lay",((L221/(L221-1)-1)*(1-_xlfn.XLOOKUP(K221,'Fevereiro 2023 - Valor Real'!A3:A15,'Fevereiro 2023 - Valor Real'!C3:C15,0))+1)/(((L221/(L221-1)-1)*(1-_xlfn.XLOOKUP(K221,'Fevereiro 2023 - Valor Real'!A3:A15,'Fevereiro 2023 - Valor Real'!C3:C15,0))+1)+((L220/(L220-1)-1)*(1-_xlfn.XLOOKUP(K220,'Fevereiro 2023 - Valor Real'!A3:A15,'Fevereiro 2023 - Valor Real'!C3:C15,0))+1)),((L221-1)*(1-_xlfn.XLOOKUP(K221,'Fevereiro 2023 - Valor Real'!A3:A15,'Fevereiro 2023 - Valor Real'!C3:C15,0))+1)/(((L221-1)*(1-_xlfn.XLOOKUP(K221,'Fevereiro 2023 - Valor Real'!A3:A15,'Fevereiro 2023 - Valor Real'!C3:C15,0))+1)+((L220/(L220-1)-1)*(1-_xlfn.XLOOKUP(K220,'Fevereiro 2023 - Valor Real'!A3:A15,'Fevereiro 2023 - Valor Real'!C3:C15,0))+1))),IF(I221="Lay",(((L221/(L221-1)-1)*(1-_xlfn.XLOOKUP(K221,'Fevereiro 2023 - Valor Real'!A3:A15,'Fevereiro 2023 - Valor Real'!C3:C15,0))+1))/(((L220-1)*(1-_xlfn.XLOOKUP(K220,'Fevereiro 2023 - Valor Real'!A3:A15,'Fevereiro 2023 - Valor Real'!C3:C15,0))+1)+((L221/(L221-1)-1)*(1-_xlfn.XLOOKUP(K221,'Fevereiro 2023 - Valor Real'!A3:A15,'Fevereiro 2023 - Valor Real'!C3:C15,0))+1)),((L221-1)*(1-_xlfn.XLOOKUP(K221,'Fevereiro 2023 - Valor Real'!A3:A15,'Fevereiro 2023 - Valor Real'!C3:C15,0))+1)/(((L221-1)*(1-_xlfn.XLOOKUP(K221,'Fevereiro 2023 - Valor Real'!A3:A15,'Fevereiro 2023 - Valor Real'!C3:C15,0))+1)+((L220-1)*(1-_xlfn.XLOOKUP(K220,'Fevereiro 2023 - Valor Real'!A3:A15,'Fevereiro 2023 - Valor Real'!C3:C15,0))+1))))))</f>
        <v>0.33333333333333331</v>
      </c>
      <c r="AF220" s="66">
        <f t="shared" si="442"/>
        <v>0</v>
      </c>
      <c r="AG220" s="67">
        <f t="shared" si="442"/>
        <v>0</v>
      </c>
      <c r="AH220" s="67">
        <f t="shared" si="442"/>
        <v>0</v>
      </c>
      <c r="AI220" s="67">
        <f t="shared" si="442"/>
        <v>0</v>
      </c>
      <c r="AJ220" s="67">
        <f t="shared" si="442"/>
        <v>0</v>
      </c>
      <c r="AK220" s="67">
        <f t="shared" si="442"/>
        <v>0</v>
      </c>
      <c r="AL220" s="67">
        <f t="shared" si="442"/>
        <v>0</v>
      </c>
      <c r="AM220" s="67">
        <f t="shared" si="442"/>
        <v>14.71</v>
      </c>
      <c r="AN220" s="67">
        <f t="shared" si="442"/>
        <v>0</v>
      </c>
      <c r="AO220" s="67">
        <f t="shared" si="442"/>
        <v>0</v>
      </c>
      <c r="AP220" s="67">
        <f t="shared" si="442"/>
        <v>0</v>
      </c>
      <c r="AQ220" s="67">
        <f t="shared" si="442"/>
        <v>0</v>
      </c>
      <c r="AR220" s="68">
        <f t="shared" si="442"/>
        <v>0</v>
      </c>
      <c r="AS220" s="66">
        <f t="shared" ref="AS220:BE220" si="452">IF(AND($B220=" ",$K220=AS$3),$O220,0)</f>
        <v>0</v>
      </c>
      <c r="AT220" s="67">
        <f t="shared" si="452"/>
        <v>0</v>
      </c>
      <c r="AU220" s="67">
        <f t="shared" si="452"/>
        <v>0</v>
      </c>
      <c r="AV220" s="67">
        <f t="shared" si="452"/>
        <v>0</v>
      </c>
      <c r="AW220" s="67">
        <f t="shared" si="452"/>
        <v>0</v>
      </c>
      <c r="AX220" s="67">
        <f t="shared" si="452"/>
        <v>0</v>
      </c>
      <c r="AY220" s="69">
        <f t="shared" si="452"/>
        <v>0</v>
      </c>
      <c r="AZ220" s="70">
        <f t="shared" si="452"/>
        <v>0</v>
      </c>
      <c r="BA220" s="70">
        <f t="shared" si="452"/>
        <v>0</v>
      </c>
      <c r="BB220" s="70">
        <f t="shared" si="452"/>
        <v>0</v>
      </c>
      <c r="BC220" s="71">
        <f t="shared" si="452"/>
        <v>0</v>
      </c>
      <c r="BD220" s="67">
        <f t="shared" si="452"/>
        <v>0</v>
      </c>
      <c r="BE220" s="68">
        <f t="shared" si="452"/>
        <v>0</v>
      </c>
      <c r="BF220" s="66">
        <f t="shared" si="444"/>
        <v>0</v>
      </c>
      <c r="BG220" s="67">
        <f t="shared" si="444"/>
        <v>0</v>
      </c>
      <c r="BH220" s="67">
        <f t="shared" si="444"/>
        <v>0</v>
      </c>
      <c r="BI220" s="67">
        <f t="shared" si="444"/>
        <v>0</v>
      </c>
      <c r="BJ220" s="67">
        <f t="shared" si="444"/>
        <v>0</v>
      </c>
      <c r="BK220" s="67">
        <f t="shared" si="444"/>
        <v>0</v>
      </c>
      <c r="BL220" s="67">
        <f t="shared" si="444"/>
        <v>0</v>
      </c>
      <c r="BM220" s="69">
        <f t="shared" si="444"/>
        <v>14.71</v>
      </c>
      <c r="BN220" s="70">
        <f t="shared" si="444"/>
        <v>0</v>
      </c>
      <c r="BO220" s="70">
        <f t="shared" si="444"/>
        <v>0</v>
      </c>
      <c r="BP220" s="70">
        <f t="shared" si="444"/>
        <v>0</v>
      </c>
      <c r="BQ220" s="71">
        <f t="shared" si="444"/>
        <v>0</v>
      </c>
      <c r="BR220" s="68">
        <f t="shared" si="444"/>
        <v>0</v>
      </c>
      <c r="BS220" s="490">
        <f>IF($B220="LOSS",IF(AND($K220=BS$3,$C220="L"),-$O220,0)+IF(AND($K221=BS$3,$C221="L"),-$O221,0)+IF(AND($K222=BS$3,$C222="L"),-$O222,0),IF(OR(AND($K220=BS$3,OR($C220="W",$C220="1/2W")),AND($K221=BS$3,OR($C221="W",$C221="1/2W")),AND($K222=BS$3,OR($C222="W",$C222="1/2W"))),$S220,0))</f>
        <v>0</v>
      </c>
      <c r="BT220" s="498">
        <f>IF($B220="LOSS",IF(AND($K220=BT$3,$C220="L"),-$O220,0)+IF(AND($K221=BT$3,$C221="L"),-$O221,0)+IF(AND($K221=BT$3,$C222="L"),-$O222,0),IF(OR(AND($K221=BT$3,OR($C220="W",$C220="1/2W")),AND($K221=BT$3,OR($C221="W",$C221="1/2W")),AND($K221=BT$3,OR($C222="W",$C222="1/2W"))),$S220,0))</f>
        <v>0</v>
      </c>
      <c r="BU220" s="488">
        <f>IF($B220="LOSS",IF(AND($K220=BU$3,$C220="L"),-$O220,0)+IF(AND($K221=BU$3,$C221="L"),-$O221,0)+IF(AND($K221=BU$3,$C222="L"),-$O222,0),IF(OR(AND($K221=BU$3,OR($C220="W",$C220="1/2W")),AND($K221=BU$3,OR($C221="W",$C221="1/2W")),AND($K221=BU$3,OR($C222="W",$C222="1/2W"))),$S220,0))</f>
        <v>0</v>
      </c>
      <c r="BV220" s="488">
        <f t="shared" ref="BV220:CE220" si="453">IF($B220="LOSS",IF(AND($K220=BV$3,$C220="L"),-$O220,0)+IF(AND($K221=BV$3,$C221="L"),-$O221,0)+IF(AND($K222=BV$3,$C222="L"),-$O222,0),IF(OR(AND($K220=BV$3,OR($C220="W",$C220="1/2W")),AND($K221=BV$3,OR($C221="W",$C221="1/2W")),AND($K222=BV$3,OR($C222="W",$C222="1/2W"))),$S220,0))</f>
        <v>0</v>
      </c>
      <c r="BW220" s="488">
        <f t="shared" si="453"/>
        <v>222.11</v>
      </c>
      <c r="BX220" s="488">
        <f t="shared" si="453"/>
        <v>0</v>
      </c>
      <c r="BY220" s="488">
        <f t="shared" si="453"/>
        <v>0</v>
      </c>
      <c r="BZ220" s="488">
        <f t="shared" si="453"/>
        <v>222.11</v>
      </c>
      <c r="CA220" s="488">
        <f t="shared" si="453"/>
        <v>0</v>
      </c>
      <c r="CB220" s="488">
        <f t="shared" si="453"/>
        <v>0</v>
      </c>
      <c r="CC220" s="488">
        <f t="shared" si="453"/>
        <v>0</v>
      </c>
      <c r="CD220" s="500">
        <f t="shared" si="453"/>
        <v>0</v>
      </c>
      <c r="CE220" s="504">
        <f t="shared" si="453"/>
        <v>0</v>
      </c>
      <c r="CF220" s="160">
        <f t="shared" si="388"/>
        <v>0</v>
      </c>
      <c r="CG220" s="161">
        <f t="shared" si="389"/>
        <v>0</v>
      </c>
      <c r="CH220" s="161">
        <f t="shared" si="390"/>
        <v>0</v>
      </c>
      <c r="CI220" s="161">
        <f t="shared" si="391"/>
        <v>0</v>
      </c>
      <c r="CJ220" s="161">
        <f t="shared" si="392"/>
        <v>0</v>
      </c>
      <c r="CK220" s="161">
        <f t="shared" si="393"/>
        <v>0</v>
      </c>
      <c r="CL220" s="161">
        <f t="shared" si="394"/>
        <v>0</v>
      </c>
      <c r="CM220" s="161">
        <f t="shared" si="395"/>
        <v>0</v>
      </c>
      <c r="CN220" s="161">
        <f t="shared" si="396"/>
        <v>0</v>
      </c>
      <c r="CO220" s="161">
        <f t="shared" si="397"/>
        <v>0</v>
      </c>
      <c r="CP220" s="161">
        <f t="shared" si="398"/>
        <v>0</v>
      </c>
      <c r="CQ220" s="161">
        <f t="shared" si="399"/>
        <v>0</v>
      </c>
      <c r="CR220" s="161">
        <f t="shared" si="400"/>
        <v>0</v>
      </c>
      <c r="CS220" s="161">
        <f t="shared" si="401"/>
        <v>0</v>
      </c>
      <c r="CT220" s="75">
        <f t="shared" si="402"/>
        <v>1</v>
      </c>
      <c r="CU220" s="76">
        <f t="shared" si="403"/>
        <v>0</v>
      </c>
      <c r="CV220" s="76">
        <f t="shared" si="404"/>
        <v>0</v>
      </c>
      <c r="CW220" s="76">
        <f t="shared" si="405"/>
        <v>0</v>
      </c>
      <c r="CX220" s="76">
        <f t="shared" si="406"/>
        <v>0</v>
      </c>
      <c r="CY220" s="76">
        <f t="shared" si="407"/>
        <v>0</v>
      </c>
      <c r="CZ220" s="76">
        <f t="shared" si="408"/>
        <v>0</v>
      </c>
      <c r="DA220" s="76">
        <f t="shared" si="409"/>
        <v>0</v>
      </c>
      <c r="DB220" s="76">
        <f t="shared" si="410"/>
        <v>0</v>
      </c>
      <c r="DC220" s="76">
        <f t="shared" si="411"/>
        <v>0</v>
      </c>
      <c r="DD220" s="76">
        <f t="shared" si="412"/>
        <v>0</v>
      </c>
      <c r="DE220" s="77">
        <f t="shared" si="413"/>
        <v>0</v>
      </c>
      <c r="DF220" s="73">
        <f t="shared" si="415"/>
        <v>14</v>
      </c>
      <c r="DG220" s="67">
        <f t="shared" si="416"/>
        <v>18.05</v>
      </c>
      <c r="DH220" s="76">
        <f t="shared" si="417"/>
        <v>6</v>
      </c>
      <c r="DI220" s="67">
        <f t="shared" si="418"/>
        <v>25.63</v>
      </c>
      <c r="DJ220" s="202" t="str">
        <f>IF($D220="","",$D220)</f>
        <v>6</v>
      </c>
      <c r="DK220" s="492">
        <f>IF(AND($B220=" ",$D220&lt;&gt;""),1,0)</f>
        <v>0</v>
      </c>
    </row>
    <row r="221" spans="1:115" ht="14.5" customHeight="1" x14ac:dyDescent="0.2">
      <c r="A221" s="389"/>
      <c r="B221" s="456"/>
      <c r="C221" s="53" t="s">
        <v>54</v>
      </c>
      <c r="D221" s="374"/>
      <c r="E221" s="386"/>
      <c r="F221" s="377"/>
      <c r="G221" s="508"/>
      <c r="H221" s="476"/>
      <c r="I221" s="206"/>
      <c r="J221" s="163" t="str">
        <f>IF(OR(I220="TO",I220="TU",I220="TO1",I220="TU1",I220="TO2",I220="TU2"),J220,IF(OR(I220="AH1",I220="AH2"),IF(OR(I221="AH1",I221="AH2"),-J220,IF(OR(I221="EH1",I221="EH2"),-J220+0.5,"")),IF(OR(I220="EH1",I220="EH2"),IF(OR(I221="AH1",I221="AH2"),-J220+0.5,IF(OR(I221="EH1",I221="EH2"),-J220+1,"")),IF(AND(OR(I220="DNB1",I220="DNB2"),OR(I221="AH1",I221="AH2")),0,IF(AND(I220="Not ScoreBoth",OR(I221="TO1",I221="TO2")),0.5,"")))))</f>
        <v/>
      </c>
      <c r="K221" s="57" t="s">
        <v>40</v>
      </c>
      <c r="L221" s="164">
        <v>2</v>
      </c>
      <c r="M221" s="165">
        <f>265.26-49.51</f>
        <v>215.75</v>
      </c>
      <c r="N221" s="406"/>
      <c r="O221" s="60">
        <f>IF(OR(AE220="",AE221=""),"",ROUND(IF(L222&gt;0,IF(M221&gt;0,M221,IF(M220&gt;0,IF(N220=TRUE,ROUND((M220*AE221)/AE220,0),(M220*AE221)/AE220),IF(M221&gt;0,ROUND(M221,IF(N220=0,2,IF(N220=0.1,1,0))),IF(M222&gt;0,ROUND(O222*AE221/AE222,IF(N220=0,2,IF(N220=0.1,1,0))),0)))),IF(M221&gt;0,M221,ROUND((M220*AE221)/AE220,IF(N220=0,2,IF(N220=0.1,1,0))))),2))</f>
        <v>215.75</v>
      </c>
      <c r="P221" s="61">
        <f>IF(OR(L221="",O221=""),"",IF($C221="1/2W",O221/2+O221/2*L221,IF($C221="1/2L",O221/2,IF(I221="Lay",((O221*(L221/(L221-1)))-O221)*(1-_xlfn.XLOOKUP(K221,'Fevereiro 2023 - Valor Real'!A3:A15,'Fevereiro 2023 - Valor Real'!C3:C15,0))+O221,(O221*L221-O221)*(1-_xlfn.XLOOKUP(K221,'Fevereiro 2023 - Valor Real'!A3:A15,'Fevereiro 2023 - Valor Real'!C3:C15,0))+O221))))</f>
        <v>431.5</v>
      </c>
      <c r="Q221" s="166">
        <f>IF(K221="","",IF(_xlfn.XLOOKUP(K221,K$4:K220,$DJ$4:DJ220,0,,-1)=DJ221,_xlfn.XLOOKUP(K221,K$4:K220,Q$4:Q220,1,,-1)+1,1))</f>
        <v>8</v>
      </c>
      <c r="R221" s="167">
        <f>IF(K221="","",_xlfn.XLOOKUP(K221,K$4:K220,R$4:R220,0,,-1)+IF($C221=" ",1,0))</f>
        <v>0</v>
      </c>
      <c r="S221" s="403"/>
      <c r="T221" s="380"/>
      <c r="U221" s="380"/>
      <c r="V221" s="481"/>
      <c r="W221" s="380"/>
      <c r="X221" s="452"/>
      <c r="Y221" s="383"/>
      <c r="Z221" s="384"/>
      <c r="AA221" s="384"/>
      <c r="AB221" s="384"/>
      <c r="AC221" s="384"/>
      <c r="AD221" s="64"/>
      <c r="AE221" s="65">
        <f>IF(L221="","",IF(L222&gt;0,(SUM(((L220-1)*(1-_xlfn.XLOOKUP(K220,'Fevereiro 2023 - Valor Real'!A3:A15,'Fevereiro 2023 - Valor Real'!C3:C15,0))+1),((L221-1)*(1-_xlfn.XLOOKUP(K221,'Fevereiro 2023 - Valor Real'!A3:A15,'Fevereiro 2023 - Valor Real'!C3:C15,0))+1),((L222-1)*(1-_xlfn.XLOOKUP(K222,'Fevereiro 2023 - Valor Real'!A3:A15,'Fevereiro 2023 - Valor Real'!C3:C15,0))+1))/((L221-1)*(1-_xlfn.XLOOKUP(K221,'Fevereiro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Real'!C3:C15,0))+1))/((L220-1)*(1-_xlfn.XLOOKUP(K220,'Fevereiro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Real'!C3:C15,0))+1))/((L221-1)*(1-_xlfn.XLOOKUP(K221,'Fevereiro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Real'!C3:C15,0))+1))/((L222-1)*(1-_xlfn.XLOOKUP(K222,'Fevereiro 2023 - Valor Real'!A3:A15,'Fevereiro 2023 - Valor Real'!C3:C15,0))+1)),IF(I221="Lay",IF(I220="Lay",((L220/(L220-1)-1)*(1-_xlfn.XLOOKUP(K220,'Fevereiro 2023 - Valor Real'!A3:A15,'Fevereiro 2023 - Valor Real'!C3:C15,0))+1)/(((L220/(L220-1)-1)*(1-_xlfn.XLOOKUP(K220,'Fevereiro 2023 - Valor Real'!A3:A15,'Fevereiro 2023 - Valor Real'!C3:C15,0))+1)+((L221/(L221-1)-1)*(1-_xlfn.XLOOKUP(K221,'Fevereiro 2023 - Valor Real'!A3:A15,'Fevereiro 2023 - Valor Real'!C3:C15,0))+1)),((L220-1)*(1-_xlfn.XLOOKUP(K220,'Fevereiro 2023 - Valor Real'!A3:A15,'Fevereiro 2023 - Valor Real'!C3:C15,0))+1)/(((L220-1)*(1-_xlfn.XLOOKUP(K220,'Fevereiro 2023 - Valor Real'!A3:A15,'Fevereiro 2023 - Valor Real'!C3:C15,0))+1)+((L221/(L221-1)-1)*(1-_xlfn.XLOOKUP(K221,'Fevereiro 2023 - Valor Real'!A3:A15,'Fevereiro 2023 - Valor Real'!C3:C15,0))+1))),IF(I220="Lay",((L220/(L220-1)-1)*(1-_xlfn.XLOOKUP(K220,'Fevereiro 2023 - Valor Real'!A3:A15,'Fevereiro 2023 - Valor Real'!C3:C15,0))+1)/((((L220/(L220-1)-1)*(1-_xlfn.XLOOKUP(K220,'Fevereiro 2023 - Valor Real'!A3:A15,'Fevereiro 2023 - Valor Real'!C3:C15,0))+1))+((L221-1)*(1-_xlfn.XLOOKUP(K221,'Fevereiro 2023 - Valor Real'!A3:A15,'Fevereiro 2023 - Valor Real'!C3:C15,0))+1)),((L220-1)*(1-_xlfn.XLOOKUP(K220,'Fevereiro 2023 - Valor Real'!A3:A15,'Fevereiro 2023 - Valor Real'!C3:C15,0))+1)/(((L220-1)*(1-_xlfn.XLOOKUP(K220,'Fevereiro 2023 - Valor Real'!A3:A15,'Fevereiro 2023 - Valor Real'!C3:C15,0))+1)+((L221-1)*(1-_xlfn.XLOOKUP(K221,'Fevereiro 2023 - Valor Real'!A3:A15,'Fevereiro 2023 - Valor Real'!C3:C15,0))+1))))))</f>
        <v>0.33333333333333331</v>
      </c>
      <c r="AF221" s="66">
        <f t="shared" si="442"/>
        <v>0</v>
      </c>
      <c r="AG221" s="67">
        <f t="shared" si="442"/>
        <v>0</v>
      </c>
      <c r="AH221" s="67">
        <f t="shared" si="442"/>
        <v>0</v>
      </c>
      <c r="AI221" s="67">
        <f t="shared" si="442"/>
        <v>0</v>
      </c>
      <c r="AJ221" s="67">
        <f t="shared" si="442"/>
        <v>215.75</v>
      </c>
      <c r="AK221" s="67">
        <f t="shared" si="442"/>
        <v>0</v>
      </c>
      <c r="AL221" s="67">
        <f t="shared" si="442"/>
        <v>0</v>
      </c>
      <c r="AM221" s="67">
        <f t="shared" si="442"/>
        <v>0</v>
      </c>
      <c r="AN221" s="67">
        <f t="shared" si="442"/>
        <v>0</v>
      </c>
      <c r="AO221" s="67">
        <f t="shared" si="442"/>
        <v>0</v>
      </c>
      <c r="AP221" s="67">
        <f t="shared" si="442"/>
        <v>0</v>
      </c>
      <c r="AQ221" s="67">
        <f t="shared" si="442"/>
        <v>0</v>
      </c>
      <c r="AR221" s="68">
        <f t="shared" si="442"/>
        <v>0</v>
      </c>
      <c r="AS221" s="66">
        <f>IF(AND($B220=" ",$K221=AS$3),$O221,0)</f>
        <v>0</v>
      </c>
      <c r="AT221" s="67">
        <f>IF(AND($B220=" ",K221=AT$3),$O221,0)</f>
        <v>0</v>
      </c>
      <c r="AU221" s="67">
        <f t="shared" ref="AU221:BE221" si="454">IF(AND($B220=" ",$K221=AU$3),$O221,0)</f>
        <v>0</v>
      </c>
      <c r="AV221" s="67">
        <f t="shared" si="454"/>
        <v>0</v>
      </c>
      <c r="AW221" s="67">
        <f t="shared" si="454"/>
        <v>0</v>
      </c>
      <c r="AX221" s="67">
        <f t="shared" si="454"/>
        <v>0</v>
      </c>
      <c r="AY221" s="69">
        <f t="shared" si="454"/>
        <v>0</v>
      </c>
      <c r="AZ221" s="70">
        <f t="shared" si="454"/>
        <v>0</v>
      </c>
      <c r="BA221" s="70">
        <f t="shared" si="454"/>
        <v>0</v>
      </c>
      <c r="BB221" s="70">
        <f t="shared" si="454"/>
        <v>0</v>
      </c>
      <c r="BC221" s="71">
        <f t="shared" si="454"/>
        <v>0</v>
      </c>
      <c r="BD221" s="67">
        <f t="shared" si="454"/>
        <v>0</v>
      </c>
      <c r="BE221" s="68">
        <f t="shared" si="454"/>
        <v>0</v>
      </c>
      <c r="BF221" s="66">
        <f t="shared" si="444"/>
        <v>0</v>
      </c>
      <c r="BG221" s="168">
        <f t="shared" si="444"/>
        <v>0</v>
      </c>
      <c r="BH221" s="67">
        <f t="shared" si="444"/>
        <v>0</v>
      </c>
      <c r="BI221" s="67">
        <f t="shared" si="444"/>
        <v>0</v>
      </c>
      <c r="BJ221" s="67">
        <f t="shared" si="444"/>
        <v>215.75</v>
      </c>
      <c r="BK221" s="67">
        <f t="shared" si="444"/>
        <v>0</v>
      </c>
      <c r="BL221" s="67">
        <f t="shared" si="444"/>
        <v>0</v>
      </c>
      <c r="BM221" s="69">
        <f t="shared" si="444"/>
        <v>0</v>
      </c>
      <c r="BN221" s="70">
        <f t="shared" si="444"/>
        <v>0</v>
      </c>
      <c r="BO221" s="70">
        <f t="shared" si="444"/>
        <v>0</v>
      </c>
      <c r="BP221" s="70">
        <f t="shared" si="444"/>
        <v>0</v>
      </c>
      <c r="BQ221" s="71">
        <f t="shared" si="444"/>
        <v>0</v>
      </c>
      <c r="BR221" s="68">
        <f t="shared" si="444"/>
        <v>0</v>
      </c>
      <c r="BS221" s="491"/>
      <c r="BT221" s="489"/>
      <c r="BU221" s="392"/>
      <c r="BV221" s="489"/>
      <c r="BW221" s="392"/>
      <c r="BX221" s="392"/>
      <c r="BY221" s="392"/>
      <c r="BZ221" s="489"/>
      <c r="CA221" s="392"/>
      <c r="CB221" s="392"/>
      <c r="CC221" s="392"/>
      <c r="CD221" s="401"/>
      <c r="CE221" s="409"/>
      <c r="CF221" s="169">
        <f t="shared" si="388"/>
        <v>0</v>
      </c>
      <c r="CG221" s="170">
        <f t="shared" si="389"/>
        <v>0</v>
      </c>
      <c r="CH221" s="170">
        <f t="shared" si="390"/>
        <v>0</v>
      </c>
      <c r="CI221" s="170">
        <f t="shared" si="391"/>
        <v>0</v>
      </c>
      <c r="CJ221" s="170">
        <f t="shared" si="392"/>
        <v>0</v>
      </c>
      <c r="CK221" s="170">
        <f t="shared" si="393"/>
        <v>0</v>
      </c>
      <c r="CL221" s="170">
        <f t="shared" si="394"/>
        <v>0</v>
      </c>
      <c r="CM221" s="170">
        <f t="shared" si="395"/>
        <v>0</v>
      </c>
      <c r="CN221" s="170">
        <f t="shared" si="396"/>
        <v>1</v>
      </c>
      <c r="CO221" s="170">
        <f t="shared" si="397"/>
        <v>0</v>
      </c>
      <c r="CP221" s="170">
        <f t="shared" si="398"/>
        <v>0</v>
      </c>
      <c r="CQ221" s="170">
        <f t="shared" si="399"/>
        <v>0</v>
      </c>
      <c r="CR221" s="170">
        <f t="shared" si="400"/>
        <v>0</v>
      </c>
      <c r="CS221" s="170">
        <f t="shared" si="401"/>
        <v>0</v>
      </c>
      <c r="CT221" s="75">
        <f t="shared" si="402"/>
        <v>0</v>
      </c>
      <c r="CU221" s="76">
        <f t="shared" si="403"/>
        <v>0</v>
      </c>
      <c r="CV221" s="76">
        <f t="shared" si="404"/>
        <v>0</v>
      </c>
      <c r="CW221" s="76">
        <f t="shared" si="405"/>
        <v>0</v>
      </c>
      <c r="CX221" s="76">
        <f t="shared" si="406"/>
        <v>0</v>
      </c>
      <c r="CY221" s="76">
        <f t="shared" si="407"/>
        <v>0</v>
      </c>
      <c r="CZ221" s="76">
        <f t="shared" si="408"/>
        <v>0</v>
      </c>
      <c r="DA221" s="76">
        <f t="shared" si="409"/>
        <v>0</v>
      </c>
      <c r="DB221" s="76">
        <f t="shared" si="410"/>
        <v>0</v>
      </c>
      <c r="DC221" s="76">
        <f t="shared" si="411"/>
        <v>0</v>
      </c>
      <c r="DD221" s="76">
        <f t="shared" si="412"/>
        <v>0</v>
      </c>
      <c r="DE221" s="77">
        <f t="shared" si="413"/>
        <v>0</v>
      </c>
      <c r="DF221" s="73">
        <f t="shared" si="415"/>
        <v>14</v>
      </c>
      <c r="DG221" s="67">
        <f t="shared" si="416"/>
        <v>18.05</v>
      </c>
      <c r="DH221" s="76">
        <f t="shared" si="417"/>
        <v>6</v>
      </c>
      <c r="DI221" s="67">
        <f t="shared" si="418"/>
        <v>25.63</v>
      </c>
      <c r="DJ221" s="202" t="str">
        <f>IF($D220="","",$D220)</f>
        <v>6</v>
      </c>
      <c r="DK221" s="493"/>
    </row>
    <row r="222" spans="1:115" ht="14.5" customHeight="1" x14ac:dyDescent="0.2">
      <c r="A222" s="390"/>
      <c r="B222" s="457"/>
      <c r="C222" s="79" t="s">
        <v>55</v>
      </c>
      <c r="D222" s="375"/>
      <c r="E222" s="387"/>
      <c r="F222" s="378"/>
      <c r="G222" s="508"/>
      <c r="H222" s="477"/>
      <c r="I222" s="171"/>
      <c r="J222" s="172"/>
      <c r="K222" s="185" t="s">
        <v>36</v>
      </c>
      <c r="L222" s="186">
        <v>2</v>
      </c>
      <c r="M222" s="174">
        <f>1414.91-1406.56</f>
        <v>8.3500000000001364</v>
      </c>
      <c r="N222" s="407"/>
      <c r="O222" s="187">
        <f>IF(OR(AE220="",AE221=""),"",IF(L222&gt;0,ROUND(IF(M222&gt;0,M222,IF(M220&gt;0,ROUND((M220*AE222)/AE220,IF(N220=0,2,IF(N220=0.1,1,0))),IF(M221&gt;0,ROUND((M221*AE222)/AE221,IF(N220=0,2,IF(N220=0.1,1,0))),IF(M222&gt;0,M222,0)))),2),""))</f>
        <v>8.35</v>
      </c>
      <c r="P222" s="188">
        <f>IF(I221="Lay",O221*(L221/(L221-1))-O221,IF(I220="Lay",O220*(L220/(L220-1))-O220,IF(OR(L222="",O222=""),"",IF($C222="1/2W",O222/2+O222/2*L222,IF($C222="1/2L",O222/2,(O222*L222-O222)*(1-_xlfn.XLOOKUP(K222,'Fevereiro 2023 - Valor Real'!A3:A15,'Fevereiro 2023 - Valor Real'!C3:C15,0))+O222)))))</f>
        <v>16.7</v>
      </c>
      <c r="Q222" s="200">
        <f>IF(K222="","",IF(_xlfn.XLOOKUP(K222,K$4:K221,$DJ$4:DJ221,0,,-1)=DJ222,_xlfn.XLOOKUP(K222,K$4:K221,Q$4:Q221,1,,-1)+1,1))</f>
        <v>5</v>
      </c>
      <c r="R222" s="189">
        <f>IF(K222="","",_xlfn.XLOOKUP(K222,K$4:K221,R$4:R221,0,,-1)+IF($C222=" ",1,0))</f>
        <v>0</v>
      </c>
      <c r="S222" s="404"/>
      <c r="T222" s="378"/>
      <c r="U222" s="378"/>
      <c r="V222" s="404"/>
      <c r="W222" s="378"/>
      <c r="X222" s="453"/>
      <c r="Y222" s="383"/>
      <c r="Z222" s="384"/>
      <c r="AA222" s="384"/>
      <c r="AB222" s="384"/>
      <c r="AC222" s="384"/>
      <c r="AD222" s="90"/>
      <c r="AE222" s="190">
        <f>IF(L222="","",(SUM(((L220-1)*(1-_xlfn.XLOOKUP(K220,'Fevereiro 2023 - Valor Real'!A3:A15,'Fevereiro 2023 - Valor Real'!C3:C15,0))+1),((L221-1)*(1-_xlfn.XLOOKUP(K221,'Fevereiro 2023 - Valor Real'!A3:A15,'Fevereiro 2023 - Valor Real'!C3:C15,0))+1),((L222-1)*(1-_xlfn.XLOOKUP(K222,'Fevereiro 2023 - Valor Real'!A3:A15,'Fevereiro 2023 - Valor Real'!C3:C15,0))+1))/((L222-1)*(1-_xlfn.XLOOKUP(K222,'Fevereiro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Real'!C3:C15,0))+1))/((L220-1)*(1-_xlfn.XLOOKUP(K220,'Fevereiro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Real'!C3:C15,0))+1))/((L221-1)*(1-_xlfn.XLOOKUP(K221,'Fevereiro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Real'!C3:C15,0))+1))/((L222-1)*(1-_xlfn.XLOOKUP(K222,'Fevereiro 2023 - Valor Real'!A3:A15,'Fevereiro 2023 - Valor Real'!C3:C15,0))+1)))</f>
        <v>0.33333333333333331</v>
      </c>
      <c r="AF222" s="66">
        <f t="shared" si="442"/>
        <v>-8.35</v>
      </c>
      <c r="AG222" s="67">
        <f t="shared" si="442"/>
        <v>0</v>
      </c>
      <c r="AH222" s="67">
        <f t="shared" si="442"/>
        <v>0</v>
      </c>
      <c r="AI222" s="67">
        <f t="shared" si="442"/>
        <v>0</v>
      </c>
      <c r="AJ222" s="67">
        <f t="shared" si="442"/>
        <v>0</v>
      </c>
      <c r="AK222" s="67">
        <f t="shared" si="442"/>
        <v>0</v>
      </c>
      <c r="AL222" s="67">
        <f t="shared" si="442"/>
        <v>0</v>
      </c>
      <c r="AM222" s="67">
        <f t="shared" si="442"/>
        <v>0</v>
      </c>
      <c r="AN222" s="67">
        <f t="shared" si="442"/>
        <v>0</v>
      </c>
      <c r="AO222" s="67">
        <f t="shared" si="442"/>
        <v>0</v>
      </c>
      <c r="AP222" s="67">
        <f t="shared" si="442"/>
        <v>0</v>
      </c>
      <c r="AQ222" s="67">
        <f t="shared" si="442"/>
        <v>0</v>
      </c>
      <c r="AR222" s="68">
        <f t="shared" si="442"/>
        <v>0</v>
      </c>
      <c r="AS222" s="66">
        <f>IF(AND($B220=" ",$K222=AS$3),$O222,0)</f>
        <v>0</v>
      </c>
      <c r="AT222" s="67">
        <f>IF(AND($B220=" ",K222=AT$3),$O222,0)</f>
        <v>0</v>
      </c>
      <c r="AU222" s="67">
        <f t="shared" ref="AU222:BE222" si="455">IF(AND($B220=" ",$K222=AU$3),$O222,0)</f>
        <v>0</v>
      </c>
      <c r="AV222" s="67">
        <f t="shared" si="455"/>
        <v>0</v>
      </c>
      <c r="AW222" s="67">
        <f t="shared" si="455"/>
        <v>0</v>
      </c>
      <c r="AX222" s="67">
        <f t="shared" si="455"/>
        <v>0</v>
      </c>
      <c r="AY222" s="69">
        <f t="shared" si="455"/>
        <v>0</v>
      </c>
      <c r="AZ222" s="70">
        <f t="shared" si="455"/>
        <v>0</v>
      </c>
      <c r="BA222" s="70">
        <f t="shared" si="455"/>
        <v>0</v>
      </c>
      <c r="BB222" s="70">
        <f t="shared" si="455"/>
        <v>0</v>
      </c>
      <c r="BC222" s="71">
        <f t="shared" si="455"/>
        <v>0</v>
      </c>
      <c r="BD222" s="67">
        <f t="shared" si="455"/>
        <v>0</v>
      </c>
      <c r="BE222" s="68">
        <f t="shared" si="455"/>
        <v>0</v>
      </c>
      <c r="BF222" s="66">
        <f t="shared" si="444"/>
        <v>8.35</v>
      </c>
      <c r="BG222" s="168">
        <f t="shared" si="444"/>
        <v>0</v>
      </c>
      <c r="BH222" s="67">
        <f t="shared" si="444"/>
        <v>0</v>
      </c>
      <c r="BI222" s="67">
        <f t="shared" si="444"/>
        <v>0</v>
      </c>
      <c r="BJ222" s="67">
        <f t="shared" si="444"/>
        <v>0</v>
      </c>
      <c r="BK222" s="67">
        <f t="shared" si="444"/>
        <v>0</v>
      </c>
      <c r="BL222" s="67">
        <f t="shared" si="444"/>
        <v>0</v>
      </c>
      <c r="BM222" s="69">
        <f t="shared" si="444"/>
        <v>0</v>
      </c>
      <c r="BN222" s="70">
        <f t="shared" si="444"/>
        <v>0</v>
      </c>
      <c r="BO222" s="70">
        <f t="shared" si="444"/>
        <v>0</v>
      </c>
      <c r="BP222" s="70">
        <f t="shared" si="444"/>
        <v>0</v>
      </c>
      <c r="BQ222" s="71">
        <f t="shared" si="444"/>
        <v>0</v>
      </c>
      <c r="BR222" s="68">
        <f t="shared" si="444"/>
        <v>0</v>
      </c>
      <c r="BS222" s="491"/>
      <c r="BT222" s="489"/>
      <c r="BU222" s="392"/>
      <c r="BV222" s="489"/>
      <c r="BW222" s="392"/>
      <c r="BX222" s="392"/>
      <c r="BY222" s="392"/>
      <c r="BZ222" s="489"/>
      <c r="CA222" s="392"/>
      <c r="CB222" s="392"/>
      <c r="CC222" s="392"/>
      <c r="CD222" s="401"/>
      <c r="CE222" s="409"/>
      <c r="CF222" s="169">
        <f t="shared" si="388"/>
        <v>0</v>
      </c>
      <c r="CG222" s="170">
        <f t="shared" si="389"/>
        <v>1</v>
      </c>
      <c r="CH222" s="170">
        <f t="shared" si="390"/>
        <v>0</v>
      </c>
      <c r="CI222" s="170">
        <f t="shared" si="391"/>
        <v>0</v>
      </c>
      <c r="CJ222" s="170">
        <f t="shared" si="392"/>
        <v>0</v>
      </c>
      <c r="CK222" s="170">
        <f t="shared" si="393"/>
        <v>0</v>
      </c>
      <c r="CL222" s="170">
        <f t="shared" si="394"/>
        <v>0</v>
      </c>
      <c r="CM222" s="170">
        <f t="shared" si="395"/>
        <v>0</v>
      </c>
      <c r="CN222" s="170">
        <f t="shared" si="396"/>
        <v>0</v>
      </c>
      <c r="CO222" s="170">
        <f t="shared" si="397"/>
        <v>0</v>
      </c>
      <c r="CP222" s="170">
        <f t="shared" si="398"/>
        <v>0</v>
      </c>
      <c r="CQ222" s="170">
        <f t="shared" si="399"/>
        <v>0</v>
      </c>
      <c r="CR222" s="170">
        <f t="shared" si="400"/>
        <v>0</v>
      </c>
      <c r="CS222" s="170">
        <f t="shared" si="401"/>
        <v>0</v>
      </c>
      <c r="CT222" s="75">
        <f t="shared" si="402"/>
        <v>0</v>
      </c>
      <c r="CU222" s="76">
        <f t="shared" si="403"/>
        <v>0</v>
      </c>
      <c r="CV222" s="76">
        <f t="shared" si="404"/>
        <v>0</v>
      </c>
      <c r="CW222" s="76">
        <f t="shared" si="405"/>
        <v>0</v>
      </c>
      <c r="CX222" s="76">
        <f t="shared" si="406"/>
        <v>0</v>
      </c>
      <c r="CY222" s="76">
        <f t="shared" si="407"/>
        <v>0</v>
      </c>
      <c r="CZ222" s="76">
        <f t="shared" si="408"/>
        <v>0</v>
      </c>
      <c r="DA222" s="76">
        <f t="shared" si="409"/>
        <v>0</v>
      </c>
      <c r="DB222" s="76">
        <f t="shared" si="410"/>
        <v>0</v>
      </c>
      <c r="DC222" s="76">
        <f t="shared" si="411"/>
        <v>0</v>
      </c>
      <c r="DD222" s="76">
        <f t="shared" si="412"/>
        <v>0</v>
      </c>
      <c r="DE222" s="77">
        <f t="shared" si="413"/>
        <v>0</v>
      </c>
      <c r="DF222" s="73">
        <f t="shared" si="415"/>
        <v>14</v>
      </c>
      <c r="DG222" s="67">
        <f t="shared" si="416"/>
        <v>18.05</v>
      </c>
      <c r="DH222" s="76">
        <f t="shared" si="417"/>
        <v>6</v>
      </c>
      <c r="DI222" s="67">
        <f t="shared" si="418"/>
        <v>25.63</v>
      </c>
      <c r="DJ222" s="202" t="str">
        <f>IF($D220="","",$D220)</f>
        <v>6</v>
      </c>
      <c r="DK222" s="493"/>
    </row>
    <row r="223" spans="1:115" ht="14.5" customHeight="1" x14ac:dyDescent="0.2">
      <c r="A223" s="459">
        <f>$A220+1</f>
        <v>74</v>
      </c>
      <c r="B223" s="507" t="str">
        <f>IF(OR(C223="W",C224="W",C225="W",C223="1/2W",C224="1/2W",C225="1/2W",C223="1/2L",C224="1/2L",C225="1/2L"),"OK",IF(OR(C223="L",C224="L",C225="L"),"LOSS",IF(OR(C223="X",C224="X",C225="X"),"Anulado"," ")))</f>
        <v>OK</v>
      </c>
      <c r="C223" s="93" t="s">
        <v>54</v>
      </c>
      <c r="D223" s="468" t="str">
        <f>IF(G223="","",$D220)</f>
        <v>6</v>
      </c>
      <c r="E223" s="485" t="str">
        <f>IF(G223=""," ","– "&amp;COUNTIF(D$4:D225,$D223))</f>
        <v>– 17</v>
      </c>
      <c r="F223" s="509" t="str">
        <f ca="1">IF(G223="","",IF(OR(AND($C223&lt;&gt;" ",$C224=" "),AND($C224&lt;&gt;" ",$C223=" "),AND(L225&gt;0,OR(AND($C225&lt;&gt;" ",OR($C223=" ",$C224=" ")),AND($C225=" ",OR($C223&lt;&gt;" ",$C224&lt;&gt;" "))))),IF(SUM(F$4:F222)=0,1,LARGE(F$4:F222,1)+1),IF(MONTH(G223)=MONTH(TODAY()),IF(AND(DAY(G223)&lt;DAY(TODAY()),$B223=" "),IF(SUM(F$4:F222)=0,1,LARGE(F$4:F222,1)+1),IF($B223=" ",IF(AND(DAY(G223)=DAY(TODAY()),HOUR(G223)&lt;=HOUR(NOW())+1),IF(AND(HOUR(G223)+2&lt;=HOUR(NOW()),DAY(G223)&lt;=DAY(TODAY()),MINUTE(G223)&lt;=MINUTE(NOW())),IF(SUM(F$4:F222)=0,1,LARGE(F$4:F222,1)+1),IF(OR(MINUTE(G223)&lt;=MINUTE(NOW()),HOUR(G223)&lt;=HOUR(NOW())),"!!!","")),""),"")),"")))</f>
        <v/>
      </c>
      <c r="G223" s="482">
        <f>IF(H223="","",_xlfn.XLOOKUP(H223,$H$4:H222,$G$4:G222,""))</f>
        <v>44991.958333333336</v>
      </c>
      <c r="H223" s="475" t="s">
        <v>122</v>
      </c>
      <c r="I223" s="207"/>
      <c r="J223" s="176"/>
      <c r="K223" s="96" t="s">
        <v>37</v>
      </c>
      <c r="L223" s="97">
        <v>2</v>
      </c>
      <c r="M223" s="98">
        <v>20.6</v>
      </c>
      <c r="N223" s="478">
        <v>0</v>
      </c>
      <c r="O223" s="99">
        <f>IF(OR(AE223="",AE224=""),"",ROUND(IF(L225&gt;0,IF(M223&gt;0,M223,IF(M224&gt;0,ROUND((M224*AE223)/AE224,IF(N223=0,2,IF(N223=0.1,1,0))),ROUND((M225*AE223)/AE225,IF(N223=0,2,IF(N223=0.1,1,0))))),IF(M223&gt;0,M223,ROUND((M224*AE223)/AE224,IF(N223=0,2,IF(N223=0.1,1,0))))),2))</f>
        <v>20.6</v>
      </c>
      <c r="P223" s="100">
        <f>IF(OR(L223="",O223=""),"",IF($C223="1/2W",O223/2+O223/2*L223,IF($C223="1/2L",O223/2,IF(I223="Lay",(O223*(L223/(L223-1))-O223)*(1-_xlfn.XLOOKUP(K223,'Fevereiro 2023 - Valor Real'!A3:A15,'Fevereiro 2023 - Valor Real'!C3:C15,0))+O223,(O223*L223-O223)*(1-_xlfn.XLOOKUP(K223,'Fevereiro 2023 - Valor Real'!A3:A15,'Fevereiro 2023 - Valor Real'!C3:C15,0))+O223))))</f>
        <v>41.2</v>
      </c>
      <c r="Q223" s="177">
        <f>IF(K223="","",IF(_xlfn.XLOOKUP(K223,K$6:K218,$DJ$6:DJ218,0,,-1)=DJ223,_xlfn.XLOOKUP(K223,K$6:K218,Q$6:Q218,1,,-1)+1,1))</f>
        <v>7</v>
      </c>
      <c r="R223" s="102">
        <f>IF(K223="","",_xlfn.XLOOKUP(K223,K$6:K218,R$6:R218,0,,-1)+IF($C223=" ",1,0))</f>
        <v>0</v>
      </c>
      <c r="S223" s="474">
        <f>IF($B223="Anulado",0,ROUND(IF(OR($B223="LOSS",$B223="OK"),IF(OR($C223="W",$C223="1/2W",$C223="1/2L"),P223-O223,IF($C223="L",-O223,0))+IF(OR($C224="W",$C224="1/2W",$C224="1/2L"),P224-O224,IF($C224="L",-O224,0))+IF(OR($C225="W",$C225="1/2W",$C225="1/2L"),P225-O225,IF($C225="L",-O225,0)),IF(AND(OR($C223="W",$C223="1/2W",$C223="1/2L"),C224="W"),P223+P224-SUM(O223:O225)+_xlfn.XLOOKUP("X",C223:C225,O223:O225,0),IF(AND(C223=TRUE,C225="W"),P223+P225-SUM(O223:O225),IF(AND(C224="W",C225="W"),P224+P225-SUM(O223:O225)+_xlfn.XLOOKUP("X",C223:C225,O223:O225,0),IF(L225&gt;0,IF(OR($C223="W",$C223="1/2W",$C223="1/2L"),P223-SUM(O223:O225)+_xlfn.XLOOKUP("X",C223:C225,O223:O225,0),IF(OR($C223="W",$C223="1/2W",$C223="1/2L"),P224-SUM(O223:O225)+_xlfn.XLOOKUP("X",C223:C225,O223:O225,0),IF(OR($C223="W",$C223="1/2W",$C223="1/2L"),P225-SUM(O223:O225)+_xlfn.XLOOKUP("X",C223:C225,O223:O225,0),IF(SUM(P223:P225)/3-SUM(O223:O225)+_xlfn.XLOOKUP("X",C223:C225,O223:O225,0)&gt;0,SUM(P223:P225)/3-SUM(O223:O225)+_xlfn.XLOOKUP("X",C223:C225,O223:O225,0),LARGE(P223:P225,1)-SUM(O223:O225))))),IF(OR($C223="W",$C223="1/2W",$C223="1/2L"),P223-SUM(O223:O224)+_xlfn.XLOOKUP("X",C223:C225,O223:O225,0),IF(OR($C223="W",$C223="1/2W",$C223="1/2L"),P224-SUM(O223:O224)+_xlfn.XLOOKUP("X",C223:C225,O223:O225,0),SUM(P223:P224)/2-SUM(O223:O224)+_xlfn.XLOOKUP("X",C223:C225,O223:O225,0)))))))),2))</f>
        <v>-5.24</v>
      </c>
      <c r="T223" s="458">
        <f>IF(S223=0,0,S223/SUM(O223:O225))</f>
        <v>-0.1128337639965547</v>
      </c>
      <c r="U223" s="470">
        <f>IF($D223=$D220,IF(OR($B223="LOSS",$B223="OK",$B223="Anulada"),S223,0)+U220,IF(OR($B223="LOSS",$B223="OK",$B223="Anulada"),S223,0))</f>
        <v>257.57</v>
      </c>
      <c r="V223" s="470">
        <f>IF($D223="",0,IF($D223=$D220,IF($B223=" ",IF(I225="",IF(OR(AND(I223="DNB1",I224="DNB2"),AND(OR(I223="DNB1",I223="DNB2"),J224=0),AND(OR(I224="DNB1",I224="DNB2"),J223=0),AND(I223="DNB2",I224="DNB1"),AND(IF(J223=0,(J223+1)/ROUND(J223+1,0),J223/ROUND(J223,0))=1,IF(J224=0,(J224+1)/ROUND(IF(J224="",0,J224)+1,0),IF(J224="",0,J224)/ROUND(IF(J224="",1,J224),0))=1,OR(J223&lt;&gt;""),J224&lt;&gt;"")),0,IF(S223&lt;0,IF(I225="",SMALL(P223:P224,1)-SUM(O223:O224),0),SMALL(P223:P224,1)-SUM(O223:O224))),IF(S223&lt;0,IF(I225="",SMALL(P223:P225,1)-SUM(O223:O225),0),LARGE(P223:P225,1)-SUM(O223:O225))),S223)+V220,IF(I225="",IF(OR(AND(I223="DNB1",I224="DNB2"),AND(OR(I223="DNB1",I223="DNB2"),J224=0),AND(OR(I224="DNB1",I224="DNB2"),J223=0),AND(I223="DNB2",I224="DNB1"),AND(IF(J223=0,(J223+1)/ROUND(J223+1,0),J223/ROUND(J223,0))=1,IF(J224=0,(IF(J224="",0,J224)+1)/ROUND(IF(J224="",0,J224)+1,0),IF(J224="",0,J224)/ROUND(IF(J224="",0,J224)+1,0))=1,OR(J223&lt;&gt;""),J224&lt;&gt;"")),0,IF(S223&lt;0,IF(I225="",SMALL(P223:P224,1)-SUM(O223:O224),0),SMALL(P223:P225,1)-SUM(O223:O225))),IF(S223&lt;0,IF(I225="",SMALL(P223:P225,1)-SUM(O223:O225),0),LARGE(P223:P225,1)-SUM(O223:O225)))))</f>
        <v>257.56200000000001</v>
      </c>
      <c r="W223" s="470">
        <f>IF($D223=$D220,IF(S223&lt;0,IF(I225="",S223,0),S223)+W220,S223)</f>
        <v>257.57</v>
      </c>
      <c r="X223" s="480" t="str">
        <f>IF(OR(SUM(R223:R225)=0,V223=W223),ROUND(IF(W223=0,0,W223/Y223)*100,2)&amp;"%",ROUND(IF(V223=0,0,V223/Y223)*100,2)&amp;"% a "&amp;ROUND(IF(W223=0,0,W223/Y223)*100,2)&amp;"%")</f>
        <v>26,71%</v>
      </c>
      <c r="Y223" s="471">
        <f>IF($D223=$D220,Y220+SUM(O223:O225),SUM(O223:O225))</f>
        <v>964.32999999999993</v>
      </c>
      <c r="Z223" s="470">
        <f>IF($B223=" ",SUM(O223:O225),0)+Z220</f>
        <v>0</v>
      </c>
      <c r="AA223" s="470">
        <f>IF(G223="","",IF($B223="Anulado",LARGE(P223:P225,1)-SUM(O223:O225)+AA220,AA220))</f>
        <v>1.4607999999999972</v>
      </c>
      <c r="AB223" s="470">
        <f>IF($D223="","",AB220+S223)</f>
        <v>397.41999999999996</v>
      </c>
      <c r="AC223" s="472">
        <f ca="1">IF($D223="","",IF($B223=" ",IF(DAY(G223)=DAY(TODAY()),1+AC220,0+AC220),0+AC220))</f>
        <v>0</v>
      </c>
      <c r="AD223" s="103">
        <f>(((L224/(L224-1)-1)*(1-_xlfn.XLOOKUP(K224,'Fevereiro 2023 - Valor Real'!A3:A15,'Fevereiro 2023 - Valor Real'!C3:C15,0))+1))/(((L223-1)*(1-_xlfn.XLOOKUP(K223,'Fevereiro 2023 - Valor Real'!A3:A15,'Fevereiro 2023 - Valor Real'!C3:C15,0))+1)+((L224/(L224-1)-1)*(1-_xlfn.XLOOKUP(K224,'Fevereiro 2023 - Valor Real'!A3:A15,'Fevereiro 2023 - Valor Real'!C3:C15,0))+1))</f>
        <v>0.48376975986484855</v>
      </c>
      <c r="AE223" s="104">
        <f>IF(L223="","",IF(L225&gt;0,(SUM(((L223-1)*(1-_xlfn.XLOOKUP(K223,'Fevereiro 2023 - Valor Real'!A3:A15,'Fevereiro 2023 - Valor Real'!C3:C15,0))+1),((L224-1)*(1-_xlfn.XLOOKUP(K224,'Fevereiro 2023 - Valor Real'!A3:A15,'Fevereiro 2023 - Valor Real'!C3:C15,0))+1),((L225-1)*(1-_xlfn.XLOOKUP(K225,'Fevereiro 2023 - Valor Real'!A3:A15,'Fevereiro 2023 - Valor Real'!C3:C15,0))+1))/((L223-1)*(1-_xlfn.XLOOKUP(K223,'Fevereiro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Real'!C3:C15,0))+1))/((L223-1)*(1-_xlfn.XLOOKUP(K223,'Fevereiro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Real'!C3:C15,0))+1))/((L224-1)*(1-_xlfn.XLOOKUP(K224,'Fevereiro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Real'!C3:C15,0))+1))/((L225-1)*(1-_xlfn.XLOOKUP(K225,'Fevereiro 2023 - Valor Real'!A3:A15,'Fevereiro 2023 - Valor Real'!C3:C15,0))+1)),IF(I223="Lay",IF(I224="Lay",((L224/(L224-1)-1)*(1-_xlfn.XLOOKUP(K224,'Fevereiro 2023 - Valor Real'!A3:A15,'Fevereiro 2023 - Valor Real'!C3:C15,0))+1)/(((L224/(L224-1)-1)*(1-_xlfn.XLOOKUP(K224,'Fevereiro 2023 - Valor Real'!A3:A15,'Fevereiro 2023 - Valor Real'!C3:C15,0))+1)+((L223/(L223-1)-1)*(1-_xlfn.XLOOKUP(K223,'Fevereiro 2023 - Valor Real'!A3:A15,'Fevereiro 2023 - Valor Real'!C3:C15,0))+1)),((L224-1)*(1-_xlfn.XLOOKUP(K224,'Fevereiro 2023 - Valor Real'!A3:A15,'Fevereiro 2023 - Valor Real'!C3:C15,0))+1)/(((L224-1)*(1-_xlfn.XLOOKUP(K224,'Fevereiro 2023 - Valor Real'!A3:A15,'Fevereiro 2023 - Valor Real'!C3:C15,0))+1)+((L223/(L223-1)-1)*(1-_xlfn.XLOOKUP(K223,'Fevereiro 2023 - Valor Real'!A3:A15,'Fevereiro 2023 - Valor Real'!C3:C15,0))+1))),IF(I224="Lay",(((L224/(L224-1)-1)*(1-_xlfn.XLOOKUP(K224,'Fevereiro 2023 - Valor Real'!A3:A15,'Fevereiro 2023 - Valor Real'!C3:C15,0))+1))/(((L223-1)*(1-_xlfn.XLOOKUP(K223,'Fevereiro 2023 - Valor Real'!A3:A15,'Fevereiro 2023 - Valor Real'!C3:C15,0))+1)+((L224/(L224-1)-1)*(1-_xlfn.XLOOKUP(K224,'Fevereiro 2023 - Valor Real'!A3:A15,'Fevereiro 2023 - Valor Real'!C3:C15,0))+1)),((L224-1)*(1-_xlfn.XLOOKUP(K224,'Fevereiro 2023 - Valor Real'!A3:A15,'Fevereiro 2023 - Valor Real'!C3:C15,0))+1)/(((L224-1)*(1-_xlfn.XLOOKUP(K224,'Fevereiro 2023 - Valor Real'!A3:A15,'Fevereiro 2023 - Valor Real'!C3:C15,0))+1)+((L223-1)*(1-_xlfn.XLOOKUP(K223,'Fevereiro 2023 - Valor Real'!A3:A15,'Fevereiro 2023 - Valor Real'!C3:C15,0))+1))))))</f>
        <v>0.49999781249042968</v>
      </c>
      <c r="AF223" s="105">
        <f t="shared" si="442"/>
        <v>0</v>
      </c>
      <c r="AG223" s="106">
        <f t="shared" si="442"/>
        <v>20.6</v>
      </c>
      <c r="AH223" s="106">
        <f t="shared" si="442"/>
        <v>0</v>
      </c>
      <c r="AI223" s="106">
        <f t="shared" si="442"/>
        <v>0</v>
      </c>
      <c r="AJ223" s="106">
        <f t="shared" si="442"/>
        <v>0</v>
      </c>
      <c r="AK223" s="106">
        <f t="shared" si="442"/>
        <v>0</v>
      </c>
      <c r="AL223" s="106">
        <f t="shared" si="442"/>
        <v>0</v>
      </c>
      <c r="AM223" s="106">
        <f t="shared" si="442"/>
        <v>0</v>
      </c>
      <c r="AN223" s="106">
        <f t="shared" si="442"/>
        <v>0</v>
      </c>
      <c r="AO223" s="106">
        <f t="shared" si="442"/>
        <v>0</v>
      </c>
      <c r="AP223" s="106">
        <f t="shared" si="442"/>
        <v>0</v>
      </c>
      <c r="AQ223" s="106">
        <f t="shared" si="442"/>
        <v>0</v>
      </c>
      <c r="AR223" s="107">
        <f t="shared" si="442"/>
        <v>0</v>
      </c>
      <c r="AS223" s="105">
        <f t="shared" ref="AS223:BE223" si="456">IF(AND($B223=" ",$K223=AS$3),$O223,0)</f>
        <v>0</v>
      </c>
      <c r="AT223" s="106">
        <f t="shared" si="456"/>
        <v>0</v>
      </c>
      <c r="AU223" s="106">
        <f t="shared" si="456"/>
        <v>0</v>
      </c>
      <c r="AV223" s="106">
        <f t="shared" si="456"/>
        <v>0</v>
      </c>
      <c r="AW223" s="106">
        <f t="shared" si="456"/>
        <v>0</v>
      </c>
      <c r="AX223" s="106">
        <f t="shared" si="456"/>
        <v>0</v>
      </c>
      <c r="AY223" s="108">
        <f t="shared" si="456"/>
        <v>0</v>
      </c>
      <c r="AZ223" s="109">
        <f t="shared" si="456"/>
        <v>0</v>
      </c>
      <c r="BA223" s="109">
        <f t="shared" si="456"/>
        <v>0</v>
      </c>
      <c r="BB223" s="109">
        <f t="shared" si="456"/>
        <v>0</v>
      </c>
      <c r="BC223" s="110">
        <f t="shared" si="456"/>
        <v>0</v>
      </c>
      <c r="BD223" s="106">
        <f t="shared" si="456"/>
        <v>0</v>
      </c>
      <c r="BE223" s="107">
        <f t="shared" si="456"/>
        <v>0</v>
      </c>
      <c r="BF223" s="111">
        <f t="shared" si="444"/>
        <v>0</v>
      </c>
      <c r="BG223" s="106">
        <f t="shared" si="444"/>
        <v>20.6</v>
      </c>
      <c r="BH223" s="106">
        <f t="shared" si="444"/>
        <v>0</v>
      </c>
      <c r="BI223" s="106">
        <f t="shared" si="444"/>
        <v>0</v>
      </c>
      <c r="BJ223" s="106">
        <f t="shared" si="444"/>
        <v>0</v>
      </c>
      <c r="BK223" s="106">
        <f t="shared" si="444"/>
        <v>0</v>
      </c>
      <c r="BL223" s="106">
        <f t="shared" si="444"/>
        <v>0</v>
      </c>
      <c r="BM223" s="108">
        <f t="shared" si="444"/>
        <v>0</v>
      </c>
      <c r="BN223" s="109">
        <f t="shared" si="444"/>
        <v>0</v>
      </c>
      <c r="BO223" s="109">
        <f t="shared" si="444"/>
        <v>0</v>
      </c>
      <c r="BP223" s="109">
        <f t="shared" si="444"/>
        <v>0</v>
      </c>
      <c r="BQ223" s="110">
        <f t="shared" si="444"/>
        <v>0</v>
      </c>
      <c r="BR223" s="107">
        <f t="shared" si="444"/>
        <v>0</v>
      </c>
      <c r="BS223" s="463">
        <f>IF($B223="LOSS",IF(AND($K223=BS$3,$C223="L"),-$O223,0)+IF(AND($K224=BS$3,$C224="L"),-$O224,0)+IF(AND($K225=BS$3,$C225="L"),-$O225,0),IF(OR(AND($K223=BS$3,OR($C223="W",$C223="1/2W")),AND($K224=BS$3,OR($C224="W",$C224="1/2W")),AND($K225=BS$3,OR($C225="W",$C225="1/2W"))),$S223,0))</f>
        <v>0</v>
      </c>
      <c r="BT223" s="462">
        <f>IF($B223="LOSS",IF(AND($K223=BT$3,$C223="L"),-$O223,0)+IF(AND($K224=BT$3,$C224="L"),-$O224,0)+IF(AND($K224=BT$3,$C225="L"),-$O225,0),IF(OR(AND($K224=BT$3,OR($C223="W",$C223="1/2W")),AND($K224=BT$3,OR($C224="W",$C224="1/2W")),AND($K224=BT$3,OR($C225="W",$C225="1/2W"))),$S223,0))</f>
        <v>0</v>
      </c>
      <c r="BU223" s="462">
        <f>IF($B223="LOSS",IF(AND($K223=BU$3,$C223="L"),-$O223,0)+IF(AND($K224=BU$3,$C224="L"),-$O224,0)+IF(AND($K224=BU$3,$C225="L"),-$O225,0),IF(OR(AND($K224=BU$3,OR($C223="W",$C223="1/2W")),AND($K224=BU$3,OR($C224="W",$C224="1/2W")),AND($K224=BU$3,OR($C225="W",$C225="1/2W"))),$S223,0))</f>
        <v>-5.24</v>
      </c>
      <c r="BV223" s="462">
        <f t="shared" ref="BV223:CE223" si="457">IF($B223="LOSS",IF(AND($K223=BV$3,$C223="L"),-$O223,0)+IF(AND($K224=BV$3,$C224="L"),-$O224,0)+IF(AND($K225=BV$3,$C225="L"),-$O225,0),IF(OR(AND($K223=BV$3,OR($C223="W",$C223="1/2W")),AND($K224=BV$3,OR($C224="W",$C224="1/2W")),AND($K225=BV$3,OR($C225="W",$C225="1/2W"))),$S223,0))</f>
        <v>0</v>
      </c>
      <c r="BW223" s="462">
        <f t="shared" si="457"/>
        <v>0</v>
      </c>
      <c r="BX223" s="462">
        <f t="shared" si="457"/>
        <v>0</v>
      </c>
      <c r="BY223" s="462">
        <f t="shared" si="457"/>
        <v>0</v>
      </c>
      <c r="BZ223" s="460">
        <f t="shared" si="457"/>
        <v>0</v>
      </c>
      <c r="CA223" s="460">
        <f t="shared" si="457"/>
        <v>0</v>
      </c>
      <c r="CB223" s="460">
        <f t="shared" si="457"/>
        <v>0</v>
      </c>
      <c r="CC223" s="460">
        <f t="shared" si="457"/>
        <v>0</v>
      </c>
      <c r="CD223" s="473">
        <f t="shared" si="457"/>
        <v>0</v>
      </c>
      <c r="CE223" s="479">
        <f t="shared" si="457"/>
        <v>0</v>
      </c>
      <c r="CF223" s="113">
        <f t="shared" si="388"/>
        <v>0</v>
      </c>
      <c r="CG223" s="114">
        <f t="shared" si="389"/>
        <v>0</v>
      </c>
      <c r="CH223" s="114">
        <f t="shared" si="390"/>
        <v>1</v>
      </c>
      <c r="CI223" s="114">
        <f t="shared" si="391"/>
        <v>0</v>
      </c>
      <c r="CJ223" s="114">
        <f t="shared" si="392"/>
        <v>0</v>
      </c>
      <c r="CK223" s="114">
        <f t="shared" si="393"/>
        <v>0</v>
      </c>
      <c r="CL223" s="114">
        <f t="shared" si="394"/>
        <v>0</v>
      </c>
      <c r="CM223" s="114">
        <f t="shared" si="395"/>
        <v>0</v>
      </c>
      <c r="CN223" s="114">
        <f t="shared" si="396"/>
        <v>0</v>
      </c>
      <c r="CO223" s="114">
        <f t="shared" si="397"/>
        <v>0</v>
      </c>
      <c r="CP223" s="114">
        <f t="shared" si="398"/>
        <v>0</v>
      </c>
      <c r="CQ223" s="114">
        <f t="shared" si="399"/>
        <v>0</v>
      </c>
      <c r="CR223" s="114">
        <f t="shared" si="400"/>
        <v>0</v>
      </c>
      <c r="CS223" s="114">
        <f t="shared" si="401"/>
        <v>0</v>
      </c>
      <c r="CT223" s="115">
        <f t="shared" si="402"/>
        <v>0</v>
      </c>
      <c r="CU223" s="116">
        <f t="shared" si="403"/>
        <v>0</v>
      </c>
      <c r="CV223" s="116">
        <f t="shared" si="404"/>
        <v>0</v>
      </c>
      <c r="CW223" s="116">
        <f t="shared" si="405"/>
        <v>0</v>
      </c>
      <c r="CX223" s="116">
        <f t="shared" si="406"/>
        <v>0</v>
      </c>
      <c r="CY223" s="116">
        <f t="shared" si="407"/>
        <v>0</v>
      </c>
      <c r="CZ223" s="116">
        <f t="shared" si="408"/>
        <v>0</v>
      </c>
      <c r="DA223" s="116">
        <f t="shared" si="409"/>
        <v>0</v>
      </c>
      <c r="DB223" s="116">
        <f t="shared" si="410"/>
        <v>0</v>
      </c>
      <c r="DC223" s="116">
        <f t="shared" si="411"/>
        <v>0</v>
      </c>
      <c r="DD223" s="116">
        <f t="shared" si="412"/>
        <v>0</v>
      </c>
      <c r="DE223" s="117">
        <f t="shared" si="413"/>
        <v>0</v>
      </c>
      <c r="DF223" s="118">
        <f t="shared" si="415"/>
        <v>14</v>
      </c>
      <c r="DG223" s="106">
        <f t="shared" si="416"/>
        <v>18.05</v>
      </c>
      <c r="DH223" s="116">
        <f t="shared" si="417"/>
        <v>6</v>
      </c>
      <c r="DI223" s="106">
        <f t="shared" si="418"/>
        <v>25.63</v>
      </c>
      <c r="DJ223" s="201" t="str">
        <f>IF($D223="","",$D223)</f>
        <v>6</v>
      </c>
      <c r="DK223" s="465">
        <f>IF(AND($B223=" ",$D223&lt;&gt;""),1,0)</f>
        <v>0</v>
      </c>
    </row>
    <row r="224" spans="1:115" ht="14.5" customHeight="1" x14ac:dyDescent="0.2">
      <c r="A224" s="389"/>
      <c r="B224" s="456"/>
      <c r="C224" s="120" t="s">
        <v>55</v>
      </c>
      <c r="D224" s="374"/>
      <c r="E224" s="386"/>
      <c r="F224" s="377"/>
      <c r="G224" s="483"/>
      <c r="H224" s="476"/>
      <c r="I224" s="208"/>
      <c r="J224" s="179" t="str">
        <f>IF(OR(I223="TO",I223="TU",I223="TO1",I223="TU1",I223="TO2",I223="TU2"),J223,IF(OR(I223="AH1",I223="AH2"),IF(OR(I224="AH1",I224="AH2"),-J223,IF(OR(I224="EH1",I224="EH2"),-J223+0.5,"")),IF(OR(I223="EH1",I223="EH2"),IF(OR(I224="AH1",I224="AH2"),-J223+0.5,IF(OR(I224="EH1",I224="EH2"),-J223+1,"")),IF(AND(OR(I223="DNB1",I223="DNB2"),OR(I224="AH1",I224="AH2")),0,IF(AND(I223="Not ScoreBoth",OR(I224="TO1",I224="TO2")),0.5,"")))))</f>
        <v/>
      </c>
      <c r="K224" s="123" t="s">
        <v>38</v>
      </c>
      <c r="L224" s="124">
        <v>2.0695000000000001</v>
      </c>
      <c r="M224" s="125">
        <v>25.84</v>
      </c>
      <c r="N224" s="406"/>
      <c r="O224" s="126">
        <f>IF(OR(AE223="",AE224=""),"",ROUND(IF(L225&gt;0,IF(M224&gt;0,M224,IF(M223&gt;0,IF(N223=TRUE,ROUND((M223*AE224)/AE223,0),(M223*AE224)/AE223),IF(M224&gt;0,ROUND(M224,IF(N223=0,2,IF(N223=0.1,1,0))),IF(M225&gt;0,ROUND(O225*AE224/AE225,IF(N223=0,2,IF(N223=0.1,1,0))),0)))),IF(M224&gt;0,M224,ROUND((M223*AE224)/AE223,IF(N223=0,2,IF(N223=0.1,1,0))))),2))</f>
        <v>25.84</v>
      </c>
      <c r="P224" s="127">
        <f>IF(OR(L224="",O224=""),"",IF($C224="1/2W",O224/2+O224/2*L224,IF($C224="1/2L",O224/2,IF(I224="Lay",((O224*(L224/(L224-1)))-O224)*(1-_xlfn.XLOOKUP(K224,'Fevereiro 2023 - Valor Real'!A3:A15,'Fevereiro 2023 - Valor Real'!C3:C15,0))+O224,(O224*L224-O224)*(1-_xlfn.XLOOKUP(K224,'Fevereiro 2023 - Valor Real'!A3:A15,'Fevereiro 2023 - Valor Real'!C3:C15,0))+O224))))</f>
        <v>51.679547800000009</v>
      </c>
      <c r="Q224" s="128">
        <f>IF(K224="","",IF(_xlfn.XLOOKUP(K224,K$7:K218,$DJ$7:DJ218,0,,-1)=DJ224,_xlfn.XLOOKUP(K224,K$7:K218,Q$7:Q218,1,,-1)+1,1))</f>
        <v>1</v>
      </c>
      <c r="R224" s="129">
        <f>IF(K224="","",_xlfn.XLOOKUP(K224,K$7:K218,R$7:R218,0,,-1)+IF($C224=" ",1,0))</f>
        <v>0</v>
      </c>
      <c r="S224" s="403"/>
      <c r="T224" s="380"/>
      <c r="U224" s="380"/>
      <c r="V224" s="481"/>
      <c r="W224" s="380"/>
      <c r="X224" s="452"/>
      <c r="Y224" s="383"/>
      <c r="Z224" s="384"/>
      <c r="AA224" s="384"/>
      <c r="AB224" s="384"/>
      <c r="AC224" s="384"/>
      <c r="AD224" s="130">
        <f>(((L224/(L224-1)-1)*(1-_xlfn.XLOOKUP(K224,'Fevereiro 2023 - Valor Real'!A3:A15,'Fevereiro 2023 - Valor Real'!C3:C15,0))+1))</f>
        <v>1.874240299205236</v>
      </c>
      <c r="AE224" s="131">
        <f>IF(L224="","",IF(L225&gt;0,(SUM(((L223-1)*(1-_xlfn.XLOOKUP(K223,'Fevereiro 2023 - Valor Real'!A3:A15,'Fevereiro 2023 - Valor Real'!C3:C15,0))+1),((L224-1)*(1-_xlfn.XLOOKUP(K224,'Fevereiro 2023 - Valor Real'!A3:A15,'Fevereiro 2023 - Valor Real'!C3:C15,0))+1),((L225-1)*(1-_xlfn.XLOOKUP(K225,'Fevereiro 2023 - Valor Real'!A3:A15,'Fevereiro 2023 - Valor Real'!C3:C15,0))+1))/((L224-1)*(1-_xlfn.XLOOKUP(K224,'Fevereiro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Real'!C3:C15,0))+1))/((L223-1)*(1-_xlfn.XLOOKUP(K223,'Fevereiro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Real'!C3:C15,0))+1))/((L224-1)*(1-_xlfn.XLOOKUP(K224,'Fevereiro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Real'!C3:C15,0))+1))/((L225-1)*(1-_xlfn.XLOOKUP(K225,'Fevereiro 2023 - Valor Real'!A3:A15,'Fevereiro 2023 - Valor Real'!C3:C15,0))+1)),IF(I224="Lay",IF(I223="Lay",((L223/(L223-1)-1)*(1-_xlfn.XLOOKUP(K223,'Fevereiro 2023 - Valor Real'!A3:A15,'Fevereiro 2023 - Valor Real'!C3:C15,0))+1)/(((L223/(L223-1)-1)*(1-_xlfn.XLOOKUP(K223,'Fevereiro 2023 - Valor Real'!A3:A15,'Fevereiro 2023 - Valor Real'!C3:C15,0))+1)+((L224/(L224-1)-1)*(1-_xlfn.XLOOKUP(K224,'Fevereiro 2023 - Valor Real'!A3:A15,'Fevereiro 2023 - Valor Real'!C3:C15,0))+1)),((L223-1)*(1-_xlfn.XLOOKUP(K223,'Fevereiro 2023 - Valor Real'!A3:A15,'Fevereiro 2023 - Valor Real'!C3:C15,0))+1)/(((L223-1)*(1-_xlfn.XLOOKUP(K223,'Fevereiro 2023 - Valor Real'!A3:A15,'Fevereiro 2023 - Valor Real'!C3:C15,0))+1)+((L224/(L224-1)-1)*(1-_xlfn.XLOOKUP(K224,'Fevereiro 2023 - Valor Real'!A3:A15,'Fevereiro 2023 - Valor Real'!C3:C15,0))+1))),IF(I223="Lay",((L223/(L223-1)-1)*(1-_xlfn.XLOOKUP(K223,'Fevereiro 2023 - Valor Real'!A3:A15,'Fevereiro 2023 - Valor Real'!C3:C15,0))+1)/((((L223/(L223-1)-1)*(1-_xlfn.XLOOKUP(K223,'Fevereiro 2023 - Valor Real'!A3:A15,'Fevereiro 2023 - Valor Real'!C3:C15,0))+1))+((L224-1)*(1-_xlfn.XLOOKUP(K224,'Fevereiro 2023 - Valor Real'!A3:A15,'Fevereiro 2023 - Valor Real'!C3:C15,0))+1)),((L223-1)*(1-_xlfn.XLOOKUP(K223,'Fevereiro 2023 - Valor Real'!A3:A15,'Fevereiro 2023 - Valor Real'!C3:C15,0))+1)/(((L223-1)*(1-_xlfn.XLOOKUP(K223,'Fevereiro 2023 - Valor Real'!A3:A15,'Fevereiro 2023 - Valor Real'!C3:C15,0))+1)+((L224-1)*(1-_xlfn.XLOOKUP(K224,'Fevereiro 2023 - Valor Real'!A3:A15,'Fevereiro 2023 - Valor Real'!C3:C15,0))+1))))))</f>
        <v>0.50000218750957037</v>
      </c>
      <c r="AF224" s="105">
        <f t="shared" ref="AF224:AR233" si="458">IF($K224=AF$3,ROUND(IF(OR($C224="W",$C224="1/2W",$C224="1/2L"),$P224-$O224,IF($C224="X",0,-$O224)),2),0)</f>
        <v>0</v>
      </c>
      <c r="AG224" s="106">
        <f t="shared" si="458"/>
        <v>0</v>
      </c>
      <c r="AH224" s="106">
        <f t="shared" si="458"/>
        <v>-25.84</v>
      </c>
      <c r="AI224" s="106">
        <f t="shared" si="458"/>
        <v>0</v>
      </c>
      <c r="AJ224" s="106">
        <f t="shared" si="458"/>
        <v>0</v>
      </c>
      <c r="AK224" s="106">
        <f t="shared" si="458"/>
        <v>0</v>
      </c>
      <c r="AL224" s="106">
        <f t="shared" si="458"/>
        <v>0</v>
      </c>
      <c r="AM224" s="106">
        <f t="shared" si="458"/>
        <v>0</v>
      </c>
      <c r="AN224" s="106">
        <f t="shared" si="458"/>
        <v>0</v>
      </c>
      <c r="AO224" s="106">
        <f t="shared" si="458"/>
        <v>0</v>
      </c>
      <c r="AP224" s="106">
        <f t="shared" si="458"/>
        <v>0</v>
      </c>
      <c r="AQ224" s="106">
        <f t="shared" si="458"/>
        <v>0</v>
      </c>
      <c r="AR224" s="107">
        <f t="shared" si="458"/>
        <v>0</v>
      </c>
      <c r="AS224" s="105">
        <f>IF(AND($B223=" ",$K224=AS$3),$O224,0)</f>
        <v>0</v>
      </c>
      <c r="AT224" s="106">
        <f>IF(AND($B223=" ",K224=AT$3),$O224,0)</f>
        <v>0</v>
      </c>
      <c r="AU224" s="106">
        <f t="shared" ref="AU224:BE224" si="459">IF(AND($B223=" ",$K224=AU$3),$O224,0)</f>
        <v>0</v>
      </c>
      <c r="AV224" s="106">
        <f t="shared" si="459"/>
        <v>0</v>
      </c>
      <c r="AW224" s="106">
        <f t="shared" si="459"/>
        <v>0</v>
      </c>
      <c r="AX224" s="106">
        <f t="shared" si="459"/>
        <v>0</v>
      </c>
      <c r="AY224" s="108">
        <f t="shared" si="459"/>
        <v>0</v>
      </c>
      <c r="AZ224" s="109">
        <f t="shared" si="459"/>
        <v>0</v>
      </c>
      <c r="BA224" s="109">
        <f t="shared" si="459"/>
        <v>0</v>
      </c>
      <c r="BB224" s="109">
        <f t="shared" si="459"/>
        <v>0</v>
      </c>
      <c r="BC224" s="110">
        <f t="shared" si="459"/>
        <v>0</v>
      </c>
      <c r="BD224" s="106">
        <f t="shared" si="459"/>
        <v>0</v>
      </c>
      <c r="BE224" s="107">
        <f t="shared" si="459"/>
        <v>0</v>
      </c>
      <c r="BF224" s="105">
        <f t="shared" ref="BF224:BR233" si="460">IF($K224=BF$3,IF($C224="X",0,$O224),0)</f>
        <v>0</v>
      </c>
      <c r="BG224" s="106">
        <f t="shared" si="460"/>
        <v>0</v>
      </c>
      <c r="BH224" s="106">
        <f t="shared" si="460"/>
        <v>25.84</v>
      </c>
      <c r="BI224" s="106">
        <f t="shared" si="460"/>
        <v>0</v>
      </c>
      <c r="BJ224" s="106">
        <f t="shared" si="460"/>
        <v>0</v>
      </c>
      <c r="BK224" s="106">
        <f t="shared" si="460"/>
        <v>0</v>
      </c>
      <c r="BL224" s="106">
        <f t="shared" si="460"/>
        <v>0</v>
      </c>
      <c r="BM224" s="132">
        <f t="shared" si="460"/>
        <v>0</v>
      </c>
      <c r="BN224" s="112">
        <f t="shared" si="460"/>
        <v>0</v>
      </c>
      <c r="BO224" s="112">
        <f t="shared" si="460"/>
        <v>0</v>
      </c>
      <c r="BP224" s="112">
        <f t="shared" si="460"/>
        <v>0</v>
      </c>
      <c r="BQ224" s="110">
        <f t="shared" si="460"/>
        <v>0</v>
      </c>
      <c r="BR224" s="107">
        <f t="shared" si="460"/>
        <v>0</v>
      </c>
      <c r="BS224" s="464"/>
      <c r="BT224" s="461"/>
      <c r="BU224" s="392"/>
      <c r="BV224" s="461"/>
      <c r="BW224" s="392"/>
      <c r="BX224" s="392"/>
      <c r="BY224" s="392"/>
      <c r="BZ224" s="461"/>
      <c r="CA224" s="392"/>
      <c r="CB224" s="392"/>
      <c r="CC224" s="392"/>
      <c r="CD224" s="401"/>
      <c r="CE224" s="409"/>
      <c r="CF224" s="133">
        <f t="shared" si="388"/>
        <v>0</v>
      </c>
      <c r="CG224" s="134">
        <f t="shared" si="389"/>
        <v>0</v>
      </c>
      <c r="CH224" s="134">
        <f t="shared" si="390"/>
        <v>0</v>
      </c>
      <c r="CI224" s="134">
        <f t="shared" si="391"/>
        <v>0</v>
      </c>
      <c r="CJ224" s="134">
        <f t="shared" si="392"/>
        <v>0</v>
      </c>
      <c r="CK224" s="134">
        <f t="shared" si="393"/>
        <v>1</v>
      </c>
      <c r="CL224" s="134">
        <f t="shared" si="394"/>
        <v>0</v>
      </c>
      <c r="CM224" s="134">
        <f t="shared" si="395"/>
        <v>0</v>
      </c>
      <c r="CN224" s="134">
        <f t="shared" si="396"/>
        <v>0</v>
      </c>
      <c r="CO224" s="134">
        <f t="shared" si="397"/>
        <v>0</v>
      </c>
      <c r="CP224" s="134">
        <f t="shared" si="398"/>
        <v>0</v>
      </c>
      <c r="CQ224" s="134">
        <f t="shared" si="399"/>
        <v>0</v>
      </c>
      <c r="CR224" s="134">
        <f t="shared" si="400"/>
        <v>0</v>
      </c>
      <c r="CS224" s="134">
        <f t="shared" si="401"/>
        <v>0</v>
      </c>
      <c r="CT224" s="115">
        <f t="shared" si="402"/>
        <v>0</v>
      </c>
      <c r="CU224" s="116">
        <f t="shared" si="403"/>
        <v>0</v>
      </c>
      <c r="CV224" s="116">
        <f t="shared" si="404"/>
        <v>0</v>
      </c>
      <c r="CW224" s="116">
        <f t="shared" si="405"/>
        <v>0</v>
      </c>
      <c r="CX224" s="116">
        <f t="shared" si="406"/>
        <v>0</v>
      </c>
      <c r="CY224" s="116">
        <f t="shared" si="407"/>
        <v>0</v>
      </c>
      <c r="CZ224" s="116">
        <f t="shared" si="408"/>
        <v>0</v>
      </c>
      <c r="DA224" s="116">
        <f t="shared" si="409"/>
        <v>0</v>
      </c>
      <c r="DB224" s="116">
        <f t="shared" si="410"/>
        <v>0</v>
      </c>
      <c r="DC224" s="116">
        <f t="shared" si="411"/>
        <v>0</v>
      </c>
      <c r="DD224" s="116">
        <f t="shared" si="412"/>
        <v>0</v>
      </c>
      <c r="DE224" s="117">
        <f t="shared" si="413"/>
        <v>0</v>
      </c>
      <c r="DF224" s="118">
        <f t="shared" si="415"/>
        <v>14</v>
      </c>
      <c r="DG224" s="106">
        <f t="shared" si="416"/>
        <v>18.05</v>
      </c>
      <c r="DH224" s="116">
        <f t="shared" si="417"/>
        <v>6</v>
      </c>
      <c r="DI224" s="106">
        <f t="shared" si="418"/>
        <v>25.63</v>
      </c>
      <c r="DJ224" s="201" t="str">
        <f>IF($D223="","",$D223)</f>
        <v>6</v>
      </c>
      <c r="DK224" s="466"/>
    </row>
    <row r="225" spans="1:115" ht="14.5" customHeight="1" x14ac:dyDescent="0.2">
      <c r="A225" s="390"/>
      <c r="B225" s="457"/>
      <c r="C225" s="135" t="s">
        <v>53</v>
      </c>
      <c r="D225" s="375"/>
      <c r="E225" s="387"/>
      <c r="F225" s="378"/>
      <c r="G225" s="484"/>
      <c r="H225" s="477"/>
      <c r="I225" s="136"/>
      <c r="J225" s="137"/>
      <c r="K225" s="138"/>
      <c r="L225" s="139"/>
      <c r="M225" s="140"/>
      <c r="N225" s="407"/>
      <c r="O225" s="141" t="str">
        <f>IF(OR(AE223="",AE224=""),"",IF(L225&gt;0,ROUND(IF(M225&gt;0,M225,IF(M223&gt;0,ROUND((M223*AE225)/AE223,IF(N223=0,2,IF(N223=0.1,1,0))),IF(M224&gt;0,ROUND((M224*AE225)/AE224,IF(N223=0,2,IF(N223=0.1,1,0))),IF(M225&gt;0,M225,0)))),2),""))</f>
        <v/>
      </c>
      <c r="P225" s="142" t="str">
        <f>IF(I224="Lay",O224*(L224/(L224-1))-O224,IF(I223="Lay",O223*(L223/(L223-1))-O223,IF(OR(L225="",O225=""),"",IF($C225="1/2W",O225/2+O225/2*L225,IF($C225="1/2L",O225/2,(O225*L225-O225)*(1-_xlfn.XLOOKUP(K225,'Fevereiro 2023 - Valor Real'!A3:A15,'Fevereiro 2023 - Valor Real'!C3:C15,0))+O225)))))</f>
        <v/>
      </c>
      <c r="Q225" s="143" t="str">
        <f>IF(K225="","",IF(_xlfn.XLOOKUP(K225,K$8:K218,$DJ$8:DJ218,0,,-1)=DJ225,_xlfn.XLOOKUP(K225,K$8:K218,Q$8:Q218,1,,-1)+1,1))</f>
        <v/>
      </c>
      <c r="R225" s="144" t="str">
        <f>IF(K225="","",_xlfn.XLOOKUP(K225,K$8:K218,R$8:R218,0,,-1)+IF($C225=" ",1,0))</f>
        <v/>
      </c>
      <c r="S225" s="404"/>
      <c r="T225" s="378"/>
      <c r="U225" s="378"/>
      <c r="V225" s="404"/>
      <c r="W225" s="378"/>
      <c r="X225" s="453"/>
      <c r="Y225" s="383"/>
      <c r="Z225" s="384"/>
      <c r="AA225" s="384"/>
      <c r="AB225" s="384"/>
      <c r="AC225" s="384"/>
      <c r="AD225" s="145">
        <f>((L224/(L224-1)-1))</f>
        <v>0.93501636278634859</v>
      </c>
      <c r="AE225" s="146" t="str">
        <f>IF(L225="","",(SUM(((L223-1)*(1-_xlfn.XLOOKUP(K223,'Fevereiro 2023 - Valor Real'!A3:A15,'Fevereiro 2023 - Valor Real'!C3:C15,0))+1),((L224-1)*(1-_xlfn.XLOOKUP(K224,'Fevereiro 2023 - Valor Real'!A3:A15,'Fevereiro 2023 - Valor Real'!C3:C15,0))+1),((L225-1)*(1-_xlfn.XLOOKUP(K225,'Fevereiro 2023 - Valor Real'!A3:A15,'Fevereiro 2023 - Valor Real'!C3:C15,0))+1))/((L225-1)*(1-_xlfn.XLOOKUP(K225,'Fevereiro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Real'!C3:C15,0))+1))/((L223-1)*(1-_xlfn.XLOOKUP(K223,'Fevereiro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Real'!C3:C15,0))+1))/((L224-1)*(1-_xlfn.XLOOKUP(K224,'Fevereiro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Real'!C3:C15,0))+1))/((L225-1)*(1-_xlfn.XLOOKUP(K225,'Fevereiro 2023 - Valor Real'!A3:A15,'Fevereiro 2023 - Valor Real'!C3:C15,0))+1)))</f>
        <v/>
      </c>
      <c r="AF225" s="105">
        <f t="shared" si="458"/>
        <v>0</v>
      </c>
      <c r="AG225" s="106">
        <f t="shared" si="458"/>
        <v>0</v>
      </c>
      <c r="AH225" s="106">
        <f t="shared" si="458"/>
        <v>0</v>
      </c>
      <c r="AI225" s="106">
        <f t="shared" si="458"/>
        <v>0</v>
      </c>
      <c r="AJ225" s="106">
        <f t="shared" si="458"/>
        <v>0</v>
      </c>
      <c r="AK225" s="106">
        <f t="shared" si="458"/>
        <v>0</v>
      </c>
      <c r="AL225" s="106">
        <f t="shared" si="458"/>
        <v>0</v>
      </c>
      <c r="AM225" s="106">
        <f t="shared" si="458"/>
        <v>0</v>
      </c>
      <c r="AN225" s="106">
        <f t="shared" si="458"/>
        <v>0</v>
      </c>
      <c r="AO225" s="106">
        <f t="shared" si="458"/>
        <v>0</v>
      </c>
      <c r="AP225" s="106">
        <f t="shared" si="458"/>
        <v>0</v>
      </c>
      <c r="AQ225" s="106">
        <f t="shared" si="458"/>
        <v>0</v>
      </c>
      <c r="AR225" s="107">
        <f t="shared" si="458"/>
        <v>0</v>
      </c>
      <c r="AS225" s="105">
        <f>IF(AND($B223=" ",$K225=AS$3),$O225,0)</f>
        <v>0</v>
      </c>
      <c r="AT225" s="106">
        <f>IF(AND($B223=" ",K225=AT$3),$O225,0)</f>
        <v>0</v>
      </c>
      <c r="AU225" s="106">
        <f t="shared" ref="AU225:BE225" si="461">IF(AND($B223=" ",$K225=AU$3),$O225,0)</f>
        <v>0</v>
      </c>
      <c r="AV225" s="106">
        <f t="shared" si="461"/>
        <v>0</v>
      </c>
      <c r="AW225" s="106">
        <f t="shared" si="461"/>
        <v>0</v>
      </c>
      <c r="AX225" s="106">
        <f t="shared" si="461"/>
        <v>0</v>
      </c>
      <c r="AY225" s="108">
        <f t="shared" si="461"/>
        <v>0</v>
      </c>
      <c r="AZ225" s="109">
        <f t="shared" si="461"/>
        <v>0</v>
      </c>
      <c r="BA225" s="109">
        <f t="shared" si="461"/>
        <v>0</v>
      </c>
      <c r="BB225" s="109">
        <f t="shared" si="461"/>
        <v>0</v>
      </c>
      <c r="BC225" s="110">
        <f t="shared" si="461"/>
        <v>0</v>
      </c>
      <c r="BD225" s="106">
        <f t="shared" si="461"/>
        <v>0</v>
      </c>
      <c r="BE225" s="107">
        <f t="shared" si="461"/>
        <v>0</v>
      </c>
      <c r="BF225" s="105">
        <f t="shared" si="460"/>
        <v>0</v>
      </c>
      <c r="BG225" s="106">
        <f t="shared" si="460"/>
        <v>0</v>
      </c>
      <c r="BH225" s="106">
        <f t="shared" si="460"/>
        <v>0</v>
      </c>
      <c r="BI225" s="106">
        <f t="shared" si="460"/>
        <v>0</v>
      </c>
      <c r="BJ225" s="106">
        <f t="shared" si="460"/>
        <v>0</v>
      </c>
      <c r="BK225" s="106">
        <f t="shared" si="460"/>
        <v>0</v>
      </c>
      <c r="BL225" s="106">
        <f t="shared" si="460"/>
        <v>0</v>
      </c>
      <c r="BM225" s="108">
        <f t="shared" si="460"/>
        <v>0</v>
      </c>
      <c r="BN225" s="109">
        <f t="shared" si="460"/>
        <v>0</v>
      </c>
      <c r="BO225" s="109">
        <f t="shared" si="460"/>
        <v>0</v>
      </c>
      <c r="BP225" s="109">
        <f t="shared" si="460"/>
        <v>0</v>
      </c>
      <c r="BQ225" s="110">
        <f t="shared" si="460"/>
        <v>0</v>
      </c>
      <c r="BR225" s="107">
        <f t="shared" si="460"/>
        <v>0</v>
      </c>
      <c r="BS225" s="464"/>
      <c r="BT225" s="461"/>
      <c r="BU225" s="392"/>
      <c r="BV225" s="461"/>
      <c r="BW225" s="392"/>
      <c r="BX225" s="392"/>
      <c r="BY225" s="392"/>
      <c r="BZ225" s="461"/>
      <c r="CA225" s="392"/>
      <c r="CB225" s="392"/>
      <c r="CC225" s="392"/>
      <c r="CD225" s="401"/>
      <c r="CE225" s="409"/>
      <c r="CF225" s="133">
        <f t="shared" si="388"/>
        <v>0</v>
      </c>
      <c r="CG225" s="134">
        <f t="shared" si="389"/>
        <v>0</v>
      </c>
      <c r="CH225" s="134">
        <f t="shared" si="390"/>
        <v>0</v>
      </c>
      <c r="CI225" s="134">
        <f t="shared" si="391"/>
        <v>0</v>
      </c>
      <c r="CJ225" s="134">
        <f t="shared" si="392"/>
        <v>0</v>
      </c>
      <c r="CK225" s="134">
        <f t="shared" si="393"/>
        <v>0</v>
      </c>
      <c r="CL225" s="134">
        <f t="shared" si="394"/>
        <v>0</v>
      </c>
      <c r="CM225" s="134">
        <f t="shared" si="395"/>
        <v>0</v>
      </c>
      <c r="CN225" s="134">
        <f t="shared" si="396"/>
        <v>0</v>
      </c>
      <c r="CO225" s="134">
        <f t="shared" si="397"/>
        <v>0</v>
      </c>
      <c r="CP225" s="134">
        <f t="shared" si="398"/>
        <v>0</v>
      </c>
      <c r="CQ225" s="134">
        <f t="shared" si="399"/>
        <v>0</v>
      </c>
      <c r="CR225" s="134">
        <f t="shared" si="400"/>
        <v>0</v>
      </c>
      <c r="CS225" s="134">
        <f t="shared" si="401"/>
        <v>0</v>
      </c>
      <c r="CT225" s="115">
        <f t="shared" si="402"/>
        <v>0</v>
      </c>
      <c r="CU225" s="116">
        <f t="shared" si="403"/>
        <v>0</v>
      </c>
      <c r="CV225" s="116">
        <f t="shared" si="404"/>
        <v>0</v>
      </c>
      <c r="CW225" s="116">
        <f t="shared" si="405"/>
        <v>0</v>
      </c>
      <c r="CX225" s="116">
        <f t="shared" si="406"/>
        <v>0</v>
      </c>
      <c r="CY225" s="116">
        <f t="shared" si="407"/>
        <v>0</v>
      </c>
      <c r="CZ225" s="116">
        <f t="shared" si="408"/>
        <v>0</v>
      </c>
      <c r="DA225" s="116">
        <f t="shared" si="409"/>
        <v>0</v>
      </c>
      <c r="DB225" s="116">
        <f t="shared" si="410"/>
        <v>0</v>
      </c>
      <c r="DC225" s="116">
        <f t="shared" si="411"/>
        <v>0</v>
      </c>
      <c r="DD225" s="116">
        <f t="shared" si="412"/>
        <v>0</v>
      </c>
      <c r="DE225" s="117">
        <f t="shared" si="413"/>
        <v>0</v>
      </c>
      <c r="DF225" s="118">
        <f t="shared" si="415"/>
        <v>14</v>
      </c>
      <c r="DG225" s="106">
        <f t="shared" si="416"/>
        <v>18.05</v>
      </c>
      <c r="DH225" s="116">
        <f t="shared" si="417"/>
        <v>6</v>
      </c>
      <c r="DI225" s="106">
        <f t="shared" si="418"/>
        <v>25.63</v>
      </c>
      <c r="DJ225" s="201" t="str">
        <f>IF($D223="","",$D223)</f>
        <v>6</v>
      </c>
      <c r="DK225" s="466"/>
    </row>
    <row r="226" spans="1:115" ht="14.5" customHeight="1" x14ac:dyDescent="0.2">
      <c r="A226" s="487">
        <f>$A223+1</f>
        <v>75</v>
      </c>
      <c r="B226" s="506" t="str">
        <f>IF(OR(C226="W",C227="W",C228="W",C226="1/2W",C227="1/2W",C228="1/2W",C226="1/2L",C227="1/2L",C228="1/2L"),"OK",IF(OR(C226="L",C227="L",C228="L"),"LOSS",IF(OR(C226="X",C227="X",C228="X"),"Anulado"," ")))</f>
        <v>OK</v>
      </c>
      <c r="C226" s="147" t="s">
        <v>54</v>
      </c>
      <c r="D226" s="494" t="s">
        <v>123</v>
      </c>
      <c r="E226" s="511" t="str">
        <f>IF(G226=""," ","– "&amp;COUNTIF(D$4:D228,$D226))</f>
        <v>– 1</v>
      </c>
      <c r="F226" s="510" t="str">
        <f ca="1">IF(G226="","",IF(OR(AND($C226&lt;&gt;" ",$C227=" "),AND($C227&lt;&gt;" ",$C226=" "),AND(L228&gt;0,OR(AND($C228&lt;&gt;" ",OR($C226=" ",$C227=" ")),AND($C228=" ",OR($C226&lt;&gt;" ",$C227&lt;&gt;" "))))),IF(SUM(F$4:F225)=0,1,LARGE(F$4:F225,1)+1),IF(MONTH(G226)=MONTH(TODAY()),IF(AND(DAY(G226)&lt;DAY(TODAY()),$B226=" "),IF(SUM(F$4:F225)=0,1,LARGE(F$4:F225,1)+1),IF($B226=" ",IF(AND(DAY(G226)=DAY(TODAY()),HOUR(G226)&lt;=HOUR(NOW())+1),IF(AND(HOUR(G226)+2&lt;=HOUR(NOW()),DAY(G226)&lt;=DAY(TODAY()),MINUTE(G226)&lt;=MINUTE(NOW())),IF(SUM(F$4:F225)=0,1,LARGE(F$4:F225,1)+1),IF(OR(MINUTE(G226)&lt;=MINUTE(NOW()),HOUR(G226)&lt;=HOUR(NOW())),"!!!","")),""),"")),"")))</f>
        <v/>
      </c>
      <c r="G226" s="508">
        <v>44996.125</v>
      </c>
      <c r="H226" s="502" t="s">
        <v>124</v>
      </c>
      <c r="I226" s="180" t="s">
        <v>76</v>
      </c>
      <c r="J226" s="181">
        <v>-1</v>
      </c>
      <c r="K226" s="150" t="s">
        <v>40</v>
      </c>
      <c r="L226" s="151">
        <v>2.12</v>
      </c>
      <c r="M226" s="152">
        <v>20.09</v>
      </c>
      <c r="N226" s="503">
        <v>0</v>
      </c>
      <c r="O226" s="153">
        <f>IF(OR(AE226="",AE227=""),"",ROUND(IF(L228&gt;0,IF(M226&gt;0,M226,IF(M227&gt;0,ROUND((M227*AE226)/AE227,IF(N226=0,2,IF(N226=0.1,1,0))),ROUND((M228*AE226)/AE228,IF(N226=0,2,IF(N226=0.1,1,0))))),IF(M226&gt;0,M226,ROUND((M227*AE226)/AE227,IF(N226=0,2,IF(N226=0.1,1,0))))),2))</f>
        <v>20.09</v>
      </c>
      <c r="P226" s="154">
        <f>IF(OR(L226="",O226=""),"",IF($C226="1/2W",O226/2+O226/2*L226,IF($C226="1/2L",O226/2,IF(I226="Lay",(O226*(L226/(L226-1))-O226)*(1-_xlfn.XLOOKUP(K226,'Fevereiro 2023 - Valor Real'!A3:A15,'Fevereiro 2023 - Valor Real'!C3:C15,0))+O226,(O226*L226-O226)*(1-_xlfn.XLOOKUP(K226,'Fevereiro 2023 - Valor Real'!A3:A15,'Fevereiro 2023 - Valor Real'!C3:C15,0))+O226))))</f>
        <v>42.590800000000002</v>
      </c>
      <c r="Q226" s="155">
        <f>IF(K226="","",IF(_xlfn.XLOOKUP(K226,K$9:K218,$DJ$9:DJ218,0,,-1)=DJ226,_xlfn.XLOOKUP(K226,K$9:K218,Q$9:Q218,1,,-1)+1,1))</f>
        <v>1</v>
      </c>
      <c r="R226" s="156">
        <f>IF(K226="","",_xlfn.XLOOKUP(K226,K$9:K218,R$9:R218,0,,-1)+IF($C226=" ",1,0))</f>
        <v>0</v>
      </c>
      <c r="S226" s="501">
        <f>IF($B226="Anulado",0,ROUND(IF(OR($B226="LOSS",$B226="OK"),IF(OR($C226="W",$C226="1/2W",$C226="1/2L"),P226-O226,IF($C226="L",-O226,0))+IF(OR($C227="W",$C227="1/2W",$C227="1/2L"),P227-O227,IF($C227="L",-O227,0))+IF(OR($C228="W",$C228="1/2W",$C228="1/2L"),P228-O228,IF($C228="L",-O228,0)),IF(AND(OR($C226="W",$C226="1/2W",$C226="1/2L"),C227="W"),P226+P227-SUM(O226:O228)+_xlfn.XLOOKUP("X",C226:C228,O226:O228,0),IF(AND(C226=TRUE,C228="W"),P226+P228-SUM(O226:O228),IF(AND(C227="W",C228="W"),P227+P228-SUM(O226:O228)+_xlfn.XLOOKUP("X",C226:C228,O226:O228,0),IF(L228&gt;0,IF(OR($C226="W",$C226="1/2W",$C226="1/2L"),P226-SUM(O226:O228)+_xlfn.XLOOKUP("X",C226:C228,O226:O228,0),IF(OR($C226="W",$C226="1/2W",$C226="1/2L"),P227-SUM(O226:O228)+_xlfn.XLOOKUP("X",C226:C228,O226:O228,0),IF(OR($C226="W",$C226="1/2W",$C226="1/2L"),P228-SUM(O226:O228)+_xlfn.XLOOKUP("X",C226:C228,O226:O228,0),IF(SUM(P226:P228)/3-SUM(O226:O228)+_xlfn.XLOOKUP("X",C226:C228,O226:O228,0)&gt;0,SUM(P226:P228)/3-SUM(O226:O228)+_xlfn.XLOOKUP("X",C226:C228,O226:O228,0),LARGE(P226:P228,1)-SUM(O226:O228))))),IF(OR($C226="W",$C226="1/2W",$C226="1/2L"),P226-SUM(O226:O227)+_xlfn.XLOOKUP("X",C226:C228,O226:O228,0),IF(OR($C226="W",$C226="1/2W",$C226="1/2L"),P227-SUM(O226:O227)+_xlfn.XLOOKUP("X",C226:C228,O226:O228,0),SUM(P226:P227)/2-SUM(O226:O227)+_xlfn.XLOOKUP("X",C226:C228,O226:O228,0)))))))),2))</f>
        <v>1.72</v>
      </c>
      <c r="T226" s="486">
        <f>IF(S226=0,0,S226/SUM(O226:O228))</f>
        <v>4.2084658673843887E-2</v>
      </c>
      <c r="U226" s="496">
        <f>IF($D226=$D223,IF(OR($B226="LOSS",$B226="OK",$B226="Anulada"),S226,0)+U223,IF(OR($B226="LOSS",$B226="OK",$B226="Anulada"),S226,0))</f>
        <v>1.72</v>
      </c>
      <c r="V226" s="496">
        <f>IF($D226="",0,IF($D226=$D223,IF($B226=" ",IF(I228="",IF(OR(AND(I226="DNB1",I227="DNB2"),AND(OR(I226="DNB1",I226="DNB2"),J227=0),AND(OR(I227="DNB1",I227="DNB2"),J226=0),AND(I226="DNB2",I227="DNB1"),AND(IF(J226=0,(J226+1)/ROUND(J226+1,0),J226/ROUND(J226,0))=1,IF(J227=0,(J227+1)/ROUND(IF(J227="",0,J227)+1,0),IF(J227="",0,J227)/ROUND(IF(J227="",1,J227),0))=1,OR(J226&lt;&gt;""),J227&lt;&gt;"")),0,IF(S226&lt;0,IF(I228="",SMALL(P226:P227,1)-SUM(O226:O227),0),SMALL(P226:P227,1)-SUM(O226:O227))),IF(S226&lt;0,IF(I228="",SMALL(P226:P228,1)-SUM(O226:O228),0),LARGE(P226:P228,1)-SUM(O226:O228))),S226)+V223,IF(I228="",IF(OR(AND(I226="DNB1",I227="DNB2"),AND(OR(I226="DNB1",I226="DNB2"),J227=0),AND(OR(I227="DNB1",I227="DNB2"),J226=0),AND(I226="DNB2",I227="DNB1"),AND(IF(J226=0,(J226+1)/ROUND(J226+1,0),J226/ROUND(J226,0))=1,IF(J227=0,(IF(J227="",0,J227)+1)/ROUND(IF(J227="",0,J227)+1,0),IF(J227="",0,J227)/ROUND(IF(J227="",0,J227)+1,0))=1,OR(J226&lt;&gt;""),J227&lt;&gt;"")),0,IF(S226&lt;0,IF(I228="",SMALL(P226:P227,1)-SUM(O226:O227),0),SMALL(P226:P228,1)-SUM(O226:O228))),IF(S226&lt;0,IF(I228="",SMALL(P226:P228,1)-SUM(O226:O228),0),LARGE(P226:P228,1)-SUM(O226:O228)))))</f>
        <v>1.720799999999997</v>
      </c>
      <c r="W226" s="496">
        <f>IF($D226=$D223,IF(S226&lt;0,IF(I228="",S226,0),S226)+W223,S226)</f>
        <v>1.72</v>
      </c>
      <c r="X226" s="505" t="str">
        <f>IF(OR(SUM(R226:R228)=0,V226=W226),ROUND(IF(W226=0,0,W226/Y226)*100,2)&amp;"%",ROUND(IF(V226=0,0,V226/Y226)*100,2)&amp;"% a "&amp;ROUND(IF(W226=0,0,W226/Y226)*100,2)&amp;"%")</f>
        <v>4,21%</v>
      </c>
      <c r="Y226" s="497">
        <f>IF($D226=$D223,Y223+SUM(O226:O228),SUM(O226:O228))</f>
        <v>40.870000000000005</v>
      </c>
      <c r="Z226" s="496">
        <f>IF($B226=" ",SUM(O226:O228),0)+Z223</f>
        <v>0</v>
      </c>
      <c r="AA226" s="496">
        <f>IF(G226="","",IF($B226="Anulado",LARGE(P226:P228,1)-SUM(O226:O228)+AA223,AA223))</f>
        <v>1.4607999999999972</v>
      </c>
      <c r="AB226" s="496">
        <f>IF($D226="","",AB223+S226)</f>
        <v>399.14</v>
      </c>
      <c r="AC226" s="499">
        <f ca="1">IF($D226="","",IF($B226=" ",IF(DAY(G226)=DAY(TODAY()),1+AC223,0+AC223),0+AC223))</f>
        <v>0</v>
      </c>
      <c r="AD226" s="157">
        <f>(1-_xlfn.XLOOKUP(K224,'Fevereiro 2023 - Valor Real'!A3:A15,'Fevereiro 2023 - Valor Real'!C3:C15,0))+1</f>
        <v>1.9350000000000001</v>
      </c>
      <c r="AE226" s="158">
        <f>IF(L226="","",IF(L228&gt;0,(SUM(((L226-1)*(1-_xlfn.XLOOKUP(K226,'Fevereiro 2023 - Valor Real'!A3:A15,'Fevereiro 2023 - Valor Real'!C3:C15,0))+1),((L227-1)*(1-_xlfn.XLOOKUP(K227,'Fevereiro 2023 - Valor Real'!A3:A15,'Fevereiro 2023 - Valor Real'!C3:C15,0))+1),((L228-1)*(1-_xlfn.XLOOKUP(K228,'Fevereiro 2023 - Valor Real'!A3:A15,'Fevereiro 2023 - Valor Real'!C3:C15,0))+1))/((L226-1)*(1-_xlfn.XLOOKUP(K226,'Fevereiro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Real'!C3:C15,0))+1))/((L226-1)*(1-_xlfn.XLOOKUP(K226,'Fevereiro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Real'!C3:C15,0))+1))/((L227-1)*(1-_xlfn.XLOOKUP(K227,'Fevereiro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Real'!C3:C15,0))+1))/((L228-1)*(1-_xlfn.XLOOKUP(K228,'Fevereiro 2023 - Valor Real'!A3:A15,'Fevereiro 2023 - Valor Real'!C3:C15,0))+1)),IF(I226="Lay",IF(I227="Lay",((L227/(L227-1)-1)*(1-_xlfn.XLOOKUP(K227,'Fevereiro 2023 - Valor Real'!A3:A15,'Fevereiro 2023 - Valor Real'!C3:C15,0))+1)/(((L227/(L227-1)-1)*(1-_xlfn.XLOOKUP(K227,'Fevereiro 2023 - Valor Real'!A3:A15,'Fevereiro 2023 - Valor Real'!C3:C15,0))+1)+((L226/(L226-1)-1)*(1-_xlfn.XLOOKUP(K226,'Fevereiro 2023 - Valor Real'!A3:A15,'Fevereiro 2023 - Valor Real'!C3:C15,0))+1)),((L227-1)*(1-_xlfn.XLOOKUP(K227,'Fevereiro 2023 - Valor Real'!A3:A15,'Fevereiro 2023 - Valor Real'!C3:C15,0))+1)/(((L227-1)*(1-_xlfn.XLOOKUP(K227,'Fevereiro 2023 - Valor Real'!A3:A15,'Fevereiro 2023 - Valor Real'!C3:C15,0))+1)+((L226/(L226-1)-1)*(1-_xlfn.XLOOKUP(K226,'Fevereiro 2023 - Valor Real'!A3:A15,'Fevereiro 2023 - Valor Real'!C3:C15,0))+1))),IF(I227="Lay",(((L227/(L227-1)-1)*(1-_xlfn.XLOOKUP(K227,'Fevereiro 2023 - Valor Real'!A3:A15,'Fevereiro 2023 - Valor Real'!C3:C15,0))+1))/(((L226-1)*(1-_xlfn.XLOOKUP(K226,'Fevereiro 2023 - Valor Real'!A3:A15,'Fevereiro 2023 - Valor Real'!C3:C15,0))+1)+((L227/(L227-1)-1)*(1-_xlfn.XLOOKUP(K227,'Fevereiro 2023 - Valor Real'!A3:A15,'Fevereiro 2023 - Valor Real'!C3:C15,0))+1)),((L227-1)*(1-_xlfn.XLOOKUP(K227,'Fevereiro 2023 - Valor Real'!A3:A15,'Fevereiro 2023 - Valor Real'!C3:C15,0))+1)/(((L227-1)*(1-_xlfn.XLOOKUP(K227,'Fevereiro 2023 - Valor Real'!A3:A15,'Fevereiro 2023 - Valor Real'!C3:C15,0))+1)+((L226-1)*(1-_xlfn.XLOOKUP(K226,'Fevereiro 2023 - Valor Real'!A3:A15,'Fevereiro 2023 - Valor Real'!C3:C15,0))+1))))))</f>
        <v>0.4916067146282973</v>
      </c>
      <c r="AF226" s="66">
        <f t="shared" si="458"/>
        <v>0</v>
      </c>
      <c r="AG226" s="67">
        <f t="shared" si="458"/>
        <v>0</v>
      </c>
      <c r="AH226" s="67">
        <f t="shared" si="458"/>
        <v>0</v>
      </c>
      <c r="AI226" s="67">
        <f t="shared" si="458"/>
        <v>0</v>
      </c>
      <c r="AJ226" s="67">
        <f t="shared" si="458"/>
        <v>22.5</v>
      </c>
      <c r="AK226" s="67">
        <f t="shared" si="458"/>
        <v>0</v>
      </c>
      <c r="AL226" s="67">
        <f t="shared" si="458"/>
        <v>0</v>
      </c>
      <c r="AM226" s="67">
        <f t="shared" si="458"/>
        <v>0</v>
      </c>
      <c r="AN226" s="67">
        <f t="shared" si="458"/>
        <v>0</v>
      </c>
      <c r="AO226" s="67">
        <f t="shared" si="458"/>
        <v>0</v>
      </c>
      <c r="AP226" s="67">
        <f t="shared" si="458"/>
        <v>0</v>
      </c>
      <c r="AQ226" s="67">
        <f t="shared" si="458"/>
        <v>0</v>
      </c>
      <c r="AR226" s="68">
        <f t="shared" si="458"/>
        <v>0</v>
      </c>
      <c r="AS226" s="66">
        <f t="shared" ref="AS226:BE226" si="462">IF(AND($B226=" ",$K226=AS$3),$O226,0)</f>
        <v>0</v>
      </c>
      <c r="AT226" s="67">
        <f t="shared" si="462"/>
        <v>0</v>
      </c>
      <c r="AU226" s="67">
        <f t="shared" si="462"/>
        <v>0</v>
      </c>
      <c r="AV226" s="67">
        <f t="shared" si="462"/>
        <v>0</v>
      </c>
      <c r="AW226" s="67">
        <f t="shared" si="462"/>
        <v>0</v>
      </c>
      <c r="AX226" s="67">
        <f t="shared" si="462"/>
        <v>0</v>
      </c>
      <c r="AY226" s="69">
        <f t="shared" si="462"/>
        <v>0</v>
      </c>
      <c r="AZ226" s="70">
        <f t="shared" si="462"/>
        <v>0</v>
      </c>
      <c r="BA226" s="70">
        <f t="shared" si="462"/>
        <v>0</v>
      </c>
      <c r="BB226" s="70">
        <f t="shared" si="462"/>
        <v>0</v>
      </c>
      <c r="BC226" s="71">
        <f t="shared" si="462"/>
        <v>0</v>
      </c>
      <c r="BD226" s="67">
        <f t="shared" si="462"/>
        <v>0</v>
      </c>
      <c r="BE226" s="68">
        <f t="shared" si="462"/>
        <v>0</v>
      </c>
      <c r="BF226" s="66">
        <f t="shared" si="460"/>
        <v>0</v>
      </c>
      <c r="BG226" s="67">
        <f t="shared" si="460"/>
        <v>0</v>
      </c>
      <c r="BH226" s="67">
        <f t="shared" si="460"/>
        <v>0</v>
      </c>
      <c r="BI226" s="67">
        <f t="shared" si="460"/>
        <v>0</v>
      </c>
      <c r="BJ226" s="67">
        <f t="shared" si="460"/>
        <v>20.09</v>
      </c>
      <c r="BK226" s="67">
        <f t="shared" si="460"/>
        <v>0</v>
      </c>
      <c r="BL226" s="67">
        <f t="shared" si="460"/>
        <v>0</v>
      </c>
      <c r="BM226" s="69">
        <f t="shared" si="460"/>
        <v>0</v>
      </c>
      <c r="BN226" s="70">
        <f t="shared" si="460"/>
        <v>0</v>
      </c>
      <c r="BO226" s="70">
        <f t="shared" si="460"/>
        <v>0</v>
      </c>
      <c r="BP226" s="70">
        <f t="shared" si="460"/>
        <v>0</v>
      </c>
      <c r="BQ226" s="71">
        <f t="shared" si="460"/>
        <v>0</v>
      </c>
      <c r="BR226" s="68">
        <f t="shared" si="460"/>
        <v>0</v>
      </c>
      <c r="BS226" s="490">
        <f>IF($B226="LOSS",IF(AND($K226=BS$3,$C226="L"),-$O226,0)+IF(AND($K227=BS$3,$C227="L"),-$O227,0)+IF(AND($K228=BS$3,$C228="L"),-$O228,0),IF(OR(AND($K226=BS$3,OR($C226="W",$C226="1/2W")),AND($K227=BS$3,OR($C227="W",$C227="1/2W")),AND($K228=BS$3,OR($C228="W",$C228="1/2W"))),$S226,0))</f>
        <v>0</v>
      </c>
      <c r="BT226" s="498">
        <f>IF($B226="LOSS",IF(AND($K226=BT$3,$C226="L"),-$O226,0)+IF(AND($K227=BT$3,$C227="L"),-$O227,0)+IF(AND($K227=BT$3,$C228="L"),-$O228,0),IF(OR(AND($K227=BT$3,OR($C226="W",$C226="1/2W")),AND($K227=BT$3,OR($C227="W",$C227="1/2W")),AND($K227=BT$3,OR($C228="W",$C228="1/2W"))),$S226,0))</f>
        <v>0</v>
      </c>
      <c r="BU226" s="488">
        <f>IF($B226="LOSS",IF(AND($K226=BU$3,$C226="L"),-$O226,0)+IF(AND($K227=BU$3,$C227="L"),-$O227,0)+IF(AND($K227=BU$3,$C228="L"),-$O228,0),IF(OR(AND($K227=BU$3,OR($C226="W",$C226="1/2W")),AND($K227=BU$3,OR($C227="W",$C227="1/2W")),AND($K227=BU$3,OR($C228="W",$C228="1/2W"))),$S226,0))</f>
        <v>0</v>
      </c>
      <c r="BV226" s="488">
        <f t="shared" ref="BV226:CE226" si="463">IF($B226="LOSS",IF(AND($K226=BV$3,$C226="L"),-$O226,0)+IF(AND($K227=BV$3,$C227="L"),-$O227,0)+IF(AND($K228=BV$3,$C228="L"),-$O228,0),IF(OR(AND($K226=BV$3,OR($C226="W",$C226="1/2W")),AND($K227=BV$3,OR($C227="W",$C227="1/2W")),AND($K228=BV$3,OR($C228="W",$C228="1/2W"))),$S226,0))</f>
        <v>0</v>
      </c>
      <c r="BW226" s="488">
        <f t="shared" si="463"/>
        <v>1.72</v>
      </c>
      <c r="BX226" s="488">
        <f t="shared" si="463"/>
        <v>0</v>
      </c>
      <c r="BY226" s="488">
        <f t="shared" si="463"/>
        <v>0</v>
      </c>
      <c r="BZ226" s="488">
        <f t="shared" si="463"/>
        <v>0</v>
      </c>
      <c r="CA226" s="488">
        <f t="shared" si="463"/>
        <v>0</v>
      </c>
      <c r="CB226" s="488">
        <f t="shared" si="463"/>
        <v>0</v>
      </c>
      <c r="CC226" s="488">
        <f t="shared" si="463"/>
        <v>0</v>
      </c>
      <c r="CD226" s="500">
        <f t="shared" si="463"/>
        <v>0</v>
      </c>
      <c r="CE226" s="504">
        <f t="shared" si="463"/>
        <v>0</v>
      </c>
      <c r="CF226" s="160">
        <f t="shared" si="388"/>
        <v>0</v>
      </c>
      <c r="CG226" s="161">
        <f t="shared" si="389"/>
        <v>0</v>
      </c>
      <c r="CH226" s="161">
        <f t="shared" si="390"/>
        <v>0</v>
      </c>
      <c r="CI226" s="161">
        <f t="shared" si="391"/>
        <v>0</v>
      </c>
      <c r="CJ226" s="161">
        <f t="shared" si="392"/>
        <v>0</v>
      </c>
      <c r="CK226" s="161">
        <f t="shared" si="393"/>
        <v>0</v>
      </c>
      <c r="CL226" s="161">
        <f t="shared" si="394"/>
        <v>0</v>
      </c>
      <c r="CM226" s="161">
        <f t="shared" si="395"/>
        <v>0</v>
      </c>
      <c r="CN226" s="161">
        <f t="shared" si="396"/>
        <v>1</v>
      </c>
      <c r="CO226" s="161">
        <f t="shared" si="397"/>
        <v>0</v>
      </c>
      <c r="CP226" s="161">
        <f t="shared" si="398"/>
        <v>0</v>
      </c>
      <c r="CQ226" s="161">
        <f t="shared" si="399"/>
        <v>0</v>
      </c>
      <c r="CR226" s="161">
        <f t="shared" si="400"/>
        <v>0</v>
      </c>
      <c r="CS226" s="161">
        <f t="shared" si="401"/>
        <v>0</v>
      </c>
      <c r="CT226" s="75">
        <f t="shared" si="402"/>
        <v>0</v>
      </c>
      <c r="CU226" s="76">
        <f t="shared" si="403"/>
        <v>0</v>
      </c>
      <c r="CV226" s="76">
        <f t="shared" si="404"/>
        <v>0</v>
      </c>
      <c r="CW226" s="76">
        <f t="shared" si="405"/>
        <v>0</v>
      </c>
      <c r="CX226" s="76">
        <f t="shared" si="406"/>
        <v>0</v>
      </c>
      <c r="CY226" s="76">
        <f t="shared" si="407"/>
        <v>0</v>
      </c>
      <c r="CZ226" s="76">
        <f t="shared" si="408"/>
        <v>0</v>
      </c>
      <c r="DA226" s="76">
        <f t="shared" si="409"/>
        <v>0</v>
      </c>
      <c r="DB226" s="76">
        <f t="shared" si="410"/>
        <v>0</v>
      </c>
      <c r="DC226" s="76">
        <f t="shared" si="411"/>
        <v>0</v>
      </c>
      <c r="DD226" s="76">
        <f t="shared" si="412"/>
        <v>0</v>
      </c>
      <c r="DE226" s="77">
        <f t="shared" si="413"/>
        <v>0</v>
      </c>
      <c r="DF226" s="73">
        <f t="shared" si="415"/>
        <v>14</v>
      </c>
      <c r="DG226" s="67">
        <f t="shared" si="416"/>
        <v>18.05</v>
      </c>
      <c r="DH226" s="76">
        <f t="shared" si="417"/>
        <v>6</v>
      </c>
      <c r="DI226" s="67">
        <f t="shared" si="418"/>
        <v>25.63</v>
      </c>
      <c r="DJ226" s="202" t="str">
        <f>IF($D226="","",$D226)</f>
        <v>7</v>
      </c>
      <c r="DK226" s="492">
        <f>IF(AND($B226=" ",$D226&lt;&gt;""),1,0)</f>
        <v>0</v>
      </c>
    </row>
    <row r="227" spans="1:115" ht="14.5" customHeight="1" x14ac:dyDescent="0.2">
      <c r="A227" s="389"/>
      <c r="B227" s="456"/>
      <c r="C227" s="53" t="s">
        <v>55</v>
      </c>
      <c r="D227" s="374"/>
      <c r="E227" s="386"/>
      <c r="F227" s="377"/>
      <c r="G227" s="508"/>
      <c r="H227" s="476"/>
      <c r="I227" s="182" t="s">
        <v>66</v>
      </c>
      <c r="J227" s="56">
        <f>IF(OR(I226="TO",I226="TU",I226="TO1",I226="TU1",I226="TO2",I226="TU2"),J226,IF(OR(I226="AH1",I226="AH2"),IF(OR(I227="AH1",I227="AH2"),-J226,IF(OR(I227="EH1",I227="EH2"),-J226+0.5,"")),IF(OR(I226="EH1",I226="EH2"),IF(OR(I227="AH1",I227="AH2"),-J226+0.5,IF(OR(I227="EH1",I227="EH2"),-J226+1,"")),IF(AND(OR(I226="DNB1",I226="DNB2"),OR(I227="AH1",I227="AH2")),0,IF(AND(I226="Not ScoreBoth",OR(I227="TO1",I227="TO2")),0.5,"")))))</f>
        <v>1</v>
      </c>
      <c r="K227" s="57" t="s">
        <v>36</v>
      </c>
      <c r="L227" s="164">
        <v>2.0499999999999998</v>
      </c>
      <c r="M227" s="165"/>
      <c r="N227" s="406"/>
      <c r="O227" s="60">
        <f>IF(OR(AE226="",AE227=""),"",ROUND(IF(L228&gt;0,IF(M227&gt;0,M227,IF(M226&gt;0,IF(N226=TRUE,ROUND((M226*AE227)/AE226,0),(M226*AE227)/AE226),IF(M227&gt;0,ROUND(M227,IF(N226=0,2,IF(N226=0.1,1,0))),IF(M228&gt;0,ROUND(O228*AE227/AE228,IF(N226=0,2,IF(N226=0.1,1,0))),0)))),IF(M227&gt;0,M227,ROUND((M226*AE227)/AE226,IF(N226=0,2,IF(N226=0.1,1,0))))),2))</f>
        <v>20.78</v>
      </c>
      <c r="P227" s="61">
        <f>IF(OR(L227="",O227=""),"",IF($C227="1/2W",O227/2+O227/2*L227,IF($C227="1/2L",O227/2,IF(I227="Lay",((O227*(L227/(L227-1)))-O227)*(1-_xlfn.XLOOKUP(K227,'Fevereiro 2023 - Valor Real'!A3:A15,'Fevereiro 2023 - Valor Real'!C3:C15,0))+O227,(O227*L227-O227)*(1-_xlfn.XLOOKUP(K227,'Fevereiro 2023 - Valor Real'!A3:A15,'Fevereiro 2023 - Valor Real'!C3:C15,0))+O227))))</f>
        <v>42.598999999999997</v>
      </c>
      <c r="Q227" s="166">
        <f>IF(K227="","",IF(_xlfn.XLOOKUP(K227,K$10:K218,$DJ$10:DJ218,0,,-1)=DJ227,_xlfn.XLOOKUP(K227,K$10:K218,Q$10:Q218,1,,-1)+1,1))</f>
        <v>1</v>
      </c>
      <c r="R227" s="167">
        <f>IF(K227="","",_xlfn.XLOOKUP(K227,K$10:K218,R$10:R218,0,,-1)+IF($C227=" ",1,0))</f>
        <v>0</v>
      </c>
      <c r="S227" s="403"/>
      <c r="T227" s="380"/>
      <c r="U227" s="380"/>
      <c r="V227" s="481"/>
      <c r="W227" s="380"/>
      <c r="X227" s="452"/>
      <c r="Y227" s="383"/>
      <c r="Z227" s="384"/>
      <c r="AA227" s="384"/>
      <c r="AB227" s="384"/>
      <c r="AC227" s="384"/>
      <c r="AD227" s="64"/>
      <c r="AE227" s="65">
        <f>IF(L227="","",IF(L228&gt;0,(SUM(((L226-1)*(1-_xlfn.XLOOKUP(K226,'Fevereiro 2023 - Valor Real'!A3:A15,'Fevereiro 2023 - Valor Real'!C3:C15,0))+1),((L227-1)*(1-_xlfn.XLOOKUP(K227,'Fevereiro 2023 - Valor Real'!A3:A15,'Fevereiro 2023 - Valor Real'!C3:C15,0))+1),((L228-1)*(1-_xlfn.XLOOKUP(K228,'Fevereiro 2023 - Valor Real'!A3:A15,'Fevereiro 2023 - Valor Real'!C3:C15,0))+1))/((L227-1)*(1-_xlfn.XLOOKUP(K227,'Fevereiro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Real'!C3:C15,0))+1))/((L226-1)*(1-_xlfn.XLOOKUP(K226,'Fevereiro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Real'!C3:C15,0))+1))/((L227-1)*(1-_xlfn.XLOOKUP(K227,'Fevereiro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Real'!C3:C15,0))+1))/((L228-1)*(1-_xlfn.XLOOKUP(K228,'Fevereiro 2023 - Valor Real'!A3:A15,'Fevereiro 2023 - Valor Real'!C3:C15,0))+1)),IF(I227="Lay",IF(I226="Lay",((L226/(L226-1)-1)*(1-_xlfn.XLOOKUP(K226,'Fevereiro 2023 - Valor Real'!A3:A15,'Fevereiro 2023 - Valor Real'!C3:C15,0))+1)/(((L226/(L226-1)-1)*(1-_xlfn.XLOOKUP(K226,'Fevereiro 2023 - Valor Real'!A3:A15,'Fevereiro 2023 - Valor Real'!C3:C15,0))+1)+((L227/(L227-1)-1)*(1-_xlfn.XLOOKUP(K227,'Fevereiro 2023 - Valor Real'!A3:A15,'Fevereiro 2023 - Valor Real'!C3:C15,0))+1)),((L226-1)*(1-_xlfn.XLOOKUP(K226,'Fevereiro 2023 - Valor Real'!A3:A15,'Fevereiro 2023 - Valor Real'!C3:C15,0))+1)/(((L226-1)*(1-_xlfn.XLOOKUP(K226,'Fevereiro 2023 - Valor Real'!A3:A15,'Fevereiro 2023 - Valor Real'!C3:C15,0))+1)+((L227/(L227-1)-1)*(1-_xlfn.XLOOKUP(K227,'Fevereiro 2023 - Valor Real'!A3:A15,'Fevereiro 2023 - Valor Real'!C3:C15,0))+1))),IF(I226="Lay",((L226/(L226-1)-1)*(1-_xlfn.XLOOKUP(K226,'Fevereiro 2023 - Valor Real'!A3:A15,'Fevereiro 2023 - Valor Real'!C3:C15,0))+1)/((((L226/(L226-1)-1)*(1-_xlfn.XLOOKUP(K226,'Fevereiro 2023 - Valor Real'!A3:A15,'Fevereiro 2023 - Valor Real'!C3:C15,0))+1))+((L227-1)*(1-_xlfn.XLOOKUP(K227,'Fevereiro 2023 - Valor Real'!A3:A15,'Fevereiro 2023 - Valor Real'!C3:C15,0))+1)),((L226-1)*(1-_xlfn.XLOOKUP(K226,'Fevereiro 2023 - Valor Real'!A3:A15,'Fevereiro 2023 - Valor Real'!C3:C15,0))+1)/(((L226-1)*(1-_xlfn.XLOOKUP(K226,'Fevereiro 2023 - Valor Real'!A3:A15,'Fevereiro 2023 - Valor Real'!C3:C15,0))+1)+((L227-1)*(1-_xlfn.XLOOKUP(K227,'Fevereiro 2023 - Valor Real'!A3:A15,'Fevereiro 2023 - Valor Real'!C3:C15,0))+1))))))</f>
        <v>0.5083932853717027</v>
      </c>
      <c r="AF227" s="66">
        <f t="shared" si="458"/>
        <v>-20.78</v>
      </c>
      <c r="AG227" s="67">
        <f t="shared" si="458"/>
        <v>0</v>
      </c>
      <c r="AH227" s="67">
        <f t="shared" si="458"/>
        <v>0</v>
      </c>
      <c r="AI227" s="67">
        <f t="shared" si="458"/>
        <v>0</v>
      </c>
      <c r="AJ227" s="67">
        <f t="shared" si="458"/>
        <v>0</v>
      </c>
      <c r="AK227" s="67">
        <f t="shared" si="458"/>
        <v>0</v>
      </c>
      <c r="AL227" s="67">
        <f t="shared" si="458"/>
        <v>0</v>
      </c>
      <c r="AM227" s="67">
        <f t="shared" si="458"/>
        <v>0</v>
      </c>
      <c r="AN227" s="67">
        <f t="shared" si="458"/>
        <v>0</v>
      </c>
      <c r="AO227" s="67">
        <f t="shared" si="458"/>
        <v>0</v>
      </c>
      <c r="AP227" s="67">
        <f t="shared" si="458"/>
        <v>0</v>
      </c>
      <c r="AQ227" s="67">
        <f t="shared" si="458"/>
        <v>0</v>
      </c>
      <c r="AR227" s="68">
        <f t="shared" si="458"/>
        <v>0</v>
      </c>
      <c r="AS227" s="66">
        <f>IF(AND($B226=" ",$K227=AS$3),$O227,0)</f>
        <v>0</v>
      </c>
      <c r="AT227" s="67">
        <f>IF(AND($B226=" ",K227=AT$3),$O227,0)</f>
        <v>0</v>
      </c>
      <c r="AU227" s="67">
        <f t="shared" ref="AU227:BE227" si="464">IF(AND($B226=" ",$K227=AU$3),$O227,0)</f>
        <v>0</v>
      </c>
      <c r="AV227" s="67">
        <f t="shared" si="464"/>
        <v>0</v>
      </c>
      <c r="AW227" s="67">
        <f t="shared" si="464"/>
        <v>0</v>
      </c>
      <c r="AX227" s="67">
        <f t="shared" si="464"/>
        <v>0</v>
      </c>
      <c r="AY227" s="69">
        <f t="shared" si="464"/>
        <v>0</v>
      </c>
      <c r="AZ227" s="70">
        <f t="shared" si="464"/>
        <v>0</v>
      </c>
      <c r="BA227" s="70">
        <f t="shared" si="464"/>
        <v>0</v>
      </c>
      <c r="BB227" s="70">
        <f t="shared" si="464"/>
        <v>0</v>
      </c>
      <c r="BC227" s="71">
        <f t="shared" si="464"/>
        <v>0</v>
      </c>
      <c r="BD227" s="67">
        <f t="shared" si="464"/>
        <v>0</v>
      </c>
      <c r="BE227" s="68">
        <f t="shared" si="464"/>
        <v>0</v>
      </c>
      <c r="BF227" s="66">
        <f t="shared" si="460"/>
        <v>20.78</v>
      </c>
      <c r="BG227" s="168">
        <f t="shared" si="460"/>
        <v>0</v>
      </c>
      <c r="BH227" s="67">
        <f t="shared" si="460"/>
        <v>0</v>
      </c>
      <c r="BI227" s="67">
        <f t="shared" si="460"/>
        <v>0</v>
      </c>
      <c r="BJ227" s="67">
        <f t="shared" si="460"/>
        <v>0</v>
      </c>
      <c r="BK227" s="67">
        <f t="shared" si="460"/>
        <v>0</v>
      </c>
      <c r="BL227" s="67">
        <f t="shared" si="460"/>
        <v>0</v>
      </c>
      <c r="BM227" s="69">
        <f t="shared" si="460"/>
        <v>0</v>
      </c>
      <c r="BN227" s="70">
        <f t="shared" si="460"/>
        <v>0</v>
      </c>
      <c r="BO227" s="70">
        <f t="shared" si="460"/>
        <v>0</v>
      </c>
      <c r="BP227" s="70">
        <f t="shared" si="460"/>
        <v>0</v>
      </c>
      <c r="BQ227" s="71">
        <f t="shared" si="460"/>
        <v>0</v>
      </c>
      <c r="BR227" s="68">
        <f t="shared" si="460"/>
        <v>0</v>
      </c>
      <c r="BS227" s="491"/>
      <c r="BT227" s="489"/>
      <c r="BU227" s="392"/>
      <c r="BV227" s="489"/>
      <c r="BW227" s="392"/>
      <c r="BX227" s="392"/>
      <c r="BY227" s="392"/>
      <c r="BZ227" s="489"/>
      <c r="CA227" s="392"/>
      <c r="CB227" s="392"/>
      <c r="CC227" s="392"/>
      <c r="CD227" s="401"/>
      <c r="CE227" s="409"/>
      <c r="CF227" s="169">
        <f t="shared" si="388"/>
        <v>0</v>
      </c>
      <c r="CG227" s="170">
        <f t="shared" si="389"/>
        <v>1</v>
      </c>
      <c r="CH227" s="170">
        <f t="shared" si="390"/>
        <v>0</v>
      </c>
      <c r="CI227" s="170">
        <f t="shared" si="391"/>
        <v>0</v>
      </c>
      <c r="CJ227" s="170">
        <f t="shared" si="392"/>
        <v>0</v>
      </c>
      <c r="CK227" s="170">
        <f t="shared" si="393"/>
        <v>0</v>
      </c>
      <c r="CL227" s="170">
        <f t="shared" si="394"/>
        <v>0</v>
      </c>
      <c r="CM227" s="170">
        <f t="shared" si="395"/>
        <v>0</v>
      </c>
      <c r="CN227" s="170">
        <f t="shared" si="396"/>
        <v>0</v>
      </c>
      <c r="CO227" s="170">
        <f t="shared" si="397"/>
        <v>0</v>
      </c>
      <c r="CP227" s="170">
        <f t="shared" si="398"/>
        <v>0</v>
      </c>
      <c r="CQ227" s="170">
        <f t="shared" si="399"/>
        <v>0</v>
      </c>
      <c r="CR227" s="170">
        <f t="shared" si="400"/>
        <v>0</v>
      </c>
      <c r="CS227" s="170">
        <f t="shared" si="401"/>
        <v>0</v>
      </c>
      <c r="CT227" s="75">
        <f t="shared" si="402"/>
        <v>0</v>
      </c>
      <c r="CU227" s="76">
        <f t="shared" si="403"/>
        <v>0</v>
      </c>
      <c r="CV227" s="76">
        <f t="shared" si="404"/>
        <v>0</v>
      </c>
      <c r="CW227" s="76">
        <f t="shared" si="405"/>
        <v>0</v>
      </c>
      <c r="CX227" s="76">
        <f t="shared" si="406"/>
        <v>0</v>
      </c>
      <c r="CY227" s="76">
        <f t="shared" si="407"/>
        <v>0</v>
      </c>
      <c r="CZ227" s="76">
        <f t="shared" si="408"/>
        <v>0</v>
      </c>
      <c r="DA227" s="76">
        <f t="shared" si="409"/>
        <v>0</v>
      </c>
      <c r="DB227" s="76">
        <f t="shared" si="410"/>
        <v>0</v>
      </c>
      <c r="DC227" s="76">
        <f t="shared" si="411"/>
        <v>0</v>
      </c>
      <c r="DD227" s="76">
        <f t="shared" si="412"/>
        <v>0</v>
      </c>
      <c r="DE227" s="77">
        <f t="shared" si="413"/>
        <v>0</v>
      </c>
      <c r="DF227" s="73">
        <f t="shared" si="415"/>
        <v>14</v>
      </c>
      <c r="DG227" s="67">
        <f t="shared" si="416"/>
        <v>18.05</v>
      </c>
      <c r="DH227" s="76">
        <f t="shared" si="417"/>
        <v>6</v>
      </c>
      <c r="DI227" s="67">
        <f t="shared" si="418"/>
        <v>25.63</v>
      </c>
      <c r="DJ227" s="202" t="str">
        <f>IF($D226="","",$D226)</f>
        <v>7</v>
      </c>
      <c r="DK227" s="493"/>
    </row>
    <row r="228" spans="1:115" ht="14.5" customHeight="1" x14ac:dyDescent="0.2">
      <c r="A228" s="390"/>
      <c r="B228" s="457"/>
      <c r="C228" s="79" t="s">
        <v>53</v>
      </c>
      <c r="D228" s="375"/>
      <c r="E228" s="387"/>
      <c r="F228" s="378"/>
      <c r="G228" s="508"/>
      <c r="H228" s="477"/>
      <c r="I228" s="171"/>
      <c r="J228" s="172"/>
      <c r="K228" s="81"/>
      <c r="L228" s="173"/>
      <c r="M228" s="174"/>
      <c r="N228" s="407"/>
      <c r="O228" s="86" t="str">
        <f>IF(OR(AE226="",AE227=""),"",IF(L228&gt;0,ROUND(IF(M228&gt;0,M228,IF(M226&gt;0,ROUND((M226*AE228)/AE226,IF(N226=0,2,IF(N226=0.1,1,0))),IF(M227&gt;0,ROUND((M227*AE228)/AE227,IF(N226=0,2,IF(N226=0.1,1,0))),IF(M228&gt;0,M228,0)))),2),""))</f>
        <v/>
      </c>
      <c r="P228" s="87" t="str">
        <f>IF(I227="Lay",O227*(L227/(L227-1))-O227,IF(I226="Lay",O226*(L226/(L226-1))-O226,IF(OR(L228="",O228=""),"",IF($C228="1/2W",O228/2+O228/2*L228,IF($C228="1/2L",O228/2,(O228*L228-O228)*(1-_xlfn.XLOOKUP(K228,'Fevereiro 2023 - Valor Real'!A3:A15,'Fevereiro 2023 - Valor Real'!C3:C15,0))+O228)))))</f>
        <v/>
      </c>
      <c r="Q228" s="54" t="str">
        <f>IF(K228="","",IF(_xlfn.XLOOKUP(K228,K$11:K218,$DJ$11:DJ218,0,,-1)=DJ228,_xlfn.XLOOKUP(K228,K$11:K218,Q$11:Q218,1,,-1)+1,1))</f>
        <v/>
      </c>
      <c r="R228" s="87" t="str">
        <f>IF(K228="","",_xlfn.XLOOKUP(K228,K$11:K218,R$11:R218,0,,-1)+IF($C228=" ",1,0))</f>
        <v/>
      </c>
      <c r="S228" s="404"/>
      <c r="T228" s="378"/>
      <c r="U228" s="378"/>
      <c r="V228" s="404"/>
      <c r="W228" s="378"/>
      <c r="X228" s="453"/>
      <c r="Y228" s="383"/>
      <c r="Z228" s="384"/>
      <c r="AA228" s="384"/>
      <c r="AB228" s="384"/>
      <c r="AC228" s="384"/>
      <c r="AD228" s="90"/>
      <c r="AE228" s="91" t="str">
        <f>IF(L228="","",(SUM(((L226-1)*(1-_xlfn.XLOOKUP(K226,'Fevereiro 2023 - Valor Real'!A3:A15,'Fevereiro 2023 - Valor Real'!C3:C15,0))+1),((L227-1)*(1-_xlfn.XLOOKUP(K227,'Fevereiro 2023 - Valor Real'!A3:A15,'Fevereiro 2023 - Valor Real'!C3:C15,0))+1),((L228-1)*(1-_xlfn.XLOOKUP(K228,'Fevereiro 2023 - Valor Real'!A3:A15,'Fevereiro 2023 - Valor Real'!C3:C15,0))+1))/((L228-1)*(1-_xlfn.XLOOKUP(K228,'Fevereiro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Real'!C3:C15,0))+1))/((L226-1)*(1-_xlfn.XLOOKUP(K226,'Fevereiro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Real'!C3:C15,0))+1))/((L227-1)*(1-_xlfn.XLOOKUP(K227,'Fevereiro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Real'!C3:C15,0))+1))/((L228-1)*(1-_xlfn.XLOOKUP(K228,'Fevereiro 2023 - Valor Real'!A3:A15,'Fevereiro 2023 - Valor Real'!C3:C15,0))+1)))</f>
        <v/>
      </c>
      <c r="AF228" s="66">
        <f t="shared" si="458"/>
        <v>0</v>
      </c>
      <c r="AG228" s="67">
        <f t="shared" si="458"/>
        <v>0</v>
      </c>
      <c r="AH228" s="67">
        <f t="shared" si="458"/>
        <v>0</v>
      </c>
      <c r="AI228" s="67">
        <f t="shared" si="458"/>
        <v>0</v>
      </c>
      <c r="AJ228" s="67">
        <f t="shared" si="458"/>
        <v>0</v>
      </c>
      <c r="AK228" s="67">
        <f t="shared" si="458"/>
        <v>0</v>
      </c>
      <c r="AL228" s="67">
        <f t="shared" si="458"/>
        <v>0</v>
      </c>
      <c r="AM228" s="67">
        <f t="shared" si="458"/>
        <v>0</v>
      </c>
      <c r="AN228" s="67">
        <f t="shared" si="458"/>
        <v>0</v>
      </c>
      <c r="AO228" s="67">
        <f t="shared" si="458"/>
        <v>0</v>
      </c>
      <c r="AP228" s="67">
        <f t="shared" si="458"/>
        <v>0</v>
      </c>
      <c r="AQ228" s="67">
        <f t="shared" si="458"/>
        <v>0</v>
      </c>
      <c r="AR228" s="68">
        <f t="shared" si="458"/>
        <v>0</v>
      </c>
      <c r="AS228" s="66">
        <f>IF(AND($B226=" ",$K228=AS$3),$O228,0)</f>
        <v>0</v>
      </c>
      <c r="AT228" s="67">
        <f>IF(AND($B226=" ",K228=AT$3),$O228,0)</f>
        <v>0</v>
      </c>
      <c r="AU228" s="67">
        <f t="shared" ref="AU228:BE228" si="465">IF(AND($B226=" ",$K228=AU$3),$O228,0)</f>
        <v>0</v>
      </c>
      <c r="AV228" s="67">
        <f t="shared" si="465"/>
        <v>0</v>
      </c>
      <c r="AW228" s="67">
        <f t="shared" si="465"/>
        <v>0</v>
      </c>
      <c r="AX228" s="67">
        <f t="shared" si="465"/>
        <v>0</v>
      </c>
      <c r="AY228" s="69">
        <f t="shared" si="465"/>
        <v>0</v>
      </c>
      <c r="AZ228" s="70">
        <f t="shared" si="465"/>
        <v>0</v>
      </c>
      <c r="BA228" s="70">
        <f t="shared" si="465"/>
        <v>0</v>
      </c>
      <c r="BB228" s="70">
        <f t="shared" si="465"/>
        <v>0</v>
      </c>
      <c r="BC228" s="71">
        <f t="shared" si="465"/>
        <v>0</v>
      </c>
      <c r="BD228" s="67">
        <f t="shared" si="465"/>
        <v>0</v>
      </c>
      <c r="BE228" s="68">
        <f t="shared" si="465"/>
        <v>0</v>
      </c>
      <c r="BF228" s="66">
        <f t="shared" si="460"/>
        <v>0</v>
      </c>
      <c r="BG228" s="168">
        <f t="shared" si="460"/>
        <v>0</v>
      </c>
      <c r="BH228" s="67">
        <f t="shared" si="460"/>
        <v>0</v>
      </c>
      <c r="BI228" s="67">
        <f t="shared" si="460"/>
        <v>0</v>
      </c>
      <c r="BJ228" s="67">
        <f t="shared" si="460"/>
        <v>0</v>
      </c>
      <c r="BK228" s="67">
        <f t="shared" si="460"/>
        <v>0</v>
      </c>
      <c r="BL228" s="67">
        <f t="shared" si="460"/>
        <v>0</v>
      </c>
      <c r="BM228" s="69">
        <f t="shared" si="460"/>
        <v>0</v>
      </c>
      <c r="BN228" s="70">
        <f t="shared" si="460"/>
        <v>0</v>
      </c>
      <c r="BO228" s="70">
        <f t="shared" si="460"/>
        <v>0</v>
      </c>
      <c r="BP228" s="70">
        <f t="shared" si="460"/>
        <v>0</v>
      </c>
      <c r="BQ228" s="71">
        <f t="shared" si="460"/>
        <v>0</v>
      </c>
      <c r="BR228" s="68">
        <f t="shared" si="460"/>
        <v>0</v>
      </c>
      <c r="BS228" s="491"/>
      <c r="BT228" s="489"/>
      <c r="BU228" s="392"/>
      <c r="BV228" s="489"/>
      <c r="BW228" s="392"/>
      <c r="BX228" s="392"/>
      <c r="BY228" s="392"/>
      <c r="BZ228" s="489"/>
      <c r="CA228" s="392"/>
      <c r="CB228" s="392"/>
      <c r="CC228" s="392"/>
      <c r="CD228" s="401"/>
      <c r="CE228" s="409"/>
      <c r="CF228" s="169">
        <f t="shared" si="388"/>
        <v>0</v>
      </c>
      <c r="CG228" s="170">
        <f t="shared" si="389"/>
        <v>0</v>
      </c>
      <c r="CH228" s="170">
        <f t="shared" si="390"/>
        <v>0</v>
      </c>
      <c r="CI228" s="170">
        <f t="shared" si="391"/>
        <v>0</v>
      </c>
      <c r="CJ228" s="170">
        <f t="shared" si="392"/>
        <v>0</v>
      </c>
      <c r="CK228" s="170">
        <f t="shared" si="393"/>
        <v>0</v>
      </c>
      <c r="CL228" s="170">
        <f t="shared" si="394"/>
        <v>0</v>
      </c>
      <c r="CM228" s="170">
        <f t="shared" si="395"/>
        <v>0</v>
      </c>
      <c r="CN228" s="170">
        <f t="shared" si="396"/>
        <v>0</v>
      </c>
      <c r="CO228" s="170">
        <f t="shared" si="397"/>
        <v>0</v>
      </c>
      <c r="CP228" s="170">
        <f t="shared" si="398"/>
        <v>0</v>
      </c>
      <c r="CQ228" s="170">
        <f t="shared" si="399"/>
        <v>0</v>
      </c>
      <c r="CR228" s="170">
        <f t="shared" si="400"/>
        <v>0</v>
      </c>
      <c r="CS228" s="170">
        <f t="shared" si="401"/>
        <v>0</v>
      </c>
      <c r="CT228" s="75">
        <f t="shared" si="402"/>
        <v>0</v>
      </c>
      <c r="CU228" s="76">
        <f t="shared" si="403"/>
        <v>0</v>
      </c>
      <c r="CV228" s="76">
        <f t="shared" si="404"/>
        <v>0</v>
      </c>
      <c r="CW228" s="76">
        <f t="shared" si="405"/>
        <v>0</v>
      </c>
      <c r="CX228" s="76">
        <f t="shared" si="406"/>
        <v>0</v>
      </c>
      <c r="CY228" s="76">
        <f t="shared" si="407"/>
        <v>0</v>
      </c>
      <c r="CZ228" s="76">
        <f t="shared" si="408"/>
        <v>0</v>
      </c>
      <c r="DA228" s="76">
        <f t="shared" si="409"/>
        <v>0</v>
      </c>
      <c r="DB228" s="76">
        <f t="shared" si="410"/>
        <v>0</v>
      </c>
      <c r="DC228" s="76">
        <f t="shared" si="411"/>
        <v>0</v>
      </c>
      <c r="DD228" s="76">
        <f t="shared" si="412"/>
        <v>0</v>
      </c>
      <c r="DE228" s="77">
        <f t="shared" si="413"/>
        <v>0</v>
      </c>
      <c r="DF228" s="73">
        <f t="shared" si="415"/>
        <v>14</v>
      </c>
      <c r="DG228" s="67">
        <f t="shared" si="416"/>
        <v>18.05</v>
      </c>
      <c r="DH228" s="76">
        <f t="shared" si="417"/>
        <v>6</v>
      </c>
      <c r="DI228" s="67">
        <f t="shared" si="418"/>
        <v>25.63</v>
      </c>
      <c r="DJ228" s="202" t="str">
        <f>IF($D226="","",$D226)</f>
        <v>7</v>
      </c>
      <c r="DK228" s="493"/>
    </row>
    <row r="229" spans="1:115" ht="14.5" customHeight="1" x14ac:dyDescent="0.2">
      <c r="A229" s="459">
        <f>$A226+1</f>
        <v>76</v>
      </c>
      <c r="B229" s="507" t="str">
        <f>IF(OR(C229="W",C230="W",C231="W",C229="1/2W",C230="1/2W",C231="1/2W",C229="1/2L",C230="1/2L",C231="1/2L"),"OK",IF(OR(C229="L",C230="L",C231="L"),"LOSS",IF(OR(C229="X",C230="X",C231="X"),"Anulado"," ")))</f>
        <v>OK</v>
      </c>
      <c r="C229" s="93" t="s">
        <v>54</v>
      </c>
      <c r="D229" s="468" t="str">
        <f>IF(G229="","",$D226)</f>
        <v>7</v>
      </c>
      <c r="E229" s="485" t="str">
        <f>IF(G229=""," ","– "&amp;COUNTIF(D$4:D231,$D229))</f>
        <v>– 2</v>
      </c>
      <c r="F229" s="509" t="str">
        <f ca="1">IF(G229="","",IF(OR(AND($C229&lt;&gt;" ",$C230=" "),AND($C230&lt;&gt;" ",$C229=" "),AND(L231&gt;0,OR(AND($C231&lt;&gt;" ",OR($C229=" ",$C230=" ")),AND($C231=" ",OR($C229&lt;&gt;" ",$C230&lt;&gt;" "))))),IF(SUM(F$4:F228)=0,1,LARGE(F$4:F228,1)+1),IF(MONTH(G229)=MONTH(TODAY()),IF(AND(DAY(G229)&lt;DAY(TODAY()),$B229=" "),IF(SUM(F$4:F228)=0,1,LARGE(F$4:F228,1)+1),IF($B229=" ",IF(AND(DAY(G229)=DAY(TODAY()),HOUR(G229)&lt;=HOUR(NOW())+1),IF(AND(HOUR(G229)+2&lt;=HOUR(NOW()),DAY(G229)&lt;=DAY(TODAY()),MINUTE(G229)&lt;=MINUTE(NOW())),IF(SUM(F$4:F228)=0,1,LARGE(F$4:F228,1)+1),IF(OR(MINUTE(G229)&lt;=MINUTE(NOW()),HOUR(G229)&lt;=HOUR(NOW())),"!!!","")),""),"")),"")))</f>
        <v/>
      </c>
      <c r="G229" s="482">
        <f>IF(H229="","",_xlfn.XLOOKUP(H229,$H$4:H228,$G$4:G228,""))</f>
        <v>44993.583333333336</v>
      </c>
      <c r="H229" s="475" t="s">
        <v>120</v>
      </c>
      <c r="I229" s="175">
        <v>1</v>
      </c>
      <c r="J229" s="176"/>
      <c r="K229" s="96" t="s">
        <v>40</v>
      </c>
      <c r="L229" s="97">
        <v>1.1200000000000001</v>
      </c>
      <c r="M229" s="98"/>
      <c r="N229" s="478">
        <v>0</v>
      </c>
      <c r="O229" s="99">
        <f>IF(OR(AE229="",AE230=""),"",ROUND(IF(L231&gt;0,IF(M229&gt;0,M229,IF(M230&gt;0,ROUND((M230*AE229)/AE230,IF(N229=0,2,IF(N229=0.1,1,0))),ROUND((M231*AE229)/AE231,IF(N229=0,2,IF(N229=0.1,1,0))))),IF(M229&gt;0,M229,ROUND((M230*AE229)/AE230,IF(N229=0,2,IF(N229=0.1,1,0))))),2))</f>
        <v>32.81</v>
      </c>
      <c r="P229" s="100">
        <f>IF(OR(L229="",O229=""),"",IF($C229="1/2W",O229/2+O229/2*L229,IF($C229="1/2L",O229/2,IF(I229="Lay",(O229*(L229/(L229-1))-O229)*(1-_xlfn.XLOOKUP(K229,'Fevereiro 2023 - Valor Real'!A3:A15,'Fevereiro 2023 - Valor Real'!C3:C15,0))+O229,(O229*L229-O229)*(1-_xlfn.XLOOKUP(K229,'Fevereiro 2023 - Valor Real'!A3:A15,'Fevereiro 2023 - Valor Real'!C3:C15,0))+O229))))</f>
        <v>36.747200000000007</v>
      </c>
      <c r="Q229" s="101">
        <f>IF(K229="","",IF(_xlfn.XLOOKUP(K229,K$6:K224,$DJ$6:DJ224,0,,-1)=DJ229,_xlfn.XLOOKUP(K229,K$6:K224,Q$6:Q224,1,,-1)+1,1))</f>
        <v>1</v>
      </c>
      <c r="R229" s="102">
        <f>IF(K229="","",_xlfn.XLOOKUP(K229,K$6:K224,R$6:R224,0,,-1)+IF($C229=" ",1,0))</f>
        <v>0</v>
      </c>
      <c r="S229" s="474">
        <f>IF($B229="Anulado",0,ROUND(IF(OR($B229="LOSS",$B229="OK"),IF(OR($C229="W",$C229="1/2W",$C229="1/2L"),P229-O229,IF($C229="L",-O229,0))+IF(OR($C230="W",$C230="1/2W",$C230="1/2L"),P230-O230,IF($C230="L",-O230,0))+IF(OR($C231="W",$C231="1/2W",$C231="1/2L"),P231-O231,IF($C231="L",-O231,0)),IF(AND(OR($C229="W",$C229="1/2W",$C229="1/2L"),C230="W"),P229+P230-SUM(O229:O231)+_xlfn.XLOOKUP("X",C229:C231,O229:O231,0),IF(AND(C229=TRUE,C231="W"),P229+P231-SUM(O229:O231),IF(AND(C230="W",C231="W"),P230+P231-SUM(O229:O231)+_xlfn.XLOOKUP("X",C229:C231,O229:O231,0),IF(L231&gt;0,IF(OR($C229="W",$C229="1/2W",$C229="1/2L"),P229-SUM(O229:O231)+_xlfn.XLOOKUP("X",C229:C231,O229:O231,0),IF(OR($C229="W",$C229="1/2W",$C229="1/2L"),P230-SUM(O229:O231)+_xlfn.XLOOKUP("X",C229:C231,O229:O231,0),IF(OR($C229="W",$C229="1/2W",$C229="1/2L"),P231-SUM(O229:O231)+_xlfn.XLOOKUP("X",C229:C231,O229:O231,0),IF(SUM(P229:P231)/3-SUM(O229:O231)+_xlfn.XLOOKUP("X",C229:C231,O229:O231,0)&gt;0,SUM(P229:P231)/3-SUM(O229:O231)+_xlfn.XLOOKUP("X",C229:C231,O229:O231,0),LARGE(P229:P231,1)-SUM(O229:O231))))),IF(OR($C229="W",$C229="1/2W",$C229="1/2L"),P229-SUM(O229:O230)+_xlfn.XLOOKUP("X",C229:C231,O229:O231,0),IF(OR($C229="W",$C229="1/2W",$C229="1/2L"),P230-SUM(O229:O230)+_xlfn.XLOOKUP("X",C229:C231,O229:O231,0),SUM(P229:P230)/2-SUM(O229:O230)+_xlfn.XLOOKUP("X",C229:C231,O229:O231,0)))))))),2))</f>
        <v>2.19</v>
      </c>
      <c r="T229" s="458">
        <f>IF(S229=0,0,S229/SUM(O229:O231))</f>
        <v>6.3368055555555552E-2</v>
      </c>
      <c r="U229" s="470">
        <f>IF($D229=$D226,IF(OR($B229="LOSS",$B229="OK",$B229="Anulada"),S229,0)+U226,IF(OR($B229="LOSS",$B229="OK",$B229="Anulada"),S229,0))</f>
        <v>3.91</v>
      </c>
      <c r="V229" s="470">
        <f>IF($D229="",0,IF($D229=$D226,IF($B229=" ",IF(I231="",IF(OR(AND(I229="DNB1",I230="DNB2"),AND(OR(I229="DNB1",I229="DNB2"),J230=0),AND(OR(I230="DNB1",I230="DNB2"),J229=0),AND(I229="DNB2",I230="DNB1"),AND(IF(J229=0,(J229+1)/ROUND(J229+1,0),J229/ROUND(J229,0))=1,IF(J230=0,(J230+1)/ROUND(IF(J230="",0,J230)+1,0),IF(J230="",0,J230)/ROUND(IF(J230="",1,J230),0))=1,OR(J229&lt;&gt;""),J230&lt;&gt;"")),0,IF(S229&lt;0,IF(I231="",SMALL(P229:P230,1)-SUM(O229:O230),0),SMALL(P229:P230,1)-SUM(O229:O230))),IF(S229&lt;0,IF(I231="",SMALL(P229:P231,1)-SUM(O229:O231),0),LARGE(P229:P231,1)-SUM(O229:O231))),S229)+V226,IF(I231="",IF(OR(AND(I229="DNB1",I230="DNB2"),AND(OR(I229="DNB1",I229="DNB2"),J230=0),AND(OR(I230="DNB1",I230="DNB2"),J229=0),AND(I229="DNB2",I230="DNB1"),AND(IF(J229=0,(J229+1)/ROUND(J229+1,0),J229/ROUND(J229,0))=1,IF(J230=0,(IF(J230="",0,J230)+1)/ROUND(IF(J230="",0,J230)+1,0),IF(J230="",0,J230)/ROUND(IF(J230="",0,J230)+1,0))=1,OR(J229&lt;&gt;""),J230&lt;&gt;"")),0,IF(S229&lt;0,IF(I231="",SMALL(P229:P230,1)-SUM(O229:O230),0),SMALL(P229:P231,1)-SUM(O229:O231))),IF(S229&lt;0,IF(I231="",SMALL(P229:P231,1)-SUM(O229:O231),0),LARGE(P229:P231,1)-SUM(O229:O231)))))</f>
        <v>3.9107999999999969</v>
      </c>
      <c r="W229" s="470">
        <f>IF($D229=$D226,IF(S229&lt;0,IF(I231="",S229,0),S229)+W226,S229)</f>
        <v>3.91</v>
      </c>
      <c r="X229" s="480" t="str">
        <f>IF(OR(SUM(R229:R231)=0,V229=W229),ROUND(IF(W229=0,0,W229/Y229)*100,2)&amp;"%",ROUND(IF(V229=0,0,V229/Y229)*100,2)&amp;"% a "&amp;ROUND(IF(W229=0,0,W229/Y229)*100,2)&amp;"%")</f>
        <v>5,18%</v>
      </c>
      <c r="Y229" s="471">
        <f>IF($D229=$D226,Y226+SUM(O229:O231),SUM(O229:O231))</f>
        <v>75.430000000000007</v>
      </c>
      <c r="Z229" s="470">
        <f>IF($B229=" ",SUM(O229:O231),0)+Z226</f>
        <v>0</v>
      </c>
      <c r="AA229" s="470">
        <f>IF(G229="","",IF($B229="Anulado",LARGE(P229:P231,1)-SUM(O229:O231)+AA226,AA226))</f>
        <v>1.4607999999999972</v>
      </c>
      <c r="AB229" s="470">
        <f>IF($D229="","",AB226+S229)</f>
        <v>401.33</v>
      </c>
      <c r="AC229" s="472">
        <f ca="1">IF($D229="","",IF($B229=" ",IF(DAY(G229)=DAY(TODAY()),1+AC226,0+AC226),0+AC226))</f>
        <v>0</v>
      </c>
      <c r="AD229" s="103">
        <f>(((L230/(L230-1)-1)*(1-_xlfn.XLOOKUP(K230,'Fevereiro 2023 - Valor Real'!A3:A15,'Fevereiro 2023 - Valor Real'!C3:C15,0))+1))/(((L229-1)*(1-_xlfn.XLOOKUP(K229,'Fevereiro 2023 - Valor Real'!A3:A15,'Fevereiro 2023 - Valor Real'!C3:C15,0))+1)+((L230/(L230-1)-1)*(1-_xlfn.XLOOKUP(K230,'Fevereiro 2023 - Valor Real'!A3:A15,'Fevereiro 2023 - Valor Real'!C3:C15,0))+1))</f>
        <v>0.4838709677419355</v>
      </c>
      <c r="AE229" s="104">
        <f>IF(L229="","",IF(L231&gt;0,(SUM(((L229-1)*(1-_xlfn.XLOOKUP(K229,'Fevereiro 2023 - Valor Real'!A3:A15,'Fevereiro 2023 - Valor Real'!C3:C15,0))+1),((L230-1)*(1-_xlfn.XLOOKUP(K230,'Fevereiro 2023 - Valor Real'!A3:A15,'Fevereiro 2023 - Valor Real'!C3:C15,0))+1),((L231-1)*(1-_xlfn.XLOOKUP(K231,'Fevereiro 2023 - Valor Real'!A3:A15,'Fevereiro 2023 - Valor Real'!C3:C15,0))+1))/((L229-1)*(1-_xlfn.XLOOKUP(K229,'Fevereiro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Real'!C3:C15,0))+1))/((L229-1)*(1-_xlfn.XLOOKUP(K229,'Fevereiro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Real'!C3:C15,0))+1))/((L230-1)*(1-_xlfn.XLOOKUP(K230,'Fevereiro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Real'!C3:C15,0))+1))/((L231-1)*(1-_xlfn.XLOOKUP(K231,'Fevereiro 2023 - Valor Real'!A3:A15,'Fevereiro 2023 - Valor Real'!C3:C15,0))+1)),IF(I229="Lay",IF(I230="Lay",((L230/(L230-1)-1)*(1-_xlfn.XLOOKUP(K230,'Fevereiro 2023 - Valor Real'!A3:A15,'Fevereiro 2023 - Valor Real'!C3:C15,0))+1)/(((L230/(L230-1)-1)*(1-_xlfn.XLOOKUP(K230,'Fevereiro 2023 - Valor Real'!A3:A15,'Fevereiro 2023 - Valor Real'!C3:C15,0))+1)+((L229/(L229-1)-1)*(1-_xlfn.XLOOKUP(K229,'Fevereiro 2023 - Valor Real'!A3:A15,'Fevereiro 2023 - Valor Real'!C3:C15,0))+1)),((L230-1)*(1-_xlfn.XLOOKUP(K230,'Fevereiro 2023 - Valor Real'!A3:A15,'Fevereiro 2023 - Valor Real'!C3:C15,0))+1)/(((L230-1)*(1-_xlfn.XLOOKUP(K230,'Fevereiro 2023 - Valor Real'!A3:A15,'Fevereiro 2023 - Valor Real'!C3:C15,0))+1)+((L229/(L229-1)-1)*(1-_xlfn.XLOOKUP(K229,'Fevereiro 2023 - Valor Real'!A3:A15,'Fevereiro 2023 - Valor Real'!C3:C15,0))+1))),IF(I230="Lay",(((L230/(L230-1)-1)*(1-_xlfn.XLOOKUP(K230,'Fevereiro 2023 - Valor Real'!A3:A15,'Fevereiro 2023 - Valor Real'!C3:C15,0))+1))/(((L229-1)*(1-_xlfn.XLOOKUP(K229,'Fevereiro 2023 - Valor Real'!A3:A15,'Fevereiro 2023 - Valor Real'!C3:C15,0))+1)+((L230/(L230-1)-1)*(1-_xlfn.XLOOKUP(K230,'Fevereiro 2023 - Valor Real'!A3:A15,'Fevereiro 2023 - Valor Real'!C3:C15,0))+1)),((L230-1)*(1-_xlfn.XLOOKUP(K230,'Fevereiro 2023 - Valor Real'!A3:A15,'Fevereiro 2023 - Valor Real'!C3:C15,0))+1)/(((L230-1)*(1-_xlfn.XLOOKUP(K230,'Fevereiro 2023 - Valor Real'!A3:A15,'Fevereiro 2023 - Valor Real'!C3:C15,0))+1)+((L229-1)*(1-_xlfn.XLOOKUP(K229,'Fevereiro 2023 - Valor Real'!A3:A15,'Fevereiro 2023 - Valor Real'!C3:C15,0))+1))))))</f>
        <v>0.94936708860759489</v>
      </c>
      <c r="AF229" s="105">
        <f t="shared" si="458"/>
        <v>0</v>
      </c>
      <c r="AG229" s="106">
        <f t="shared" si="458"/>
        <v>0</v>
      </c>
      <c r="AH229" s="106">
        <f t="shared" si="458"/>
        <v>0</v>
      </c>
      <c r="AI229" s="106">
        <f t="shared" si="458"/>
        <v>0</v>
      </c>
      <c r="AJ229" s="106">
        <f t="shared" si="458"/>
        <v>3.94</v>
      </c>
      <c r="AK229" s="106">
        <f t="shared" si="458"/>
        <v>0</v>
      </c>
      <c r="AL229" s="106">
        <f t="shared" si="458"/>
        <v>0</v>
      </c>
      <c r="AM229" s="106">
        <f t="shared" si="458"/>
        <v>0</v>
      </c>
      <c r="AN229" s="106">
        <f t="shared" si="458"/>
        <v>0</v>
      </c>
      <c r="AO229" s="106">
        <f t="shared" si="458"/>
        <v>0</v>
      </c>
      <c r="AP229" s="106">
        <f t="shared" si="458"/>
        <v>0</v>
      </c>
      <c r="AQ229" s="106">
        <f t="shared" si="458"/>
        <v>0</v>
      </c>
      <c r="AR229" s="107">
        <f t="shared" si="458"/>
        <v>0</v>
      </c>
      <c r="AS229" s="105">
        <f t="shared" ref="AS229:BE229" si="466">IF(AND($B229=" ",$K229=AS$3),$O229,0)</f>
        <v>0</v>
      </c>
      <c r="AT229" s="106">
        <f t="shared" si="466"/>
        <v>0</v>
      </c>
      <c r="AU229" s="106">
        <f t="shared" si="466"/>
        <v>0</v>
      </c>
      <c r="AV229" s="106">
        <f t="shared" si="466"/>
        <v>0</v>
      </c>
      <c r="AW229" s="106">
        <f t="shared" si="466"/>
        <v>0</v>
      </c>
      <c r="AX229" s="106">
        <f t="shared" si="466"/>
        <v>0</v>
      </c>
      <c r="AY229" s="108">
        <f t="shared" si="466"/>
        <v>0</v>
      </c>
      <c r="AZ229" s="109">
        <f t="shared" si="466"/>
        <v>0</v>
      </c>
      <c r="BA229" s="109">
        <f t="shared" si="466"/>
        <v>0</v>
      </c>
      <c r="BB229" s="109">
        <f t="shared" si="466"/>
        <v>0</v>
      </c>
      <c r="BC229" s="110">
        <f t="shared" si="466"/>
        <v>0</v>
      </c>
      <c r="BD229" s="106">
        <f t="shared" si="466"/>
        <v>0</v>
      </c>
      <c r="BE229" s="107">
        <f t="shared" si="466"/>
        <v>0</v>
      </c>
      <c r="BF229" s="111">
        <f t="shared" si="460"/>
        <v>0</v>
      </c>
      <c r="BG229" s="106">
        <f t="shared" si="460"/>
        <v>0</v>
      </c>
      <c r="BH229" s="106">
        <f t="shared" si="460"/>
        <v>0</v>
      </c>
      <c r="BI229" s="106">
        <f t="shared" si="460"/>
        <v>0</v>
      </c>
      <c r="BJ229" s="106">
        <f t="shared" si="460"/>
        <v>32.81</v>
      </c>
      <c r="BK229" s="106">
        <f t="shared" si="460"/>
        <v>0</v>
      </c>
      <c r="BL229" s="106">
        <f t="shared" si="460"/>
        <v>0</v>
      </c>
      <c r="BM229" s="108">
        <f t="shared" si="460"/>
        <v>0</v>
      </c>
      <c r="BN229" s="109">
        <f t="shared" si="460"/>
        <v>0</v>
      </c>
      <c r="BO229" s="109">
        <f t="shared" si="460"/>
        <v>0</v>
      </c>
      <c r="BP229" s="109">
        <f t="shared" si="460"/>
        <v>0</v>
      </c>
      <c r="BQ229" s="110">
        <f t="shared" si="460"/>
        <v>0</v>
      </c>
      <c r="BR229" s="107">
        <f t="shared" si="460"/>
        <v>0</v>
      </c>
      <c r="BS229" s="463">
        <f>IF($B229="LOSS",IF(AND($K229=BS$3,$C229="L"),-$O229,0)+IF(AND($K230=BS$3,$C230="L"),-$O230,0)+IF(AND($K231=BS$3,$C231="L"),-$O231,0),IF(OR(AND($K229=BS$3,OR($C229="W",$C229="1/2W")),AND($K230=BS$3,OR($C230="W",$C230="1/2W")),AND($K231=BS$3,OR($C231="W",$C231="1/2W"))),$S229,0))</f>
        <v>0</v>
      </c>
      <c r="BT229" s="462">
        <f>IF($B229="LOSS",IF(AND($K229=BT$3,$C229="L"),-$O229,0)+IF(AND($K230=BT$3,$C230="L"),-$O230,0)+IF(AND($K230=BT$3,$C231="L"),-$O231,0),IF(OR(AND($K230=BT$3,OR($C229="W",$C229="1/2W")),AND($K230=BT$3,OR($C230="W",$C230="1/2W")),AND($K230=BT$3,OR($C231="W",$C231="1/2W"))),$S229,0))</f>
        <v>0</v>
      </c>
      <c r="BU229" s="462">
        <f>IF($B229="LOSS",IF(AND($K229=BU$3,$C229="L"),-$O229,0)+IF(AND($K230=BU$3,$C230="L"),-$O230,0)+IF(AND($K230=BU$3,$C231="L"),-$O231,0),IF(OR(AND($K230=BU$3,OR($C229="W",$C229="1/2W")),AND($K230=BU$3,OR($C230="W",$C230="1/2W")),AND($K230=BU$3,OR($C231="W",$C231="1/2W"))),$S229,0))</f>
        <v>0</v>
      </c>
      <c r="BV229" s="462">
        <f t="shared" ref="BV229:CE229" si="467">IF($B229="LOSS",IF(AND($K229=BV$3,$C229="L"),-$O229,0)+IF(AND($K230=BV$3,$C230="L"),-$O230,0)+IF(AND($K231=BV$3,$C231="L"),-$O231,0),IF(OR(AND($K229=BV$3,OR($C229="W",$C229="1/2W")),AND($K230=BV$3,OR($C230="W",$C230="1/2W")),AND($K231=BV$3,OR($C231="W",$C231="1/2W"))),$S229,0))</f>
        <v>0</v>
      </c>
      <c r="BW229" s="462">
        <f t="shared" si="467"/>
        <v>2.19</v>
      </c>
      <c r="BX229" s="462">
        <f t="shared" si="467"/>
        <v>0</v>
      </c>
      <c r="BY229" s="462">
        <f t="shared" si="467"/>
        <v>0</v>
      </c>
      <c r="BZ229" s="460">
        <f t="shared" si="467"/>
        <v>0</v>
      </c>
      <c r="CA229" s="460">
        <f t="shared" si="467"/>
        <v>0</v>
      </c>
      <c r="CB229" s="460">
        <f t="shared" si="467"/>
        <v>0</v>
      </c>
      <c r="CC229" s="460">
        <f t="shared" si="467"/>
        <v>0</v>
      </c>
      <c r="CD229" s="473">
        <f t="shared" si="467"/>
        <v>0</v>
      </c>
      <c r="CE229" s="479">
        <f t="shared" si="467"/>
        <v>0</v>
      </c>
      <c r="CF229" s="113">
        <f t="shared" si="388"/>
        <v>0</v>
      </c>
      <c r="CG229" s="114">
        <f t="shared" si="389"/>
        <v>0</v>
      </c>
      <c r="CH229" s="114">
        <f t="shared" si="390"/>
        <v>0</v>
      </c>
      <c r="CI229" s="114">
        <f t="shared" si="391"/>
        <v>0</v>
      </c>
      <c r="CJ229" s="114">
        <f t="shared" si="392"/>
        <v>0</v>
      </c>
      <c r="CK229" s="114">
        <f t="shared" si="393"/>
        <v>0</v>
      </c>
      <c r="CL229" s="114">
        <f t="shared" si="394"/>
        <v>0</v>
      </c>
      <c r="CM229" s="114">
        <f t="shared" si="395"/>
        <v>0</v>
      </c>
      <c r="CN229" s="114">
        <f t="shared" si="396"/>
        <v>1</v>
      </c>
      <c r="CO229" s="114">
        <f t="shared" si="397"/>
        <v>0</v>
      </c>
      <c r="CP229" s="114">
        <f t="shared" si="398"/>
        <v>0</v>
      </c>
      <c r="CQ229" s="114">
        <f t="shared" si="399"/>
        <v>0</v>
      </c>
      <c r="CR229" s="114">
        <f t="shared" si="400"/>
        <v>0</v>
      </c>
      <c r="CS229" s="114">
        <f t="shared" si="401"/>
        <v>0</v>
      </c>
      <c r="CT229" s="115">
        <f t="shared" si="402"/>
        <v>0</v>
      </c>
      <c r="CU229" s="116">
        <f t="shared" si="403"/>
        <v>0</v>
      </c>
      <c r="CV229" s="116">
        <f t="shared" si="404"/>
        <v>0</v>
      </c>
      <c r="CW229" s="116">
        <f t="shared" si="405"/>
        <v>0</v>
      </c>
      <c r="CX229" s="116">
        <f t="shared" si="406"/>
        <v>0</v>
      </c>
      <c r="CY229" s="116">
        <f t="shared" si="407"/>
        <v>0</v>
      </c>
      <c r="CZ229" s="116">
        <f t="shared" si="408"/>
        <v>0</v>
      </c>
      <c r="DA229" s="116">
        <f t="shared" si="409"/>
        <v>0</v>
      </c>
      <c r="DB229" s="116">
        <f t="shared" si="410"/>
        <v>0</v>
      </c>
      <c r="DC229" s="116">
        <f t="shared" si="411"/>
        <v>0</v>
      </c>
      <c r="DD229" s="116">
        <f t="shared" si="412"/>
        <v>0</v>
      </c>
      <c r="DE229" s="117">
        <f t="shared" si="413"/>
        <v>0</v>
      </c>
      <c r="DF229" s="118">
        <f t="shared" si="415"/>
        <v>15</v>
      </c>
      <c r="DG229" s="106">
        <f t="shared" si="416"/>
        <v>19.170000000000002</v>
      </c>
      <c r="DH229" s="116">
        <f t="shared" si="417"/>
        <v>6</v>
      </c>
      <c r="DI229" s="106">
        <f t="shared" si="418"/>
        <v>25.63</v>
      </c>
      <c r="DJ229" s="201" t="str">
        <f>IF($D229="","",$D229)</f>
        <v>7</v>
      </c>
      <c r="DK229" s="465">
        <f>IF(AND($B229=" ",$D229&lt;&gt;""),1,0)</f>
        <v>0</v>
      </c>
    </row>
    <row r="230" spans="1:115" ht="14.5" customHeight="1" x14ac:dyDescent="0.2">
      <c r="A230" s="389"/>
      <c r="B230" s="456"/>
      <c r="C230" s="120" t="s">
        <v>55</v>
      </c>
      <c r="D230" s="374"/>
      <c r="E230" s="386"/>
      <c r="F230" s="377"/>
      <c r="G230" s="483"/>
      <c r="H230" s="476"/>
      <c r="I230" s="178">
        <v>2</v>
      </c>
      <c r="J230" s="179"/>
      <c r="K230" s="123" t="s">
        <v>36</v>
      </c>
      <c r="L230" s="124">
        <v>21</v>
      </c>
      <c r="M230" s="125">
        <v>1.75</v>
      </c>
      <c r="N230" s="406"/>
      <c r="O230" s="126">
        <f>IF(OR(AE229="",AE230=""),"",ROUND(IF(L231&gt;0,IF(M230&gt;0,M230,IF(M229&gt;0,IF(N229=TRUE,ROUND((M229*AE230)/AE229,0),(M229*AE230)/AE229),IF(M230&gt;0,ROUND(M230,IF(N229=0,2,IF(N229=0.1,1,0))),IF(M231&gt;0,ROUND(O231*AE230/AE231,IF(N229=0,2,IF(N229=0.1,1,0))),0)))),IF(M230&gt;0,M230,ROUND((M229*AE230)/AE229,IF(N229=0,2,IF(N229=0.1,1,0))))),2))</f>
        <v>1.75</v>
      </c>
      <c r="P230" s="127">
        <f>IF(OR(L230="",O230=""),"",IF($C230="1/2W",O230/2+O230/2*L230,IF($C230="1/2L",O230/2,IF(I230="Lay",((O230*(L230/(L230-1)))-O230)*(1-_xlfn.XLOOKUP(K230,'Fevereiro 2023 - Valor Real'!A3:A15,'Fevereiro 2023 - Valor Real'!C3:C15,0))+O230,(O230*L230-O230)*(1-_xlfn.XLOOKUP(K230,'Fevereiro 2023 - Valor Real'!A3:A15,'Fevereiro 2023 - Valor Real'!C3:C15,0))+O230))))</f>
        <v>36.75</v>
      </c>
      <c r="Q230" s="128">
        <f>IF(K230="","",IF(_xlfn.XLOOKUP(K230,K$7:K224,$DJ$7:DJ224,0,,-1)=DJ230,_xlfn.XLOOKUP(K230,K$7:K224,Q$7:Q224,1,,-1)+1,1))</f>
        <v>1</v>
      </c>
      <c r="R230" s="129">
        <f>IF(K230="","",_xlfn.XLOOKUP(K230,K$7:K224,R$7:R224,0,,-1)+IF($C230=" ",1,0))</f>
        <v>0</v>
      </c>
      <c r="S230" s="403"/>
      <c r="T230" s="380"/>
      <c r="U230" s="380"/>
      <c r="V230" s="481"/>
      <c r="W230" s="380"/>
      <c r="X230" s="452"/>
      <c r="Y230" s="383"/>
      <c r="Z230" s="384"/>
      <c r="AA230" s="384"/>
      <c r="AB230" s="384"/>
      <c r="AC230" s="384"/>
      <c r="AD230" s="130">
        <f>(((L230/(L230-1)-1)*(1-_xlfn.XLOOKUP(K230,'Fevereiro 2023 - Valor Real'!A3:A15,'Fevereiro 2023 - Valor Real'!C3:C15,0))+1))</f>
        <v>1.05</v>
      </c>
      <c r="AE230" s="131">
        <f>IF(L230="","",IF(L231&gt;0,(SUM(((L229-1)*(1-_xlfn.XLOOKUP(K229,'Fevereiro 2023 - Valor Real'!A3:A15,'Fevereiro 2023 - Valor Real'!C3:C15,0))+1),((L230-1)*(1-_xlfn.XLOOKUP(K230,'Fevereiro 2023 - Valor Real'!A3:A15,'Fevereiro 2023 - Valor Real'!C3:C15,0))+1),((L231-1)*(1-_xlfn.XLOOKUP(K231,'Fevereiro 2023 - Valor Real'!A3:A15,'Fevereiro 2023 - Valor Real'!C3:C15,0))+1))/((L230-1)*(1-_xlfn.XLOOKUP(K230,'Fevereiro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Real'!C3:C15,0))+1))/((L229-1)*(1-_xlfn.XLOOKUP(K229,'Fevereiro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Real'!C3:C15,0))+1))/((L230-1)*(1-_xlfn.XLOOKUP(K230,'Fevereiro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Real'!C3:C15,0))+1))/((L231-1)*(1-_xlfn.XLOOKUP(K231,'Fevereiro 2023 - Valor Real'!A3:A15,'Fevereiro 2023 - Valor Real'!C3:C15,0))+1)),IF(I230="Lay",IF(I229="Lay",((L229/(L229-1)-1)*(1-_xlfn.XLOOKUP(K229,'Fevereiro 2023 - Valor Real'!A3:A15,'Fevereiro 2023 - Valor Real'!C3:C15,0))+1)/(((L229/(L229-1)-1)*(1-_xlfn.XLOOKUP(K229,'Fevereiro 2023 - Valor Real'!A3:A15,'Fevereiro 2023 - Valor Real'!C3:C15,0))+1)+((L230/(L230-1)-1)*(1-_xlfn.XLOOKUP(K230,'Fevereiro 2023 - Valor Real'!A3:A15,'Fevereiro 2023 - Valor Real'!C3:C15,0))+1)),((L229-1)*(1-_xlfn.XLOOKUP(K229,'Fevereiro 2023 - Valor Real'!A3:A15,'Fevereiro 2023 - Valor Real'!C3:C15,0))+1)/(((L229-1)*(1-_xlfn.XLOOKUP(K229,'Fevereiro 2023 - Valor Real'!A3:A15,'Fevereiro 2023 - Valor Real'!C3:C15,0))+1)+((L230/(L230-1)-1)*(1-_xlfn.XLOOKUP(K230,'Fevereiro 2023 - Valor Real'!A3:A15,'Fevereiro 2023 - Valor Real'!C3:C15,0))+1))),IF(I229="Lay",((L229/(L229-1)-1)*(1-_xlfn.XLOOKUP(K229,'Fevereiro 2023 - Valor Real'!A3:A15,'Fevereiro 2023 - Valor Real'!C3:C15,0))+1)/((((L229/(L229-1)-1)*(1-_xlfn.XLOOKUP(K229,'Fevereiro 2023 - Valor Real'!A3:A15,'Fevereiro 2023 - Valor Real'!C3:C15,0))+1))+((L230-1)*(1-_xlfn.XLOOKUP(K230,'Fevereiro 2023 - Valor Real'!A3:A15,'Fevereiro 2023 - Valor Real'!C3:C15,0))+1)),((L229-1)*(1-_xlfn.XLOOKUP(K229,'Fevereiro 2023 - Valor Real'!A3:A15,'Fevereiro 2023 - Valor Real'!C3:C15,0))+1)/(((L229-1)*(1-_xlfn.XLOOKUP(K229,'Fevereiro 2023 - Valor Real'!A3:A15,'Fevereiro 2023 - Valor Real'!C3:C15,0))+1)+((L230-1)*(1-_xlfn.XLOOKUP(K230,'Fevereiro 2023 - Valor Real'!A3:A15,'Fevereiro 2023 - Valor Real'!C3:C15,0))+1))))))</f>
        <v>5.0632911392405063E-2</v>
      </c>
      <c r="AF230" s="105">
        <f t="shared" si="458"/>
        <v>-1.75</v>
      </c>
      <c r="AG230" s="106">
        <f t="shared" si="458"/>
        <v>0</v>
      </c>
      <c r="AH230" s="106">
        <f t="shared" si="458"/>
        <v>0</v>
      </c>
      <c r="AI230" s="106">
        <f t="shared" si="458"/>
        <v>0</v>
      </c>
      <c r="AJ230" s="106">
        <f t="shared" si="458"/>
        <v>0</v>
      </c>
      <c r="AK230" s="106">
        <f t="shared" si="458"/>
        <v>0</v>
      </c>
      <c r="AL230" s="106">
        <f t="shared" si="458"/>
        <v>0</v>
      </c>
      <c r="AM230" s="106">
        <f t="shared" si="458"/>
        <v>0</v>
      </c>
      <c r="AN230" s="106">
        <f t="shared" si="458"/>
        <v>0</v>
      </c>
      <c r="AO230" s="106">
        <f t="shared" si="458"/>
        <v>0</v>
      </c>
      <c r="AP230" s="106">
        <f t="shared" si="458"/>
        <v>0</v>
      </c>
      <c r="AQ230" s="106">
        <f t="shared" si="458"/>
        <v>0</v>
      </c>
      <c r="AR230" s="107">
        <f t="shared" si="458"/>
        <v>0</v>
      </c>
      <c r="AS230" s="105">
        <f>IF(AND($B229=" ",$K230=AS$3),$O230,0)</f>
        <v>0</v>
      </c>
      <c r="AT230" s="106">
        <f>IF(AND($B229=" ",K230=AT$3),$O230,0)</f>
        <v>0</v>
      </c>
      <c r="AU230" s="106">
        <f t="shared" ref="AU230:BE230" si="468">IF(AND($B229=" ",$K230=AU$3),$O230,0)</f>
        <v>0</v>
      </c>
      <c r="AV230" s="106">
        <f t="shared" si="468"/>
        <v>0</v>
      </c>
      <c r="AW230" s="106">
        <f t="shared" si="468"/>
        <v>0</v>
      </c>
      <c r="AX230" s="106">
        <f t="shared" si="468"/>
        <v>0</v>
      </c>
      <c r="AY230" s="108">
        <f t="shared" si="468"/>
        <v>0</v>
      </c>
      <c r="AZ230" s="109">
        <f t="shared" si="468"/>
        <v>0</v>
      </c>
      <c r="BA230" s="109">
        <f t="shared" si="468"/>
        <v>0</v>
      </c>
      <c r="BB230" s="109">
        <f t="shared" si="468"/>
        <v>0</v>
      </c>
      <c r="BC230" s="110">
        <f t="shared" si="468"/>
        <v>0</v>
      </c>
      <c r="BD230" s="106">
        <f t="shared" si="468"/>
        <v>0</v>
      </c>
      <c r="BE230" s="107">
        <f t="shared" si="468"/>
        <v>0</v>
      </c>
      <c r="BF230" s="105">
        <f t="shared" si="460"/>
        <v>1.75</v>
      </c>
      <c r="BG230" s="106">
        <f t="shared" si="460"/>
        <v>0</v>
      </c>
      <c r="BH230" s="106">
        <f t="shared" si="460"/>
        <v>0</v>
      </c>
      <c r="BI230" s="106">
        <f t="shared" si="460"/>
        <v>0</v>
      </c>
      <c r="BJ230" s="106">
        <f t="shared" si="460"/>
        <v>0</v>
      </c>
      <c r="BK230" s="106">
        <f t="shared" si="460"/>
        <v>0</v>
      </c>
      <c r="BL230" s="106">
        <f t="shared" si="460"/>
        <v>0</v>
      </c>
      <c r="BM230" s="132">
        <f t="shared" si="460"/>
        <v>0</v>
      </c>
      <c r="BN230" s="112">
        <f t="shared" si="460"/>
        <v>0</v>
      </c>
      <c r="BO230" s="112">
        <f t="shared" si="460"/>
        <v>0</v>
      </c>
      <c r="BP230" s="112">
        <f t="shared" si="460"/>
        <v>0</v>
      </c>
      <c r="BQ230" s="110">
        <f t="shared" si="460"/>
        <v>0</v>
      </c>
      <c r="BR230" s="107">
        <f t="shared" si="460"/>
        <v>0</v>
      </c>
      <c r="BS230" s="464"/>
      <c r="BT230" s="461"/>
      <c r="BU230" s="392"/>
      <c r="BV230" s="461"/>
      <c r="BW230" s="392"/>
      <c r="BX230" s="392"/>
      <c r="BY230" s="392"/>
      <c r="BZ230" s="461"/>
      <c r="CA230" s="392"/>
      <c r="CB230" s="392"/>
      <c r="CC230" s="392"/>
      <c r="CD230" s="401"/>
      <c r="CE230" s="409"/>
      <c r="CF230" s="133">
        <f t="shared" si="388"/>
        <v>0</v>
      </c>
      <c r="CG230" s="134">
        <f t="shared" si="389"/>
        <v>1</v>
      </c>
      <c r="CH230" s="134">
        <f t="shared" si="390"/>
        <v>0</v>
      </c>
      <c r="CI230" s="134">
        <f t="shared" si="391"/>
        <v>0</v>
      </c>
      <c r="CJ230" s="134">
        <f t="shared" si="392"/>
        <v>0</v>
      </c>
      <c r="CK230" s="134">
        <f t="shared" si="393"/>
        <v>0</v>
      </c>
      <c r="CL230" s="134">
        <f t="shared" si="394"/>
        <v>0</v>
      </c>
      <c r="CM230" s="134">
        <f t="shared" si="395"/>
        <v>0</v>
      </c>
      <c r="CN230" s="134">
        <f t="shared" si="396"/>
        <v>0</v>
      </c>
      <c r="CO230" s="134">
        <f t="shared" si="397"/>
        <v>0</v>
      </c>
      <c r="CP230" s="134">
        <f t="shared" si="398"/>
        <v>0</v>
      </c>
      <c r="CQ230" s="134">
        <f t="shared" si="399"/>
        <v>0</v>
      </c>
      <c r="CR230" s="134">
        <f t="shared" si="400"/>
        <v>0</v>
      </c>
      <c r="CS230" s="134">
        <f t="shared" si="401"/>
        <v>0</v>
      </c>
      <c r="CT230" s="115">
        <f t="shared" si="402"/>
        <v>0</v>
      </c>
      <c r="CU230" s="116">
        <f t="shared" si="403"/>
        <v>0</v>
      </c>
      <c r="CV230" s="116">
        <f t="shared" si="404"/>
        <v>0</v>
      </c>
      <c r="CW230" s="116">
        <f t="shared" si="405"/>
        <v>0</v>
      </c>
      <c r="CX230" s="116">
        <f t="shared" si="406"/>
        <v>0</v>
      </c>
      <c r="CY230" s="116">
        <f t="shared" si="407"/>
        <v>0</v>
      </c>
      <c r="CZ230" s="116">
        <f t="shared" si="408"/>
        <v>0</v>
      </c>
      <c r="DA230" s="116">
        <f t="shared" si="409"/>
        <v>0</v>
      </c>
      <c r="DB230" s="116">
        <f t="shared" si="410"/>
        <v>0</v>
      </c>
      <c r="DC230" s="116">
        <f t="shared" si="411"/>
        <v>0</v>
      </c>
      <c r="DD230" s="116">
        <f t="shared" si="412"/>
        <v>0</v>
      </c>
      <c r="DE230" s="117">
        <f t="shared" si="413"/>
        <v>0</v>
      </c>
      <c r="DF230" s="118">
        <f t="shared" si="415"/>
        <v>15</v>
      </c>
      <c r="DG230" s="106">
        <f t="shared" si="416"/>
        <v>19.170000000000002</v>
      </c>
      <c r="DH230" s="116">
        <f t="shared" si="417"/>
        <v>6</v>
      </c>
      <c r="DI230" s="106">
        <f t="shared" si="418"/>
        <v>25.63</v>
      </c>
      <c r="DJ230" s="201" t="str">
        <f>IF($D229="","",$D229)</f>
        <v>7</v>
      </c>
      <c r="DK230" s="466"/>
    </row>
    <row r="231" spans="1:115" ht="14.5" customHeight="1" x14ac:dyDescent="0.2">
      <c r="A231" s="390"/>
      <c r="B231" s="457"/>
      <c r="C231" s="135" t="s">
        <v>53</v>
      </c>
      <c r="D231" s="375"/>
      <c r="E231" s="387"/>
      <c r="F231" s="378"/>
      <c r="G231" s="484"/>
      <c r="H231" s="514"/>
      <c r="I231" s="136"/>
      <c r="J231" s="209"/>
      <c r="K231" s="210"/>
      <c r="L231" s="211"/>
      <c r="M231" s="212"/>
      <c r="N231" s="407"/>
      <c r="O231" s="141" t="str">
        <f>IF(OR(AE229="",AE230=""),"",IF(L231&gt;0,ROUND(IF(M231&gt;0,M231,IF(M229&gt;0,ROUND((M229*AE231)/AE229,IF(N229=0,2,IF(N229=0.1,1,0))),IF(M230&gt;0,ROUND((M230*AE231)/AE230,IF(N229=0,2,IF(N229=0.1,1,0))),IF(M231&gt;0,M231,0)))),2),""))</f>
        <v/>
      </c>
      <c r="P231" s="142" t="str">
        <f>IF(I230="Lay",O230*(L230/(L230-1))-O230,IF(I229="Lay",O229*(L229/(L229-1))-O229,IF(OR(L231="",O231=""),"",IF($C231="1/2W",O231/2+O231/2*L231,IF($C231="1/2L",O231/2,(O231*L231-O231)*(1-_xlfn.XLOOKUP(K231,'Fevereiro 2023 - Valor Real'!A3:A15,'Fevereiro 2023 - Valor Real'!C3:C15,0))+O231)))))</f>
        <v/>
      </c>
      <c r="Q231" s="143" t="str">
        <f>IF(K231="","",IF(_xlfn.XLOOKUP(K231,K$8:K224,$DJ$8:DJ224,0,,-1)=DJ231,_xlfn.XLOOKUP(K231,K$8:K224,Q$8:Q224,1,,-1)+1,1))</f>
        <v/>
      </c>
      <c r="R231" s="144" t="str">
        <f>IF(K231="","",_xlfn.XLOOKUP(K231,K$8:K224,R$8:R224,0,,-1)+IF($C231=" ",1,0))</f>
        <v/>
      </c>
      <c r="S231" s="404"/>
      <c r="T231" s="378"/>
      <c r="U231" s="378"/>
      <c r="V231" s="404"/>
      <c r="W231" s="378"/>
      <c r="X231" s="453"/>
      <c r="Y231" s="383"/>
      <c r="Z231" s="384"/>
      <c r="AA231" s="384"/>
      <c r="AB231" s="384"/>
      <c r="AC231" s="384"/>
      <c r="AD231" s="145">
        <f>((L230/(L230-1)-1))</f>
        <v>5.0000000000000044E-2</v>
      </c>
      <c r="AE231" s="146" t="str">
        <f>IF(L231="","",(SUM(((L229-1)*(1-_xlfn.XLOOKUP(K229,'Fevereiro 2023 - Valor Real'!A3:A15,'Fevereiro 2023 - Valor Real'!C3:C15,0))+1),((L230-1)*(1-_xlfn.XLOOKUP(K230,'Fevereiro 2023 - Valor Real'!A3:A15,'Fevereiro 2023 - Valor Real'!C3:C15,0))+1),((L231-1)*(1-_xlfn.XLOOKUP(K231,'Fevereiro 2023 - Valor Real'!A3:A15,'Fevereiro 2023 - Valor Real'!C3:C15,0))+1))/((L231-1)*(1-_xlfn.XLOOKUP(K231,'Fevereiro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Real'!C3:C15,0))+1))/((L229-1)*(1-_xlfn.XLOOKUP(K229,'Fevereiro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Real'!C3:C15,0))+1))/((L230-1)*(1-_xlfn.XLOOKUP(K230,'Fevereiro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Real'!C3:C15,0))+1))/((L231-1)*(1-_xlfn.XLOOKUP(K231,'Fevereiro 2023 - Valor Real'!A3:A15,'Fevereiro 2023 - Valor Real'!C3:C15,0))+1)))</f>
        <v/>
      </c>
      <c r="AF231" s="105">
        <f t="shared" si="458"/>
        <v>0</v>
      </c>
      <c r="AG231" s="106">
        <f t="shared" si="458"/>
        <v>0</v>
      </c>
      <c r="AH231" s="106">
        <f t="shared" si="458"/>
        <v>0</v>
      </c>
      <c r="AI231" s="106">
        <f t="shared" si="458"/>
        <v>0</v>
      </c>
      <c r="AJ231" s="106">
        <f t="shared" si="458"/>
        <v>0</v>
      </c>
      <c r="AK231" s="106">
        <f t="shared" si="458"/>
        <v>0</v>
      </c>
      <c r="AL231" s="106">
        <f t="shared" si="458"/>
        <v>0</v>
      </c>
      <c r="AM231" s="106">
        <f t="shared" si="458"/>
        <v>0</v>
      </c>
      <c r="AN231" s="106">
        <f t="shared" si="458"/>
        <v>0</v>
      </c>
      <c r="AO231" s="106">
        <f t="shared" si="458"/>
        <v>0</v>
      </c>
      <c r="AP231" s="106">
        <f t="shared" si="458"/>
        <v>0</v>
      </c>
      <c r="AQ231" s="106">
        <f t="shared" si="458"/>
        <v>0</v>
      </c>
      <c r="AR231" s="107">
        <f t="shared" si="458"/>
        <v>0</v>
      </c>
      <c r="AS231" s="105">
        <f>IF(AND($B229=" ",$K231=AS$3),$O231,0)</f>
        <v>0</v>
      </c>
      <c r="AT231" s="106">
        <f>IF(AND($B229=" ",K231=AT$3),$O231,0)</f>
        <v>0</v>
      </c>
      <c r="AU231" s="106">
        <f t="shared" ref="AU231:BE231" si="469">IF(AND($B229=" ",$K231=AU$3),$O231,0)</f>
        <v>0</v>
      </c>
      <c r="AV231" s="106">
        <f t="shared" si="469"/>
        <v>0</v>
      </c>
      <c r="AW231" s="106">
        <f t="shared" si="469"/>
        <v>0</v>
      </c>
      <c r="AX231" s="106">
        <f t="shared" si="469"/>
        <v>0</v>
      </c>
      <c r="AY231" s="108">
        <f t="shared" si="469"/>
        <v>0</v>
      </c>
      <c r="AZ231" s="109">
        <f t="shared" si="469"/>
        <v>0</v>
      </c>
      <c r="BA231" s="109">
        <f t="shared" si="469"/>
        <v>0</v>
      </c>
      <c r="BB231" s="109">
        <f t="shared" si="469"/>
        <v>0</v>
      </c>
      <c r="BC231" s="110">
        <f t="shared" si="469"/>
        <v>0</v>
      </c>
      <c r="BD231" s="106">
        <f t="shared" si="469"/>
        <v>0</v>
      </c>
      <c r="BE231" s="107">
        <f t="shared" si="469"/>
        <v>0</v>
      </c>
      <c r="BF231" s="105">
        <f t="shared" si="460"/>
        <v>0</v>
      </c>
      <c r="BG231" s="106">
        <f t="shared" si="460"/>
        <v>0</v>
      </c>
      <c r="BH231" s="106">
        <f t="shared" si="460"/>
        <v>0</v>
      </c>
      <c r="BI231" s="106">
        <f t="shared" si="460"/>
        <v>0</v>
      </c>
      <c r="BJ231" s="106">
        <f t="shared" si="460"/>
        <v>0</v>
      </c>
      <c r="BK231" s="106">
        <f t="shared" si="460"/>
        <v>0</v>
      </c>
      <c r="BL231" s="106">
        <f t="shared" si="460"/>
        <v>0</v>
      </c>
      <c r="BM231" s="108">
        <f t="shared" si="460"/>
        <v>0</v>
      </c>
      <c r="BN231" s="109">
        <f t="shared" si="460"/>
        <v>0</v>
      </c>
      <c r="BO231" s="109">
        <f t="shared" si="460"/>
        <v>0</v>
      </c>
      <c r="BP231" s="109">
        <f t="shared" si="460"/>
        <v>0</v>
      </c>
      <c r="BQ231" s="110">
        <f t="shared" si="460"/>
        <v>0</v>
      </c>
      <c r="BR231" s="107">
        <f t="shared" si="460"/>
        <v>0</v>
      </c>
      <c r="BS231" s="464"/>
      <c r="BT231" s="461"/>
      <c r="BU231" s="392"/>
      <c r="BV231" s="461"/>
      <c r="BW231" s="392"/>
      <c r="BX231" s="392"/>
      <c r="BY231" s="392"/>
      <c r="BZ231" s="461"/>
      <c r="CA231" s="392"/>
      <c r="CB231" s="392"/>
      <c r="CC231" s="392"/>
      <c r="CD231" s="401"/>
      <c r="CE231" s="409"/>
      <c r="CF231" s="133">
        <f t="shared" si="388"/>
        <v>0</v>
      </c>
      <c r="CG231" s="134">
        <f t="shared" si="389"/>
        <v>0</v>
      </c>
      <c r="CH231" s="134">
        <f t="shared" si="390"/>
        <v>0</v>
      </c>
      <c r="CI231" s="134">
        <f t="shared" si="391"/>
        <v>0</v>
      </c>
      <c r="CJ231" s="134">
        <f t="shared" si="392"/>
        <v>0</v>
      </c>
      <c r="CK231" s="134">
        <f t="shared" si="393"/>
        <v>0</v>
      </c>
      <c r="CL231" s="134">
        <f t="shared" si="394"/>
        <v>0</v>
      </c>
      <c r="CM231" s="134">
        <f t="shared" si="395"/>
        <v>0</v>
      </c>
      <c r="CN231" s="134">
        <f t="shared" si="396"/>
        <v>0</v>
      </c>
      <c r="CO231" s="134">
        <f t="shared" si="397"/>
        <v>0</v>
      </c>
      <c r="CP231" s="134">
        <f t="shared" si="398"/>
        <v>0</v>
      </c>
      <c r="CQ231" s="134">
        <f t="shared" si="399"/>
        <v>0</v>
      </c>
      <c r="CR231" s="134">
        <f t="shared" si="400"/>
        <v>0</v>
      </c>
      <c r="CS231" s="134">
        <f t="shared" si="401"/>
        <v>0</v>
      </c>
      <c r="CT231" s="115">
        <f t="shared" si="402"/>
        <v>0</v>
      </c>
      <c r="CU231" s="116">
        <f t="shared" si="403"/>
        <v>0</v>
      </c>
      <c r="CV231" s="116">
        <f t="shared" si="404"/>
        <v>0</v>
      </c>
      <c r="CW231" s="116">
        <f t="shared" si="405"/>
        <v>0</v>
      </c>
      <c r="CX231" s="116">
        <f t="shared" si="406"/>
        <v>0</v>
      </c>
      <c r="CY231" s="116">
        <f t="shared" si="407"/>
        <v>0</v>
      </c>
      <c r="CZ231" s="116">
        <f t="shared" si="408"/>
        <v>0</v>
      </c>
      <c r="DA231" s="116">
        <f t="shared" si="409"/>
        <v>0</v>
      </c>
      <c r="DB231" s="116">
        <f t="shared" si="410"/>
        <v>0</v>
      </c>
      <c r="DC231" s="116">
        <f t="shared" si="411"/>
        <v>0</v>
      </c>
      <c r="DD231" s="116">
        <f t="shared" si="412"/>
        <v>0</v>
      </c>
      <c r="DE231" s="117">
        <f t="shared" si="413"/>
        <v>0</v>
      </c>
      <c r="DF231" s="118">
        <f t="shared" si="415"/>
        <v>15</v>
      </c>
      <c r="DG231" s="106">
        <f t="shared" si="416"/>
        <v>19.170000000000002</v>
      </c>
      <c r="DH231" s="116">
        <f t="shared" si="417"/>
        <v>6</v>
      </c>
      <c r="DI231" s="106">
        <f t="shared" si="418"/>
        <v>25.63</v>
      </c>
      <c r="DJ231" s="201" t="str">
        <f>IF($D229="","",$D229)</f>
        <v>7</v>
      </c>
      <c r="DK231" s="466"/>
    </row>
    <row r="232" spans="1:115" ht="14.5" customHeight="1" x14ac:dyDescent="0.2">
      <c r="A232" s="487">
        <f>$A229+1</f>
        <v>77</v>
      </c>
      <c r="B232" s="506" t="str">
        <f>IF(OR(C232="W",C233="W",C234="W",C232="1/2W",C233="1/2W",C234="1/2W",C232="1/2L",C233="1/2L",C234="1/2L"),"OK",IF(OR(C232="L",C233="L",C234="L"),"LOSS",IF(OR(C232="X",C233="X",C234="X"),"Anulado"," ")))</f>
        <v>OK</v>
      </c>
      <c r="C232" s="147" t="s">
        <v>54</v>
      </c>
      <c r="D232" s="494" t="str">
        <f>IF(G232="","",$D229)</f>
        <v>7</v>
      </c>
      <c r="E232" s="511" t="str">
        <f>IF(G232=""," ","– "&amp;COUNTIF(D$4:D234,$D232))</f>
        <v>– 3</v>
      </c>
      <c r="F232" s="510" t="str">
        <f ca="1">IF(G232="","",IF(OR(AND($C232&lt;&gt;" ",$C233=" "),AND($C233&lt;&gt;" ",$C232=" "),AND(L234&gt;0,OR(AND($C234&lt;&gt;" ",OR($C232=" ",$C233=" ")),AND($C234=" ",OR($C232&lt;&gt;" ",$C233&lt;&gt;" "))))),IF(SUM(F$4:F231)=0,1,LARGE(F$4:F231,1)+1),IF(MONTH(G232)=MONTH(TODAY()),IF(AND(DAY(G232)&lt;DAY(TODAY()),$B232=" "),IF(SUM(F$4:F231)=0,1,LARGE(F$4:F231,1)+1),IF($B232=" ",IF(AND(DAY(G232)=DAY(TODAY()),HOUR(G232)&lt;=HOUR(NOW())+1),IF(AND(HOUR(G232)+2&lt;=HOUR(NOW()),DAY(G232)&lt;=DAY(TODAY()),MINUTE(G232)&lt;=MINUTE(NOW())),IF(SUM(F$4:F231)=0,1,LARGE(F$4:F231,1)+1),IF(OR(MINUTE(G232)&lt;=MINUTE(NOW()),HOUR(G232)&lt;=HOUR(NOW())),"!!!","")),""),"")),"")))</f>
        <v/>
      </c>
      <c r="G232" s="508">
        <v>44993.875</v>
      </c>
      <c r="H232" s="512" t="s">
        <v>125</v>
      </c>
      <c r="I232" s="180" t="s">
        <v>66</v>
      </c>
      <c r="J232" s="213">
        <v>0</v>
      </c>
      <c r="K232" s="214" t="s">
        <v>40</v>
      </c>
      <c r="L232" s="215">
        <v>2.4700000000000002</v>
      </c>
      <c r="M232" s="216">
        <v>22.96</v>
      </c>
      <c r="N232" s="503">
        <v>0</v>
      </c>
      <c r="O232" s="153">
        <f>IF(OR(AE232="",AE233=""),"",ROUND(IF(L234&gt;0,IF(M232&gt;0,M232,IF(M233&gt;0,ROUND((M233*AE232)/AE233,IF(N232=0,2,IF(N232=0.1,1,0))),ROUND((M234*AE232)/AE234,IF(N232=0,2,IF(N232=0.1,1,0))))),IF(M232&gt;0,M232,ROUND((M233*AE232)/AE233,IF(N232=0,2,IF(N232=0.1,1,0))))),2))</f>
        <v>22.96</v>
      </c>
      <c r="P232" s="154">
        <f>IF(OR(L232="",O232=""),"",IF($C232="1/2W",O232/2+O232/2*L232,IF($C232="1/2L",O232/2,IF(I232="Lay",(O232*(L232/(L232-1))-O232)*(1-_xlfn.XLOOKUP(K232,'Fevereiro 2023 - Valor Real'!A3:A15,'Fevereiro 2023 - Valor Real'!C3:C15,0))+O232,(O232*L232-O232)*(1-_xlfn.XLOOKUP(K232,'Fevereiro 2023 - Valor Real'!A3:A15,'Fevereiro 2023 - Valor Real'!C3:C15,0))+O232))))</f>
        <v>56.711200000000005</v>
      </c>
      <c r="Q232" s="155">
        <f>IF(K232="","",IF(_xlfn.XLOOKUP(K232,K$9:K224,$DJ$9:DJ224,0,,-1)=DJ232,_xlfn.XLOOKUP(K232,K$9:K224,Q$9:Q224,1,,-1)+1,1))</f>
        <v>1</v>
      </c>
      <c r="R232" s="156">
        <f>IF(K232="","",_xlfn.XLOOKUP(K232,K$9:K224,R$9:R224,0,,-1)+IF($C232=" ",1,0))</f>
        <v>0</v>
      </c>
      <c r="S232" s="501">
        <f>IF($B232="Anulado",0,ROUND(IF(OR($B232="LOSS",$B232="OK"),IF(OR($C232="W",$C232="1/2W",$C232="1/2L"),P232-O232,IF($C232="L",-O232,0))+IF(OR($C233="W",$C233="1/2W",$C233="1/2L"),P233-O233,IF($C233="L",-O233,0))+IF(OR($C234="W",$C234="1/2W",$C234="1/2L"),P234-O234,IF($C234="L",-O234,0)),IF(AND(OR($C232="W",$C232="1/2W",$C232="1/2L"),C233="W"),P232+P233-SUM(O232:O234)+_xlfn.XLOOKUP("X",C232:C234,O232:O234,0),IF(AND(C232=TRUE,C234="W"),P232+P234-SUM(O232:O234),IF(AND(C233="W",C234="W"),P233+P234-SUM(O232:O234)+_xlfn.XLOOKUP("X",C232:C234,O232:O234,0),IF(L234&gt;0,IF(OR($C232="W",$C232="1/2W",$C232="1/2L"),P232-SUM(O232:O234)+_xlfn.XLOOKUP("X",C232:C234,O232:O234,0),IF(OR($C232="W",$C232="1/2W",$C232="1/2L"),P233-SUM(O232:O234)+_xlfn.XLOOKUP("X",C232:C234,O232:O234,0),IF(OR($C232="W",$C232="1/2W",$C232="1/2L"),P234-SUM(O232:O234)+_xlfn.XLOOKUP("X",C232:C234,O232:O234,0),IF(SUM(P232:P234)/3-SUM(O232:O234)+_xlfn.XLOOKUP("X",C232:C234,O232:O234,0)&gt;0,SUM(P232:P234)/3-SUM(O232:O234)+_xlfn.XLOOKUP("X",C232:C234,O232:O234,0),LARGE(P232:P234,1)-SUM(O232:O234))))),IF(OR($C232="W",$C232="1/2W",$C232="1/2L"),P232-SUM(O232:O233)+_xlfn.XLOOKUP("X",C232:C234,O232:O234,0),IF(OR($C232="W",$C232="1/2W",$C232="1/2L"),P233-SUM(O232:O233)+_xlfn.XLOOKUP("X",C232:C234,O232:O234,0),SUM(P232:P233)/2-SUM(O232:O233)+_xlfn.XLOOKUP("X",C232:C234,O232:O234,0)))))))),2))</f>
        <v>3.78</v>
      </c>
      <c r="T232" s="486">
        <f>IF(S232=0,0,S232/SUM(O232:O234))</f>
        <v>7.1415076516153406E-2</v>
      </c>
      <c r="U232" s="496">
        <f>IF($D232=$D229,IF(OR($B232="LOSS",$B232="OK",$B232="Anulada"),S232,0)+U229,IF(OR($B232="LOSS",$B232="OK",$B232="Anulada"),S232,0))</f>
        <v>7.6899999999999995</v>
      </c>
      <c r="V232" s="496">
        <f>IF($D232="",0,IF($D232=$D229,IF($B232=" ",IF(I234="",IF(OR(AND(I232="DNB1",I233="DNB2"),AND(OR(I232="DNB1",I232="DNB2"),J233=0),AND(OR(I233="DNB1",I233="DNB2"),J232=0),AND(I232="DNB2",I233="DNB1"),AND(IF(J232=0,(J232+1)/ROUND(J232+1,0),J232/ROUND(J232,0))=1,IF(J233=0,(J233+1)/ROUND(IF(J233="",0,J233)+1,0),IF(J233="",0,J233)/ROUND(IF(J233="",1,J233),0))=1,OR(J232&lt;&gt;""),J233&lt;&gt;"")),0,IF(S232&lt;0,IF(I234="",SMALL(P232:P233,1)-SUM(O232:O233),0),SMALL(P232:P233,1)-SUM(O232:O233))),IF(S232&lt;0,IF(I234="",SMALL(P232:P234,1)-SUM(O232:O234),0),LARGE(P232:P234,1)-SUM(O232:O234))),S232)+V229,IF(I234="",IF(OR(AND(I232="DNB1",I233="DNB2"),AND(OR(I232="DNB1",I232="DNB2"),J233=0),AND(OR(I233="DNB1",I233="DNB2"),J232=0),AND(I232="DNB2",I233="DNB1"),AND(IF(J232=0,(J232+1)/ROUND(J232+1,0),J232/ROUND(J232,0))=1,IF(J233=0,(IF(J233="",0,J233)+1)/ROUND(IF(J233="",0,J233)+1,0),IF(J233="",0,J233)/ROUND(IF(J233="",0,J233)+1,0))=1,OR(J232&lt;&gt;""),J233&lt;&gt;"")),0,IF(S232&lt;0,IF(I234="",SMALL(P232:P233,1)-SUM(O232:O233),0),SMALL(P232:P234,1)-SUM(O232:O234))),IF(S232&lt;0,IF(I234="",SMALL(P232:P234,1)-SUM(O232:O234),0),LARGE(P232:P234,1)-SUM(O232:O234)))))</f>
        <v>7.6907999999999967</v>
      </c>
      <c r="W232" s="496">
        <f>IF($D232=$D229,IF(S232&lt;0,IF(I234="",S232,0),S232)+W229,S232)</f>
        <v>7.6899999999999995</v>
      </c>
      <c r="X232" s="505" t="str">
        <f>IF(OR(SUM(R232:R234)=0,V232=W232),ROUND(IF(W232=0,0,W232/Y232)*100,2)&amp;"%",ROUND(IF(V232=0,0,V232/Y232)*100,2)&amp;"% a "&amp;ROUND(IF(W232=0,0,W232/Y232)*100,2)&amp;"%")</f>
        <v>5,99%</v>
      </c>
      <c r="Y232" s="497">
        <f>IF($D232=$D229,Y229+SUM(O232:O234),SUM(O232:O234))</f>
        <v>128.36000000000001</v>
      </c>
      <c r="Z232" s="496">
        <f>IF($B232=" ",SUM(O232:O234),0)+Z229</f>
        <v>0</v>
      </c>
      <c r="AA232" s="496">
        <f>IF(G232="","",IF($B232="Anulado",LARGE(P232:P234,1)-SUM(O232:O234)+AA229,AA229))</f>
        <v>1.4607999999999972</v>
      </c>
      <c r="AB232" s="496">
        <f>IF($D232="","",AB229+S232)</f>
        <v>405.10999999999996</v>
      </c>
      <c r="AC232" s="499">
        <f ca="1">IF($D232="","",IF($B232=" ",IF(DAY(G232)=DAY(TODAY()),1+AC229,0+AC229),0+AC229))</f>
        <v>0</v>
      </c>
      <c r="AD232" s="157">
        <f>(1-_xlfn.XLOOKUP(K230,'Fevereiro 2023 - Valor Real'!A3:A15,'Fevereiro 2023 - Valor Real'!C3:C15,0))+1</f>
        <v>2</v>
      </c>
      <c r="AE232" s="158">
        <f>IF(L232="","",IF(L234&gt;0,(SUM(((L232-1)*(1-_xlfn.XLOOKUP(K232,'Fevereiro 2023 - Valor Real'!A3:A15,'Fevereiro 2023 - Valor Real'!C3:C15,0))+1),((L233-1)*(1-_xlfn.XLOOKUP(K233,'Fevereiro 2023 - Valor Real'!A3:A15,'Fevereiro 2023 - Valor Real'!C3:C15,0))+1),((L234-1)*(1-_xlfn.XLOOKUP(K234,'Fevereiro 2023 - Valor Real'!A3:A15,'Fevereiro 2023 - Valor Real'!C3:C15,0))+1))/((L232-1)*(1-_xlfn.XLOOKUP(K232,'Fevereiro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Real'!C3:C15,0))+1))/((L232-1)*(1-_xlfn.XLOOKUP(K232,'Fevereiro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Real'!C3:C15,0))+1))/((L233-1)*(1-_xlfn.XLOOKUP(K233,'Fevereiro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Real'!C3:C15,0))+1))/((L234-1)*(1-_xlfn.XLOOKUP(K234,'Fevereiro 2023 - Valor Real'!A3:A15,'Fevereiro 2023 - Valor Real'!C3:C15,0))+1)),IF(I232="Lay",IF(I233="Lay",((L233/(L233-1)-1)*(1-_xlfn.XLOOKUP(K233,'Fevereiro 2023 - Valor Real'!A3:A15,'Fevereiro 2023 - Valor Real'!C3:C15,0))+1)/(((L233/(L233-1)-1)*(1-_xlfn.XLOOKUP(K233,'Fevereiro 2023 - Valor Real'!A3:A15,'Fevereiro 2023 - Valor Real'!C3:C15,0))+1)+((L232/(L232-1)-1)*(1-_xlfn.XLOOKUP(K232,'Fevereiro 2023 - Valor Real'!A3:A15,'Fevereiro 2023 - Valor Real'!C3:C15,0))+1)),((L233-1)*(1-_xlfn.XLOOKUP(K233,'Fevereiro 2023 - Valor Real'!A3:A15,'Fevereiro 2023 - Valor Real'!C3:C15,0))+1)/(((L233-1)*(1-_xlfn.XLOOKUP(K233,'Fevereiro 2023 - Valor Real'!A3:A15,'Fevereiro 2023 - Valor Real'!C3:C15,0))+1)+((L232/(L232-1)-1)*(1-_xlfn.XLOOKUP(K232,'Fevereiro 2023 - Valor Real'!A3:A15,'Fevereiro 2023 - Valor Real'!C3:C15,0))+1))),IF(I233="Lay",(((L233/(L233-1)-1)*(1-_xlfn.XLOOKUP(K233,'Fevereiro 2023 - Valor Real'!A3:A15,'Fevereiro 2023 - Valor Real'!C3:C15,0))+1))/(((L232-1)*(1-_xlfn.XLOOKUP(K232,'Fevereiro 2023 - Valor Real'!A3:A15,'Fevereiro 2023 - Valor Real'!C3:C15,0))+1)+((L233/(L233-1)-1)*(1-_xlfn.XLOOKUP(K233,'Fevereiro 2023 - Valor Real'!A3:A15,'Fevereiro 2023 - Valor Real'!C3:C15,0))+1)),((L233-1)*(1-_xlfn.XLOOKUP(K233,'Fevereiro 2023 - Valor Real'!A3:A15,'Fevereiro 2023 - Valor Real'!C3:C15,0))+1)/(((L233-1)*(1-_xlfn.XLOOKUP(K233,'Fevereiro 2023 - Valor Real'!A3:A15,'Fevereiro 2023 - Valor Real'!C3:C15,0))+1)+((L232-1)*(1-_xlfn.XLOOKUP(K232,'Fevereiro 2023 - Valor Real'!A3:A15,'Fevereiro 2023 - Valor Real'!C3:C15,0))+1))))))</f>
        <v>0.43374598807886289</v>
      </c>
      <c r="AF232" s="66">
        <f t="shared" si="458"/>
        <v>0</v>
      </c>
      <c r="AG232" s="67">
        <f t="shared" si="458"/>
        <v>0</v>
      </c>
      <c r="AH232" s="67">
        <f t="shared" si="458"/>
        <v>0</v>
      </c>
      <c r="AI232" s="67">
        <f t="shared" si="458"/>
        <v>0</v>
      </c>
      <c r="AJ232" s="67">
        <f t="shared" si="458"/>
        <v>33.75</v>
      </c>
      <c r="AK232" s="67">
        <f t="shared" si="458"/>
        <v>0</v>
      </c>
      <c r="AL232" s="67">
        <f t="shared" si="458"/>
        <v>0</v>
      </c>
      <c r="AM232" s="67">
        <f t="shared" si="458"/>
        <v>0</v>
      </c>
      <c r="AN232" s="67">
        <f t="shared" si="458"/>
        <v>0</v>
      </c>
      <c r="AO232" s="67">
        <f t="shared" si="458"/>
        <v>0</v>
      </c>
      <c r="AP232" s="67">
        <f t="shared" si="458"/>
        <v>0</v>
      </c>
      <c r="AQ232" s="67">
        <f t="shared" si="458"/>
        <v>0</v>
      </c>
      <c r="AR232" s="68">
        <f t="shared" si="458"/>
        <v>0</v>
      </c>
      <c r="AS232" s="66">
        <f t="shared" ref="AS232:BE232" si="470">IF(AND($B232=" ",$K232=AS$3),$O232,0)</f>
        <v>0</v>
      </c>
      <c r="AT232" s="67">
        <f t="shared" si="470"/>
        <v>0</v>
      </c>
      <c r="AU232" s="67">
        <f t="shared" si="470"/>
        <v>0</v>
      </c>
      <c r="AV232" s="67">
        <f t="shared" si="470"/>
        <v>0</v>
      </c>
      <c r="AW232" s="67">
        <f t="shared" si="470"/>
        <v>0</v>
      </c>
      <c r="AX232" s="67">
        <f t="shared" si="470"/>
        <v>0</v>
      </c>
      <c r="AY232" s="69">
        <f t="shared" si="470"/>
        <v>0</v>
      </c>
      <c r="AZ232" s="70">
        <f t="shared" si="470"/>
        <v>0</v>
      </c>
      <c r="BA232" s="70">
        <f t="shared" si="470"/>
        <v>0</v>
      </c>
      <c r="BB232" s="70">
        <f t="shared" si="470"/>
        <v>0</v>
      </c>
      <c r="BC232" s="71">
        <f t="shared" si="470"/>
        <v>0</v>
      </c>
      <c r="BD232" s="67">
        <f t="shared" si="470"/>
        <v>0</v>
      </c>
      <c r="BE232" s="68">
        <f t="shared" si="470"/>
        <v>0</v>
      </c>
      <c r="BF232" s="66">
        <f t="shared" si="460"/>
        <v>0</v>
      </c>
      <c r="BG232" s="67">
        <f t="shared" si="460"/>
        <v>0</v>
      </c>
      <c r="BH232" s="67">
        <f t="shared" si="460"/>
        <v>0</v>
      </c>
      <c r="BI232" s="67">
        <f t="shared" si="460"/>
        <v>0</v>
      </c>
      <c r="BJ232" s="67">
        <f t="shared" si="460"/>
        <v>22.96</v>
      </c>
      <c r="BK232" s="67">
        <f t="shared" si="460"/>
        <v>0</v>
      </c>
      <c r="BL232" s="67">
        <f t="shared" si="460"/>
        <v>0</v>
      </c>
      <c r="BM232" s="69">
        <f t="shared" si="460"/>
        <v>0</v>
      </c>
      <c r="BN232" s="70">
        <f t="shared" si="460"/>
        <v>0</v>
      </c>
      <c r="BO232" s="70">
        <f t="shared" si="460"/>
        <v>0</v>
      </c>
      <c r="BP232" s="70">
        <f t="shared" si="460"/>
        <v>0</v>
      </c>
      <c r="BQ232" s="71">
        <f t="shared" si="460"/>
        <v>0</v>
      </c>
      <c r="BR232" s="68">
        <f t="shared" si="460"/>
        <v>0</v>
      </c>
      <c r="BS232" s="490">
        <f>IF($B232="LOSS",IF(AND($K232=BS$3,$C232="L"),-$O232,0)+IF(AND($K233=BS$3,$C233="L"),-$O233,0)+IF(AND($K234=BS$3,$C234="L"),-$O234,0),IF(OR(AND($K232=BS$3,OR($C232="W",$C232="1/2W")),AND($K233=BS$3,OR($C233="W",$C233="1/2W")),AND($K234=BS$3,OR($C234="W",$C234="1/2W"))),$S232,0))</f>
        <v>0</v>
      </c>
      <c r="BT232" s="498">
        <f>IF($B232="LOSS",IF(AND($K232=BT$3,$C232="L"),-$O232,0)+IF(AND($K233=BT$3,$C233="L"),-$O233,0)+IF(AND($K233=BT$3,$C234="L"),-$O234,0),IF(OR(AND($K233=BT$3,OR($C232="W",$C232="1/2W")),AND($K233=BT$3,OR($C233="W",$C233="1/2W")),AND($K233=BT$3,OR($C234="W",$C234="1/2W"))),$S232,0))</f>
        <v>0</v>
      </c>
      <c r="BU232" s="488">
        <f>IF($B232="LOSS",IF(AND($K232=BU$3,$C232="L"),-$O232,0)+IF(AND($K233=BU$3,$C233="L"),-$O233,0)+IF(AND($K233=BU$3,$C234="L"),-$O234,0),IF(OR(AND($K233=BU$3,OR($C232="W",$C232="1/2W")),AND($K233=BU$3,OR($C233="W",$C233="1/2W")),AND($K233=BU$3,OR($C234="W",$C234="1/2W"))),$S232,0))</f>
        <v>0</v>
      </c>
      <c r="BV232" s="488">
        <f t="shared" ref="BV232:CE232" si="471">IF($B232="LOSS",IF(AND($K232=BV$3,$C232="L"),-$O232,0)+IF(AND($K233=BV$3,$C233="L"),-$O233,0)+IF(AND($K234=BV$3,$C234="L"),-$O234,0),IF(OR(AND($K232=BV$3,OR($C232="W",$C232="1/2W")),AND($K233=BV$3,OR($C233="W",$C233="1/2W")),AND($K234=BV$3,OR($C234="W",$C234="1/2W"))),$S232,0))</f>
        <v>0</v>
      </c>
      <c r="BW232" s="488">
        <f t="shared" si="471"/>
        <v>3.78</v>
      </c>
      <c r="BX232" s="488">
        <f t="shared" si="471"/>
        <v>0</v>
      </c>
      <c r="BY232" s="488">
        <f t="shared" si="471"/>
        <v>0</v>
      </c>
      <c r="BZ232" s="488">
        <f t="shared" si="471"/>
        <v>0</v>
      </c>
      <c r="CA232" s="488">
        <f t="shared" si="471"/>
        <v>0</v>
      </c>
      <c r="CB232" s="488">
        <f t="shared" si="471"/>
        <v>0</v>
      </c>
      <c r="CC232" s="488">
        <f t="shared" si="471"/>
        <v>0</v>
      </c>
      <c r="CD232" s="500">
        <f t="shared" si="471"/>
        <v>0</v>
      </c>
      <c r="CE232" s="504">
        <f t="shared" si="471"/>
        <v>0</v>
      </c>
      <c r="CF232" s="160">
        <f t="shared" si="388"/>
        <v>0</v>
      </c>
      <c r="CG232" s="161">
        <f t="shared" si="389"/>
        <v>0</v>
      </c>
      <c r="CH232" s="161">
        <f t="shared" si="390"/>
        <v>0</v>
      </c>
      <c r="CI232" s="161">
        <f t="shared" si="391"/>
        <v>0</v>
      </c>
      <c r="CJ232" s="161">
        <f t="shared" si="392"/>
        <v>0</v>
      </c>
      <c r="CK232" s="161">
        <f t="shared" si="393"/>
        <v>0</v>
      </c>
      <c r="CL232" s="161">
        <f t="shared" si="394"/>
        <v>0</v>
      </c>
      <c r="CM232" s="161">
        <f t="shared" si="395"/>
        <v>0</v>
      </c>
      <c r="CN232" s="161">
        <f t="shared" si="396"/>
        <v>1</v>
      </c>
      <c r="CO232" s="161">
        <f t="shared" si="397"/>
        <v>0</v>
      </c>
      <c r="CP232" s="161">
        <f t="shared" si="398"/>
        <v>0</v>
      </c>
      <c r="CQ232" s="161">
        <f t="shared" si="399"/>
        <v>0</v>
      </c>
      <c r="CR232" s="161">
        <f t="shared" si="400"/>
        <v>0</v>
      </c>
      <c r="CS232" s="161">
        <f t="shared" si="401"/>
        <v>0</v>
      </c>
      <c r="CT232" s="75">
        <f t="shared" si="402"/>
        <v>0</v>
      </c>
      <c r="CU232" s="76">
        <f t="shared" si="403"/>
        <v>0</v>
      </c>
      <c r="CV232" s="76">
        <f t="shared" si="404"/>
        <v>0</v>
      </c>
      <c r="CW232" s="76">
        <f t="shared" si="405"/>
        <v>0</v>
      </c>
      <c r="CX232" s="76">
        <f t="shared" si="406"/>
        <v>0</v>
      </c>
      <c r="CY232" s="76">
        <f t="shared" si="407"/>
        <v>0</v>
      </c>
      <c r="CZ232" s="76">
        <f t="shared" si="408"/>
        <v>0</v>
      </c>
      <c r="DA232" s="76">
        <f t="shared" si="409"/>
        <v>0</v>
      </c>
      <c r="DB232" s="76">
        <f t="shared" si="410"/>
        <v>0</v>
      </c>
      <c r="DC232" s="76">
        <f t="shared" si="411"/>
        <v>0</v>
      </c>
      <c r="DD232" s="76">
        <f t="shared" si="412"/>
        <v>0</v>
      </c>
      <c r="DE232" s="77">
        <f t="shared" si="413"/>
        <v>0</v>
      </c>
      <c r="DF232" s="73">
        <f t="shared" si="415"/>
        <v>15</v>
      </c>
      <c r="DG232" s="67">
        <f t="shared" si="416"/>
        <v>19.170000000000002</v>
      </c>
      <c r="DH232" s="76">
        <f t="shared" si="417"/>
        <v>6</v>
      </c>
      <c r="DI232" s="67">
        <f t="shared" si="418"/>
        <v>25.63</v>
      </c>
      <c r="DJ232" s="202" t="str">
        <f>IF($D232="","",$D232)</f>
        <v>7</v>
      </c>
      <c r="DK232" s="492">
        <f>IF(AND($B232=" ",$D232&lt;&gt;""),1,0)</f>
        <v>0</v>
      </c>
    </row>
    <row r="233" spans="1:115" ht="14.5" customHeight="1" x14ac:dyDescent="0.2">
      <c r="A233" s="389"/>
      <c r="B233" s="456"/>
      <c r="C233" s="53" t="s">
        <v>55</v>
      </c>
      <c r="D233" s="374"/>
      <c r="E233" s="386"/>
      <c r="F233" s="377"/>
      <c r="G233" s="508"/>
      <c r="H233" s="476"/>
      <c r="I233" s="182" t="s">
        <v>76</v>
      </c>
      <c r="J233" s="217"/>
      <c r="K233" s="57" t="s">
        <v>43</v>
      </c>
      <c r="L233" s="164">
        <v>1.8919999999999999</v>
      </c>
      <c r="M233" s="165"/>
      <c r="N233" s="406"/>
      <c r="O233" s="60">
        <f>IF(OR(AE232="",AE233=""),"",ROUND(IF(L234&gt;0,IF(M233&gt;0,M233,IF(M232&gt;0,IF(N232=TRUE,ROUND((M232*AE233)/AE232,0),(M232*AE233)/AE232),IF(M233&gt;0,ROUND(M233,IF(N232=0,2,IF(N232=0.1,1,0))),IF(M234&gt;0,ROUND(O234*AE233/AE234,IF(N232=0,2,IF(N232=0.1,1,0))),0)))),IF(M233&gt;0,M233,ROUND((M232*AE233)/AE232,IF(N232=0,2,IF(N232=0.1,1,0))))),2))</f>
        <v>29.97</v>
      </c>
      <c r="P233" s="61">
        <f>IF(OR(L233="",O233=""),"",IF($C233="1/2W",O233/2+O233/2*L233,IF($C233="1/2L",O233/2,IF(I233="Lay",((O233*(L233/(L233-1)))-O233)*(1-_xlfn.XLOOKUP(K233,'Fevereiro 2023 - Valor Real'!A3:A15,'Fevereiro 2023 - Valor Real'!C3:C15,0))+O233,(O233*L233-O233)*(1-_xlfn.XLOOKUP(K233,'Fevereiro 2023 - Valor Real'!A3:A15,'Fevereiro 2023 - Valor Real'!C3:C15,0))+O233))))</f>
        <v>56.703239999999994</v>
      </c>
      <c r="Q233" s="166">
        <f>IF(K233="","",IF(_xlfn.XLOOKUP(K233,K$10:K224,$DJ$10:DJ224,0,,-1)=DJ233,_xlfn.XLOOKUP(K233,K$10:K224,Q$10:Q224,1,,-1)+1,1))</f>
        <v>1</v>
      </c>
      <c r="R233" s="167">
        <f>IF(K233="","",_xlfn.XLOOKUP(K233,K$10:K224,R$10:R224,0,,-1)+IF($C233=" ",1,0))</f>
        <v>0</v>
      </c>
      <c r="S233" s="403"/>
      <c r="T233" s="380"/>
      <c r="U233" s="380"/>
      <c r="V233" s="481"/>
      <c r="W233" s="380"/>
      <c r="X233" s="452"/>
      <c r="Y233" s="383"/>
      <c r="Z233" s="384"/>
      <c r="AA233" s="384"/>
      <c r="AB233" s="384"/>
      <c r="AC233" s="384"/>
      <c r="AD233" s="64"/>
      <c r="AE233" s="65">
        <f>IF(L233="","",IF(L234&gt;0,(SUM(((L232-1)*(1-_xlfn.XLOOKUP(K232,'Fevereiro 2023 - Valor Real'!A3:A15,'Fevereiro 2023 - Valor Real'!C3:C15,0))+1),((L233-1)*(1-_xlfn.XLOOKUP(K233,'Fevereiro 2023 - Valor Real'!A3:A15,'Fevereiro 2023 - Valor Real'!C3:C15,0))+1),((L234-1)*(1-_xlfn.XLOOKUP(K234,'Fevereiro 2023 - Valor Real'!A3:A15,'Fevereiro 2023 - Valor Real'!C3:C15,0))+1))/((L233-1)*(1-_xlfn.XLOOKUP(K233,'Fevereiro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Real'!C3:C15,0))+1))/((L232-1)*(1-_xlfn.XLOOKUP(K232,'Fevereiro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Real'!C3:C15,0))+1))/((L233-1)*(1-_xlfn.XLOOKUP(K233,'Fevereiro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Real'!C3:C15,0))+1))/((L234-1)*(1-_xlfn.XLOOKUP(K234,'Fevereiro 2023 - Valor Real'!A3:A15,'Fevereiro 2023 - Valor Real'!C3:C15,0))+1)),IF(I233="Lay",IF(I232="Lay",((L232/(L232-1)-1)*(1-_xlfn.XLOOKUP(K232,'Fevereiro 2023 - Valor Real'!A3:A15,'Fevereiro 2023 - Valor Real'!C3:C15,0))+1)/(((L232/(L232-1)-1)*(1-_xlfn.XLOOKUP(K232,'Fevereiro 2023 - Valor Real'!A3:A15,'Fevereiro 2023 - Valor Real'!C3:C15,0))+1)+((L233/(L233-1)-1)*(1-_xlfn.XLOOKUP(K233,'Fevereiro 2023 - Valor Real'!A3:A15,'Fevereiro 2023 - Valor Real'!C3:C15,0))+1)),((L232-1)*(1-_xlfn.XLOOKUP(K232,'Fevereiro 2023 - Valor Real'!A3:A15,'Fevereiro 2023 - Valor Real'!C3:C15,0))+1)/(((L232-1)*(1-_xlfn.XLOOKUP(K232,'Fevereiro 2023 - Valor Real'!A3:A15,'Fevereiro 2023 - Valor Real'!C3:C15,0))+1)+((L233/(L233-1)-1)*(1-_xlfn.XLOOKUP(K233,'Fevereiro 2023 - Valor Real'!A3:A15,'Fevereiro 2023 - Valor Real'!C3:C15,0))+1))),IF(I232="Lay",((L232/(L232-1)-1)*(1-_xlfn.XLOOKUP(K232,'Fevereiro 2023 - Valor Real'!A3:A15,'Fevereiro 2023 - Valor Real'!C3:C15,0))+1)/((((L232/(L232-1)-1)*(1-_xlfn.XLOOKUP(K232,'Fevereiro 2023 - Valor Real'!A3:A15,'Fevereiro 2023 - Valor Real'!C3:C15,0))+1))+((L233-1)*(1-_xlfn.XLOOKUP(K233,'Fevereiro 2023 - Valor Real'!A3:A15,'Fevereiro 2023 - Valor Real'!C3:C15,0))+1)),((L232-1)*(1-_xlfn.XLOOKUP(K232,'Fevereiro 2023 - Valor Real'!A3:A15,'Fevereiro 2023 - Valor Real'!C3:C15,0))+1)/(((L232-1)*(1-_xlfn.XLOOKUP(K232,'Fevereiro 2023 - Valor Real'!A3:A15,'Fevereiro 2023 - Valor Real'!C3:C15,0))+1)+((L233-1)*(1-_xlfn.XLOOKUP(K233,'Fevereiro 2023 - Valor Real'!A3:A15,'Fevereiro 2023 - Valor Real'!C3:C15,0))+1))))))</f>
        <v>0.56625401192113711</v>
      </c>
      <c r="AF233" s="66">
        <f t="shared" si="458"/>
        <v>0</v>
      </c>
      <c r="AG233" s="67">
        <f t="shared" si="458"/>
        <v>0</v>
      </c>
      <c r="AH233" s="67">
        <f t="shared" si="458"/>
        <v>0</v>
      </c>
      <c r="AI233" s="67">
        <f t="shared" si="458"/>
        <v>0</v>
      </c>
      <c r="AJ233" s="67">
        <f t="shared" si="458"/>
        <v>0</v>
      </c>
      <c r="AK233" s="67">
        <f t="shared" si="458"/>
        <v>0</v>
      </c>
      <c r="AL233" s="67">
        <f t="shared" si="458"/>
        <v>0</v>
      </c>
      <c r="AM233" s="67">
        <f t="shared" si="458"/>
        <v>-29.97</v>
      </c>
      <c r="AN233" s="67">
        <f t="shared" si="458"/>
        <v>0</v>
      </c>
      <c r="AO233" s="67">
        <f t="shared" si="458"/>
        <v>0</v>
      </c>
      <c r="AP233" s="67">
        <f t="shared" si="458"/>
        <v>0</v>
      </c>
      <c r="AQ233" s="67">
        <f t="shared" si="458"/>
        <v>0</v>
      </c>
      <c r="AR233" s="68">
        <f t="shared" si="458"/>
        <v>0</v>
      </c>
      <c r="AS233" s="66">
        <f>IF(AND($B232=" ",$K233=AS$3),$O233,0)</f>
        <v>0</v>
      </c>
      <c r="AT233" s="67">
        <f>IF(AND($B232=" ",K233=AT$3),$O233,0)</f>
        <v>0</v>
      </c>
      <c r="AU233" s="67">
        <f t="shared" ref="AU233:BE233" si="472">IF(AND($B232=" ",$K233=AU$3),$O233,0)</f>
        <v>0</v>
      </c>
      <c r="AV233" s="67">
        <f t="shared" si="472"/>
        <v>0</v>
      </c>
      <c r="AW233" s="67">
        <f t="shared" si="472"/>
        <v>0</v>
      </c>
      <c r="AX233" s="67">
        <f t="shared" si="472"/>
        <v>0</v>
      </c>
      <c r="AY233" s="69">
        <f t="shared" si="472"/>
        <v>0</v>
      </c>
      <c r="AZ233" s="70">
        <f t="shared" si="472"/>
        <v>0</v>
      </c>
      <c r="BA233" s="70">
        <f t="shared" si="472"/>
        <v>0</v>
      </c>
      <c r="BB233" s="70">
        <f t="shared" si="472"/>
        <v>0</v>
      </c>
      <c r="BC233" s="71">
        <f t="shared" si="472"/>
        <v>0</v>
      </c>
      <c r="BD233" s="67">
        <f t="shared" si="472"/>
        <v>0</v>
      </c>
      <c r="BE233" s="68">
        <f t="shared" si="472"/>
        <v>0</v>
      </c>
      <c r="BF233" s="66">
        <f t="shared" si="460"/>
        <v>0</v>
      </c>
      <c r="BG233" s="168">
        <f t="shared" si="460"/>
        <v>0</v>
      </c>
      <c r="BH233" s="67">
        <f t="shared" si="460"/>
        <v>0</v>
      </c>
      <c r="BI233" s="67">
        <f t="shared" si="460"/>
        <v>0</v>
      </c>
      <c r="BJ233" s="67">
        <f t="shared" si="460"/>
        <v>0</v>
      </c>
      <c r="BK233" s="67">
        <f t="shared" si="460"/>
        <v>0</v>
      </c>
      <c r="BL233" s="67">
        <f t="shared" si="460"/>
        <v>0</v>
      </c>
      <c r="BM233" s="69">
        <f t="shared" si="460"/>
        <v>29.97</v>
      </c>
      <c r="BN233" s="70">
        <f t="shared" si="460"/>
        <v>0</v>
      </c>
      <c r="BO233" s="70">
        <f t="shared" si="460"/>
        <v>0</v>
      </c>
      <c r="BP233" s="70">
        <f t="shared" si="460"/>
        <v>0</v>
      </c>
      <c r="BQ233" s="71">
        <f t="shared" si="460"/>
        <v>0</v>
      </c>
      <c r="BR233" s="68">
        <f t="shared" si="460"/>
        <v>0</v>
      </c>
      <c r="BS233" s="491"/>
      <c r="BT233" s="489"/>
      <c r="BU233" s="392"/>
      <c r="BV233" s="489"/>
      <c r="BW233" s="392"/>
      <c r="BX233" s="392"/>
      <c r="BY233" s="392"/>
      <c r="BZ233" s="489"/>
      <c r="CA233" s="392"/>
      <c r="CB233" s="392"/>
      <c r="CC233" s="392"/>
      <c r="CD233" s="401"/>
      <c r="CE233" s="409"/>
      <c r="CF233" s="169">
        <f t="shared" si="388"/>
        <v>0</v>
      </c>
      <c r="CG233" s="170">
        <f t="shared" si="389"/>
        <v>0</v>
      </c>
      <c r="CH233" s="170">
        <f t="shared" si="390"/>
        <v>0</v>
      </c>
      <c r="CI233" s="170">
        <f t="shared" si="391"/>
        <v>0</v>
      </c>
      <c r="CJ233" s="170">
        <f t="shared" si="392"/>
        <v>0</v>
      </c>
      <c r="CK233" s="170">
        <f t="shared" si="393"/>
        <v>0</v>
      </c>
      <c r="CL233" s="170">
        <f t="shared" si="394"/>
        <v>0</v>
      </c>
      <c r="CM233" s="170">
        <f t="shared" si="395"/>
        <v>0</v>
      </c>
      <c r="CN233" s="170">
        <f t="shared" si="396"/>
        <v>0</v>
      </c>
      <c r="CO233" s="170">
        <f t="shared" si="397"/>
        <v>0</v>
      </c>
      <c r="CP233" s="170">
        <f t="shared" si="398"/>
        <v>0</v>
      </c>
      <c r="CQ233" s="170">
        <f t="shared" si="399"/>
        <v>0</v>
      </c>
      <c r="CR233" s="170">
        <f t="shared" si="400"/>
        <v>0</v>
      </c>
      <c r="CS233" s="170">
        <f t="shared" si="401"/>
        <v>0</v>
      </c>
      <c r="CT233" s="75">
        <f t="shared" si="402"/>
        <v>0</v>
      </c>
      <c r="CU233" s="76">
        <f t="shared" si="403"/>
        <v>1</v>
      </c>
      <c r="CV233" s="76">
        <f t="shared" si="404"/>
        <v>0</v>
      </c>
      <c r="CW233" s="76">
        <f t="shared" si="405"/>
        <v>0</v>
      </c>
      <c r="CX233" s="76">
        <f t="shared" si="406"/>
        <v>0</v>
      </c>
      <c r="CY233" s="76">
        <f t="shared" si="407"/>
        <v>0</v>
      </c>
      <c r="CZ233" s="76">
        <f t="shared" si="408"/>
        <v>0</v>
      </c>
      <c r="DA233" s="76">
        <f t="shared" si="409"/>
        <v>0</v>
      </c>
      <c r="DB233" s="76">
        <f t="shared" si="410"/>
        <v>0</v>
      </c>
      <c r="DC233" s="76">
        <f t="shared" si="411"/>
        <v>0</v>
      </c>
      <c r="DD233" s="76">
        <f t="shared" si="412"/>
        <v>0</v>
      </c>
      <c r="DE233" s="77">
        <f t="shared" si="413"/>
        <v>0</v>
      </c>
      <c r="DF233" s="73">
        <f t="shared" si="415"/>
        <v>15</v>
      </c>
      <c r="DG233" s="67">
        <f t="shared" si="416"/>
        <v>19.170000000000002</v>
      </c>
      <c r="DH233" s="76">
        <f t="shared" si="417"/>
        <v>6</v>
      </c>
      <c r="DI233" s="67">
        <f t="shared" si="418"/>
        <v>25.63</v>
      </c>
      <c r="DJ233" s="202" t="str">
        <f>IF($D232="","",$D232)</f>
        <v>7</v>
      </c>
      <c r="DK233" s="493"/>
    </row>
    <row r="234" spans="1:115" ht="14.5" customHeight="1" x14ac:dyDescent="0.2">
      <c r="A234" s="390"/>
      <c r="B234" s="457"/>
      <c r="C234" s="79" t="s">
        <v>53</v>
      </c>
      <c r="D234" s="375"/>
      <c r="E234" s="387"/>
      <c r="F234" s="378"/>
      <c r="G234" s="508"/>
      <c r="H234" s="477"/>
      <c r="I234" s="171"/>
      <c r="J234" s="172"/>
      <c r="K234" s="81"/>
      <c r="L234" s="173"/>
      <c r="M234" s="174"/>
      <c r="N234" s="407"/>
      <c r="O234" s="86" t="str">
        <f>IF(OR(AE232="",AE233=""),"",IF(L234&gt;0,ROUND(IF(M234&gt;0,M234,IF(M232&gt;0,ROUND((M232*AE234)/AE232,IF(N232=0,2,IF(N232=0.1,1,0))),IF(M233&gt;0,ROUND((M233*AE234)/AE233,IF(N232=0,2,IF(N232=0.1,1,0))),IF(M234&gt;0,M234,0)))),2),""))</f>
        <v/>
      </c>
      <c r="P234" s="87" t="str">
        <f>IF(I233="Lay",O233*(L233/(L233-1))-O233,IF(I232="Lay",O232*(L232/(L232-1))-O232,IF(OR(L234="",O234=""),"",IF($C234="1/2W",O234/2+O234/2*L234,IF($C234="1/2L",O234/2,(O234*L234-O234)*(1-_xlfn.XLOOKUP(K234,'Fevereiro 2023 - Valor Real'!A3:A15,'Fevereiro 2023 - Valor Real'!C3:C15,0))+O234)))))</f>
        <v/>
      </c>
      <c r="Q234" s="54" t="str">
        <f>IF(K234="","",IF(_xlfn.XLOOKUP(K234,K$11:K224,$DJ$11:DJ224,0,,-1)=DJ234,_xlfn.XLOOKUP(K234,K$11:K224,Q$11:Q224,1,,-1)+1,1))</f>
        <v/>
      </c>
      <c r="R234" s="87" t="str">
        <f>IF(K234="","",_xlfn.XLOOKUP(K234,K$11:K224,R$11:R224,0,,-1)+IF($C234=" ",1,0))</f>
        <v/>
      </c>
      <c r="S234" s="404"/>
      <c r="T234" s="378"/>
      <c r="U234" s="378"/>
      <c r="V234" s="404"/>
      <c r="W234" s="378"/>
      <c r="X234" s="453"/>
      <c r="Y234" s="383"/>
      <c r="Z234" s="384"/>
      <c r="AA234" s="384"/>
      <c r="AB234" s="384"/>
      <c r="AC234" s="384"/>
      <c r="AD234" s="90"/>
      <c r="AE234" s="91" t="str">
        <f>IF(L234="","",(SUM(((L232-1)*(1-_xlfn.XLOOKUP(K232,'Fevereiro 2023 - Valor Real'!A3:A15,'Fevereiro 2023 - Valor Real'!C3:C15,0))+1),((L233-1)*(1-_xlfn.XLOOKUP(K233,'Fevereiro 2023 - Valor Real'!A3:A15,'Fevereiro 2023 - Valor Real'!C3:C15,0))+1),((L234-1)*(1-_xlfn.XLOOKUP(K234,'Fevereiro 2023 - Valor Real'!A3:A15,'Fevereiro 2023 - Valor Real'!C3:C15,0))+1))/((L234-1)*(1-_xlfn.XLOOKUP(K234,'Fevereiro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Real'!C3:C15,0))+1))/((L232-1)*(1-_xlfn.XLOOKUP(K232,'Fevereiro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Real'!C3:C15,0))+1))/((L233-1)*(1-_xlfn.XLOOKUP(K233,'Fevereiro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Real'!C3:C15,0))+1))/((L234-1)*(1-_xlfn.XLOOKUP(K234,'Fevereiro 2023 - Valor Real'!A3:A15,'Fevereiro 2023 - Valor Real'!C3:C15,0))+1)))</f>
        <v/>
      </c>
      <c r="AF234" s="66">
        <f t="shared" ref="AF234:AR243" si="473">IF($K234=AF$3,ROUND(IF(OR($C234="W",$C234="1/2W",$C234="1/2L"),$P234-$O234,IF($C234="X",0,-$O234)),2),0)</f>
        <v>0</v>
      </c>
      <c r="AG234" s="67">
        <f t="shared" si="473"/>
        <v>0</v>
      </c>
      <c r="AH234" s="67">
        <f t="shared" si="473"/>
        <v>0</v>
      </c>
      <c r="AI234" s="67">
        <f t="shared" si="473"/>
        <v>0</v>
      </c>
      <c r="AJ234" s="67">
        <f t="shared" si="473"/>
        <v>0</v>
      </c>
      <c r="AK234" s="67">
        <f t="shared" si="473"/>
        <v>0</v>
      </c>
      <c r="AL234" s="67">
        <f t="shared" si="473"/>
        <v>0</v>
      </c>
      <c r="AM234" s="67">
        <f t="shared" si="473"/>
        <v>0</v>
      </c>
      <c r="AN234" s="67">
        <f t="shared" si="473"/>
        <v>0</v>
      </c>
      <c r="AO234" s="67">
        <f t="shared" si="473"/>
        <v>0</v>
      </c>
      <c r="AP234" s="67">
        <f t="shared" si="473"/>
        <v>0</v>
      </c>
      <c r="AQ234" s="67">
        <f t="shared" si="473"/>
        <v>0</v>
      </c>
      <c r="AR234" s="68">
        <f t="shared" si="473"/>
        <v>0</v>
      </c>
      <c r="AS234" s="66">
        <f>IF(AND($B232=" ",$K234=AS$3),$O234,0)</f>
        <v>0</v>
      </c>
      <c r="AT234" s="67">
        <f>IF(AND($B232=" ",K234=AT$3),$O234,0)</f>
        <v>0</v>
      </c>
      <c r="AU234" s="67">
        <f t="shared" ref="AU234:BE234" si="474">IF(AND($B232=" ",$K234=AU$3),$O234,0)</f>
        <v>0</v>
      </c>
      <c r="AV234" s="67">
        <f t="shared" si="474"/>
        <v>0</v>
      </c>
      <c r="AW234" s="67">
        <f t="shared" si="474"/>
        <v>0</v>
      </c>
      <c r="AX234" s="67">
        <f t="shared" si="474"/>
        <v>0</v>
      </c>
      <c r="AY234" s="69">
        <f t="shared" si="474"/>
        <v>0</v>
      </c>
      <c r="AZ234" s="70">
        <f t="shared" si="474"/>
        <v>0</v>
      </c>
      <c r="BA234" s="70">
        <f t="shared" si="474"/>
        <v>0</v>
      </c>
      <c r="BB234" s="70">
        <f t="shared" si="474"/>
        <v>0</v>
      </c>
      <c r="BC234" s="71">
        <f t="shared" si="474"/>
        <v>0</v>
      </c>
      <c r="BD234" s="67">
        <f t="shared" si="474"/>
        <v>0</v>
      </c>
      <c r="BE234" s="68">
        <f t="shared" si="474"/>
        <v>0</v>
      </c>
      <c r="BF234" s="66">
        <f t="shared" ref="BF234:BR243" si="475">IF($K234=BF$3,IF($C234="X",0,$O234),0)</f>
        <v>0</v>
      </c>
      <c r="BG234" s="168">
        <f t="shared" si="475"/>
        <v>0</v>
      </c>
      <c r="BH234" s="67">
        <f t="shared" si="475"/>
        <v>0</v>
      </c>
      <c r="BI234" s="67">
        <f t="shared" si="475"/>
        <v>0</v>
      </c>
      <c r="BJ234" s="67">
        <f t="shared" si="475"/>
        <v>0</v>
      </c>
      <c r="BK234" s="67">
        <f t="shared" si="475"/>
        <v>0</v>
      </c>
      <c r="BL234" s="67">
        <f t="shared" si="475"/>
        <v>0</v>
      </c>
      <c r="BM234" s="69">
        <f t="shared" si="475"/>
        <v>0</v>
      </c>
      <c r="BN234" s="70">
        <f t="shared" si="475"/>
        <v>0</v>
      </c>
      <c r="BO234" s="70">
        <f t="shared" si="475"/>
        <v>0</v>
      </c>
      <c r="BP234" s="70">
        <f t="shared" si="475"/>
        <v>0</v>
      </c>
      <c r="BQ234" s="71">
        <f t="shared" si="475"/>
        <v>0</v>
      </c>
      <c r="BR234" s="68">
        <f t="shared" si="475"/>
        <v>0</v>
      </c>
      <c r="BS234" s="491"/>
      <c r="BT234" s="489"/>
      <c r="BU234" s="392"/>
      <c r="BV234" s="489"/>
      <c r="BW234" s="392"/>
      <c r="BX234" s="392"/>
      <c r="BY234" s="392"/>
      <c r="BZ234" s="489"/>
      <c r="CA234" s="392"/>
      <c r="CB234" s="392"/>
      <c r="CC234" s="392"/>
      <c r="CD234" s="401"/>
      <c r="CE234" s="409"/>
      <c r="CF234" s="169">
        <f t="shared" si="388"/>
        <v>0</v>
      </c>
      <c r="CG234" s="170">
        <f t="shared" si="389"/>
        <v>0</v>
      </c>
      <c r="CH234" s="170">
        <f t="shared" si="390"/>
        <v>0</v>
      </c>
      <c r="CI234" s="170">
        <f t="shared" si="391"/>
        <v>0</v>
      </c>
      <c r="CJ234" s="170">
        <f t="shared" si="392"/>
        <v>0</v>
      </c>
      <c r="CK234" s="170">
        <f t="shared" si="393"/>
        <v>0</v>
      </c>
      <c r="CL234" s="170">
        <f t="shared" si="394"/>
        <v>0</v>
      </c>
      <c r="CM234" s="170">
        <f t="shared" si="395"/>
        <v>0</v>
      </c>
      <c r="CN234" s="170">
        <f t="shared" si="396"/>
        <v>0</v>
      </c>
      <c r="CO234" s="170">
        <f t="shared" si="397"/>
        <v>0</v>
      </c>
      <c r="CP234" s="170">
        <f t="shared" si="398"/>
        <v>0</v>
      </c>
      <c r="CQ234" s="170">
        <f t="shared" si="399"/>
        <v>0</v>
      </c>
      <c r="CR234" s="170">
        <f t="shared" si="400"/>
        <v>0</v>
      </c>
      <c r="CS234" s="170">
        <f t="shared" si="401"/>
        <v>0</v>
      </c>
      <c r="CT234" s="75">
        <f t="shared" si="402"/>
        <v>0</v>
      </c>
      <c r="CU234" s="76">
        <f t="shared" si="403"/>
        <v>0</v>
      </c>
      <c r="CV234" s="76">
        <f t="shared" si="404"/>
        <v>0</v>
      </c>
      <c r="CW234" s="76">
        <f t="shared" si="405"/>
        <v>0</v>
      </c>
      <c r="CX234" s="76">
        <f t="shared" si="406"/>
        <v>0</v>
      </c>
      <c r="CY234" s="76">
        <f t="shared" si="407"/>
        <v>0</v>
      </c>
      <c r="CZ234" s="76">
        <f t="shared" si="408"/>
        <v>0</v>
      </c>
      <c r="DA234" s="76">
        <f t="shared" si="409"/>
        <v>0</v>
      </c>
      <c r="DB234" s="76">
        <f t="shared" si="410"/>
        <v>0</v>
      </c>
      <c r="DC234" s="76">
        <f t="shared" si="411"/>
        <v>0</v>
      </c>
      <c r="DD234" s="76">
        <f t="shared" si="412"/>
        <v>0</v>
      </c>
      <c r="DE234" s="77">
        <f t="shared" si="413"/>
        <v>0</v>
      </c>
      <c r="DF234" s="73">
        <f t="shared" si="415"/>
        <v>15</v>
      </c>
      <c r="DG234" s="67">
        <f t="shared" si="416"/>
        <v>19.170000000000002</v>
      </c>
      <c r="DH234" s="76">
        <f t="shared" si="417"/>
        <v>6</v>
      </c>
      <c r="DI234" s="67">
        <f t="shared" si="418"/>
        <v>25.63</v>
      </c>
      <c r="DJ234" s="202" t="str">
        <f>IF($D232="","",$D232)</f>
        <v>7</v>
      </c>
      <c r="DK234" s="493"/>
    </row>
    <row r="235" spans="1:115" ht="14.5" customHeight="1" x14ac:dyDescent="0.2">
      <c r="A235" s="459">
        <f>$A232+1</f>
        <v>78</v>
      </c>
      <c r="B235" s="507" t="str">
        <f>IF(OR(C235="W",C236="W",C237="W",C235="1/2W",C236="1/2W",C237="1/2W",C235="1/2L",C236="1/2L",C237="1/2L"),"OK",IF(OR(C235="L",C236="L",C237="L"),"LOSS",IF(OR(C235="X",C236="X",C237="X"),"Anulado"," ")))</f>
        <v>OK</v>
      </c>
      <c r="C235" s="93" t="s">
        <v>54</v>
      </c>
      <c r="D235" s="468" t="str">
        <f>IF(G235="","",$D232)</f>
        <v>7</v>
      </c>
      <c r="E235" s="485" t="str">
        <f>IF(G235=""," ","– "&amp;COUNTIF(D$4:D237,$D235))</f>
        <v>– 4</v>
      </c>
      <c r="F235" s="509" t="str">
        <f ca="1">IF(G235="","",IF(OR(AND($C235&lt;&gt;" ",$C236=" "),AND($C236&lt;&gt;" ",$C235=" "),AND(L237&gt;0,OR(AND($C237&lt;&gt;" ",OR($C235=" ",$C236=" ")),AND($C237=" ",OR($C235&lt;&gt;" ",$C236&lt;&gt;" "))))),IF(SUM(F$4:F234)=0,1,LARGE(F$4:F234,1)+1),IF(MONTH(G235)=MONTH(TODAY()),IF(AND(DAY(G235)&lt;DAY(TODAY()),$B235=" "),IF(SUM(F$4:F234)=0,1,LARGE(F$4:F234,1)+1),IF($B235=" ",IF(AND(DAY(G235)=DAY(TODAY()),HOUR(G235)&lt;=HOUR(NOW())+1),IF(AND(HOUR(G235)+2&lt;=HOUR(NOW()),DAY(G235)&lt;=DAY(TODAY()),MINUTE(G235)&lt;=MINUTE(NOW())),IF(SUM(F$4:F234)=0,1,LARGE(F$4:F234,1)+1),IF(OR(MINUTE(G235)&lt;=MINUTE(NOW()),HOUR(G235)&lt;=HOUR(NOW())),"!!!","")),""),"")),"")))</f>
        <v/>
      </c>
      <c r="G235" s="482">
        <v>44997.260416666664</v>
      </c>
      <c r="H235" s="475" t="s">
        <v>126</v>
      </c>
      <c r="I235" s="175">
        <v>1</v>
      </c>
      <c r="J235" s="176"/>
      <c r="K235" s="96" t="s">
        <v>39</v>
      </c>
      <c r="L235" s="97">
        <v>2.25</v>
      </c>
      <c r="M235" s="98">
        <v>5.52</v>
      </c>
      <c r="N235" s="478">
        <v>0</v>
      </c>
      <c r="O235" s="99">
        <f>IF(OR(AE235="",AE236=""),"",ROUND(IF(L237&gt;0,IF(M235&gt;0,M235,IF(M236&gt;0,ROUND((M236*AE235)/AE236,IF(N235=0,2,IF(N235=0.1,1,0))),ROUND((M237*AE235)/AE237,IF(N235=0,2,IF(N235=0.1,1,0))))),IF(M235&gt;0,M235,ROUND((M236*AE235)/AE236,IF(N235=0,2,IF(N235=0.1,1,0))))),2))</f>
        <v>5.52</v>
      </c>
      <c r="P235" s="100">
        <f>IF(OR(L235="",O235=""),"",IF($C235="1/2W",O235/2+O235/2*L235,IF($C235="1/2L",O235/2,IF(I235="Lay",(O235*(L235/(L235-1))-O235)*(1-_xlfn.XLOOKUP(K235,'Fevereiro 2023 - Valor Real'!A3:A15,'Fevereiro 2023 - Valor Real'!C3:C15,0))+O235,(O235*L235-O235)*(1-_xlfn.XLOOKUP(K235,'Fevereiro 2023 - Valor Real'!A3:A15,'Fevereiro 2023 - Valor Real'!C3:C15,0))+O235))))</f>
        <v>12.419999999999998</v>
      </c>
      <c r="Q235" s="101">
        <f>IF(K235="","",IF(_xlfn.XLOOKUP(K235,K$6:K230,$DJ$6:DJ230,0,,-1)=DJ235,_xlfn.XLOOKUP(K235,K$6:K230,Q$6:Q230,1,,-1)+1,1))</f>
        <v>1</v>
      </c>
      <c r="R235" s="102">
        <f>IF(K235="","",_xlfn.XLOOKUP(K235,K$6:K230,R$6:R230,0,,-1)+IF($C235=" ",1,0))</f>
        <v>0</v>
      </c>
      <c r="S235" s="474">
        <f>IF($B235="Anulado",0,ROUND(IF(OR($B235="LOSS",$B235="OK"),IF(OR($C235="W",$C235="1/2W",$C235="1/2L"),P235-O235,IF($C235="L",-O235,0))+IF(OR($C236="W",$C236="1/2W",$C236="1/2L"),P236-O236,IF($C236="L",-O236,0))+IF(OR($C237="W",$C237="1/2W",$C237="1/2L"),P237-O237,IF($C237="L",-O237,0)),IF(AND(OR($C235="W",$C235="1/2W",$C235="1/2L"),C236="W"),P235+P236-SUM(O235:O237)+_xlfn.XLOOKUP("X",C235:C237,O235:O237,0),IF(AND(C235=TRUE,C237="W"),P235+P237-SUM(O235:O237),IF(AND(C236="W",C237="W"),P236+P237-SUM(O235:O237)+_xlfn.XLOOKUP("X",C235:C237,O235:O237,0),IF(L237&gt;0,IF(OR($C235="W",$C235="1/2W",$C235="1/2L"),P235-SUM(O235:O237)+_xlfn.XLOOKUP("X",C235:C237,O235:O237,0),IF(OR($C235="W",$C235="1/2W",$C235="1/2L"),P236-SUM(O235:O237)+_xlfn.XLOOKUP("X",C235:C237,O235:O237,0),IF(OR($C235="W",$C235="1/2W",$C235="1/2L"),P237-SUM(O235:O237)+_xlfn.XLOOKUP("X",C235:C237,O235:O237,0),IF(SUM(P235:P237)/3-SUM(O235:O237)+_xlfn.XLOOKUP("X",C235:C237,O235:O237,0)&gt;0,SUM(P235:P237)/3-SUM(O235:O237)+_xlfn.XLOOKUP("X",C235:C237,O235:O237,0),LARGE(P235:P237,1)-SUM(O235:O237))))),IF(OR($C235="W",$C235="1/2W",$C235="1/2L"),P235-SUM(O235:O236)+_xlfn.XLOOKUP("X",C235:C237,O235:O237,0),IF(OR($C235="W",$C235="1/2W",$C235="1/2L"),P236-SUM(O235:O236)+_xlfn.XLOOKUP("X",C235:C237,O235:O237,0),SUM(P235:P236)/2-SUM(O235:O236)+_xlfn.XLOOKUP("X",C235:C237,O235:O237,0)))))))),2))</f>
        <v>0.95</v>
      </c>
      <c r="T235" s="458">
        <f>IF(S235=0,0,S235/SUM(O235:O237))</f>
        <v>8.2824760244115087E-2</v>
      </c>
      <c r="U235" s="470">
        <f>IF($D235=$D232,IF(OR($B235="LOSS",$B235="OK",$B235="Anulada"),S235,0)+U232,IF(OR($B235="LOSS",$B235="OK",$B235="Anulada"),S235,0))</f>
        <v>8.6399999999999988</v>
      </c>
      <c r="V235" s="470">
        <f>IF($D235="",0,IF($D235=$D232,IF($B235=" ",IF(I237="",IF(OR(AND(I235="DNB1",I236="DNB2"),AND(OR(I235="DNB1",I235="DNB2"),J236=0),AND(OR(I236="DNB1",I236="DNB2"),J235=0),AND(I235="DNB2",I236="DNB1"),AND(IF(J235=0,(J235+1)/ROUND(J235+1,0),J235/ROUND(J235,0))=1,IF(J236=0,(J236+1)/ROUND(IF(J236="",0,J236)+1,0),IF(J236="",0,J236)/ROUND(IF(J236="",1,J236),0))=1,OR(J235&lt;&gt;""),J236&lt;&gt;"")),0,IF(S235&lt;0,IF(I237="",SMALL(P235:P236,1)-SUM(O235:O236),0),SMALL(P235:P236,1)-SUM(O235:O236))),IF(S235&lt;0,IF(I237="",SMALL(P235:P237,1)-SUM(O235:O237),0),LARGE(P235:P237,1)-SUM(O235:O237))),S235)+V232,IF(I237="",IF(OR(AND(I235="DNB1",I236="DNB2"),AND(OR(I235="DNB1",I235="DNB2"),J236=0),AND(OR(I236="DNB1",I236="DNB2"),J235=0),AND(I235="DNB2",I236="DNB1"),AND(IF(J235=0,(J235+1)/ROUND(J235+1,0),J235/ROUND(J235,0))=1,IF(J236=0,(IF(J236="",0,J236)+1)/ROUND(IF(J236="",0,J236)+1,0),IF(J236="",0,J236)/ROUND(IF(J236="",0,J236)+1,0))=1,OR(J235&lt;&gt;""),J236&lt;&gt;"")),0,IF(S235&lt;0,IF(I237="",SMALL(P235:P236,1)-SUM(O235:O236),0),SMALL(P235:P237,1)-SUM(O235:O237))),IF(S235&lt;0,IF(I237="",SMALL(P235:P237,1)-SUM(O235:O237),0),LARGE(P235:P237,1)-SUM(O235:O237)))))</f>
        <v>8.6407999999999969</v>
      </c>
      <c r="W235" s="470">
        <f>IF($D235=$D232,IF(S235&lt;0,IF(I237="",S235,0),S235)+W232,S235)</f>
        <v>8.6399999999999988</v>
      </c>
      <c r="X235" s="480" t="str">
        <f>IF(OR(SUM(R235:R237)=0,V235=W235),ROUND(IF(W235=0,0,W235/Y235)*100,2)&amp;"%",ROUND(IF(V235=0,0,V235/Y235)*100,2)&amp;"% a "&amp;ROUND(IF(W235=0,0,W235/Y235)*100,2)&amp;"%")</f>
        <v>6,18%</v>
      </c>
      <c r="Y235" s="471">
        <f>IF($D235=$D232,Y232+SUM(O235:O237),SUM(O235:O237))</f>
        <v>139.83000000000001</v>
      </c>
      <c r="Z235" s="470">
        <f>IF($B235=" ",SUM(O235:O237),0)+Z232</f>
        <v>0</v>
      </c>
      <c r="AA235" s="470">
        <f>IF(G235="","",IF($B235="Anulado",LARGE(P235:P237,1)-SUM(O235:O237)+AA232,AA232))</f>
        <v>1.4607999999999972</v>
      </c>
      <c r="AB235" s="470">
        <f>IF($D235="","",AB232+S235)</f>
        <v>406.05999999999995</v>
      </c>
      <c r="AC235" s="472">
        <f ca="1">IF($D235="","",IF($B235=" ",IF(DAY(G235)=DAY(TODAY()),1+AC232,0+AC232),0+AC232))</f>
        <v>0</v>
      </c>
      <c r="AD235" s="103">
        <f>(((L236/(L236-1)-1)*(1-_xlfn.XLOOKUP(K236,'Fevereiro 2023 - Valor Real'!A3:A15,'Fevereiro 2023 - Valor Real'!C3:C15,0))+1))/(((L235-1)*(1-_xlfn.XLOOKUP(K235,'Fevereiro 2023 - Valor Real'!A3:A15,'Fevereiro 2023 - Valor Real'!C3:C15,0))+1)+((L236/(L236-1)-1)*(1-_xlfn.XLOOKUP(K236,'Fevereiro 2023 - Valor Real'!A3:A15,'Fevereiro 2023 - Valor Real'!C3:C15,0))+1))</f>
        <v>0.46009906439185472</v>
      </c>
      <c r="AE235" s="104">
        <f>IF(L235="","",IF(L237&gt;0,(SUM(((L235-1)*(1-_xlfn.XLOOKUP(K235,'Fevereiro 2023 - Valor Real'!A3:A15,'Fevereiro 2023 - Valor Real'!C3:C15,0))+1),((L236-1)*(1-_xlfn.XLOOKUP(K236,'Fevereiro 2023 - Valor Real'!A3:A15,'Fevereiro 2023 - Valor Real'!C3:C15,0))+1),((L237-1)*(1-_xlfn.XLOOKUP(K237,'Fevereiro 2023 - Valor Real'!A3:A15,'Fevereiro 2023 - Valor Real'!C3:C15,0))+1))/((L235-1)*(1-_xlfn.XLOOKUP(K235,'Fevereiro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Real'!C3:C15,0))+1))/((L235-1)*(1-_xlfn.XLOOKUP(K235,'Fevereiro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Real'!C3:C15,0))+1))/((L236-1)*(1-_xlfn.XLOOKUP(K236,'Fevereiro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Real'!C3:C15,0))+1))/((L237-1)*(1-_xlfn.XLOOKUP(K237,'Fevereiro 2023 - Valor Real'!A3:A15,'Fevereiro 2023 - Valor Real'!C3:C15,0))+1)),IF(I235="Lay",IF(I236="Lay",((L236/(L236-1)-1)*(1-_xlfn.XLOOKUP(K236,'Fevereiro 2023 - Valor Real'!A3:A15,'Fevereiro 2023 - Valor Real'!C3:C15,0))+1)/(((L236/(L236-1)-1)*(1-_xlfn.XLOOKUP(K236,'Fevereiro 2023 - Valor Real'!A3:A15,'Fevereiro 2023 - Valor Real'!C3:C15,0))+1)+((L235/(L235-1)-1)*(1-_xlfn.XLOOKUP(K235,'Fevereiro 2023 - Valor Real'!A3:A15,'Fevereiro 2023 - Valor Real'!C3:C15,0))+1)),((L236-1)*(1-_xlfn.XLOOKUP(K236,'Fevereiro 2023 - Valor Real'!A3:A15,'Fevereiro 2023 - Valor Real'!C3:C15,0))+1)/(((L236-1)*(1-_xlfn.XLOOKUP(K236,'Fevereiro 2023 - Valor Real'!A3:A15,'Fevereiro 2023 - Valor Real'!C3:C15,0))+1)+((L235/(L235-1)-1)*(1-_xlfn.XLOOKUP(K235,'Fevereiro 2023 - Valor Real'!A3:A15,'Fevereiro 2023 - Valor Real'!C3:C15,0))+1))),IF(I236="Lay",(((L236/(L236-1)-1)*(1-_xlfn.XLOOKUP(K236,'Fevereiro 2023 - Valor Real'!A3:A15,'Fevereiro 2023 - Valor Real'!C3:C15,0))+1))/(((L235-1)*(1-_xlfn.XLOOKUP(K235,'Fevereiro 2023 - Valor Real'!A3:A15,'Fevereiro 2023 - Valor Real'!C3:C15,0))+1)+((L236/(L236-1)-1)*(1-_xlfn.XLOOKUP(K236,'Fevereiro 2023 - Valor Real'!A3:A15,'Fevereiro 2023 - Valor Real'!C3:C15,0))+1)),((L236-1)*(1-_xlfn.XLOOKUP(K236,'Fevereiro 2023 - Valor Real'!A3:A15,'Fevereiro 2023 - Valor Real'!C3:C15,0))+1)/(((L236-1)*(1-_xlfn.XLOOKUP(K236,'Fevereiro 2023 - Valor Real'!A3:A15,'Fevereiro 2023 - Valor Real'!C3:C15,0))+1)+((L235-1)*(1-_xlfn.XLOOKUP(K235,'Fevereiro 2023 - Valor Real'!A3:A15,'Fevereiro 2023 - Valor Real'!C3:C15,0))+1))))))</f>
        <v>0.48156682027649766</v>
      </c>
      <c r="AF235" s="105">
        <f t="shared" si="473"/>
        <v>0</v>
      </c>
      <c r="AG235" s="106">
        <f t="shared" si="473"/>
        <v>0</v>
      </c>
      <c r="AH235" s="106">
        <f t="shared" si="473"/>
        <v>0</v>
      </c>
      <c r="AI235" s="106">
        <f t="shared" si="473"/>
        <v>6.9</v>
      </c>
      <c r="AJ235" s="106">
        <f t="shared" si="473"/>
        <v>0</v>
      </c>
      <c r="AK235" s="106">
        <f t="shared" si="473"/>
        <v>0</v>
      </c>
      <c r="AL235" s="106">
        <f t="shared" si="473"/>
        <v>0</v>
      </c>
      <c r="AM235" s="106">
        <f t="shared" si="473"/>
        <v>0</v>
      </c>
      <c r="AN235" s="106">
        <f t="shared" si="473"/>
        <v>0</v>
      </c>
      <c r="AO235" s="106">
        <f t="shared" si="473"/>
        <v>0</v>
      </c>
      <c r="AP235" s="106">
        <f t="shared" si="473"/>
        <v>0</v>
      </c>
      <c r="AQ235" s="106">
        <f t="shared" si="473"/>
        <v>0</v>
      </c>
      <c r="AR235" s="107">
        <f t="shared" si="473"/>
        <v>0</v>
      </c>
      <c r="AS235" s="105">
        <f t="shared" ref="AS235:BE235" si="476">IF(AND($B235=" ",$K235=AS$3),$O235,0)</f>
        <v>0</v>
      </c>
      <c r="AT235" s="106">
        <f t="shared" si="476"/>
        <v>0</v>
      </c>
      <c r="AU235" s="106">
        <f t="shared" si="476"/>
        <v>0</v>
      </c>
      <c r="AV235" s="106">
        <f t="shared" si="476"/>
        <v>0</v>
      </c>
      <c r="AW235" s="106">
        <f t="shared" si="476"/>
        <v>0</v>
      </c>
      <c r="AX235" s="106">
        <f t="shared" si="476"/>
        <v>0</v>
      </c>
      <c r="AY235" s="108">
        <f t="shared" si="476"/>
        <v>0</v>
      </c>
      <c r="AZ235" s="109">
        <f t="shared" si="476"/>
        <v>0</v>
      </c>
      <c r="BA235" s="109">
        <f t="shared" si="476"/>
        <v>0</v>
      </c>
      <c r="BB235" s="109">
        <f t="shared" si="476"/>
        <v>0</v>
      </c>
      <c r="BC235" s="110">
        <f t="shared" si="476"/>
        <v>0</v>
      </c>
      <c r="BD235" s="106">
        <f t="shared" si="476"/>
        <v>0</v>
      </c>
      <c r="BE235" s="107">
        <f t="shared" si="476"/>
        <v>0</v>
      </c>
      <c r="BF235" s="111">
        <f t="shared" si="475"/>
        <v>0</v>
      </c>
      <c r="BG235" s="106">
        <f t="shared" si="475"/>
        <v>0</v>
      </c>
      <c r="BH235" s="106">
        <f t="shared" si="475"/>
        <v>0</v>
      </c>
      <c r="BI235" s="106">
        <f t="shared" si="475"/>
        <v>5.52</v>
      </c>
      <c r="BJ235" s="106">
        <f t="shared" si="475"/>
        <v>0</v>
      </c>
      <c r="BK235" s="106">
        <f t="shared" si="475"/>
        <v>0</v>
      </c>
      <c r="BL235" s="106">
        <f t="shared" si="475"/>
        <v>0</v>
      </c>
      <c r="BM235" s="108">
        <f t="shared" si="475"/>
        <v>0</v>
      </c>
      <c r="BN235" s="109">
        <f t="shared" si="475"/>
        <v>0</v>
      </c>
      <c r="BO235" s="109">
        <f t="shared" si="475"/>
        <v>0</v>
      </c>
      <c r="BP235" s="109">
        <f t="shared" si="475"/>
        <v>0</v>
      </c>
      <c r="BQ235" s="110">
        <f t="shared" si="475"/>
        <v>0</v>
      </c>
      <c r="BR235" s="107">
        <f t="shared" si="475"/>
        <v>0</v>
      </c>
      <c r="BS235" s="463">
        <f>IF($B235="LOSS",IF(AND($K235=BS$3,$C235="L"),-$O235,0)+IF(AND($K236=BS$3,$C236="L"),-$O236,0)+IF(AND($K237=BS$3,$C237="L"),-$O237,0),IF(OR(AND($K235=BS$3,OR($C235="W",$C235="1/2W")),AND($K236=BS$3,OR($C236="W",$C236="1/2W")),AND($K237=BS$3,OR($C237="W",$C237="1/2W"))),$S235,0))</f>
        <v>0</v>
      </c>
      <c r="BT235" s="462">
        <f>IF($B235="LOSS",IF(AND($K235=BT$3,$C235="L"),-$O235,0)+IF(AND($K236=BT$3,$C236="L"),-$O236,0)+IF(AND($K236=BT$3,$C237="L"),-$O237,0),IF(OR(AND($K236=BT$3,OR($C235="W",$C235="1/2W")),AND($K236=BT$3,OR($C236="W",$C236="1/2W")),AND($K236=BT$3,OR($C237="W",$C237="1/2W"))),$S235,0))</f>
        <v>0</v>
      </c>
      <c r="BU235" s="462">
        <f>IF($B235="LOSS",IF(AND($K235=BU$3,$C235="L"),-$O235,0)+IF(AND($K236=BU$3,$C236="L"),-$O236,0)+IF(AND($K236=BU$3,$C237="L"),-$O237,0),IF(OR(AND($K236=BU$3,OR($C235="W",$C235="1/2W")),AND($K236=BU$3,OR($C236="W",$C236="1/2W")),AND($K236=BU$3,OR($C237="W",$C237="1/2W"))),$S235,0))</f>
        <v>0</v>
      </c>
      <c r="BV235" s="462">
        <f t="shared" ref="BV235:CE235" si="477">IF($B235="LOSS",IF(AND($K235=BV$3,$C235="L"),-$O235,0)+IF(AND($K236=BV$3,$C236="L"),-$O236,0)+IF(AND($K237=BV$3,$C237="L"),-$O237,0),IF(OR(AND($K235=BV$3,OR($C235="W",$C235="1/2W")),AND($K236=BV$3,OR($C236="W",$C236="1/2W")),AND($K237=BV$3,OR($C237="W",$C237="1/2W"))),$S235,0))</f>
        <v>0.95</v>
      </c>
      <c r="BW235" s="462">
        <f t="shared" si="477"/>
        <v>0</v>
      </c>
      <c r="BX235" s="462">
        <f t="shared" si="477"/>
        <v>0</v>
      </c>
      <c r="BY235" s="462">
        <f t="shared" si="477"/>
        <v>0</v>
      </c>
      <c r="BZ235" s="460">
        <f t="shared" si="477"/>
        <v>0</v>
      </c>
      <c r="CA235" s="460">
        <f t="shared" si="477"/>
        <v>0</v>
      </c>
      <c r="CB235" s="460">
        <f t="shared" si="477"/>
        <v>0</v>
      </c>
      <c r="CC235" s="460">
        <f t="shared" si="477"/>
        <v>0</v>
      </c>
      <c r="CD235" s="473">
        <f t="shared" si="477"/>
        <v>0</v>
      </c>
      <c r="CE235" s="479">
        <f t="shared" si="477"/>
        <v>0</v>
      </c>
      <c r="CF235" s="113">
        <f t="shared" si="388"/>
        <v>0</v>
      </c>
      <c r="CG235" s="114">
        <f t="shared" si="389"/>
        <v>0</v>
      </c>
      <c r="CH235" s="114">
        <f t="shared" si="390"/>
        <v>0</v>
      </c>
      <c r="CI235" s="114">
        <f t="shared" si="391"/>
        <v>0</v>
      </c>
      <c r="CJ235" s="114">
        <f t="shared" si="392"/>
        <v>0</v>
      </c>
      <c r="CK235" s="114">
        <f t="shared" si="393"/>
        <v>0</v>
      </c>
      <c r="CL235" s="114">
        <f t="shared" si="394"/>
        <v>1</v>
      </c>
      <c r="CM235" s="114">
        <f t="shared" si="395"/>
        <v>0</v>
      </c>
      <c r="CN235" s="114">
        <f t="shared" si="396"/>
        <v>0</v>
      </c>
      <c r="CO235" s="114">
        <f t="shared" si="397"/>
        <v>0</v>
      </c>
      <c r="CP235" s="114">
        <f t="shared" si="398"/>
        <v>0</v>
      </c>
      <c r="CQ235" s="114">
        <f t="shared" si="399"/>
        <v>0</v>
      </c>
      <c r="CR235" s="114">
        <f t="shared" si="400"/>
        <v>0</v>
      </c>
      <c r="CS235" s="114">
        <f t="shared" si="401"/>
        <v>0</v>
      </c>
      <c r="CT235" s="115">
        <f t="shared" si="402"/>
        <v>0</v>
      </c>
      <c r="CU235" s="116">
        <f t="shared" si="403"/>
        <v>0</v>
      </c>
      <c r="CV235" s="116">
        <f t="shared" si="404"/>
        <v>0</v>
      </c>
      <c r="CW235" s="116">
        <f t="shared" si="405"/>
        <v>0</v>
      </c>
      <c r="CX235" s="116">
        <f t="shared" si="406"/>
        <v>0</v>
      </c>
      <c r="CY235" s="116">
        <f t="shared" si="407"/>
        <v>0</v>
      </c>
      <c r="CZ235" s="116">
        <f t="shared" si="408"/>
        <v>0</v>
      </c>
      <c r="DA235" s="116">
        <f t="shared" si="409"/>
        <v>0</v>
      </c>
      <c r="DB235" s="116">
        <f t="shared" si="410"/>
        <v>0</v>
      </c>
      <c r="DC235" s="116">
        <f t="shared" si="411"/>
        <v>0</v>
      </c>
      <c r="DD235" s="116">
        <f t="shared" si="412"/>
        <v>0</v>
      </c>
      <c r="DE235" s="117">
        <f t="shared" si="413"/>
        <v>0</v>
      </c>
      <c r="DF235" s="118">
        <f t="shared" si="415"/>
        <v>15</v>
      </c>
      <c r="DG235" s="106">
        <f t="shared" si="416"/>
        <v>19.170000000000002</v>
      </c>
      <c r="DH235" s="116">
        <f t="shared" si="417"/>
        <v>6</v>
      </c>
      <c r="DI235" s="106">
        <f t="shared" si="418"/>
        <v>25.63</v>
      </c>
      <c r="DJ235" s="201" t="str">
        <f>IF($D235="","",$D235)</f>
        <v>7</v>
      </c>
      <c r="DK235" s="465">
        <f>IF(AND($B235=" ",$D235&lt;&gt;""),1,0)</f>
        <v>0</v>
      </c>
    </row>
    <row r="236" spans="1:115" ht="14.5" customHeight="1" x14ac:dyDescent="0.2">
      <c r="A236" s="389"/>
      <c r="B236" s="456"/>
      <c r="C236" s="120" t="s">
        <v>55</v>
      </c>
      <c r="D236" s="374"/>
      <c r="E236" s="386"/>
      <c r="F236" s="377"/>
      <c r="G236" s="483"/>
      <c r="H236" s="476"/>
      <c r="I236" s="121" t="s">
        <v>76</v>
      </c>
      <c r="J236" s="122">
        <v>0.5</v>
      </c>
      <c r="K236" s="123" t="s">
        <v>40</v>
      </c>
      <c r="L236" s="124">
        <v>2.09</v>
      </c>
      <c r="M236" s="125">
        <v>5.95</v>
      </c>
      <c r="N236" s="406"/>
      <c r="O236" s="126">
        <f>IF(OR(AE235="",AE236=""),"",ROUND(IF(L237&gt;0,IF(M236&gt;0,M236,IF(M235&gt;0,IF(N235=TRUE,ROUND((M235*AE236)/AE235,0),(M235*AE236)/AE235),IF(M236&gt;0,ROUND(M236,IF(N235=0,2,IF(N235=0.1,1,0))),IF(M237&gt;0,ROUND(O237*AE236/AE237,IF(N235=0,2,IF(N235=0.1,1,0))),0)))),IF(M236&gt;0,M236,ROUND((M235*AE236)/AE235,IF(N235=0,2,IF(N235=0.1,1,0))))),2))</f>
        <v>5.95</v>
      </c>
      <c r="P236" s="127">
        <f>IF(OR(L236="",O236=""),"",IF($C236="1/2W",O236/2+O236/2*L236,IF($C236="1/2L",O236/2,IF(I236="Lay",((O236*(L236/(L236-1)))-O236)*(1-_xlfn.XLOOKUP(K236,'Fevereiro 2023 - Valor Real'!A3:A15,'Fevereiro 2023 - Valor Real'!C3:C15,0))+O236,(O236*L236-O236)*(1-_xlfn.XLOOKUP(K236,'Fevereiro 2023 - Valor Real'!A3:A15,'Fevereiro 2023 - Valor Real'!C3:C15,0))+O236))))</f>
        <v>12.435499999999999</v>
      </c>
      <c r="Q236" s="128">
        <f>IF(K236="","",IF(_xlfn.XLOOKUP(K236,K$7:K230,$DJ$7:DJ230,0,,-1)=DJ236,_xlfn.XLOOKUP(K236,K$7:K230,Q$7:Q230,1,,-1)+1,1))</f>
        <v>2</v>
      </c>
      <c r="R236" s="129">
        <f>IF(K236="","",_xlfn.XLOOKUP(K236,K$7:K230,R$7:R230,0,,-1)+IF($C236=" ",1,0))</f>
        <v>0</v>
      </c>
      <c r="S236" s="403"/>
      <c r="T236" s="380"/>
      <c r="U236" s="380"/>
      <c r="V236" s="481"/>
      <c r="W236" s="380"/>
      <c r="X236" s="452"/>
      <c r="Y236" s="383"/>
      <c r="Z236" s="384"/>
      <c r="AA236" s="384"/>
      <c r="AB236" s="384"/>
      <c r="AC236" s="384"/>
      <c r="AD236" s="130">
        <f>(((L236/(L236-1)-1)*(1-_xlfn.XLOOKUP(K236,'Fevereiro 2023 - Valor Real'!A3:A15,'Fevereiro 2023 - Valor Real'!C3:C15,0))+1))</f>
        <v>1.9174311926605505</v>
      </c>
      <c r="AE236" s="131">
        <f>IF(L236="","",IF(L237&gt;0,(SUM(((L235-1)*(1-_xlfn.XLOOKUP(K235,'Fevereiro 2023 - Valor Real'!A3:A15,'Fevereiro 2023 - Valor Real'!C3:C15,0))+1),((L236-1)*(1-_xlfn.XLOOKUP(K236,'Fevereiro 2023 - Valor Real'!A3:A15,'Fevereiro 2023 - Valor Real'!C3:C15,0))+1),((L237-1)*(1-_xlfn.XLOOKUP(K237,'Fevereiro 2023 - Valor Real'!A3:A15,'Fevereiro 2023 - Valor Real'!C3:C15,0))+1))/((L236-1)*(1-_xlfn.XLOOKUP(K236,'Fevereiro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Real'!C3:C15,0))+1))/((L235-1)*(1-_xlfn.XLOOKUP(K235,'Fevereiro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Real'!C3:C15,0))+1))/((L236-1)*(1-_xlfn.XLOOKUP(K236,'Fevereiro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Real'!C3:C15,0))+1))/((L237-1)*(1-_xlfn.XLOOKUP(K237,'Fevereiro 2023 - Valor Real'!A3:A15,'Fevereiro 2023 - Valor Real'!C3:C15,0))+1)),IF(I236="Lay",IF(I235="Lay",((L235/(L235-1)-1)*(1-_xlfn.XLOOKUP(K235,'Fevereiro 2023 - Valor Real'!A3:A15,'Fevereiro 2023 - Valor Real'!C3:C15,0))+1)/(((L235/(L235-1)-1)*(1-_xlfn.XLOOKUP(K235,'Fevereiro 2023 - Valor Real'!A3:A15,'Fevereiro 2023 - Valor Real'!C3:C15,0))+1)+((L236/(L236-1)-1)*(1-_xlfn.XLOOKUP(K236,'Fevereiro 2023 - Valor Real'!A3:A15,'Fevereiro 2023 - Valor Real'!C3:C15,0))+1)),((L235-1)*(1-_xlfn.XLOOKUP(K235,'Fevereiro 2023 - Valor Real'!A3:A15,'Fevereiro 2023 - Valor Real'!C3:C15,0))+1)/(((L235-1)*(1-_xlfn.XLOOKUP(K235,'Fevereiro 2023 - Valor Real'!A3:A15,'Fevereiro 2023 - Valor Real'!C3:C15,0))+1)+((L236/(L236-1)-1)*(1-_xlfn.XLOOKUP(K236,'Fevereiro 2023 - Valor Real'!A3:A15,'Fevereiro 2023 - Valor Real'!C3:C15,0))+1))),IF(I235="Lay",((L235/(L235-1)-1)*(1-_xlfn.XLOOKUP(K235,'Fevereiro 2023 - Valor Real'!A3:A15,'Fevereiro 2023 - Valor Real'!C3:C15,0))+1)/((((L235/(L235-1)-1)*(1-_xlfn.XLOOKUP(K235,'Fevereiro 2023 - Valor Real'!A3:A15,'Fevereiro 2023 - Valor Real'!C3:C15,0))+1))+((L236-1)*(1-_xlfn.XLOOKUP(K236,'Fevereiro 2023 - Valor Real'!A3:A15,'Fevereiro 2023 - Valor Real'!C3:C15,0))+1)),((L235-1)*(1-_xlfn.XLOOKUP(K235,'Fevereiro 2023 - Valor Real'!A3:A15,'Fevereiro 2023 - Valor Real'!C3:C15,0))+1)/(((L235-1)*(1-_xlfn.XLOOKUP(K235,'Fevereiro 2023 - Valor Real'!A3:A15,'Fevereiro 2023 - Valor Real'!C3:C15,0))+1)+((L236-1)*(1-_xlfn.XLOOKUP(K236,'Fevereiro 2023 - Valor Real'!A3:A15,'Fevereiro 2023 - Valor Real'!C3:C15,0))+1))))))</f>
        <v>0.51843317972350234</v>
      </c>
      <c r="AF236" s="105">
        <f t="shared" si="473"/>
        <v>0</v>
      </c>
      <c r="AG236" s="106">
        <f t="shared" si="473"/>
        <v>0</v>
      </c>
      <c r="AH236" s="106">
        <f t="shared" si="473"/>
        <v>0</v>
      </c>
      <c r="AI236" s="106">
        <f t="shared" si="473"/>
        <v>0</v>
      </c>
      <c r="AJ236" s="106">
        <f t="shared" si="473"/>
        <v>-5.95</v>
      </c>
      <c r="AK236" s="106">
        <f t="shared" si="473"/>
        <v>0</v>
      </c>
      <c r="AL236" s="106">
        <f t="shared" si="473"/>
        <v>0</v>
      </c>
      <c r="AM236" s="106">
        <f t="shared" si="473"/>
        <v>0</v>
      </c>
      <c r="AN236" s="106">
        <f t="shared" si="473"/>
        <v>0</v>
      </c>
      <c r="AO236" s="106">
        <f t="shared" si="473"/>
        <v>0</v>
      </c>
      <c r="AP236" s="106">
        <f t="shared" si="473"/>
        <v>0</v>
      </c>
      <c r="AQ236" s="106">
        <f t="shared" si="473"/>
        <v>0</v>
      </c>
      <c r="AR236" s="107">
        <f t="shared" si="473"/>
        <v>0</v>
      </c>
      <c r="AS236" s="105">
        <f>IF(AND($B235=" ",$K236=AS$3),$O236,0)</f>
        <v>0</v>
      </c>
      <c r="AT236" s="106">
        <f>IF(AND($B235=" ",K236=AT$3),$O236,0)</f>
        <v>0</v>
      </c>
      <c r="AU236" s="106">
        <f t="shared" ref="AU236:BE236" si="478">IF(AND($B235=" ",$K236=AU$3),$O236,0)</f>
        <v>0</v>
      </c>
      <c r="AV236" s="106">
        <f t="shared" si="478"/>
        <v>0</v>
      </c>
      <c r="AW236" s="106">
        <f t="shared" si="478"/>
        <v>0</v>
      </c>
      <c r="AX236" s="106">
        <f t="shared" si="478"/>
        <v>0</v>
      </c>
      <c r="AY236" s="108">
        <f t="shared" si="478"/>
        <v>0</v>
      </c>
      <c r="AZ236" s="109">
        <f t="shared" si="478"/>
        <v>0</v>
      </c>
      <c r="BA236" s="109">
        <f t="shared" si="478"/>
        <v>0</v>
      </c>
      <c r="BB236" s="109">
        <f t="shared" si="478"/>
        <v>0</v>
      </c>
      <c r="BC236" s="110">
        <f t="shared" si="478"/>
        <v>0</v>
      </c>
      <c r="BD236" s="106">
        <f t="shared" si="478"/>
        <v>0</v>
      </c>
      <c r="BE236" s="107">
        <f t="shared" si="478"/>
        <v>0</v>
      </c>
      <c r="BF236" s="105">
        <f t="shared" si="475"/>
        <v>0</v>
      </c>
      <c r="BG236" s="106">
        <f t="shared" si="475"/>
        <v>0</v>
      </c>
      <c r="BH236" s="106">
        <f t="shared" si="475"/>
        <v>0</v>
      </c>
      <c r="BI236" s="106">
        <f t="shared" si="475"/>
        <v>0</v>
      </c>
      <c r="BJ236" s="106">
        <f t="shared" si="475"/>
        <v>5.95</v>
      </c>
      <c r="BK236" s="106">
        <f t="shared" si="475"/>
        <v>0</v>
      </c>
      <c r="BL236" s="106">
        <f t="shared" si="475"/>
        <v>0</v>
      </c>
      <c r="BM236" s="132">
        <f t="shared" si="475"/>
        <v>0</v>
      </c>
      <c r="BN236" s="112">
        <f t="shared" si="475"/>
        <v>0</v>
      </c>
      <c r="BO236" s="112">
        <f t="shared" si="475"/>
        <v>0</v>
      </c>
      <c r="BP236" s="112">
        <f t="shared" si="475"/>
        <v>0</v>
      </c>
      <c r="BQ236" s="110">
        <f t="shared" si="475"/>
        <v>0</v>
      </c>
      <c r="BR236" s="107">
        <f t="shared" si="475"/>
        <v>0</v>
      </c>
      <c r="BS236" s="464"/>
      <c r="BT236" s="461"/>
      <c r="BU236" s="392"/>
      <c r="BV236" s="461"/>
      <c r="BW236" s="392"/>
      <c r="BX236" s="392"/>
      <c r="BY236" s="392"/>
      <c r="BZ236" s="461"/>
      <c r="CA236" s="392"/>
      <c r="CB236" s="392"/>
      <c r="CC236" s="392"/>
      <c r="CD236" s="401"/>
      <c r="CE236" s="409"/>
      <c r="CF236" s="133">
        <f t="shared" si="388"/>
        <v>0</v>
      </c>
      <c r="CG236" s="134">
        <f t="shared" si="389"/>
        <v>0</v>
      </c>
      <c r="CH236" s="134">
        <f t="shared" si="390"/>
        <v>0</v>
      </c>
      <c r="CI236" s="134">
        <f t="shared" si="391"/>
        <v>0</v>
      </c>
      <c r="CJ236" s="134">
        <f t="shared" si="392"/>
        <v>0</v>
      </c>
      <c r="CK236" s="134">
        <f t="shared" si="393"/>
        <v>0</v>
      </c>
      <c r="CL236" s="134">
        <f t="shared" si="394"/>
        <v>0</v>
      </c>
      <c r="CM236" s="134">
        <f t="shared" si="395"/>
        <v>0</v>
      </c>
      <c r="CN236" s="134">
        <f t="shared" si="396"/>
        <v>0</v>
      </c>
      <c r="CO236" s="134">
        <f t="shared" si="397"/>
        <v>1</v>
      </c>
      <c r="CP236" s="134">
        <f t="shared" si="398"/>
        <v>0</v>
      </c>
      <c r="CQ236" s="134">
        <f t="shared" si="399"/>
        <v>0</v>
      </c>
      <c r="CR236" s="134">
        <f t="shared" si="400"/>
        <v>0</v>
      </c>
      <c r="CS236" s="134">
        <f t="shared" si="401"/>
        <v>0</v>
      </c>
      <c r="CT236" s="115">
        <f t="shared" si="402"/>
        <v>0</v>
      </c>
      <c r="CU236" s="116">
        <f t="shared" si="403"/>
        <v>0</v>
      </c>
      <c r="CV236" s="116">
        <f t="shared" si="404"/>
        <v>0</v>
      </c>
      <c r="CW236" s="116">
        <f t="shared" si="405"/>
        <v>0</v>
      </c>
      <c r="CX236" s="116">
        <f t="shared" si="406"/>
        <v>0</v>
      </c>
      <c r="CY236" s="116">
        <f t="shared" si="407"/>
        <v>0</v>
      </c>
      <c r="CZ236" s="116">
        <f t="shared" si="408"/>
        <v>0</v>
      </c>
      <c r="DA236" s="116">
        <f t="shared" si="409"/>
        <v>0</v>
      </c>
      <c r="DB236" s="116">
        <f t="shared" si="410"/>
        <v>0</v>
      </c>
      <c r="DC236" s="116">
        <f t="shared" si="411"/>
        <v>0</v>
      </c>
      <c r="DD236" s="116">
        <f t="shared" si="412"/>
        <v>0</v>
      </c>
      <c r="DE236" s="117">
        <f t="shared" si="413"/>
        <v>0</v>
      </c>
      <c r="DF236" s="118">
        <f t="shared" si="415"/>
        <v>15</v>
      </c>
      <c r="DG236" s="106">
        <f t="shared" si="416"/>
        <v>19.170000000000002</v>
      </c>
      <c r="DH236" s="116">
        <f t="shared" si="417"/>
        <v>6</v>
      </c>
      <c r="DI236" s="106">
        <f t="shared" si="418"/>
        <v>25.63</v>
      </c>
      <c r="DJ236" s="201" t="str">
        <f>IF($D235="","",$D235)</f>
        <v>7</v>
      </c>
      <c r="DK236" s="466"/>
    </row>
    <row r="237" spans="1:115" ht="14.5" customHeight="1" x14ac:dyDescent="0.2">
      <c r="A237" s="390"/>
      <c r="B237" s="457"/>
      <c r="C237" s="135" t="s">
        <v>53</v>
      </c>
      <c r="D237" s="375"/>
      <c r="E237" s="387"/>
      <c r="F237" s="378"/>
      <c r="G237" s="515"/>
      <c r="H237" s="514"/>
      <c r="I237" s="218"/>
      <c r="J237" s="209"/>
      <c r="K237" s="210"/>
      <c r="L237" s="211"/>
      <c r="M237" s="212"/>
      <c r="N237" s="407"/>
      <c r="O237" s="141" t="str">
        <f>IF(OR(AE235="",AE236=""),"",IF(L237&gt;0,ROUND(IF(M237&gt;0,M237,IF(M235&gt;0,ROUND((M235*AE237)/AE235,IF(N235=0,2,IF(N235=0.1,1,0))),IF(M236&gt;0,ROUND((M236*AE237)/AE236,IF(N235=0,2,IF(N235=0.1,1,0))),IF(M237&gt;0,M237,0)))),2),""))</f>
        <v/>
      </c>
      <c r="P237" s="142" t="str">
        <f>IF(I236="Lay",O236*(L236/(L236-1))-O236,IF(I235="Lay",O235*(L235/(L235-1))-O235,IF(OR(L237="",O237=""),"",IF($C237="1/2W",O237/2+O237/2*L237,IF($C237="1/2L",O237/2,(O237*L237-O237)*(1-_xlfn.XLOOKUP(K237,'Fevereiro 2023 - Valor Real'!A3:A15,'Fevereiro 2023 - Valor Real'!C3:C15,0))+O237)))))</f>
        <v/>
      </c>
      <c r="Q237" s="143" t="str">
        <f>IF(K237="","",IF(_xlfn.XLOOKUP(K237,K$8:K230,$DJ$8:DJ230,0,,-1)=DJ237,_xlfn.XLOOKUP(K237,K$8:K230,Q$8:Q230,1,,-1)+1,1))</f>
        <v/>
      </c>
      <c r="R237" s="144" t="str">
        <f>IF(K237="","",_xlfn.XLOOKUP(K237,K$8:K230,R$8:R230,0,,-1)+IF($C237=" ",1,0))</f>
        <v/>
      </c>
      <c r="S237" s="404"/>
      <c r="T237" s="378"/>
      <c r="U237" s="378"/>
      <c r="V237" s="404"/>
      <c r="W237" s="378"/>
      <c r="X237" s="453"/>
      <c r="Y237" s="383"/>
      <c r="Z237" s="384"/>
      <c r="AA237" s="384"/>
      <c r="AB237" s="384"/>
      <c r="AC237" s="384"/>
      <c r="AD237" s="145">
        <f>((L236/(L236-1)-1))</f>
        <v>0.91743119266055051</v>
      </c>
      <c r="AE237" s="146" t="str">
        <f>IF(L237="","",(SUM(((L235-1)*(1-_xlfn.XLOOKUP(K235,'Fevereiro 2023 - Valor Real'!A3:A15,'Fevereiro 2023 - Valor Real'!C3:C15,0))+1),((L236-1)*(1-_xlfn.XLOOKUP(K236,'Fevereiro 2023 - Valor Real'!A3:A15,'Fevereiro 2023 - Valor Real'!C3:C15,0))+1),((L237-1)*(1-_xlfn.XLOOKUP(K237,'Fevereiro 2023 - Valor Real'!A3:A15,'Fevereiro 2023 - Valor Real'!C3:C15,0))+1))/((L237-1)*(1-_xlfn.XLOOKUP(K237,'Fevereiro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Real'!C3:C15,0))+1))/((L235-1)*(1-_xlfn.XLOOKUP(K235,'Fevereiro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Real'!C3:C15,0))+1))/((L236-1)*(1-_xlfn.XLOOKUP(K236,'Fevereiro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Real'!C3:C15,0))+1))/((L237-1)*(1-_xlfn.XLOOKUP(K237,'Fevereiro 2023 - Valor Real'!A3:A15,'Fevereiro 2023 - Valor Real'!C3:C15,0))+1)))</f>
        <v/>
      </c>
      <c r="AF237" s="105">
        <f t="shared" si="473"/>
        <v>0</v>
      </c>
      <c r="AG237" s="106">
        <f t="shared" si="473"/>
        <v>0</v>
      </c>
      <c r="AH237" s="106">
        <f t="shared" si="473"/>
        <v>0</v>
      </c>
      <c r="AI237" s="106">
        <f t="shared" si="473"/>
        <v>0</v>
      </c>
      <c r="AJ237" s="106">
        <f t="shared" si="473"/>
        <v>0</v>
      </c>
      <c r="AK237" s="106">
        <f t="shared" si="473"/>
        <v>0</v>
      </c>
      <c r="AL237" s="106">
        <f t="shared" si="473"/>
        <v>0</v>
      </c>
      <c r="AM237" s="106">
        <f t="shared" si="473"/>
        <v>0</v>
      </c>
      <c r="AN237" s="106">
        <f t="shared" si="473"/>
        <v>0</v>
      </c>
      <c r="AO237" s="106">
        <f t="shared" si="473"/>
        <v>0</v>
      </c>
      <c r="AP237" s="106">
        <f t="shared" si="473"/>
        <v>0</v>
      </c>
      <c r="AQ237" s="106">
        <f t="shared" si="473"/>
        <v>0</v>
      </c>
      <c r="AR237" s="107">
        <f t="shared" si="473"/>
        <v>0</v>
      </c>
      <c r="AS237" s="105">
        <f>IF(AND($B235=" ",$K237=AS$3),$O237,0)</f>
        <v>0</v>
      </c>
      <c r="AT237" s="106">
        <f>IF(AND($B235=" ",K237=AT$3),$O237,0)</f>
        <v>0</v>
      </c>
      <c r="AU237" s="106">
        <f t="shared" ref="AU237:BE237" si="479">IF(AND($B235=" ",$K237=AU$3),$O237,0)</f>
        <v>0</v>
      </c>
      <c r="AV237" s="106">
        <f t="shared" si="479"/>
        <v>0</v>
      </c>
      <c r="AW237" s="106">
        <f t="shared" si="479"/>
        <v>0</v>
      </c>
      <c r="AX237" s="106">
        <f t="shared" si="479"/>
        <v>0</v>
      </c>
      <c r="AY237" s="108">
        <f t="shared" si="479"/>
        <v>0</v>
      </c>
      <c r="AZ237" s="109">
        <f t="shared" si="479"/>
        <v>0</v>
      </c>
      <c r="BA237" s="109">
        <f t="shared" si="479"/>
        <v>0</v>
      </c>
      <c r="BB237" s="109">
        <f t="shared" si="479"/>
        <v>0</v>
      </c>
      <c r="BC237" s="110">
        <f t="shared" si="479"/>
        <v>0</v>
      </c>
      <c r="BD237" s="106">
        <f t="shared" si="479"/>
        <v>0</v>
      </c>
      <c r="BE237" s="107">
        <f t="shared" si="479"/>
        <v>0</v>
      </c>
      <c r="BF237" s="105">
        <f t="shared" si="475"/>
        <v>0</v>
      </c>
      <c r="BG237" s="106">
        <f t="shared" si="475"/>
        <v>0</v>
      </c>
      <c r="BH237" s="106">
        <f t="shared" si="475"/>
        <v>0</v>
      </c>
      <c r="BI237" s="106">
        <f t="shared" si="475"/>
        <v>0</v>
      </c>
      <c r="BJ237" s="106">
        <f t="shared" si="475"/>
        <v>0</v>
      </c>
      <c r="BK237" s="106">
        <f t="shared" si="475"/>
        <v>0</v>
      </c>
      <c r="BL237" s="106">
        <f t="shared" si="475"/>
        <v>0</v>
      </c>
      <c r="BM237" s="108">
        <f t="shared" si="475"/>
        <v>0</v>
      </c>
      <c r="BN237" s="109">
        <f t="shared" si="475"/>
        <v>0</v>
      </c>
      <c r="BO237" s="109">
        <f t="shared" si="475"/>
        <v>0</v>
      </c>
      <c r="BP237" s="109">
        <f t="shared" si="475"/>
        <v>0</v>
      </c>
      <c r="BQ237" s="110">
        <f t="shared" si="475"/>
        <v>0</v>
      </c>
      <c r="BR237" s="107">
        <f t="shared" si="475"/>
        <v>0</v>
      </c>
      <c r="BS237" s="464"/>
      <c r="BT237" s="461"/>
      <c r="BU237" s="392"/>
      <c r="BV237" s="461"/>
      <c r="BW237" s="392"/>
      <c r="BX237" s="392"/>
      <c r="BY237" s="392"/>
      <c r="BZ237" s="461"/>
      <c r="CA237" s="392"/>
      <c r="CB237" s="392"/>
      <c r="CC237" s="392"/>
      <c r="CD237" s="401"/>
      <c r="CE237" s="409"/>
      <c r="CF237" s="133">
        <f t="shared" si="388"/>
        <v>0</v>
      </c>
      <c r="CG237" s="134">
        <f t="shared" si="389"/>
        <v>0</v>
      </c>
      <c r="CH237" s="134">
        <f t="shared" si="390"/>
        <v>0</v>
      </c>
      <c r="CI237" s="134">
        <f t="shared" si="391"/>
        <v>0</v>
      </c>
      <c r="CJ237" s="134">
        <f t="shared" si="392"/>
        <v>0</v>
      </c>
      <c r="CK237" s="134">
        <f t="shared" si="393"/>
        <v>0</v>
      </c>
      <c r="CL237" s="134">
        <f t="shared" si="394"/>
        <v>0</v>
      </c>
      <c r="CM237" s="134">
        <f t="shared" si="395"/>
        <v>0</v>
      </c>
      <c r="CN237" s="134">
        <f t="shared" si="396"/>
        <v>0</v>
      </c>
      <c r="CO237" s="134">
        <f t="shared" si="397"/>
        <v>0</v>
      </c>
      <c r="CP237" s="134">
        <f t="shared" si="398"/>
        <v>0</v>
      </c>
      <c r="CQ237" s="134">
        <f t="shared" si="399"/>
        <v>0</v>
      </c>
      <c r="CR237" s="134">
        <f t="shared" si="400"/>
        <v>0</v>
      </c>
      <c r="CS237" s="134">
        <f t="shared" si="401"/>
        <v>0</v>
      </c>
      <c r="CT237" s="115">
        <f t="shared" si="402"/>
        <v>0</v>
      </c>
      <c r="CU237" s="116">
        <f t="shared" si="403"/>
        <v>0</v>
      </c>
      <c r="CV237" s="116">
        <f t="shared" si="404"/>
        <v>0</v>
      </c>
      <c r="CW237" s="116">
        <f t="shared" si="405"/>
        <v>0</v>
      </c>
      <c r="CX237" s="116">
        <f t="shared" si="406"/>
        <v>0</v>
      </c>
      <c r="CY237" s="116">
        <f t="shared" si="407"/>
        <v>0</v>
      </c>
      <c r="CZ237" s="116">
        <f t="shared" si="408"/>
        <v>0</v>
      </c>
      <c r="DA237" s="116">
        <f t="shared" si="409"/>
        <v>0</v>
      </c>
      <c r="DB237" s="116">
        <f t="shared" si="410"/>
        <v>0</v>
      </c>
      <c r="DC237" s="116">
        <f t="shared" si="411"/>
        <v>0</v>
      </c>
      <c r="DD237" s="116">
        <f t="shared" si="412"/>
        <v>0</v>
      </c>
      <c r="DE237" s="117">
        <f t="shared" si="413"/>
        <v>0</v>
      </c>
      <c r="DF237" s="118">
        <f t="shared" si="415"/>
        <v>15</v>
      </c>
      <c r="DG237" s="106">
        <f t="shared" si="416"/>
        <v>19.170000000000002</v>
      </c>
      <c r="DH237" s="116">
        <f t="shared" si="417"/>
        <v>6</v>
      </c>
      <c r="DI237" s="106">
        <f t="shared" si="418"/>
        <v>25.63</v>
      </c>
      <c r="DJ237" s="201" t="str">
        <f>IF($D235="","",$D235)</f>
        <v>7</v>
      </c>
      <c r="DK237" s="466"/>
    </row>
    <row r="238" spans="1:115" ht="14.5" customHeight="1" x14ac:dyDescent="0.2">
      <c r="A238" s="487">
        <f>$A235+1</f>
        <v>79</v>
      </c>
      <c r="B238" s="506" t="str">
        <f>IF(OR(C238="W",C239="W",C240="W",C238="1/2W",C239="1/2W",C240="1/2W",C238="1/2L",C239="1/2L",C240="1/2L"),"OK",IF(OR(C238="L",C239="L",C240="L"),"LOSS",IF(OR(C238="X",C239="X",C240="X"),"Anulado"," ")))</f>
        <v>OK</v>
      </c>
      <c r="C238" s="147" t="s">
        <v>54</v>
      </c>
      <c r="D238" s="494" t="str">
        <f>IF(G238="","",$D235)</f>
        <v>7</v>
      </c>
      <c r="E238" s="511" t="str">
        <f>IF(G238=""," ","– "&amp;COUNTIF(D$4:D240,$D238))</f>
        <v>– 5</v>
      </c>
      <c r="F238" s="510" t="str">
        <f ca="1">IF(G238="","",IF(OR(AND($C238&lt;&gt;" ",$C239=" "),AND($C239&lt;&gt;" ",$C238=" "),AND(L240&gt;0,OR(AND($C240&lt;&gt;" ",OR($C238=" ",$C239=" ")),AND($C240=" ",OR($C238&lt;&gt;" ",$C239&lt;&gt;" "))))),IF(SUM(F$4:F237)=0,1,LARGE(F$4:F237,1)+1),IF(MONTH(G238)=MONTH(TODAY()),IF(AND(DAY(G238)&lt;DAY(TODAY()),$B238=" "),IF(SUM(F$4:F237)=0,1,LARGE(F$4:F237,1)+1),IF($B238=" ",IF(AND(DAY(G238)=DAY(TODAY()),HOUR(G238)&lt;=HOUR(NOW())+1),IF(AND(HOUR(G238)+2&lt;=HOUR(NOW()),DAY(G238)&lt;=DAY(TODAY()),MINUTE(G238)&lt;=MINUTE(NOW())),IF(SUM(F$4:F237)=0,1,LARGE(F$4:F237,1)+1),IF(OR(MINUTE(G238)&lt;=MINUTE(NOW()),HOUR(G238)&lt;=HOUR(NOW())),"!!!","")),""),"")),"")))</f>
        <v/>
      </c>
      <c r="G238" s="513">
        <v>44993.875</v>
      </c>
      <c r="H238" s="512" t="s">
        <v>127</v>
      </c>
      <c r="I238" s="219" t="s">
        <v>66</v>
      </c>
      <c r="J238" s="213">
        <v>0</v>
      </c>
      <c r="K238" s="214" t="s">
        <v>40</v>
      </c>
      <c r="L238" s="215">
        <v>2.33</v>
      </c>
      <c r="M238" s="216">
        <v>25.38</v>
      </c>
      <c r="N238" s="503">
        <v>0</v>
      </c>
      <c r="O238" s="153">
        <f>IF(OR(AE238="",AE239=""),"",ROUND(IF(L240&gt;0,IF(M238&gt;0,M238,IF(M239&gt;0,ROUND((M239*AE238)/AE239,IF(N238=0,2,IF(N238=0.1,1,0))),ROUND((M240*AE238)/AE240,IF(N238=0,2,IF(N238=0.1,1,0))))),IF(M238&gt;0,M238,ROUND((M239*AE238)/AE239,IF(N238=0,2,IF(N238=0.1,1,0))))),2))</f>
        <v>25.38</v>
      </c>
      <c r="P238" s="154">
        <f>IF(OR(L238="",O238=""),"",IF($C238="1/2W",O238/2+O238/2*L238,IF($C238="1/2L",O238/2,IF(I238="Lay",(O238*(L238/(L238-1))-O238)*(1-_xlfn.XLOOKUP(K238,'Fevereiro 2023 - Valor Real'!A3:A15,'Fevereiro 2023 - Valor Real'!C3:C15,0))+O238,(O238*L238-O238)*(1-_xlfn.XLOOKUP(K238,'Fevereiro 2023 - Valor Real'!A3:A15,'Fevereiro 2023 - Valor Real'!C3:C15,0))+O238))))</f>
        <v>59.13539999999999</v>
      </c>
      <c r="Q238" s="155">
        <f>IF(K238="","",IF(_xlfn.XLOOKUP(K238,K$9:K230,$DJ$9:DJ230,0,,-1)=DJ238,_xlfn.XLOOKUP(K238,K$9:K230,Q$9:Q230,1,,-1)+1,1))</f>
        <v>2</v>
      </c>
      <c r="R238" s="156">
        <f>IF(K238="","",_xlfn.XLOOKUP(K238,K$9:K230,R$9:R230,0,,-1)+IF($C238=" ",1,0))</f>
        <v>0</v>
      </c>
      <c r="S238" s="501">
        <f>IF($B238="Anulado",0,ROUND(IF(OR($B238="LOSS",$B238="OK"),IF(OR($C238="W",$C238="1/2W",$C238="1/2L"),P238-O238,IF($C238="L",-O238,0))+IF(OR($C239="W",$C239="1/2W",$C239="1/2L"),P239-O239,IF($C239="L",-O239,0))+IF(OR($C240="W",$C240="1/2W",$C240="1/2L"),P240-O240,IF($C240="L",-O240,0)),IF(AND(OR($C238="W",$C238="1/2W",$C238="1/2L"),C239="W"),P238+P239-SUM(O238:O240)+_xlfn.XLOOKUP("X",C238:C240,O238:O240,0),IF(AND(C238=TRUE,C240="W"),P238+P240-SUM(O238:O240),IF(AND(C239="W",C240="W"),P239+P240-SUM(O238:O240)+_xlfn.XLOOKUP("X",C238:C240,O238:O240,0),IF(L240&gt;0,IF(OR($C238="W",$C238="1/2W",$C238="1/2L"),P238-SUM(O238:O240)+_xlfn.XLOOKUP("X",C238:C240,O238:O240,0),IF(OR($C238="W",$C238="1/2W",$C238="1/2L"),P239-SUM(O238:O240)+_xlfn.XLOOKUP("X",C238:C240,O238:O240,0),IF(OR($C238="W",$C238="1/2W",$C238="1/2L"),P240-SUM(O238:O240)+_xlfn.XLOOKUP("X",C238:C240,O238:O240,0),IF(SUM(P238:P240)/3-SUM(O238:O240)+_xlfn.XLOOKUP("X",C238:C240,O238:O240,0)&gt;0,SUM(P238:P240)/3-SUM(O238:O240)+_xlfn.XLOOKUP("X",C238:C240,O238:O240,0),LARGE(P238:P240,1)-SUM(O238:O240))))),IF(OR($C238="W",$C238="1/2W",$C238="1/2L"),P238-SUM(O238:O239)+_xlfn.XLOOKUP("X",C238:C240,O238:O240,0),IF(OR($C238="W",$C238="1/2W",$C238="1/2L"),P239-SUM(O238:O239)+_xlfn.XLOOKUP("X",C238:C240,O238:O240,0),SUM(P238:P239)/2-SUM(O238:O239)+_xlfn.XLOOKUP("X",C238:C240,O238:O240,0)))))))),2))</f>
        <v>4.04</v>
      </c>
      <c r="T238" s="486">
        <f>IF(S238=0,0,S238/SUM(O238:O240))</f>
        <v>7.3321234119782225E-2</v>
      </c>
      <c r="U238" s="496">
        <f>IF($D238=$D235,IF(OR($B238="LOSS",$B238="OK",$B238="Anulada"),S238,0)+U235,IF(OR($B238="LOSS",$B238="OK",$B238="Anulada"),S238,0))</f>
        <v>12.68</v>
      </c>
      <c r="V238" s="496">
        <f>IF($D238="",0,IF($D238=$D235,IF($B238=" ",IF(I240="",IF(OR(AND(I238="DNB1",I239="DNB2"),AND(OR(I238="DNB1",I238="DNB2"),J239=0),AND(OR(I239="DNB1",I239="DNB2"),J238=0),AND(I238="DNB2",I239="DNB1"),AND(IF(J238=0,(J238+1)/ROUND(J238+1,0),J238/ROUND(J238,0))=1,IF(J239=0,(J239+1)/ROUND(IF(J239="",0,J239)+1,0),IF(J239="",0,J239)/ROUND(IF(J239="",1,J239),0))=1,OR(J238&lt;&gt;""),J239&lt;&gt;"")),0,IF(S238&lt;0,IF(I240="",SMALL(P238:P239,1)-SUM(O238:O239),0),SMALL(P238:P239,1)-SUM(O238:O239))),IF(S238&lt;0,IF(I240="",SMALL(P238:P240,1)-SUM(O238:O240),0),LARGE(P238:P240,1)-SUM(O238:O240))),S238)+V235,IF(I240="",IF(OR(AND(I238="DNB1",I239="DNB2"),AND(OR(I238="DNB1",I238="DNB2"),J239=0),AND(OR(I239="DNB1",I239="DNB2"),J238=0),AND(I238="DNB2",I239="DNB1"),AND(IF(J238=0,(J238+1)/ROUND(J238+1,0),J238/ROUND(J238,0))=1,IF(J239=0,(IF(J239="",0,J239)+1)/ROUND(IF(J239="",0,J239)+1,0),IF(J239="",0,J239)/ROUND(IF(J239="",0,J239)+1,0))=1,OR(J238&lt;&gt;""),J239&lt;&gt;"")),0,IF(S238&lt;0,IF(I240="",SMALL(P238:P239,1)-SUM(O238:O239),0),SMALL(P238:P240,1)-SUM(O238:O240))),IF(S238&lt;0,IF(I240="",SMALL(P238:P240,1)-SUM(O238:O240),0),LARGE(P238:P240,1)-SUM(O238:O240)))))</f>
        <v>12.680799999999998</v>
      </c>
      <c r="W238" s="496">
        <f>IF($D238=$D235,IF(S238&lt;0,IF(I240="",S238,0),S238)+W235,S238)</f>
        <v>12.68</v>
      </c>
      <c r="X238" s="505" t="str">
        <f>IF(OR(SUM(R238:R240)=0,V238=W238),ROUND(IF(W238=0,0,W238/Y238)*100,2)&amp;"%",ROUND(IF(V238=0,0,V238/Y238)*100,2)&amp;"% a "&amp;ROUND(IF(W238=0,0,W238/Y238)*100,2)&amp;"%")</f>
        <v>6,5%</v>
      </c>
      <c r="Y238" s="497">
        <f>IF($D238=$D235,Y235+SUM(O238:O240),SUM(O238:O240))</f>
        <v>194.93</v>
      </c>
      <c r="Z238" s="496">
        <f>IF($B238=" ",SUM(O238:O240),0)+Z235</f>
        <v>0</v>
      </c>
      <c r="AA238" s="496">
        <f>IF(G238="","",IF($B238="Anulado",LARGE(P238:P240,1)-SUM(O238:O240)+AA235,AA235))</f>
        <v>1.4607999999999972</v>
      </c>
      <c r="AB238" s="496">
        <f>IF($D238="","",AB235+S238)</f>
        <v>410.09999999999997</v>
      </c>
      <c r="AC238" s="499">
        <f ca="1">IF($D238="","",IF($B238=" ",IF(DAY(G238)=DAY(TODAY()),1+AC235,0+AC235),0+AC235))</f>
        <v>0</v>
      </c>
      <c r="AD238" s="157">
        <f>(1-_xlfn.XLOOKUP(K236,'Fevereiro 2023 - Valor Real'!A3:A15,'Fevereiro 2023 - Valor Real'!C3:C15,0))+1</f>
        <v>2</v>
      </c>
      <c r="AE238" s="158">
        <f>IF(L238="","",IF(L240&gt;0,(SUM(((L238-1)*(1-_xlfn.XLOOKUP(K238,'Fevereiro 2023 - Valor Real'!A3:A15,'Fevereiro 2023 - Valor Real'!C3:C15,0))+1),((L239-1)*(1-_xlfn.XLOOKUP(K239,'Fevereiro 2023 - Valor Real'!A3:A15,'Fevereiro 2023 - Valor Real'!C3:C15,0))+1),((L240-1)*(1-_xlfn.XLOOKUP(K240,'Fevereiro 2023 - Valor Real'!A3:A15,'Fevereiro 2023 - Valor Real'!C3:C15,0))+1))/((L238-1)*(1-_xlfn.XLOOKUP(K238,'Fevereiro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Real'!C3:C15,0))+1))/((L238-1)*(1-_xlfn.XLOOKUP(K238,'Fevereiro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Real'!C3:C15,0))+1))/((L239-1)*(1-_xlfn.XLOOKUP(K239,'Fevereiro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Real'!C3:C15,0))+1))/((L240-1)*(1-_xlfn.XLOOKUP(K240,'Fevereiro 2023 - Valor Real'!A3:A15,'Fevereiro 2023 - Valor Real'!C3:C15,0))+1)),IF(I238="Lay",IF(I239="Lay",((L239/(L239-1)-1)*(1-_xlfn.XLOOKUP(K239,'Fevereiro 2023 - Valor Real'!A3:A15,'Fevereiro 2023 - Valor Real'!C3:C15,0))+1)/(((L239/(L239-1)-1)*(1-_xlfn.XLOOKUP(K239,'Fevereiro 2023 - Valor Real'!A3:A15,'Fevereiro 2023 - Valor Real'!C3:C15,0))+1)+((L238/(L238-1)-1)*(1-_xlfn.XLOOKUP(K238,'Fevereiro 2023 - Valor Real'!A3:A15,'Fevereiro 2023 - Valor Real'!C3:C15,0))+1)),((L239-1)*(1-_xlfn.XLOOKUP(K239,'Fevereiro 2023 - Valor Real'!A3:A15,'Fevereiro 2023 - Valor Real'!C3:C15,0))+1)/(((L239-1)*(1-_xlfn.XLOOKUP(K239,'Fevereiro 2023 - Valor Real'!A3:A15,'Fevereiro 2023 - Valor Real'!C3:C15,0))+1)+((L238/(L238-1)-1)*(1-_xlfn.XLOOKUP(K238,'Fevereiro 2023 - Valor Real'!A3:A15,'Fevereiro 2023 - Valor Real'!C3:C15,0))+1))),IF(I239="Lay",(((L239/(L239-1)-1)*(1-_xlfn.XLOOKUP(K239,'Fevereiro 2023 - Valor Real'!A3:A15,'Fevereiro 2023 - Valor Real'!C3:C15,0))+1))/(((L238-1)*(1-_xlfn.XLOOKUP(K238,'Fevereiro 2023 - Valor Real'!A3:A15,'Fevereiro 2023 - Valor Real'!C3:C15,0))+1)+((L239/(L239-1)-1)*(1-_xlfn.XLOOKUP(K239,'Fevereiro 2023 - Valor Real'!A3:A15,'Fevereiro 2023 - Valor Real'!C3:C15,0))+1)),((L239-1)*(1-_xlfn.XLOOKUP(K239,'Fevereiro 2023 - Valor Real'!A3:A15,'Fevereiro 2023 - Valor Real'!C3:C15,0))+1)/(((L239-1)*(1-_xlfn.XLOOKUP(K239,'Fevereiro 2023 - Valor Real'!A3:A15,'Fevereiro 2023 - Valor Real'!C3:C15,0))+1)+((L238-1)*(1-_xlfn.XLOOKUP(K238,'Fevereiro 2023 - Valor Real'!A3:A15,'Fevereiro 2023 - Valor Real'!C3:C15,0))+1))))))</f>
        <v>0.46064814814814814</v>
      </c>
      <c r="AF238" s="66">
        <f t="shared" si="473"/>
        <v>0</v>
      </c>
      <c r="AG238" s="67">
        <f t="shared" si="473"/>
        <v>0</v>
      </c>
      <c r="AH238" s="67">
        <f t="shared" si="473"/>
        <v>0</v>
      </c>
      <c r="AI238" s="67">
        <f t="shared" si="473"/>
        <v>0</v>
      </c>
      <c r="AJ238" s="67">
        <f t="shared" si="473"/>
        <v>33.76</v>
      </c>
      <c r="AK238" s="67">
        <f t="shared" si="473"/>
        <v>0</v>
      </c>
      <c r="AL238" s="67">
        <f t="shared" si="473"/>
        <v>0</v>
      </c>
      <c r="AM238" s="67">
        <f t="shared" si="473"/>
        <v>0</v>
      </c>
      <c r="AN238" s="67">
        <f t="shared" si="473"/>
        <v>0</v>
      </c>
      <c r="AO238" s="67">
        <f t="shared" si="473"/>
        <v>0</v>
      </c>
      <c r="AP238" s="67">
        <f t="shared" si="473"/>
        <v>0</v>
      </c>
      <c r="AQ238" s="67">
        <f t="shared" si="473"/>
        <v>0</v>
      </c>
      <c r="AR238" s="68">
        <f t="shared" si="473"/>
        <v>0</v>
      </c>
      <c r="AS238" s="66">
        <f t="shared" ref="AS238:BE238" si="480">IF(AND($B238=" ",$K238=AS$3),$O238,0)</f>
        <v>0</v>
      </c>
      <c r="AT238" s="67">
        <f t="shared" si="480"/>
        <v>0</v>
      </c>
      <c r="AU238" s="67">
        <f t="shared" si="480"/>
        <v>0</v>
      </c>
      <c r="AV238" s="67">
        <f t="shared" si="480"/>
        <v>0</v>
      </c>
      <c r="AW238" s="67">
        <f t="shared" si="480"/>
        <v>0</v>
      </c>
      <c r="AX238" s="67">
        <f t="shared" si="480"/>
        <v>0</v>
      </c>
      <c r="AY238" s="69">
        <f t="shared" si="480"/>
        <v>0</v>
      </c>
      <c r="AZ238" s="70">
        <f t="shared" si="480"/>
        <v>0</v>
      </c>
      <c r="BA238" s="70">
        <f t="shared" si="480"/>
        <v>0</v>
      </c>
      <c r="BB238" s="70">
        <f t="shared" si="480"/>
        <v>0</v>
      </c>
      <c r="BC238" s="71">
        <f t="shared" si="480"/>
        <v>0</v>
      </c>
      <c r="BD238" s="67">
        <f t="shared" si="480"/>
        <v>0</v>
      </c>
      <c r="BE238" s="68">
        <f t="shared" si="480"/>
        <v>0</v>
      </c>
      <c r="BF238" s="66">
        <f t="shared" si="475"/>
        <v>0</v>
      </c>
      <c r="BG238" s="67">
        <f t="shared" si="475"/>
        <v>0</v>
      </c>
      <c r="BH238" s="67">
        <f t="shared" si="475"/>
        <v>0</v>
      </c>
      <c r="BI238" s="67">
        <f t="shared" si="475"/>
        <v>0</v>
      </c>
      <c r="BJ238" s="67">
        <f t="shared" si="475"/>
        <v>25.38</v>
      </c>
      <c r="BK238" s="67">
        <f t="shared" si="475"/>
        <v>0</v>
      </c>
      <c r="BL238" s="67">
        <f t="shared" si="475"/>
        <v>0</v>
      </c>
      <c r="BM238" s="69">
        <f t="shared" si="475"/>
        <v>0</v>
      </c>
      <c r="BN238" s="70">
        <f t="shared" si="475"/>
        <v>0</v>
      </c>
      <c r="BO238" s="70">
        <f t="shared" si="475"/>
        <v>0</v>
      </c>
      <c r="BP238" s="70">
        <f t="shared" si="475"/>
        <v>0</v>
      </c>
      <c r="BQ238" s="71">
        <f t="shared" si="475"/>
        <v>0</v>
      </c>
      <c r="BR238" s="68">
        <f t="shared" si="475"/>
        <v>0</v>
      </c>
      <c r="BS238" s="490">
        <f>IF($B238="LOSS",IF(AND($K238=BS$3,$C238="L"),-$O238,0)+IF(AND($K239=BS$3,$C239="L"),-$O239,0)+IF(AND($K240=BS$3,$C240="L"),-$O240,0),IF(OR(AND($K238=BS$3,OR($C238="W",$C238="1/2W")),AND($K239=BS$3,OR($C239="W",$C239="1/2W")),AND($K240=BS$3,OR($C240="W",$C240="1/2W"))),$S238,0))</f>
        <v>0</v>
      </c>
      <c r="BT238" s="498">
        <f>IF($B238="LOSS",IF(AND($K238=BT$3,$C238="L"),-$O238,0)+IF(AND($K239=BT$3,$C239="L"),-$O239,0)+IF(AND($K239=BT$3,$C240="L"),-$O240,0),IF(OR(AND($K239=BT$3,OR($C238="W",$C238="1/2W")),AND($K239=BT$3,OR($C239="W",$C239="1/2W")),AND($K239=BT$3,OR($C240="W",$C240="1/2W"))),$S238,0))</f>
        <v>0</v>
      </c>
      <c r="BU238" s="488">
        <f>IF($B238="LOSS",IF(AND($K238=BU$3,$C238="L"),-$O238,0)+IF(AND($K239=BU$3,$C239="L"),-$O239,0)+IF(AND($K239=BU$3,$C240="L"),-$O240,0),IF(OR(AND($K239=BU$3,OR($C238="W",$C238="1/2W")),AND($K239=BU$3,OR($C239="W",$C239="1/2W")),AND($K239=BU$3,OR($C240="W",$C240="1/2W"))),$S238,0))</f>
        <v>0</v>
      </c>
      <c r="BV238" s="488">
        <f t="shared" ref="BV238:CE238" si="481">IF($B238="LOSS",IF(AND($K238=BV$3,$C238="L"),-$O238,0)+IF(AND($K239=BV$3,$C239="L"),-$O239,0)+IF(AND($K240=BV$3,$C240="L"),-$O240,0),IF(OR(AND($K238=BV$3,OR($C238="W",$C238="1/2W")),AND($K239=BV$3,OR($C239="W",$C239="1/2W")),AND($K240=BV$3,OR($C240="W",$C240="1/2W"))),$S238,0))</f>
        <v>0</v>
      </c>
      <c r="BW238" s="488">
        <f t="shared" si="481"/>
        <v>4.04</v>
      </c>
      <c r="BX238" s="488">
        <f t="shared" si="481"/>
        <v>0</v>
      </c>
      <c r="BY238" s="488">
        <f t="shared" si="481"/>
        <v>0</v>
      </c>
      <c r="BZ238" s="488">
        <f t="shared" si="481"/>
        <v>0</v>
      </c>
      <c r="CA238" s="488">
        <f t="shared" si="481"/>
        <v>0</v>
      </c>
      <c r="CB238" s="488">
        <f t="shared" si="481"/>
        <v>0</v>
      </c>
      <c r="CC238" s="488">
        <f t="shared" si="481"/>
        <v>0</v>
      </c>
      <c r="CD238" s="500">
        <f t="shared" si="481"/>
        <v>0</v>
      </c>
      <c r="CE238" s="504">
        <f t="shared" si="481"/>
        <v>0</v>
      </c>
      <c r="CF238" s="160">
        <f t="shared" si="388"/>
        <v>0</v>
      </c>
      <c r="CG238" s="161">
        <f t="shared" si="389"/>
        <v>0</v>
      </c>
      <c r="CH238" s="161">
        <f t="shared" si="390"/>
        <v>0</v>
      </c>
      <c r="CI238" s="161">
        <f t="shared" si="391"/>
        <v>0</v>
      </c>
      <c r="CJ238" s="161">
        <f t="shared" si="392"/>
        <v>0</v>
      </c>
      <c r="CK238" s="161">
        <f t="shared" si="393"/>
        <v>0</v>
      </c>
      <c r="CL238" s="161">
        <f t="shared" si="394"/>
        <v>0</v>
      </c>
      <c r="CM238" s="161">
        <f t="shared" si="395"/>
        <v>0</v>
      </c>
      <c r="CN238" s="161">
        <f t="shared" si="396"/>
        <v>1</v>
      </c>
      <c r="CO238" s="161">
        <f t="shared" si="397"/>
        <v>0</v>
      </c>
      <c r="CP238" s="161">
        <f t="shared" si="398"/>
        <v>0</v>
      </c>
      <c r="CQ238" s="161">
        <f t="shared" si="399"/>
        <v>0</v>
      </c>
      <c r="CR238" s="161">
        <f t="shared" si="400"/>
        <v>0</v>
      </c>
      <c r="CS238" s="161">
        <f t="shared" si="401"/>
        <v>0</v>
      </c>
      <c r="CT238" s="75">
        <f t="shared" si="402"/>
        <v>0</v>
      </c>
      <c r="CU238" s="76">
        <f t="shared" si="403"/>
        <v>0</v>
      </c>
      <c r="CV238" s="76">
        <f t="shared" si="404"/>
        <v>0</v>
      </c>
      <c r="CW238" s="76">
        <f t="shared" si="405"/>
        <v>0</v>
      </c>
      <c r="CX238" s="76">
        <f t="shared" si="406"/>
        <v>0</v>
      </c>
      <c r="CY238" s="76">
        <f t="shared" si="407"/>
        <v>0</v>
      </c>
      <c r="CZ238" s="76">
        <f t="shared" si="408"/>
        <v>0</v>
      </c>
      <c r="DA238" s="76">
        <f t="shared" si="409"/>
        <v>0</v>
      </c>
      <c r="DB238" s="76">
        <f t="shared" si="410"/>
        <v>0</v>
      </c>
      <c r="DC238" s="76">
        <f t="shared" si="411"/>
        <v>0</v>
      </c>
      <c r="DD238" s="76">
        <f t="shared" si="412"/>
        <v>0</v>
      </c>
      <c r="DE238" s="77">
        <f t="shared" si="413"/>
        <v>0</v>
      </c>
      <c r="DF238" s="73">
        <f t="shared" si="415"/>
        <v>15</v>
      </c>
      <c r="DG238" s="67">
        <f t="shared" si="416"/>
        <v>19.170000000000002</v>
      </c>
      <c r="DH238" s="76">
        <f t="shared" si="417"/>
        <v>6</v>
      </c>
      <c r="DI238" s="67">
        <f t="shared" si="418"/>
        <v>25.63</v>
      </c>
      <c r="DJ238" s="202" t="str">
        <f>IF($D238="","",$D238)</f>
        <v>7</v>
      </c>
      <c r="DK238" s="492">
        <f>IF(AND($B238=" ",$D238&lt;&gt;""),1,0)</f>
        <v>0</v>
      </c>
    </row>
    <row r="239" spans="1:115" ht="14.5" customHeight="1" x14ac:dyDescent="0.2">
      <c r="A239" s="389"/>
      <c r="B239" s="456"/>
      <c r="C239" s="53" t="s">
        <v>55</v>
      </c>
      <c r="D239" s="374"/>
      <c r="E239" s="386"/>
      <c r="F239" s="377"/>
      <c r="G239" s="508"/>
      <c r="H239" s="476"/>
      <c r="I239" s="182" t="s">
        <v>76</v>
      </c>
      <c r="J239" s="56">
        <f>IF(OR(I238="TO",I238="TU",I238="TO1",I238="TU1",I238="TO2",I238="TU2"),J238,IF(OR(I238="AH1",I238="AH2"),IF(OR(I239="AH1",I239="AH2"),-J238,IF(OR(I239="EH1",I239="EH2"),-J238+0.5,"")),IF(OR(I238="EH1",I238="EH2"),IF(OR(I239="AH1",I239="AH2"),-J238+0.5,IF(OR(I239="EH1",I239="EH2"),-J238+1,"")),IF(AND(OR(I238="DNB1",I238="DNB2"),OR(I239="AH1",I239="AH2")),0,IF(AND(I238="Not ScoreBoth",OR(I239="TO1",I239="TO2")),0.5,"")))))</f>
        <v>0</v>
      </c>
      <c r="K239" s="57" t="s">
        <v>43</v>
      </c>
      <c r="L239" s="164">
        <v>1.99</v>
      </c>
      <c r="M239" s="165"/>
      <c r="N239" s="406"/>
      <c r="O239" s="60">
        <f>IF(OR(AE238="",AE239=""),"",ROUND(IF(L240&gt;0,IF(M239&gt;0,M239,IF(M238&gt;0,IF(N238=TRUE,ROUND((M238*AE239)/AE238,0),(M238*AE239)/AE238),IF(M239&gt;0,ROUND(M239,IF(N238=0,2,IF(N238=0.1,1,0))),IF(M240&gt;0,ROUND(O240*AE239/AE240,IF(N238=0,2,IF(N238=0.1,1,0))),0)))),IF(M239&gt;0,M239,ROUND((M238*AE239)/AE238,IF(N238=0,2,IF(N238=0.1,1,0))))),2))</f>
        <v>29.72</v>
      </c>
      <c r="P239" s="61">
        <f>IF(OR(L239="",O239=""),"",IF($C239="1/2W",O239/2+O239/2*L239,IF($C239="1/2L",O239/2,IF(I239="Lay",((O239*(L239/(L239-1)))-O239)*(1-_xlfn.XLOOKUP(K239,'Fevereiro 2023 - Valor Real'!A3:A15,'Fevereiro 2023 - Valor Real'!C3:C15,0))+O239,(O239*L239-O239)*(1-_xlfn.XLOOKUP(K239,'Fevereiro 2023 - Valor Real'!A3:A15,'Fevereiro 2023 - Valor Real'!C3:C15,0))+O239))))</f>
        <v>59.142799999999994</v>
      </c>
      <c r="Q239" s="166">
        <f>IF(K239="","",IF(_xlfn.XLOOKUP(K239,K$10:K230,$DJ$10:DJ230,0,,-1)=DJ239,_xlfn.XLOOKUP(K239,K$10:K230,Q$10:Q230,1,,-1)+1,1))</f>
        <v>1</v>
      </c>
      <c r="R239" s="167">
        <f>IF(K239="","",_xlfn.XLOOKUP(K239,K$10:K230,R$10:R230,0,,-1)+IF($C239=" ",1,0))</f>
        <v>0</v>
      </c>
      <c r="S239" s="403"/>
      <c r="T239" s="380"/>
      <c r="U239" s="380"/>
      <c r="V239" s="481"/>
      <c r="W239" s="380"/>
      <c r="X239" s="452"/>
      <c r="Y239" s="383"/>
      <c r="Z239" s="384"/>
      <c r="AA239" s="384"/>
      <c r="AB239" s="384"/>
      <c r="AC239" s="384"/>
      <c r="AD239" s="64"/>
      <c r="AE239" s="65">
        <f>IF(L239="","",IF(L240&gt;0,(SUM(((L238-1)*(1-_xlfn.XLOOKUP(K238,'Fevereiro 2023 - Valor Real'!A3:A15,'Fevereiro 2023 - Valor Real'!C3:C15,0))+1),((L239-1)*(1-_xlfn.XLOOKUP(K239,'Fevereiro 2023 - Valor Real'!A3:A15,'Fevereiro 2023 - Valor Real'!C3:C15,0))+1),((L240-1)*(1-_xlfn.XLOOKUP(K240,'Fevereiro 2023 - Valor Real'!A3:A15,'Fevereiro 2023 - Valor Real'!C3:C15,0))+1))/((L239-1)*(1-_xlfn.XLOOKUP(K239,'Fevereiro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Real'!C3:C15,0))+1))/((L238-1)*(1-_xlfn.XLOOKUP(K238,'Fevereiro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Real'!C3:C15,0))+1))/((L239-1)*(1-_xlfn.XLOOKUP(K239,'Fevereiro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Real'!C3:C15,0))+1))/((L240-1)*(1-_xlfn.XLOOKUP(K240,'Fevereiro 2023 - Valor Real'!A3:A15,'Fevereiro 2023 - Valor Real'!C3:C15,0))+1)),IF(I239="Lay",IF(I238="Lay",((L238/(L238-1)-1)*(1-_xlfn.XLOOKUP(K238,'Fevereiro 2023 - Valor Real'!A3:A15,'Fevereiro 2023 - Valor Real'!C3:C15,0))+1)/(((L238/(L238-1)-1)*(1-_xlfn.XLOOKUP(K238,'Fevereiro 2023 - Valor Real'!A3:A15,'Fevereiro 2023 - Valor Real'!C3:C15,0))+1)+((L239/(L239-1)-1)*(1-_xlfn.XLOOKUP(K239,'Fevereiro 2023 - Valor Real'!A3:A15,'Fevereiro 2023 - Valor Real'!C3:C15,0))+1)),((L238-1)*(1-_xlfn.XLOOKUP(K238,'Fevereiro 2023 - Valor Real'!A3:A15,'Fevereiro 2023 - Valor Real'!C3:C15,0))+1)/(((L238-1)*(1-_xlfn.XLOOKUP(K238,'Fevereiro 2023 - Valor Real'!A3:A15,'Fevereiro 2023 - Valor Real'!C3:C15,0))+1)+((L239/(L239-1)-1)*(1-_xlfn.XLOOKUP(K239,'Fevereiro 2023 - Valor Real'!A3:A15,'Fevereiro 2023 - Valor Real'!C3:C15,0))+1))),IF(I238="Lay",((L238/(L238-1)-1)*(1-_xlfn.XLOOKUP(K238,'Fevereiro 2023 - Valor Real'!A3:A15,'Fevereiro 2023 - Valor Real'!C3:C15,0))+1)/((((L238/(L238-1)-1)*(1-_xlfn.XLOOKUP(K238,'Fevereiro 2023 - Valor Real'!A3:A15,'Fevereiro 2023 - Valor Real'!C3:C15,0))+1))+((L239-1)*(1-_xlfn.XLOOKUP(K239,'Fevereiro 2023 - Valor Real'!A3:A15,'Fevereiro 2023 - Valor Real'!C3:C15,0))+1)),((L238-1)*(1-_xlfn.XLOOKUP(K238,'Fevereiro 2023 - Valor Real'!A3:A15,'Fevereiro 2023 - Valor Real'!C3:C15,0))+1)/(((L238-1)*(1-_xlfn.XLOOKUP(K238,'Fevereiro 2023 - Valor Real'!A3:A15,'Fevereiro 2023 - Valor Real'!C3:C15,0))+1)+((L239-1)*(1-_xlfn.XLOOKUP(K239,'Fevereiro 2023 - Valor Real'!A3:A15,'Fevereiro 2023 - Valor Real'!C3:C15,0))+1))))))</f>
        <v>0.53935185185185186</v>
      </c>
      <c r="AF239" s="66">
        <f t="shared" si="473"/>
        <v>0</v>
      </c>
      <c r="AG239" s="67">
        <f t="shared" si="473"/>
        <v>0</v>
      </c>
      <c r="AH239" s="67">
        <f t="shared" si="473"/>
        <v>0</v>
      </c>
      <c r="AI239" s="67">
        <f t="shared" si="473"/>
        <v>0</v>
      </c>
      <c r="AJ239" s="67">
        <f t="shared" si="473"/>
        <v>0</v>
      </c>
      <c r="AK239" s="67">
        <f t="shared" si="473"/>
        <v>0</v>
      </c>
      <c r="AL239" s="67">
        <f t="shared" si="473"/>
        <v>0</v>
      </c>
      <c r="AM239" s="67">
        <f t="shared" si="473"/>
        <v>-29.72</v>
      </c>
      <c r="AN239" s="67">
        <f t="shared" si="473"/>
        <v>0</v>
      </c>
      <c r="AO239" s="67">
        <f t="shared" si="473"/>
        <v>0</v>
      </c>
      <c r="AP239" s="67">
        <f t="shared" si="473"/>
        <v>0</v>
      </c>
      <c r="AQ239" s="67">
        <f t="shared" si="473"/>
        <v>0</v>
      </c>
      <c r="AR239" s="68">
        <f t="shared" si="473"/>
        <v>0</v>
      </c>
      <c r="AS239" s="66">
        <f>IF(AND($B238=" ",$K239=AS$3),$O239,0)</f>
        <v>0</v>
      </c>
      <c r="AT239" s="67">
        <f>IF(AND($B238=" ",K239=AT$3),$O239,0)</f>
        <v>0</v>
      </c>
      <c r="AU239" s="67">
        <f t="shared" ref="AU239:BE239" si="482">IF(AND($B238=" ",$K239=AU$3),$O239,0)</f>
        <v>0</v>
      </c>
      <c r="AV239" s="67">
        <f t="shared" si="482"/>
        <v>0</v>
      </c>
      <c r="AW239" s="67">
        <f t="shared" si="482"/>
        <v>0</v>
      </c>
      <c r="AX239" s="67">
        <f t="shared" si="482"/>
        <v>0</v>
      </c>
      <c r="AY239" s="69">
        <f t="shared" si="482"/>
        <v>0</v>
      </c>
      <c r="AZ239" s="70">
        <f t="shared" si="482"/>
        <v>0</v>
      </c>
      <c r="BA239" s="70">
        <f t="shared" si="482"/>
        <v>0</v>
      </c>
      <c r="BB239" s="70">
        <f t="shared" si="482"/>
        <v>0</v>
      </c>
      <c r="BC239" s="71">
        <f t="shared" si="482"/>
        <v>0</v>
      </c>
      <c r="BD239" s="67">
        <f t="shared" si="482"/>
        <v>0</v>
      </c>
      <c r="BE239" s="68">
        <f t="shared" si="482"/>
        <v>0</v>
      </c>
      <c r="BF239" s="66">
        <f t="shared" si="475"/>
        <v>0</v>
      </c>
      <c r="BG239" s="168">
        <f t="shared" si="475"/>
        <v>0</v>
      </c>
      <c r="BH239" s="67">
        <f t="shared" si="475"/>
        <v>0</v>
      </c>
      <c r="BI239" s="67">
        <f t="shared" si="475"/>
        <v>0</v>
      </c>
      <c r="BJ239" s="67">
        <f t="shared" si="475"/>
        <v>0</v>
      </c>
      <c r="BK239" s="67">
        <f t="shared" si="475"/>
        <v>0</v>
      </c>
      <c r="BL239" s="67">
        <f t="shared" si="475"/>
        <v>0</v>
      </c>
      <c r="BM239" s="69">
        <f t="shared" si="475"/>
        <v>29.72</v>
      </c>
      <c r="BN239" s="70">
        <f t="shared" si="475"/>
        <v>0</v>
      </c>
      <c r="BO239" s="70">
        <f t="shared" si="475"/>
        <v>0</v>
      </c>
      <c r="BP239" s="70">
        <f t="shared" si="475"/>
        <v>0</v>
      </c>
      <c r="BQ239" s="71">
        <f t="shared" si="475"/>
        <v>0</v>
      </c>
      <c r="BR239" s="68">
        <f t="shared" si="475"/>
        <v>0</v>
      </c>
      <c r="BS239" s="491"/>
      <c r="BT239" s="489"/>
      <c r="BU239" s="392"/>
      <c r="BV239" s="489"/>
      <c r="BW239" s="392"/>
      <c r="BX239" s="392"/>
      <c r="BY239" s="392"/>
      <c r="BZ239" s="489"/>
      <c r="CA239" s="392"/>
      <c r="CB239" s="392"/>
      <c r="CC239" s="392"/>
      <c r="CD239" s="401"/>
      <c r="CE239" s="409"/>
      <c r="CF239" s="169">
        <f t="shared" si="388"/>
        <v>0</v>
      </c>
      <c r="CG239" s="170">
        <f t="shared" si="389"/>
        <v>0</v>
      </c>
      <c r="CH239" s="170">
        <f t="shared" si="390"/>
        <v>0</v>
      </c>
      <c r="CI239" s="170">
        <f t="shared" si="391"/>
        <v>0</v>
      </c>
      <c r="CJ239" s="170">
        <f t="shared" si="392"/>
        <v>0</v>
      </c>
      <c r="CK239" s="170">
        <f t="shared" si="393"/>
        <v>0</v>
      </c>
      <c r="CL239" s="170">
        <f t="shared" si="394"/>
        <v>0</v>
      </c>
      <c r="CM239" s="170">
        <f t="shared" si="395"/>
        <v>0</v>
      </c>
      <c r="CN239" s="170">
        <f t="shared" si="396"/>
        <v>0</v>
      </c>
      <c r="CO239" s="170">
        <f t="shared" si="397"/>
        <v>0</v>
      </c>
      <c r="CP239" s="170">
        <f t="shared" si="398"/>
        <v>0</v>
      </c>
      <c r="CQ239" s="170">
        <f t="shared" si="399"/>
        <v>0</v>
      </c>
      <c r="CR239" s="170">
        <f t="shared" si="400"/>
        <v>0</v>
      </c>
      <c r="CS239" s="170">
        <f t="shared" si="401"/>
        <v>0</v>
      </c>
      <c r="CT239" s="75">
        <f t="shared" si="402"/>
        <v>0</v>
      </c>
      <c r="CU239" s="76">
        <f t="shared" si="403"/>
        <v>1</v>
      </c>
      <c r="CV239" s="76">
        <f t="shared" si="404"/>
        <v>0</v>
      </c>
      <c r="CW239" s="76">
        <f t="shared" si="405"/>
        <v>0</v>
      </c>
      <c r="CX239" s="76">
        <f t="shared" si="406"/>
        <v>0</v>
      </c>
      <c r="CY239" s="76">
        <f t="shared" si="407"/>
        <v>0</v>
      </c>
      <c r="CZ239" s="76">
        <f t="shared" si="408"/>
        <v>0</v>
      </c>
      <c r="DA239" s="76">
        <f t="shared" si="409"/>
        <v>0</v>
      </c>
      <c r="DB239" s="76">
        <f t="shared" si="410"/>
        <v>0</v>
      </c>
      <c r="DC239" s="76">
        <f t="shared" si="411"/>
        <v>0</v>
      </c>
      <c r="DD239" s="76">
        <f t="shared" si="412"/>
        <v>0</v>
      </c>
      <c r="DE239" s="77">
        <f t="shared" si="413"/>
        <v>0</v>
      </c>
      <c r="DF239" s="73">
        <f t="shared" si="415"/>
        <v>15</v>
      </c>
      <c r="DG239" s="67">
        <f t="shared" si="416"/>
        <v>19.170000000000002</v>
      </c>
      <c r="DH239" s="76">
        <f t="shared" si="417"/>
        <v>6</v>
      </c>
      <c r="DI239" s="67">
        <f t="shared" si="418"/>
        <v>25.63</v>
      </c>
      <c r="DJ239" s="202" t="str">
        <f>IF($D238="","",$D238)</f>
        <v>7</v>
      </c>
      <c r="DK239" s="493"/>
    </row>
    <row r="240" spans="1:115" ht="14.5" customHeight="1" x14ac:dyDescent="0.2">
      <c r="A240" s="390"/>
      <c r="B240" s="457"/>
      <c r="C240" s="79" t="s">
        <v>53</v>
      </c>
      <c r="D240" s="375"/>
      <c r="E240" s="387"/>
      <c r="F240" s="378"/>
      <c r="G240" s="508"/>
      <c r="H240" s="477"/>
      <c r="I240" s="171"/>
      <c r="J240" s="172"/>
      <c r="K240" s="81"/>
      <c r="L240" s="173"/>
      <c r="M240" s="174"/>
      <c r="N240" s="407"/>
      <c r="O240" s="86" t="str">
        <f>IF(OR(AE238="",AE239=""),"",IF(L240&gt;0,ROUND(IF(M240&gt;0,M240,IF(M238&gt;0,ROUND((M238*AE240)/AE238,IF(N238=0,2,IF(N238=0.1,1,0))),IF(M239&gt;0,ROUND((M239*AE240)/AE239,IF(N238=0,2,IF(N238=0.1,1,0))),IF(M240&gt;0,M240,0)))),2),""))</f>
        <v/>
      </c>
      <c r="P240" s="87" t="str">
        <f>IF(I239="Lay",O239*(L239/(L239-1))-O239,IF(I238="Lay",O238*(L238/(L238-1))-O238,IF(OR(L240="",O240=""),"",IF($C240="1/2W",O240/2+O240/2*L240,IF($C240="1/2L",O240/2,(O240*L240-O240)*(1-_xlfn.XLOOKUP(K240,'Fevereiro 2023 - Valor Real'!A3:A15,'Fevereiro 2023 - Valor Real'!C3:C15,0))+O240)))))</f>
        <v/>
      </c>
      <c r="Q240" s="54" t="str">
        <f>IF(K240="","",IF(_xlfn.XLOOKUP(K240,K$11:K230,$DJ$11:DJ230,0,,-1)=DJ240,_xlfn.XLOOKUP(K240,K$11:K230,Q$11:Q230,1,,-1)+1,1))</f>
        <v/>
      </c>
      <c r="R240" s="87" t="str">
        <f>IF(K240="","",_xlfn.XLOOKUP(K240,K$11:K230,R$11:R230,0,,-1)+IF($C240=" ",1,0))</f>
        <v/>
      </c>
      <c r="S240" s="404"/>
      <c r="T240" s="378"/>
      <c r="U240" s="378"/>
      <c r="V240" s="404"/>
      <c r="W240" s="378"/>
      <c r="X240" s="453"/>
      <c r="Y240" s="383"/>
      <c r="Z240" s="384"/>
      <c r="AA240" s="384"/>
      <c r="AB240" s="384"/>
      <c r="AC240" s="384"/>
      <c r="AD240" s="90"/>
      <c r="AE240" s="91" t="str">
        <f>IF(L240="","",(SUM(((L238-1)*(1-_xlfn.XLOOKUP(K238,'Fevereiro 2023 - Valor Real'!A3:A15,'Fevereiro 2023 - Valor Real'!C3:C15,0))+1),((L239-1)*(1-_xlfn.XLOOKUP(K239,'Fevereiro 2023 - Valor Real'!A3:A15,'Fevereiro 2023 - Valor Real'!C3:C15,0))+1),((L240-1)*(1-_xlfn.XLOOKUP(K240,'Fevereiro 2023 - Valor Real'!A3:A15,'Fevereiro 2023 - Valor Real'!C3:C15,0))+1))/((L240-1)*(1-_xlfn.XLOOKUP(K240,'Fevereiro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Real'!C3:C15,0))+1))/((L238-1)*(1-_xlfn.XLOOKUP(K238,'Fevereiro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Real'!C3:C15,0))+1))/((L239-1)*(1-_xlfn.XLOOKUP(K239,'Fevereiro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Real'!C3:C15,0))+1))/((L240-1)*(1-_xlfn.XLOOKUP(K240,'Fevereiro 2023 - Valor Real'!A3:A15,'Fevereiro 2023 - Valor Real'!C3:C15,0))+1)))</f>
        <v/>
      </c>
      <c r="AF240" s="66">
        <f t="shared" si="473"/>
        <v>0</v>
      </c>
      <c r="AG240" s="67">
        <f t="shared" si="473"/>
        <v>0</v>
      </c>
      <c r="AH240" s="67">
        <f t="shared" si="473"/>
        <v>0</v>
      </c>
      <c r="AI240" s="67">
        <f t="shared" si="473"/>
        <v>0</v>
      </c>
      <c r="AJ240" s="67">
        <f t="shared" si="473"/>
        <v>0</v>
      </c>
      <c r="AK240" s="67">
        <f t="shared" si="473"/>
        <v>0</v>
      </c>
      <c r="AL240" s="67">
        <f t="shared" si="473"/>
        <v>0</v>
      </c>
      <c r="AM240" s="67">
        <f t="shared" si="473"/>
        <v>0</v>
      </c>
      <c r="AN240" s="67">
        <f t="shared" si="473"/>
        <v>0</v>
      </c>
      <c r="AO240" s="67">
        <f t="shared" si="473"/>
        <v>0</v>
      </c>
      <c r="AP240" s="67">
        <f t="shared" si="473"/>
        <v>0</v>
      </c>
      <c r="AQ240" s="67">
        <f t="shared" si="473"/>
        <v>0</v>
      </c>
      <c r="AR240" s="68">
        <f t="shared" si="473"/>
        <v>0</v>
      </c>
      <c r="AS240" s="66">
        <f>IF(AND($B238=" ",$K240=AS$3),$O240,0)</f>
        <v>0</v>
      </c>
      <c r="AT240" s="67">
        <f>IF(AND($B238=" ",K240=AT$3),$O240,0)</f>
        <v>0</v>
      </c>
      <c r="AU240" s="67">
        <f t="shared" ref="AU240:BE240" si="483">IF(AND($B238=" ",$K240=AU$3),$O240,0)</f>
        <v>0</v>
      </c>
      <c r="AV240" s="67">
        <f t="shared" si="483"/>
        <v>0</v>
      </c>
      <c r="AW240" s="67">
        <f t="shared" si="483"/>
        <v>0</v>
      </c>
      <c r="AX240" s="67">
        <f t="shared" si="483"/>
        <v>0</v>
      </c>
      <c r="AY240" s="69">
        <f t="shared" si="483"/>
        <v>0</v>
      </c>
      <c r="AZ240" s="70">
        <f t="shared" si="483"/>
        <v>0</v>
      </c>
      <c r="BA240" s="70">
        <f t="shared" si="483"/>
        <v>0</v>
      </c>
      <c r="BB240" s="70">
        <f t="shared" si="483"/>
        <v>0</v>
      </c>
      <c r="BC240" s="71">
        <f t="shared" si="483"/>
        <v>0</v>
      </c>
      <c r="BD240" s="67">
        <f t="shared" si="483"/>
        <v>0</v>
      </c>
      <c r="BE240" s="68">
        <f t="shared" si="483"/>
        <v>0</v>
      </c>
      <c r="BF240" s="66">
        <f t="shared" si="475"/>
        <v>0</v>
      </c>
      <c r="BG240" s="168">
        <f t="shared" si="475"/>
        <v>0</v>
      </c>
      <c r="BH240" s="67">
        <f t="shared" si="475"/>
        <v>0</v>
      </c>
      <c r="BI240" s="67">
        <f t="shared" si="475"/>
        <v>0</v>
      </c>
      <c r="BJ240" s="67">
        <f t="shared" si="475"/>
        <v>0</v>
      </c>
      <c r="BK240" s="67">
        <f t="shared" si="475"/>
        <v>0</v>
      </c>
      <c r="BL240" s="67">
        <f t="shared" si="475"/>
        <v>0</v>
      </c>
      <c r="BM240" s="69">
        <f t="shared" si="475"/>
        <v>0</v>
      </c>
      <c r="BN240" s="70">
        <f t="shared" si="475"/>
        <v>0</v>
      </c>
      <c r="BO240" s="70">
        <f t="shared" si="475"/>
        <v>0</v>
      </c>
      <c r="BP240" s="70">
        <f t="shared" si="475"/>
        <v>0</v>
      </c>
      <c r="BQ240" s="71">
        <f t="shared" si="475"/>
        <v>0</v>
      </c>
      <c r="BR240" s="68">
        <f t="shared" si="475"/>
        <v>0</v>
      </c>
      <c r="BS240" s="491"/>
      <c r="BT240" s="489"/>
      <c r="BU240" s="392"/>
      <c r="BV240" s="489"/>
      <c r="BW240" s="392"/>
      <c r="BX240" s="392"/>
      <c r="BY240" s="392"/>
      <c r="BZ240" s="489"/>
      <c r="CA240" s="392"/>
      <c r="CB240" s="392"/>
      <c r="CC240" s="392"/>
      <c r="CD240" s="401"/>
      <c r="CE240" s="409"/>
      <c r="CF240" s="169">
        <f t="shared" si="388"/>
        <v>0</v>
      </c>
      <c r="CG240" s="170">
        <f t="shared" si="389"/>
        <v>0</v>
      </c>
      <c r="CH240" s="170">
        <f t="shared" si="390"/>
        <v>0</v>
      </c>
      <c r="CI240" s="170">
        <f t="shared" si="391"/>
        <v>0</v>
      </c>
      <c r="CJ240" s="170">
        <f t="shared" si="392"/>
        <v>0</v>
      </c>
      <c r="CK240" s="170">
        <f t="shared" si="393"/>
        <v>0</v>
      </c>
      <c r="CL240" s="170">
        <f t="shared" si="394"/>
        <v>0</v>
      </c>
      <c r="CM240" s="170">
        <f t="shared" si="395"/>
        <v>0</v>
      </c>
      <c r="CN240" s="170">
        <f t="shared" si="396"/>
        <v>0</v>
      </c>
      <c r="CO240" s="170">
        <f t="shared" si="397"/>
        <v>0</v>
      </c>
      <c r="CP240" s="170">
        <f t="shared" si="398"/>
        <v>0</v>
      </c>
      <c r="CQ240" s="170">
        <f t="shared" si="399"/>
        <v>0</v>
      </c>
      <c r="CR240" s="170">
        <f t="shared" si="400"/>
        <v>0</v>
      </c>
      <c r="CS240" s="170">
        <f t="shared" si="401"/>
        <v>0</v>
      </c>
      <c r="CT240" s="75">
        <f t="shared" si="402"/>
        <v>0</v>
      </c>
      <c r="CU240" s="76">
        <f t="shared" si="403"/>
        <v>0</v>
      </c>
      <c r="CV240" s="76">
        <f t="shared" si="404"/>
        <v>0</v>
      </c>
      <c r="CW240" s="76">
        <f t="shared" si="405"/>
        <v>0</v>
      </c>
      <c r="CX240" s="76">
        <f t="shared" si="406"/>
        <v>0</v>
      </c>
      <c r="CY240" s="76">
        <f t="shared" si="407"/>
        <v>0</v>
      </c>
      <c r="CZ240" s="76">
        <f t="shared" si="408"/>
        <v>0</v>
      </c>
      <c r="DA240" s="76">
        <f t="shared" si="409"/>
        <v>0</v>
      </c>
      <c r="DB240" s="76">
        <f t="shared" si="410"/>
        <v>0</v>
      </c>
      <c r="DC240" s="76">
        <f t="shared" si="411"/>
        <v>0</v>
      </c>
      <c r="DD240" s="76">
        <f t="shared" si="412"/>
        <v>0</v>
      </c>
      <c r="DE240" s="77">
        <f t="shared" si="413"/>
        <v>0</v>
      </c>
      <c r="DF240" s="73">
        <f t="shared" si="415"/>
        <v>15</v>
      </c>
      <c r="DG240" s="67">
        <f t="shared" si="416"/>
        <v>19.170000000000002</v>
      </c>
      <c r="DH240" s="76">
        <f t="shared" si="417"/>
        <v>6</v>
      </c>
      <c r="DI240" s="67">
        <f t="shared" si="418"/>
        <v>25.63</v>
      </c>
      <c r="DJ240" s="202" t="str">
        <f>IF($D238="","",$D238)</f>
        <v>7</v>
      </c>
      <c r="DK240" s="493"/>
    </row>
    <row r="241" spans="1:115" ht="14.5" customHeight="1" x14ac:dyDescent="0.2">
      <c r="A241" s="459">
        <f>$A238+1</f>
        <v>80</v>
      </c>
      <c r="B241" s="507" t="str">
        <f>IF(OR(C241="W",C242="W",C243="W",C241="1/2W",C242="1/2W",C243="1/2W",C241="1/2L",C242="1/2L",C243="1/2L"),"OK",IF(OR(C241="L",C242="L",C243="L"),"LOSS",IF(OR(C241="X",C242="X",C243="X"),"Anulado"," ")))</f>
        <v>OK</v>
      </c>
      <c r="C241" s="93" t="s">
        <v>54</v>
      </c>
      <c r="D241" s="468" t="str">
        <f>IF(G241="","",$D238)</f>
        <v>7</v>
      </c>
      <c r="E241" s="485" t="str">
        <f>IF(G241=""," ","– "&amp;COUNTIF(D$4:D243,$D241))</f>
        <v>– 6</v>
      </c>
      <c r="F241" s="509" t="str">
        <f ca="1">IF(G241="","",IF(OR(AND($C241&lt;&gt;" ",$C242=" "),AND($C242&lt;&gt;" ",$C241=" "),AND(L243&gt;0,OR(AND($C243&lt;&gt;" ",OR($C241=" ",$C242=" ")),AND($C243=" ",OR($C241&lt;&gt;" ",$C242&lt;&gt;" "))))),IF(SUM(F$4:F240)=0,1,LARGE(F$4:F240,1)+1),IF(MONTH(G241)=MONTH(TODAY()),IF(AND(DAY(G241)&lt;DAY(TODAY()),$B241=" "),IF(SUM(F$4:F240)=0,1,LARGE(F$4:F240,1)+1),IF($B241=" ",IF(AND(DAY(G241)=DAY(TODAY()),HOUR(G241)&lt;=HOUR(NOW())+1),IF(AND(HOUR(G241)+2&lt;=HOUR(NOW()),DAY(G241)&lt;=DAY(TODAY()),MINUTE(G241)&lt;=MINUTE(NOW())),IF(SUM(F$4:F240)=0,1,LARGE(F$4:F240,1)+1),IF(OR(MINUTE(G241)&lt;=MINUTE(NOW()),HOUR(G241)&lt;=HOUR(NOW())),"!!!","")),""),"")),"")))</f>
        <v/>
      </c>
      <c r="G241" s="482">
        <v>44993.458333333336</v>
      </c>
      <c r="H241" s="475" t="s">
        <v>128</v>
      </c>
      <c r="I241" s="94" t="s">
        <v>59</v>
      </c>
      <c r="J241" s="176"/>
      <c r="K241" s="96" t="s">
        <v>47</v>
      </c>
      <c r="L241" s="97">
        <v>3.67</v>
      </c>
      <c r="M241" s="98">
        <v>9.7899999999999991</v>
      </c>
      <c r="N241" s="478">
        <v>0</v>
      </c>
      <c r="O241" s="99">
        <f>IF(OR(AE241="",AE242=""),"",ROUND(IF(L243&gt;0,IF(M241&gt;0,M241,IF(M242&gt;0,ROUND((M242*AE241)/AE242,IF(N241=0,2,IF(N241=0.1,1,0))),ROUND((M243*AE241)/AE243,IF(N241=0,2,IF(N241=0.1,1,0))))),IF(M241&gt;0,M241,ROUND((M242*AE241)/AE242,IF(N241=0,2,IF(N241=0.1,1,0))))),2))</f>
        <v>9.7899999999999991</v>
      </c>
      <c r="P241" s="100">
        <f>IF(OR(L241="",O241=""),"",IF($C241="1/2W",O241/2+O241/2*L241,IF($C241="1/2L",O241/2,IF(I241="Lay",(O241*(L241/(L241-1))-O241)*(1-_xlfn.XLOOKUP(K241,'Fevereiro 2023 - Valor Real'!A3:A15,'Fevereiro 2023 - Valor Real'!C3:C15,0))+O241,(O241*L241-O241)*(1-_xlfn.XLOOKUP(K241,'Fevereiro 2023 - Valor Real'!A3:A15,'Fevereiro 2023 - Valor Real'!C3:C15,0))+O241))))</f>
        <v>35.929299999999998</v>
      </c>
      <c r="Q241" s="101">
        <f>IF(K241="","",IF(_xlfn.XLOOKUP(K241,K$6:K236,$DJ$6:DJ236,0,,-1)=DJ241,_xlfn.XLOOKUP(K241,K$6:K236,Q$6:Q236,1,,-1)+1,1))</f>
        <v>1</v>
      </c>
      <c r="R241" s="102">
        <f>IF(K241="","",_xlfn.XLOOKUP(K241,K$6:K236,R$6:R236,0,,-1)+IF($C241=" ",1,0))</f>
        <v>0</v>
      </c>
      <c r="S241" s="474">
        <f>IF($B241="Anulado",0,ROUND(IF(OR($B241="LOSS",$B241="OK"),IF(OR($C241="W",$C241="1/2W",$C241="1/2L"),P241-O241,IF($C241="L",-O241,0))+IF(OR($C242="W",$C242="1/2W",$C242="1/2L"),P242-O242,IF($C242="L",-O242,0))+IF(OR($C243="W",$C243="1/2W",$C243="1/2L"),P243-O243,IF($C243="L",-O243,0)),IF(AND(OR($C241="W",$C241="1/2W",$C241="1/2L"),C242="W"),P241+P242-SUM(O241:O243)+_xlfn.XLOOKUP("X",C241:C243,O241:O243,0),IF(AND(C241=TRUE,C243="W"),P241+P243-SUM(O241:O243),IF(AND(C242="W",C243="W"),P242+P243-SUM(O241:O243)+_xlfn.XLOOKUP("X",C241:C243,O241:O243,0),IF(L243&gt;0,IF(OR($C241="W",$C241="1/2W",$C241="1/2L"),P241-SUM(O241:O243)+_xlfn.XLOOKUP("X",C241:C243,O241:O243,0),IF(OR($C241="W",$C241="1/2W",$C241="1/2L"),P242-SUM(O241:O243)+_xlfn.XLOOKUP("X",C241:C243,O241:O243,0),IF(OR($C241="W",$C241="1/2W",$C241="1/2L"),P243-SUM(O241:O243)+_xlfn.XLOOKUP("X",C241:C243,O241:O243,0),IF(SUM(P241:P243)/3-SUM(O241:O243)+_xlfn.XLOOKUP("X",C241:C243,O241:O243,0)&gt;0,SUM(P241:P243)/3-SUM(O241:O243)+_xlfn.XLOOKUP("X",C241:C243,O241:O243,0),LARGE(P241:P243,1)-SUM(O241:O243))))),IF(OR($C241="W",$C241="1/2W",$C241="1/2L"),P241-SUM(O241:O242)+_xlfn.XLOOKUP("X",C241:C243,O241:O243,0),IF(OR($C241="W",$C241="1/2W",$C241="1/2L"),P242-SUM(O241:O242)+_xlfn.XLOOKUP("X",C241:C243,O241:O243,0),SUM(P241:P242)/2-SUM(O241:O242)+_xlfn.XLOOKUP("X",C241:C243,O241:O243,0)))))))),2))</f>
        <v>-1.4</v>
      </c>
      <c r="T241" s="458">
        <f>IF(S241=0,0,S241/SUM(O241:O243))</f>
        <v>-3.7503348513260114E-2</v>
      </c>
      <c r="U241" s="470">
        <f>IF($D241=$D238,IF(OR($B241="LOSS",$B241="OK",$B241="Anulada"),S241,0)+U238,IF(OR($B241="LOSS",$B241="OK",$B241="Anulada"),S241,0))</f>
        <v>11.28</v>
      </c>
      <c r="V241" s="470">
        <f>IF($D241="",0,IF($D241=$D238,IF($B241=" ",IF(I243="",IF(OR(AND(I241="DNB1",I242="DNB2"),AND(OR(I241="DNB1",I241="DNB2"),J242=0),AND(OR(I242="DNB1",I242="DNB2"),J241=0),AND(I241="DNB2",I242="DNB1"),AND(IF(J241=0,(J241+1)/ROUND(J241+1,0),J241/ROUND(J241,0))=1,IF(J242=0,(J242+1)/ROUND(IF(J242="",0,J242)+1,0),IF(J242="",0,J242)/ROUND(IF(J242="",1,J242),0))=1,OR(J241&lt;&gt;""),J242&lt;&gt;"")),0,IF(S241&lt;0,IF(I243="",SMALL(P241:P242,1)-SUM(O241:O242),0),SMALL(P241:P242,1)-SUM(O241:O242))),IF(S241&lt;0,IF(I243="",SMALL(P241:P243,1)-SUM(O241:O243),0),LARGE(P241:P243,1)-SUM(O241:O243))),S241)+V238,IF(I243="",IF(OR(AND(I241="DNB1",I242="DNB2"),AND(OR(I241="DNB1",I241="DNB2"),J242=0),AND(OR(I242="DNB1",I242="DNB2"),J241=0),AND(I241="DNB2",I242="DNB1"),AND(IF(J241=0,(J241+1)/ROUND(J241+1,0),J241/ROUND(J241,0))=1,IF(J242=0,(IF(J242="",0,J242)+1)/ROUND(IF(J242="",0,J242)+1,0),IF(J242="",0,J242)/ROUND(IF(J242="",0,J242)+1,0))=1,OR(J241&lt;&gt;""),J242&lt;&gt;"")),0,IF(S241&lt;0,IF(I243="",SMALL(P241:P242,1)-SUM(O241:O242),0),SMALL(P241:P243,1)-SUM(O241:O243))),IF(S241&lt;0,IF(I243="",SMALL(P241:P243,1)-SUM(O241:O243),0),LARGE(P241:P243,1)-SUM(O241:O243)))))</f>
        <v>11.280799999999997</v>
      </c>
      <c r="W241" s="470">
        <f>IF($D241=$D238,IF(S241&lt;0,IF(I243="",S241,0),S241)+W238,S241)</f>
        <v>11.28</v>
      </c>
      <c r="X241" s="480" t="str">
        <f>IF(OR(SUM(R241:R243)=0,V241=W241),ROUND(IF(W241=0,0,W241/Y241)*100,2)&amp;"%",ROUND(IF(V241=0,0,V241/Y241)*100,2)&amp;"% a "&amp;ROUND(IF(W241=0,0,W241/Y241)*100,2)&amp;"%")</f>
        <v>4,86%</v>
      </c>
      <c r="Y241" s="471">
        <f>IF($D241=$D238,Y238+SUM(O241:O243),SUM(O241:O243))</f>
        <v>232.26</v>
      </c>
      <c r="Z241" s="470">
        <f>IF($B241=" ",SUM(O241:O243),0)+Z238</f>
        <v>0</v>
      </c>
      <c r="AA241" s="470">
        <f>IF(G241="","",IF($B241="Anulado",LARGE(P241:P243,1)-SUM(O241:O243)+AA238,AA238))</f>
        <v>1.4607999999999972</v>
      </c>
      <c r="AB241" s="470">
        <f>IF($D241="","",AB238+S241)</f>
        <v>408.7</v>
      </c>
      <c r="AC241" s="472">
        <f ca="1">IF($D241="","",IF($B241=" ",IF(DAY(G241)=DAY(TODAY()),1+AC238,0+AC238),0+AC238))</f>
        <v>0</v>
      </c>
      <c r="AD241" s="103">
        <f>(((L242/(L242-1)-1)*(1-_xlfn.XLOOKUP(K242,'Fevereiro 2023 - Valor Real'!A3:A15,'Fevereiro 2023 - Valor Real'!C3:C15,0))+1))/(((L241-1)*(1-_xlfn.XLOOKUP(K241,'Fevereiro 2023 - Valor Real'!A3:A15,'Fevereiro 2023 - Valor Real'!C3:C15,0))+1)+((L242/(L242-1)-1)*(1-_xlfn.XLOOKUP(K242,'Fevereiro 2023 - Valor Real'!A3:A15,'Fevereiro 2023 - Valor Real'!C3:C15,0))+1))</f>
        <v>0.46375706753065243</v>
      </c>
      <c r="AE241" s="104">
        <f>IF(L241="","",IF(L243&gt;0,(SUM(((L241-1)*(1-_xlfn.XLOOKUP(K241,'Fevereiro 2023 - Valor Real'!A3:A15,'Fevereiro 2023 - Valor Real'!C3:C15,0))+1),((L242-1)*(1-_xlfn.XLOOKUP(K242,'Fevereiro 2023 - Valor Real'!A3:A15,'Fevereiro 2023 - Valor Real'!C3:C15,0))+1),((L243-1)*(1-_xlfn.XLOOKUP(K243,'Fevereiro 2023 - Valor Real'!A3:A15,'Fevereiro 2023 - Valor Real'!C3:C15,0))+1))/((L241-1)*(1-_xlfn.XLOOKUP(K241,'Fevereiro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Real'!C3:C15,0))+1))/((L241-1)*(1-_xlfn.XLOOKUP(K241,'Fevereiro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Real'!C3:C15,0))+1))/((L242-1)*(1-_xlfn.XLOOKUP(K242,'Fevereiro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Real'!C3:C15,0))+1))/((L243-1)*(1-_xlfn.XLOOKUP(K243,'Fevereiro 2023 - Valor Real'!A3:A15,'Fevereiro 2023 - Valor Real'!C3:C15,0))+1)),IF(I241="Lay",IF(I242="Lay",((L242/(L242-1)-1)*(1-_xlfn.XLOOKUP(K242,'Fevereiro 2023 - Valor Real'!A3:A15,'Fevereiro 2023 - Valor Real'!C3:C15,0))+1)/(((L242/(L242-1)-1)*(1-_xlfn.XLOOKUP(K242,'Fevereiro 2023 - Valor Real'!A3:A15,'Fevereiro 2023 - Valor Real'!C3:C15,0))+1)+((L241/(L241-1)-1)*(1-_xlfn.XLOOKUP(K241,'Fevereiro 2023 - Valor Real'!A3:A15,'Fevereiro 2023 - Valor Real'!C3:C15,0))+1)),((L242-1)*(1-_xlfn.XLOOKUP(K242,'Fevereiro 2023 - Valor Real'!A3:A15,'Fevereiro 2023 - Valor Real'!C3:C15,0))+1)/(((L242-1)*(1-_xlfn.XLOOKUP(K242,'Fevereiro 2023 - Valor Real'!A3:A15,'Fevereiro 2023 - Valor Real'!C3:C15,0))+1)+((L241/(L241-1)-1)*(1-_xlfn.XLOOKUP(K241,'Fevereiro 2023 - Valor Real'!A3:A15,'Fevereiro 2023 - Valor Real'!C3:C15,0))+1))),IF(I242="Lay",(((L242/(L242-1)-1)*(1-_xlfn.XLOOKUP(K242,'Fevereiro 2023 - Valor Real'!A3:A15,'Fevereiro 2023 - Valor Real'!C3:C15,0))+1))/(((L241-1)*(1-_xlfn.XLOOKUP(K241,'Fevereiro 2023 - Valor Real'!A3:A15,'Fevereiro 2023 - Valor Real'!C3:C15,0))+1)+((L242/(L242-1)-1)*(1-_xlfn.XLOOKUP(K242,'Fevereiro 2023 - Valor Real'!A3:A15,'Fevereiro 2023 - Valor Real'!C3:C15,0))+1)),((L242-1)*(1-_xlfn.XLOOKUP(K242,'Fevereiro 2023 - Valor Real'!A3:A15,'Fevereiro 2023 - Valor Real'!C3:C15,0))+1)/(((L242-1)*(1-_xlfn.XLOOKUP(K242,'Fevereiro 2023 - Valor Real'!A3:A15,'Fevereiro 2023 - Valor Real'!C3:C15,0))+1)+((L241-1)*(1-_xlfn.XLOOKUP(K241,'Fevereiro 2023 - Valor Real'!A3:A15,'Fevereiro 2023 - Valor Real'!C3:C15,0))+1))))))</f>
        <v>0.28460038986354774</v>
      </c>
      <c r="AF241" s="105">
        <f t="shared" si="473"/>
        <v>0</v>
      </c>
      <c r="AG241" s="106">
        <f t="shared" si="473"/>
        <v>0</v>
      </c>
      <c r="AH241" s="106">
        <f t="shared" si="473"/>
        <v>0</v>
      </c>
      <c r="AI241" s="106">
        <f t="shared" si="473"/>
        <v>0</v>
      </c>
      <c r="AJ241" s="106">
        <f t="shared" si="473"/>
        <v>0</v>
      </c>
      <c r="AK241" s="106">
        <f t="shared" si="473"/>
        <v>0</v>
      </c>
      <c r="AL241" s="106">
        <f t="shared" si="473"/>
        <v>0</v>
      </c>
      <c r="AM241" s="106">
        <f t="shared" si="473"/>
        <v>0</v>
      </c>
      <c r="AN241" s="106">
        <f t="shared" si="473"/>
        <v>0</v>
      </c>
      <c r="AO241" s="106">
        <f t="shared" si="473"/>
        <v>0</v>
      </c>
      <c r="AP241" s="106">
        <f t="shared" si="473"/>
        <v>0</v>
      </c>
      <c r="AQ241" s="106">
        <f t="shared" si="473"/>
        <v>26.14</v>
      </c>
      <c r="AR241" s="107">
        <f t="shared" si="473"/>
        <v>0</v>
      </c>
      <c r="AS241" s="105">
        <f t="shared" ref="AS241:BE241" si="484">IF(AND($B241=" ",$K241=AS$3),$O241,0)</f>
        <v>0</v>
      </c>
      <c r="AT241" s="106">
        <f t="shared" si="484"/>
        <v>0</v>
      </c>
      <c r="AU241" s="106">
        <f t="shared" si="484"/>
        <v>0</v>
      </c>
      <c r="AV241" s="106">
        <f t="shared" si="484"/>
        <v>0</v>
      </c>
      <c r="AW241" s="106">
        <f t="shared" si="484"/>
        <v>0</v>
      </c>
      <c r="AX241" s="106">
        <f t="shared" si="484"/>
        <v>0</v>
      </c>
      <c r="AY241" s="108">
        <f t="shared" si="484"/>
        <v>0</v>
      </c>
      <c r="AZ241" s="109">
        <f t="shared" si="484"/>
        <v>0</v>
      </c>
      <c r="BA241" s="109">
        <f t="shared" si="484"/>
        <v>0</v>
      </c>
      <c r="BB241" s="109">
        <f t="shared" si="484"/>
        <v>0</v>
      </c>
      <c r="BC241" s="110">
        <f t="shared" si="484"/>
        <v>0</v>
      </c>
      <c r="BD241" s="106">
        <f t="shared" si="484"/>
        <v>0</v>
      </c>
      <c r="BE241" s="107">
        <f t="shared" si="484"/>
        <v>0</v>
      </c>
      <c r="BF241" s="111">
        <f t="shared" si="475"/>
        <v>0</v>
      </c>
      <c r="BG241" s="106">
        <f t="shared" si="475"/>
        <v>0</v>
      </c>
      <c r="BH241" s="106">
        <f t="shared" si="475"/>
        <v>0</v>
      </c>
      <c r="BI241" s="106">
        <f t="shared" si="475"/>
        <v>0</v>
      </c>
      <c r="BJ241" s="106">
        <f t="shared" si="475"/>
        <v>0</v>
      </c>
      <c r="BK241" s="106">
        <f t="shared" si="475"/>
        <v>0</v>
      </c>
      <c r="BL241" s="106">
        <f t="shared" si="475"/>
        <v>0</v>
      </c>
      <c r="BM241" s="108">
        <f t="shared" si="475"/>
        <v>0</v>
      </c>
      <c r="BN241" s="109">
        <f t="shared" si="475"/>
        <v>0</v>
      </c>
      <c r="BO241" s="109">
        <f t="shared" si="475"/>
        <v>0</v>
      </c>
      <c r="BP241" s="109">
        <f t="shared" si="475"/>
        <v>0</v>
      </c>
      <c r="BQ241" s="110">
        <f t="shared" si="475"/>
        <v>9.7899999999999991</v>
      </c>
      <c r="BR241" s="107">
        <f t="shared" si="475"/>
        <v>0</v>
      </c>
      <c r="BS241" s="463">
        <f>IF($B241="LOSS",IF(AND($K241=BS$3,$C241="L"),-$O241,0)+IF(AND($K242=BS$3,$C242="L"),-$O242,0)+IF(AND($K243=BS$3,$C243="L"),-$O243,0),IF(OR(AND($K241=BS$3,OR($C241="W",$C241="1/2W")),AND($K242=BS$3,OR($C242="W",$C242="1/2W")),AND($K243=BS$3,OR($C243="W",$C243="1/2W"))),$S241,0))</f>
        <v>0</v>
      </c>
      <c r="BT241" s="462">
        <f>IF($B241="LOSS",IF(AND($K241=BT$3,$C241="L"),-$O241,0)+IF(AND($K242=BT$3,$C242="L"),-$O242,0)+IF(AND($K242=BT$3,$C243="L"),-$O243,0),IF(OR(AND($K242=BT$3,OR($C241="W",$C241="1/2W")),AND($K242=BT$3,OR($C242="W",$C242="1/2W")),AND($K242=BT$3,OR($C243="W",$C243="1/2W"))),$S241,0))</f>
        <v>-1.4</v>
      </c>
      <c r="BU241" s="462">
        <f>IF($B241="LOSS",IF(AND($K241=BU$3,$C241="L"),-$O241,0)+IF(AND($K242=BU$3,$C242="L"),-$O242,0)+IF(AND($K242=BU$3,$C243="L"),-$O243,0),IF(OR(AND($K242=BU$3,OR($C241="W",$C241="1/2W")),AND($K242=BU$3,OR($C242="W",$C242="1/2W")),AND($K242=BU$3,OR($C243="W",$C243="1/2W"))),$S241,0))</f>
        <v>0</v>
      </c>
      <c r="BV241" s="462">
        <f t="shared" ref="BV241:CE241" si="485">IF($B241="LOSS",IF(AND($K241=BV$3,$C241="L"),-$O241,0)+IF(AND($K242=BV$3,$C242="L"),-$O242,0)+IF(AND($K243=BV$3,$C243="L"),-$O243,0),IF(OR(AND($K241=BV$3,OR($C241="W",$C241="1/2W")),AND($K242=BV$3,OR($C242="W",$C242="1/2W")),AND($K243=BV$3,OR($C243="W",$C243="1/2W"))),$S241,0))</f>
        <v>0</v>
      </c>
      <c r="BW241" s="462">
        <f t="shared" si="485"/>
        <v>0</v>
      </c>
      <c r="BX241" s="462">
        <f t="shared" si="485"/>
        <v>0</v>
      </c>
      <c r="BY241" s="462">
        <f t="shared" si="485"/>
        <v>0</v>
      </c>
      <c r="BZ241" s="460">
        <f t="shared" si="485"/>
        <v>0</v>
      </c>
      <c r="CA241" s="460">
        <f t="shared" si="485"/>
        <v>0</v>
      </c>
      <c r="CB241" s="460">
        <f t="shared" si="485"/>
        <v>0</v>
      </c>
      <c r="CC241" s="460">
        <f t="shared" si="485"/>
        <v>0</v>
      </c>
      <c r="CD241" s="473">
        <f t="shared" si="485"/>
        <v>-1.4</v>
      </c>
      <c r="CE241" s="479">
        <f t="shared" si="485"/>
        <v>0</v>
      </c>
      <c r="CF241" s="113">
        <f t="shared" si="388"/>
        <v>0</v>
      </c>
      <c r="CG241" s="114">
        <f t="shared" si="389"/>
        <v>0</v>
      </c>
      <c r="CH241" s="114">
        <f t="shared" si="390"/>
        <v>0</v>
      </c>
      <c r="CI241" s="114">
        <f t="shared" si="391"/>
        <v>0</v>
      </c>
      <c r="CJ241" s="114">
        <f t="shared" si="392"/>
        <v>0</v>
      </c>
      <c r="CK241" s="114">
        <f t="shared" si="393"/>
        <v>0</v>
      </c>
      <c r="CL241" s="114">
        <f t="shared" si="394"/>
        <v>0</v>
      </c>
      <c r="CM241" s="114">
        <f t="shared" si="395"/>
        <v>0</v>
      </c>
      <c r="CN241" s="114">
        <f t="shared" si="396"/>
        <v>0</v>
      </c>
      <c r="CO241" s="114">
        <f t="shared" si="397"/>
        <v>0</v>
      </c>
      <c r="CP241" s="114">
        <f t="shared" si="398"/>
        <v>0</v>
      </c>
      <c r="CQ241" s="114">
        <f t="shared" si="399"/>
        <v>0</v>
      </c>
      <c r="CR241" s="114">
        <f t="shared" si="400"/>
        <v>0</v>
      </c>
      <c r="CS241" s="114">
        <f t="shared" si="401"/>
        <v>0</v>
      </c>
      <c r="CT241" s="115">
        <f t="shared" si="402"/>
        <v>0</v>
      </c>
      <c r="CU241" s="116">
        <f t="shared" si="403"/>
        <v>0</v>
      </c>
      <c r="CV241" s="116">
        <f t="shared" si="404"/>
        <v>0</v>
      </c>
      <c r="CW241" s="116">
        <f t="shared" si="405"/>
        <v>0</v>
      </c>
      <c r="CX241" s="116">
        <f t="shared" si="406"/>
        <v>0</v>
      </c>
      <c r="CY241" s="116">
        <f t="shared" si="407"/>
        <v>0</v>
      </c>
      <c r="CZ241" s="116">
        <f t="shared" si="408"/>
        <v>0</v>
      </c>
      <c r="DA241" s="116">
        <f t="shared" si="409"/>
        <v>0</v>
      </c>
      <c r="DB241" s="116">
        <f t="shared" si="410"/>
        <v>1</v>
      </c>
      <c r="DC241" s="116">
        <f t="shared" si="411"/>
        <v>0</v>
      </c>
      <c r="DD241" s="116">
        <f t="shared" si="412"/>
        <v>0</v>
      </c>
      <c r="DE241" s="117">
        <f t="shared" si="413"/>
        <v>0</v>
      </c>
      <c r="DF241" s="118">
        <f t="shared" si="415"/>
        <v>15</v>
      </c>
      <c r="DG241" s="106">
        <f t="shared" si="416"/>
        <v>19.170000000000002</v>
      </c>
      <c r="DH241" s="116">
        <f t="shared" si="417"/>
        <v>7</v>
      </c>
      <c r="DI241" s="106">
        <f t="shared" si="418"/>
        <v>29.299999999999997</v>
      </c>
      <c r="DJ241" s="201" t="str">
        <f>IF($D241="","",$D241)</f>
        <v>7</v>
      </c>
      <c r="DK241" s="465">
        <f>IF(AND($B241=" ",$D241&lt;&gt;""),1,0)</f>
        <v>0</v>
      </c>
    </row>
    <row r="242" spans="1:115" ht="14.5" customHeight="1" x14ac:dyDescent="0.2">
      <c r="A242" s="389"/>
      <c r="B242" s="456"/>
      <c r="C242" s="120" t="s">
        <v>55</v>
      </c>
      <c r="D242" s="374"/>
      <c r="E242" s="386"/>
      <c r="F242" s="377"/>
      <c r="G242" s="483"/>
      <c r="H242" s="476"/>
      <c r="I242" s="178">
        <v>2</v>
      </c>
      <c r="J242" s="179" t="str">
        <f>IF(OR(I241="TO",I241="TU",I241="TO1",I241="TU1",I241="TO2",I241="TU2"),J241,IF(OR(I241="AH1",I241="AH2"),IF(OR(I242="AH1",I242="AH2"),-J241,IF(OR(I242="EH1",I242="EH2"),-J241+0.5,"")),IF(OR(I241="EH1",I241="EH2"),IF(OR(I242="AH1",I242="AH2"),-J241+0.5,IF(OR(I242="EH1",I242="EH2"),-J241+1,"")),IF(AND(OR(I241="DNB1",I241="DNB2"),OR(I242="AH1",I242="AH2")),0,IF(AND(I241="Not ScoreBoth",OR(I242="TO1",I242="TO2")),0.5,"")))))</f>
        <v/>
      </c>
      <c r="K242" s="123" t="s">
        <v>37</v>
      </c>
      <c r="L242" s="124">
        <v>1.46</v>
      </c>
      <c r="M242" s="125">
        <f>31.47-3.93</f>
        <v>27.54</v>
      </c>
      <c r="N242" s="406"/>
      <c r="O242" s="126">
        <f>IF(OR(AE241="",AE242=""),"",ROUND(IF(L243&gt;0,IF(M242&gt;0,M242,IF(M241&gt;0,IF(N241=TRUE,ROUND((M241*AE242)/AE241,0),(M241*AE242)/AE241),IF(M242&gt;0,ROUND(M242,IF(N241=0,2,IF(N241=0.1,1,0))),IF(M243&gt;0,ROUND(O243*AE242/AE243,IF(N241=0,2,IF(N241=0.1,1,0))),0)))),IF(M242&gt;0,M242,ROUND((M241*AE242)/AE241,IF(N241=0,2,IF(N241=0.1,1,0))))),2))</f>
        <v>27.54</v>
      </c>
      <c r="P242" s="127">
        <f>IF(OR(L242="",O242=""),"",IF($C242="1/2W",O242/2+O242/2*L242,IF($C242="1/2L",O242/2,IF(I242="Lay",((O242*(L242/(L242-1)))-O242)*(1-_xlfn.XLOOKUP(K242,'Fevereiro 2023 - Valor Real'!A3:A15,'Fevereiro 2023 - Valor Real'!C3:C15,0))+O242,(O242*L242-O242)*(1-_xlfn.XLOOKUP(K242,'Fevereiro 2023 - Valor Real'!A3:A15,'Fevereiro 2023 - Valor Real'!C3:C15,0))+O242))))</f>
        <v>40.208399999999997</v>
      </c>
      <c r="Q242" s="128">
        <f>IF(K242="","",IF(_xlfn.XLOOKUP(K242,K$7:K236,$DJ$7:DJ236,0,,-1)=DJ242,_xlfn.XLOOKUP(K242,K$7:K236,Q$7:Q236,1,,-1)+1,1))</f>
        <v>1</v>
      </c>
      <c r="R242" s="129">
        <f>IF(K242="","",_xlfn.XLOOKUP(K242,K$7:K236,R$7:R236,0,,-1)+IF($C242=" ",1,0))</f>
        <v>0</v>
      </c>
      <c r="S242" s="403"/>
      <c r="T242" s="380"/>
      <c r="U242" s="380"/>
      <c r="V242" s="481"/>
      <c r="W242" s="380"/>
      <c r="X242" s="452"/>
      <c r="Y242" s="383"/>
      <c r="Z242" s="384"/>
      <c r="AA242" s="384"/>
      <c r="AB242" s="384"/>
      <c r="AC242" s="384"/>
      <c r="AD242" s="130">
        <f>(((L242/(L242-1)-1)*(1-_xlfn.XLOOKUP(K242,'Fevereiro 2023 - Valor Real'!A3:A15,'Fevereiro 2023 - Valor Real'!C3:C15,0))+1))</f>
        <v>3.1739130434782612</v>
      </c>
      <c r="AE242" s="131">
        <f>IF(L242="","",IF(L243&gt;0,(SUM(((L241-1)*(1-_xlfn.XLOOKUP(K241,'Fevereiro 2023 - Valor Real'!A3:A15,'Fevereiro 2023 - Valor Real'!C3:C15,0))+1),((L242-1)*(1-_xlfn.XLOOKUP(K242,'Fevereiro 2023 - Valor Real'!A3:A15,'Fevereiro 2023 - Valor Real'!C3:C15,0))+1),((L243-1)*(1-_xlfn.XLOOKUP(K243,'Fevereiro 2023 - Valor Real'!A3:A15,'Fevereiro 2023 - Valor Real'!C3:C15,0))+1))/((L242-1)*(1-_xlfn.XLOOKUP(K242,'Fevereiro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Real'!C3:C15,0))+1))/((L241-1)*(1-_xlfn.XLOOKUP(K241,'Fevereiro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Real'!C3:C15,0))+1))/((L242-1)*(1-_xlfn.XLOOKUP(K242,'Fevereiro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Real'!C3:C15,0))+1))/((L243-1)*(1-_xlfn.XLOOKUP(K243,'Fevereiro 2023 - Valor Real'!A3:A15,'Fevereiro 2023 - Valor Real'!C3:C15,0))+1)),IF(I242="Lay",IF(I241="Lay",((L241/(L241-1)-1)*(1-_xlfn.XLOOKUP(K241,'Fevereiro 2023 - Valor Real'!A3:A15,'Fevereiro 2023 - Valor Real'!C3:C15,0))+1)/(((L241/(L241-1)-1)*(1-_xlfn.XLOOKUP(K241,'Fevereiro 2023 - Valor Real'!A3:A15,'Fevereiro 2023 - Valor Real'!C3:C15,0))+1)+((L242/(L242-1)-1)*(1-_xlfn.XLOOKUP(K242,'Fevereiro 2023 - Valor Real'!A3:A15,'Fevereiro 2023 - Valor Real'!C3:C15,0))+1)),((L241-1)*(1-_xlfn.XLOOKUP(K241,'Fevereiro 2023 - Valor Real'!A3:A15,'Fevereiro 2023 - Valor Real'!C3:C15,0))+1)/(((L241-1)*(1-_xlfn.XLOOKUP(K241,'Fevereiro 2023 - Valor Real'!A3:A15,'Fevereiro 2023 - Valor Real'!C3:C15,0))+1)+((L242/(L242-1)-1)*(1-_xlfn.XLOOKUP(K242,'Fevereiro 2023 - Valor Real'!A3:A15,'Fevereiro 2023 - Valor Real'!C3:C15,0))+1))),IF(I241="Lay",((L241/(L241-1)-1)*(1-_xlfn.XLOOKUP(K241,'Fevereiro 2023 - Valor Real'!A3:A15,'Fevereiro 2023 - Valor Real'!C3:C15,0))+1)/((((L241/(L241-1)-1)*(1-_xlfn.XLOOKUP(K241,'Fevereiro 2023 - Valor Real'!A3:A15,'Fevereiro 2023 - Valor Real'!C3:C15,0))+1))+((L242-1)*(1-_xlfn.XLOOKUP(K242,'Fevereiro 2023 - Valor Real'!A3:A15,'Fevereiro 2023 - Valor Real'!C3:C15,0))+1)),((L241-1)*(1-_xlfn.XLOOKUP(K241,'Fevereiro 2023 - Valor Real'!A3:A15,'Fevereiro 2023 - Valor Real'!C3:C15,0))+1)/(((L241-1)*(1-_xlfn.XLOOKUP(K241,'Fevereiro 2023 - Valor Real'!A3:A15,'Fevereiro 2023 - Valor Real'!C3:C15,0))+1)+((L242-1)*(1-_xlfn.XLOOKUP(K242,'Fevereiro 2023 - Valor Real'!A3:A15,'Fevereiro 2023 - Valor Real'!C3:C15,0))+1))))))</f>
        <v>0.71539961013645226</v>
      </c>
      <c r="AF242" s="105">
        <f t="shared" si="473"/>
        <v>0</v>
      </c>
      <c r="AG242" s="106">
        <f t="shared" si="473"/>
        <v>-27.54</v>
      </c>
      <c r="AH242" s="106">
        <f t="shared" si="473"/>
        <v>0</v>
      </c>
      <c r="AI242" s="106">
        <f t="shared" si="473"/>
        <v>0</v>
      </c>
      <c r="AJ242" s="106">
        <f t="shared" si="473"/>
        <v>0</v>
      </c>
      <c r="AK242" s="106">
        <f t="shared" si="473"/>
        <v>0</v>
      </c>
      <c r="AL242" s="106">
        <f t="shared" si="473"/>
        <v>0</v>
      </c>
      <c r="AM242" s="106">
        <f t="shared" si="473"/>
        <v>0</v>
      </c>
      <c r="AN242" s="106">
        <f t="shared" si="473"/>
        <v>0</v>
      </c>
      <c r="AO242" s="106">
        <f t="shared" si="473"/>
        <v>0</v>
      </c>
      <c r="AP242" s="106">
        <f t="shared" si="473"/>
        <v>0</v>
      </c>
      <c r="AQ242" s="106">
        <f t="shared" si="473"/>
        <v>0</v>
      </c>
      <c r="AR242" s="107">
        <f t="shared" si="473"/>
        <v>0</v>
      </c>
      <c r="AS242" s="105">
        <f>IF(AND($B241=" ",$K242=AS$3),$O242,0)</f>
        <v>0</v>
      </c>
      <c r="AT242" s="106">
        <f>IF(AND($B241=" ",K242=AT$3),$O242,0)</f>
        <v>0</v>
      </c>
      <c r="AU242" s="106">
        <f t="shared" ref="AU242:BE242" si="486">IF(AND($B241=" ",$K242=AU$3),$O242,0)</f>
        <v>0</v>
      </c>
      <c r="AV242" s="106">
        <f t="shared" si="486"/>
        <v>0</v>
      </c>
      <c r="AW242" s="106">
        <f t="shared" si="486"/>
        <v>0</v>
      </c>
      <c r="AX242" s="106">
        <f t="shared" si="486"/>
        <v>0</v>
      </c>
      <c r="AY242" s="108">
        <f t="shared" si="486"/>
        <v>0</v>
      </c>
      <c r="AZ242" s="109">
        <f t="shared" si="486"/>
        <v>0</v>
      </c>
      <c r="BA242" s="109">
        <f t="shared" si="486"/>
        <v>0</v>
      </c>
      <c r="BB242" s="109">
        <f t="shared" si="486"/>
        <v>0</v>
      </c>
      <c r="BC242" s="110">
        <f t="shared" si="486"/>
        <v>0</v>
      </c>
      <c r="BD242" s="106">
        <f t="shared" si="486"/>
        <v>0</v>
      </c>
      <c r="BE242" s="107">
        <f t="shared" si="486"/>
        <v>0</v>
      </c>
      <c r="BF242" s="105">
        <f t="shared" si="475"/>
        <v>0</v>
      </c>
      <c r="BG242" s="106">
        <f t="shared" si="475"/>
        <v>27.54</v>
      </c>
      <c r="BH242" s="106">
        <f t="shared" si="475"/>
        <v>0</v>
      </c>
      <c r="BI242" s="106">
        <f t="shared" si="475"/>
        <v>0</v>
      </c>
      <c r="BJ242" s="106">
        <f t="shared" si="475"/>
        <v>0</v>
      </c>
      <c r="BK242" s="106">
        <f t="shared" si="475"/>
        <v>0</v>
      </c>
      <c r="BL242" s="106">
        <f t="shared" si="475"/>
        <v>0</v>
      </c>
      <c r="BM242" s="132">
        <f t="shared" si="475"/>
        <v>0</v>
      </c>
      <c r="BN242" s="112">
        <f t="shared" si="475"/>
        <v>0</v>
      </c>
      <c r="BO242" s="112">
        <f t="shared" si="475"/>
        <v>0</v>
      </c>
      <c r="BP242" s="112">
        <f t="shared" si="475"/>
        <v>0</v>
      </c>
      <c r="BQ242" s="110">
        <f t="shared" si="475"/>
        <v>0</v>
      </c>
      <c r="BR242" s="107">
        <f t="shared" si="475"/>
        <v>0</v>
      </c>
      <c r="BS242" s="464"/>
      <c r="BT242" s="461"/>
      <c r="BU242" s="392"/>
      <c r="BV242" s="461"/>
      <c r="BW242" s="392"/>
      <c r="BX242" s="392"/>
      <c r="BY242" s="392"/>
      <c r="BZ242" s="461"/>
      <c r="CA242" s="392"/>
      <c r="CB242" s="392"/>
      <c r="CC242" s="392"/>
      <c r="CD242" s="401"/>
      <c r="CE242" s="409"/>
      <c r="CF242" s="133">
        <f t="shared" si="388"/>
        <v>0</v>
      </c>
      <c r="CG242" s="134">
        <f t="shared" si="389"/>
        <v>0</v>
      </c>
      <c r="CH242" s="134">
        <f t="shared" si="390"/>
        <v>0</v>
      </c>
      <c r="CI242" s="134">
        <f t="shared" si="391"/>
        <v>1</v>
      </c>
      <c r="CJ242" s="134">
        <f t="shared" si="392"/>
        <v>0</v>
      </c>
      <c r="CK242" s="134">
        <f t="shared" si="393"/>
        <v>0</v>
      </c>
      <c r="CL242" s="134">
        <f t="shared" si="394"/>
        <v>0</v>
      </c>
      <c r="CM242" s="134">
        <f t="shared" si="395"/>
        <v>0</v>
      </c>
      <c r="CN242" s="134">
        <f t="shared" si="396"/>
        <v>0</v>
      </c>
      <c r="CO242" s="134">
        <f t="shared" si="397"/>
        <v>0</v>
      </c>
      <c r="CP242" s="134">
        <f t="shared" si="398"/>
        <v>0</v>
      </c>
      <c r="CQ242" s="134">
        <f t="shared" si="399"/>
        <v>0</v>
      </c>
      <c r="CR242" s="134">
        <f t="shared" si="400"/>
        <v>0</v>
      </c>
      <c r="CS242" s="134">
        <f t="shared" si="401"/>
        <v>0</v>
      </c>
      <c r="CT242" s="115">
        <f t="shared" si="402"/>
        <v>0</v>
      </c>
      <c r="CU242" s="116">
        <f t="shared" si="403"/>
        <v>0</v>
      </c>
      <c r="CV242" s="116">
        <f t="shared" si="404"/>
        <v>0</v>
      </c>
      <c r="CW242" s="116">
        <f t="shared" si="405"/>
        <v>0</v>
      </c>
      <c r="CX242" s="116">
        <f t="shared" si="406"/>
        <v>0</v>
      </c>
      <c r="CY242" s="116">
        <f t="shared" si="407"/>
        <v>0</v>
      </c>
      <c r="CZ242" s="116">
        <f t="shared" si="408"/>
        <v>0</v>
      </c>
      <c r="DA242" s="116">
        <f t="shared" si="409"/>
        <v>0</v>
      </c>
      <c r="DB242" s="116">
        <f t="shared" si="410"/>
        <v>0</v>
      </c>
      <c r="DC242" s="116">
        <f t="shared" si="411"/>
        <v>0</v>
      </c>
      <c r="DD242" s="116">
        <f t="shared" si="412"/>
        <v>0</v>
      </c>
      <c r="DE242" s="117">
        <f t="shared" si="413"/>
        <v>0</v>
      </c>
      <c r="DF242" s="118">
        <f t="shared" si="415"/>
        <v>15</v>
      </c>
      <c r="DG242" s="106">
        <f t="shared" si="416"/>
        <v>19.170000000000002</v>
      </c>
      <c r="DH242" s="116">
        <f t="shared" si="417"/>
        <v>7</v>
      </c>
      <c r="DI242" s="106">
        <f t="shared" si="418"/>
        <v>29.299999999999997</v>
      </c>
      <c r="DJ242" s="201" t="str">
        <f>IF($D241="","",$D241)</f>
        <v>7</v>
      </c>
      <c r="DK242" s="466"/>
    </row>
    <row r="243" spans="1:115" ht="14.5" customHeight="1" x14ac:dyDescent="0.2">
      <c r="A243" s="390"/>
      <c r="B243" s="457"/>
      <c r="C243" s="135" t="s">
        <v>53</v>
      </c>
      <c r="D243" s="375"/>
      <c r="E243" s="387"/>
      <c r="F243" s="378"/>
      <c r="G243" s="484"/>
      <c r="H243" s="477"/>
      <c r="I243" s="136"/>
      <c r="J243" s="137"/>
      <c r="K243" s="138"/>
      <c r="L243" s="139"/>
      <c r="M243" s="140"/>
      <c r="N243" s="407"/>
      <c r="O243" s="141" t="str">
        <f>IF(OR(AE241="",AE242=""),"",IF(L243&gt;0,ROUND(IF(M243&gt;0,M243,IF(M241&gt;0,ROUND((M241*AE243)/AE241,IF(N241=0,2,IF(N241=0.1,1,0))),IF(M242&gt;0,ROUND((M242*AE243)/AE242,IF(N241=0,2,IF(N241=0.1,1,0))),IF(M243&gt;0,M243,0)))),2),""))</f>
        <v/>
      </c>
      <c r="P243" s="142" t="str">
        <f>IF(I242="Lay",O242*(L242/(L242-1))-O242,IF(I241="Lay",O241*(L241/(L241-1))-O241,IF(OR(L243="",O243=""),"",IF($C243="1/2W",O243/2+O243/2*L243,IF($C243="1/2L",O243/2,(O243*L243-O243)*(1-_xlfn.XLOOKUP(K243,'Fevereiro 2023 - Valor Real'!A3:A15,'Fevereiro 2023 - Valor Real'!C3:C15,0))+O243)))))</f>
        <v/>
      </c>
      <c r="Q243" s="143" t="str">
        <f>IF(K243="","",IF(_xlfn.XLOOKUP(K243,K$8:K236,$DJ$8:DJ236,0,,-1)=DJ243,_xlfn.XLOOKUP(K243,K$8:K236,Q$8:Q236,1,,-1)+1,1))</f>
        <v/>
      </c>
      <c r="R243" s="144" t="str">
        <f>IF(K243="","",_xlfn.XLOOKUP(K243,K$8:K236,R$8:R236,0,,-1)+IF($C243=" ",1,0))</f>
        <v/>
      </c>
      <c r="S243" s="404"/>
      <c r="T243" s="378"/>
      <c r="U243" s="378"/>
      <c r="V243" s="404"/>
      <c r="W243" s="378"/>
      <c r="X243" s="453"/>
      <c r="Y243" s="383"/>
      <c r="Z243" s="384"/>
      <c r="AA243" s="384"/>
      <c r="AB243" s="384"/>
      <c r="AC243" s="384"/>
      <c r="AD243" s="145">
        <f>((L242/(L242-1)-1))</f>
        <v>2.1739130434782612</v>
      </c>
      <c r="AE243" s="146" t="str">
        <f>IF(L243="","",(SUM(((L241-1)*(1-_xlfn.XLOOKUP(K241,'Fevereiro 2023 - Valor Real'!A3:A15,'Fevereiro 2023 - Valor Real'!C3:C15,0))+1),((L242-1)*(1-_xlfn.XLOOKUP(K242,'Fevereiro 2023 - Valor Real'!A3:A15,'Fevereiro 2023 - Valor Real'!C3:C15,0))+1),((L243-1)*(1-_xlfn.XLOOKUP(K243,'Fevereiro 2023 - Valor Real'!A3:A15,'Fevereiro 2023 - Valor Real'!C3:C15,0))+1))/((L243-1)*(1-_xlfn.XLOOKUP(K243,'Fevereiro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Real'!C3:C15,0))+1))/((L241-1)*(1-_xlfn.XLOOKUP(K241,'Fevereiro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Real'!C3:C15,0))+1))/((L242-1)*(1-_xlfn.XLOOKUP(K242,'Fevereiro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Real'!C3:C15,0))+1))/((L243-1)*(1-_xlfn.XLOOKUP(K243,'Fevereiro 2023 - Valor Real'!A3:A15,'Fevereiro 2023 - Valor Real'!C3:C15,0))+1)))</f>
        <v/>
      </c>
      <c r="AF243" s="105">
        <f t="shared" si="473"/>
        <v>0</v>
      </c>
      <c r="AG243" s="106">
        <f t="shared" si="473"/>
        <v>0</v>
      </c>
      <c r="AH243" s="106">
        <f t="shared" si="473"/>
        <v>0</v>
      </c>
      <c r="AI243" s="106">
        <f t="shared" si="473"/>
        <v>0</v>
      </c>
      <c r="AJ243" s="106">
        <f t="shared" si="473"/>
        <v>0</v>
      </c>
      <c r="AK243" s="106">
        <f t="shared" si="473"/>
        <v>0</v>
      </c>
      <c r="AL243" s="106">
        <f t="shared" si="473"/>
        <v>0</v>
      </c>
      <c r="AM243" s="106">
        <f t="shared" si="473"/>
        <v>0</v>
      </c>
      <c r="AN243" s="106">
        <f t="shared" si="473"/>
        <v>0</v>
      </c>
      <c r="AO243" s="106">
        <f t="shared" si="473"/>
        <v>0</v>
      </c>
      <c r="AP243" s="106">
        <f t="shared" si="473"/>
        <v>0</v>
      </c>
      <c r="AQ243" s="106">
        <f t="shared" si="473"/>
        <v>0</v>
      </c>
      <c r="AR243" s="107">
        <f t="shared" si="473"/>
        <v>0</v>
      </c>
      <c r="AS243" s="105">
        <f>IF(AND($B241=" ",$K243=AS$3),$O243,0)</f>
        <v>0</v>
      </c>
      <c r="AT243" s="106">
        <f>IF(AND($B241=" ",K243=AT$3),$O243,0)</f>
        <v>0</v>
      </c>
      <c r="AU243" s="106">
        <f t="shared" ref="AU243:BE243" si="487">IF(AND($B241=" ",$K243=AU$3),$O243,0)</f>
        <v>0</v>
      </c>
      <c r="AV243" s="106">
        <f t="shared" si="487"/>
        <v>0</v>
      </c>
      <c r="AW243" s="106">
        <f t="shared" si="487"/>
        <v>0</v>
      </c>
      <c r="AX243" s="106">
        <f t="shared" si="487"/>
        <v>0</v>
      </c>
      <c r="AY243" s="108">
        <f t="shared" si="487"/>
        <v>0</v>
      </c>
      <c r="AZ243" s="109">
        <f t="shared" si="487"/>
        <v>0</v>
      </c>
      <c r="BA243" s="109">
        <f t="shared" si="487"/>
        <v>0</v>
      </c>
      <c r="BB243" s="109">
        <f t="shared" si="487"/>
        <v>0</v>
      </c>
      <c r="BC243" s="110">
        <f t="shared" si="487"/>
        <v>0</v>
      </c>
      <c r="BD243" s="106">
        <f t="shared" si="487"/>
        <v>0</v>
      </c>
      <c r="BE243" s="107">
        <f t="shared" si="487"/>
        <v>0</v>
      </c>
      <c r="BF243" s="105">
        <f t="shared" si="475"/>
        <v>0</v>
      </c>
      <c r="BG243" s="106">
        <f t="shared" si="475"/>
        <v>0</v>
      </c>
      <c r="BH243" s="106">
        <f t="shared" si="475"/>
        <v>0</v>
      </c>
      <c r="BI243" s="106">
        <f t="shared" si="475"/>
        <v>0</v>
      </c>
      <c r="BJ243" s="106">
        <f t="shared" si="475"/>
        <v>0</v>
      </c>
      <c r="BK243" s="106">
        <f t="shared" si="475"/>
        <v>0</v>
      </c>
      <c r="BL243" s="106">
        <f t="shared" si="475"/>
        <v>0</v>
      </c>
      <c r="BM243" s="108">
        <f t="shared" si="475"/>
        <v>0</v>
      </c>
      <c r="BN243" s="109">
        <f t="shared" si="475"/>
        <v>0</v>
      </c>
      <c r="BO243" s="109">
        <f t="shared" si="475"/>
        <v>0</v>
      </c>
      <c r="BP243" s="109">
        <f t="shared" si="475"/>
        <v>0</v>
      </c>
      <c r="BQ243" s="110">
        <f t="shared" si="475"/>
        <v>0</v>
      </c>
      <c r="BR243" s="107">
        <f t="shared" si="475"/>
        <v>0</v>
      </c>
      <c r="BS243" s="464"/>
      <c r="BT243" s="461"/>
      <c r="BU243" s="392"/>
      <c r="BV243" s="461"/>
      <c r="BW243" s="392"/>
      <c r="BX243" s="392"/>
      <c r="BY243" s="392"/>
      <c r="BZ243" s="461"/>
      <c r="CA243" s="392"/>
      <c r="CB243" s="392"/>
      <c r="CC243" s="392"/>
      <c r="CD243" s="401"/>
      <c r="CE243" s="409"/>
      <c r="CF243" s="133">
        <f t="shared" si="388"/>
        <v>0</v>
      </c>
      <c r="CG243" s="134">
        <f t="shared" si="389"/>
        <v>0</v>
      </c>
      <c r="CH243" s="134">
        <f t="shared" si="390"/>
        <v>0</v>
      </c>
      <c r="CI243" s="134">
        <f t="shared" si="391"/>
        <v>0</v>
      </c>
      <c r="CJ243" s="134">
        <f t="shared" si="392"/>
        <v>0</v>
      </c>
      <c r="CK243" s="134">
        <f t="shared" si="393"/>
        <v>0</v>
      </c>
      <c r="CL243" s="134">
        <f t="shared" si="394"/>
        <v>0</v>
      </c>
      <c r="CM243" s="134">
        <f t="shared" si="395"/>
        <v>0</v>
      </c>
      <c r="CN243" s="134">
        <f t="shared" si="396"/>
        <v>0</v>
      </c>
      <c r="CO243" s="134">
        <f t="shared" si="397"/>
        <v>0</v>
      </c>
      <c r="CP243" s="134">
        <f t="shared" si="398"/>
        <v>0</v>
      </c>
      <c r="CQ243" s="134">
        <f t="shared" si="399"/>
        <v>0</v>
      </c>
      <c r="CR243" s="134">
        <f t="shared" si="400"/>
        <v>0</v>
      </c>
      <c r="CS243" s="134">
        <f t="shared" si="401"/>
        <v>0</v>
      </c>
      <c r="CT243" s="115">
        <f t="shared" si="402"/>
        <v>0</v>
      </c>
      <c r="CU243" s="116">
        <f t="shared" si="403"/>
        <v>0</v>
      </c>
      <c r="CV243" s="116">
        <f t="shared" si="404"/>
        <v>0</v>
      </c>
      <c r="CW243" s="116">
        <f t="shared" si="405"/>
        <v>0</v>
      </c>
      <c r="CX243" s="116">
        <f t="shared" si="406"/>
        <v>0</v>
      </c>
      <c r="CY243" s="116">
        <f t="shared" si="407"/>
        <v>0</v>
      </c>
      <c r="CZ243" s="116">
        <f t="shared" si="408"/>
        <v>0</v>
      </c>
      <c r="DA243" s="116">
        <f t="shared" si="409"/>
        <v>0</v>
      </c>
      <c r="DB243" s="116">
        <f t="shared" si="410"/>
        <v>0</v>
      </c>
      <c r="DC243" s="116">
        <f t="shared" si="411"/>
        <v>0</v>
      </c>
      <c r="DD243" s="116">
        <f t="shared" si="412"/>
        <v>0</v>
      </c>
      <c r="DE243" s="117">
        <f t="shared" si="413"/>
        <v>0</v>
      </c>
      <c r="DF243" s="118">
        <f t="shared" si="415"/>
        <v>15</v>
      </c>
      <c r="DG243" s="106">
        <f t="shared" si="416"/>
        <v>19.170000000000002</v>
      </c>
      <c r="DH243" s="116">
        <f t="shared" si="417"/>
        <v>7</v>
      </c>
      <c r="DI243" s="106">
        <f t="shared" si="418"/>
        <v>29.299999999999997</v>
      </c>
      <c r="DJ243" s="201" t="str">
        <f>IF($D241="","",$D241)</f>
        <v>7</v>
      </c>
      <c r="DK243" s="466"/>
    </row>
    <row r="244" spans="1:115" ht="14.5" customHeight="1" x14ac:dyDescent="0.2">
      <c r="A244" s="487">
        <f>$A241+1</f>
        <v>81</v>
      </c>
      <c r="B244" s="506" t="str">
        <f>IF(OR(C244="W",C245="W",C246="W",C244="1/2W",C245="1/2W",C246="1/2W",C244="1/2L",C245="1/2L",C246="1/2L"),"OK",IF(OR(C244="L",C245="L",C246="L"),"LOSS",IF(OR(C244="X",C245="X",C246="X"),"Anulado"," ")))</f>
        <v>OK</v>
      </c>
      <c r="C244" s="147" t="s">
        <v>54</v>
      </c>
      <c r="D244" s="494" t="str">
        <f>IF(G244="","",$D241)</f>
        <v>7</v>
      </c>
      <c r="E244" s="511" t="str">
        <f>IF(G244=""," ","– "&amp;COUNTIF(D$4:D246,$D244))</f>
        <v>– 7</v>
      </c>
      <c r="F244" s="510" t="str">
        <f ca="1">IF(G244="","",IF(OR(AND($C244&lt;&gt;" ",$C245=" "),AND($C245&lt;&gt;" ",$C244=" "),AND(L246&gt;0,OR(AND($C246&lt;&gt;" ",OR($C244=" ",$C245=" ")),AND($C246=" ",OR($C244&lt;&gt;" ",$C245&lt;&gt;" "))))),IF(SUM(F$4:F243)=0,1,LARGE(F$4:F243,1)+1),IF(MONTH(G244)=MONTH(TODAY()),IF(AND(DAY(G244)&lt;DAY(TODAY()),$B244=" "),IF(SUM(F$4:F243)=0,1,LARGE(F$4:F243,1)+1),IF($B244=" ",IF(AND(DAY(G244)=DAY(TODAY()),HOUR(G244)&lt;=HOUR(NOW())+1),IF(AND(HOUR(G244)+2&lt;=HOUR(NOW()),DAY(G244)&lt;=DAY(TODAY()),MINUTE(G244)&lt;=MINUTE(NOW())),IF(SUM(F$4:F243)=0,1,LARGE(F$4:F243,1)+1),IF(OR(MINUTE(G244)&lt;=MINUTE(NOW()),HOUR(G244)&lt;=HOUR(NOW())),"!!!","")),""),"")),"")))</f>
        <v/>
      </c>
      <c r="G244" s="508">
        <v>44993.416666666664</v>
      </c>
      <c r="H244" s="502" t="s">
        <v>129</v>
      </c>
      <c r="I244" s="180" t="s">
        <v>61</v>
      </c>
      <c r="J244" s="149"/>
      <c r="K244" s="150" t="s">
        <v>36</v>
      </c>
      <c r="L244" s="151">
        <v>3.75</v>
      </c>
      <c r="M244" s="152">
        <v>5.09</v>
      </c>
      <c r="N244" s="503">
        <v>0</v>
      </c>
      <c r="O244" s="153">
        <f>IF(OR(AE244="",AE245=""),"",ROUND(IF(L246&gt;0,IF(M244&gt;0,M244,IF(M245&gt;0,ROUND((M245*AE244)/AE245,IF(N244=0,2,IF(N244=0.1,1,0))),ROUND((M246*AE244)/AE246,IF(N244=0,2,IF(N244=0.1,1,0))))),IF(M244&gt;0,M244,ROUND((M245*AE244)/AE245,IF(N244=0,2,IF(N244=0.1,1,0))))),2))</f>
        <v>5.09</v>
      </c>
      <c r="P244" s="154">
        <f>IF(OR(L244="",O244=""),"",IF($C244="1/2W",O244/2+O244/2*L244,IF($C244="1/2L",O244/2,IF(I244="Lay",(O244*(L244/(L244-1))-O244)*(1-_xlfn.XLOOKUP(K244,'Fevereiro 2023 - Valor Real'!A3:A15,'Fevereiro 2023 - Valor Real'!C3:C15,0))+O244,(O244*L244-O244)*(1-_xlfn.XLOOKUP(K244,'Fevereiro 2023 - Valor Real'!A3:A15,'Fevereiro 2023 - Valor Real'!C3:C15,0))+O244))))</f>
        <v>19.087499999999999</v>
      </c>
      <c r="Q244" s="155">
        <f>IF(K244="","",IF(_xlfn.XLOOKUP(K244,K$9:K236,$DJ$9:DJ236,0,,-1)=DJ244,_xlfn.XLOOKUP(K244,K$9:K236,Q$9:Q236,1,,-1)+1,1))</f>
        <v>2</v>
      </c>
      <c r="R244" s="156">
        <f>IF(K244="","",_xlfn.XLOOKUP(K244,K$9:K236,R$9:R236,0,,-1)+IF($C244=" ",1,0))</f>
        <v>0</v>
      </c>
      <c r="S244" s="501">
        <f>IF($B244="Anulado",0,ROUND(IF(OR($B244="LOSS",$B244="OK"),IF(OR($C244="W",$C244="1/2W",$C244="1/2L"),P244-O244,IF($C244="L",-O244,0))+IF(OR($C245="W",$C245="1/2W",$C245="1/2L"),P245-O245,IF($C245="L",-O245,0))+IF(OR($C246="W",$C246="1/2W",$C246="1/2L"),P246-O246,IF($C246="L",-O246,0)),IF(AND(OR($C244="W",$C244="1/2W",$C244="1/2L"),C245="W"),P244+P245-SUM(O244:O246)+_xlfn.XLOOKUP("X",C244:C246,O244:O246,0),IF(AND(C244=TRUE,C246="W"),P244+P246-SUM(O244:O246),IF(AND(C245="W",C246="W"),P245+P246-SUM(O244:O246)+_xlfn.XLOOKUP("X",C244:C246,O244:O246,0),IF(L246&gt;0,IF(OR($C244="W",$C244="1/2W",$C244="1/2L"),P244-SUM(O244:O246)+_xlfn.XLOOKUP("X",C244:C246,O244:O246,0),IF(OR($C244="W",$C244="1/2W",$C244="1/2L"),P245-SUM(O244:O246)+_xlfn.XLOOKUP("X",C244:C246,O244:O246,0),IF(OR($C244="W",$C244="1/2W",$C244="1/2L"),P246-SUM(O244:O246)+_xlfn.XLOOKUP("X",C244:C246,O244:O246,0),IF(SUM(P244:P246)/3-SUM(O244:O246)+_xlfn.XLOOKUP("X",C244:C246,O244:O246,0)&gt;0,SUM(P244:P246)/3-SUM(O244:O246)+_xlfn.XLOOKUP("X",C244:C246,O244:O246,0),LARGE(P244:P246,1)-SUM(O244:O246))))),IF(OR($C244="W",$C244="1/2W",$C244="1/2L"),P244-SUM(O244:O245)+_xlfn.XLOOKUP("X",C244:C246,O244:O246,0),IF(OR($C244="W",$C244="1/2W",$C244="1/2L"),P245-SUM(O244:O245)+_xlfn.XLOOKUP("X",C244:C246,O244:O246,0),SUM(P244:P245)/2-SUM(O244:O245)+_xlfn.XLOOKUP("X",C244:C246,O244:O246,0)))))))),2))</f>
        <v>1.25</v>
      </c>
      <c r="T244" s="486">
        <f>IF(S244=0,0,S244/SUM(O244:O246))</f>
        <v>7.0067264573991025E-2</v>
      </c>
      <c r="U244" s="496">
        <f>IF($D244=$D241,IF(OR($B244="LOSS",$B244="OK",$B244="Anulada"),S244,0)+U241,IF(OR($B244="LOSS",$B244="OK",$B244="Anulada"),S244,0))</f>
        <v>12.53</v>
      </c>
      <c r="V244" s="496">
        <f>IF($D244="",0,IF($D244=$D241,IF($B244=" ",IF(I246="",IF(OR(AND(I244="DNB1",I245="DNB2"),AND(OR(I244="DNB1",I244="DNB2"),J245=0),AND(OR(I245="DNB1",I245="DNB2"),J244=0),AND(I244="DNB2",I245="DNB1"),AND(IF(J244=0,(J244+1)/ROUND(J244+1,0),J244/ROUND(J244,0))=1,IF(J245=0,(J245+1)/ROUND(IF(J245="",0,J245)+1,0),IF(J245="",0,J245)/ROUND(IF(J245="",1,J245),0))=1,OR(J244&lt;&gt;""),J245&lt;&gt;"")),0,IF(S244&lt;0,IF(I246="",SMALL(P244:P245,1)-SUM(O244:O245),0),SMALL(P244:P245,1)-SUM(O244:O245))),IF(S244&lt;0,IF(I246="",SMALL(P244:P246,1)-SUM(O244:O246),0),LARGE(P244:P246,1)-SUM(O244:O246))),S244)+V241,IF(I246="",IF(OR(AND(I244="DNB1",I245="DNB2"),AND(OR(I244="DNB1",I244="DNB2"),J245=0),AND(OR(I245="DNB1",I245="DNB2"),J244=0),AND(I244="DNB2",I245="DNB1"),AND(IF(J244=0,(J244+1)/ROUND(J244+1,0),J244/ROUND(J244,0))=1,IF(J245=0,(IF(J245="",0,J245)+1)/ROUND(IF(J245="",0,J245)+1,0),IF(J245="",0,J245)/ROUND(IF(J245="",0,J245)+1,0))=1,OR(J244&lt;&gt;""),J245&lt;&gt;"")),0,IF(S244&lt;0,IF(I246="",SMALL(P244:P245,1)-SUM(O244:O245),0),SMALL(P244:P246,1)-SUM(O244:O246))),IF(S244&lt;0,IF(I246="",SMALL(P244:P246,1)-SUM(O244:O246),0),LARGE(P244:P246,1)-SUM(O244:O246)))))</f>
        <v>12.530799999999997</v>
      </c>
      <c r="W244" s="496">
        <f>IF($D244=$D241,IF(S244&lt;0,IF(I246="",S244,0),S244)+W241,S244)</f>
        <v>12.53</v>
      </c>
      <c r="X244" s="505" t="str">
        <f>IF(OR(SUM(R244:R246)=0,V244=W244),ROUND(IF(W244=0,0,W244/Y244)*100,2)&amp;"%",ROUND(IF(V244=0,0,V244/Y244)*100,2)&amp;"% a "&amp;ROUND(IF(W244=0,0,W244/Y244)*100,2)&amp;"%")</f>
        <v>5,01%</v>
      </c>
      <c r="Y244" s="497">
        <f>IF($D244=$D241,Y241+SUM(O244:O246),SUM(O244:O246))</f>
        <v>250.1</v>
      </c>
      <c r="Z244" s="496">
        <f>IF($B244=" ",SUM(O244:O246),0)+Z241</f>
        <v>0</v>
      </c>
      <c r="AA244" s="496">
        <f>IF(G244="","",IF($B244="Anulado",LARGE(P244:P246,1)-SUM(O244:O246)+AA241,AA241))</f>
        <v>1.4607999999999972</v>
      </c>
      <c r="AB244" s="496">
        <f>IF($D244="","",AB241+S244)</f>
        <v>409.95</v>
      </c>
      <c r="AC244" s="499">
        <f ca="1">IF($D244="","",IF($B244=" ",IF(DAY(G244)=DAY(TODAY()),1+AC241,0+AC241),0+AC241))</f>
        <v>0</v>
      </c>
      <c r="AD244" s="157">
        <f>(1-_xlfn.XLOOKUP(K242,'Fevereiro 2023 - Valor Real'!A3:A15,'Fevereiro 2023 - Valor Real'!C3:C15,0))+1</f>
        <v>2</v>
      </c>
      <c r="AE244" s="158">
        <f>IF(L244="","",IF(L246&gt;0,(SUM(((L244-1)*(1-_xlfn.XLOOKUP(K244,'Fevereiro 2023 - Valor Real'!A3:A15,'Fevereiro 2023 - Valor Real'!C3:C15,0))+1),((L245-1)*(1-_xlfn.XLOOKUP(K245,'Fevereiro 2023 - Valor Real'!A3:A15,'Fevereiro 2023 - Valor Real'!C3:C15,0))+1),((L246-1)*(1-_xlfn.XLOOKUP(K246,'Fevereiro 2023 - Valor Real'!A3:A15,'Fevereiro 2023 - Valor Real'!C3:C15,0))+1))/((L244-1)*(1-_xlfn.XLOOKUP(K244,'Fevereiro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Real'!C3:C15,0))+1))/((L244-1)*(1-_xlfn.XLOOKUP(K244,'Fevereiro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Real'!C3:C15,0))+1))/((L245-1)*(1-_xlfn.XLOOKUP(K245,'Fevereiro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Real'!C3:C15,0))+1))/((L246-1)*(1-_xlfn.XLOOKUP(K246,'Fevereiro 2023 - Valor Real'!A3:A15,'Fevereiro 2023 - Valor Real'!C3:C15,0))+1)),IF(I244="Lay",IF(I245="Lay",((L245/(L245-1)-1)*(1-_xlfn.XLOOKUP(K245,'Fevereiro 2023 - Valor Real'!A3:A15,'Fevereiro 2023 - Valor Real'!C3:C15,0))+1)/(((L245/(L245-1)-1)*(1-_xlfn.XLOOKUP(K245,'Fevereiro 2023 - Valor Real'!A3:A15,'Fevereiro 2023 - Valor Real'!C3:C15,0))+1)+((L244/(L244-1)-1)*(1-_xlfn.XLOOKUP(K244,'Fevereiro 2023 - Valor Real'!A3:A15,'Fevereiro 2023 - Valor Real'!C3:C15,0))+1)),((L245-1)*(1-_xlfn.XLOOKUP(K245,'Fevereiro 2023 - Valor Real'!A3:A15,'Fevereiro 2023 - Valor Real'!C3:C15,0))+1)/(((L245-1)*(1-_xlfn.XLOOKUP(K245,'Fevereiro 2023 - Valor Real'!A3:A15,'Fevereiro 2023 - Valor Real'!C3:C15,0))+1)+((L244/(L244-1)-1)*(1-_xlfn.XLOOKUP(K244,'Fevereiro 2023 - Valor Real'!A3:A15,'Fevereiro 2023 - Valor Real'!C3:C15,0))+1))),IF(I245="Lay",(((L245/(L245-1)-1)*(1-_xlfn.XLOOKUP(K245,'Fevereiro 2023 - Valor Real'!A3:A15,'Fevereiro 2023 - Valor Real'!C3:C15,0))+1))/(((L244-1)*(1-_xlfn.XLOOKUP(K244,'Fevereiro 2023 - Valor Real'!A3:A15,'Fevereiro 2023 - Valor Real'!C3:C15,0))+1)+((L245/(L245-1)-1)*(1-_xlfn.XLOOKUP(K245,'Fevereiro 2023 - Valor Real'!A3:A15,'Fevereiro 2023 - Valor Real'!C3:C15,0))+1)),((L245-1)*(1-_xlfn.XLOOKUP(K245,'Fevereiro 2023 - Valor Real'!A3:A15,'Fevereiro 2023 - Valor Real'!C3:C15,0))+1)/(((L245-1)*(1-_xlfn.XLOOKUP(K245,'Fevereiro 2023 - Valor Real'!A3:A15,'Fevereiro 2023 - Valor Real'!C3:C15,0))+1)+((L244-1)*(1-_xlfn.XLOOKUP(K244,'Fevereiro 2023 - Valor Real'!A3:A15,'Fevereiro 2023 - Valor Real'!C3:C15,0))+1))))))</f>
        <v>0.2857142857142857</v>
      </c>
      <c r="AF244" s="66">
        <f t="shared" ref="AF244:AR253" si="488">IF($K244=AF$3,ROUND(IF(OR($C244="W",$C244="1/2W",$C244="1/2L"),$P244-$O244,IF($C244="X",0,-$O244)),2),0)</f>
        <v>14</v>
      </c>
      <c r="AG244" s="67">
        <f t="shared" si="488"/>
        <v>0</v>
      </c>
      <c r="AH244" s="67">
        <f t="shared" si="488"/>
        <v>0</v>
      </c>
      <c r="AI244" s="67">
        <f t="shared" si="488"/>
        <v>0</v>
      </c>
      <c r="AJ244" s="67">
        <f t="shared" si="488"/>
        <v>0</v>
      </c>
      <c r="AK244" s="67">
        <f t="shared" si="488"/>
        <v>0</v>
      </c>
      <c r="AL244" s="67">
        <f t="shared" si="488"/>
        <v>0</v>
      </c>
      <c r="AM244" s="67">
        <f t="shared" si="488"/>
        <v>0</v>
      </c>
      <c r="AN244" s="67">
        <f t="shared" si="488"/>
        <v>0</v>
      </c>
      <c r="AO244" s="67">
        <f t="shared" si="488"/>
        <v>0</v>
      </c>
      <c r="AP244" s="67">
        <f t="shared" si="488"/>
        <v>0</v>
      </c>
      <c r="AQ244" s="67">
        <f t="shared" si="488"/>
        <v>0</v>
      </c>
      <c r="AR244" s="68">
        <f t="shared" si="488"/>
        <v>0</v>
      </c>
      <c r="AS244" s="66">
        <f t="shared" ref="AS244:BE244" si="489">IF(AND($B244=" ",$K244=AS$3),$O244,0)</f>
        <v>0</v>
      </c>
      <c r="AT244" s="67">
        <f t="shared" si="489"/>
        <v>0</v>
      </c>
      <c r="AU244" s="67">
        <f t="shared" si="489"/>
        <v>0</v>
      </c>
      <c r="AV244" s="67">
        <f t="shared" si="489"/>
        <v>0</v>
      </c>
      <c r="AW244" s="67">
        <f t="shared" si="489"/>
        <v>0</v>
      </c>
      <c r="AX244" s="67">
        <f t="shared" si="489"/>
        <v>0</v>
      </c>
      <c r="AY244" s="69">
        <f t="shared" si="489"/>
        <v>0</v>
      </c>
      <c r="AZ244" s="70">
        <f t="shared" si="489"/>
        <v>0</v>
      </c>
      <c r="BA244" s="70">
        <f t="shared" si="489"/>
        <v>0</v>
      </c>
      <c r="BB244" s="70">
        <f t="shared" si="489"/>
        <v>0</v>
      </c>
      <c r="BC244" s="71">
        <f t="shared" si="489"/>
        <v>0</v>
      </c>
      <c r="BD244" s="67">
        <f t="shared" si="489"/>
        <v>0</v>
      </c>
      <c r="BE244" s="68">
        <f t="shared" si="489"/>
        <v>0</v>
      </c>
      <c r="BF244" s="66">
        <f t="shared" ref="BF244:BR253" si="490">IF($K244=BF$3,IF($C244="X",0,$O244),0)</f>
        <v>5.09</v>
      </c>
      <c r="BG244" s="67">
        <f t="shared" si="490"/>
        <v>0</v>
      </c>
      <c r="BH244" s="67">
        <f t="shared" si="490"/>
        <v>0</v>
      </c>
      <c r="BI244" s="67">
        <f t="shared" si="490"/>
        <v>0</v>
      </c>
      <c r="BJ244" s="67">
        <f t="shared" si="490"/>
        <v>0</v>
      </c>
      <c r="BK244" s="67">
        <f t="shared" si="490"/>
        <v>0</v>
      </c>
      <c r="BL244" s="67">
        <f t="shared" si="490"/>
        <v>0</v>
      </c>
      <c r="BM244" s="69">
        <f t="shared" si="490"/>
        <v>0</v>
      </c>
      <c r="BN244" s="70">
        <f t="shared" si="490"/>
        <v>0</v>
      </c>
      <c r="BO244" s="70">
        <f t="shared" si="490"/>
        <v>0</v>
      </c>
      <c r="BP244" s="70">
        <f t="shared" si="490"/>
        <v>0</v>
      </c>
      <c r="BQ244" s="71">
        <f t="shared" si="490"/>
        <v>0</v>
      </c>
      <c r="BR244" s="68">
        <f t="shared" si="490"/>
        <v>0</v>
      </c>
      <c r="BS244" s="490">
        <f>IF($B244="LOSS",IF(AND($K244=BS$3,$C244="L"),-$O244,0)+IF(AND($K245=BS$3,$C245="L"),-$O245,0)+IF(AND($K246=BS$3,$C246="L"),-$O246,0),IF(OR(AND($K244=BS$3,OR($C244="W",$C244="1/2W")),AND($K245=BS$3,OR($C245="W",$C245="1/2W")),AND($K246=BS$3,OR($C246="W",$C246="1/2W"))),$S244,0))</f>
        <v>1.25</v>
      </c>
      <c r="BT244" s="498">
        <f>IF($B244="LOSS",IF(AND($K244=BT$3,$C244="L"),-$O244,0)+IF(AND($K245=BT$3,$C245="L"),-$O245,0)+IF(AND($K245=BT$3,$C246="L"),-$O246,0),IF(OR(AND($K245=BT$3,OR($C244="W",$C244="1/2W")),AND($K245=BT$3,OR($C245="W",$C245="1/2W")),AND($K245=BT$3,OR($C246="W",$C246="1/2W"))),$S244,0))</f>
        <v>1.25</v>
      </c>
      <c r="BU244" s="488">
        <f>IF($B244="LOSS",IF(AND($K244=BU$3,$C244="L"),-$O244,0)+IF(AND($K245=BU$3,$C245="L"),-$O245,0)+IF(AND($K245=BU$3,$C246="L"),-$O246,0),IF(OR(AND($K245=BU$3,OR($C244="W",$C244="1/2W")),AND($K245=BU$3,OR($C245="W",$C245="1/2W")),AND($K245=BU$3,OR($C246="W",$C246="1/2W"))),$S244,0))</f>
        <v>0</v>
      </c>
      <c r="BV244" s="488">
        <f t="shared" ref="BV244:CE244" si="491">IF($B244="LOSS",IF(AND($K244=BV$3,$C244="L"),-$O244,0)+IF(AND($K245=BV$3,$C245="L"),-$O245,0)+IF(AND($K246=BV$3,$C246="L"),-$O246,0),IF(OR(AND($K244=BV$3,OR($C244="W",$C244="1/2W")),AND($K245=BV$3,OR($C245="W",$C245="1/2W")),AND($K246=BV$3,OR($C246="W",$C246="1/2W"))),$S244,0))</f>
        <v>0</v>
      </c>
      <c r="BW244" s="488">
        <f t="shared" si="491"/>
        <v>0</v>
      </c>
      <c r="BX244" s="488">
        <f t="shared" si="491"/>
        <v>0</v>
      </c>
      <c r="BY244" s="488">
        <f t="shared" si="491"/>
        <v>0</v>
      </c>
      <c r="BZ244" s="488">
        <f t="shared" si="491"/>
        <v>0</v>
      </c>
      <c r="CA244" s="488">
        <f t="shared" si="491"/>
        <v>0</v>
      </c>
      <c r="CB244" s="488">
        <f t="shared" si="491"/>
        <v>0</v>
      </c>
      <c r="CC244" s="488">
        <f t="shared" si="491"/>
        <v>0</v>
      </c>
      <c r="CD244" s="500">
        <f t="shared" si="491"/>
        <v>0</v>
      </c>
      <c r="CE244" s="504">
        <f t="shared" si="491"/>
        <v>0</v>
      </c>
      <c r="CF244" s="160">
        <f t="shared" si="388"/>
        <v>1</v>
      </c>
      <c r="CG244" s="161">
        <f t="shared" si="389"/>
        <v>0</v>
      </c>
      <c r="CH244" s="161">
        <f t="shared" si="390"/>
        <v>0</v>
      </c>
      <c r="CI244" s="161">
        <f t="shared" si="391"/>
        <v>0</v>
      </c>
      <c r="CJ244" s="161">
        <f t="shared" si="392"/>
        <v>0</v>
      </c>
      <c r="CK244" s="161">
        <f t="shared" si="393"/>
        <v>0</v>
      </c>
      <c r="CL244" s="161">
        <f t="shared" si="394"/>
        <v>0</v>
      </c>
      <c r="CM244" s="161">
        <f t="shared" si="395"/>
        <v>0</v>
      </c>
      <c r="CN244" s="161">
        <f t="shared" si="396"/>
        <v>0</v>
      </c>
      <c r="CO244" s="161">
        <f t="shared" si="397"/>
        <v>0</v>
      </c>
      <c r="CP244" s="161">
        <f t="shared" si="398"/>
        <v>0</v>
      </c>
      <c r="CQ244" s="161">
        <f t="shared" si="399"/>
        <v>0</v>
      </c>
      <c r="CR244" s="161">
        <f t="shared" si="400"/>
        <v>0</v>
      </c>
      <c r="CS244" s="161">
        <f t="shared" si="401"/>
        <v>0</v>
      </c>
      <c r="CT244" s="75">
        <f t="shared" si="402"/>
        <v>0</v>
      </c>
      <c r="CU244" s="76">
        <f t="shared" si="403"/>
        <v>0</v>
      </c>
      <c r="CV244" s="76">
        <f t="shared" si="404"/>
        <v>0</v>
      </c>
      <c r="CW244" s="76">
        <f t="shared" si="405"/>
        <v>0</v>
      </c>
      <c r="CX244" s="76">
        <f t="shared" si="406"/>
        <v>0</v>
      </c>
      <c r="CY244" s="76">
        <f t="shared" si="407"/>
        <v>0</v>
      </c>
      <c r="CZ244" s="76">
        <f t="shared" si="408"/>
        <v>0</v>
      </c>
      <c r="DA244" s="76">
        <f t="shared" si="409"/>
        <v>0</v>
      </c>
      <c r="DB244" s="76">
        <f t="shared" si="410"/>
        <v>0</v>
      </c>
      <c r="DC244" s="76">
        <f t="shared" si="411"/>
        <v>0</v>
      </c>
      <c r="DD244" s="76">
        <f t="shared" si="412"/>
        <v>0</v>
      </c>
      <c r="DE244" s="77">
        <f t="shared" si="413"/>
        <v>0</v>
      </c>
      <c r="DF244" s="73">
        <f t="shared" si="415"/>
        <v>15</v>
      </c>
      <c r="DG244" s="67">
        <f t="shared" si="416"/>
        <v>19.170000000000002</v>
      </c>
      <c r="DH244" s="76">
        <f t="shared" si="417"/>
        <v>8</v>
      </c>
      <c r="DI244" s="67">
        <f t="shared" si="418"/>
        <v>33.049999999999997</v>
      </c>
      <c r="DJ244" s="202" t="str">
        <f>IF($D244="","",$D244)</f>
        <v>7</v>
      </c>
      <c r="DK244" s="492">
        <f>IF(AND($B244=" ",$D244&lt;&gt;""),1,0)</f>
        <v>0</v>
      </c>
    </row>
    <row r="245" spans="1:115" ht="14.5" customHeight="1" x14ac:dyDescent="0.2">
      <c r="A245" s="389"/>
      <c r="B245" s="456"/>
      <c r="C245" s="53" t="s">
        <v>55</v>
      </c>
      <c r="D245" s="374"/>
      <c r="E245" s="386"/>
      <c r="F245" s="377"/>
      <c r="G245" s="508"/>
      <c r="H245" s="476"/>
      <c r="I245" s="182" t="s">
        <v>63</v>
      </c>
      <c r="J245" s="163" t="str">
        <f>IF(OR(I244="TO",I244="TU",I244="TO1",I244="TU1",I244="TO2",I244="TU2"),J244,IF(OR(I244="AH1",I244="AH2"),IF(OR(I245="AH1",I245="AH2"),-J244,IF(OR(I245="EH1",I245="EH2"),-J244+0.5,"")),IF(OR(I244="EH1",I244="EH2"),IF(OR(I245="AH1",I245="AH2"),-J244+0.5,IF(OR(I245="EH1",I245="EH2"),-J244+1,"")),IF(AND(OR(I244="DNB1",I244="DNB2"),OR(I245="AH1",I245="AH2")),0,IF(AND(I244="Not ScoreBoth",OR(I245="TO1",I245="TO2")),0.5,"")))))</f>
        <v/>
      </c>
      <c r="K245" s="57" t="s">
        <v>37</v>
      </c>
      <c r="L245" s="164">
        <v>1.5</v>
      </c>
      <c r="M245" s="165">
        <v>12.75</v>
      </c>
      <c r="N245" s="406"/>
      <c r="O245" s="60">
        <f>IF(OR(AE244="",AE245=""),"",ROUND(IF(L246&gt;0,IF(M245&gt;0,M245,IF(M244&gt;0,IF(N244=TRUE,ROUND((M244*AE245)/AE244,0),(M244*AE245)/AE244),IF(M245&gt;0,ROUND(M245,IF(N244=0,2,IF(N244=0.1,1,0))),IF(M246&gt;0,ROUND(O246*AE245/AE246,IF(N244=0,2,IF(N244=0.1,1,0))),0)))),IF(M245&gt;0,M245,ROUND((M244*AE245)/AE244,IF(N244=0,2,IF(N244=0.1,1,0))))),2))</f>
        <v>12.75</v>
      </c>
      <c r="P245" s="61">
        <f>IF(OR(L245="",O245=""),"",IF($C245="1/2W",O245/2+O245/2*L245,IF($C245="1/2L",O245/2,IF(I245="Lay",((O245*(L245/(L245-1)))-O245)*(1-_xlfn.XLOOKUP(K245,'Fevereiro 2023 - Valor Real'!A3:A15,'Fevereiro 2023 - Valor Real'!C3:C15,0))+O245,(O245*L245-O245)*(1-_xlfn.XLOOKUP(K245,'Fevereiro 2023 - Valor Real'!A3:A15,'Fevereiro 2023 - Valor Real'!C3:C15,0))+O245))))</f>
        <v>19.125</v>
      </c>
      <c r="Q245" s="166">
        <f>IF(K245="","",IF(_xlfn.XLOOKUP(K245,K$10:K236,$DJ$10:DJ236,0,,-1)=DJ245,_xlfn.XLOOKUP(K245,K$10:K236,Q$10:Q236,1,,-1)+1,1))</f>
        <v>1</v>
      </c>
      <c r="R245" s="167">
        <f>IF(K245="","",_xlfn.XLOOKUP(K245,K$10:K236,R$10:R236,0,,-1)+IF($C245=" ",1,0))</f>
        <v>0</v>
      </c>
      <c r="S245" s="403"/>
      <c r="T245" s="380"/>
      <c r="U245" s="380"/>
      <c r="V245" s="481"/>
      <c r="W245" s="380"/>
      <c r="X245" s="452"/>
      <c r="Y245" s="383"/>
      <c r="Z245" s="384"/>
      <c r="AA245" s="384"/>
      <c r="AB245" s="384"/>
      <c r="AC245" s="384"/>
      <c r="AD245" s="64"/>
      <c r="AE245" s="65">
        <f>IF(L245="","",IF(L246&gt;0,(SUM(((L244-1)*(1-_xlfn.XLOOKUP(K244,'Fevereiro 2023 - Valor Real'!A3:A15,'Fevereiro 2023 - Valor Real'!C3:C15,0))+1),((L245-1)*(1-_xlfn.XLOOKUP(K245,'Fevereiro 2023 - Valor Real'!A3:A15,'Fevereiro 2023 - Valor Real'!C3:C15,0))+1),((L246-1)*(1-_xlfn.XLOOKUP(K246,'Fevereiro 2023 - Valor Real'!A3:A15,'Fevereiro 2023 - Valor Real'!C3:C15,0))+1))/((L245-1)*(1-_xlfn.XLOOKUP(K245,'Fevereiro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Real'!C3:C15,0))+1))/((L244-1)*(1-_xlfn.XLOOKUP(K244,'Fevereiro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Real'!C3:C15,0))+1))/((L245-1)*(1-_xlfn.XLOOKUP(K245,'Fevereiro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Real'!C3:C15,0))+1))/((L246-1)*(1-_xlfn.XLOOKUP(K246,'Fevereiro 2023 - Valor Real'!A3:A15,'Fevereiro 2023 - Valor Real'!C3:C15,0))+1)),IF(I245="Lay",IF(I244="Lay",((L244/(L244-1)-1)*(1-_xlfn.XLOOKUP(K244,'Fevereiro 2023 - Valor Real'!A3:A15,'Fevereiro 2023 - Valor Real'!C3:C15,0))+1)/(((L244/(L244-1)-1)*(1-_xlfn.XLOOKUP(K244,'Fevereiro 2023 - Valor Real'!A3:A15,'Fevereiro 2023 - Valor Real'!C3:C15,0))+1)+((L245/(L245-1)-1)*(1-_xlfn.XLOOKUP(K245,'Fevereiro 2023 - Valor Real'!A3:A15,'Fevereiro 2023 - Valor Real'!C3:C15,0))+1)),((L244-1)*(1-_xlfn.XLOOKUP(K244,'Fevereiro 2023 - Valor Real'!A3:A15,'Fevereiro 2023 - Valor Real'!C3:C15,0))+1)/(((L244-1)*(1-_xlfn.XLOOKUP(K244,'Fevereiro 2023 - Valor Real'!A3:A15,'Fevereiro 2023 - Valor Real'!C3:C15,0))+1)+((L245/(L245-1)-1)*(1-_xlfn.XLOOKUP(K245,'Fevereiro 2023 - Valor Real'!A3:A15,'Fevereiro 2023 - Valor Real'!C3:C15,0))+1))),IF(I244="Lay",((L244/(L244-1)-1)*(1-_xlfn.XLOOKUP(K244,'Fevereiro 2023 - Valor Real'!A3:A15,'Fevereiro 2023 - Valor Real'!C3:C15,0))+1)/((((L244/(L244-1)-1)*(1-_xlfn.XLOOKUP(K244,'Fevereiro 2023 - Valor Real'!A3:A15,'Fevereiro 2023 - Valor Real'!C3:C15,0))+1))+((L245-1)*(1-_xlfn.XLOOKUP(K245,'Fevereiro 2023 - Valor Real'!A3:A15,'Fevereiro 2023 - Valor Real'!C3:C15,0))+1)),((L244-1)*(1-_xlfn.XLOOKUP(K244,'Fevereiro 2023 - Valor Real'!A3:A15,'Fevereiro 2023 - Valor Real'!C3:C15,0))+1)/(((L244-1)*(1-_xlfn.XLOOKUP(K244,'Fevereiro 2023 - Valor Real'!A3:A15,'Fevereiro 2023 - Valor Real'!C3:C15,0))+1)+((L245-1)*(1-_xlfn.XLOOKUP(K245,'Fevereiro 2023 - Valor Real'!A3:A15,'Fevereiro 2023 - Valor Real'!C3:C15,0))+1))))))</f>
        <v>0.7142857142857143</v>
      </c>
      <c r="AF245" s="66">
        <f t="shared" si="488"/>
        <v>0</v>
      </c>
      <c r="AG245" s="67">
        <f t="shared" si="488"/>
        <v>-12.75</v>
      </c>
      <c r="AH245" s="67">
        <f t="shared" si="488"/>
        <v>0</v>
      </c>
      <c r="AI245" s="67">
        <f t="shared" si="488"/>
        <v>0</v>
      </c>
      <c r="AJ245" s="67">
        <f t="shared" si="488"/>
        <v>0</v>
      </c>
      <c r="AK245" s="67">
        <f t="shared" si="488"/>
        <v>0</v>
      </c>
      <c r="AL245" s="67">
        <f t="shared" si="488"/>
        <v>0</v>
      </c>
      <c r="AM245" s="67">
        <f t="shared" si="488"/>
        <v>0</v>
      </c>
      <c r="AN245" s="67">
        <f t="shared" si="488"/>
        <v>0</v>
      </c>
      <c r="AO245" s="67">
        <f t="shared" si="488"/>
        <v>0</v>
      </c>
      <c r="AP245" s="67">
        <f t="shared" si="488"/>
        <v>0</v>
      </c>
      <c r="AQ245" s="67">
        <f t="shared" si="488"/>
        <v>0</v>
      </c>
      <c r="AR245" s="68">
        <f t="shared" si="488"/>
        <v>0</v>
      </c>
      <c r="AS245" s="66">
        <f>IF(AND($B244=" ",$K245=AS$3),$O245,0)</f>
        <v>0</v>
      </c>
      <c r="AT245" s="67">
        <f>IF(AND($B244=" ",K245=AT$3),$O245,0)</f>
        <v>0</v>
      </c>
      <c r="AU245" s="67">
        <f t="shared" ref="AU245:BE245" si="492">IF(AND($B244=" ",$K245=AU$3),$O245,0)</f>
        <v>0</v>
      </c>
      <c r="AV245" s="67">
        <f t="shared" si="492"/>
        <v>0</v>
      </c>
      <c r="AW245" s="67">
        <f t="shared" si="492"/>
        <v>0</v>
      </c>
      <c r="AX245" s="67">
        <f t="shared" si="492"/>
        <v>0</v>
      </c>
      <c r="AY245" s="69">
        <f t="shared" si="492"/>
        <v>0</v>
      </c>
      <c r="AZ245" s="70">
        <f t="shared" si="492"/>
        <v>0</v>
      </c>
      <c r="BA245" s="70">
        <f t="shared" si="492"/>
        <v>0</v>
      </c>
      <c r="BB245" s="70">
        <f t="shared" si="492"/>
        <v>0</v>
      </c>
      <c r="BC245" s="71">
        <f t="shared" si="492"/>
        <v>0</v>
      </c>
      <c r="BD245" s="67">
        <f t="shared" si="492"/>
        <v>0</v>
      </c>
      <c r="BE245" s="68">
        <f t="shared" si="492"/>
        <v>0</v>
      </c>
      <c r="BF245" s="66">
        <f t="shared" si="490"/>
        <v>0</v>
      </c>
      <c r="BG245" s="168">
        <f t="shared" si="490"/>
        <v>12.75</v>
      </c>
      <c r="BH245" s="67">
        <f t="shared" si="490"/>
        <v>0</v>
      </c>
      <c r="BI245" s="67">
        <f t="shared" si="490"/>
        <v>0</v>
      </c>
      <c r="BJ245" s="67">
        <f t="shared" si="490"/>
        <v>0</v>
      </c>
      <c r="BK245" s="67">
        <f t="shared" si="490"/>
        <v>0</v>
      </c>
      <c r="BL245" s="67">
        <f t="shared" si="490"/>
        <v>0</v>
      </c>
      <c r="BM245" s="69">
        <f t="shared" si="490"/>
        <v>0</v>
      </c>
      <c r="BN245" s="70">
        <f t="shared" si="490"/>
        <v>0</v>
      </c>
      <c r="BO245" s="70">
        <f t="shared" si="490"/>
        <v>0</v>
      </c>
      <c r="BP245" s="70">
        <f t="shared" si="490"/>
        <v>0</v>
      </c>
      <c r="BQ245" s="71">
        <f t="shared" si="490"/>
        <v>0</v>
      </c>
      <c r="BR245" s="68">
        <f t="shared" si="490"/>
        <v>0</v>
      </c>
      <c r="BS245" s="491"/>
      <c r="BT245" s="489"/>
      <c r="BU245" s="392"/>
      <c r="BV245" s="489"/>
      <c r="BW245" s="392"/>
      <c r="BX245" s="392"/>
      <c r="BY245" s="392"/>
      <c r="BZ245" s="489"/>
      <c r="CA245" s="392"/>
      <c r="CB245" s="392"/>
      <c r="CC245" s="392"/>
      <c r="CD245" s="401"/>
      <c r="CE245" s="409"/>
      <c r="CF245" s="169">
        <f t="shared" si="388"/>
        <v>0</v>
      </c>
      <c r="CG245" s="170">
        <f t="shared" si="389"/>
        <v>0</v>
      </c>
      <c r="CH245" s="170">
        <f t="shared" si="390"/>
        <v>0</v>
      </c>
      <c r="CI245" s="170">
        <f t="shared" si="391"/>
        <v>1</v>
      </c>
      <c r="CJ245" s="170">
        <f t="shared" si="392"/>
        <v>0</v>
      </c>
      <c r="CK245" s="170">
        <f t="shared" si="393"/>
        <v>0</v>
      </c>
      <c r="CL245" s="170">
        <f t="shared" si="394"/>
        <v>0</v>
      </c>
      <c r="CM245" s="170">
        <f t="shared" si="395"/>
        <v>0</v>
      </c>
      <c r="CN245" s="170">
        <f t="shared" si="396"/>
        <v>0</v>
      </c>
      <c r="CO245" s="170">
        <f t="shared" si="397"/>
        <v>0</v>
      </c>
      <c r="CP245" s="170">
        <f t="shared" si="398"/>
        <v>0</v>
      </c>
      <c r="CQ245" s="170">
        <f t="shared" si="399"/>
        <v>0</v>
      </c>
      <c r="CR245" s="170">
        <f t="shared" si="400"/>
        <v>0</v>
      </c>
      <c r="CS245" s="170">
        <f t="shared" si="401"/>
        <v>0</v>
      </c>
      <c r="CT245" s="75">
        <f t="shared" si="402"/>
        <v>0</v>
      </c>
      <c r="CU245" s="76">
        <f t="shared" si="403"/>
        <v>0</v>
      </c>
      <c r="CV245" s="76">
        <f t="shared" si="404"/>
        <v>0</v>
      </c>
      <c r="CW245" s="76">
        <f t="shared" si="405"/>
        <v>0</v>
      </c>
      <c r="CX245" s="76">
        <f t="shared" si="406"/>
        <v>0</v>
      </c>
      <c r="CY245" s="76">
        <f t="shared" si="407"/>
        <v>0</v>
      </c>
      <c r="CZ245" s="76">
        <f t="shared" si="408"/>
        <v>0</v>
      </c>
      <c r="DA245" s="76">
        <f t="shared" si="409"/>
        <v>0</v>
      </c>
      <c r="DB245" s="76">
        <f t="shared" si="410"/>
        <v>0</v>
      </c>
      <c r="DC245" s="76">
        <f t="shared" si="411"/>
        <v>0</v>
      </c>
      <c r="DD245" s="76">
        <f t="shared" si="412"/>
        <v>0</v>
      </c>
      <c r="DE245" s="77">
        <f t="shared" si="413"/>
        <v>0</v>
      </c>
      <c r="DF245" s="73">
        <f t="shared" si="415"/>
        <v>15</v>
      </c>
      <c r="DG245" s="67">
        <f t="shared" si="416"/>
        <v>19.170000000000002</v>
      </c>
      <c r="DH245" s="76">
        <f t="shared" si="417"/>
        <v>8</v>
      </c>
      <c r="DI245" s="67">
        <f t="shared" si="418"/>
        <v>33.049999999999997</v>
      </c>
      <c r="DJ245" s="202" t="str">
        <f>IF($D244="","",$D244)</f>
        <v>7</v>
      </c>
      <c r="DK245" s="493"/>
    </row>
    <row r="246" spans="1:115" ht="14.5" customHeight="1" x14ac:dyDescent="0.2">
      <c r="A246" s="390"/>
      <c r="B246" s="457"/>
      <c r="C246" s="79" t="s">
        <v>53</v>
      </c>
      <c r="D246" s="375"/>
      <c r="E246" s="387"/>
      <c r="F246" s="378"/>
      <c r="G246" s="508"/>
      <c r="H246" s="477"/>
      <c r="I246" s="171"/>
      <c r="J246" s="172"/>
      <c r="K246" s="81"/>
      <c r="L246" s="173"/>
      <c r="M246" s="174"/>
      <c r="N246" s="407"/>
      <c r="O246" s="86" t="str">
        <f>IF(OR(AE244="",AE245=""),"",IF(L246&gt;0,ROUND(IF(M246&gt;0,M246,IF(M244&gt;0,ROUND((M244*AE246)/AE244,IF(N244=0,2,IF(N244=0.1,1,0))),IF(M245&gt;0,ROUND((M245*AE246)/AE245,IF(N244=0,2,IF(N244=0.1,1,0))),IF(M246&gt;0,M246,0)))),2),""))</f>
        <v/>
      </c>
      <c r="P246" s="87" t="str">
        <f>IF(I245="Lay",O245*(L245/(L245-1))-O245,IF(I244="Lay",O244*(L244/(L244-1))-O244,IF(OR(L246="",O246=""),"",IF($C246="1/2W",O246/2+O246/2*L246,IF($C246="1/2L",O246/2,(O246*L246-O246)*(1-_xlfn.XLOOKUP(K246,'Fevereiro 2023 - Valor Real'!A3:A15,'Fevereiro 2023 - Valor Real'!C3:C15,0))+O246)))))</f>
        <v/>
      </c>
      <c r="Q246" s="54" t="str">
        <f>IF(K246="","",IF(_xlfn.XLOOKUP(K246,K$11:K236,$DJ$11:DJ236,0,,-1)=DJ246,_xlfn.XLOOKUP(K246,K$11:K236,Q$11:Q236,1,,-1)+1,1))</f>
        <v/>
      </c>
      <c r="R246" s="87" t="str">
        <f>IF(K246="","",_xlfn.XLOOKUP(K246,K$11:K236,R$11:R236,0,,-1)+IF($C246=" ",1,0))</f>
        <v/>
      </c>
      <c r="S246" s="404"/>
      <c r="T246" s="378"/>
      <c r="U246" s="378"/>
      <c r="V246" s="404"/>
      <c r="W246" s="378"/>
      <c r="X246" s="453"/>
      <c r="Y246" s="383"/>
      <c r="Z246" s="384"/>
      <c r="AA246" s="384"/>
      <c r="AB246" s="384"/>
      <c r="AC246" s="384"/>
      <c r="AD246" s="90"/>
      <c r="AE246" s="91" t="str">
        <f>IF(L246="","",(SUM(((L244-1)*(1-_xlfn.XLOOKUP(K244,'Fevereiro 2023 - Valor Real'!A3:A15,'Fevereiro 2023 - Valor Real'!C3:C15,0))+1),((L245-1)*(1-_xlfn.XLOOKUP(K245,'Fevereiro 2023 - Valor Real'!A3:A15,'Fevereiro 2023 - Valor Real'!C3:C15,0))+1),((L246-1)*(1-_xlfn.XLOOKUP(K246,'Fevereiro 2023 - Valor Real'!A3:A15,'Fevereiro 2023 - Valor Real'!C3:C15,0))+1))/((L246-1)*(1-_xlfn.XLOOKUP(K246,'Fevereiro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Real'!C3:C15,0))+1))/((L244-1)*(1-_xlfn.XLOOKUP(K244,'Fevereiro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Real'!C3:C15,0))+1))/((L245-1)*(1-_xlfn.XLOOKUP(K245,'Fevereiro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Real'!C3:C15,0))+1))/((L246-1)*(1-_xlfn.XLOOKUP(K246,'Fevereiro 2023 - Valor Real'!A3:A15,'Fevereiro 2023 - Valor Real'!C3:C15,0))+1)))</f>
        <v/>
      </c>
      <c r="AF246" s="66">
        <f t="shared" si="488"/>
        <v>0</v>
      </c>
      <c r="AG246" s="67">
        <f t="shared" si="488"/>
        <v>0</v>
      </c>
      <c r="AH246" s="67">
        <f t="shared" si="488"/>
        <v>0</v>
      </c>
      <c r="AI246" s="67">
        <f t="shared" si="488"/>
        <v>0</v>
      </c>
      <c r="AJ246" s="67">
        <f t="shared" si="488"/>
        <v>0</v>
      </c>
      <c r="AK246" s="67">
        <f t="shared" si="488"/>
        <v>0</v>
      </c>
      <c r="AL246" s="67">
        <f t="shared" si="488"/>
        <v>0</v>
      </c>
      <c r="AM246" s="67">
        <f t="shared" si="488"/>
        <v>0</v>
      </c>
      <c r="AN246" s="67">
        <f t="shared" si="488"/>
        <v>0</v>
      </c>
      <c r="AO246" s="67">
        <f t="shared" si="488"/>
        <v>0</v>
      </c>
      <c r="AP246" s="67">
        <f t="shared" si="488"/>
        <v>0</v>
      </c>
      <c r="AQ246" s="67">
        <f t="shared" si="488"/>
        <v>0</v>
      </c>
      <c r="AR246" s="68">
        <f t="shared" si="488"/>
        <v>0</v>
      </c>
      <c r="AS246" s="66">
        <f>IF(AND($B244=" ",$K246=AS$3),$O246,0)</f>
        <v>0</v>
      </c>
      <c r="AT246" s="67">
        <f>IF(AND($B244=" ",K246=AT$3),$O246,0)</f>
        <v>0</v>
      </c>
      <c r="AU246" s="67">
        <f t="shared" ref="AU246:BE246" si="493">IF(AND($B244=" ",$K246=AU$3),$O246,0)</f>
        <v>0</v>
      </c>
      <c r="AV246" s="67">
        <f t="shared" si="493"/>
        <v>0</v>
      </c>
      <c r="AW246" s="67">
        <f t="shared" si="493"/>
        <v>0</v>
      </c>
      <c r="AX246" s="67">
        <f t="shared" si="493"/>
        <v>0</v>
      </c>
      <c r="AY246" s="69">
        <f t="shared" si="493"/>
        <v>0</v>
      </c>
      <c r="AZ246" s="70">
        <f t="shared" si="493"/>
        <v>0</v>
      </c>
      <c r="BA246" s="70">
        <f t="shared" si="493"/>
        <v>0</v>
      </c>
      <c r="BB246" s="70">
        <f t="shared" si="493"/>
        <v>0</v>
      </c>
      <c r="BC246" s="71">
        <f t="shared" si="493"/>
        <v>0</v>
      </c>
      <c r="BD246" s="67">
        <f t="shared" si="493"/>
        <v>0</v>
      </c>
      <c r="BE246" s="68">
        <f t="shared" si="493"/>
        <v>0</v>
      </c>
      <c r="BF246" s="66">
        <f t="shared" si="490"/>
        <v>0</v>
      </c>
      <c r="BG246" s="168">
        <f t="shared" si="490"/>
        <v>0</v>
      </c>
      <c r="BH246" s="67">
        <f t="shared" si="490"/>
        <v>0</v>
      </c>
      <c r="BI246" s="67">
        <f t="shared" si="490"/>
        <v>0</v>
      </c>
      <c r="BJ246" s="67">
        <f t="shared" si="490"/>
        <v>0</v>
      </c>
      <c r="BK246" s="67">
        <f t="shared" si="490"/>
        <v>0</v>
      </c>
      <c r="BL246" s="67">
        <f t="shared" si="490"/>
        <v>0</v>
      </c>
      <c r="BM246" s="69">
        <f t="shared" si="490"/>
        <v>0</v>
      </c>
      <c r="BN246" s="70">
        <f t="shared" si="490"/>
        <v>0</v>
      </c>
      <c r="BO246" s="70">
        <f t="shared" si="490"/>
        <v>0</v>
      </c>
      <c r="BP246" s="70">
        <f t="shared" si="490"/>
        <v>0</v>
      </c>
      <c r="BQ246" s="71">
        <f t="shared" si="490"/>
        <v>0</v>
      </c>
      <c r="BR246" s="68">
        <f t="shared" si="490"/>
        <v>0</v>
      </c>
      <c r="BS246" s="491"/>
      <c r="BT246" s="489"/>
      <c r="BU246" s="392"/>
      <c r="BV246" s="489"/>
      <c r="BW246" s="392"/>
      <c r="BX246" s="392"/>
      <c r="BY246" s="392"/>
      <c r="BZ246" s="489"/>
      <c r="CA246" s="392"/>
      <c r="CB246" s="392"/>
      <c r="CC246" s="392"/>
      <c r="CD246" s="401"/>
      <c r="CE246" s="409"/>
      <c r="CF246" s="169">
        <f t="shared" si="388"/>
        <v>0</v>
      </c>
      <c r="CG246" s="170">
        <f t="shared" si="389"/>
        <v>0</v>
      </c>
      <c r="CH246" s="170">
        <f t="shared" si="390"/>
        <v>0</v>
      </c>
      <c r="CI246" s="170">
        <f t="shared" si="391"/>
        <v>0</v>
      </c>
      <c r="CJ246" s="170">
        <f t="shared" si="392"/>
        <v>0</v>
      </c>
      <c r="CK246" s="170">
        <f t="shared" si="393"/>
        <v>0</v>
      </c>
      <c r="CL246" s="170">
        <f t="shared" si="394"/>
        <v>0</v>
      </c>
      <c r="CM246" s="170">
        <f t="shared" si="395"/>
        <v>0</v>
      </c>
      <c r="CN246" s="170">
        <f t="shared" si="396"/>
        <v>0</v>
      </c>
      <c r="CO246" s="170">
        <f t="shared" si="397"/>
        <v>0</v>
      </c>
      <c r="CP246" s="170">
        <f t="shared" si="398"/>
        <v>0</v>
      </c>
      <c r="CQ246" s="170">
        <f t="shared" si="399"/>
        <v>0</v>
      </c>
      <c r="CR246" s="170">
        <f t="shared" si="400"/>
        <v>0</v>
      </c>
      <c r="CS246" s="170">
        <f t="shared" si="401"/>
        <v>0</v>
      </c>
      <c r="CT246" s="75">
        <f t="shared" si="402"/>
        <v>0</v>
      </c>
      <c r="CU246" s="76">
        <f t="shared" si="403"/>
        <v>0</v>
      </c>
      <c r="CV246" s="76">
        <f t="shared" si="404"/>
        <v>0</v>
      </c>
      <c r="CW246" s="76">
        <f t="shared" si="405"/>
        <v>0</v>
      </c>
      <c r="CX246" s="76">
        <f t="shared" si="406"/>
        <v>0</v>
      </c>
      <c r="CY246" s="76">
        <f t="shared" si="407"/>
        <v>0</v>
      </c>
      <c r="CZ246" s="76">
        <f t="shared" si="408"/>
        <v>0</v>
      </c>
      <c r="DA246" s="76">
        <f t="shared" si="409"/>
        <v>0</v>
      </c>
      <c r="DB246" s="76">
        <f t="shared" si="410"/>
        <v>0</v>
      </c>
      <c r="DC246" s="76">
        <f t="shared" si="411"/>
        <v>0</v>
      </c>
      <c r="DD246" s="76">
        <f t="shared" si="412"/>
        <v>0</v>
      </c>
      <c r="DE246" s="77">
        <f t="shared" si="413"/>
        <v>0</v>
      </c>
      <c r="DF246" s="73">
        <f t="shared" si="415"/>
        <v>15</v>
      </c>
      <c r="DG246" s="67">
        <f t="shared" si="416"/>
        <v>19.170000000000002</v>
      </c>
      <c r="DH246" s="76">
        <f t="shared" si="417"/>
        <v>8</v>
      </c>
      <c r="DI246" s="67">
        <f t="shared" si="418"/>
        <v>33.049999999999997</v>
      </c>
      <c r="DJ246" s="202" t="str">
        <f>IF($D244="","",$D244)</f>
        <v>7</v>
      </c>
      <c r="DK246" s="493"/>
    </row>
    <row r="247" spans="1:115" ht="14.5" customHeight="1" x14ac:dyDescent="0.2">
      <c r="A247" s="459">
        <f>$A244+1</f>
        <v>82</v>
      </c>
      <c r="B247" s="507" t="str">
        <f>IF(OR(C247="W",C248="W",C249="W",C247="1/2W",C248="1/2W",C249="1/2W",C247="1/2L",C248="1/2L",C249="1/2L"),"OK",IF(OR(C247="L",C248="L",C249="L"),"LOSS",IF(OR(C247="X",C248="X",C249="X"),"Anulado"," ")))</f>
        <v>OK</v>
      </c>
      <c r="C247" s="93" t="s">
        <v>55</v>
      </c>
      <c r="D247" s="468" t="str">
        <f>IF(G247="","",$D244)</f>
        <v>7</v>
      </c>
      <c r="E247" s="485" t="str">
        <f>IF(G247=""," ","– "&amp;COUNTIF(D$4:D249,$D247))</f>
        <v>– 8</v>
      </c>
      <c r="F247" s="509" t="str">
        <f ca="1">IF(G247="","",IF(OR(AND($C247&lt;&gt;" ",$C248=" "),AND($C248&lt;&gt;" ",$C247=" "),AND(L249&gt;0,OR(AND($C249&lt;&gt;" ",OR($C247=" ",$C248=" ")),AND($C249=" ",OR($C247&lt;&gt;" ",$C248&lt;&gt;" "))))),IF(SUM(F$4:F246)=0,1,LARGE(F$4:F246,1)+1),IF(MONTH(G247)=MONTH(TODAY()),IF(AND(DAY(G247)&lt;DAY(TODAY()),$B247=" "),IF(SUM(F$4:F246)=0,1,LARGE(F$4:F246,1)+1),IF($B247=" ",IF(AND(DAY(G247)=DAY(TODAY()),HOUR(G247)&lt;=HOUR(NOW())+1),IF(AND(HOUR(G247)+2&lt;=HOUR(NOW()),DAY(G247)&lt;=DAY(TODAY()),MINUTE(G247)&lt;=MINUTE(NOW())),IF(SUM(F$4:F246)=0,1,LARGE(F$4:F246,1)+1),IF(OR(MINUTE(G247)&lt;=MINUTE(NOW()),HOUR(G247)&lt;=HOUR(NOW())),"!!!","")),""),"")),"")))</f>
        <v/>
      </c>
      <c r="G247" s="482">
        <v>44992.791666666664</v>
      </c>
      <c r="H247" s="475" t="s">
        <v>130</v>
      </c>
      <c r="I247" s="175">
        <v>1</v>
      </c>
      <c r="J247" s="176"/>
      <c r="K247" s="96" t="s">
        <v>47</v>
      </c>
      <c r="L247" s="97">
        <v>5.9</v>
      </c>
      <c r="M247" s="98">
        <v>5.33</v>
      </c>
      <c r="N247" s="478">
        <v>0</v>
      </c>
      <c r="O247" s="99">
        <f>IF(OR(AE247="",AE248=""),"",ROUND(IF(L249&gt;0,IF(M247&gt;0,M247,IF(M248&gt;0,ROUND((M248*AE247)/AE248,IF(N247=0,2,IF(N247=0.1,1,0))),ROUND((M249*AE247)/AE249,IF(N247=0,2,IF(N247=0.1,1,0))))),IF(M247&gt;0,M247,ROUND((M248*AE247)/AE248,IF(N247=0,2,IF(N247=0.1,1,0))))),2))</f>
        <v>5.33</v>
      </c>
      <c r="P247" s="100">
        <f>IF(OR(L247="",O247=""),"",IF($C247="1/2W",O247/2+O247/2*L247,IF($C247="1/2L",O247/2,IF(I247="Lay",(O247*(L247/(L247-1))-O247)*(1-_xlfn.XLOOKUP(K247,'Fevereiro 2023 - Valor Real'!A3:A15,'Fevereiro 2023 - Valor Real'!C3:C15,0))+O247,(O247*L247-O247)*(1-_xlfn.XLOOKUP(K247,'Fevereiro 2023 - Valor Real'!A3:A15,'Fevereiro 2023 - Valor Real'!C3:C15,0))+O247))))</f>
        <v>31.447000000000003</v>
      </c>
      <c r="Q247" s="101">
        <f>IF(K247="","",IF(_xlfn.XLOOKUP(K247,K$4:K246,$DJ$4:DJ246,0,,-1)=DJ247,_xlfn.XLOOKUP(K247,K$4:K246,Q$4:Q246,1,,-1)+1,1))</f>
        <v>2</v>
      </c>
      <c r="R247" s="102">
        <f>IF(K247="","",_xlfn.XLOOKUP(K247,K$4:K246,R$4:R246,0,,-1)+IF($C247=" ",1,0))</f>
        <v>0</v>
      </c>
      <c r="S247" s="474">
        <f>IF($B247="Anulado",0,ROUND(IF(OR($B247="LOSS",$B247="OK"),IF(OR($C247="W",$C247="1/2W",$C247="1/2L"),P247-O247,IF($C247="L",-O247,0))+IF(OR($C248="W",$C248="1/2W",$C248="1/2L"),P248-O248,IF($C248="L",-O248,0))+IF(OR($C249="W",$C249="1/2W",$C249="1/2L"),P249-O249,IF($C249="L",-O249,0)),IF(AND(OR($C247="W",$C247="1/2W",$C247="1/2L"),C248="W"),P247+P248-SUM(O247:O249)+_xlfn.XLOOKUP("X",C247:C249,O247:O249,0),IF(AND(C247=TRUE,C249="W"),P247+P249-SUM(O247:O249),IF(AND(C248="W",C249="W"),P248+P249-SUM(O247:O249)+_xlfn.XLOOKUP("X",C247:C249,O247:O249,0),IF(L249&gt;0,IF(OR($C247="W",$C247="1/2W",$C247="1/2L"),P247-SUM(O247:O249)+_xlfn.XLOOKUP("X",C247:C249,O247:O249,0),IF(OR($C247="W",$C247="1/2W",$C247="1/2L"),P248-SUM(O247:O249)+_xlfn.XLOOKUP("X",C247:C249,O247:O249,0),IF(OR($C247="W",$C247="1/2W",$C247="1/2L"),P249-SUM(O247:O249)+_xlfn.XLOOKUP("X",C247:C249,O247:O249,0),IF(SUM(P247:P249)/3-SUM(O247:O249)+_xlfn.XLOOKUP("X",C247:C249,O247:O249,0)&gt;0,SUM(P247:P249)/3-SUM(O247:O249)+_xlfn.XLOOKUP("X",C247:C249,O247:O249,0),LARGE(P247:P249,1)-SUM(O247:O249))))),IF(OR($C247="W",$C247="1/2W",$C247="1/2L"),P247-SUM(O247:O248)+_xlfn.XLOOKUP("X",C247:C249,O247:O249,0),IF(OR($C247="W",$C247="1/2W",$C247="1/2L"),P248-SUM(O247:O248)+_xlfn.XLOOKUP("X",C247:C249,O247:O249,0),SUM(P247:P248)/2-SUM(O247:O248)+_xlfn.XLOOKUP("X",C247:C249,O247:O249,0)))))))),2))</f>
        <v>2.57</v>
      </c>
      <c r="T247" s="458">
        <f>IF(S247=0,0,S247/SUM(O247:O249))</f>
        <v>8.8835119253370204E-2</v>
      </c>
      <c r="U247" s="470">
        <f>IF($D247=$D244,IF(OR($B247="LOSS",$B247="OK",$B247="Anulada"),S247,0)+U244,IF(OR($B247="LOSS",$B247="OK",$B247="Anulada"),S247,0))</f>
        <v>15.1</v>
      </c>
      <c r="V247" s="470">
        <f>IF($D247="",0,IF($D247=$D244,IF($B247=" ",IF(I249="",IF(OR(AND(I247="DNB1",I248="DNB2"),AND(OR(I247="DNB1",I247="DNB2"),J248=0),AND(OR(I248="DNB1",I248="DNB2"),J247=0),AND(I247="DNB2",I248="DNB1"),AND(IF(J247=0,(J247+1)/ROUND(J247+1,0),J247/ROUND(J247,0))=1,IF(J248=0,(J248+1)/ROUND(IF(J248="",0,J248)+1,0),IF(J248="",0,J248)/ROUND(IF(J248="",1,J248),0))=1,OR(J247&lt;&gt;""),J248&lt;&gt;"")),0,IF(S247&lt;0,IF(I249="",SMALL(P247:P248,1)-SUM(O247:O248),0),SMALL(P247:P248,1)-SUM(O247:O248))),IF(S247&lt;0,IF(I249="",SMALL(P247:P249,1)-SUM(O247:O249),0),LARGE(P247:P249,1)-SUM(O247:O249))),S247)+V244,IF(I249="",IF(OR(AND(I247="DNB1",I248="DNB2"),AND(OR(I247="DNB1",I247="DNB2"),J248=0),AND(OR(I248="DNB1",I248="DNB2"),J247=0),AND(I247="DNB2",I248="DNB1"),AND(IF(J247=0,(J247+1)/ROUND(J247+1,0),J247/ROUND(J247,0))=1,IF(J248=0,(IF(J248="",0,J248)+1)/ROUND(IF(J248="",0,J248)+1,0),IF(J248="",0,J248)/ROUND(IF(J248="",0,J248)+1,0))=1,OR(J247&lt;&gt;""),J248&lt;&gt;"")),0,IF(S247&lt;0,IF(I249="",SMALL(P247:P248,1)-SUM(O247:O248),0),SMALL(P247:P249,1)-SUM(O247:O249))),IF(S247&lt;0,IF(I249="",SMALL(P247:P249,1)-SUM(O247:O249),0),LARGE(P247:P249,1)-SUM(O247:O249)))))</f>
        <v>15.100799999999998</v>
      </c>
      <c r="W247" s="470">
        <f>IF($D247=$D244,IF(S247&lt;0,IF(I249="",S247,0),S247)+W244,S247)</f>
        <v>15.1</v>
      </c>
      <c r="X247" s="480" t="str">
        <f>IF(OR(SUM(R247:R249)=0,V247=W247),ROUND(IF(W247=0,0,W247/Y247)*100,2)&amp;"%",ROUND(IF(V247=0,0,V247/Y247)*100,2)&amp;"% a "&amp;ROUND(IF(W247=0,0,W247/Y247)*100,2)&amp;"%")</f>
        <v>5,41%</v>
      </c>
      <c r="Y247" s="471">
        <f>IF($D247=$D244,Y244+SUM(O247:O249),SUM(O247:O249))</f>
        <v>279.02999999999997</v>
      </c>
      <c r="Z247" s="470">
        <f>IF($B247=" ",SUM(O247:O249),0)+Z244</f>
        <v>0</v>
      </c>
      <c r="AA247" s="470">
        <f>IF(G247="","",IF($B247="Anulado",LARGE(P247:P249,1)-SUM(O247:O249)+AA244,AA244))</f>
        <v>1.4607999999999972</v>
      </c>
      <c r="AB247" s="470">
        <f>IF($D247="","",AB244+S247)</f>
        <v>412.52</v>
      </c>
      <c r="AC247" s="472">
        <f ca="1">IF($D247="","",IF($B247=" ",IF(DAY(G247)=DAY(TODAY()),1+AC244,0+AC244),0+AC244))</f>
        <v>0</v>
      </c>
      <c r="AD247" s="103">
        <f>(((L248/(L248-1)-1)*(1-_xlfn.XLOOKUP(K248,'Fevereiro 2023 - Valor Real'!A3:A15,'Fevereiro 2023 - Valor Real'!C3:C15,0))+1))/(((L247-1)*(1-_xlfn.XLOOKUP(K247,'Fevereiro 2023 - Valor Real'!A3:A15,'Fevereiro 2023 - Valor Real'!C3:C15,0))+1)+((L248/(L248-1)-1)*(1-_xlfn.XLOOKUP(K248,'Fevereiro 2023 - Valor Real'!A3:A15,'Fevereiro 2023 - Valor Real'!C3:C15,0))+1))</f>
        <v>0.18433179723502302</v>
      </c>
      <c r="AE247" s="104">
        <f>IF(L247="","",IF(L249&gt;0,(SUM(((L247-1)*(1-_xlfn.XLOOKUP(K247,'Fevereiro 2023 - Valor Real'!A3:A15,'Fevereiro 2023 - Valor Real'!C3:C15,0))+1),((L248-1)*(1-_xlfn.XLOOKUP(K248,'Fevereiro 2023 - Valor Real'!A3:A15,'Fevereiro 2023 - Valor Real'!C3:C15,0))+1),((L249-1)*(1-_xlfn.XLOOKUP(K249,'Fevereiro 2023 - Valor Real'!A3:A15,'Fevereiro 2023 - Valor Real'!C3:C15,0))+1))/((L247-1)*(1-_xlfn.XLOOKUP(K247,'Fevereiro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Real'!C3:C15,0))+1))/((L247-1)*(1-_xlfn.XLOOKUP(K247,'Fevereiro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Real'!C3:C15,0))+1))/((L248-1)*(1-_xlfn.XLOOKUP(K248,'Fevereiro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Real'!C3:C15,0))+1))/((L249-1)*(1-_xlfn.XLOOKUP(K249,'Fevereiro 2023 - Valor Real'!A3:A15,'Fevereiro 2023 - Valor Real'!C3:C15,0))+1)),IF(I247="Lay",IF(I248="Lay",((L248/(L248-1)-1)*(1-_xlfn.XLOOKUP(K248,'Fevereiro 2023 - Valor Real'!A3:A15,'Fevereiro 2023 - Valor Real'!C3:C15,0))+1)/(((L248/(L248-1)-1)*(1-_xlfn.XLOOKUP(K248,'Fevereiro 2023 - Valor Real'!A3:A15,'Fevereiro 2023 - Valor Real'!C3:C15,0))+1)+((L247/(L247-1)-1)*(1-_xlfn.XLOOKUP(K247,'Fevereiro 2023 - Valor Real'!A3:A15,'Fevereiro 2023 - Valor Real'!C3:C15,0))+1)),((L248-1)*(1-_xlfn.XLOOKUP(K248,'Fevereiro 2023 - Valor Real'!A3:A15,'Fevereiro 2023 - Valor Real'!C3:C15,0))+1)/(((L248-1)*(1-_xlfn.XLOOKUP(K248,'Fevereiro 2023 - Valor Real'!A3:A15,'Fevereiro 2023 - Valor Real'!C3:C15,0))+1)+((L247/(L247-1)-1)*(1-_xlfn.XLOOKUP(K247,'Fevereiro 2023 - Valor Real'!A3:A15,'Fevereiro 2023 - Valor Real'!C3:C15,0))+1))),IF(I248="Lay",(((L248/(L248-1)-1)*(1-_xlfn.XLOOKUP(K248,'Fevereiro 2023 - Valor Real'!A3:A15,'Fevereiro 2023 - Valor Real'!C3:C15,0))+1))/(((L247-1)*(1-_xlfn.XLOOKUP(K247,'Fevereiro 2023 - Valor Real'!A3:A15,'Fevereiro 2023 - Valor Real'!C3:C15,0))+1)+((L248/(L248-1)-1)*(1-_xlfn.XLOOKUP(K248,'Fevereiro 2023 - Valor Real'!A3:A15,'Fevereiro 2023 - Valor Real'!C3:C15,0))+1)),((L248-1)*(1-_xlfn.XLOOKUP(K248,'Fevereiro 2023 - Valor Real'!A3:A15,'Fevereiro 2023 - Valor Real'!C3:C15,0))+1)/(((L248-1)*(1-_xlfn.XLOOKUP(K248,'Fevereiro 2023 - Valor Real'!A3:A15,'Fevereiro 2023 - Valor Real'!C3:C15,0))+1)+((L247-1)*(1-_xlfn.XLOOKUP(K247,'Fevereiro 2023 - Valor Real'!A3:A15,'Fevereiro 2023 - Valor Real'!C3:C15,0))+1))))))</f>
        <v>0.15604681404421328</v>
      </c>
      <c r="AF247" s="105">
        <f t="shared" si="488"/>
        <v>0</v>
      </c>
      <c r="AG247" s="106">
        <f t="shared" si="488"/>
        <v>0</v>
      </c>
      <c r="AH247" s="106">
        <f t="shared" si="488"/>
        <v>0</v>
      </c>
      <c r="AI247" s="106">
        <f t="shared" si="488"/>
        <v>0</v>
      </c>
      <c r="AJ247" s="106">
        <f t="shared" si="488"/>
        <v>0</v>
      </c>
      <c r="AK247" s="106">
        <f t="shared" si="488"/>
        <v>0</v>
      </c>
      <c r="AL247" s="106">
        <f t="shared" si="488"/>
        <v>0</v>
      </c>
      <c r="AM247" s="106">
        <f t="shared" si="488"/>
        <v>0</v>
      </c>
      <c r="AN247" s="106">
        <f t="shared" si="488"/>
        <v>0</v>
      </c>
      <c r="AO247" s="106">
        <f t="shared" si="488"/>
        <v>0</v>
      </c>
      <c r="AP247" s="106">
        <f t="shared" si="488"/>
        <v>0</v>
      </c>
      <c r="AQ247" s="106">
        <f t="shared" si="488"/>
        <v>-5.33</v>
      </c>
      <c r="AR247" s="107">
        <f t="shared" si="488"/>
        <v>0</v>
      </c>
      <c r="AS247" s="105">
        <f t="shared" ref="AS247:BE247" si="494">IF(AND($B247=" ",$K247=AS$3),$O247,0)</f>
        <v>0</v>
      </c>
      <c r="AT247" s="106">
        <f t="shared" si="494"/>
        <v>0</v>
      </c>
      <c r="AU247" s="106">
        <f t="shared" si="494"/>
        <v>0</v>
      </c>
      <c r="AV247" s="106">
        <f t="shared" si="494"/>
        <v>0</v>
      </c>
      <c r="AW247" s="106">
        <f t="shared" si="494"/>
        <v>0</v>
      </c>
      <c r="AX247" s="106">
        <f t="shared" si="494"/>
        <v>0</v>
      </c>
      <c r="AY247" s="108">
        <f t="shared" si="494"/>
        <v>0</v>
      </c>
      <c r="AZ247" s="109">
        <f t="shared" si="494"/>
        <v>0</v>
      </c>
      <c r="BA247" s="109">
        <f t="shared" si="494"/>
        <v>0</v>
      </c>
      <c r="BB247" s="109">
        <f t="shared" si="494"/>
        <v>0</v>
      </c>
      <c r="BC247" s="110">
        <f t="shared" si="494"/>
        <v>0</v>
      </c>
      <c r="BD247" s="106">
        <f t="shared" si="494"/>
        <v>0</v>
      </c>
      <c r="BE247" s="107">
        <f t="shared" si="494"/>
        <v>0</v>
      </c>
      <c r="BF247" s="111">
        <f t="shared" si="490"/>
        <v>0</v>
      </c>
      <c r="BG247" s="106">
        <f t="shared" si="490"/>
        <v>0</v>
      </c>
      <c r="BH247" s="106">
        <f t="shared" si="490"/>
        <v>0</v>
      </c>
      <c r="BI247" s="106">
        <f t="shared" si="490"/>
        <v>0</v>
      </c>
      <c r="BJ247" s="106">
        <f t="shared" si="490"/>
        <v>0</v>
      </c>
      <c r="BK247" s="106">
        <f t="shared" si="490"/>
        <v>0</v>
      </c>
      <c r="BL247" s="106">
        <f t="shared" si="490"/>
        <v>0</v>
      </c>
      <c r="BM247" s="108">
        <f t="shared" si="490"/>
        <v>0</v>
      </c>
      <c r="BN247" s="109">
        <f t="shared" si="490"/>
        <v>0</v>
      </c>
      <c r="BO247" s="109">
        <f t="shared" si="490"/>
        <v>0</v>
      </c>
      <c r="BP247" s="109">
        <f t="shared" si="490"/>
        <v>0</v>
      </c>
      <c r="BQ247" s="110">
        <f t="shared" si="490"/>
        <v>5.33</v>
      </c>
      <c r="BR247" s="107">
        <f t="shared" si="490"/>
        <v>0</v>
      </c>
      <c r="BS247" s="463">
        <f>IF($B247="LOSS",IF(AND($K247=BS$3,$C247="L"),-$O247,0)+IF(AND($K248=BS$3,$C248="L"),-$O248,0)+IF(AND($K249=BS$3,$C249="L"),-$O249,0),IF(OR(AND($K247=BS$3,OR($C247="W",$C247="1/2W")),AND($K248=BS$3,OR($C248="W",$C248="1/2W")),AND($K249=BS$3,OR($C249="W",$C249="1/2W"))),$S247,0))</f>
        <v>0</v>
      </c>
      <c r="BT247" s="462">
        <f>IF($B247="LOSS",IF(AND($K247=BT$3,$C247="L"),-$O247,0)+IF(AND($K248=BT$3,$C248="L"),-$O248,0)+IF(AND($K248=BT$3,$C249="L"),-$O249,0),IF(OR(AND($K248=BT$3,OR($C247="W",$C247="1/2W")),AND($K248=BT$3,OR($C248="W",$C248="1/2W")),AND($K248=BT$3,OR($C249="W",$C249="1/2W"))),$S247,0))</f>
        <v>0</v>
      </c>
      <c r="BU247" s="462">
        <f>IF($B247="LOSS",IF(AND($K247=BU$3,$C247="L"),-$O247,0)+IF(AND($K248=BU$3,$C248="L"),-$O248,0)+IF(AND($K248=BU$3,$C249="L"),-$O249,0),IF(OR(AND($K248=BU$3,OR($C247="W",$C247="1/2W")),AND($K248=BU$3,OR($C248="W",$C248="1/2W")),AND($K248=BU$3,OR($C249="W",$C249="1/2W"))),$S247,0))</f>
        <v>0</v>
      </c>
      <c r="BV247" s="462">
        <f t="shared" ref="BV247:CE247" si="495">IF($B247="LOSS",IF(AND($K247=BV$3,$C247="L"),-$O247,0)+IF(AND($K248=BV$3,$C248="L"),-$O248,0)+IF(AND($K249=BV$3,$C249="L"),-$O249,0),IF(OR(AND($K247=BV$3,OR($C247="W",$C247="1/2W")),AND($K248=BV$3,OR($C248="W",$C248="1/2W")),AND($K249=BV$3,OR($C249="W",$C249="1/2W"))),$S247,0))</f>
        <v>0</v>
      </c>
      <c r="BW247" s="462">
        <f t="shared" si="495"/>
        <v>0</v>
      </c>
      <c r="BX247" s="462">
        <f t="shared" si="495"/>
        <v>0</v>
      </c>
      <c r="BY247" s="462">
        <f t="shared" si="495"/>
        <v>0</v>
      </c>
      <c r="BZ247" s="460">
        <f t="shared" si="495"/>
        <v>0</v>
      </c>
      <c r="CA247" s="460">
        <f t="shared" si="495"/>
        <v>0</v>
      </c>
      <c r="CB247" s="460">
        <f t="shared" si="495"/>
        <v>0</v>
      </c>
      <c r="CC247" s="460">
        <f t="shared" si="495"/>
        <v>0</v>
      </c>
      <c r="CD247" s="473">
        <f t="shared" si="495"/>
        <v>0</v>
      </c>
      <c r="CE247" s="479">
        <f t="shared" si="495"/>
        <v>0</v>
      </c>
      <c r="CF247" s="113">
        <f t="shared" si="388"/>
        <v>0</v>
      </c>
      <c r="CG247" s="114">
        <f t="shared" si="389"/>
        <v>0</v>
      </c>
      <c r="CH247" s="114">
        <f t="shared" si="390"/>
        <v>0</v>
      </c>
      <c r="CI247" s="114">
        <f t="shared" si="391"/>
        <v>0</v>
      </c>
      <c r="CJ247" s="114">
        <f t="shared" si="392"/>
        <v>0</v>
      </c>
      <c r="CK247" s="114">
        <f t="shared" si="393"/>
        <v>0</v>
      </c>
      <c r="CL247" s="114">
        <f t="shared" si="394"/>
        <v>0</v>
      </c>
      <c r="CM247" s="114">
        <f t="shared" si="395"/>
        <v>0</v>
      </c>
      <c r="CN247" s="114">
        <f t="shared" si="396"/>
        <v>0</v>
      </c>
      <c r="CO247" s="114">
        <f t="shared" si="397"/>
        <v>0</v>
      </c>
      <c r="CP247" s="114">
        <f t="shared" si="398"/>
        <v>0</v>
      </c>
      <c r="CQ247" s="114">
        <f t="shared" si="399"/>
        <v>0</v>
      </c>
      <c r="CR247" s="114">
        <f t="shared" si="400"/>
        <v>0</v>
      </c>
      <c r="CS247" s="114">
        <f t="shared" si="401"/>
        <v>0</v>
      </c>
      <c r="CT247" s="115">
        <f t="shared" si="402"/>
        <v>0</v>
      </c>
      <c r="CU247" s="116">
        <f t="shared" si="403"/>
        <v>0</v>
      </c>
      <c r="CV247" s="116">
        <f t="shared" si="404"/>
        <v>0</v>
      </c>
      <c r="CW247" s="116">
        <f t="shared" si="405"/>
        <v>0</v>
      </c>
      <c r="CX247" s="116">
        <f t="shared" si="406"/>
        <v>0</v>
      </c>
      <c r="CY247" s="116">
        <f t="shared" si="407"/>
        <v>0</v>
      </c>
      <c r="CZ247" s="116">
        <f t="shared" si="408"/>
        <v>0</v>
      </c>
      <c r="DA247" s="116">
        <f t="shared" si="409"/>
        <v>0</v>
      </c>
      <c r="DB247" s="116">
        <f t="shared" si="410"/>
        <v>0</v>
      </c>
      <c r="DC247" s="116">
        <f t="shared" si="411"/>
        <v>1</v>
      </c>
      <c r="DD247" s="116">
        <f t="shared" si="412"/>
        <v>0</v>
      </c>
      <c r="DE247" s="117">
        <f t="shared" si="413"/>
        <v>0</v>
      </c>
      <c r="DF247" s="118">
        <f t="shared" si="415"/>
        <v>15</v>
      </c>
      <c r="DG247" s="106">
        <f t="shared" si="416"/>
        <v>19.170000000000002</v>
      </c>
      <c r="DH247" s="116">
        <f t="shared" si="417"/>
        <v>8</v>
      </c>
      <c r="DI247" s="106">
        <f t="shared" si="418"/>
        <v>33.049999999999997</v>
      </c>
      <c r="DJ247" s="201" t="str">
        <f>IF($D247="","",$D247)</f>
        <v>7</v>
      </c>
      <c r="DK247" s="465">
        <f>IF(AND($B247=" ",$D247&lt;&gt;""),1,0)</f>
        <v>0</v>
      </c>
    </row>
    <row r="248" spans="1:115" ht="14.5" customHeight="1" x14ac:dyDescent="0.2">
      <c r="A248" s="389"/>
      <c r="B248" s="456"/>
      <c r="C248" s="120" t="s">
        <v>55</v>
      </c>
      <c r="D248" s="374"/>
      <c r="E248" s="386"/>
      <c r="F248" s="377"/>
      <c r="G248" s="483"/>
      <c r="H248" s="476"/>
      <c r="I248" s="121" t="s">
        <v>49</v>
      </c>
      <c r="J248" s="179" t="str">
        <f>IF(OR(I247="TO",I247="TU",I247="TO1",I247="TU1",I247="TO2",I247="TU2"),J247,IF(OR(I247="AH1",I247="AH2"),IF(OR(I248="AH1",I248="AH2"),-J247,IF(OR(I248="EH1",I248="EH2"),-J247+0.5,"")),IF(OR(I247="EH1",I247="EH2"),IF(OR(I248="AH1",I248="AH2"),-J247+0.5,IF(OR(I248="EH1",I248="EH2"),-J247+1,"")),IF(AND(OR(I247="DNB1",I247="DNB2"),OR(I248="AH1",I248="AH2")),0,IF(AND(I247="Not ScoreBoth",OR(I248="TO1",I248="TO2")),0.5,"")))))</f>
        <v/>
      </c>
      <c r="K248" s="123" t="s">
        <v>47</v>
      </c>
      <c r="L248" s="124">
        <v>4</v>
      </c>
      <c r="M248" s="125">
        <v>2.6</v>
      </c>
      <c r="N248" s="406"/>
      <c r="O248" s="126">
        <f>IF(OR(AE247="",AE248=""),"",ROUND(IF(L249&gt;0,IF(M248&gt;0,M248,IF(M247&gt;0,IF(N247=TRUE,ROUND((M247*AE248)/AE247,0),(M247*AE248)/AE247),IF(M248&gt;0,ROUND(M248,IF(N247=0,2,IF(N247=0.1,1,0))),IF(M249&gt;0,ROUND(O249*AE248/AE249,IF(N247=0,2,IF(N247=0.1,1,0))),0)))),IF(M248&gt;0,M248,ROUND((M247*AE248)/AE247,IF(N247=0,2,IF(N247=0.1,1,0))))),2))</f>
        <v>2.6</v>
      </c>
      <c r="P248" s="127">
        <f>IF(OR(L248="",O248=""),"",IF($C248="1/2W",O248/2+O248/2*L248,IF($C248="1/2L",O248/2,IF(I248="Lay",((O248*(L248/(L248-1)))-O248)*(1-_xlfn.XLOOKUP(K248,'Fevereiro 2023 - Valor Real'!A3:A15,'Fevereiro 2023 - Valor Real'!C3:C15,0))+O248,(O248*L248-O248)*(1-_xlfn.XLOOKUP(K248,'Fevereiro 2023 - Valor Real'!A3:A15,'Fevereiro 2023 - Valor Real'!C3:C15,0))+O248))))</f>
        <v>10.4</v>
      </c>
      <c r="Q248" s="128">
        <f>IF(K248="","",IF(_xlfn.XLOOKUP(K248,K$4:K247,$DJ$4:DJ247,0,,-1)=DJ248,_xlfn.XLOOKUP(K248,K$4:K247,Q$4:Q247,1,,-1)+1,1))</f>
        <v>3</v>
      </c>
      <c r="R248" s="129">
        <f>IF(K248="","",_xlfn.XLOOKUP(K248,K$4:K247,R$4:R247,0,,-1)+IF($C248=" ",1,0))</f>
        <v>0</v>
      </c>
      <c r="S248" s="403"/>
      <c r="T248" s="380"/>
      <c r="U248" s="380"/>
      <c r="V248" s="481"/>
      <c r="W248" s="380"/>
      <c r="X248" s="452"/>
      <c r="Y248" s="383"/>
      <c r="Z248" s="384"/>
      <c r="AA248" s="384"/>
      <c r="AB248" s="384"/>
      <c r="AC248" s="384"/>
      <c r="AD248" s="130">
        <f>(((L248/(L248-1)-1)*(1-_xlfn.XLOOKUP(K248,'Fevereiro 2023 - Valor Real'!A3:A15,'Fevereiro 2023 - Valor Real'!C3:C15,0))+1))</f>
        <v>1.3333333333333333</v>
      </c>
      <c r="AE248" s="131">
        <f>IF(L248="","",IF(L249&gt;0,(SUM(((L247-1)*(1-_xlfn.XLOOKUP(K247,'Fevereiro 2023 - Valor Real'!A3:A15,'Fevereiro 2023 - Valor Real'!C3:C15,0))+1),((L248-1)*(1-_xlfn.XLOOKUP(K248,'Fevereiro 2023 - Valor Real'!A3:A15,'Fevereiro 2023 - Valor Real'!C3:C15,0))+1),((L249-1)*(1-_xlfn.XLOOKUP(K249,'Fevereiro 2023 - Valor Real'!A3:A15,'Fevereiro 2023 - Valor Real'!C3:C15,0))+1))/((L248-1)*(1-_xlfn.XLOOKUP(K248,'Fevereiro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Real'!C3:C15,0))+1))/((L247-1)*(1-_xlfn.XLOOKUP(K247,'Fevereiro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Real'!C3:C15,0))+1))/((L248-1)*(1-_xlfn.XLOOKUP(K248,'Fevereiro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Real'!C3:C15,0))+1))/((L249-1)*(1-_xlfn.XLOOKUP(K249,'Fevereiro 2023 - Valor Real'!A3:A15,'Fevereiro 2023 - Valor Real'!C3:C15,0))+1)),IF(I248="Lay",IF(I247="Lay",((L247/(L247-1)-1)*(1-_xlfn.XLOOKUP(K247,'Fevereiro 2023 - Valor Real'!A3:A15,'Fevereiro 2023 - Valor Real'!C3:C15,0))+1)/(((L247/(L247-1)-1)*(1-_xlfn.XLOOKUP(K247,'Fevereiro 2023 - Valor Real'!A3:A15,'Fevereiro 2023 - Valor Real'!C3:C15,0))+1)+((L248/(L248-1)-1)*(1-_xlfn.XLOOKUP(K248,'Fevereiro 2023 - Valor Real'!A3:A15,'Fevereiro 2023 - Valor Real'!C3:C15,0))+1)),((L247-1)*(1-_xlfn.XLOOKUP(K247,'Fevereiro 2023 - Valor Real'!A3:A15,'Fevereiro 2023 - Valor Real'!C3:C15,0))+1)/(((L247-1)*(1-_xlfn.XLOOKUP(K247,'Fevereiro 2023 - Valor Real'!A3:A15,'Fevereiro 2023 - Valor Real'!C3:C15,0))+1)+((L248/(L248-1)-1)*(1-_xlfn.XLOOKUP(K248,'Fevereiro 2023 - Valor Real'!A3:A15,'Fevereiro 2023 - Valor Real'!C3:C15,0))+1))),IF(I247="Lay",((L247/(L247-1)-1)*(1-_xlfn.XLOOKUP(K247,'Fevereiro 2023 - Valor Real'!A3:A15,'Fevereiro 2023 - Valor Real'!C3:C15,0))+1)/((((L247/(L247-1)-1)*(1-_xlfn.XLOOKUP(K247,'Fevereiro 2023 - Valor Real'!A3:A15,'Fevereiro 2023 - Valor Real'!C3:C15,0))+1))+((L248-1)*(1-_xlfn.XLOOKUP(K248,'Fevereiro 2023 - Valor Real'!A3:A15,'Fevereiro 2023 - Valor Real'!C3:C15,0))+1)),((L247-1)*(1-_xlfn.XLOOKUP(K247,'Fevereiro 2023 - Valor Real'!A3:A15,'Fevereiro 2023 - Valor Real'!C3:C15,0))+1)/(((L247-1)*(1-_xlfn.XLOOKUP(K247,'Fevereiro 2023 - Valor Real'!A3:A15,'Fevereiro 2023 - Valor Real'!C3:C15,0))+1)+((L248-1)*(1-_xlfn.XLOOKUP(K248,'Fevereiro 2023 - Valor Real'!A3:A15,'Fevereiro 2023 - Valor Real'!C3:C15,0))+1))))))</f>
        <v>0.23016905071521457</v>
      </c>
      <c r="AF248" s="105">
        <f t="shared" si="488"/>
        <v>0</v>
      </c>
      <c r="AG248" s="106">
        <f t="shared" si="488"/>
        <v>0</v>
      </c>
      <c r="AH248" s="106">
        <f t="shared" si="488"/>
        <v>0</v>
      </c>
      <c r="AI248" s="106">
        <f t="shared" si="488"/>
        <v>0</v>
      </c>
      <c r="AJ248" s="106">
        <f t="shared" si="488"/>
        <v>0</v>
      </c>
      <c r="AK248" s="106">
        <f t="shared" si="488"/>
        <v>0</v>
      </c>
      <c r="AL248" s="106">
        <f t="shared" si="488"/>
        <v>0</v>
      </c>
      <c r="AM248" s="106">
        <f t="shared" si="488"/>
        <v>0</v>
      </c>
      <c r="AN248" s="106">
        <f t="shared" si="488"/>
        <v>0</v>
      </c>
      <c r="AO248" s="106">
        <f t="shared" si="488"/>
        <v>0</v>
      </c>
      <c r="AP248" s="106">
        <f t="shared" si="488"/>
        <v>0</v>
      </c>
      <c r="AQ248" s="106">
        <f t="shared" si="488"/>
        <v>-2.6</v>
      </c>
      <c r="AR248" s="107">
        <f t="shared" si="488"/>
        <v>0</v>
      </c>
      <c r="AS248" s="105">
        <f>IF(AND($B247=" ",$K248=AS$3),$O248,0)</f>
        <v>0</v>
      </c>
      <c r="AT248" s="106">
        <f>IF(AND($B247=" ",K248=AT$3),$O248,0)</f>
        <v>0</v>
      </c>
      <c r="AU248" s="106">
        <f t="shared" ref="AU248:BE248" si="496">IF(AND($B247=" ",$K248=AU$3),$O248,0)</f>
        <v>0</v>
      </c>
      <c r="AV248" s="106">
        <f t="shared" si="496"/>
        <v>0</v>
      </c>
      <c r="AW248" s="106">
        <f t="shared" si="496"/>
        <v>0</v>
      </c>
      <c r="AX248" s="106">
        <f t="shared" si="496"/>
        <v>0</v>
      </c>
      <c r="AY248" s="108">
        <f t="shared" si="496"/>
        <v>0</v>
      </c>
      <c r="AZ248" s="109">
        <f t="shared" si="496"/>
        <v>0</v>
      </c>
      <c r="BA248" s="109">
        <f t="shared" si="496"/>
        <v>0</v>
      </c>
      <c r="BB248" s="109">
        <f t="shared" si="496"/>
        <v>0</v>
      </c>
      <c r="BC248" s="110">
        <f t="shared" si="496"/>
        <v>0</v>
      </c>
      <c r="BD248" s="106">
        <f t="shared" si="496"/>
        <v>0</v>
      </c>
      <c r="BE248" s="107">
        <f t="shared" si="496"/>
        <v>0</v>
      </c>
      <c r="BF248" s="105">
        <f t="shared" si="490"/>
        <v>0</v>
      </c>
      <c r="BG248" s="106">
        <f t="shared" si="490"/>
        <v>0</v>
      </c>
      <c r="BH248" s="106">
        <f t="shared" si="490"/>
        <v>0</v>
      </c>
      <c r="BI248" s="106">
        <f t="shared" si="490"/>
        <v>0</v>
      </c>
      <c r="BJ248" s="106">
        <f t="shared" si="490"/>
        <v>0</v>
      </c>
      <c r="BK248" s="106">
        <f t="shared" si="490"/>
        <v>0</v>
      </c>
      <c r="BL248" s="106">
        <f t="shared" si="490"/>
        <v>0</v>
      </c>
      <c r="BM248" s="132">
        <f t="shared" si="490"/>
        <v>0</v>
      </c>
      <c r="BN248" s="112">
        <f t="shared" si="490"/>
        <v>0</v>
      </c>
      <c r="BO248" s="112">
        <f t="shared" si="490"/>
        <v>0</v>
      </c>
      <c r="BP248" s="112">
        <f t="shared" si="490"/>
        <v>0</v>
      </c>
      <c r="BQ248" s="110">
        <f t="shared" si="490"/>
        <v>2.6</v>
      </c>
      <c r="BR248" s="107">
        <f t="shared" si="490"/>
        <v>0</v>
      </c>
      <c r="BS248" s="464"/>
      <c r="BT248" s="461"/>
      <c r="BU248" s="392"/>
      <c r="BV248" s="461"/>
      <c r="BW248" s="392"/>
      <c r="BX248" s="392"/>
      <c r="BY248" s="392"/>
      <c r="BZ248" s="461"/>
      <c r="CA248" s="392"/>
      <c r="CB248" s="392"/>
      <c r="CC248" s="392"/>
      <c r="CD248" s="401"/>
      <c r="CE248" s="409"/>
      <c r="CF248" s="133">
        <f t="shared" si="388"/>
        <v>0</v>
      </c>
      <c r="CG248" s="134">
        <f t="shared" si="389"/>
        <v>0</v>
      </c>
      <c r="CH248" s="134">
        <f t="shared" si="390"/>
        <v>0</v>
      </c>
      <c r="CI248" s="134">
        <f t="shared" si="391"/>
        <v>0</v>
      </c>
      <c r="CJ248" s="134">
        <f t="shared" si="392"/>
        <v>0</v>
      </c>
      <c r="CK248" s="134">
        <f t="shared" si="393"/>
        <v>0</v>
      </c>
      <c r="CL248" s="134">
        <f t="shared" si="394"/>
        <v>0</v>
      </c>
      <c r="CM248" s="134">
        <f t="shared" si="395"/>
        <v>0</v>
      </c>
      <c r="CN248" s="134">
        <f t="shared" si="396"/>
        <v>0</v>
      </c>
      <c r="CO248" s="134">
        <f t="shared" si="397"/>
        <v>0</v>
      </c>
      <c r="CP248" s="134">
        <f t="shared" si="398"/>
        <v>0</v>
      </c>
      <c r="CQ248" s="134">
        <f t="shared" si="399"/>
        <v>0</v>
      </c>
      <c r="CR248" s="134">
        <f t="shared" si="400"/>
        <v>0</v>
      </c>
      <c r="CS248" s="134">
        <f t="shared" si="401"/>
        <v>0</v>
      </c>
      <c r="CT248" s="115">
        <f t="shared" si="402"/>
        <v>0</v>
      </c>
      <c r="CU248" s="116">
        <f t="shared" si="403"/>
        <v>0</v>
      </c>
      <c r="CV248" s="116">
        <f t="shared" si="404"/>
        <v>0</v>
      </c>
      <c r="CW248" s="116">
        <f t="shared" si="405"/>
        <v>0</v>
      </c>
      <c r="CX248" s="116">
        <f t="shared" si="406"/>
        <v>0</v>
      </c>
      <c r="CY248" s="116">
        <f t="shared" si="407"/>
        <v>0</v>
      </c>
      <c r="CZ248" s="116">
        <f t="shared" si="408"/>
        <v>0</v>
      </c>
      <c r="DA248" s="116">
        <f t="shared" si="409"/>
        <v>0</v>
      </c>
      <c r="DB248" s="116">
        <f t="shared" si="410"/>
        <v>0</v>
      </c>
      <c r="DC248" s="116">
        <f t="shared" si="411"/>
        <v>1</v>
      </c>
      <c r="DD248" s="116">
        <f t="shared" si="412"/>
        <v>0</v>
      </c>
      <c r="DE248" s="117">
        <f t="shared" si="413"/>
        <v>0</v>
      </c>
      <c r="DF248" s="118">
        <f t="shared" si="415"/>
        <v>15</v>
      </c>
      <c r="DG248" s="106">
        <f t="shared" si="416"/>
        <v>19.170000000000002</v>
      </c>
      <c r="DH248" s="116">
        <f t="shared" si="417"/>
        <v>8</v>
      </c>
      <c r="DI248" s="106">
        <f t="shared" si="418"/>
        <v>33.049999999999997</v>
      </c>
      <c r="DJ248" s="201" t="str">
        <f>IF($D247="","",$D247)</f>
        <v>7</v>
      </c>
      <c r="DK248" s="466"/>
    </row>
    <row r="249" spans="1:115" ht="14.5" customHeight="1" x14ac:dyDescent="0.2">
      <c r="A249" s="390"/>
      <c r="B249" s="457"/>
      <c r="C249" s="135" t="s">
        <v>54</v>
      </c>
      <c r="D249" s="375"/>
      <c r="E249" s="387"/>
      <c r="F249" s="378"/>
      <c r="G249" s="484"/>
      <c r="H249" s="477"/>
      <c r="I249" s="203" t="s">
        <v>61</v>
      </c>
      <c r="J249" s="137"/>
      <c r="K249" s="193" t="s">
        <v>37</v>
      </c>
      <c r="L249" s="194">
        <v>1.5</v>
      </c>
      <c r="M249" s="140">
        <v>21</v>
      </c>
      <c r="N249" s="407"/>
      <c r="O249" s="195">
        <f>IF(OR(AE247="",AE248=""),"",IF(L249&gt;0,ROUND(IF(M249&gt;0,M249,IF(M247&gt;0,ROUND((M247*AE249)/AE247,IF(N247=0,2,IF(N247=0.1,1,0))),IF(M248&gt;0,ROUND((M248*AE249)/AE248,IF(N247=0,2,IF(N247=0.1,1,0))),IF(M249&gt;0,M249,0)))),2),""))</f>
        <v>21</v>
      </c>
      <c r="P249" s="196">
        <f>IF(I248="Lay",O248*(L248/(L248-1))-O248,IF(I247="Lay",O247*(L247/(L247-1))-O247,IF(OR(L249="",O249=""),"",IF($C249="1/2W",O249/2+O249/2*L249,IF($C249="1/2L",O249/2,(O249*L249-O249)*(1-_xlfn.XLOOKUP(K249,'Fevereiro 2023 - Valor Real'!A3:A15,'Fevereiro 2023 - Valor Real'!C3:C15,0))+O249)))))</f>
        <v>31.5</v>
      </c>
      <c r="Q249" s="197">
        <f>IF(K249="","",IF(_xlfn.XLOOKUP(K249,K$4:K248,$DJ$4:DJ248,0,,-1)=DJ249,_xlfn.XLOOKUP(K249,K$4:K248,Q$4:Q248,1,,-1)+1,1))</f>
        <v>2</v>
      </c>
      <c r="R249" s="198">
        <f>IF(K249="","",_xlfn.XLOOKUP(K249,K$4:K248,R$4:R248,0,,-1)+IF($C249=" ",1,0))</f>
        <v>0</v>
      </c>
      <c r="S249" s="404"/>
      <c r="T249" s="378"/>
      <c r="U249" s="378"/>
      <c r="V249" s="404"/>
      <c r="W249" s="378"/>
      <c r="X249" s="453"/>
      <c r="Y249" s="383"/>
      <c r="Z249" s="384"/>
      <c r="AA249" s="384"/>
      <c r="AB249" s="384"/>
      <c r="AC249" s="384"/>
      <c r="AD249" s="145">
        <f>((L248/(L248-1)-1))</f>
        <v>0.33333333333333326</v>
      </c>
      <c r="AE249" s="199">
        <f>IF(L249="","",(SUM(((L247-1)*(1-_xlfn.XLOOKUP(K247,'Fevereiro 2023 - Valor Real'!A3:A15,'Fevereiro 2023 - Valor Real'!C3:C15,0))+1),((L248-1)*(1-_xlfn.XLOOKUP(K248,'Fevereiro 2023 - Valor Real'!A3:A15,'Fevereiro 2023 - Valor Real'!C3:C15,0))+1),((L249-1)*(1-_xlfn.XLOOKUP(K249,'Fevereiro 2023 - Valor Real'!A3:A15,'Fevereiro 2023 - Valor Real'!C3:C15,0))+1))/((L249-1)*(1-_xlfn.XLOOKUP(K249,'Fevereiro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Real'!C3:C15,0))+1))/((L247-1)*(1-_xlfn.XLOOKUP(K247,'Fevereiro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Real'!C3:C15,0))+1))/((L248-1)*(1-_xlfn.XLOOKUP(K248,'Fevereiro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Real'!C3:C15,0))+1))/((L249-1)*(1-_xlfn.XLOOKUP(K249,'Fevereiro 2023 - Valor Real'!A3:A15,'Fevereiro 2023 - Valor Real'!C3:C15,0))+1)))</f>
        <v>0.61378413524057229</v>
      </c>
      <c r="AF249" s="105">
        <f t="shared" si="488"/>
        <v>0</v>
      </c>
      <c r="AG249" s="106">
        <f t="shared" si="488"/>
        <v>10.5</v>
      </c>
      <c r="AH249" s="106">
        <f t="shared" si="488"/>
        <v>0</v>
      </c>
      <c r="AI249" s="106">
        <f t="shared" si="488"/>
        <v>0</v>
      </c>
      <c r="AJ249" s="106">
        <f t="shared" si="488"/>
        <v>0</v>
      </c>
      <c r="AK249" s="106">
        <f t="shared" si="488"/>
        <v>0</v>
      </c>
      <c r="AL249" s="106">
        <f t="shared" si="488"/>
        <v>0</v>
      </c>
      <c r="AM249" s="106">
        <f t="shared" si="488"/>
        <v>0</v>
      </c>
      <c r="AN249" s="106">
        <f t="shared" si="488"/>
        <v>0</v>
      </c>
      <c r="AO249" s="106">
        <f t="shared" si="488"/>
        <v>0</v>
      </c>
      <c r="AP249" s="106">
        <f t="shared" si="488"/>
        <v>0</v>
      </c>
      <c r="AQ249" s="106">
        <f t="shared" si="488"/>
        <v>0</v>
      </c>
      <c r="AR249" s="107">
        <f t="shared" si="488"/>
        <v>0</v>
      </c>
      <c r="AS249" s="105">
        <f>IF(AND($B247=" ",$K249=AS$3),$O249,0)</f>
        <v>0</v>
      </c>
      <c r="AT249" s="106">
        <f>IF(AND($B247=" ",K249=AT$3),$O249,0)</f>
        <v>0</v>
      </c>
      <c r="AU249" s="106">
        <f t="shared" ref="AU249:BE249" si="497">IF(AND($B247=" ",$K249=AU$3),$O249,0)</f>
        <v>0</v>
      </c>
      <c r="AV249" s="106">
        <f t="shared" si="497"/>
        <v>0</v>
      </c>
      <c r="AW249" s="106">
        <f t="shared" si="497"/>
        <v>0</v>
      </c>
      <c r="AX249" s="106">
        <f t="shared" si="497"/>
        <v>0</v>
      </c>
      <c r="AY249" s="108">
        <f t="shared" si="497"/>
        <v>0</v>
      </c>
      <c r="AZ249" s="109">
        <f t="shared" si="497"/>
        <v>0</v>
      </c>
      <c r="BA249" s="109">
        <f t="shared" si="497"/>
        <v>0</v>
      </c>
      <c r="BB249" s="109">
        <f t="shared" si="497"/>
        <v>0</v>
      </c>
      <c r="BC249" s="110">
        <f t="shared" si="497"/>
        <v>0</v>
      </c>
      <c r="BD249" s="106">
        <f t="shared" si="497"/>
        <v>0</v>
      </c>
      <c r="BE249" s="107">
        <f t="shared" si="497"/>
        <v>0</v>
      </c>
      <c r="BF249" s="105">
        <f t="shared" si="490"/>
        <v>0</v>
      </c>
      <c r="BG249" s="106">
        <f t="shared" si="490"/>
        <v>21</v>
      </c>
      <c r="BH249" s="106">
        <f t="shared" si="490"/>
        <v>0</v>
      </c>
      <c r="BI249" s="106">
        <f t="shared" si="490"/>
        <v>0</v>
      </c>
      <c r="BJ249" s="106">
        <f t="shared" si="490"/>
        <v>0</v>
      </c>
      <c r="BK249" s="106">
        <f t="shared" si="490"/>
        <v>0</v>
      </c>
      <c r="BL249" s="106">
        <f t="shared" si="490"/>
        <v>0</v>
      </c>
      <c r="BM249" s="108">
        <f t="shared" si="490"/>
        <v>0</v>
      </c>
      <c r="BN249" s="109">
        <f t="shared" si="490"/>
        <v>0</v>
      </c>
      <c r="BO249" s="109">
        <f t="shared" si="490"/>
        <v>0</v>
      </c>
      <c r="BP249" s="109">
        <f t="shared" si="490"/>
        <v>0</v>
      </c>
      <c r="BQ249" s="110">
        <f t="shared" si="490"/>
        <v>0</v>
      </c>
      <c r="BR249" s="107">
        <f t="shared" si="490"/>
        <v>0</v>
      </c>
      <c r="BS249" s="464"/>
      <c r="BT249" s="461"/>
      <c r="BU249" s="392"/>
      <c r="BV249" s="461"/>
      <c r="BW249" s="392"/>
      <c r="BX249" s="392"/>
      <c r="BY249" s="392"/>
      <c r="BZ249" s="461"/>
      <c r="CA249" s="392"/>
      <c r="CB249" s="392"/>
      <c r="CC249" s="392"/>
      <c r="CD249" s="401"/>
      <c r="CE249" s="409"/>
      <c r="CF249" s="133">
        <f t="shared" si="388"/>
        <v>0</v>
      </c>
      <c r="CG249" s="134">
        <f t="shared" si="389"/>
        <v>0</v>
      </c>
      <c r="CH249" s="134">
        <f t="shared" si="390"/>
        <v>1</v>
      </c>
      <c r="CI249" s="134">
        <f t="shared" si="391"/>
        <v>0</v>
      </c>
      <c r="CJ249" s="134">
        <f t="shared" si="392"/>
        <v>0</v>
      </c>
      <c r="CK249" s="134">
        <f t="shared" si="393"/>
        <v>0</v>
      </c>
      <c r="CL249" s="134">
        <f t="shared" si="394"/>
        <v>0</v>
      </c>
      <c r="CM249" s="134">
        <f t="shared" si="395"/>
        <v>0</v>
      </c>
      <c r="CN249" s="134">
        <f t="shared" si="396"/>
        <v>0</v>
      </c>
      <c r="CO249" s="134">
        <f t="shared" si="397"/>
        <v>0</v>
      </c>
      <c r="CP249" s="134">
        <f t="shared" si="398"/>
        <v>0</v>
      </c>
      <c r="CQ249" s="134">
        <f t="shared" si="399"/>
        <v>0</v>
      </c>
      <c r="CR249" s="134">
        <f t="shared" si="400"/>
        <v>0</v>
      </c>
      <c r="CS249" s="134">
        <f t="shared" si="401"/>
        <v>0</v>
      </c>
      <c r="CT249" s="115">
        <f t="shared" si="402"/>
        <v>0</v>
      </c>
      <c r="CU249" s="116">
        <f t="shared" si="403"/>
        <v>0</v>
      </c>
      <c r="CV249" s="116">
        <f t="shared" si="404"/>
        <v>0</v>
      </c>
      <c r="CW249" s="116">
        <f t="shared" si="405"/>
        <v>0</v>
      </c>
      <c r="CX249" s="116">
        <f t="shared" si="406"/>
        <v>0</v>
      </c>
      <c r="CY249" s="116">
        <f t="shared" si="407"/>
        <v>0</v>
      </c>
      <c r="CZ249" s="116">
        <f t="shared" si="408"/>
        <v>0</v>
      </c>
      <c r="DA249" s="116">
        <f t="shared" si="409"/>
        <v>0</v>
      </c>
      <c r="DB249" s="116">
        <f t="shared" si="410"/>
        <v>0</v>
      </c>
      <c r="DC249" s="116">
        <f t="shared" si="411"/>
        <v>0</v>
      </c>
      <c r="DD249" s="116">
        <f t="shared" si="412"/>
        <v>0</v>
      </c>
      <c r="DE249" s="117">
        <f t="shared" si="413"/>
        <v>0</v>
      </c>
      <c r="DF249" s="118">
        <f t="shared" si="415"/>
        <v>15</v>
      </c>
      <c r="DG249" s="106">
        <f t="shared" si="416"/>
        <v>19.170000000000002</v>
      </c>
      <c r="DH249" s="116">
        <f t="shared" si="417"/>
        <v>8</v>
      </c>
      <c r="DI249" s="106">
        <f t="shared" si="418"/>
        <v>33.049999999999997</v>
      </c>
      <c r="DJ249" s="201" t="str">
        <f>IF($D247="","",$D247)</f>
        <v>7</v>
      </c>
      <c r="DK249" s="466"/>
    </row>
    <row r="250" spans="1:115" ht="14.5" customHeight="1" x14ac:dyDescent="0.2">
      <c r="A250" s="487">
        <f>$A247+1</f>
        <v>83</v>
      </c>
      <c r="B250" s="506" t="str">
        <f>IF(OR(C250="W",C251="W",C252="W",C250="1/2W",C251="1/2W",C252="1/2W",C250="1/2L",C251="1/2L",C252="1/2L"),"OK",IF(OR(C250="L",C251="L",C252="L"),"LOSS",IF(OR(C250="X",C251="X",C252="X"),"Anulado"," ")))</f>
        <v>OK</v>
      </c>
      <c r="C250" s="147" t="s">
        <v>54</v>
      </c>
      <c r="D250" s="494" t="str">
        <f>IF(G250="","",$D247)</f>
        <v>7</v>
      </c>
      <c r="E250" s="511" t="str">
        <f>IF(G250=""," ","– "&amp;COUNTIF(D$4:D252,$D250))</f>
        <v>– 9</v>
      </c>
      <c r="F250" s="510" t="str">
        <f ca="1">IF(G250="","",IF(OR(AND($C250&lt;&gt;" ",$C251=" "),AND($C251&lt;&gt;" ",$C250=" "),AND(L252&gt;0,OR(AND($C252&lt;&gt;" ",OR($C250=" ",$C251=" ")),AND($C252=" ",OR($C250&lt;&gt;" ",$C251&lt;&gt;" "))))),IF(SUM(F$4:F249)=0,1,LARGE(F$4:F249,1)+1),IF(MONTH(G250)=MONTH(TODAY()),IF(AND(DAY(G250)&lt;DAY(TODAY()),$B250=" "),IF(SUM(F$4:F249)=0,1,LARGE(F$4:F249,1)+1),IF($B250=" ",IF(AND(DAY(G250)=DAY(TODAY()),HOUR(G250)&lt;=HOUR(NOW())+1),IF(AND(HOUR(G250)+2&lt;=HOUR(NOW()),DAY(G250)&lt;=DAY(TODAY()),MINUTE(G250)&lt;=MINUTE(NOW())),IF(SUM(F$4:F249)=0,1,LARGE(F$4:F249,1)+1),IF(OR(MINUTE(G250)&lt;=MINUTE(NOW()),HOUR(G250)&lt;=HOUR(NOW())),"!!!","")),""),"")),"")))</f>
        <v/>
      </c>
      <c r="G250" s="508">
        <v>44992.833333333336</v>
      </c>
      <c r="H250" s="502" t="s">
        <v>131</v>
      </c>
      <c r="I250" s="180" t="s">
        <v>51</v>
      </c>
      <c r="J250" s="181">
        <v>11.5</v>
      </c>
      <c r="K250" s="150" t="s">
        <v>39</v>
      </c>
      <c r="L250" s="151">
        <v>2.5</v>
      </c>
      <c r="M250" s="152">
        <v>5.52</v>
      </c>
      <c r="N250" s="503">
        <v>0</v>
      </c>
      <c r="O250" s="153">
        <f>IF(OR(AE250="",AE251=""),"",ROUND(IF(L252&gt;0,IF(M250&gt;0,M250,IF(M251&gt;0,ROUND((M251*AE250)/AE251,IF(N250=0,2,IF(N250=0.1,1,0))),ROUND((M252*AE250)/AE252,IF(N250=0,2,IF(N250=0.1,1,0))))),IF(M250&gt;0,M250,ROUND((M251*AE250)/AE251,IF(N250=0,2,IF(N250=0.1,1,0))))),2))</f>
        <v>5.52</v>
      </c>
      <c r="P250" s="154">
        <f>IF(OR(L250="",O250=""),"",IF($C250="1/2W",O250/2+O250/2*L250,IF($C250="1/2L",O250/2,IF(I250="Lay",(O250*(L250/(L250-1))-O250)*(1-_xlfn.XLOOKUP(K250,'Fevereiro 2023 - Valor Real'!A3:A15,'Fevereiro 2023 - Valor Real'!C3:C15,0))+O250,(O250*L250-O250)*(1-_xlfn.XLOOKUP(K250,'Fevereiro 2023 - Valor Real'!A3:A15,'Fevereiro 2023 - Valor Real'!C3:C15,0))+O250))))</f>
        <v>13.799999999999999</v>
      </c>
      <c r="Q250" s="155">
        <f>IF(K250="","",IF(_xlfn.XLOOKUP(K250,K$9:K242,$DJ$9:DJ242,0,,-1)=DJ250,_xlfn.XLOOKUP(K250,K$9:K242,Q$9:Q242,1,,-1)+1,1))</f>
        <v>2</v>
      </c>
      <c r="R250" s="156">
        <f>IF(K250="","",_xlfn.XLOOKUP(K250,K$9:K242,R$9:R242,0,,-1)+IF($C250=" ",1,0))</f>
        <v>0</v>
      </c>
      <c r="S250" s="501">
        <f>IF($B250="Anulado",0,ROUND(IF(OR($B250="LOSS",$B250="OK"),IF(OR($C250="W",$C250="1/2W",$C250="1/2L"),P250-O250,IF($C250="L",-O250,0))+IF(OR($C251="W",$C251="1/2W",$C251="1/2L"),P251-O251,IF($C251="L",-O251,0))+IF(OR($C252="W",$C252="1/2W",$C252="1/2L"),P252-O252,IF($C252="L",-O252,0)),IF(AND(OR($C250="W",$C250="1/2W",$C250="1/2L"),C251="W"),P250+P251-SUM(O250:O252)+_xlfn.XLOOKUP("X",C250:C252,O250:O252,0),IF(AND(C250=TRUE,C252="W"),P250+P252-SUM(O250:O252),IF(AND(C251="W",C252="W"),P251+P252-SUM(O250:O252)+_xlfn.XLOOKUP("X",C250:C252,O250:O252,0),IF(L252&gt;0,IF(OR($C250="W",$C250="1/2W",$C250="1/2L"),P250-SUM(O250:O252)+_xlfn.XLOOKUP("X",C250:C252,O250:O252,0),IF(OR($C250="W",$C250="1/2W",$C250="1/2L"),P251-SUM(O250:O252)+_xlfn.XLOOKUP("X",C250:C252,O250:O252,0),IF(OR($C250="W",$C250="1/2W",$C250="1/2L"),P252-SUM(O250:O252)+_xlfn.XLOOKUP("X",C250:C252,O250:O252,0),IF(SUM(P250:P252)/3-SUM(O250:O252)+_xlfn.XLOOKUP("X",C250:C252,O250:O252,0)&gt;0,SUM(P250:P252)/3-SUM(O250:O252)+_xlfn.XLOOKUP("X",C250:C252,O250:O252,0),LARGE(P250:P252,1)-SUM(O250:O252))))),IF(OR($C250="W",$C250="1/2W",$C250="1/2L"),P250-SUM(O250:O251)+_xlfn.XLOOKUP("X",C250:C252,O250:O252,0),IF(OR($C250="W",$C250="1/2W",$C250="1/2L"),P251-SUM(O250:O251)+_xlfn.XLOOKUP("X",C250:C252,O250:O252,0),SUM(P250:P251)/2-SUM(O250:O251)+_xlfn.XLOOKUP("X",C250:C252,O250:O252,0)))))))),2))</f>
        <v>1.38</v>
      </c>
      <c r="T250" s="486">
        <f>IF(S250=0,0,S250/SUM(O250:O252))</f>
        <v>0.1111111111111111</v>
      </c>
      <c r="U250" s="496">
        <f>IF($D250=$D247,IF(OR($B250="LOSS",$B250="OK",$B250="Anulada"),S250,0)+U247,IF(OR($B250="LOSS",$B250="OK",$B250="Anulada"),S250,0))</f>
        <v>16.48</v>
      </c>
      <c r="V250" s="496">
        <f>IF($D250="",0,IF($D250=$D247,IF($B250=" ",IF(I252="",IF(OR(AND(I250="DNB1",I251="DNB2"),AND(OR(I250="DNB1",I250="DNB2"),J251=0),AND(OR(I251="DNB1",I251="DNB2"),J250=0),AND(I250="DNB2",I251="DNB1"),AND(IF(J250=0,(J250+1)/ROUND(J250+1,0),J250/ROUND(J250,0))=1,IF(J251=0,(J251+1)/ROUND(IF(J251="",0,J251)+1,0),IF(J251="",0,J251)/ROUND(IF(J251="",1,J251),0))=1,OR(J250&lt;&gt;""),J251&lt;&gt;"")),0,IF(S250&lt;0,IF(I252="",SMALL(P250:P251,1)-SUM(O250:O251),0),SMALL(P250:P251,1)-SUM(O250:O251))),IF(S250&lt;0,IF(I252="",SMALL(P250:P252,1)-SUM(O250:O252),0),LARGE(P250:P252,1)-SUM(O250:O252))),S250)+V247,IF(I252="",IF(OR(AND(I250="DNB1",I251="DNB2"),AND(OR(I250="DNB1",I250="DNB2"),J251=0),AND(OR(I251="DNB1",I251="DNB2"),J250=0),AND(I250="DNB2",I251="DNB1"),AND(IF(J250=0,(J250+1)/ROUND(J250+1,0),J250/ROUND(J250,0))=1,IF(J251=0,(IF(J251="",0,J251)+1)/ROUND(IF(J251="",0,J251)+1,0),IF(J251="",0,J251)/ROUND(IF(J251="",0,J251)+1,0))=1,OR(J250&lt;&gt;""),J251&lt;&gt;"")),0,IF(S250&lt;0,IF(I252="",SMALL(P250:P251,1)-SUM(O250:O251),0),SMALL(P250:P252,1)-SUM(O250:O252))),IF(S250&lt;0,IF(I252="",SMALL(P250:P252,1)-SUM(O250:O252),0),LARGE(P250:P252,1)-SUM(O250:O252)))))</f>
        <v>16.480799999999999</v>
      </c>
      <c r="W250" s="496">
        <f>IF($D250=$D247,IF(S250&lt;0,IF(I252="",S250,0),S250)+W247,S250)</f>
        <v>16.48</v>
      </c>
      <c r="X250" s="505" t="str">
        <f>IF(OR(SUM(R250:R252)=0,V250=W250),ROUND(IF(W250=0,0,W250/Y250)*100,2)&amp;"%",ROUND(IF(V250=0,0,V250/Y250)*100,2)&amp;"% a "&amp;ROUND(IF(W250=0,0,W250/Y250)*100,2)&amp;"%")</f>
        <v>5,65%</v>
      </c>
      <c r="Y250" s="497">
        <f>IF($D250=$D247,Y247+SUM(O250:O252),SUM(O250:O252))</f>
        <v>291.45</v>
      </c>
      <c r="Z250" s="496">
        <f>IF($B250=" ",SUM(O250:O252),0)+Z247</f>
        <v>0</v>
      </c>
      <c r="AA250" s="496">
        <f>IF(G250="","",IF($B250="Anulado",LARGE(P250:P252,1)-SUM(O250:O252)+AA247,AA247))</f>
        <v>1.4607999999999972</v>
      </c>
      <c r="AB250" s="496">
        <f>IF($D250="","",AB247+S250)</f>
        <v>413.9</v>
      </c>
      <c r="AC250" s="499">
        <f ca="1">IF($D250="","",IF($B250=" ",IF(DAY(G250)=DAY(TODAY()),1+AC247,0+AC247),0+AC247))</f>
        <v>0</v>
      </c>
      <c r="AD250" s="157">
        <f>(1-_xlfn.XLOOKUP(K248,'Fevereiro 2023 - Valor Real'!A3:A15,'Fevereiro 2023 - Valor Real'!C3:C15,0))+1</f>
        <v>2</v>
      </c>
      <c r="AE250" s="158">
        <f>IF(L250="","",IF(L252&gt;0,(SUM(((L250-1)*(1-_xlfn.XLOOKUP(K250,'Fevereiro 2023 - Valor Real'!A3:A15,'Fevereiro 2023 - Valor Real'!C3:C15,0))+1),((L251-1)*(1-_xlfn.XLOOKUP(K251,'Fevereiro 2023 - Valor Real'!A3:A15,'Fevereiro 2023 - Valor Real'!C3:C15,0))+1),((L252-1)*(1-_xlfn.XLOOKUP(K252,'Fevereiro 2023 - Valor Real'!A3:A15,'Fevereiro 2023 - Valor Real'!C3:C15,0))+1))/((L250-1)*(1-_xlfn.XLOOKUP(K250,'Fevereiro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Real'!C3:C15,0))+1))/((L250-1)*(1-_xlfn.XLOOKUP(K250,'Fevereiro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Real'!C3:C15,0))+1))/((L251-1)*(1-_xlfn.XLOOKUP(K251,'Fevereiro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Real'!C3:C15,0))+1))/((L252-1)*(1-_xlfn.XLOOKUP(K252,'Fevereiro 2023 - Valor Real'!A3:A15,'Fevereiro 2023 - Valor Real'!C3:C15,0))+1)),IF(I250="Lay",IF(I251="Lay",((L251/(L251-1)-1)*(1-_xlfn.XLOOKUP(K251,'Fevereiro 2023 - Valor Real'!A3:A15,'Fevereiro 2023 - Valor Real'!C3:C15,0))+1)/(((L251/(L251-1)-1)*(1-_xlfn.XLOOKUP(K251,'Fevereiro 2023 - Valor Real'!A3:A15,'Fevereiro 2023 - Valor Real'!C3:C15,0))+1)+((L250/(L250-1)-1)*(1-_xlfn.XLOOKUP(K250,'Fevereiro 2023 - Valor Real'!A3:A15,'Fevereiro 2023 - Valor Real'!C3:C15,0))+1)),((L251-1)*(1-_xlfn.XLOOKUP(K251,'Fevereiro 2023 - Valor Real'!A3:A15,'Fevereiro 2023 - Valor Real'!C3:C15,0))+1)/(((L251-1)*(1-_xlfn.XLOOKUP(K251,'Fevereiro 2023 - Valor Real'!A3:A15,'Fevereiro 2023 - Valor Real'!C3:C15,0))+1)+((L250/(L250-1)-1)*(1-_xlfn.XLOOKUP(K250,'Fevereiro 2023 - Valor Real'!A3:A15,'Fevereiro 2023 - Valor Real'!C3:C15,0))+1))),IF(I251="Lay",(((L251/(L251-1)-1)*(1-_xlfn.XLOOKUP(K251,'Fevereiro 2023 - Valor Real'!A3:A15,'Fevereiro 2023 - Valor Real'!C3:C15,0))+1))/(((L250-1)*(1-_xlfn.XLOOKUP(K250,'Fevereiro 2023 - Valor Real'!A3:A15,'Fevereiro 2023 - Valor Real'!C3:C15,0))+1)+((L251/(L251-1)-1)*(1-_xlfn.XLOOKUP(K251,'Fevereiro 2023 - Valor Real'!A3:A15,'Fevereiro 2023 - Valor Real'!C3:C15,0))+1)),((L251-1)*(1-_xlfn.XLOOKUP(K251,'Fevereiro 2023 - Valor Real'!A3:A15,'Fevereiro 2023 - Valor Real'!C3:C15,0))+1)/(((L251-1)*(1-_xlfn.XLOOKUP(K251,'Fevereiro 2023 - Valor Real'!A3:A15,'Fevereiro 2023 - Valor Real'!C3:C15,0))+1)+((L250-1)*(1-_xlfn.XLOOKUP(K250,'Fevereiro 2023 - Valor Real'!A3:A15,'Fevereiro 2023 - Valor Real'!C3:C15,0))+1))))))</f>
        <v>0.44444444444444442</v>
      </c>
      <c r="AF250" s="66">
        <f t="shared" si="488"/>
        <v>0</v>
      </c>
      <c r="AG250" s="67">
        <f t="shared" si="488"/>
        <v>0</v>
      </c>
      <c r="AH250" s="67">
        <f t="shared" si="488"/>
        <v>0</v>
      </c>
      <c r="AI250" s="67">
        <f t="shared" si="488"/>
        <v>8.2799999999999994</v>
      </c>
      <c r="AJ250" s="67">
        <f t="shared" si="488"/>
        <v>0</v>
      </c>
      <c r="AK250" s="67">
        <f t="shared" si="488"/>
        <v>0</v>
      </c>
      <c r="AL250" s="67">
        <f t="shared" si="488"/>
        <v>0</v>
      </c>
      <c r="AM250" s="67">
        <f t="shared" si="488"/>
        <v>0</v>
      </c>
      <c r="AN250" s="67">
        <f t="shared" si="488"/>
        <v>0</v>
      </c>
      <c r="AO250" s="67">
        <f t="shared" si="488"/>
        <v>0</v>
      </c>
      <c r="AP250" s="67">
        <f t="shared" si="488"/>
        <v>0</v>
      </c>
      <c r="AQ250" s="67">
        <f t="shared" si="488"/>
        <v>0</v>
      </c>
      <c r="AR250" s="68">
        <f t="shared" si="488"/>
        <v>0</v>
      </c>
      <c r="AS250" s="66">
        <f t="shared" ref="AS250:BE250" si="498">IF(AND($B250=" ",$K250=AS$3),$O250,0)</f>
        <v>0</v>
      </c>
      <c r="AT250" s="67">
        <f t="shared" si="498"/>
        <v>0</v>
      </c>
      <c r="AU250" s="67">
        <f t="shared" si="498"/>
        <v>0</v>
      </c>
      <c r="AV250" s="67">
        <f t="shared" si="498"/>
        <v>0</v>
      </c>
      <c r="AW250" s="67">
        <f t="shared" si="498"/>
        <v>0</v>
      </c>
      <c r="AX250" s="67">
        <f t="shared" si="498"/>
        <v>0</v>
      </c>
      <c r="AY250" s="69">
        <f t="shared" si="498"/>
        <v>0</v>
      </c>
      <c r="AZ250" s="70">
        <f t="shared" si="498"/>
        <v>0</v>
      </c>
      <c r="BA250" s="70">
        <f t="shared" si="498"/>
        <v>0</v>
      </c>
      <c r="BB250" s="70">
        <f t="shared" si="498"/>
        <v>0</v>
      </c>
      <c r="BC250" s="71">
        <f t="shared" si="498"/>
        <v>0</v>
      </c>
      <c r="BD250" s="67">
        <f t="shared" si="498"/>
        <v>0</v>
      </c>
      <c r="BE250" s="68">
        <f t="shared" si="498"/>
        <v>0</v>
      </c>
      <c r="BF250" s="66">
        <f t="shared" si="490"/>
        <v>0</v>
      </c>
      <c r="BG250" s="67">
        <f t="shared" si="490"/>
        <v>0</v>
      </c>
      <c r="BH250" s="67">
        <f t="shared" si="490"/>
        <v>0</v>
      </c>
      <c r="BI250" s="67">
        <f t="shared" si="490"/>
        <v>5.52</v>
      </c>
      <c r="BJ250" s="67">
        <f t="shared" si="490"/>
        <v>0</v>
      </c>
      <c r="BK250" s="67">
        <f t="shared" si="490"/>
        <v>0</v>
      </c>
      <c r="BL250" s="67">
        <f t="shared" si="490"/>
        <v>0</v>
      </c>
      <c r="BM250" s="69">
        <f t="shared" si="490"/>
        <v>0</v>
      </c>
      <c r="BN250" s="70">
        <f t="shared" si="490"/>
        <v>0</v>
      </c>
      <c r="BO250" s="70">
        <f t="shared" si="490"/>
        <v>0</v>
      </c>
      <c r="BP250" s="70">
        <f t="shared" si="490"/>
        <v>0</v>
      </c>
      <c r="BQ250" s="71">
        <f t="shared" si="490"/>
        <v>0</v>
      </c>
      <c r="BR250" s="68">
        <f t="shared" si="490"/>
        <v>0</v>
      </c>
      <c r="BS250" s="490">
        <f>IF($B250="LOSS",IF(AND($K250=BS$3,$C250="L"),-$O250,0)+IF(AND($K251=BS$3,$C251="L"),-$O251,0)+IF(AND($K252=BS$3,$C252="L"),-$O252,0),IF(OR(AND($K250=BS$3,OR($C250="W",$C250="1/2W")),AND($K251=BS$3,OR($C251="W",$C251="1/2W")),AND($K252=BS$3,OR($C252="W",$C252="1/2W"))),$S250,0))</f>
        <v>0</v>
      </c>
      <c r="BT250" s="498">
        <f>IF($B250="LOSS",IF(AND($K250=BT$3,$C250="L"),-$O250,0)+IF(AND($K251=BT$3,$C251="L"),-$O251,0)+IF(AND($K251=BT$3,$C252="L"),-$O252,0),IF(OR(AND($K251=BT$3,OR($C250="W",$C250="1/2W")),AND($K251=BT$3,OR($C251="W",$C251="1/2W")),AND($K251=BT$3,OR($C252="W",$C252="1/2W"))),$S250,0))</f>
        <v>0</v>
      </c>
      <c r="BU250" s="488">
        <f>IF($B250="LOSS",IF(AND($K250=BU$3,$C250="L"),-$O250,0)+IF(AND($K251=BU$3,$C251="L"),-$O251,0)+IF(AND($K251=BU$3,$C252="L"),-$O252,0),IF(OR(AND($K251=BU$3,OR($C250="W",$C250="1/2W")),AND($K251=BU$3,OR($C251="W",$C251="1/2W")),AND($K251=BU$3,OR($C252="W",$C252="1/2W"))),$S250,0))</f>
        <v>0</v>
      </c>
      <c r="BV250" s="488">
        <f t="shared" ref="BV250:CE250" si="499">IF($B250="LOSS",IF(AND($K250=BV$3,$C250="L"),-$O250,0)+IF(AND($K251=BV$3,$C251="L"),-$O251,0)+IF(AND($K252=BV$3,$C252="L"),-$O252,0),IF(OR(AND($K250=BV$3,OR($C250="W",$C250="1/2W")),AND($K251=BV$3,OR($C251="W",$C251="1/2W")),AND($K252=BV$3,OR($C252="W",$C252="1/2W"))),$S250,0))</f>
        <v>1.38</v>
      </c>
      <c r="BW250" s="488">
        <f t="shared" si="499"/>
        <v>0</v>
      </c>
      <c r="BX250" s="488">
        <f t="shared" si="499"/>
        <v>0</v>
      </c>
      <c r="BY250" s="488">
        <f t="shared" si="499"/>
        <v>0</v>
      </c>
      <c r="BZ250" s="488">
        <f t="shared" si="499"/>
        <v>0</v>
      </c>
      <c r="CA250" s="488">
        <f t="shared" si="499"/>
        <v>0</v>
      </c>
      <c r="CB250" s="488">
        <f t="shared" si="499"/>
        <v>0</v>
      </c>
      <c r="CC250" s="488">
        <f t="shared" si="499"/>
        <v>0</v>
      </c>
      <c r="CD250" s="500">
        <f t="shared" si="499"/>
        <v>0</v>
      </c>
      <c r="CE250" s="504">
        <f t="shared" si="499"/>
        <v>0</v>
      </c>
      <c r="CF250" s="160">
        <f t="shared" si="388"/>
        <v>0</v>
      </c>
      <c r="CG250" s="161">
        <f t="shared" si="389"/>
        <v>0</v>
      </c>
      <c r="CH250" s="161">
        <f t="shared" si="390"/>
        <v>0</v>
      </c>
      <c r="CI250" s="161">
        <f t="shared" si="391"/>
        <v>0</v>
      </c>
      <c r="CJ250" s="161">
        <f t="shared" si="392"/>
        <v>0</v>
      </c>
      <c r="CK250" s="161">
        <f t="shared" si="393"/>
        <v>0</v>
      </c>
      <c r="CL250" s="161">
        <f t="shared" si="394"/>
        <v>1</v>
      </c>
      <c r="CM250" s="161">
        <f t="shared" si="395"/>
        <v>0</v>
      </c>
      <c r="CN250" s="161">
        <f t="shared" si="396"/>
        <v>0</v>
      </c>
      <c r="CO250" s="161">
        <f t="shared" si="397"/>
        <v>0</v>
      </c>
      <c r="CP250" s="161">
        <f t="shared" si="398"/>
        <v>0</v>
      </c>
      <c r="CQ250" s="161">
        <f t="shared" si="399"/>
        <v>0</v>
      </c>
      <c r="CR250" s="161">
        <f t="shared" si="400"/>
        <v>0</v>
      </c>
      <c r="CS250" s="161">
        <f t="shared" si="401"/>
        <v>0</v>
      </c>
      <c r="CT250" s="75">
        <f t="shared" si="402"/>
        <v>0</v>
      </c>
      <c r="CU250" s="76">
        <f t="shared" si="403"/>
        <v>0</v>
      </c>
      <c r="CV250" s="76">
        <f t="shared" si="404"/>
        <v>0</v>
      </c>
      <c r="CW250" s="76">
        <f t="shared" si="405"/>
        <v>0</v>
      </c>
      <c r="CX250" s="76">
        <f t="shared" si="406"/>
        <v>0</v>
      </c>
      <c r="CY250" s="76">
        <f t="shared" si="407"/>
        <v>0</v>
      </c>
      <c r="CZ250" s="76">
        <f t="shared" si="408"/>
        <v>0</v>
      </c>
      <c r="DA250" s="76">
        <f t="shared" si="409"/>
        <v>0</v>
      </c>
      <c r="DB250" s="76">
        <f t="shared" si="410"/>
        <v>0</v>
      </c>
      <c r="DC250" s="76">
        <f t="shared" si="411"/>
        <v>0</v>
      </c>
      <c r="DD250" s="76">
        <f t="shared" si="412"/>
        <v>0</v>
      </c>
      <c r="DE250" s="77">
        <f t="shared" si="413"/>
        <v>0</v>
      </c>
      <c r="DF250" s="73">
        <f t="shared" si="415"/>
        <v>15</v>
      </c>
      <c r="DG250" s="67">
        <f t="shared" si="416"/>
        <v>19.170000000000002</v>
      </c>
      <c r="DH250" s="76">
        <f t="shared" si="417"/>
        <v>8</v>
      </c>
      <c r="DI250" s="67">
        <f t="shared" si="418"/>
        <v>33.049999999999997</v>
      </c>
      <c r="DJ250" s="202" t="str">
        <f>IF($D250="","",$D250)</f>
        <v>7</v>
      </c>
      <c r="DK250" s="492">
        <f>IF(AND($B250=" ",$D250&lt;&gt;""),1,0)</f>
        <v>0</v>
      </c>
    </row>
    <row r="251" spans="1:115" ht="14.5" customHeight="1" x14ac:dyDescent="0.2">
      <c r="A251" s="389"/>
      <c r="B251" s="456"/>
      <c r="C251" s="53" t="s">
        <v>55</v>
      </c>
      <c r="D251" s="374"/>
      <c r="E251" s="386"/>
      <c r="F251" s="377"/>
      <c r="G251" s="508"/>
      <c r="H251" s="476"/>
      <c r="I251" s="182" t="s">
        <v>52</v>
      </c>
      <c r="J251" s="56">
        <f>IF(OR(I250="TO",I250="TU",I250="TO1",I250="TU1",I250="TO2",I250="TU2"),J250,IF(OR(I250="AH1",I250="AH2"),IF(OR(I251="AH1",I251="AH2"),-J250,IF(OR(I251="EH1",I251="EH2"),-J250+0.5,"")),IF(OR(I250="EH1",I250="EH2"),IF(OR(I251="AH1",I251="AH2"),-J250+0.5,IF(OR(I251="EH1",I251="EH2"),-J250+1,"")),IF(AND(OR(I250="DNB1",I250="DNB2"),OR(I251="AH1",I251="AH2")),0,IF(AND(I250="Not ScoreBoth",OR(I251="TO1",I251="TO2")),0.5,"")))))</f>
        <v>11.5</v>
      </c>
      <c r="K251" s="57" t="s">
        <v>36</v>
      </c>
      <c r="L251" s="164">
        <v>2</v>
      </c>
      <c r="M251" s="165"/>
      <c r="N251" s="406"/>
      <c r="O251" s="60">
        <f>IF(OR(AE250="",AE251=""),"",ROUND(IF(L252&gt;0,IF(M251&gt;0,M251,IF(M250&gt;0,IF(N250=TRUE,ROUND((M250*AE251)/AE250,0),(M250*AE251)/AE250),IF(M251&gt;0,ROUND(M251,IF(N250=0,2,IF(N250=0.1,1,0))),IF(M252&gt;0,ROUND(O252*AE251/AE252,IF(N250=0,2,IF(N250=0.1,1,0))),0)))),IF(M251&gt;0,M251,ROUND((M250*AE251)/AE250,IF(N250=0,2,IF(N250=0.1,1,0))))),2))</f>
        <v>6.9</v>
      </c>
      <c r="P251" s="61">
        <f>IF(OR(L251="",O251=""),"",IF($C251="1/2W",O251/2+O251/2*L251,IF($C251="1/2L",O251/2,IF(I251="Lay",((O251*(L251/(L251-1)))-O251)*(1-_xlfn.XLOOKUP(K251,'Fevereiro 2023 - Valor Real'!A3:A15,'Fevereiro 2023 - Valor Real'!C3:C15,0))+O251,(O251*L251-O251)*(1-_xlfn.XLOOKUP(K251,'Fevereiro 2023 - Valor Real'!A3:A15,'Fevereiro 2023 - Valor Real'!C3:C15,0))+O251))))</f>
        <v>13.8</v>
      </c>
      <c r="Q251" s="166">
        <f>IF(K251="","",IF(_xlfn.XLOOKUP(K251,K$10:K242,$DJ$10:DJ242,0,,-1)=DJ251,_xlfn.XLOOKUP(K251,K$10:K242,Q$10:Q242,1,,-1)+1,1))</f>
        <v>2</v>
      </c>
      <c r="R251" s="167">
        <f>IF(K251="","",_xlfn.XLOOKUP(K251,K$10:K242,R$10:R242,0,,-1)+IF($C251=" ",1,0))</f>
        <v>0</v>
      </c>
      <c r="S251" s="403"/>
      <c r="T251" s="380"/>
      <c r="U251" s="380"/>
      <c r="V251" s="481"/>
      <c r="W251" s="380"/>
      <c r="X251" s="452"/>
      <c r="Y251" s="383"/>
      <c r="Z251" s="384"/>
      <c r="AA251" s="384"/>
      <c r="AB251" s="384"/>
      <c r="AC251" s="384"/>
      <c r="AD251" s="64"/>
      <c r="AE251" s="65">
        <f>IF(L251="","",IF(L252&gt;0,(SUM(((L250-1)*(1-_xlfn.XLOOKUP(K250,'Fevereiro 2023 - Valor Real'!A3:A15,'Fevereiro 2023 - Valor Real'!C3:C15,0))+1),((L251-1)*(1-_xlfn.XLOOKUP(K251,'Fevereiro 2023 - Valor Real'!A3:A15,'Fevereiro 2023 - Valor Real'!C3:C15,0))+1),((L252-1)*(1-_xlfn.XLOOKUP(K252,'Fevereiro 2023 - Valor Real'!A3:A15,'Fevereiro 2023 - Valor Real'!C3:C15,0))+1))/((L251-1)*(1-_xlfn.XLOOKUP(K251,'Fevereiro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Real'!C3:C15,0))+1))/((L250-1)*(1-_xlfn.XLOOKUP(K250,'Fevereiro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Real'!C3:C15,0))+1))/((L251-1)*(1-_xlfn.XLOOKUP(K251,'Fevereiro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Real'!C3:C15,0))+1))/((L252-1)*(1-_xlfn.XLOOKUP(K252,'Fevereiro 2023 - Valor Real'!A3:A15,'Fevereiro 2023 - Valor Real'!C3:C15,0))+1)),IF(I251="Lay",IF(I250="Lay",((L250/(L250-1)-1)*(1-_xlfn.XLOOKUP(K250,'Fevereiro 2023 - Valor Real'!A3:A15,'Fevereiro 2023 - Valor Real'!C3:C15,0))+1)/(((L250/(L250-1)-1)*(1-_xlfn.XLOOKUP(K250,'Fevereiro 2023 - Valor Real'!A3:A15,'Fevereiro 2023 - Valor Real'!C3:C15,0))+1)+((L251/(L251-1)-1)*(1-_xlfn.XLOOKUP(K251,'Fevereiro 2023 - Valor Real'!A3:A15,'Fevereiro 2023 - Valor Real'!C3:C15,0))+1)),((L250-1)*(1-_xlfn.XLOOKUP(K250,'Fevereiro 2023 - Valor Real'!A3:A15,'Fevereiro 2023 - Valor Real'!C3:C15,0))+1)/(((L250-1)*(1-_xlfn.XLOOKUP(K250,'Fevereiro 2023 - Valor Real'!A3:A15,'Fevereiro 2023 - Valor Real'!C3:C15,0))+1)+((L251/(L251-1)-1)*(1-_xlfn.XLOOKUP(K251,'Fevereiro 2023 - Valor Real'!A3:A15,'Fevereiro 2023 - Valor Real'!C3:C15,0))+1))),IF(I250="Lay",((L250/(L250-1)-1)*(1-_xlfn.XLOOKUP(K250,'Fevereiro 2023 - Valor Real'!A3:A15,'Fevereiro 2023 - Valor Real'!C3:C15,0))+1)/((((L250/(L250-1)-1)*(1-_xlfn.XLOOKUP(K250,'Fevereiro 2023 - Valor Real'!A3:A15,'Fevereiro 2023 - Valor Real'!C3:C15,0))+1))+((L251-1)*(1-_xlfn.XLOOKUP(K251,'Fevereiro 2023 - Valor Real'!A3:A15,'Fevereiro 2023 - Valor Real'!C3:C15,0))+1)),((L250-1)*(1-_xlfn.XLOOKUP(K250,'Fevereiro 2023 - Valor Real'!A3:A15,'Fevereiro 2023 - Valor Real'!C3:C15,0))+1)/(((L250-1)*(1-_xlfn.XLOOKUP(K250,'Fevereiro 2023 - Valor Real'!A3:A15,'Fevereiro 2023 - Valor Real'!C3:C15,0))+1)+((L251-1)*(1-_xlfn.XLOOKUP(K251,'Fevereiro 2023 - Valor Real'!A3:A15,'Fevereiro 2023 - Valor Real'!C3:C15,0))+1))))))</f>
        <v>0.55555555555555558</v>
      </c>
      <c r="AF251" s="66">
        <f t="shared" si="488"/>
        <v>-6.9</v>
      </c>
      <c r="AG251" s="67">
        <f t="shared" si="488"/>
        <v>0</v>
      </c>
      <c r="AH251" s="67">
        <f t="shared" si="488"/>
        <v>0</v>
      </c>
      <c r="AI251" s="67">
        <f t="shared" si="488"/>
        <v>0</v>
      </c>
      <c r="AJ251" s="67">
        <f t="shared" si="488"/>
        <v>0</v>
      </c>
      <c r="AK251" s="67">
        <f t="shared" si="488"/>
        <v>0</v>
      </c>
      <c r="AL251" s="67">
        <f t="shared" si="488"/>
        <v>0</v>
      </c>
      <c r="AM251" s="67">
        <f t="shared" si="488"/>
        <v>0</v>
      </c>
      <c r="AN251" s="67">
        <f t="shared" si="488"/>
        <v>0</v>
      </c>
      <c r="AO251" s="67">
        <f t="shared" si="488"/>
        <v>0</v>
      </c>
      <c r="AP251" s="67">
        <f t="shared" si="488"/>
        <v>0</v>
      </c>
      <c r="AQ251" s="67">
        <f t="shared" si="488"/>
        <v>0</v>
      </c>
      <c r="AR251" s="68">
        <f t="shared" si="488"/>
        <v>0</v>
      </c>
      <c r="AS251" s="66">
        <f>IF(AND($B250=" ",$K251=AS$3),$O251,0)</f>
        <v>0</v>
      </c>
      <c r="AT251" s="67">
        <f>IF(AND($B250=" ",K251=AT$3),$O251,0)</f>
        <v>0</v>
      </c>
      <c r="AU251" s="67">
        <f t="shared" ref="AU251:BE251" si="500">IF(AND($B250=" ",$K251=AU$3),$O251,0)</f>
        <v>0</v>
      </c>
      <c r="AV251" s="67">
        <f t="shared" si="500"/>
        <v>0</v>
      </c>
      <c r="AW251" s="67">
        <f t="shared" si="500"/>
        <v>0</v>
      </c>
      <c r="AX251" s="67">
        <f t="shared" si="500"/>
        <v>0</v>
      </c>
      <c r="AY251" s="69">
        <f t="shared" si="500"/>
        <v>0</v>
      </c>
      <c r="AZ251" s="70">
        <f t="shared" si="500"/>
        <v>0</v>
      </c>
      <c r="BA251" s="70">
        <f t="shared" si="500"/>
        <v>0</v>
      </c>
      <c r="BB251" s="70">
        <f t="shared" si="500"/>
        <v>0</v>
      </c>
      <c r="BC251" s="71">
        <f t="shared" si="500"/>
        <v>0</v>
      </c>
      <c r="BD251" s="67">
        <f t="shared" si="500"/>
        <v>0</v>
      </c>
      <c r="BE251" s="68">
        <f t="shared" si="500"/>
        <v>0</v>
      </c>
      <c r="BF251" s="66">
        <f t="shared" si="490"/>
        <v>6.9</v>
      </c>
      <c r="BG251" s="168">
        <f t="shared" si="490"/>
        <v>0</v>
      </c>
      <c r="BH251" s="67">
        <f t="shared" si="490"/>
        <v>0</v>
      </c>
      <c r="BI251" s="67">
        <f t="shared" si="490"/>
        <v>0</v>
      </c>
      <c r="BJ251" s="67">
        <f t="shared" si="490"/>
        <v>0</v>
      </c>
      <c r="BK251" s="67">
        <f t="shared" si="490"/>
        <v>0</v>
      </c>
      <c r="BL251" s="67">
        <f t="shared" si="490"/>
        <v>0</v>
      </c>
      <c r="BM251" s="69">
        <f t="shared" si="490"/>
        <v>0</v>
      </c>
      <c r="BN251" s="70">
        <f t="shared" si="490"/>
        <v>0</v>
      </c>
      <c r="BO251" s="70">
        <f t="shared" si="490"/>
        <v>0</v>
      </c>
      <c r="BP251" s="70">
        <f t="shared" si="490"/>
        <v>0</v>
      </c>
      <c r="BQ251" s="71">
        <f t="shared" si="490"/>
        <v>0</v>
      </c>
      <c r="BR251" s="68">
        <f t="shared" si="490"/>
        <v>0</v>
      </c>
      <c r="BS251" s="491"/>
      <c r="BT251" s="489"/>
      <c r="BU251" s="392"/>
      <c r="BV251" s="489"/>
      <c r="BW251" s="392"/>
      <c r="BX251" s="392"/>
      <c r="BY251" s="392"/>
      <c r="BZ251" s="489"/>
      <c r="CA251" s="392"/>
      <c r="CB251" s="392"/>
      <c r="CC251" s="392"/>
      <c r="CD251" s="401"/>
      <c r="CE251" s="409"/>
      <c r="CF251" s="169">
        <f t="shared" si="388"/>
        <v>0</v>
      </c>
      <c r="CG251" s="170">
        <f t="shared" si="389"/>
        <v>1</v>
      </c>
      <c r="CH251" s="170">
        <f t="shared" si="390"/>
        <v>0</v>
      </c>
      <c r="CI251" s="170">
        <f t="shared" si="391"/>
        <v>0</v>
      </c>
      <c r="CJ251" s="170">
        <f t="shared" si="392"/>
        <v>0</v>
      </c>
      <c r="CK251" s="170">
        <f t="shared" si="393"/>
        <v>0</v>
      </c>
      <c r="CL251" s="170">
        <f t="shared" si="394"/>
        <v>0</v>
      </c>
      <c r="CM251" s="170">
        <f t="shared" si="395"/>
        <v>0</v>
      </c>
      <c r="CN251" s="170">
        <f t="shared" si="396"/>
        <v>0</v>
      </c>
      <c r="CO251" s="170">
        <f t="shared" si="397"/>
        <v>0</v>
      </c>
      <c r="CP251" s="170">
        <f t="shared" si="398"/>
        <v>0</v>
      </c>
      <c r="CQ251" s="170">
        <f t="shared" si="399"/>
        <v>0</v>
      </c>
      <c r="CR251" s="170">
        <f t="shared" si="400"/>
        <v>0</v>
      </c>
      <c r="CS251" s="170">
        <f t="shared" si="401"/>
        <v>0</v>
      </c>
      <c r="CT251" s="75">
        <f t="shared" si="402"/>
        <v>0</v>
      </c>
      <c r="CU251" s="76">
        <f t="shared" si="403"/>
        <v>0</v>
      </c>
      <c r="CV251" s="76">
        <f t="shared" si="404"/>
        <v>0</v>
      </c>
      <c r="CW251" s="76">
        <f t="shared" si="405"/>
        <v>0</v>
      </c>
      <c r="CX251" s="76">
        <f t="shared" si="406"/>
        <v>0</v>
      </c>
      <c r="CY251" s="76">
        <f t="shared" si="407"/>
        <v>0</v>
      </c>
      <c r="CZ251" s="76">
        <f t="shared" si="408"/>
        <v>0</v>
      </c>
      <c r="DA251" s="76">
        <f t="shared" si="409"/>
        <v>0</v>
      </c>
      <c r="DB251" s="76">
        <f t="shared" si="410"/>
        <v>0</v>
      </c>
      <c r="DC251" s="76">
        <f t="shared" si="411"/>
        <v>0</v>
      </c>
      <c r="DD251" s="76">
        <f t="shared" si="412"/>
        <v>0</v>
      </c>
      <c r="DE251" s="77">
        <f t="shared" si="413"/>
        <v>0</v>
      </c>
      <c r="DF251" s="73">
        <f t="shared" si="415"/>
        <v>15</v>
      </c>
      <c r="DG251" s="67">
        <f t="shared" si="416"/>
        <v>19.170000000000002</v>
      </c>
      <c r="DH251" s="76">
        <f t="shared" si="417"/>
        <v>8</v>
      </c>
      <c r="DI251" s="67">
        <f t="shared" si="418"/>
        <v>33.049999999999997</v>
      </c>
      <c r="DJ251" s="202" t="str">
        <f>IF($D250="","",$D250)</f>
        <v>7</v>
      </c>
      <c r="DK251" s="493"/>
    </row>
    <row r="252" spans="1:115" ht="14.5" customHeight="1" x14ac:dyDescent="0.2">
      <c r="A252" s="390"/>
      <c r="B252" s="457"/>
      <c r="C252" s="79" t="s">
        <v>53</v>
      </c>
      <c r="D252" s="375"/>
      <c r="E252" s="387"/>
      <c r="F252" s="378"/>
      <c r="G252" s="508"/>
      <c r="H252" s="477"/>
      <c r="I252" s="171"/>
      <c r="J252" s="172"/>
      <c r="K252" s="81"/>
      <c r="L252" s="173"/>
      <c r="M252" s="174"/>
      <c r="N252" s="407"/>
      <c r="O252" s="86" t="str">
        <f>IF(OR(AE250="",AE251=""),"",IF(L252&gt;0,ROUND(IF(M252&gt;0,M252,IF(M250&gt;0,ROUND((M250*AE252)/AE250,IF(N250=0,2,IF(N250=0.1,1,0))),IF(M251&gt;0,ROUND((M251*AE252)/AE251,IF(N250=0,2,IF(N250=0.1,1,0))),IF(M252&gt;0,M252,0)))),2),""))</f>
        <v/>
      </c>
      <c r="P252" s="87" t="str">
        <f>IF(I251="Lay",O251*(L251/(L251-1))-O251,IF(I250="Lay",O250*(L250/(L250-1))-O250,IF(OR(L252="",O252=""),"",IF($C252="1/2W",O252/2+O252/2*L252,IF($C252="1/2L",O252/2,(O252*L252-O252)*(1-_xlfn.XLOOKUP(K252,'Fevereiro 2023 - Valor Real'!A3:A15,'Fevereiro 2023 - Valor Real'!C3:C15,0))+O252)))))</f>
        <v/>
      </c>
      <c r="Q252" s="54" t="str">
        <f>IF(K252="","",IF(_xlfn.XLOOKUP(K252,K$11:K242,$DJ$11:DJ242,0,,-1)=DJ252,_xlfn.XLOOKUP(K252,K$11:K242,Q$11:Q242,1,,-1)+1,1))</f>
        <v/>
      </c>
      <c r="R252" s="87" t="str">
        <f>IF(K252="","",_xlfn.XLOOKUP(K252,K$11:K242,R$11:R242,0,,-1)+IF($C252=" ",1,0))</f>
        <v/>
      </c>
      <c r="S252" s="404"/>
      <c r="T252" s="378"/>
      <c r="U252" s="378"/>
      <c r="V252" s="404"/>
      <c r="W252" s="378"/>
      <c r="X252" s="453"/>
      <c r="Y252" s="383"/>
      <c r="Z252" s="384"/>
      <c r="AA252" s="384"/>
      <c r="AB252" s="384"/>
      <c r="AC252" s="384"/>
      <c r="AD252" s="90"/>
      <c r="AE252" s="91" t="str">
        <f>IF(L252="","",(SUM(((L250-1)*(1-_xlfn.XLOOKUP(K250,'Fevereiro 2023 - Valor Real'!A3:A15,'Fevereiro 2023 - Valor Real'!C3:C15,0))+1),((L251-1)*(1-_xlfn.XLOOKUP(K251,'Fevereiro 2023 - Valor Real'!A3:A15,'Fevereiro 2023 - Valor Real'!C3:C15,0))+1),((L252-1)*(1-_xlfn.XLOOKUP(K252,'Fevereiro 2023 - Valor Real'!A3:A15,'Fevereiro 2023 - Valor Real'!C3:C15,0))+1))/((L252-1)*(1-_xlfn.XLOOKUP(K252,'Fevereiro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Real'!C3:C15,0))+1))/((L250-1)*(1-_xlfn.XLOOKUP(K250,'Fevereiro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Real'!C3:C15,0))+1))/((L251-1)*(1-_xlfn.XLOOKUP(K251,'Fevereiro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Real'!C3:C15,0))+1))/((L252-1)*(1-_xlfn.XLOOKUP(K252,'Fevereiro 2023 - Valor Real'!A3:A15,'Fevereiro 2023 - Valor Real'!C3:C15,0))+1)))</f>
        <v/>
      </c>
      <c r="AF252" s="66">
        <f t="shared" si="488"/>
        <v>0</v>
      </c>
      <c r="AG252" s="67">
        <f t="shared" si="488"/>
        <v>0</v>
      </c>
      <c r="AH252" s="67">
        <f t="shared" si="488"/>
        <v>0</v>
      </c>
      <c r="AI252" s="67">
        <f t="shared" si="488"/>
        <v>0</v>
      </c>
      <c r="AJ252" s="67">
        <f t="shared" si="488"/>
        <v>0</v>
      </c>
      <c r="AK252" s="67">
        <f t="shared" si="488"/>
        <v>0</v>
      </c>
      <c r="AL252" s="67">
        <f t="shared" si="488"/>
        <v>0</v>
      </c>
      <c r="AM252" s="67">
        <f t="shared" si="488"/>
        <v>0</v>
      </c>
      <c r="AN252" s="67">
        <f t="shared" si="488"/>
        <v>0</v>
      </c>
      <c r="AO252" s="67">
        <f t="shared" si="488"/>
        <v>0</v>
      </c>
      <c r="AP252" s="67">
        <f t="shared" si="488"/>
        <v>0</v>
      </c>
      <c r="AQ252" s="67">
        <f t="shared" si="488"/>
        <v>0</v>
      </c>
      <c r="AR252" s="68">
        <f t="shared" si="488"/>
        <v>0</v>
      </c>
      <c r="AS252" s="66">
        <f>IF(AND($B250=" ",$K252=AS$3),$O252,0)</f>
        <v>0</v>
      </c>
      <c r="AT252" s="67">
        <f>IF(AND($B250=" ",K252=AT$3),$O252,0)</f>
        <v>0</v>
      </c>
      <c r="AU252" s="67">
        <f t="shared" ref="AU252:BE252" si="501">IF(AND($B250=" ",$K252=AU$3),$O252,0)</f>
        <v>0</v>
      </c>
      <c r="AV252" s="67">
        <f t="shared" si="501"/>
        <v>0</v>
      </c>
      <c r="AW252" s="67">
        <f t="shared" si="501"/>
        <v>0</v>
      </c>
      <c r="AX252" s="67">
        <f t="shared" si="501"/>
        <v>0</v>
      </c>
      <c r="AY252" s="69">
        <f t="shared" si="501"/>
        <v>0</v>
      </c>
      <c r="AZ252" s="70">
        <f t="shared" si="501"/>
        <v>0</v>
      </c>
      <c r="BA252" s="70">
        <f t="shared" si="501"/>
        <v>0</v>
      </c>
      <c r="BB252" s="70">
        <f t="shared" si="501"/>
        <v>0</v>
      </c>
      <c r="BC252" s="71">
        <f t="shared" si="501"/>
        <v>0</v>
      </c>
      <c r="BD252" s="67">
        <f t="shared" si="501"/>
        <v>0</v>
      </c>
      <c r="BE252" s="68">
        <f t="shared" si="501"/>
        <v>0</v>
      </c>
      <c r="BF252" s="66">
        <f t="shared" si="490"/>
        <v>0</v>
      </c>
      <c r="BG252" s="168">
        <f t="shared" si="490"/>
        <v>0</v>
      </c>
      <c r="BH252" s="67">
        <f t="shared" si="490"/>
        <v>0</v>
      </c>
      <c r="BI252" s="67">
        <f t="shared" si="490"/>
        <v>0</v>
      </c>
      <c r="BJ252" s="67">
        <f t="shared" si="490"/>
        <v>0</v>
      </c>
      <c r="BK252" s="67">
        <f t="shared" si="490"/>
        <v>0</v>
      </c>
      <c r="BL252" s="67">
        <f t="shared" si="490"/>
        <v>0</v>
      </c>
      <c r="BM252" s="69">
        <f t="shared" si="490"/>
        <v>0</v>
      </c>
      <c r="BN252" s="70">
        <f t="shared" si="490"/>
        <v>0</v>
      </c>
      <c r="BO252" s="70">
        <f t="shared" si="490"/>
        <v>0</v>
      </c>
      <c r="BP252" s="70">
        <f t="shared" si="490"/>
        <v>0</v>
      </c>
      <c r="BQ252" s="71">
        <f t="shared" si="490"/>
        <v>0</v>
      </c>
      <c r="BR252" s="68">
        <f t="shared" si="490"/>
        <v>0</v>
      </c>
      <c r="BS252" s="491"/>
      <c r="BT252" s="489"/>
      <c r="BU252" s="392"/>
      <c r="BV252" s="489"/>
      <c r="BW252" s="392"/>
      <c r="BX252" s="392"/>
      <c r="BY252" s="392"/>
      <c r="BZ252" s="489"/>
      <c r="CA252" s="392"/>
      <c r="CB252" s="392"/>
      <c r="CC252" s="392"/>
      <c r="CD252" s="401"/>
      <c r="CE252" s="409"/>
      <c r="CF252" s="169">
        <f t="shared" si="388"/>
        <v>0</v>
      </c>
      <c r="CG252" s="170">
        <f t="shared" si="389"/>
        <v>0</v>
      </c>
      <c r="CH252" s="170">
        <f t="shared" si="390"/>
        <v>0</v>
      </c>
      <c r="CI252" s="170">
        <f t="shared" si="391"/>
        <v>0</v>
      </c>
      <c r="CJ252" s="170">
        <f t="shared" si="392"/>
        <v>0</v>
      </c>
      <c r="CK252" s="170">
        <f t="shared" si="393"/>
        <v>0</v>
      </c>
      <c r="CL252" s="170">
        <f t="shared" si="394"/>
        <v>0</v>
      </c>
      <c r="CM252" s="170">
        <f t="shared" si="395"/>
        <v>0</v>
      </c>
      <c r="CN252" s="170">
        <f t="shared" si="396"/>
        <v>0</v>
      </c>
      <c r="CO252" s="170">
        <f t="shared" si="397"/>
        <v>0</v>
      </c>
      <c r="CP252" s="170">
        <f t="shared" si="398"/>
        <v>0</v>
      </c>
      <c r="CQ252" s="170">
        <f t="shared" si="399"/>
        <v>0</v>
      </c>
      <c r="CR252" s="170">
        <f t="shared" si="400"/>
        <v>0</v>
      </c>
      <c r="CS252" s="170">
        <f t="shared" si="401"/>
        <v>0</v>
      </c>
      <c r="CT252" s="75">
        <f t="shared" si="402"/>
        <v>0</v>
      </c>
      <c r="CU252" s="76">
        <f t="shared" si="403"/>
        <v>0</v>
      </c>
      <c r="CV252" s="76">
        <f t="shared" si="404"/>
        <v>0</v>
      </c>
      <c r="CW252" s="76">
        <f t="shared" si="405"/>
        <v>0</v>
      </c>
      <c r="CX252" s="76">
        <f t="shared" si="406"/>
        <v>0</v>
      </c>
      <c r="CY252" s="76">
        <f t="shared" si="407"/>
        <v>0</v>
      </c>
      <c r="CZ252" s="76">
        <f t="shared" si="408"/>
        <v>0</v>
      </c>
      <c r="DA252" s="76">
        <f t="shared" si="409"/>
        <v>0</v>
      </c>
      <c r="DB252" s="76">
        <f t="shared" si="410"/>
        <v>0</v>
      </c>
      <c r="DC252" s="76">
        <f t="shared" si="411"/>
        <v>0</v>
      </c>
      <c r="DD252" s="76">
        <f t="shared" si="412"/>
        <v>0</v>
      </c>
      <c r="DE252" s="77">
        <f t="shared" si="413"/>
        <v>0</v>
      </c>
      <c r="DF252" s="73">
        <f t="shared" si="415"/>
        <v>15</v>
      </c>
      <c r="DG252" s="67">
        <f t="shared" si="416"/>
        <v>19.170000000000002</v>
      </c>
      <c r="DH252" s="76">
        <f t="shared" si="417"/>
        <v>8</v>
      </c>
      <c r="DI252" s="67">
        <f t="shared" si="418"/>
        <v>33.049999999999997</v>
      </c>
      <c r="DJ252" s="202" t="str">
        <f>IF($D250="","",$D250)</f>
        <v>7</v>
      </c>
      <c r="DK252" s="493"/>
    </row>
    <row r="253" spans="1:115" ht="14.5" customHeight="1" x14ac:dyDescent="0.2">
      <c r="A253" s="459">
        <f>$A250+1</f>
        <v>84</v>
      </c>
      <c r="B253" s="507" t="str">
        <f>IF(OR(C253="W",C254="W",C255="W",C253="1/2W",C254="1/2W",C255="1/2W",C253="1/2L",C254="1/2L",C255="1/2L"),"OK",IF(OR(C253="L",C254="L",C255="L"),"LOSS",IF(OR(C253="X",C254="X",C255="X"),"Anulado"," ")))</f>
        <v>OK</v>
      </c>
      <c r="C253" s="93" t="s">
        <v>54</v>
      </c>
      <c r="D253" s="468" t="str">
        <f>IF(G253="","",$D250)</f>
        <v>7</v>
      </c>
      <c r="E253" s="485" t="str">
        <f>IF(G253=""," ","– "&amp;COUNTIF(D$4:D255,$D253))</f>
        <v>– 10</v>
      </c>
      <c r="F253" s="509" t="str">
        <f ca="1">IF(G253="","",IF(OR(AND($C253&lt;&gt;" ",$C254=" "),AND($C254&lt;&gt;" ",$C253=" "),AND(L255&gt;0,OR(AND($C255&lt;&gt;" ",OR($C253=" ",$C254=" ")),AND($C255=" ",OR($C253&lt;&gt;" ",$C254&lt;&gt;" "))))),IF(SUM(F$4:F252)=0,1,LARGE(F$4:F252,1)+1),IF(MONTH(G253)=MONTH(TODAY()),IF(AND(DAY(G253)&lt;DAY(TODAY()),$B253=" "),IF(SUM(F$4:F252)=0,1,LARGE(F$4:F252,1)+1),IF($B253=" ",IF(AND(DAY(G253)=DAY(TODAY()),HOUR(G253)&lt;=HOUR(NOW())+1),IF(AND(HOUR(G253)+2&lt;=HOUR(NOW()),DAY(G253)&lt;=DAY(TODAY()),MINUTE(G253)&lt;=MINUTE(NOW())),IF(SUM(F$4:F252)=0,1,LARGE(F$4:F252,1)+1),IF(OR(MINUTE(G253)&lt;=MINUTE(NOW()),HOUR(G253)&lt;=HOUR(NOW())),"!!!","")),""),"")),"")))</f>
        <v/>
      </c>
      <c r="G253" s="482">
        <f>IF(H253="","",_xlfn.XLOOKUP(H253,$H$4:H252,$G$4:G252,""))</f>
        <v>44992.833333333336</v>
      </c>
      <c r="H253" s="475" t="s">
        <v>131</v>
      </c>
      <c r="I253" s="94" t="s">
        <v>51</v>
      </c>
      <c r="J253" s="95">
        <v>5.5</v>
      </c>
      <c r="K253" s="96" t="s">
        <v>39</v>
      </c>
      <c r="L253" s="97">
        <v>2.4</v>
      </c>
      <c r="M253" s="98">
        <v>5.52</v>
      </c>
      <c r="N253" s="478">
        <v>0.1</v>
      </c>
      <c r="O253" s="99">
        <f>IF(OR(AE253="",AE254=""),"",ROUND(IF(L255&gt;0,IF(M253&gt;0,M253,IF(M254&gt;0,ROUND((M254*AE253)/AE254,IF(N253=0,2,IF(N253=0.1,1,0))),ROUND((M255*AE253)/AE255,IF(N253=0,2,IF(N253=0.1,1,0))))),IF(M253&gt;0,M253,ROUND((M254*AE253)/AE254,IF(N253=0,2,IF(N253=0.1,1,0))))),2))</f>
        <v>5.52</v>
      </c>
      <c r="P253" s="100">
        <f>IF(OR(L253="",O253=""),"",IF($C253="1/2W",O253/2+O253/2*L253,IF($C253="1/2L",O253/2,IF(I253="Lay",(O253*(L253/(L253-1))-O253)*(1-_xlfn.XLOOKUP(K253,'Fevereiro 2023 - Valor Real'!A3:A15,'Fevereiro 2023 - Valor Real'!C3:C15,0))+O253,(O253*L253-O253)*(1-_xlfn.XLOOKUP(K253,'Fevereiro 2023 - Valor Real'!A3:A15,'Fevereiro 2023 - Valor Real'!C3:C15,0))+O253))))</f>
        <v>13.247999999999999</v>
      </c>
      <c r="Q253" s="101">
        <f>IF(K253="","",IF(_xlfn.XLOOKUP(K253,K$6:K248,$DJ$6:DJ248,0,,-1)=DJ253,_xlfn.XLOOKUP(K253,K$6:K248,Q$6:Q248,1,,-1)+1,1))</f>
        <v>2</v>
      </c>
      <c r="R253" s="102">
        <f>IF(K253="","",_xlfn.XLOOKUP(K253,K$6:K248,R$6:R248,0,,-1)+IF($C253=" ",1,0))</f>
        <v>0</v>
      </c>
      <c r="S253" s="474">
        <f>IF($B253="Anulado",0,ROUND(IF(OR($B253="LOSS",$B253="OK"),IF(OR($C253="W",$C253="1/2W",$C253="1/2L"),P253-O253,IF($C253="L",-O253,0))+IF(OR($C254="W",$C254="1/2W",$C254="1/2L"),P254-O254,IF($C254="L",-O254,0))+IF(OR($C255="W",$C255="1/2W",$C255="1/2L"),P255-O255,IF($C255="L",-O255,0)),IF(AND(OR($C253="W",$C253="1/2W",$C253="1/2L"),C254="W"),P253+P254-SUM(O253:O255)+_xlfn.XLOOKUP("X",C253:C255,O253:O255,0),IF(AND(C253=TRUE,C255="W"),P253+P255-SUM(O253:O255),IF(AND(C254="W",C255="W"),P254+P255-SUM(O253:O255)+_xlfn.XLOOKUP("X",C253:C255,O253:O255,0),IF(L255&gt;0,IF(OR($C253="W",$C253="1/2W",$C253="1/2L"),P253-SUM(O253:O255)+_xlfn.XLOOKUP("X",C253:C255,O253:O255,0),IF(OR($C253="W",$C253="1/2W",$C253="1/2L"),P254-SUM(O253:O255)+_xlfn.XLOOKUP("X",C253:C255,O253:O255,0),IF(OR($C253="W",$C253="1/2W",$C253="1/2L"),P255-SUM(O253:O255)+_xlfn.XLOOKUP("X",C253:C255,O253:O255,0),IF(SUM(P253:P255)/3-SUM(O253:O255)+_xlfn.XLOOKUP("X",C253:C255,O253:O255,0)&gt;0,SUM(P253:P255)/3-SUM(O253:O255)+_xlfn.XLOOKUP("X",C253:C255,O253:O255,0),LARGE(P253:P255,1)-SUM(O253:O255))))),IF(OR($C253="W",$C253="1/2W",$C253="1/2L"),P253-SUM(O253:O254)+_xlfn.XLOOKUP("X",C253:C255,O253:O255,0),IF(OR($C253="W",$C253="1/2W",$C253="1/2L"),P254-SUM(O253:O254)+_xlfn.XLOOKUP("X",C253:C255,O253:O255,0),SUM(P253:P254)/2-SUM(O253:O254)+_xlfn.XLOOKUP("X",C253:C255,O253:O255,0)))))))),2))</f>
        <v>0.93</v>
      </c>
      <c r="T253" s="458">
        <f>IF(S253=0,0,S253/SUM(O253:O255))</f>
        <v>7.5487012987012991E-2</v>
      </c>
      <c r="U253" s="470">
        <f>IF($D253=$D250,IF(OR($B253="LOSS",$B253="OK",$B253="Anulada"),S253,0)+U250,IF(OR($B253="LOSS",$B253="OK",$B253="Anulada"),S253,0))</f>
        <v>17.41</v>
      </c>
      <c r="V253" s="470">
        <f>IF($D253="",0,IF($D253=$D250,IF($B253=" ",IF(I255="",IF(OR(AND(I253="DNB1",I254="DNB2"),AND(OR(I253="DNB1",I253="DNB2"),J254=0),AND(OR(I254="DNB1",I254="DNB2"),J253=0),AND(I253="DNB2",I254="DNB1"),AND(IF(J253=0,(J253+1)/ROUND(J253+1,0),J253/ROUND(J253,0))=1,IF(J254=0,(J254+1)/ROUND(IF(J254="",0,J254)+1,0),IF(J254="",0,J254)/ROUND(IF(J254="",1,J254),0))=1,OR(J253&lt;&gt;""),J254&lt;&gt;"")),0,IF(S253&lt;0,IF(I255="",SMALL(P253:P254,1)-SUM(O253:O254),0),SMALL(P253:P254,1)-SUM(O253:O254))),IF(S253&lt;0,IF(I255="",SMALL(P253:P255,1)-SUM(O253:O255),0),LARGE(P253:P255,1)-SUM(O253:O255))),S253)+V250,IF(I255="",IF(OR(AND(I253="DNB1",I254="DNB2"),AND(OR(I253="DNB1",I253="DNB2"),J254=0),AND(OR(I254="DNB1",I254="DNB2"),J253=0),AND(I253="DNB2",I254="DNB1"),AND(IF(J253=0,(J253+1)/ROUND(J253+1,0),J253/ROUND(J253,0))=1,IF(J254=0,(IF(J254="",0,J254)+1)/ROUND(IF(J254="",0,J254)+1,0),IF(J254="",0,J254)/ROUND(IF(J254="",0,J254)+1,0))=1,OR(J253&lt;&gt;""),J254&lt;&gt;"")),0,IF(S253&lt;0,IF(I255="",SMALL(P253:P254,1)-SUM(O253:O254),0),SMALL(P253:P255,1)-SUM(O253:O255))),IF(S253&lt;0,IF(I255="",SMALL(P253:P255,1)-SUM(O253:O255),0),LARGE(P253:P255,1)-SUM(O253:O255)))))</f>
        <v>17.410799999999998</v>
      </c>
      <c r="W253" s="470">
        <f>IF($D253=$D250,IF(S253&lt;0,IF(I255="",S253,0),S253)+W250,S253)</f>
        <v>17.41</v>
      </c>
      <c r="X253" s="480" t="str">
        <f>IF(OR(SUM(R253:R255)=0,V253=W253),ROUND(IF(W253=0,0,W253/Y253)*100,2)&amp;"%",ROUND(IF(V253=0,0,V253/Y253)*100,2)&amp;"% a "&amp;ROUND(IF(W253=0,0,W253/Y253)*100,2)&amp;"%")</f>
        <v>5,73%</v>
      </c>
      <c r="Y253" s="471">
        <f>IF($D253=$D250,Y250+SUM(O253:O255),SUM(O253:O255))</f>
        <v>303.77</v>
      </c>
      <c r="Z253" s="470">
        <f>IF($B253=" ",SUM(O253:O255),0)+Z250</f>
        <v>0</v>
      </c>
      <c r="AA253" s="470">
        <f>IF(G253="","",IF($B253="Anulado",LARGE(P253:P255,1)-SUM(O253:O255)+AA250,AA250))</f>
        <v>1.4607999999999972</v>
      </c>
      <c r="AB253" s="470">
        <f>IF($D253="","",AB250+S253)</f>
        <v>414.83</v>
      </c>
      <c r="AC253" s="472">
        <f ca="1">IF($D253="","",IF($B253=" ",IF(DAY(G253)=DAY(TODAY()),1+AC250,0+AC250),0+AC250))</f>
        <v>0</v>
      </c>
      <c r="AD253" s="103">
        <f>(((L254/(L254-1)-1)*(1-_xlfn.XLOOKUP(K254,'Fevereiro 2023 - Valor Real'!A3:A15,'Fevereiro 2023 - Valor Real'!C3:C15,0))+1))/(((L253-1)*(1-_xlfn.XLOOKUP(K253,'Fevereiro 2023 - Valor Real'!A3:A15,'Fevereiro 2023 - Valor Real'!C3:C15,0))+1)+((L254/(L254-1)-1)*(1-_xlfn.XLOOKUP(K254,'Fevereiro 2023 - Valor Real'!A3:A15,'Fevereiro 2023 - Valor Real'!C3:C15,0))+1))</f>
        <v>0.46099290780141849</v>
      </c>
      <c r="AE253" s="104">
        <f>IF(L253="","",IF(L255&gt;0,(SUM(((L253-1)*(1-_xlfn.XLOOKUP(K253,'Fevereiro 2023 - Valor Real'!A3:A15,'Fevereiro 2023 - Valor Real'!C3:C15,0))+1),((L254-1)*(1-_xlfn.XLOOKUP(K254,'Fevereiro 2023 - Valor Real'!A3:A15,'Fevereiro 2023 - Valor Real'!C3:C15,0))+1),((L255-1)*(1-_xlfn.XLOOKUP(K255,'Fevereiro 2023 - Valor Real'!A3:A15,'Fevereiro 2023 - Valor Real'!C3:C15,0))+1))/((L253-1)*(1-_xlfn.XLOOKUP(K253,'Fevereiro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Real'!C3:C15,0))+1))/((L253-1)*(1-_xlfn.XLOOKUP(K253,'Fevereiro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Real'!C3:C15,0))+1))/((L254-1)*(1-_xlfn.XLOOKUP(K254,'Fevereiro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Real'!C3:C15,0))+1))/((L255-1)*(1-_xlfn.XLOOKUP(K255,'Fevereiro 2023 - Valor Real'!A3:A15,'Fevereiro 2023 - Valor Real'!C3:C15,0))+1)),IF(I253="Lay",IF(I254="Lay",((L254/(L254-1)-1)*(1-_xlfn.XLOOKUP(K254,'Fevereiro 2023 - Valor Real'!A3:A15,'Fevereiro 2023 - Valor Real'!C3:C15,0))+1)/(((L254/(L254-1)-1)*(1-_xlfn.XLOOKUP(K254,'Fevereiro 2023 - Valor Real'!A3:A15,'Fevereiro 2023 - Valor Real'!C3:C15,0))+1)+((L253/(L253-1)-1)*(1-_xlfn.XLOOKUP(K253,'Fevereiro 2023 - Valor Real'!A3:A15,'Fevereiro 2023 - Valor Real'!C3:C15,0))+1)),((L254-1)*(1-_xlfn.XLOOKUP(K254,'Fevereiro 2023 - Valor Real'!A3:A15,'Fevereiro 2023 - Valor Real'!C3:C15,0))+1)/(((L254-1)*(1-_xlfn.XLOOKUP(K254,'Fevereiro 2023 - Valor Real'!A3:A15,'Fevereiro 2023 - Valor Real'!C3:C15,0))+1)+((L253/(L253-1)-1)*(1-_xlfn.XLOOKUP(K253,'Fevereiro 2023 - Valor Real'!A3:A15,'Fevereiro 2023 - Valor Real'!C3:C15,0))+1))),IF(I254="Lay",(((L254/(L254-1)-1)*(1-_xlfn.XLOOKUP(K254,'Fevereiro 2023 - Valor Real'!A3:A15,'Fevereiro 2023 - Valor Real'!C3:C15,0))+1))/(((L253-1)*(1-_xlfn.XLOOKUP(K253,'Fevereiro 2023 - Valor Real'!A3:A15,'Fevereiro 2023 - Valor Real'!C3:C15,0))+1)+((L254/(L254-1)-1)*(1-_xlfn.XLOOKUP(K254,'Fevereiro 2023 - Valor Real'!A3:A15,'Fevereiro 2023 - Valor Real'!C3:C15,0))+1)),((L254-1)*(1-_xlfn.XLOOKUP(K254,'Fevereiro 2023 - Valor Real'!A3:A15,'Fevereiro 2023 - Valor Real'!C3:C15,0))+1)/(((L254-1)*(1-_xlfn.XLOOKUP(K254,'Fevereiro 2023 - Valor Real'!A3:A15,'Fevereiro 2023 - Valor Real'!C3:C15,0))+1)+((L253-1)*(1-_xlfn.XLOOKUP(K253,'Fevereiro 2023 - Valor Real'!A3:A15,'Fevereiro 2023 - Valor Real'!C3:C15,0))+1))))))</f>
        <v>0.44827586206896552</v>
      </c>
      <c r="AF253" s="105">
        <f t="shared" si="488"/>
        <v>0</v>
      </c>
      <c r="AG253" s="106">
        <f t="shared" si="488"/>
        <v>0</v>
      </c>
      <c r="AH253" s="106">
        <f t="shared" si="488"/>
        <v>0</v>
      </c>
      <c r="AI253" s="106">
        <f t="shared" si="488"/>
        <v>7.73</v>
      </c>
      <c r="AJ253" s="106">
        <f t="shared" si="488"/>
        <v>0</v>
      </c>
      <c r="AK253" s="106">
        <f t="shared" si="488"/>
        <v>0</v>
      </c>
      <c r="AL253" s="106">
        <f t="shared" si="488"/>
        <v>0</v>
      </c>
      <c r="AM253" s="106">
        <f t="shared" si="488"/>
        <v>0</v>
      </c>
      <c r="AN253" s="106">
        <f t="shared" si="488"/>
        <v>0</v>
      </c>
      <c r="AO253" s="106">
        <f t="shared" si="488"/>
        <v>0</v>
      </c>
      <c r="AP253" s="106">
        <f t="shared" si="488"/>
        <v>0</v>
      </c>
      <c r="AQ253" s="106">
        <f t="shared" si="488"/>
        <v>0</v>
      </c>
      <c r="AR253" s="107">
        <f t="shared" si="488"/>
        <v>0</v>
      </c>
      <c r="AS253" s="105">
        <f t="shared" ref="AS253:BE253" si="502">IF(AND($B253=" ",$K253=AS$3),$O253,0)</f>
        <v>0</v>
      </c>
      <c r="AT253" s="106">
        <f t="shared" si="502"/>
        <v>0</v>
      </c>
      <c r="AU253" s="106">
        <f t="shared" si="502"/>
        <v>0</v>
      </c>
      <c r="AV253" s="106">
        <f t="shared" si="502"/>
        <v>0</v>
      </c>
      <c r="AW253" s="106">
        <f t="shared" si="502"/>
        <v>0</v>
      </c>
      <c r="AX253" s="106">
        <f t="shared" si="502"/>
        <v>0</v>
      </c>
      <c r="AY253" s="108">
        <f t="shared" si="502"/>
        <v>0</v>
      </c>
      <c r="AZ253" s="109">
        <f t="shared" si="502"/>
        <v>0</v>
      </c>
      <c r="BA253" s="109">
        <f t="shared" si="502"/>
        <v>0</v>
      </c>
      <c r="BB253" s="109">
        <f t="shared" si="502"/>
        <v>0</v>
      </c>
      <c r="BC253" s="110">
        <f t="shared" si="502"/>
        <v>0</v>
      </c>
      <c r="BD253" s="106">
        <f t="shared" si="502"/>
        <v>0</v>
      </c>
      <c r="BE253" s="107">
        <f t="shared" si="502"/>
        <v>0</v>
      </c>
      <c r="BF253" s="111">
        <f t="shared" si="490"/>
        <v>0</v>
      </c>
      <c r="BG253" s="106">
        <f t="shared" si="490"/>
        <v>0</v>
      </c>
      <c r="BH253" s="106">
        <f t="shared" si="490"/>
        <v>0</v>
      </c>
      <c r="BI253" s="106">
        <f t="shared" si="490"/>
        <v>5.52</v>
      </c>
      <c r="BJ253" s="106">
        <f t="shared" si="490"/>
        <v>0</v>
      </c>
      <c r="BK253" s="106">
        <f t="shared" si="490"/>
        <v>0</v>
      </c>
      <c r="BL253" s="106">
        <f t="shared" si="490"/>
        <v>0</v>
      </c>
      <c r="BM253" s="108">
        <f t="shared" si="490"/>
        <v>0</v>
      </c>
      <c r="BN253" s="109">
        <f t="shared" si="490"/>
        <v>0</v>
      </c>
      <c r="BO253" s="109">
        <f t="shared" si="490"/>
        <v>0</v>
      </c>
      <c r="BP253" s="109">
        <f t="shared" si="490"/>
        <v>0</v>
      </c>
      <c r="BQ253" s="110">
        <f t="shared" si="490"/>
        <v>0</v>
      </c>
      <c r="BR253" s="107">
        <f t="shared" si="490"/>
        <v>0</v>
      </c>
      <c r="BS253" s="463">
        <f>IF($B253="LOSS",IF(AND($K253=BS$3,$C253="L"),-$O253,0)+IF(AND($K254=BS$3,$C254="L"),-$O254,0)+IF(AND($K255=BS$3,$C255="L"),-$O255,0),IF(OR(AND($K253=BS$3,OR($C253="W",$C253="1/2W")),AND($K254=BS$3,OR($C254="W",$C254="1/2W")),AND($K255=BS$3,OR($C255="W",$C255="1/2W"))),$S253,0))</f>
        <v>0</v>
      </c>
      <c r="BT253" s="462">
        <f>IF($B253="LOSS",IF(AND($K253=BT$3,$C253="L"),-$O253,0)+IF(AND($K254=BT$3,$C254="L"),-$O254,0)+IF(AND($K254=BT$3,$C255="L"),-$O255,0),IF(OR(AND($K254=BT$3,OR($C253="W",$C253="1/2W")),AND($K254=BT$3,OR($C254="W",$C254="1/2W")),AND($K254=BT$3,OR($C255="W",$C255="1/2W"))),$S253,0))</f>
        <v>0</v>
      </c>
      <c r="BU253" s="462">
        <f>IF($B253="LOSS",IF(AND($K253=BU$3,$C253="L"),-$O253,0)+IF(AND($K254=BU$3,$C254="L"),-$O254,0)+IF(AND($K254=BU$3,$C255="L"),-$O255,0),IF(OR(AND($K254=BU$3,OR($C253="W",$C253="1/2W")),AND($K254=BU$3,OR($C254="W",$C254="1/2W")),AND($K254=BU$3,OR($C255="W",$C255="1/2W"))),$S253,0))</f>
        <v>0</v>
      </c>
      <c r="BV253" s="462">
        <f t="shared" ref="BV253:CE253" si="503">IF($B253="LOSS",IF(AND($K253=BV$3,$C253="L"),-$O253,0)+IF(AND($K254=BV$3,$C254="L"),-$O254,0)+IF(AND($K255=BV$3,$C255="L"),-$O255,0),IF(OR(AND($K253=BV$3,OR($C253="W",$C253="1/2W")),AND($K254=BV$3,OR($C254="W",$C254="1/2W")),AND($K255=BV$3,OR($C255="W",$C255="1/2W"))),$S253,0))</f>
        <v>0.93</v>
      </c>
      <c r="BW253" s="462">
        <f t="shared" si="503"/>
        <v>0</v>
      </c>
      <c r="BX253" s="462">
        <f t="shared" si="503"/>
        <v>0</v>
      </c>
      <c r="BY253" s="462">
        <f t="shared" si="503"/>
        <v>0</v>
      </c>
      <c r="BZ253" s="460">
        <f t="shared" si="503"/>
        <v>0</v>
      </c>
      <c r="CA253" s="460">
        <f t="shared" si="503"/>
        <v>0</v>
      </c>
      <c r="CB253" s="460">
        <f t="shared" si="503"/>
        <v>0</v>
      </c>
      <c r="CC253" s="460">
        <f t="shared" si="503"/>
        <v>0</v>
      </c>
      <c r="CD253" s="473">
        <f t="shared" si="503"/>
        <v>0</v>
      </c>
      <c r="CE253" s="479">
        <f t="shared" si="503"/>
        <v>0</v>
      </c>
      <c r="CF253" s="113">
        <f t="shared" si="388"/>
        <v>0</v>
      </c>
      <c r="CG253" s="114">
        <f t="shared" si="389"/>
        <v>0</v>
      </c>
      <c r="CH253" s="114">
        <f t="shared" si="390"/>
        <v>0</v>
      </c>
      <c r="CI253" s="114">
        <f t="shared" si="391"/>
        <v>0</v>
      </c>
      <c r="CJ253" s="114">
        <f t="shared" si="392"/>
        <v>0</v>
      </c>
      <c r="CK253" s="114">
        <f t="shared" si="393"/>
        <v>0</v>
      </c>
      <c r="CL253" s="114">
        <f t="shared" si="394"/>
        <v>1</v>
      </c>
      <c r="CM253" s="114">
        <f t="shared" si="395"/>
        <v>0</v>
      </c>
      <c r="CN253" s="114">
        <f t="shared" si="396"/>
        <v>0</v>
      </c>
      <c r="CO253" s="114">
        <f t="shared" si="397"/>
        <v>0</v>
      </c>
      <c r="CP253" s="114">
        <f t="shared" si="398"/>
        <v>0</v>
      </c>
      <c r="CQ253" s="114">
        <f t="shared" si="399"/>
        <v>0</v>
      </c>
      <c r="CR253" s="114">
        <f t="shared" si="400"/>
        <v>0</v>
      </c>
      <c r="CS253" s="114">
        <f t="shared" si="401"/>
        <v>0</v>
      </c>
      <c r="CT253" s="115">
        <f t="shared" si="402"/>
        <v>0</v>
      </c>
      <c r="CU253" s="116">
        <f t="shared" si="403"/>
        <v>0</v>
      </c>
      <c r="CV253" s="116">
        <f t="shared" si="404"/>
        <v>0</v>
      </c>
      <c r="CW253" s="116">
        <f t="shared" si="405"/>
        <v>0</v>
      </c>
      <c r="CX253" s="116">
        <f t="shared" si="406"/>
        <v>0</v>
      </c>
      <c r="CY253" s="116">
        <f t="shared" si="407"/>
        <v>0</v>
      </c>
      <c r="CZ253" s="116">
        <f t="shared" si="408"/>
        <v>0</v>
      </c>
      <c r="DA253" s="116">
        <f t="shared" si="409"/>
        <v>0</v>
      </c>
      <c r="DB253" s="116">
        <f t="shared" si="410"/>
        <v>0</v>
      </c>
      <c r="DC253" s="116">
        <f t="shared" si="411"/>
        <v>0</v>
      </c>
      <c r="DD253" s="116">
        <f t="shared" si="412"/>
        <v>0</v>
      </c>
      <c r="DE253" s="117">
        <f t="shared" si="413"/>
        <v>0</v>
      </c>
      <c r="DF253" s="118">
        <f t="shared" si="415"/>
        <v>15</v>
      </c>
      <c r="DG253" s="106">
        <f t="shared" si="416"/>
        <v>19.170000000000002</v>
      </c>
      <c r="DH253" s="116">
        <f t="shared" si="417"/>
        <v>8</v>
      </c>
      <c r="DI253" s="106">
        <f t="shared" si="418"/>
        <v>33.049999999999997</v>
      </c>
      <c r="DJ253" s="201" t="str">
        <f>IF($D253="","",$D253)</f>
        <v>7</v>
      </c>
      <c r="DK253" s="465">
        <f>IF(AND($B253=" ",$D253&lt;&gt;""),1,0)</f>
        <v>0</v>
      </c>
    </row>
    <row r="254" spans="1:115" ht="14.5" customHeight="1" x14ac:dyDescent="0.2">
      <c r="A254" s="389"/>
      <c r="B254" s="456"/>
      <c r="C254" s="120" t="s">
        <v>55</v>
      </c>
      <c r="D254" s="374"/>
      <c r="E254" s="386"/>
      <c r="F254" s="377"/>
      <c r="G254" s="483"/>
      <c r="H254" s="476"/>
      <c r="I254" s="121" t="s">
        <v>52</v>
      </c>
      <c r="J254" s="122">
        <f>IF(OR(I253="TO",I253="TU",I253="TO1",I253="TU1",I253="TO2",I253="TU2"),J253,IF(OR(I253="AH1",I253="AH2"),IF(OR(I254="AH1",I254="AH2"),-J253,IF(OR(I254="EH1",I254="EH2"),-J253+0.5,"")),IF(OR(I253="EH1",I253="EH2"),IF(OR(I254="AH1",I254="AH2"),-J253+0.5,IF(OR(I254="EH1",I254="EH2"),-J253+1,"")),IF(AND(OR(I253="DNB1",I253="DNB2"),OR(I254="AH1",I254="AH2")),0,IF(AND(I253="Not ScoreBoth",OR(I254="TO1",I254="TO2")),0.5,"")))))</f>
        <v>5.5</v>
      </c>
      <c r="K254" s="123" t="s">
        <v>36</v>
      </c>
      <c r="L254" s="124">
        <v>1.95</v>
      </c>
      <c r="M254" s="125"/>
      <c r="N254" s="406"/>
      <c r="O254" s="126">
        <f>IF(OR(AE253="",AE254=""),"",ROUND(IF(L255&gt;0,IF(M254&gt;0,M254,IF(M253&gt;0,IF(N253=TRUE,ROUND((M253*AE254)/AE253,0),(M253*AE254)/AE253),IF(M254&gt;0,ROUND(M254,IF(N253=0,2,IF(N253=0.1,1,0))),IF(M255&gt;0,ROUND(O255*AE254/AE255,IF(N253=0,2,IF(N253=0.1,1,0))),0)))),IF(M254&gt;0,M254,ROUND((M253*AE254)/AE253,IF(N253=0,2,IF(N253=0.1,1,0))))),2))</f>
        <v>6.8</v>
      </c>
      <c r="P254" s="127">
        <f>IF(OR(L254="",O254=""),"",IF($C254="1/2W",O254/2+O254/2*L254,IF($C254="1/2L",O254/2,IF(I254="Lay",((O254*(L254/(L254-1)))-O254)*(1-_xlfn.XLOOKUP(K254,'Fevereiro 2023 - Valor Real'!A3:A15,'Fevereiro 2023 - Valor Real'!C3:C15,0))+O254,(O254*L254-O254)*(1-_xlfn.XLOOKUP(K254,'Fevereiro 2023 - Valor Real'!A3:A15,'Fevereiro 2023 - Valor Real'!C3:C15,0))+O254))))</f>
        <v>13.26</v>
      </c>
      <c r="Q254" s="128">
        <f>IF(K254="","",IF(_xlfn.XLOOKUP(K254,K$7:K248,$DJ$7:DJ248,0,,-1)=DJ254,_xlfn.XLOOKUP(K254,K$7:K248,Q$7:Q248,1,,-1)+1,1))</f>
        <v>3</v>
      </c>
      <c r="R254" s="129">
        <f>IF(K254="","",_xlfn.XLOOKUP(K254,K$7:K248,R$7:R248,0,,-1)+IF($C254=" ",1,0))</f>
        <v>0</v>
      </c>
      <c r="S254" s="403"/>
      <c r="T254" s="380"/>
      <c r="U254" s="380"/>
      <c r="V254" s="481"/>
      <c r="W254" s="380"/>
      <c r="X254" s="452"/>
      <c r="Y254" s="383"/>
      <c r="Z254" s="384"/>
      <c r="AA254" s="384"/>
      <c r="AB254" s="384"/>
      <c r="AC254" s="384"/>
      <c r="AD254" s="130">
        <f>(((L254/(L254-1)-1)*(1-_xlfn.XLOOKUP(K254,'Fevereiro 2023 - Valor Real'!A3:A15,'Fevereiro 2023 - Valor Real'!C3:C15,0))+1))</f>
        <v>2.0526315789473686</v>
      </c>
      <c r="AE254" s="131">
        <f>IF(L254="","",IF(L255&gt;0,(SUM(((L253-1)*(1-_xlfn.XLOOKUP(K253,'Fevereiro 2023 - Valor Real'!A3:A15,'Fevereiro 2023 - Valor Real'!C3:C15,0))+1),((L254-1)*(1-_xlfn.XLOOKUP(K254,'Fevereiro 2023 - Valor Real'!A3:A15,'Fevereiro 2023 - Valor Real'!C3:C15,0))+1),((L255-1)*(1-_xlfn.XLOOKUP(K255,'Fevereiro 2023 - Valor Real'!A3:A15,'Fevereiro 2023 - Valor Real'!C3:C15,0))+1))/((L254-1)*(1-_xlfn.XLOOKUP(K254,'Fevereiro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Real'!C3:C15,0))+1))/((L253-1)*(1-_xlfn.XLOOKUP(K253,'Fevereiro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Real'!C3:C15,0))+1))/((L254-1)*(1-_xlfn.XLOOKUP(K254,'Fevereiro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Real'!C3:C15,0))+1))/((L255-1)*(1-_xlfn.XLOOKUP(K255,'Fevereiro 2023 - Valor Real'!A3:A15,'Fevereiro 2023 - Valor Real'!C3:C15,0))+1)),IF(I254="Lay",IF(I253="Lay",((L253/(L253-1)-1)*(1-_xlfn.XLOOKUP(K253,'Fevereiro 2023 - Valor Real'!A3:A15,'Fevereiro 2023 - Valor Real'!C3:C15,0))+1)/(((L253/(L253-1)-1)*(1-_xlfn.XLOOKUP(K253,'Fevereiro 2023 - Valor Real'!A3:A15,'Fevereiro 2023 - Valor Real'!C3:C15,0))+1)+((L254/(L254-1)-1)*(1-_xlfn.XLOOKUP(K254,'Fevereiro 2023 - Valor Real'!A3:A15,'Fevereiro 2023 - Valor Real'!C3:C15,0))+1)),((L253-1)*(1-_xlfn.XLOOKUP(K253,'Fevereiro 2023 - Valor Real'!A3:A15,'Fevereiro 2023 - Valor Real'!C3:C15,0))+1)/(((L253-1)*(1-_xlfn.XLOOKUP(K253,'Fevereiro 2023 - Valor Real'!A3:A15,'Fevereiro 2023 - Valor Real'!C3:C15,0))+1)+((L254/(L254-1)-1)*(1-_xlfn.XLOOKUP(K254,'Fevereiro 2023 - Valor Real'!A3:A15,'Fevereiro 2023 - Valor Real'!C3:C15,0))+1))),IF(I253="Lay",((L253/(L253-1)-1)*(1-_xlfn.XLOOKUP(K253,'Fevereiro 2023 - Valor Real'!A3:A15,'Fevereiro 2023 - Valor Real'!C3:C15,0))+1)/((((L253/(L253-1)-1)*(1-_xlfn.XLOOKUP(K253,'Fevereiro 2023 - Valor Real'!A3:A15,'Fevereiro 2023 - Valor Real'!C3:C15,0))+1))+((L254-1)*(1-_xlfn.XLOOKUP(K254,'Fevereiro 2023 - Valor Real'!A3:A15,'Fevereiro 2023 - Valor Real'!C3:C15,0))+1)),((L253-1)*(1-_xlfn.XLOOKUP(K253,'Fevereiro 2023 - Valor Real'!A3:A15,'Fevereiro 2023 - Valor Real'!C3:C15,0))+1)/(((L253-1)*(1-_xlfn.XLOOKUP(K253,'Fevereiro 2023 - Valor Real'!A3:A15,'Fevereiro 2023 - Valor Real'!C3:C15,0))+1)+((L254-1)*(1-_xlfn.XLOOKUP(K254,'Fevereiro 2023 - Valor Real'!A3:A15,'Fevereiro 2023 - Valor Real'!C3:C15,0))+1))))))</f>
        <v>0.55172413793103448</v>
      </c>
      <c r="AF254" s="105">
        <f t="shared" ref="AF254:AR263" si="504">IF($K254=AF$3,ROUND(IF(OR($C254="W",$C254="1/2W",$C254="1/2L"),$P254-$O254,IF($C254="X",0,-$O254)),2),0)</f>
        <v>-6.8</v>
      </c>
      <c r="AG254" s="106">
        <f t="shared" si="504"/>
        <v>0</v>
      </c>
      <c r="AH254" s="106">
        <f t="shared" si="504"/>
        <v>0</v>
      </c>
      <c r="AI254" s="106">
        <f t="shared" si="504"/>
        <v>0</v>
      </c>
      <c r="AJ254" s="106">
        <f t="shared" si="504"/>
        <v>0</v>
      </c>
      <c r="AK254" s="106">
        <f t="shared" si="504"/>
        <v>0</v>
      </c>
      <c r="AL254" s="106">
        <f t="shared" si="504"/>
        <v>0</v>
      </c>
      <c r="AM254" s="106">
        <f t="shared" si="504"/>
        <v>0</v>
      </c>
      <c r="AN254" s="106">
        <f t="shared" si="504"/>
        <v>0</v>
      </c>
      <c r="AO254" s="106">
        <f t="shared" si="504"/>
        <v>0</v>
      </c>
      <c r="AP254" s="106">
        <f t="shared" si="504"/>
        <v>0</v>
      </c>
      <c r="AQ254" s="106">
        <f t="shared" si="504"/>
        <v>0</v>
      </c>
      <c r="AR254" s="107">
        <f t="shared" si="504"/>
        <v>0</v>
      </c>
      <c r="AS254" s="105">
        <f>IF(AND($B253=" ",$K254=AS$3),$O254,0)</f>
        <v>0</v>
      </c>
      <c r="AT254" s="106">
        <f>IF(AND($B253=" ",K254=AT$3),$O254,0)</f>
        <v>0</v>
      </c>
      <c r="AU254" s="106">
        <f t="shared" ref="AU254:BE254" si="505">IF(AND($B253=" ",$K254=AU$3),$O254,0)</f>
        <v>0</v>
      </c>
      <c r="AV254" s="106">
        <f t="shared" si="505"/>
        <v>0</v>
      </c>
      <c r="AW254" s="106">
        <f t="shared" si="505"/>
        <v>0</v>
      </c>
      <c r="AX254" s="106">
        <f t="shared" si="505"/>
        <v>0</v>
      </c>
      <c r="AY254" s="108">
        <f t="shared" si="505"/>
        <v>0</v>
      </c>
      <c r="AZ254" s="109">
        <f t="shared" si="505"/>
        <v>0</v>
      </c>
      <c r="BA254" s="109">
        <f t="shared" si="505"/>
        <v>0</v>
      </c>
      <c r="BB254" s="109">
        <f t="shared" si="505"/>
        <v>0</v>
      </c>
      <c r="BC254" s="110">
        <f t="shared" si="505"/>
        <v>0</v>
      </c>
      <c r="BD254" s="106">
        <f t="shared" si="505"/>
        <v>0</v>
      </c>
      <c r="BE254" s="107">
        <f t="shared" si="505"/>
        <v>0</v>
      </c>
      <c r="BF254" s="105">
        <f t="shared" ref="BF254:BR263" si="506">IF($K254=BF$3,IF($C254="X",0,$O254),0)</f>
        <v>6.8</v>
      </c>
      <c r="BG254" s="106">
        <f t="shared" si="506"/>
        <v>0</v>
      </c>
      <c r="BH254" s="106">
        <f t="shared" si="506"/>
        <v>0</v>
      </c>
      <c r="BI254" s="106">
        <f t="shared" si="506"/>
        <v>0</v>
      </c>
      <c r="BJ254" s="106">
        <f t="shared" si="506"/>
        <v>0</v>
      </c>
      <c r="BK254" s="106">
        <f t="shared" si="506"/>
        <v>0</v>
      </c>
      <c r="BL254" s="106">
        <f t="shared" si="506"/>
        <v>0</v>
      </c>
      <c r="BM254" s="132">
        <f t="shared" si="506"/>
        <v>0</v>
      </c>
      <c r="BN254" s="112">
        <f t="shared" si="506"/>
        <v>0</v>
      </c>
      <c r="BO254" s="112">
        <f t="shared" si="506"/>
        <v>0</v>
      </c>
      <c r="BP254" s="112">
        <f t="shared" si="506"/>
        <v>0</v>
      </c>
      <c r="BQ254" s="110">
        <f t="shared" si="506"/>
        <v>0</v>
      </c>
      <c r="BR254" s="107">
        <f t="shared" si="506"/>
        <v>0</v>
      </c>
      <c r="BS254" s="464"/>
      <c r="BT254" s="461"/>
      <c r="BU254" s="392"/>
      <c r="BV254" s="461"/>
      <c r="BW254" s="392"/>
      <c r="BX254" s="392"/>
      <c r="BY254" s="392"/>
      <c r="BZ254" s="461"/>
      <c r="CA254" s="392"/>
      <c r="CB254" s="392"/>
      <c r="CC254" s="392"/>
      <c r="CD254" s="401"/>
      <c r="CE254" s="409"/>
      <c r="CF254" s="133">
        <f t="shared" si="388"/>
        <v>0</v>
      </c>
      <c r="CG254" s="134">
        <f t="shared" si="389"/>
        <v>1</v>
      </c>
      <c r="CH254" s="134">
        <f t="shared" si="390"/>
        <v>0</v>
      </c>
      <c r="CI254" s="134">
        <f t="shared" si="391"/>
        <v>0</v>
      </c>
      <c r="CJ254" s="134">
        <f t="shared" si="392"/>
        <v>0</v>
      </c>
      <c r="CK254" s="134">
        <f t="shared" si="393"/>
        <v>0</v>
      </c>
      <c r="CL254" s="134">
        <f t="shared" si="394"/>
        <v>0</v>
      </c>
      <c r="CM254" s="134">
        <f t="shared" si="395"/>
        <v>0</v>
      </c>
      <c r="CN254" s="134">
        <f t="shared" si="396"/>
        <v>0</v>
      </c>
      <c r="CO254" s="134">
        <f t="shared" si="397"/>
        <v>0</v>
      </c>
      <c r="CP254" s="134">
        <f t="shared" si="398"/>
        <v>0</v>
      </c>
      <c r="CQ254" s="134">
        <f t="shared" si="399"/>
        <v>0</v>
      </c>
      <c r="CR254" s="134">
        <f t="shared" si="400"/>
        <v>0</v>
      </c>
      <c r="CS254" s="134">
        <f t="shared" si="401"/>
        <v>0</v>
      </c>
      <c r="CT254" s="115">
        <f t="shared" si="402"/>
        <v>0</v>
      </c>
      <c r="CU254" s="116">
        <f t="shared" si="403"/>
        <v>0</v>
      </c>
      <c r="CV254" s="116">
        <f t="shared" si="404"/>
        <v>0</v>
      </c>
      <c r="CW254" s="116">
        <f t="shared" si="405"/>
        <v>0</v>
      </c>
      <c r="CX254" s="116">
        <f t="shared" si="406"/>
        <v>0</v>
      </c>
      <c r="CY254" s="116">
        <f t="shared" si="407"/>
        <v>0</v>
      </c>
      <c r="CZ254" s="116">
        <f t="shared" si="408"/>
        <v>0</v>
      </c>
      <c r="DA254" s="116">
        <f t="shared" si="409"/>
        <v>0</v>
      </c>
      <c r="DB254" s="116">
        <f t="shared" si="410"/>
        <v>0</v>
      </c>
      <c r="DC254" s="116">
        <f t="shared" si="411"/>
        <v>0</v>
      </c>
      <c r="DD254" s="116">
        <f t="shared" si="412"/>
        <v>0</v>
      </c>
      <c r="DE254" s="117">
        <f t="shared" si="413"/>
        <v>0</v>
      </c>
      <c r="DF254" s="118">
        <f t="shared" si="415"/>
        <v>15</v>
      </c>
      <c r="DG254" s="106">
        <f t="shared" si="416"/>
        <v>19.170000000000002</v>
      </c>
      <c r="DH254" s="116">
        <f t="shared" si="417"/>
        <v>8</v>
      </c>
      <c r="DI254" s="106">
        <f t="shared" si="418"/>
        <v>33.049999999999997</v>
      </c>
      <c r="DJ254" s="201" t="str">
        <f>IF($D253="","",$D253)</f>
        <v>7</v>
      </c>
      <c r="DK254" s="466"/>
    </row>
    <row r="255" spans="1:115" ht="14.5" customHeight="1" x14ac:dyDescent="0.2">
      <c r="A255" s="390"/>
      <c r="B255" s="457"/>
      <c r="C255" s="135" t="s">
        <v>53</v>
      </c>
      <c r="D255" s="375"/>
      <c r="E255" s="387"/>
      <c r="F255" s="378"/>
      <c r="G255" s="484"/>
      <c r="H255" s="477"/>
      <c r="I255" s="136"/>
      <c r="J255" s="137"/>
      <c r="K255" s="138"/>
      <c r="L255" s="139"/>
      <c r="M255" s="140"/>
      <c r="N255" s="407"/>
      <c r="O255" s="141" t="str">
        <f>IF(OR(AE253="",AE254=""),"",IF(L255&gt;0,ROUND(IF(M255&gt;0,M255,IF(M253&gt;0,ROUND((M253*AE255)/AE253,IF(N253=0,2,IF(N253=0.1,1,0))),IF(M254&gt;0,ROUND((M254*AE255)/AE254,IF(N253=0,2,IF(N253=0.1,1,0))),IF(M255&gt;0,M255,0)))),2),""))</f>
        <v/>
      </c>
      <c r="P255" s="142" t="str">
        <f>IF(I254="Lay",O254*(L254/(L254-1))-O254,IF(I253="Lay",O253*(L253/(L253-1))-O253,IF(OR(L255="",O255=""),"",IF($C255="1/2W",O255/2+O255/2*L255,IF($C255="1/2L",O255/2,(O255*L255-O255)*(1-_xlfn.XLOOKUP(K255,'Fevereiro 2023 - Valor Real'!A3:A15,'Fevereiro 2023 - Valor Real'!C3:C15,0))+O255)))))</f>
        <v/>
      </c>
      <c r="Q255" s="143" t="str">
        <f>IF(K255="","",IF(_xlfn.XLOOKUP(K255,K$8:K248,$DJ$8:DJ248,0,,-1)=DJ255,_xlfn.XLOOKUP(K255,K$8:K248,Q$8:Q248,1,,-1)+1,1))</f>
        <v/>
      </c>
      <c r="R255" s="144" t="str">
        <f>IF(K255="","",_xlfn.XLOOKUP(K255,K$8:K248,R$8:R248,0,,-1)+IF($C255=" ",1,0))</f>
        <v/>
      </c>
      <c r="S255" s="404"/>
      <c r="T255" s="378"/>
      <c r="U255" s="378"/>
      <c r="V255" s="404"/>
      <c r="W255" s="378"/>
      <c r="X255" s="453"/>
      <c r="Y255" s="383"/>
      <c r="Z255" s="384"/>
      <c r="AA255" s="384"/>
      <c r="AB255" s="384"/>
      <c r="AC255" s="384"/>
      <c r="AD255" s="145">
        <f>((L254/(L254-1)-1))</f>
        <v>1.0526315789473686</v>
      </c>
      <c r="AE255" s="146" t="str">
        <f>IF(L255="","",(SUM(((L253-1)*(1-_xlfn.XLOOKUP(K253,'Fevereiro 2023 - Valor Real'!A3:A15,'Fevereiro 2023 - Valor Real'!C3:C15,0))+1),((L254-1)*(1-_xlfn.XLOOKUP(K254,'Fevereiro 2023 - Valor Real'!A3:A15,'Fevereiro 2023 - Valor Real'!C3:C15,0))+1),((L255-1)*(1-_xlfn.XLOOKUP(K255,'Fevereiro 2023 - Valor Real'!A3:A15,'Fevereiro 2023 - Valor Real'!C3:C15,0))+1))/((L255-1)*(1-_xlfn.XLOOKUP(K255,'Fevereiro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Real'!C3:C15,0))+1))/((L253-1)*(1-_xlfn.XLOOKUP(K253,'Fevereiro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Real'!C3:C15,0))+1))/((L254-1)*(1-_xlfn.XLOOKUP(K254,'Fevereiro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Real'!C3:C15,0))+1))/((L255-1)*(1-_xlfn.XLOOKUP(K255,'Fevereiro 2023 - Valor Real'!A3:A15,'Fevereiro 2023 - Valor Real'!C3:C15,0))+1)))</f>
        <v/>
      </c>
      <c r="AF255" s="105">
        <f t="shared" si="504"/>
        <v>0</v>
      </c>
      <c r="AG255" s="106">
        <f t="shared" si="504"/>
        <v>0</v>
      </c>
      <c r="AH255" s="106">
        <f t="shared" si="504"/>
        <v>0</v>
      </c>
      <c r="AI255" s="106">
        <f t="shared" si="504"/>
        <v>0</v>
      </c>
      <c r="AJ255" s="106">
        <f t="shared" si="504"/>
        <v>0</v>
      </c>
      <c r="AK255" s="106">
        <f t="shared" si="504"/>
        <v>0</v>
      </c>
      <c r="AL255" s="106">
        <f t="shared" si="504"/>
        <v>0</v>
      </c>
      <c r="AM255" s="106">
        <f t="shared" si="504"/>
        <v>0</v>
      </c>
      <c r="AN255" s="106">
        <f t="shared" si="504"/>
        <v>0</v>
      </c>
      <c r="AO255" s="106">
        <f t="shared" si="504"/>
        <v>0</v>
      </c>
      <c r="AP255" s="106">
        <f t="shared" si="504"/>
        <v>0</v>
      </c>
      <c r="AQ255" s="106">
        <f t="shared" si="504"/>
        <v>0</v>
      </c>
      <c r="AR255" s="107">
        <f t="shared" si="504"/>
        <v>0</v>
      </c>
      <c r="AS255" s="105">
        <f>IF(AND($B253=" ",$K255=AS$3),$O255,0)</f>
        <v>0</v>
      </c>
      <c r="AT255" s="106">
        <f>IF(AND($B253=" ",K255=AT$3),$O255,0)</f>
        <v>0</v>
      </c>
      <c r="AU255" s="106">
        <f t="shared" ref="AU255:BE255" si="507">IF(AND($B253=" ",$K255=AU$3),$O255,0)</f>
        <v>0</v>
      </c>
      <c r="AV255" s="106">
        <f t="shared" si="507"/>
        <v>0</v>
      </c>
      <c r="AW255" s="106">
        <f t="shared" si="507"/>
        <v>0</v>
      </c>
      <c r="AX255" s="106">
        <f t="shared" si="507"/>
        <v>0</v>
      </c>
      <c r="AY255" s="108">
        <f t="shared" si="507"/>
        <v>0</v>
      </c>
      <c r="AZ255" s="109">
        <f t="shared" si="507"/>
        <v>0</v>
      </c>
      <c r="BA255" s="109">
        <f t="shared" si="507"/>
        <v>0</v>
      </c>
      <c r="BB255" s="109">
        <f t="shared" si="507"/>
        <v>0</v>
      </c>
      <c r="BC255" s="110">
        <f t="shared" si="507"/>
        <v>0</v>
      </c>
      <c r="BD255" s="106">
        <f t="shared" si="507"/>
        <v>0</v>
      </c>
      <c r="BE255" s="107">
        <f t="shared" si="507"/>
        <v>0</v>
      </c>
      <c r="BF255" s="105">
        <f t="shared" si="506"/>
        <v>0</v>
      </c>
      <c r="BG255" s="106">
        <f t="shared" si="506"/>
        <v>0</v>
      </c>
      <c r="BH255" s="106">
        <f t="shared" si="506"/>
        <v>0</v>
      </c>
      <c r="BI255" s="106">
        <f t="shared" si="506"/>
        <v>0</v>
      </c>
      <c r="BJ255" s="106">
        <f t="shared" si="506"/>
        <v>0</v>
      </c>
      <c r="BK255" s="106">
        <f t="shared" si="506"/>
        <v>0</v>
      </c>
      <c r="BL255" s="106">
        <f t="shared" si="506"/>
        <v>0</v>
      </c>
      <c r="BM255" s="108">
        <f t="shared" si="506"/>
        <v>0</v>
      </c>
      <c r="BN255" s="109">
        <f t="shared" si="506"/>
        <v>0</v>
      </c>
      <c r="BO255" s="109">
        <f t="shared" si="506"/>
        <v>0</v>
      </c>
      <c r="BP255" s="109">
        <f t="shared" si="506"/>
        <v>0</v>
      </c>
      <c r="BQ255" s="110">
        <f t="shared" si="506"/>
        <v>0</v>
      </c>
      <c r="BR255" s="107">
        <f t="shared" si="506"/>
        <v>0</v>
      </c>
      <c r="BS255" s="464"/>
      <c r="BT255" s="461"/>
      <c r="BU255" s="392"/>
      <c r="BV255" s="461"/>
      <c r="BW255" s="392"/>
      <c r="BX255" s="392"/>
      <c r="BY255" s="392"/>
      <c r="BZ255" s="461"/>
      <c r="CA255" s="392"/>
      <c r="CB255" s="392"/>
      <c r="CC255" s="392"/>
      <c r="CD255" s="401"/>
      <c r="CE255" s="409"/>
      <c r="CF255" s="133">
        <f t="shared" si="388"/>
        <v>0</v>
      </c>
      <c r="CG255" s="134">
        <f t="shared" si="389"/>
        <v>0</v>
      </c>
      <c r="CH255" s="134">
        <f t="shared" si="390"/>
        <v>0</v>
      </c>
      <c r="CI255" s="134">
        <f t="shared" si="391"/>
        <v>0</v>
      </c>
      <c r="CJ255" s="134">
        <f t="shared" si="392"/>
        <v>0</v>
      </c>
      <c r="CK255" s="134">
        <f t="shared" si="393"/>
        <v>0</v>
      </c>
      <c r="CL255" s="134">
        <f t="shared" si="394"/>
        <v>0</v>
      </c>
      <c r="CM255" s="134">
        <f t="shared" si="395"/>
        <v>0</v>
      </c>
      <c r="CN255" s="134">
        <f t="shared" si="396"/>
        <v>0</v>
      </c>
      <c r="CO255" s="134">
        <f t="shared" si="397"/>
        <v>0</v>
      </c>
      <c r="CP255" s="134">
        <f t="shared" si="398"/>
        <v>0</v>
      </c>
      <c r="CQ255" s="134">
        <f t="shared" si="399"/>
        <v>0</v>
      </c>
      <c r="CR255" s="134">
        <f t="shared" si="400"/>
        <v>0</v>
      </c>
      <c r="CS255" s="134">
        <f t="shared" si="401"/>
        <v>0</v>
      </c>
      <c r="CT255" s="115">
        <f t="shared" si="402"/>
        <v>0</v>
      </c>
      <c r="CU255" s="116">
        <f t="shared" si="403"/>
        <v>0</v>
      </c>
      <c r="CV255" s="116">
        <f t="shared" si="404"/>
        <v>0</v>
      </c>
      <c r="CW255" s="116">
        <f t="shared" si="405"/>
        <v>0</v>
      </c>
      <c r="CX255" s="116">
        <f t="shared" si="406"/>
        <v>0</v>
      </c>
      <c r="CY255" s="116">
        <f t="shared" si="407"/>
        <v>0</v>
      </c>
      <c r="CZ255" s="116">
        <f t="shared" si="408"/>
        <v>0</v>
      </c>
      <c r="DA255" s="116">
        <f t="shared" si="409"/>
        <v>0</v>
      </c>
      <c r="DB255" s="116">
        <f t="shared" si="410"/>
        <v>0</v>
      </c>
      <c r="DC255" s="116">
        <f t="shared" si="411"/>
        <v>0</v>
      </c>
      <c r="DD255" s="116">
        <f t="shared" si="412"/>
        <v>0</v>
      </c>
      <c r="DE255" s="117">
        <f t="shared" si="413"/>
        <v>0</v>
      </c>
      <c r="DF255" s="118">
        <f t="shared" si="415"/>
        <v>15</v>
      </c>
      <c r="DG255" s="106">
        <f t="shared" si="416"/>
        <v>19.170000000000002</v>
      </c>
      <c r="DH255" s="116">
        <f t="shared" si="417"/>
        <v>8</v>
      </c>
      <c r="DI255" s="106">
        <f t="shared" si="418"/>
        <v>33.049999999999997</v>
      </c>
      <c r="DJ255" s="201" t="str">
        <f>IF($D253="","",$D253)</f>
        <v>7</v>
      </c>
      <c r="DK255" s="466"/>
    </row>
    <row r="256" spans="1:115" ht="14.5" customHeight="1" x14ac:dyDescent="0.2">
      <c r="A256" s="487">
        <f>$A253+1</f>
        <v>85</v>
      </c>
      <c r="B256" s="506" t="str">
        <f>IF(OR(C256="W",C257="W",C258="W",C256="1/2W",C257="1/2W",C258="1/2W",C256="1/2L",C257="1/2L",C258="1/2L"),"OK",IF(OR(C256="L",C257="L",C258="L"),"LOSS",IF(OR(C256="X",C257="X",C258="X"),"Anulado"," ")))</f>
        <v>OK</v>
      </c>
      <c r="C256" s="147" t="s">
        <v>54</v>
      </c>
      <c r="D256" s="494" t="str">
        <f>IF(G256="","",$D253)</f>
        <v>7</v>
      </c>
      <c r="E256" s="511" t="str">
        <f>IF(G256=""," ","– "&amp;COUNTIF(D$4:D258,$D256))</f>
        <v>– 11</v>
      </c>
      <c r="F256" s="510" t="str">
        <f ca="1">IF(G256="","",IF(OR(AND($C256&lt;&gt;" ",$C257=" "),AND($C257&lt;&gt;" ",$C256=" "),AND(L258&gt;0,OR(AND($C258&lt;&gt;" ",OR($C256=" ",$C257=" ")),AND($C258=" ",OR($C256&lt;&gt;" ",$C257&lt;&gt;" "))))),IF(SUM(F$4:F255)=0,1,LARGE(F$4:F255,1)+1),IF(MONTH(G256)=MONTH(TODAY()),IF(AND(DAY(G256)&lt;DAY(TODAY()),$B256=" "),IF(SUM(F$4:F255)=0,1,LARGE(F$4:F255,1)+1),IF($B256=" ",IF(AND(DAY(G256)=DAY(TODAY()),HOUR(G256)&lt;=HOUR(NOW())+1),IF(AND(HOUR(G256)+2&lt;=HOUR(NOW()),DAY(G256)&lt;=DAY(TODAY()),MINUTE(G256)&lt;=MINUTE(NOW())),IF(SUM(F$4:F255)=0,1,LARGE(F$4:F255,1)+1),IF(OR(MINUTE(G256)&lt;=MINUTE(NOW()),HOUR(G256)&lt;=HOUR(NOW())),"!!!","")),""),"")),"")))</f>
        <v/>
      </c>
      <c r="G256" s="508">
        <v>44993.458333333336</v>
      </c>
      <c r="H256" s="502" t="s">
        <v>132</v>
      </c>
      <c r="I256" s="180" t="s">
        <v>76</v>
      </c>
      <c r="J256" s="181">
        <v>-2</v>
      </c>
      <c r="K256" s="150" t="s">
        <v>36</v>
      </c>
      <c r="L256" s="151">
        <v>1.9</v>
      </c>
      <c r="M256" s="152"/>
      <c r="N256" s="503">
        <v>0.1</v>
      </c>
      <c r="O256" s="153">
        <f>IF(OR(AE256="",AE257=""),"",ROUND(IF(L258&gt;0,IF(M256&gt;0,M256,IF(M257&gt;0,ROUND((M257*AE256)/AE257,IF(N256=0,2,IF(N256=0.1,1,0))),ROUND((M258*AE256)/AE258,IF(N256=0,2,IF(N256=0.1,1,0))))),IF(M256&gt;0,M256,ROUND((M257*AE256)/AE257,IF(N256=0,2,IF(N256=0.1,1,0))))),2))</f>
        <v>10</v>
      </c>
      <c r="P256" s="154">
        <f>IF(OR(L256="",O256=""),"",IF($C256="1/2W",O256/2+O256/2*L256,IF($C256="1/2L",O256/2,IF(I256="Lay",(O256*(L256/(L256-1))-O256)*(1-_xlfn.XLOOKUP(K256,'Fevereiro 2023 - Valor Real'!A3:A15,'Fevereiro 2023 - Valor Real'!C3:C15,0))+O256,(O256*L256-O256)*(1-_xlfn.XLOOKUP(K256,'Fevereiro 2023 - Valor Real'!A3:A15,'Fevereiro 2023 - Valor Real'!C3:C15,0))+O256))))</f>
        <v>19</v>
      </c>
      <c r="Q256" s="155">
        <f>IF(K256="","",IF(_xlfn.XLOOKUP(K256,K$9:K248,$DJ$9:DJ248,0,,-1)=DJ256,_xlfn.XLOOKUP(K256,K$9:K248,Q$9:Q248,1,,-1)+1,1))</f>
        <v>3</v>
      </c>
      <c r="R256" s="156">
        <f>IF(K256="","",_xlfn.XLOOKUP(K256,K$9:K248,R$9:R248,0,,-1)+IF($C256=" ",1,0))</f>
        <v>0</v>
      </c>
      <c r="S256" s="501">
        <f>IF($B256="Anulado",0,ROUND(IF(OR($B256="LOSS",$B256="OK"),IF(OR($C256="W",$C256="1/2W",$C256="1/2L"),P256-O256,IF($C256="L",-O256,0))+IF(OR($C257="W",$C257="1/2W",$C257="1/2L"),P257-O257,IF($C257="L",-O257,0))+IF(OR($C258="W",$C258="1/2W",$C258="1/2L"),P258-O258,IF($C258="L",-O258,0)),IF(AND(OR($C256="W",$C256="1/2W",$C256="1/2L"),C257="W"),P256+P257-SUM(O256:O258)+_xlfn.XLOOKUP("X",C256:C258,O256:O258,0),IF(AND(C256=TRUE,C258="W"),P256+P258-SUM(O256:O258),IF(AND(C257="W",C258="W"),P257+P258-SUM(O256:O258)+_xlfn.XLOOKUP("X",C256:C258,O256:O258,0),IF(L258&gt;0,IF(OR($C256="W",$C256="1/2W",$C256="1/2L"),P256-SUM(O256:O258)+_xlfn.XLOOKUP("X",C256:C258,O256:O258,0),IF(OR($C256="W",$C256="1/2W",$C256="1/2L"),P257-SUM(O256:O258)+_xlfn.XLOOKUP("X",C256:C258,O256:O258,0),IF(OR($C256="W",$C256="1/2W",$C256="1/2L"),P258-SUM(O256:O258)+_xlfn.XLOOKUP("X",C256:C258,O256:O258,0),IF(SUM(P256:P258)/3-SUM(O256:O258)+_xlfn.XLOOKUP("X",C256:C258,O256:O258,0)&gt;0,SUM(P256:P258)/3-SUM(O256:O258)+_xlfn.XLOOKUP("X",C256:C258,O256:O258,0),LARGE(P256:P258,1)-SUM(O256:O258))))),IF(OR($C256="W",$C256="1/2W",$C256="1/2L"),P256-SUM(O256:O257)+_xlfn.XLOOKUP("X",C256:C258,O256:O258,0),IF(OR($C256="W",$C256="1/2W",$C256="1/2L"),P257-SUM(O256:O257)+_xlfn.XLOOKUP("X",C256:C258,O256:O258,0),SUM(P256:P257)/2-SUM(O256:O257)+_xlfn.XLOOKUP("X",C256:C258,O256:O258,0)))))))),2))</f>
        <v>1.29</v>
      </c>
      <c r="T256" s="486">
        <f>IF(S256=0,0,S256/SUM(O256:O258))</f>
        <v>7.2840203274985887E-2</v>
      </c>
      <c r="U256" s="496">
        <f>IF($D256=$D253,IF(OR($B256="LOSS",$B256="OK",$B256="Anulada"),S256,0)+U253,IF(OR($B256="LOSS",$B256="OK",$B256="Anulada"),S256,0))</f>
        <v>18.7</v>
      </c>
      <c r="V256" s="496">
        <f>IF($D256="",0,IF($D256=$D253,IF($B256=" ",IF(I258="",IF(OR(AND(I256="DNB1",I257="DNB2"),AND(OR(I256="DNB1",I256="DNB2"),J257=0),AND(OR(I257="DNB1",I257="DNB2"),J256=0),AND(I256="DNB2",I257="DNB1"),AND(IF(J256=0,(J256+1)/ROUND(J256+1,0),J256/ROUND(J256,0))=1,IF(J257=0,(J257+1)/ROUND(IF(J257="",0,J257)+1,0),IF(J257="",0,J257)/ROUND(IF(J257="",1,J257),0))=1,OR(J256&lt;&gt;""),J257&lt;&gt;"")),0,IF(S256&lt;0,IF(I258="",SMALL(P256:P257,1)-SUM(O256:O257),0),SMALL(P256:P257,1)-SUM(O256:O257))),IF(S256&lt;0,IF(I258="",SMALL(P256:P258,1)-SUM(O256:O258),0),LARGE(P256:P258,1)-SUM(O256:O258))),S256)+V253,IF(I258="",IF(OR(AND(I256="DNB1",I257="DNB2"),AND(OR(I256="DNB1",I256="DNB2"),J257=0),AND(OR(I257="DNB1",I257="DNB2"),J256=0),AND(I256="DNB2",I257="DNB1"),AND(IF(J256=0,(J256+1)/ROUND(J256+1,0),J256/ROUND(J256,0))=1,IF(J257=0,(IF(J257="",0,J257)+1)/ROUND(IF(J257="",0,J257)+1,0),IF(J257="",0,J257)/ROUND(IF(J257="",0,J257)+1,0))=1,OR(J256&lt;&gt;""),J257&lt;&gt;"")),0,IF(S256&lt;0,IF(I258="",SMALL(P256:P257,1)-SUM(O256:O257),0),SMALL(P256:P258,1)-SUM(O256:O258))),IF(S256&lt;0,IF(I258="",SMALL(P256:P258,1)-SUM(O256:O258),0),LARGE(P256:P258,1)-SUM(O256:O258)))))</f>
        <v>18.700799999999997</v>
      </c>
      <c r="W256" s="496">
        <f>IF($D256=$D253,IF(S256&lt;0,IF(I258="",S256,0),S256)+W253,S256)</f>
        <v>18.7</v>
      </c>
      <c r="X256" s="505" t="str">
        <f>IF(OR(SUM(R256:R258)=0,V256=W256),ROUND(IF(W256=0,0,W256/Y256)*100,2)&amp;"%",ROUND(IF(V256=0,0,V256/Y256)*100,2)&amp;"% a "&amp;ROUND(IF(W256=0,0,W256/Y256)*100,2)&amp;"%")</f>
        <v>5,82%</v>
      </c>
      <c r="Y256" s="497">
        <f>IF($D256=$D253,Y253+SUM(O256:O258),SUM(O256:O258))</f>
        <v>321.47999999999996</v>
      </c>
      <c r="Z256" s="496">
        <f>IF($B256=" ",SUM(O256:O258),0)+Z253</f>
        <v>0</v>
      </c>
      <c r="AA256" s="496">
        <f>IF(G256="","",IF($B256="Anulado",LARGE(P256:P258,1)-SUM(O256:O258)+AA253,AA253))</f>
        <v>1.4607999999999972</v>
      </c>
      <c r="AB256" s="496">
        <f>IF($D256="","",AB253+S256)</f>
        <v>416.12</v>
      </c>
      <c r="AC256" s="499">
        <f ca="1">IF($D256="","",IF($B256=" ",IF(DAY(G256)=DAY(TODAY()),1+AC253,0+AC253),0+AC253))</f>
        <v>0</v>
      </c>
      <c r="AD256" s="157">
        <f>(1-_xlfn.XLOOKUP(K254,'Fevereiro 2023 - Valor Real'!A3:A15,'Fevereiro 2023 - Valor Real'!C3:C15,0))+1</f>
        <v>2</v>
      </c>
      <c r="AE256" s="158">
        <f>IF(L256="","",IF(L258&gt;0,(SUM(((L256-1)*(1-_xlfn.XLOOKUP(K256,'Fevereiro 2023 - Valor Real'!A3:A15,'Fevereiro 2023 - Valor Real'!C3:C15,0))+1),((L257-1)*(1-_xlfn.XLOOKUP(K257,'Fevereiro 2023 - Valor Real'!A3:A15,'Fevereiro 2023 - Valor Real'!C3:C15,0))+1),((L258-1)*(1-_xlfn.XLOOKUP(K258,'Fevereiro 2023 - Valor Real'!A3:A15,'Fevereiro 2023 - Valor Real'!C3:C15,0))+1))/((L256-1)*(1-_xlfn.XLOOKUP(K256,'Fevereiro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Real'!C3:C15,0))+1))/((L256-1)*(1-_xlfn.XLOOKUP(K256,'Fevereiro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Real'!C3:C15,0))+1))/((L257-1)*(1-_xlfn.XLOOKUP(K257,'Fevereiro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Real'!C3:C15,0))+1))/((L258-1)*(1-_xlfn.XLOOKUP(K258,'Fevereiro 2023 - Valor Real'!A3:A15,'Fevereiro 2023 - Valor Real'!C3:C15,0))+1)),IF(I256="Lay",IF(I257="Lay",((L257/(L257-1)-1)*(1-_xlfn.XLOOKUP(K257,'Fevereiro 2023 - Valor Real'!A3:A15,'Fevereiro 2023 - Valor Real'!C3:C15,0))+1)/(((L257/(L257-1)-1)*(1-_xlfn.XLOOKUP(K257,'Fevereiro 2023 - Valor Real'!A3:A15,'Fevereiro 2023 - Valor Real'!C3:C15,0))+1)+((L256/(L256-1)-1)*(1-_xlfn.XLOOKUP(K256,'Fevereiro 2023 - Valor Real'!A3:A15,'Fevereiro 2023 - Valor Real'!C3:C15,0))+1)),((L257-1)*(1-_xlfn.XLOOKUP(K257,'Fevereiro 2023 - Valor Real'!A3:A15,'Fevereiro 2023 - Valor Real'!C3:C15,0))+1)/(((L257-1)*(1-_xlfn.XLOOKUP(K257,'Fevereiro 2023 - Valor Real'!A3:A15,'Fevereiro 2023 - Valor Real'!C3:C15,0))+1)+((L256/(L256-1)-1)*(1-_xlfn.XLOOKUP(K256,'Fevereiro 2023 - Valor Real'!A3:A15,'Fevereiro 2023 - Valor Real'!C3:C15,0))+1))),IF(I257="Lay",(((L257/(L257-1)-1)*(1-_xlfn.XLOOKUP(K257,'Fevereiro 2023 - Valor Real'!A3:A15,'Fevereiro 2023 - Valor Real'!C3:C15,0))+1))/(((L256-1)*(1-_xlfn.XLOOKUP(K256,'Fevereiro 2023 - Valor Real'!A3:A15,'Fevereiro 2023 - Valor Real'!C3:C15,0))+1)+((L257/(L257-1)-1)*(1-_xlfn.XLOOKUP(K257,'Fevereiro 2023 - Valor Real'!A3:A15,'Fevereiro 2023 - Valor Real'!C3:C15,0))+1)),((L257-1)*(1-_xlfn.XLOOKUP(K257,'Fevereiro 2023 - Valor Real'!A3:A15,'Fevereiro 2023 - Valor Real'!C3:C15,0))+1)/(((L257-1)*(1-_xlfn.XLOOKUP(K257,'Fevereiro 2023 - Valor Real'!A3:A15,'Fevereiro 2023 - Valor Real'!C3:C15,0))+1)+((L256-1)*(1-_xlfn.XLOOKUP(K256,'Fevereiro 2023 - Valor Real'!A3:A15,'Fevereiro 2023 - Valor Real'!C3:C15,0))+1))))))</f>
        <v>0.56422018348623859</v>
      </c>
      <c r="AF256" s="66">
        <f t="shared" si="504"/>
        <v>9</v>
      </c>
      <c r="AG256" s="67">
        <f t="shared" si="504"/>
        <v>0</v>
      </c>
      <c r="AH256" s="67">
        <f t="shared" si="504"/>
        <v>0</v>
      </c>
      <c r="AI256" s="67">
        <f t="shared" si="504"/>
        <v>0</v>
      </c>
      <c r="AJ256" s="67">
        <f t="shared" si="504"/>
        <v>0</v>
      </c>
      <c r="AK256" s="67">
        <f t="shared" si="504"/>
        <v>0</v>
      </c>
      <c r="AL256" s="67">
        <f t="shared" si="504"/>
        <v>0</v>
      </c>
      <c r="AM256" s="67">
        <f t="shared" si="504"/>
        <v>0</v>
      </c>
      <c r="AN256" s="67">
        <f t="shared" si="504"/>
        <v>0</v>
      </c>
      <c r="AO256" s="67">
        <f t="shared" si="504"/>
        <v>0</v>
      </c>
      <c r="AP256" s="67">
        <f t="shared" si="504"/>
        <v>0</v>
      </c>
      <c r="AQ256" s="67">
        <f t="shared" si="504"/>
        <v>0</v>
      </c>
      <c r="AR256" s="68">
        <f t="shared" si="504"/>
        <v>0</v>
      </c>
      <c r="AS256" s="66">
        <f t="shared" ref="AS256:BE256" si="508">IF(AND($B256=" ",$K256=AS$3),$O256,0)</f>
        <v>0</v>
      </c>
      <c r="AT256" s="67">
        <f t="shared" si="508"/>
        <v>0</v>
      </c>
      <c r="AU256" s="67">
        <f t="shared" si="508"/>
        <v>0</v>
      </c>
      <c r="AV256" s="67">
        <f t="shared" si="508"/>
        <v>0</v>
      </c>
      <c r="AW256" s="67">
        <f t="shared" si="508"/>
        <v>0</v>
      </c>
      <c r="AX256" s="67">
        <f t="shared" si="508"/>
        <v>0</v>
      </c>
      <c r="AY256" s="69">
        <f t="shared" si="508"/>
        <v>0</v>
      </c>
      <c r="AZ256" s="70">
        <f t="shared" si="508"/>
        <v>0</v>
      </c>
      <c r="BA256" s="70">
        <f t="shared" si="508"/>
        <v>0</v>
      </c>
      <c r="BB256" s="70">
        <f t="shared" si="508"/>
        <v>0</v>
      </c>
      <c r="BC256" s="71">
        <f t="shared" si="508"/>
        <v>0</v>
      </c>
      <c r="BD256" s="67">
        <f t="shared" si="508"/>
        <v>0</v>
      </c>
      <c r="BE256" s="68">
        <f t="shared" si="508"/>
        <v>0</v>
      </c>
      <c r="BF256" s="66">
        <f t="shared" si="506"/>
        <v>10</v>
      </c>
      <c r="BG256" s="67">
        <f t="shared" si="506"/>
        <v>0</v>
      </c>
      <c r="BH256" s="67">
        <f t="shared" si="506"/>
        <v>0</v>
      </c>
      <c r="BI256" s="67">
        <f t="shared" si="506"/>
        <v>0</v>
      </c>
      <c r="BJ256" s="67">
        <f t="shared" si="506"/>
        <v>0</v>
      </c>
      <c r="BK256" s="67">
        <f t="shared" si="506"/>
        <v>0</v>
      </c>
      <c r="BL256" s="67">
        <f t="shared" si="506"/>
        <v>0</v>
      </c>
      <c r="BM256" s="69">
        <f t="shared" si="506"/>
        <v>0</v>
      </c>
      <c r="BN256" s="70">
        <f t="shared" si="506"/>
        <v>0</v>
      </c>
      <c r="BO256" s="70">
        <f t="shared" si="506"/>
        <v>0</v>
      </c>
      <c r="BP256" s="70">
        <f t="shared" si="506"/>
        <v>0</v>
      </c>
      <c r="BQ256" s="71">
        <f t="shared" si="506"/>
        <v>0</v>
      </c>
      <c r="BR256" s="68">
        <f t="shared" si="506"/>
        <v>0</v>
      </c>
      <c r="BS256" s="490">
        <f>IF($B256="LOSS",IF(AND($K256=BS$3,$C256="L"),-$O256,0)+IF(AND($K257=BS$3,$C257="L"),-$O257,0)+IF(AND($K258=BS$3,$C258="L"),-$O258,0),IF(OR(AND($K256=BS$3,OR($C256="W",$C256="1/2W")),AND($K257=BS$3,OR($C257="W",$C257="1/2W")),AND($K258=BS$3,OR($C258="W",$C258="1/2W"))),$S256,0))</f>
        <v>1.29</v>
      </c>
      <c r="BT256" s="498">
        <f>IF($B256="LOSS",IF(AND($K256=BT$3,$C256="L"),-$O256,0)+IF(AND($K257=BT$3,$C257="L"),-$O257,0)+IF(AND($K257=BT$3,$C258="L"),-$O258,0),IF(OR(AND($K257=BT$3,OR($C256="W",$C256="1/2W")),AND($K257=BT$3,OR($C257="W",$C257="1/2W")),AND($K257=BT$3,OR($C258="W",$C258="1/2W"))),$S256,0))</f>
        <v>0</v>
      </c>
      <c r="BU256" s="488">
        <f>IF($B256="LOSS",IF(AND($K256=BU$3,$C256="L"),-$O256,0)+IF(AND($K257=BU$3,$C257="L"),-$O257,0)+IF(AND($K257=BU$3,$C258="L"),-$O258,0),IF(OR(AND($K257=BU$3,OR($C256="W",$C256="1/2W")),AND($K257=BU$3,OR($C257="W",$C257="1/2W")),AND($K257=BU$3,OR($C258="W",$C258="1/2W"))),$S256,0))</f>
        <v>0</v>
      </c>
      <c r="BV256" s="488">
        <f t="shared" ref="BV256:CE256" si="509">IF($B256="LOSS",IF(AND($K256=BV$3,$C256="L"),-$O256,0)+IF(AND($K257=BV$3,$C257="L"),-$O257,0)+IF(AND($K258=BV$3,$C258="L"),-$O258,0),IF(OR(AND($K256=BV$3,OR($C256="W",$C256="1/2W")),AND($K257=BV$3,OR($C257="W",$C257="1/2W")),AND($K258=BV$3,OR($C258="W",$C258="1/2W"))),$S256,0))</f>
        <v>0</v>
      </c>
      <c r="BW256" s="488">
        <f t="shared" si="509"/>
        <v>0</v>
      </c>
      <c r="BX256" s="488">
        <f t="shared" si="509"/>
        <v>0</v>
      </c>
      <c r="BY256" s="488">
        <f t="shared" si="509"/>
        <v>0</v>
      </c>
      <c r="BZ256" s="488">
        <f t="shared" si="509"/>
        <v>0</v>
      </c>
      <c r="CA256" s="488">
        <f t="shared" si="509"/>
        <v>0</v>
      </c>
      <c r="CB256" s="488">
        <f t="shared" si="509"/>
        <v>0</v>
      </c>
      <c r="CC256" s="488">
        <f t="shared" si="509"/>
        <v>0</v>
      </c>
      <c r="CD256" s="500">
        <f t="shared" si="509"/>
        <v>0</v>
      </c>
      <c r="CE256" s="504">
        <f t="shared" si="509"/>
        <v>0</v>
      </c>
      <c r="CF256" s="160">
        <f t="shared" si="388"/>
        <v>1</v>
      </c>
      <c r="CG256" s="161">
        <f t="shared" si="389"/>
        <v>0</v>
      </c>
      <c r="CH256" s="161">
        <f t="shared" si="390"/>
        <v>0</v>
      </c>
      <c r="CI256" s="161">
        <f t="shared" si="391"/>
        <v>0</v>
      </c>
      <c r="CJ256" s="161">
        <f t="shared" si="392"/>
        <v>0</v>
      </c>
      <c r="CK256" s="161">
        <f t="shared" si="393"/>
        <v>0</v>
      </c>
      <c r="CL256" s="161">
        <f t="shared" si="394"/>
        <v>0</v>
      </c>
      <c r="CM256" s="161">
        <f t="shared" si="395"/>
        <v>0</v>
      </c>
      <c r="CN256" s="161">
        <f t="shared" si="396"/>
        <v>0</v>
      </c>
      <c r="CO256" s="161">
        <f t="shared" si="397"/>
        <v>0</v>
      </c>
      <c r="CP256" s="161">
        <f t="shared" si="398"/>
        <v>0</v>
      </c>
      <c r="CQ256" s="161">
        <f t="shared" si="399"/>
        <v>0</v>
      </c>
      <c r="CR256" s="161">
        <f t="shared" si="400"/>
        <v>0</v>
      </c>
      <c r="CS256" s="161">
        <f t="shared" si="401"/>
        <v>0</v>
      </c>
      <c r="CT256" s="75">
        <f t="shared" si="402"/>
        <v>0</v>
      </c>
      <c r="CU256" s="76">
        <f t="shared" si="403"/>
        <v>0</v>
      </c>
      <c r="CV256" s="76">
        <f t="shared" si="404"/>
        <v>0</v>
      </c>
      <c r="CW256" s="76">
        <f t="shared" si="405"/>
        <v>0</v>
      </c>
      <c r="CX256" s="76">
        <f t="shared" si="406"/>
        <v>0</v>
      </c>
      <c r="CY256" s="76">
        <f t="shared" si="407"/>
        <v>0</v>
      </c>
      <c r="CZ256" s="76">
        <f t="shared" si="408"/>
        <v>0</v>
      </c>
      <c r="DA256" s="76">
        <f t="shared" si="409"/>
        <v>0</v>
      </c>
      <c r="DB256" s="76">
        <f t="shared" si="410"/>
        <v>0</v>
      </c>
      <c r="DC256" s="76">
        <f t="shared" si="411"/>
        <v>0</v>
      </c>
      <c r="DD256" s="76">
        <f t="shared" si="412"/>
        <v>0</v>
      </c>
      <c r="DE256" s="77">
        <f t="shared" si="413"/>
        <v>0</v>
      </c>
      <c r="DF256" s="73">
        <f t="shared" si="415"/>
        <v>15</v>
      </c>
      <c r="DG256" s="67">
        <f t="shared" si="416"/>
        <v>19.170000000000002</v>
      </c>
      <c r="DH256" s="76">
        <f t="shared" si="417"/>
        <v>8</v>
      </c>
      <c r="DI256" s="67">
        <f t="shared" si="418"/>
        <v>33.049999999999997</v>
      </c>
      <c r="DJ256" s="202" t="str">
        <f>IF($D256="","",$D256)</f>
        <v>7</v>
      </c>
      <c r="DK256" s="492">
        <f>IF(AND($B256=" ",$D256&lt;&gt;""),1,0)</f>
        <v>0</v>
      </c>
    </row>
    <row r="257" spans="1:115" ht="14.5" customHeight="1" x14ac:dyDescent="0.2">
      <c r="A257" s="389"/>
      <c r="B257" s="456"/>
      <c r="C257" s="53" t="s">
        <v>55</v>
      </c>
      <c r="D257" s="374"/>
      <c r="E257" s="386"/>
      <c r="F257" s="377"/>
      <c r="G257" s="508"/>
      <c r="H257" s="476"/>
      <c r="I257" s="182" t="s">
        <v>66</v>
      </c>
      <c r="J257" s="56">
        <f>IF(OR(I256="TO",I256="TU",I256="TO1",I256="TU1",I256="TO2",I256="TU2"),J256,IF(OR(I256="AH1",I256="AH2"),IF(OR(I257="AH1",I257="AH2"),-J256,IF(OR(I257="EH1",I257="EH2"),-J256+0.5,"")),IF(OR(I256="EH1",I256="EH2"),IF(OR(I257="AH1",I257="AH2"),-J256+0.5,IF(OR(I257="EH1",I257="EH2"),-J256+1,"")),IF(AND(OR(I256="DNB1",I256="DNB2"),OR(I257="AH1",I257="AH2")),0,IF(AND(I256="Not ScoreBoth",OR(I257="TO1",I257="TO2")),0.5,"")))))</f>
        <v>2</v>
      </c>
      <c r="K257" s="57" t="s">
        <v>40</v>
      </c>
      <c r="L257" s="164">
        <v>2.46</v>
      </c>
      <c r="M257" s="165">
        <v>7.71</v>
      </c>
      <c r="N257" s="406"/>
      <c r="O257" s="60">
        <f>IF(OR(AE256="",AE257=""),"",ROUND(IF(L258&gt;0,IF(M257&gt;0,M257,IF(M256&gt;0,IF(N256=TRUE,ROUND((M256*AE257)/AE256,0),(M256*AE257)/AE256),IF(M257&gt;0,ROUND(M257,IF(N256=0,2,IF(N256=0.1,1,0))),IF(M258&gt;0,ROUND(O258*AE257/AE258,IF(N256=0,2,IF(N256=0.1,1,0))),0)))),IF(M257&gt;0,M257,ROUND((M256*AE257)/AE256,IF(N256=0,2,IF(N256=0.1,1,0))))),2))</f>
        <v>7.71</v>
      </c>
      <c r="P257" s="61">
        <f>IF(OR(L257="",O257=""),"",IF($C257="1/2W",O257/2+O257/2*L257,IF($C257="1/2L",O257/2,IF(I257="Lay",((O257*(L257/(L257-1)))-O257)*(1-_xlfn.XLOOKUP(K257,'Fevereiro 2023 - Valor Real'!A3:A15,'Fevereiro 2023 - Valor Real'!C3:C15,0))+O257,(O257*L257-O257)*(1-_xlfn.XLOOKUP(K257,'Fevereiro 2023 - Valor Real'!A3:A15,'Fevereiro 2023 - Valor Real'!C3:C15,0))+O257))))</f>
        <v>18.9666</v>
      </c>
      <c r="Q257" s="166">
        <f>IF(K257="","",IF(_xlfn.XLOOKUP(K257,K$10:K248,$DJ$10:DJ248,0,,-1)=DJ257,_xlfn.XLOOKUP(K257,K$10:K248,Q$10:Q248,1,,-1)+1,1))</f>
        <v>3</v>
      </c>
      <c r="R257" s="167">
        <f>IF(K257="","",_xlfn.XLOOKUP(K257,K$10:K248,R$10:R248,0,,-1)+IF($C257=" ",1,0))</f>
        <v>0</v>
      </c>
      <c r="S257" s="403"/>
      <c r="T257" s="380"/>
      <c r="U257" s="380"/>
      <c r="V257" s="481"/>
      <c r="W257" s="380"/>
      <c r="X257" s="452"/>
      <c r="Y257" s="383"/>
      <c r="Z257" s="384"/>
      <c r="AA257" s="384"/>
      <c r="AB257" s="384"/>
      <c r="AC257" s="384"/>
      <c r="AD257" s="64"/>
      <c r="AE257" s="65">
        <f>IF(L257="","",IF(L258&gt;0,(SUM(((L256-1)*(1-_xlfn.XLOOKUP(K256,'Fevereiro 2023 - Valor Real'!A3:A15,'Fevereiro 2023 - Valor Real'!C3:C15,0))+1),((L257-1)*(1-_xlfn.XLOOKUP(K257,'Fevereiro 2023 - Valor Real'!A3:A15,'Fevereiro 2023 - Valor Real'!C3:C15,0))+1),((L258-1)*(1-_xlfn.XLOOKUP(K258,'Fevereiro 2023 - Valor Real'!A3:A15,'Fevereiro 2023 - Valor Real'!C3:C15,0))+1))/((L257-1)*(1-_xlfn.XLOOKUP(K257,'Fevereiro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Real'!C3:C15,0))+1))/((L256-1)*(1-_xlfn.XLOOKUP(K256,'Fevereiro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Real'!C3:C15,0))+1))/((L257-1)*(1-_xlfn.XLOOKUP(K257,'Fevereiro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Real'!C3:C15,0))+1))/((L258-1)*(1-_xlfn.XLOOKUP(K258,'Fevereiro 2023 - Valor Real'!A3:A15,'Fevereiro 2023 - Valor Real'!C3:C15,0))+1)),IF(I257="Lay",IF(I256="Lay",((L256/(L256-1)-1)*(1-_xlfn.XLOOKUP(K256,'Fevereiro 2023 - Valor Real'!A3:A15,'Fevereiro 2023 - Valor Real'!C3:C15,0))+1)/(((L256/(L256-1)-1)*(1-_xlfn.XLOOKUP(K256,'Fevereiro 2023 - Valor Real'!A3:A15,'Fevereiro 2023 - Valor Real'!C3:C15,0))+1)+((L257/(L257-1)-1)*(1-_xlfn.XLOOKUP(K257,'Fevereiro 2023 - Valor Real'!A3:A15,'Fevereiro 2023 - Valor Real'!C3:C15,0))+1)),((L256-1)*(1-_xlfn.XLOOKUP(K256,'Fevereiro 2023 - Valor Real'!A3:A15,'Fevereiro 2023 - Valor Real'!C3:C15,0))+1)/(((L256-1)*(1-_xlfn.XLOOKUP(K256,'Fevereiro 2023 - Valor Real'!A3:A15,'Fevereiro 2023 - Valor Real'!C3:C15,0))+1)+((L257/(L257-1)-1)*(1-_xlfn.XLOOKUP(K257,'Fevereiro 2023 - Valor Real'!A3:A15,'Fevereiro 2023 - Valor Real'!C3:C15,0))+1))),IF(I256="Lay",((L256/(L256-1)-1)*(1-_xlfn.XLOOKUP(K256,'Fevereiro 2023 - Valor Real'!A3:A15,'Fevereiro 2023 - Valor Real'!C3:C15,0))+1)/((((L256/(L256-1)-1)*(1-_xlfn.XLOOKUP(K256,'Fevereiro 2023 - Valor Real'!A3:A15,'Fevereiro 2023 - Valor Real'!C3:C15,0))+1))+((L257-1)*(1-_xlfn.XLOOKUP(K257,'Fevereiro 2023 - Valor Real'!A3:A15,'Fevereiro 2023 - Valor Real'!C3:C15,0))+1)),((L256-1)*(1-_xlfn.XLOOKUP(K256,'Fevereiro 2023 - Valor Real'!A3:A15,'Fevereiro 2023 - Valor Real'!C3:C15,0))+1)/(((L256-1)*(1-_xlfn.XLOOKUP(K256,'Fevereiro 2023 - Valor Real'!A3:A15,'Fevereiro 2023 - Valor Real'!C3:C15,0))+1)+((L257-1)*(1-_xlfn.XLOOKUP(K257,'Fevereiro 2023 - Valor Real'!A3:A15,'Fevereiro 2023 - Valor Real'!C3:C15,0))+1))))))</f>
        <v>0.43577981651376152</v>
      </c>
      <c r="AF257" s="66">
        <f t="shared" si="504"/>
        <v>0</v>
      </c>
      <c r="AG257" s="67">
        <f t="shared" si="504"/>
        <v>0</v>
      </c>
      <c r="AH257" s="67">
        <f t="shared" si="504"/>
        <v>0</v>
      </c>
      <c r="AI257" s="67">
        <f t="shared" si="504"/>
        <v>0</v>
      </c>
      <c r="AJ257" s="67">
        <f t="shared" si="504"/>
        <v>-7.71</v>
      </c>
      <c r="AK257" s="67">
        <f t="shared" si="504"/>
        <v>0</v>
      </c>
      <c r="AL257" s="67">
        <f t="shared" si="504"/>
        <v>0</v>
      </c>
      <c r="AM257" s="67">
        <f t="shared" si="504"/>
        <v>0</v>
      </c>
      <c r="AN257" s="67">
        <f t="shared" si="504"/>
        <v>0</v>
      </c>
      <c r="AO257" s="67">
        <f t="shared" si="504"/>
        <v>0</v>
      </c>
      <c r="AP257" s="67">
        <f t="shared" si="504"/>
        <v>0</v>
      </c>
      <c r="AQ257" s="67">
        <f t="shared" si="504"/>
        <v>0</v>
      </c>
      <c r="AR257" s="68">
        <f t="shared" si="504"/>
        <v>0</v>
      </c>
      <c r="AS257" s="66">
        <f>IF(AND($B256=" ",$K257=AS$3),$O257,0)</f>
        <v>0</v>
      </c>
      <c r="AT257" s="67">
        <f>IF(AND($B256=" ",K257=AT$3),$O257,0)</f>
        <v>0</v>
      </c>
      <c r="AU257" s="67">
        <f t="shared" ref="AU257:BE257" si="510">IF(AND($B256=" ",$K257=AU$3),$O257,0)</f>
        <v>0</v>
      </c>
      <c r="AV257" s="67">
        <f t="shared" si="510"/>
        <v>0</v>
      </c>
      <c r="AW257" s="67">
        <f t="shared" si="510"/>
        <v>0</v>
      </c>
      <c r="AX257" s="67">
        <f t="shared" si="510"/>
        <v>0</v>
      </c>
      <c r="AY257" s="69">
        <f t="shared" si="510"/>
        <v>0</v>
      </c>
      <c r="AZ257" s="70">
        <f t="shared" si="510"/>
        <v>0</v>
      </c>
      <c r="BA257" s="70">
        <f t="shared" si="510"/>
        <v>0</v>
      </c>
      <c r="BB257" s="70">
        <f t="shared" si="510"/>
        <v>0</v>
      </c>
      <c r="BC257" s="71">
        <f t="shared" si="510"/>
        <v>0</v>
      </c>
      <c r="BD257" s="67">
        <f t="shared" si="510"/>
        <v>0</v>
      </c>
      <c r="BE257" s="68">
        <f t="shared" si="510"/>
        <v>0</v>
      </c>
      <c r="BF257" s="66">
        <f t="shared" si="506"/>
        <v>0</v>
      </c>
      <c r="BG257" s="168">
        <f t="shared" si="506"/>
        <v>0</v>
      </c>
      <c r="BH257" s="67">
        <f t="shared" si="506"/>
        <v>0</v>
      </c>
      <c r="BI257" s="67">
        <f t="shared" si="506"/>
        <v>0</v>
      </c>
      <c r="BJ257" s="67">
        <f t="shared" si="506"/>
        <v>7.71</v>
      </c>
      <c r="BK257" s="67">
        <f t="shared" si="506"/>
        <v>0</v>
      </c>
      <c r="BL257" s="67">
        <f t="shared" si="506"/>
        <v>0</v>
      </c>
      <c r="BM257" s="69">
        <f t="shared" si="506"/>
        <v>0</v>
      </c>
      <c r="BN257" s="70">
        <f t="shared" si="506"/>
        <v>0</v>
      </c>
      <c r="BO257" s="70">
        <f t="shared" si="506"/>
        <v>0</v>
      </c>
      <c r="BP257" s="70">
        <f t="shared" si="506"/>
        <v>0</v>
      </c>
      <c r="BQ257" s="71">
        <f t="shared" si="506"/>
        <v>0</v>
      </c>
      <c r="BR257" s="68">
        <f t="shared" si="506"/>
        <v>0</v>
      </c>
      <c r="BS257" s="491"/>
      <c r="BT257" s="489"/>
      <c r="BU257" s="392"/>
      <c r="BV257" s="489"/>
      <c r="BW257" s="392"/>
      <c r="BX257" s="392"/>
      <c r="BY257" s="392"/>
      <c r="BZ257" s="489"/>
      <c r="CA257" s="392"/>
      <c r="CB257" s="392"/>
      <c r="CC257" s="392"/>
      <c r="CD257" s="401"/>
      <c r="CE257" s="409"/>
      <c r="CF257" s="169">
        <f t="shared" si="388"/>
        <v>0</v>
      </c>
      <c r="CG257" s="170">
        <f t="shared" si="389"/>
        <v>0</v>
      </c>
      <c r="CH257" s="170">
        <f t="shared" si="390"/>
        <v>0</v>
      </c>
      <c r="CI257" s="170">
        <f t="shared" si="391"/>
        <v>0</v>
      </c>
      <c r="CJ257" s="170">
        <f t="shared" si="392"/>
        <v>0</v>
      </c>
      <c r="CK257" s="170">
        <f t="shared" si="393"/>
        <v>0</v>
      </c>
      <c r="CL257" s="170">
        <f t="shared" si="394"/>
        <v>0</v>
      </c>
      <c r="CM257" s="170">
        <f t="shared" si="395"/>
        <v>0</v>
      </c>
      <c r="CN257" s="170">
        <f t="shared" si="396"/>
        <v>0</v>
      </c>
      <c r="CO257" s="170">
        <f t="shared" si="397"/>
        <v>1</v>
      </c>
      <c r="CP257" s="170">
        <f t="shared" si="398"/>
        <v>0</v>
      </c>
      <c r="CQ257" s="170">
        <f t="shared" si="399"/>
        <v>0</v>
      </c>
      <c r="CR257" s="170">
        <f t="shared" si="400"/>
        <v>0</v>
      </c>
      <c r="CS257" s="170">
        <f t="shared" si="401"/>
        <v>0</v>
      </c>
      <c r="CT257" s="75">
        <f t="shared" si="402"/>
        <v>0</v>
      </c>
      <c r="CU257" s="76">
        <f t="shared" si="403"/>
        <v>0</v>
      </c>
      <c r="CV257" s="76">
        <f t="shared" si="404"/>
        <v>0</v>
      </c>
      <c r="CW257" s="76">
        <f t="shared" si="405"/>
        <v>0</v>
      </c>
      <c r="CX257" s="76">
        <f t="shared" si="406"/>
        <v>0</v>
      </c>
      <c r="CY257" s="76">
        <f t="shared" si="407"/>
        <v>0</v>
      </c>
      <c r="CZ257" s="76">
        <f t="shared" si="408"/>
        <v>0</v>
      </c>
      <c r="DA257" s="76">
        <f t="shared" si="409"/>
        <v>0</v>
      </c>
      <c r="DB257" s="76">
        <f t="shared" si="410"/>
        <v>0</v>
      </c>
      <c r="DC257" s="76">
        <f t="shared" si="411"/>
        <v>0</v>
      </c>
      <c r="DD257" s="76">
        <f t="shared" si="412"/>
        <v>0</v>
      </c>
      <c r="DE257" s="77">
        <f t="shared" si="413"/>
        <v>0</v>
      </c>
      <c r="DF257" s="73">
        <f t="shared" si="415"/>
        <v>15</v>
      </c>
      <c r="DG257" s="67">
        <f t="shared" si="416"/>
        <v>19.170000000000002</v>
      </c>
      <c r="DH257" s="76">
        <f t="shared" si="417"/>
        <v>8</v>
      </c>
      <c r="DI257" s="67">
        <f t="shared" si="418"/>
        <v>33.049999999999997</v>
      </c>
      <c r="DJ257" s="202" t="str">
        <f>IF($D256="","",$D256)</f>
        <v>7</v>
      </c>
      <c r="DK257" s="493"/>
    </row>
    <row r="258" spans="1:115" ht="14.5" customHeight="1" x14ac:dyDescent="0.2">
      <c r="A258" s="390"/>
      <c r="B258" s="457"/>
      <c r="C258" s="79" t="s">
        <v>53</v>
      </c>
      <c r="D258" s="375"/>
      <c r="E258" s="387"/>
      <c r="F258" s="378"/>
      <c r="G258" s="508"/>
      <c r="H258" s="477"/>
      <c r="I258" s="171"/>
      <c r="J258" s="172"/>
      <c r="K258" s="81"/>
      <c r="L258" s="173"/>
      <c r="M258" s="174"/>
      <c r="N258" s="407"/>
      <c r="O258" s="86" t="str">
        <f>IF(OR(AE256="",AE257=""),"",IF(L258&gt;0,ROUND(IF(M258&gt;0,M258,IF(M256&gt;0,ROUND((M256*AE258)/AE256,IF(N256=0,2,IF(N256=0.1,1,0))),IF(M257&gt;0,ROUND((M257*AE258)/AE257,IF(N256=0,2,IF(N256=0.1,1,0))),IF(M258&gt;0,M258,0)))),2),""))</f>
        <v/>
      </c>
      <c r="P258" s="87" t="str">
        <f>IF(I257="Lay",O257*(L257/(L257-1))-O257,IF(I256="Lay",O256*(L256/(L256-1))-O256,IF(OR(L258="",O258=""),"",IF($C258="1/2W",O258/2+O258/2*L258,IF($C258="1/2L",O258/2,(O258*L258-O258)*(1-_xlfn.XLOOKUP(K258,'Fevereiro 2023 - Valor Real'!A3:A15,'Fevereiro 2023 - Valor Real'!C3:C15,0))+O258)))))</f>
        <v/>
      </c>
      <c r="Q258" s="54" t="str">
        <f>IF(K258="","",IF(_xlfn.XLOOKUP(K258,K$11:K248,$DJ$11:DJ248,0,,-1)=DJ258,_xlfn.XLOOKUP(K258,K$11:K248,Q$11:Q248,1,,-1)+1,1))</f>
        <v/>
      </c>
      <c r="R258" s="87" t="str">
        <f>IF(K258="","",_xlfn.XLOOKUP(K258,K$11:K248,R$11:R248,0,,-1)+IF($C258=" ",1,0))</f>
        <v/>
      </c>
      <c r="S258" s="404"/>
      <c r="T258" s="378"/>
      <c r="U258" s="378"/>
      <c r="V258" s="404"/>
      <c r="W258" s="378"/>
      <c r="X258" s="453"/>
      <c r="Y258" s="383"/>
      <c r="Z258" s="384"/>
      <c r="AA258" s="384"/>
      <c r="AB258" s="384"/>
      <c r="AC258" s="384"/>
      <c r="AD258" s="90"/>
      <c r="AE258" s="91" t="str">
        <f>IF(L258="","",(SUM(((L256-1)*(1-_xlfn.XLOOKUP(K256,'Fevereiro 2023 - Valor Real'!A3:A15,'Fevereiro 2023 - Valor Real'!C3:C15,0))+1),((L257-1)*(1-_xlfn.XLOOKUP(K257,'Fevereiro 2023 - Valor Real'!A3:A15,'Fevereiro 2023 - Valor Real'!C3:C15,0))+1),((L258-1)*(1-_xlfn.XLOOKUP(K258,'Fevereiro 2023 - Valor Real'!A3:A15,'Fevereiro 2023 - Valor Real'!C3:C15,0))+1))/((L258-1)*(1-_xlfn.XLOOKUP(K258,'Fevereiro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Real'!C3:C15,0))+1))/((L256-1)*(1-_xlfn.XLOOKUP(K256,'Fevereiro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Real'!C3:C15,0))+1))/((L257-1)*(1-_xlfn.XLOOKUP(K257,'Fevereiro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Real'!C3:C15,0))+1))/((L258-1)*(1-_xlfn.XLOOKUP(K258,'Fevereiro 2023 - Valor Real'!A3:A15,'Fevereiro 2023 - Valor Real'!C3:C15,0))+1)))</f>
        <v/>
      </c>
      <c r="AF258" s="66">
        <f t="shared" si="504"/>
        <v>0</v>
      </c>
      <c r="AG258" s="67">
        <f t="shared" si="504"/>
        <v>0</v>
      </c>
      <c r="AH258" s="67">
        <f t="shared" si="504"/>
        <v>0</v>
      </c>
      <c r="AI258" s="67">
        <f t="shared" si="504"/>
        <v>0</v>
      </c>
      <c r="AJ258" s="67">
        <f t="shared" si="504"/>
        <v>0</v>
      </c>
      <c r="AK258" s="67">
        <f t="shared" si="504"/>
        <v>0</v>
      </c>
      <c r="AL258" s="67">
        <f t="shared" si="504"/>
        <v>0</v>
      </c>
      <c r="AM258" s="67">
        <f t="shared" si="504"/>
        <v>0</v>
      </c>
      <c r="AN258" s="67">
        <f t="shared" si="504"/>
        <v>0</v>
      </c>
      <c r="AO258" s="67">
        <f t="shared" si="504"/>
        <v>0</v>
      </c>
      <c r="AP258" s="67">
        <f t="shared" si="504"/>
        <v>0</v>
      </c>
      <c r="AQ258" s="67">
        <f t="shared" si="504"/>
        <v>0</v>
      </c>
      <c r="AR258" s="68">
        <f t="shared" si="504"/>
        <v>0</v>
      </c>
      <c r="AS258" s="66">
        <f>IF(AND($B256=" ",$K258=AS$3),$O258,0)</f>
        <v>0</v>
      </c>
      <c r="AT258" s="67">
        <f>IF(AND($B256=" ",K258=AT$3),$O258,0)</f>
        <v>0</v>
      </c>
      <c r="AU258" s="67">
        <f t="shared" ref="AU258:BE258" si="511">IF(AND($B256=" ",$K258=AU$3),$O258,0)</f>
        <v>0</v>
      </c>
      <c r="AV258" s="67">
        <f t="shared" si="511"/>
        <v>0</v>
      </c>
      <c r="AW258" s="67">
        <f t="shared" si="511"/>
        <v>0</v>
      </c>
      <c r="AX258" s="67">
        <f t="shared" si="511"/>
        <v>0</v>
      </c>
      <c r="AY258" s="69">
        <f t="shared" si="511"/>
        <v>0</v>
      </c>
      <c r="AZ258" s="70">
        <f t="shared" si="511"/>
        <v>0</v>
      </c>
      <c r="BA258" s="70">
        <f t="shared" si="511"/>
        <v>0</v>
      </c>
      <c r="BB258" s="70">
        <f t="shared" si="511"/>
        <v>0</v>
      </c>
      <c r="BC258" s="71">
        <f t="shared" si="511"/>
        <v>0</v>
      </c>
      <c r="BD258" s="67">
        <f t="shared" si="511"/>
        <v>0</v>
      </c>
      <c r="BE258" s="68">
        <f t="shared" si="511"/>
        <v>0</v>
      </c>
      <c r="BF258" s="66">
        <f t="shared" si="506"/>
        <v>0</v>
      </c>
      <c r="BG258" s="168">
        <f t="shared" si="506"/>
        <v>0</v>
      </c>
      <c r="BH258" s="67">
        <f t="shared" si="506"/>
        <v>0</v>
      </c>
      <c r="BI258" s="67">
        <f t="shared" si="506"/>
        <v>0</v>
      </c>
      <c r="BJ258" s="67">
        <f t="shared" si="506"/>
        <v>0</v>
      </c>
      <c r="BK258" s="67">
        <f t="shared" si="506"/>
        <v>0</v>
      </c>
      <c r="BL258" s="67">
        <f t="shared" si="506"/>
        <v>0</v>
      </c>
      <c r="BM258" s="69">
        <f t="shared" si="506"/>
        <v>0</v>
      </c>
      <c r="BN258" s="70">
        <f t="shared" si="506"/>
        <v>0</v>
      </c>
      <c r="BO258" s="70">
        <f t="shared" si="506"/>
        <v>0</v>
      </c>
      <c r="BP258" s="70">
        <f t="shared" si="506"/>
        <v>0</v>
      </c>
      <c r="BQ258" s="71">
        <f t="shared" si="506"/>
        <v>0</v>
      </c>
      <c r="BR258" s="68">
        <f t="shared" si="506"/>
        <v>0</v>
      </c>
      <c r="BS258" s="491"/>
      <c r="BT258" s="489"/>
      <c r="BU258" s="392"/>
      <c r="BV258" s="489"/>
      <c r="BW258" s="392"/>
      <c r="BX258" s="392"/>
      <c r="BY258" s="392"/>
      <c r="BZ258" s="489"/>
      <c r="CA258" s="392"/>
      <c r="CB258" s="392"/>
      <c r="CC258" s="392"/>
      <c r="CD258" s="401"/>
      <c r="CE258" s="409"/>
      <c r="CF258" s="169">
        <f t="shared" si="388"/>
        <v>0</v>
      </c>
      <c r="CG258" s="170">
        <f t="shared" si="389"/>
        <v>0</v>
      </c>
      <c r="CH258" s="170">
        <f t="shared" si="390"/>
        <v>0</v>
      </c>
      <c r="CI258" s="170">
        <f t="shared" si="391"/>
        <v>0</v>
      </c>
      <c r="CJ258" s="170">
        <f t="shared" si="392"/>
        <v>0</v>
      </c>
      <c r="CK258" s="170">
        <f t="shared" si="393"/>
        <v>0</v>
      </c>
      <c r="CL258" s="170">
        <f t="shared" si="394"/>
        <v>0</v>
      </c>
      <c r="CM258" s="170">
        <f t="shared" si="395"/>
        <v>0</v>
      </c>
      <c r="CN258" s="170">
        <f t="shared" si="396"/>
        <v>0</v>
      </c>
      <c r="CO258" s="170">
        <f t="shared" si="397"/>
        <v>0</v>
      </c>
      <c r="CP258" s="170">
        <f t="shared" si="398"/>
        <v>0</v>
      </c>
      <c r="CQ258" s="170">
        <f t="shared" si="399"/>
        <v>0</v>
      </c>
      <c r="CR258" s="170">
        <f t="shared" si="400"/>
        <v>0</v>
      </c>
      <c r="CS258" s="170">
        <f t="shared" si="401"/>
        <v>0</v>
      </c>
      <c r="CT258" s="75">
        <f t="shared" si="402"/>
        <v>0</v>
      </c>
      <c r="CU258" s="76">
        <f t="shared" si="403"/>
        <v>0</v>
      </c>
      <c r="CV258" s="76">
        <f t="shared" si="404"/>
        <v>0</v>
      </c>
      <c r="CW258" s="76">
        <f t="shared" si="405"/>
        <v>0</v>
      </c>
      <c r="CX258" s="76">
        <f t="shared" si="406"/>
        <v>0</v>
      </c>
      <c r="CY258" s="76">
        <f t="shared" si="407"/>
        <v>0</v>
      </c>
      <c r="CZ258" s="76">
        <f t="shared" si="408"/>
        <v>0</v>
      </c>
      <c r="DA258" s="76">
        <f t="shared" si="409"/>
        <v>0</v>
      </c>
      <c r="DB258" s="76">
        <f t="shared" si="410"/>
        <v>0</v>
      </c>
      <c r="DC258" s="76">
        <f t="shared" si="411"/>
        <v>0</v>
      </c>
      <c r="DD258" s="76">
        <f t="shared" si="412"/>
        <v>0</v>
      </c>
      <c r="DE258" s="77">
        <f t="shared" si="413"/>
        <v>0</v>
      </c>
      <c r="DF258" s="73">
        <f t="shared" si="415"/>
        <v>15</v>
      </c>
      <c r="DG258" s="67">
        <f t="shared" si="416"/>
        <v>19.170000000000002</v>
      </c>
      <c r="DH258" s="76">
        <f t="shared" si="417"/>
        <v>8</v>
      </c>
      <c r="DI258" s="67">
        <f t="shared" si="418"/>
        <v>33.049999999999997</v>
      </c>
      <c r="DJ258" s="202" t="str">
        <f>IF($D256="","",$D256)</f>
        <v>7</v>
      </c>
      <c r="DK258" s="493"/>
    </row>
    <row r="259" spans="1:115" ht="14.5" customHeight="1" x14ac:dyDescent="0.2">
      <c r="A259" s="459">
        <f>$A256+1</f>
        <v>86</v>
      </c>
      <c r="B259" s="507" t="str">
        <f>IF(OR(C259="W",C260="W",C261="W",C259="1/2W",C260="1/2W",C261="1/2W",C259="1/2L",C260="1/2L",C261="1/2L"),"OK",IF(OR(C259="L",C260="L",C261="L"),"LOSS",IF(OR(C259="X",C260="X",C261="X"),"Anulado"," ")))</f>
        <v>OK</v>
      </c>
      <c r="C259" s="93" t="s">
        <v>54</v>
      </c>
      <c r="D259" s="468" t="s">
        <v>133</v>
      </c>
      <c r="E259" s="485" t="str">
        <f>IF(G259=""," ","– "&amp;COUNTIF(D$4:D261,$D259))</f>
        <v>– 1</v>
      </c>
      <c r="F259" s="509" t="str">
        <f ca="1">IF(G259="","",IF(OR(AND($C259&lt;&gt;" ",$C260=" "),AND($C260&lt;&gt;" ",$C259=" "),AND(L261&gt;0,OR(AND($C261&lt;&gt;" ",OR($C259=" ",$C260=" ")),AND($C261=" ",OR($C259&lt;&gt;" ",$C260&lt;&gt;" "))))),IF(SUM(F$4:F258)=0,1,LARGE(F$4:F258,1)+1),IF(MONTH(G259)=MONTH(TODAY()),IF(AND(DAY(G259)&lt;DAY(TODAY()),$B259=" "),IF(SUM(F$4:F258)=0,1,LARGE(F$4:F258,1)+1),IF($B259=" ",IF(AND(DAY(G259)=DAY(TODAY()),HOUR(G259)&lt;=HOUR(NOW())+1),IF(AND(HOUR(G259)+2&lt;=HOUR(NOW()),DAY(G259)&lt;=DAY(TODAY()),MINUTE(G259)&lt;=MINUTE(NOW())),IF(SUM(F$4:F258)=0,1,LARGE(F$4:F258,1)+1),IF(OR(MINUTE(G259)&lt;=MINUTE(NOW()),HOUR(G259)&lt;=HOUR(NOW())),"!!!","")),""),"")),"")))</f>
        <v/>
      </c>
      <c r="G259" s="482">
        <v>44993.583333333336</v>
      </c>
      <c r="H259" s="475" t="s">
        <v>134</v>
      </c>
      <c r="I259" s="175">
        <v>2</v>
      </c>
      <c r="J259" s="176"/>
      <c r="K259" s="96" t="s">
        <v>40</v>
      </c>
      <c r="L259" s="97">
        <v>1.49</v>
      </c>
      <c r="M259" s="98">
        <v>10.7</v>
      </c>
      <c r="N259" s="478">
        <v>0</v>
      </c>
      <c r="O259" s="99">
        <f>IF(OR(AE259="",AE260=""),"",ROUND(IF(L261&gt;0,IF(M259&gt;0,M259,IF(M260&gt;0,ROUND((M260*AE259)/AE260,IF(N259=0,2,IF(N259=0.1,1,0))),ROUND((M261*AE259)/AE261,IF(N259=0,2,IF(N259=0.1,1,0))))),IF(M259&gt;0,M259,ROUND((M260*AE259)/AE260,IF(N259=0,2,IF(N259=0.1,1,0))))),2))</f>
        <v>10.7</v>
      </c>
      <c r="P259" s="100">
        <f>IF(OR(L259="",O259=""),"",IF($C259="1/2W",O259/2+O259/2*L259,IF($C259="1/2L",O259/2,IF(I259="Lay",(O259*(L259/(L259-1))-O259)*(1-_xlfn.XLOOKUP(K259,'Fevereiro 2023 - Valor Real'!A3:A15,'Fevereiro 2023 - Valor Real'!C3:C15,0))+O259,(O259*L259-O259)*(1-_xlfn.XLOOKUP(K259,'Fevereiro 2023 - Valor Real'!A3:A15,'Fevereiro 2023 - Valor Real'!C3:C15,0))+O259))))</f>
        <v>15.943</v>
      </c>
      <c r="Q259" s="101">
        <f>IF(K259="","",IF(_xlfn.XLOOKUP(K259,K$6:K254,$DJ$6:DJ254,0,,-1)=DJ259,_xlfn.XLOOKUP(K259,K$6:K254,Q$6:Q254,1,,-1)+1,1))</f>
        <v>1</v>
      </c>
      <c r="R259" s="102">
        <f>IF(K259="","",_xlfn.XLOOKUP(K259,K$6:K254,R$6:R254,0,,-1)+IF($C259=" ",1,0))</f>
        <v>0</v>
      </c>
      <c r="S259" s="474">
        <f>IF($B259="Anulado",0,ROUND(IF(OR($B259="LOSS",$B259="OK"),IF(OR($C259="W",$C259="1/2W",$C259="1/2L"),P259-O259,IF($C259="L",-O259,0))+IF(OR($C260="W",$C260="1/2W",$C260="1/2L"),P260-O260,IF($C260="L",-O260,0))+IF(OR($C261="W",$C261="1/2W",$C261="1/2L"),P261-O261,IF($C261="L",-O261,0)),IF(AND(OR($C259="W",$C259="1/2W",$C259="1/2L"),C260="W"),P259+P260-SUM(O259:O261)+_xlfn.XLOOKUP("X",C259:C261,O259:O261,0),IF(AND(C259=TRUE,C261="W"),P259+P261-SUM(O259:O261),IF(AND(C260="W",C261="W"),P260+P261-SUM(O259:O261)+_xlfn.XLOOKUP("X",C259:C261,O259:O261,0),IF(L261&gt;0,IF(OR($C259="W",$C259="1/2W",$C259="1/2L"),P259-SUM(O259:O261)+_xlfn.XLOOKUP("X",C259:C261,O259:O261,0),IF(OR($C259="W",$C259="1/2W",$C259="1/2L"),P260-SUM(O259:O261)+_xlfn.XLOOKUP("X",C259:C261,O259:O261,0),IF(OR($C259="W",$C259="1/2W",$C259="1/2L"),P261-SUM(O259:O261)+_xlfn.XLOOKUP("X",C259:C261,O259:O261,0),IF(SUM(P259:P261)/3-SUM(O259:O261)+_xlfn.XLOOKUP("X",C259:C261,O259:O261,0)&gt;0,SUM(P259:P261)/3-SUM(O259:O261)+_xlfn.XLOOKUP("X",C259:C261,O259:O261,0),LARGE(P259:P261,1)-SUM(O259:O261))))),IF(OR($C259="W",$C259="1/2W",$C259="1/2L"),P259-SUM(O259:O260)+_xlfn.XLOOKUP("X",C259:C261,O259:O261,0),IF(OR($C259="W",$C259="1/2W",$C259="1/2L"),P260-SUM(O259:O260)+_xlfn.XLOOKUP("X",C259:C261,O259:O261,0),SUM(P259:P260)/2-SUM(O259:O260)+_xlfn.XLOOKUP("X",C259:C261,O259:O261,0)))))))),2))</f>
        <v>0.89</v>
      </c>
      <c r="T259" s="458">
        <f>IF(S259=0,0,S259/SUM(O259:O261))</f>
        <v>5.9136212624584725E-2</v>
      </c>
      <c r="U259" s="470">
        <f>IF($D259=$D256,IF(OR($B259="LOSS",$B259="OK",$B259="Anulada"),S259,0)+U256,IF(OR($B259="LOSS",$B259="OK",$B259="Anulada"),S259,0))</f>
        <v>0.89</v>
      </c>
      <c r="V259" s="470">
        <f>IF($D259="",0,IF($D259=$D256,IF($B259=" ",IF(I261="",IF(OR(AND(I259="DNB1",I260="DNB2"),AND(OR(I259="DNB1",I259="DNB2"),J260=0),AND(OR(I260="DNB1",I260="DNB2"),J259=0),AND(I259="DNB2",I260="DNB1"),AND(IF(J259=0,(J259+1)/ROUND(J259+1,0),J259/ROUND(J259,0))=1,IF(J260=0,(J260+1)/ROUND(IF(J260="",0,J260)+1,0),IF(J260="",0,J260)/ROUND(IF(J260="",1,J260),0))=1,OR(J259&lt;&gt;""),J260&lt;&gt;"")),0,IF(S259&lt;0,IF(I261="",SMALL(P259:P260,1)-SUM(O259:O260),0),SMALL(P259:P260,1)-SUM(O259:O260))),IF(S259&lt;0,IF(I261="",SMALL(P259:P261,1)-SUM(O259:O261),0),LARGE(P259:P261,1)-SUM(O259:O261))),S259)+V256,IF(I261="",IF(OR(AND(I259="DNB1",I260="DNB2"),AND(OR(I259="DNB1",I259="DNB2"),J260=0),AND(OR(I260="DNB1",I260="DNB2"),J259=0),AND(I259="DNB2",I260="DNB1"),AND(IF(J259=0,(J259+1)/ROUND(J259+1,0),J259/ROUND(J259,0))=1,IF(J260=0,(IF(J260="",0,J260)+1)/ROUND(IF(J260="",0,J260)+1,0),IF(J260="",0,J260)/ROUND(IF(J260="",0,J260)+1,0))=1,OR(J259&lt;&gt;""),J260&lt;&gt;"")),0,IF(S259&lt;0,IF(I261="",SMALL(P259:P260,1)-SUM(O259:O260),0),SMALL(P259:P261,1)-SUM(O259:O261))),IF(S259&lt;0,IF(I261="",SMALL(P259:P261,1)-SUM(O259:O261),0),LARGE(P259:P261,1)-SUM(O259:O261)))))</f>
        <v>1.0449999999999999</v>
      </c>
      <c r="W259" s="470">
        <f>IF($D259=$D256,IF(S259&lt;0,IF(I261="",S259,0),S259)+W256,S259)</f>
        <v>0.89</v>
      </c>
      <c r="X259" s="480" t="str">
        <f>IF(OR(SUM(R259:R261)=0,V259=W259),ROUND(IF(W259=0,0,W259/Y259)*100,2)&amp;"%",ROUND(IF(V259=0,0,V259/Y259)*100,2)&amp;"% a "&amp;ROUND(IF(W259=0,0,W259/Y259)*100,2)&amp;"%")</f>
        <v>5,91%</v>
      </c>
      <c r="Y259" s="471">
        <f>IF($D259=$D256,Y256+SUM(O259:O261),SUM(O259:O261))</f>
        <v>15.049999999999999</v>
      </c>
      <c r="Z259" s="470">
        <f>IF($B259=" ",SUM(O259:O261),0)+Z256</f>
        <v>0</v>
      </c>
      <c r="AA259" s="470">
        <f>IF(G259="","",IF($B259="Anulado",LARGE(P259:P261,1)-SUM(O259:O261)+AA256,AA256))</f>
        <v>1.4607999999999972</v>
      </c>
      <c r="AB259" s="470">
        <f>IF($D259="","",AB256+S259)</f>
        <v>417.01</v>
      </c>
      <c r="AC259" s="472">
        <f ca="1">IF($D259="","",IF($B259=" ",IF(DAY(G259)=DAY(TODAY()),1+AC256,0+AC256),0+AC256))</f>
        <v>0</v>
      </c>
      <c r="AD259" s="103">
        <f>(((L260/(L260-1)-1)*(1-_xlfn.XLOOKUP(K260,'Fevereiro 2023 - Valor Real'!A3:A15,'Fevereiro 2023 - Valor Real'!C3:C15,0))+1))/(((L259-1)*(1-_xlfn.XLOOKUP(K259,'Fevereiro 2023 - Valor Real'!A3:A15,'Fevereiro 2023 - Valor Real'!C3:C15,0))+1)+((L260/(L260-1)-1)*(1-_xlfn.XLOOKUP(K260,'Fevereiro 2023 - Valor Real'!A3:A15,'Fevereiro 2023 - Valor Real'!C3:C15,0))+1))</f>
        <v>0.4302103250478011</v>
      </c>
      <c r="AE259" s="104">
        <f>IF(L259="","",IF(L261&gt;0,(SUM(((L259-1)*(1-_xlfn.XLOOKUP(K259,'Fevereiro 2023 - Valor Real'!A3:A15,'Fevereiro 2023 - Valor Real'!C3:C15,0))+1),((L260-1)*(1-_xlfn.XLOOKUP(K260,'Fevereiro 2023 - Valor Real'!A3:A15,'Fevereiro 2023 - Valor Real'!C3:C15,0))+1),((L261-1)*(1-_xlfn.XLOOKUP(K261,'Fevereiro 2023 - Valor Real'!A3:A15,'Fevereiro 2023 - Valor Real'!C3:C15,0))+1))/((L259-1)*(1-_xlfn.XLOOKUP(K259,'Fevereiro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Real'!C3:C15,0))+1))/((L259-1)*(1-_xlfn.XLOOKUP(K259,'Fevereiro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Real'!C3:C15,0))+1))/((L260-1)*(1-_xlfn.XLOOKUP(K260,'Fevereiro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Real'!C3:C15,0))+1))/((L261-1)*(1-_xlfn.XLOOKUP(K261,'Fevereiro 2023 - Valor Real'!A3:A15,'Fevereiro 2023 - Valor Real'!C3:C15,0))+1)),IF(I259="Lay",IF(I260="Lay",((L260/(L260-1)-1)*(1-_xlfn.XLOOKUP(K260,'Fevereiro 2023 - Valor Real'!A3:A15,'Fevereiro 2023 - Valor Real'!C3:C15,0))+1)/(((L260/(L260-1)-1)*(1-_xlfn.XLOOKUP(K260,'Fevereiro 2023 - Valor Real'!A3:A15,'Fevereiro 2023 - Valor Real'!C3:C15,0))+1)+((L259/(L259-1)-1)*(1-_xlfn.XLOOKUP(K259,'Fevereiro 2023 - Valor Real'!A3:A15,'Fevereiro 2023 - Valor Real'!C3:C15,0))+1)),((L260-1)*(1-_xlfn.XLOOKUP(K260,'Fevereiro 2023 - Valor Real'!A3:A15,'Fevereiro 2023 - Valor Real'!C3:C15,0))+1)/(((L260-1)*(1-_xlfn.XLOOKUP(K260,'Fevereiro 2023 - Valor Real'!A3:A15,'Fevereiro 2023 - Valor Real'!C3:C15,0))+1)+((L259/(L259-1)-1)*(1-_xlfn.XLOOKUP(K259,'Fevereiro 2023 - Valor Real'!A3:A15,'Fevereiro 2023 - Valor Real'!C3:C15,0))+1))),IF(I260="Lay",(((L260/(L260-1)-1)*(1-_xlfn.XLOOKUP(K260,'Fevereiro 2023 - Valor Real'!A3:A15,'Fevereiro 2023 - Valor Real'!C3:C15,0))+1))/(((L259-1)*(1-_xlfn.XLOOKUP(K259,'Fevereiro 2023 - Valor Real'!A3:A15,'Fevereiro 2023 - Valor Real'!C3:C15,0))+1)+((L260/(L260-1)-1)*(1-_xlfn.XLOOKUP(K260,'Fevereiro 2023 - Valor Real'!A3:A15,'Fevereiro 2023 - Valor Real'!C3:C15,0))+1)),((L260-1)*(1-_xlfn.XLOOKUP(K260,'Fevereiro 2023 - Valor Real'!A3:A15,'Fevereiro 2023 - Valor Real'!C3:C15,0))+1)/(((L260-1)*(1-_xlfn.XLOOKUP(K260,'Fevereiro 2023 - Valor Real'!A3:A15,'Fevereiro 2023 - Valor Real'!C3:C15,0))+1)+((L259-1)*(1-_xlfn.XLOOKUP(K259,'Fevereiro 2023 - Valor Real'!A3:A15,'Fevereiro 2023 - Valor Real'!C3:C15,0))+1))))))</f>
        <v>0.69733838711703977</v>
      </c>
      <c r="AF259" s="105">
        <f t="shared" si="504"/>
        <v>0</v>
      </c>
      <c r="AG259" s="106">
        <f t="shared" si="504"/>
        <v>0</v>
      </c>
      <c r="AH259" s="106">
        <f t="shared" si="504"/>
        <v>0</v>
      </c>
      <c r="AI259" s="106">
        <f t="shared" si="504"/>
        <v>0</v>
      </c>
      <c r="AJ259" s="106">
        <f t="shared" si="504"/>
        <v>5.24</v>
      </c>
      <c r="AK259" s="106">
        <f t="shared" si="504"/>
        <v>0</v>
      </c>
      <c r="AL259" s="106">
        <f t="shared" si="504"/>
        <v>0</v>
      </c>
      <c r="AM259" s="106">
        <f t="shared" si="504"/>
        <v>0</v>
      </c>
      <c r="AN259" s="106">
        <f t="shared" si="504"/>
        <v>0</v>
      </c>
      <c r="AO259" s="106">
        <f t="shared" si="504"/>
        <v>0</v>
      </c>
      <c r="AP259" s="106">
        <f t="shared" si="504"/>
        <v>0</v>
      </c>
      <c r="AQ259" s="106">
        <f t="shared" si="504"/>
        <v>0</v>
      </c>
      <c r="AR259" s="107">
        <f t="shared" si="504"/>
        <v>0</v>
      </c>
      <c r="AS259" s="105">
        <f t="shared" ref="AS259:BE259" si="512">IF(AND($B259=" ",$K259=AS$3),$O259,0)</f>
        <v>0</v>
      </c>
      <c r="AT259" s="106">
        <f t="shared" si="512"/>
        <v>0</v>
      </c>
      <c r="AU259" s="106">
        <f t="shared" si="512"/>
        <v>0</v>
      </c>
      <c r="AV259" s="106">
        <f t="shared" si="512"/>
        <v>0</v>
      </c>
      <c r="AW259" s="106">
        <f t="shared" si="512"/>
        <v>0</v>
      </c>
      <c r="AX259" s="106">
        <f t="shared" si="512"/>
        <v>0</v>
      </c>
      <c r="AY259" s="108">
        <f t="shared" si="512"/>
        <v>0</v>
      </c>
      <c r="AZ259" s="109">
        <f t="shared" si="512"/>
        <v>0</v>
      </c>
      <c r="BA259" s="109">
        <f t="shared" si="512"/>
        <v>0</v>
      </c>
      <c r="BB259" s="109">
        <f t="shared" si="512"/>
        <v>0</v>
      </c>
      <c r="BC259" s="110">
        <f t="shared" si="512"/>
        <v>0</v>
      </c>
      <c r="BD259" s="106">
        <f t="shared" si="512"/>
        <v>0</v>
      </c>
      <c r="BE259" s="107">
        <f t="shared" si="512"/>
        <v>0</v>
      </c>
      <c r="BF259" s="111">
        <f t="shared" si="506"/>
        <v>0</v>
      </c>
      <c r="BG259" s="106">
        <f t="shared" si="506"/>
        <v>0</v>
      </c>
      <c r="BH259" s="106">
        <f t="shared" si="506"/>
        <v>0</v>
      </c>
      <c r="BI259" s="106">
        <f t="shared" si="506"/>
        <v>0</v>
      </c>
      <c r="BJ259" s="106">
        <f t="shared" si="506"/>
        <v>10.7</v>
      </c>
      <c r="BK259" s="106">
        <f t="shared" si="506"/>
        <v>0</v>
      </c>
      <c r="BL259" s="106">
        <f t="shared" si="506"/>
        <v>0</v>
      </c>
      <c r="BM259" s="108">
        <f t="shared" si="506"/>
        <v>0</v>
      </c>
      <c r="BN259" s="109">
        <f t="shared" si="506"/>
        <v>0</v>
      </c>
      <c r="BO259" s="109">
        <f t="shared" si="506"/>
        <v>0</v>
      </c>
      <c r="BP259" s="109">
        <f t="shared" si="506"/>
        <v>0</v>
      </c>
      <c r="BQ259" s="110">
        <f t="shared" si="506"/>
        <v>0</v>
      </c>
      <c r="BR259" s="107">
        <f t="shared" si="506"/>
        <v>0</v>
      </c>
      <c r="BS259" s="463">
        <f>IF($B259="LOSS",IF(AND($K259=BS$3,$C259="L"),-$O259,0)+IF(AND($K260=BS$3,$C260="L"),-$O260,0)+IF(AND($K261=BS$3,$C261="L"),-$O261,0),IF(OR(AND($K259=BS$3,OR($C259="W",$C259="1/2W")),AND($K260=BS$3,OR($C260="W",$C260="1/2W")),AND($K261=BS$3,OR($C261="W",$C261="1/2W"))),$S259,0))</f>
        <v>0</v>
      </c>
      <c r="BT259" s="462">
        <f>IF($B259="LOSS",IF(AND($K259=BT$3,$C259="L"),-$O259,0)+IF(AND($K260=BT$3,$C260="L"),-$O260,0)+IF(AND($K260=BT$3,$C261="L"),-$O261,0),IF(OR(AND($K260=BT$3,OR($C259="W",$C259="1/2W")),AND($K260=BT$3,OR($C260="W",$C260="1/2W")),AND($K260=BT$3,OR($C261="W",$C261="1/2W"))),$S259,0))</f>
        <v>0.89</v>
      </c>
      <c r="BU259" s="462">
        <f>IF($B259="LOSS",IF(AND($K259=BU$3,$C259="L"),-$O259,0)+IF(AND($K260=BU$3,$C260="L"),-$O260,0)+IF(AND($K260=BU$3,$C261="L"),-$O261,0),IF(OR(AND($K260=BU$3,OR($C259="W",$C259="1/2W")),AND($K260=BU$3,OR($C260="W",$C260="1/2W")),AND($K260=BU$3,OR($C261="W",$C261="1/2W"))),$S259,0))</f>
        <v>0</v>
      </c>
      <c r="BV259" s="462">
        <f t="shared" ref="BV259:CE259" si="513">IF($B259="LOSS",IF(AND($K259=BV$3,$C259="L"),-$O259,0)+IF(AND($K260=BV$3,$C260="L"),-$O260,0)+IF(AND($K261=BV$3,$C261="L"),-$O261,0),IF(OR(AND($K259=BV$3,OR($C259="W",$C259="1/2W")),AND($K260=BV$3,OR($C260="W",$C260="1/2W")),AND($K261=BV$3,OR($C261="W",$C261="1/2W"))),$S259,0))</f>
        <v>0</v>
      </c>
      <c r="BW259" s="462">
        <f t="shared" si="513"/>
        <v>0.89</v>
      </c>
      <c r="BX259" s="462">
        <f t="shared" si="513"/>
        <v>0</v>
      </c>
      <c r="BY259" s="462">
        <f t="shared" si="513"/>
        <v>0</v>
      </c>
      <c r="BZ259" s="460">
        <f t="shared" si="513"/>
        <v>0</v>
      </c>
      <c r="CA259" s="460">
        <f t="shared" si="513"/>
        <v>0</v>
      </c>
      <c r="CB259" s="460">
        <f t="shared" si="513"/>
        <v>0</v>
      </c>
      <c r="CC259" s="460">
        <f t="shared" si="513"/>
        <v>0</v>
      </c>
      <c r="CD259" s="473">
        <f t="shared" si="513"/>
        <v>0</v>
      </c>
      <c r="CE259" s="479">
        <f t="shared" si="513"/>
        <v>0</v>
      </c>
      <c r="CF259" s="113">
        <f t="shared" si="388"/>
        <v>0</v>
      </c>
      <c r="CG259" s="114">
        <f t="shared" si="389"/>
        <v>0</v>
      </c>
      <c r="CH259" s="114">
        <f t="shared" si="390"/>
        <v>0</v>
      </c>
      <c r="CI259" s="114">
        <f t="shared" si="391"/>
        <v>0</v>
      </c>
      <c r="CJ259" s="114">
        <f t="shared" si="392"/>
        <v>0</v>
      </c>
      <c r="CK259" s="114">
        <f t="shared" si="393"/>
        <v>0</v>
      </c>
      <c r="CL259" s="114">
        <f t="shared" si="394"/>
        <v>0</v>
      </c>
      <c r="CM259" s="114">
        <f t="shared" si="395"/>
        <v>0</v>
      </c>
      <c r="CN259" s="114">
        <f t="shared" si="396"/>
        <v>1</v>
      </c>
      <c r="CO259" s="114">
        <f t="shared" si="397"/>
        <v>0</v>
      </c>
      <c r="CP259" s="114">
        <f t="shared" si="398"/>
        <v>0</v>
      </c>
      <c r="CQ259" s="114">
        <f t="shared" si="399"/>
        <v>0</v>
      </c>
      <c r="CR259" s="114">
        <f t="shared" si="400"/>
        <v>0</v>
      </c>
      <c r="CS259" s="114">
        <f t="shared" si="401"/>
        <v>0</v>
      </c>
      <c r="CT259" s="115">
        <f t="shared" si="402"/>
        <v>0</v>
      </c>
      <c r="CU259" s="116">
        <f t="shared" si="403"/>
        <v>0</v>
      </c>
      <c r="CV259" s="116">
        <f t="shared" si="404"/>
        <v>0</v>
      </c>
      <c r="CW259" s="116">
        <f t="shared" si="405"/>
        <v>0</v>
      </c>
      <c r="CX259" s="116">
        <f t="shared" si="406"/>
        <v>0</v>
      </c>
      <c r="CY259" s="116">
        <f t="shared" si="407"/>
        <v>0</v>
      </c>
      <c r="CZ259" s="116">
        <f t="shared" si="408"/>
        <v>0</v>
      </c>
      <c r="DA259" s="116">
        <f t="shared" si="409"/>
        <v>0</v>
      </c>
      <c r="DB259" s="116">
        <f t="shared" si="410"/>
        <v>0</v>
      </c>
      <c r="DC259" s="116">
        <f t="shared" si="411"/>
        <v>0</v>
      </c>
      <c r="DD259" s="116">
        <f t="shared" si="412"/>
        <v>0</v>
      </c>
      <c r="DE259" s="117">
        <f t="shared" si="413"/>
        <v>0</v>
      </c>
      <c r="DF259" s="118">
        <f t="shared" si="415"/>
        <v>16</v>
      </c>
      <c r="DG259" s="106">
        <f t="shared" si="416"/>
        <v>20.66</v>
      </c>
      <c r="DH259" s="116">
        <f t="shared" si="417"/>
        <v>8</v>
      </c>
      <c r="DI259" s="106">
        <f t="shared" si="418"/>
        <v>33.049999999999997</v>
      </c>
      <c r="DJ259" s="201" t="str">
        <f>IF($D259="","",$D259)</f>
        <v>8</v>
      </c>
      <c r="DK259" s="465">
        <f>IF(AND($B259=" ",$D259&lt;&gt;""),1,0)</f>
        <v>0</v>
      </c>
    </row>
    <row r="260" spans="1:115" ht="14.5" customHeight="1" x14ac:dyDescent="0.2">
      <c r="A260" s="389"/>
      <c r="B260" s="456"/>
      <c r="C260" s="120" t="s">
        <v>55</v>
      </c>
      <c r="D260" s="374"/>
      <c r="E260" s="386"/>
      <c r="F260" s="377"/>
      <c r="G260" s="483"/>
      <c r="H260" s="476"/>
      <c r="I260" s="121" t="s">
        <v>49</v>
      </c>
      <c r="J260" s="220"/>
      <c r="K260" s="123" t="s">
        <v>37</v>
      </c>
      <c r="L260" s="124">
        <v>9</v>
      </c>
      <c r="M260" s="125">
        <v>1.45</v>
      </c>
      <c r="N260" s="406"/>
      <c r="O260" s="126">
        <f>IF(OR(AE259="",AE260=""),"",ROUND(IF(L261&gt;0,IF(M260&gt;0,M260,IF(M259&gt;0,IF(N259=TRUE,ROUND((M259*AE260)/AE259,0),(M259*AE260)/AE259),IF(M260&gt;0,ROUND(M260,IF(N259=0,2,IF(N259=0.1,1,0))),IF(M261&gt;0,ROUND(O261*AE260/AE261,IF(N259=0,2,IF(N259=0.1,1,0))),0)))),IF(M260&gt;0,M260,ROUND((M259*AE260)/AE259,IF(N259=0,2,IF(N259=0.1,1,0))))),2))</f>
        <v>1.45</v>
      </c>
      <c r="P260" s="127">
        <f>IF(OR(L260="",O260=""),"",IF($C260="1/2W",O260/2+O260/2*L260,IF($C260="1/2L",O260/2,IF(I260="Lay",((O260*(L260/(L260-1)))-O260)*(1-_xlfn.XLOOKUP(K260,'Fevereiro 2023 - Valor Real'!A3:A15,'Fevereiro 2023 - Valor Real'!C3:C15,0))+O260,(O260*L260-O260)*(1-_xlfn.XLOOKUP(K260,'Fevereiro 2023 - Valor Real'!A3:A15,'Fevereiro 2023 - Valor Real'!C3:C15,0))+O260))))</f>
        <v>13.049999999999999</v>
      </c>
      <c r="Q260" s="128">
        <f>IF(K260="","",IF(_xlfn.XLOOKUP(K260,K$7:K254,$DJ$7:DJ254,0,,-1)=DJ260,_xlfn.XLOOKUP(K260,K$7:K254,Q$7:Q254,1,,-1)+1,1))</f>
        <v>1</v>
      </c>
      <c r="R260" s="129">
        <f>IF(K260="","",_xlfn.XLOOKUP(K260,K$7:K254,R$7:R254,0,,-1)+IF($C260=" ",1,0))</f>
        <v>0</v>
      </c>
      <c r="S260" s="403"/>
      <c r="T260" s="380"/>
      <c r="U260" s="380"/>
      <c r="V260" s="481"/>
      <c r="W260" s="380"/>
      <c r="X260" s="452"/>
      <c r="Y260" s="383"/>
      <c r="Z260" s="384"/>
      <c r="AA260" s="384"/>
      <c r="AB260" s="384"/>
      <c r="AC260" s="384"/>
      <c r="AD260" s="130">
        <f>(((L260/(L260-1)-1)*(1-_xlfn.XLOOKUP(K260,'Fevereiro 2023 - Valor Real'!A3:A15,'Fevereiro 2023 - Valor Real'!C3:C15,0))+1))</f>
        <v>1.125</v>
      </c>
      <c r="AE260" s="131">
        <f>IF(L260="","",IF(L261&gt;0,(SUM(((L259-1)*(1-_xlfn.XLOOKUP(K259,'Fevereiro 2023 - Valor Real'!A3:A15,'Fevereiro 2023 - Valor Real'!C3:C15,0))+1),((L260-1)*(1-_xlfn.XLOOKUP(K260,'Fevereiro 2023 - Valor Real'!A3:A15,'Fevereiro 2023 - Valor Real'!C3:C15,0))+1),((L261-1)*(1-_xlfn.XLOOKUP(K261,'Fevereiro 2023 - Valor Real'!A3:A15,'Fevereiro 2023 - Valor Real'!C3:C15,0))+1))/((L260-1)*(1-_xlfn.XLOOKUP(K260,'Fevereiro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Real'!C3:C15,0))+1))/((L259-1)*(1-_xlfn.XLOOKUP(K259,'Fevereiro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Real'!C3:C15,0))+1))/((L260-1)*(1-_xlfn.XLOOKUP(K260,'Fevereiro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Real'!C3:C15,0))+1))/((L261-1)*(1-_xlfn.XLOOKUP(K261,'Fevereiro 2023 - Valor Real'!A3:A15,'Fevereiro 2023 - Valor Real'!C3:C15,0))+1)),IF(I260="Lay",IF(I259="Lay",((L259/(L259-1)-1)*(1-_xlfn.XLOOKUP(K259,'Fevereiro 2023 - Valor Real'!A3:A15,'Fevereiro 2023 - Valor Real'!C3:C15,0))+1)/(((L259/(L259-1)-1)*(1-_xlfn.XLOOKUP(K259,'Fevereiro 2023 - Valor Real'!A3:A15,'Fevereiro 2023 - Valor Real'!C3:C15,0))+1)+((L260/(L260-1)-1)*(1-_xlfn.XLOOKUP(K260,'Fevereiro 2023 - Valor Real'!A3:A15,'Fevereiro 2023 - Valor Real'!C3:C15,0))+1)),((L259-1)*(1-_xlfn.XLOOKUP(K259,'Fevereiro 2023 - Valor Real'!A3:A15,'Fevereiro 2023 - Valor Real'!C3:C15,0))+1)/(((L259-1)*(1-_xlfn.XLOOKUP(K259,'Fevereiro 2023 - Valor Real'!A3:A15,'Fevereiro 2023 - Valor Real'!C3:C15,0))+1)+((L260/(L260-1)-1)*(1-_xlfn.XLOOKUP(K260,'Fevereiro 2023 - Valor Real'!A3:A15,'Fevereiro 2023 - Valor Real'!C3:C15,0))+1))),IF(I259="Lay",((L259/(L259-1)-1)*(1-_xlfn.XLOOKUP(K259,'Fevereiro 2023 - Valor Real'!A3:A15,'Fevereiro 2023 - Valor Real'!C3:C15,0))+1)/((((L259/(L259-1)-1)*(1-_xlfn.XLOOKUP(K259,'Fevereiro 2023 - Valor Real'!A3:A15,'Fevereiro 2023 - Valor Real'!C3:C15,0))+1))+((L260-1)*(1-_xlfn.XLOOKUP(K260,'Fevereiro 2023 - Valor Real'!A3:A15,'Fevereiro 2023 - Valor Real'!C3:C15,0))+1)),((L259-1)*(1-_xlfn.XLOOKUP(K259,'Fevereiro 2023 - Valor Real'!A3:A15,'Fevereiro 2023 - Valor Real'!C3:C15,0))+1)/(((L259-1)*(1-_xlfn.XLOOKUP(K259,'Fevereiro 2023 - Valor Real'!A3:A15,'Fevereiro 2023 - Valor Real'!C3:C15,0))+1)+((L260-1)*(1-_xlfn.XLOOKUP(K260,'Fevereiro 2023 - Valor Real'!A3:A15,'Fevereiro 2023 - Valor Real'!C3:C15,0))+1))))))</f>
        <v>0.11544824408937659</v>
      </c>
      <c r="AF260" s="105">
        <f t="shared" si="504"/>
        <v>0</v>
      </c>
      <c r="AG260" s="106">
        <f t="shared" si="504"/>
        <v>-1.45</v>
      </c>
      <c r="AH260" s="106">
        <f t="shared" si="504"/>
        <v>0</v>
      </c>
      <c r="AI260" s="106">
        <f t="shared" si="504"/>
        <v>0</v>
      </c>
      <c r="AJ260" s="106">
        <f t="shared" si="504"/>
        <v>0</v>
      </c>
      <c r="AK260" s="106">
        <f t="shared" si="504"/>
        <v>0</v>
      </c>
      <c r="AL260" s="106">
        <f t="shared" si="504"/>
        <v>0</v>
      </c>
      <c r="AM260" s="106">
        <f t="shared" si="504"/>
        <v>0</v>
      </c>
      <c r="AN260" s="106">
        <f t="shared" si="504"/>
        <v>0</v>
      </c>
      <c r="AO260" s="106">
        <f t="shared" si="504"/>
        <v>0</v>
      </c>
      <c r="AP260" s="106">
        <f t="shared" si="504"/>
        <v>0</v>
      </c>
      <c r="AQ260" s="106">
        <f t="shared" si="504"/>
        <v>0</v>
      </c>
      <c r="AR260" s="107">
        <f t="shared" si="504"/>
        <v>0</v>
      </c>
      <c r="AS260" s="105">
        <f>IF(AND($B259=" ",$K260=AS$3),$O260,0)</f>
        <v>0</v>
      </c>
      <c r="AT260" s="106">
        <f>IF(AND($B259=" ",K260=AT$3),$O260,0)</f>
        <v>0</v>
      </c>
      <c r="AU260" s="106">
        <f t="shared" ref="AU260:BE260" si="514">IF(AND($B259=" ",$K260=AU$3),$O260,0)</f>
        <v>0</v>
      </c>
      <c r="AV260" s="106">
        <f t="shared" si="514"/>
        <v>0</v>
      </c>
      <c r="AW260" s="106">
        <f t="shared" si="514"/>
        <v>0</v>
      </c>
      <c r="AX260" s="106">
        <f t="shared" si="514"/>
        <v>0</v>
      </c>
      <c r="AY260" s="108">
        <f t="shared" si="514"/>
        <v>0</v>
      </c>
      <c r="AZ260" s="109">
        <f t="shared" si="514"/>
        <v>0</v>
      </c>
      <c r="BA260" s="109">
        <f t="shared" si="514"/>
        <v>0</v>
      </c>
      <c r="BB260" s="109">
        <f t="shared" si="514"/>
        <v>0</v>
      </c>
      <c r="BC260" s="110">
        <f t="shared" si="514"/>
        <v>0</v>
      </c>
      <c r="BD260" s="106">
        <f t="shared" si="514"/>
        <v>0</v>
      </c>
      <c r="BE260" s="107">
        <f t="shared" si="514"/>
        <v>0</v>
      </c>
      <c r="BF260" s="105">
        <f t="shared" si="506"/>
        <v>0</v>
      </c>
      <c r="BG260" s="106">
        <f t="shared" si="506"/>
        <v>1.45</v>
      </c>
      <c r="BH260" s="106">
        <f t="shared" si="506"/>
        <v>0</v>
      </c>
      <c r="BI260" s="106">
        <f t="shared" si="506"/>
        <v>0</v>
      </c>
      <c r="BJ260" s="106">
        <f t="shared" si="506"/>
        <v>0</v>
      </c>
      <c r="BK260" s="106">
        <f t="shared" si="506"/>
        <v>0</v>
      </c>
      <c r="BL260" s="106">
        <f t="shared" si="506"/>
        <v>0</v>
      </c>
      <c r="BM260" s="132">
        <f t="shared" si="506"/>
        <v>0</v>
      </c>
      <c r="BN260" s="112">
        <f t="shared" si="506"/>
        <v>0</v>
      </c>
      <c r="BO260" s="112">
        <f t="shared" si="506"/>
        <v>0</v>
      </c>
      <c r="BP260" s="112">
        <f t="shared" si="506"/>
        <v>0</v>
      </c>
      <c r="BQ260" s="110">
        <f t="shared" si="506"/>
        <v>0</v>
      </c>
      <c r="BR260" s="107">
        <f t="shared" si="506"/>
        <v>0</v>
      </c>
      <c r="BS260" s="464"/>
      <c r="BT260" s="461"/>
      <c r="BU260" s="392"/>
      <c r="BV260" s="461"/>
      <c r="BW260" s="392"/>
      <c r="BX260" s="392"/>
      <c r="BY260" s="392"/>
      <c r="BZ260" s="461"/>
      <c r="CA260" s="392"/>
      <c r="CB260" s="392"/>
      <c r="CC260" s="392"/>
      <c r="CD260" s="401"/>
      <c r="CE260" s="409"/>
      <c r="CF260" s="133">
        <f t="shared" ref="CF260:CF323" si="515">IF(CF$3=$K260,IF($C260="W",1,IF($C260="1/2W",0.5,0)),0)</f>
        <v>0</v>
      </c>
      <c r="CG260" s="134">
        <f t="shared" ref="CG260:CG323" si="516">IF(CF$3=$K260,IF($C260="L",1,IF($C260="1/2L",0.5,0)),0)</f>
        <v>0</v>
      </c>
      <c r="CH260" s="134">
        <f t="shared" ref="CH260:CH323" si="517">IF(CH$3=$K260,IF($C260="W",1,IF($C260="1/2W",0.5,0)),0)</f>
        <v>0</v>
      </c>
      <c r="CI260" s="134">
        <f t="shared" ref="CI260:CI323" si="518">IF(CH$3=$K260,IF($C260="L",1,IF($C260="1/2L",0.5,0)),0)</f>
        <v>1</v>
      </c>
      <c r="CJ260" s="134">
        <f t="shared" ref="CJ260:CJ323" si="519">IF(CJ$3=$K260,IF($C260="W",1,IF($C260="1/2W",0.5,0)),0)</f>
        <v>0</v>
      </c>
      <c r="CK260" s="134">
        <f t="shared" ref="CK260:CK323" si="520">IF(CJ$3=$K260,IF($C260="L",1,IF($C260="1/2L",0.5,0)),0)</f>
        <v>0</v>
      </c>
      <c r="CL260" s="134">
        <f t="shared" ref="CL260:CL323" si="521">IF(CL$3=$K260,IF($C260="W",1,IF($C260="1/2W",0.5,0)),0)</f>
        <v>0</v>
      </c>
      <c r="CM260" s="134">
        <f t="shared" ref="CM260:CM323" si="522">IF(CL$3=$K260,IF($C260="L",1,IF($C260="1/2L",0.5,0)),0)</f>
        <v>0</v>
      </c>
      <c r="CN260" s="134">
        <f t="shared" ref="CN260:CN323" si="523">IF(CN$3=$K260,IF($C260="W",1,IF($C260="1/2W",0.5,0)),0)</f>
        <v>0</v>
      </c>
      <c r="CO260" s="134">
        <f t="shared" ref="CO260:CO323" si="524">IF(CN$3=$K260,IF($C260="L",1,IF($C260="1/2L",0.5,0)),0)</f>
        <v>0</v>
      </c>
      <c r="CP260" s="134">
        <f t="shared" ref="CP260:CP323" si="525">IF(CP$3=$K260,IF($C260="W",1,IF($C260="1/2W",0.5,0)),0)</f>
        <v>0</v>
      </c>
      <c r="CQ260" s="134">
        <f t="shared" ref="CQ260:CQ323" si="526">IF(CP$3=$K260,IF($C260="L",1,IF($C260="1/2L",0.5,0)),0)</f>
        <v>0</v>
      </c>
      <c r="CR260" s="134">
        <f t="shared" ref="CR260:CR323" si="527">IF(CR$3=$K260,IF($C260="W",1,IF($C260="1/2W",0.5,0)),0)</f>
        <v>0</v>
      </c>
      <c r="CS260" s="134">
        <f t="shared" ref="CS260:CS323" si="528">IF(CR$3=$K260,IF($C260="L",1,IF($C260="1/2L",0.5,0)),0)</f>
        <v>0</v>
      </c>
      <c r="CT260" s="115">
        <f t="shared" ref="CT260:CT323" si="529">IF(CT$3=$K260,IF($C260="W",1,IF($C260="1/2W",0.5,0)),0)</f>
        <v>0</v>
      </c>
      <c r="CU260" s="116">
        <f t="shared" ref="CU260:CU323" si="530">IF(CT$3=$K260,IF($C260="L",1,IF($C260="1/2L",0.5,0)),0)</f>
        <v>0</v>
      </c>
      <c r="CV260" s="116">
        <f t="shared" ref="CV260:CV323" si="531">IF(CV$3=$K260,IF($C260="W",1,IF($C260="1/2W",0.5,0)),0)</f>
        <v>0</v>
      </c>
      <c r="CW260" s="116">
        <f t="shared" ref="CW260:CW323" si="532">IF(CV$3=$K260,IF($C260="L",1,IF($C260="1/2L",0.5,0)),0)</f>
        <v>0</v>
      </c>
      <c r="CX260" s="116">
        <f t="shared" ref="CX260:CX323" si="533">IF(CX$3=$K260,IF($C260="W",1,IF($C260="1/2W",0.5,0)),0)</f>
        <v>0</v>
      </c>
      <c r="CY260" s="116">
        <f t="shared" ref="CY260:CY323" si="534">IF(CX$3=$K260,IF($C260="L",1,IF($C260="1/2L",0.5,0)),0)</f>
        <v>0</v>
      </c>
      <c r="CZ260" s="116">
        <f t="shared" ref="CZ260:CZ323" si="535">IF(CZ$3=$K260,IF($C260="W",1,IF($C260="1/2W",0.5,0)),0)</f>
        <v>0</v>
      </c>
      <c r="DA260" s="116">
        <f t="shared" ref="DA260:DA323" si="536">IF(CZ$3=$K260,IF($C260="L",1,IF($C260="1/2L",0.5,0)),0)</f>
        <v>0</v>
      </c>
      <c r="DB260" s="116">
        <f t="shared" ref="DB260:DB323" si="537">IF(DB$3=$K260,IF($C260="W",1,IF($C260="1/2W",0.5,0)),0)</f>
        <v>0</v>
      </c>
      <c r="DC260" s="116">
        <f t="shared" ref="DC260:DC323" si="538">IF(DB$3=$K260,IF($C260="L",1,IF($C260="1/2L",0.5,0)),0)</f>
        <v>0</v>
      </c>
      <c r="DD260" s="116">
        <f t="shared" ref="DD260:DD323" si="539">IF(DD$3=$K260,IF($C260="W",1,IF($C260="1/2W",0.5,0)),0)</f>
        <v>0</v>
      </c>
      <c r="DE260" s="117">
        <f t="shared" ref="DE260:DE323" si="540">IF(DD$3=$K260,IF($C260="L",1,IF($C260="1/2L",0.5,0)),0)</f>
        <v>0</v>
      </c>
      <c r="DF260" s="118">
        <f t="shared" si="415"/>
        <v>16</v>
      </c>
      <c r="DG260" s="106">
        <f t="shared" si="416"/>
        <v>20.66</v>
      </c>
      <c r="DH260" s="116">
        <f t="shared" si="417"/>
        <v>8</v>
      </c>
      <c r="DI260" s="106">
        <f t="shared" si="418"/>
        <v>33.049999999999997</v>
      </c>
      <c r="DJ260" s="201" t="str">
        <f>IF($D259="","",$D259)</f>
        <v>8</v>
      </c>
      <c r="DK260" s="466"/>
    </row>
    <row r="261" spans="1:115" ht="14.5" customHeight="1" x14ac:dyDescent="0.2">
      <c r="A261" s="390"/>
      <c r="B261" s="457"/>
      <c r="C261" s="135" t="s">
        <v>55</v>
      </c>
      <c r="D261" s="375"/>
      <c r="E261" s="387"/>
      <c r="F261" s="378"/>
      <c r="G261" s="484"/>
      <c r="H261" s="477"/>
      <c r="I261" s="203" t="s">
        <v>63</v>
      </c>
      <c r="J261" s="137"/>
      <c r="K261" s="193" t="s">
        <v>47</v>
      </c>
      <c r="L261" s="194">
        <v>5.55</v>
      </c>
      <c r="M261" s="140">
        <v>2.9</v>
      </c>
      <c r="N261" s="407"/>
      <c r="O261" s="195">
        <f>IF(OR(AE259="",AE260=""),"",IF(L261&gt;0,ROUND(IF(M261&gt;0,M261,IF(M259&gt;0,ROUND((M259*AE261)/AE259,IF(N259=0,2,IF(N259=0.1,1,0))),IF(M260&gt;0,ROUND((M260*AE261)/AE260,IF(N259=0,2,IF(N259=0.1,1,0))),IF(M261&gt;0,M261,0)))),2),""))</f>
        <v>2.9</v>
      </c>
      <c r="P261" s="196">
        <f>IF(I260="Lay",O260*(L260/(L260-1))-O260,IF(I259="Lay",O259*(L259/(L259-1))-O259,IF(OR(L261="",O261=""),"",IF($C261="1/2W",O261/2+O261/2*L261,IF($C261="1/2L",O261/2,(O261*L261-O261)*(1-_xlfn.XLOOKUP(K261,'Fevereiro 2023 - Valor Real'!A3:A15,'Fevereiro 2023 - Valor Real'!C3:C15,0))+O261)))))</f>
        <v>16.094999999999999</v>
      </c>
      <c r="Q261" s="197">
        <f>IF(K261="","",IF(_xlfn.XLOOKUP(K261,K$8:K254,$DJ$8:DJ254,0,,-1)=DJ261,_xlfn.XLOOKUP(K261,K$8:K254,Q$8:Q254,1,,-1)+1,1))</f>
        <v>1</v>
      </c>
      <c r="R261" s="198">
        <f>IF(K261="","",_xlfn.XLOOKUP(K261,K$8:K254,R$8:R254,0,,-1)+IF($C261=" ",1,0))</f>
        <v>0</v>
      </c>
      <c r="S261" s="404"/>
      <c r="T261" s="378"/>
      <c r="U261" s="378"/>
      <c r="V261" s="404"/>
      <c r="W261" s="378"/>
      <c r="X261" s="453"/>
      <c r="Y261" s="383"/>
      <c r="Z261" s="384"/>
      <c r="AA261" s="384"/>
      <c r="AB261" s="384"/>
      <c r="AC261" s="384"/>
      <c r="AD261" s="145">
        <f>((L260/(L260-1)-1))</f>
        <v>0.125</v>
      </c>
      <c r="AE261" s="199">
        <f>IF(L261="","",(SUM(((L259-1)*(1-_xlfn.XLOOKUP(K259,'Fevereiro 2023 - Valor Real'!A3:A15,'Fevereiro 2023 - Valor Real'!C3:C15,0))+1),((L260-1)*(1-_xlfn.XLOOKUP(K260,'Fevereiro 2023 - Valor Real'!A3:A15,'Fevereiro 2023 - Valor Real'!C3:C15,0))+1),((L261-1)*(1-_xlfn.XLOOKUP(K261,'Fevereiro 2023 - Valor Real'!A3:A15,'Fevereiro 2023 - Valor Real'!C3:C15,0))+1))/((L261-1)*(1-_xlfn.XLOOKUP(K261,'Fevereiro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Real'!C3:C15,0))+1))/((L259-1)*(1-_xlfn.XLOOKUP(K259,'Fevereiro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Real'!C3:C15,0))+1))/((L260-1)*(1-_xlfn.XLOOKUP(K260,'Fevereiro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Real'!C3:C15,0))+1))/((L261-1)*(1-_xlfn.XLOOKUP(K261,'Fevereiro 2023 - Valor Real'!A3:A15,'Fevereiro 2023 - Valor Real'!C3:C15,0))+1)))</f>
        <v>0.18721336879358366</v>
      </c>
      <c r="AF261" s="105">
        <f t="shared" si="504"/>
        <v>0</v>
      </c>
      <c r="AG261" s="106">
        <f t="shared" si="504"/>
        <v>0</v>
      </c>
      <c r="AH261" s="106">
        <f t="shared" si="504"/>
        <v>0</v>
      </c>
      <c r="AI261" s="106">
        <f t="shared" si="504"/>
        <v>0</v>
      </c>
      <c r="AJ261" s="106">
        <f t="shared" si="504"/>
        <v>0</v>
      </c>
      <c r="AK261" s="106">
        <f t="shared" si="504"/>
        <v>0</v>
      </c>
      <c r="AL261" s="106">
        <f t="shared" si="504"/>
        <v>0</v>
      </c>
      <c r="AM261" s="106">
        <f t="shared" si="504"/>
        <v>0</v>
      </c>
      <c r="AN261" s="106">
        <f t="shared" si="504"/>
        <v>0</v>
      </c>
      <c r="AO261" s="106">
        <f t="shared" si="504"/>
        <v>0</v>
      </c>
      <c r="AP261" s="106">
        <f t="shared" si="504"/>
        <v>0</v>
      </c>
      <c r="AQ261" s="106">
        <f t="shared" si="504"/>
        <v>-2.9</v>
      </c>
      <c r="AR261" s="107">
        <f t="shared" si="504"/>
        <v>0</v>
      </c>
      <c r="AS261" s="105">
        <f>IF(AND($B259=" ",$K261=AS$3),$O261,0)</f>
        <v>0</v>
      </c>
      <c r="AT261" s="106">
        <f>IF(AND($B259=" ",K261=AT$3),$O261,0)</f>
        <v>0</v>
      </c>
      <c r="AU261" s="106">
        <f t="shared" ref="AU261:BE261" si="541">IF(AND($B259=" ",$K261=AU$3),$O261,0)</f>
        <v>0</v>
      </c>
      <c r="AV261" s="106">
        <f t="shared" si="541"/>
        <v>0</v>
      </c>
      <c r="AW261" s="106">
        <f t="shared" si="541"/>
        <v>0</v>
      </c>
      <c r="AX261" s="106">
        <f t="shared" si="541"/>
        <v>0</v>
      </c>
      <c r="AY261" s="108">
        <f t="shared" si="541"/>
        <v>0</v>
      </c>
      <c r="AZ261" s="109">
        <f t="shared" si="541"/>
        <v>0</v>
      </c>
      <c r="BA261" s="109">
        <f t="shared" si="541"/>
        <v>0</v>
      </c>
      <c r="BB261" s="109">
        <f t="shared" si="541"/>
        <v>0</v>
      </c>
      <c r="BC261" s="110">
        <f t="shared" si="541"/>
        <v>0</v>
      </c>
      <c r="BD261" s="106">
        <f t="shared" si="541"/>
        <v>0</v>
      </c>
      <c r="BE261" s="107">
        <f t="shared" si="541"/>
        <v>0</v>
      </c>
      <c r="BF261" s="105">
        <f t="shared" si="506"/>
        <v>0</v>
      </c>
      <c r="BG261" s="106">
        <f t="shared" si="506"/>
        <v>0</v>
      </c>
      <c r="BH261" s="106">
        <f t="shared" si="506"/>
        <v>0</v>
      </c>
      <c r="BI261" s="106">
        <f t="shared" si="506"/>
        <v>0</v>
      </c>
      <c r="BJ261" s="106">
        <f t="shared" si="506"/>
        <v>0</v>
      </c>
      <c r="BK261" s="106">
        <f t="shared" si="506"/>
        <v>0</v>
      </c>
      <c r="BL261" s="106">
        <f t="shared" si="506"/>
        <v>0</v>
      </c>
      <c r="BM261" s="108">
        <f t="shared" si="506"/>
        <v>0</v>
      </c>
      <c r="BN261" s="109">
        <f t="shared" si="506"/>
        <v>0</v>
      </c>
      <c r="BO261" s="109">
        <f t="shared" si="506"/>
        <v>0</v>
      </c>
      <c r="BP261" s="109">
        <f t="shared" si="506"/>
        <v>0</v>
      </c>
      <c r="BQ261" s="110">
        <f t="shared" si="506"/>
        <v>2.9</v>
      </c>
      <c r="BR261" s="107">
        <f t="shared" si="506"/>
        <v>0</v>
      </c>
      <c r="BS261" s="464"/>
      <c r="BT261" s="461"/>
      <c r="BU261" s="392"/>
      <c r="BV261" s="461"/>
      <c r="BW261" s="392"/>
      <c r="BX261" s="392"/>
      <c r="BY261" s="392"/>
      <c r="BZ261" s="461"/>
      <c r="CA261" s="392"/>
      <c r="CB261" s="392"/>
      <c r="CC261" s="392"/>
      <c r="CD261" s="401"/>
      <c r="CE261" s="409"/>
      <c r="CF261" s="133">
        <f t="shared" si="515"/>
        <v>0</v>
      </c>
      <c r="CG261" s="134">
        <f t="shared" si="516"/>
        <v>0</v>
      </c>
      <c r="CH261" s="134">
        <f t="shared" si="517"/>
        <v>0</v>
      </c>
      <c r="CI261" s="134">
        <f t="shared" si="518"/>
        <v>0</v>
      </c>
      <c r="CJ261" s="134">
        <f t="shared" si="519"/>
        <v>0</v>
      </c>
      <c r="CK261" s="134">
        <f t="shared" si="520"/>
        <v>0</v>
      </c>
      <c r="CL261" s="134">
        <f t="shared" si="521"/>
        <v>0</v>
      </c>
      <c r="CM261" s="134">
        <f t="shared" si="522"/>
        <v>0</v>
      </c>
      <c r="CN261" s="134">
        <f t="shared" si="523"/>
        <v>0</v>
      </c>
      <c r="CO261" s="134">
        <f t="shared" si="524"/>
        <v>0</v>
      </c>
      <c r="CP261" s="134">
        <f t="shared" si="525"/>
        <v>0</v>
      </c>
      <c r="CQ261" s="134">
        <f t="shared" si="526"/>
        <v>0</v>
      </c>
      <c r="CR261" s="134">
        <f t="shared" si="527"/>
        <v>0</v>
      </c>
      <c r="CS261" s="134">
        <f t="shared" si="528"/>
        <v>0</v>
      </c>
      <c r="CT261" s="115">
        <f t="shared" si="529"/>
        <v>0</v>
      </c>
      <c r="CU261" s="116">
        <f t="shared" si="530"/>
        <v>0</v>
      </c>
      <c r="CV261" s="116">
        <f t="shared" si="531"/>
        <v>0</v>
      </c>
      <c r="CW261" s="116">
        <f t="shared" si="532"/>
        <v>0</v>
      </c>
      <c r="CX261" s="116">
        <f t="shared" si="533"/>
        <v>0</v>
      </c>
      <c r="CY261" s="116">
        <f t="shared" si="534"/>
        <v>0</v>
      </c>
      <c r="CZ261" s="116">
        <f t="shared" si="535"/>
        <v>0</v>
      </c>
      <c r="DA261" s="116">
        <f t="shared" si="536"/>
        <v>0</v>
      </c>
      <c r="DB261" s="116">
        <f t="shared" si="537"/>
        <v>0</v>
      </c>
      <c r="DC261" s="116">
        <f t="shared" si="538"/>
        <v>1</v>
      </c>
      <c r="DD261" s="116">
        <f t="shared" si="539"/>
        <v>0</v>
      </c>
      <c r="DE261" s="117">
        <f t="shared" si="540"/>
        <v>0</v>
      </c>
      <c r="DF261" s="118">
        <f t="shared" ref="DF261:DF324" si="542">IF(AND(L261&lt;DF$3,$C261="W"),1+DF260,DF260)</f>
        <v>16</v>
      </c>
      <c r="DG261" s="106">
        <f t="shared" ref="DG261:DG324" si="543">IF(DF261&gt;DF260,L261+DG260,DG260)</f>
        <v>20.66</v>
      </c>
      <c r="DH261" s="116">
        <f t="shared" ref="DH261:DH324" si="544">IF(AND(L261&gt;DH$3,$C261="W"),1+DH260,0+DH260)</f>
        <v>8</v>
      </c>
      <c r="DI261" s="106">
        <f t="shared" ref="DI261:DI324" si="545">IF(DH261&gt;DH260,L261+DI260,DI260)</f>
        <v>33.049999999999997</v>
      </c>
      <c r="DJ261" s="201" t="str">
        <f>IF($D259="","",$D259)</f>
        <v>8</v>
      </c>
      <c r="DK261" s="466"/>
    </row>
    <row r="262" spans="1:115" ht="14.5" customHeight="1" x14ac:dyDescent="0.2">
      <c r="A262" s="487">
        <f>$A259+1</f>
        <v>87</v>
      </c>
      <c r="B262" s="506" t="str">
        <f>IF(OR(C262="W",C263="W",C264="W",C262="1/2W",C263="1/2W",C264="1/2W",C262="1/2L",C263="1/2L",C264="1/2L"),"OK",IF(OR(C262="L",C263="L",C264="L"),"LOSS",IF(OR(C262="X",C263="X",C264="X"),"Anulado"," ")))</f>
        <v>OK</v>
      </c>
      <c r="C262" s="147" t="s">
        <v>54</v>
      </c>
      <c r="D262" s="494" t="str">
        <f>IF(G262="","",$D259)</f>
        <v>8</v>
      </c>
      <c r="E262" s="511" t="str">
        <f>IF(G262=""," ","– "&amp;COUNTIF(D$4:D264,$D262))</f>
        <v>– 2</v>
      </c>
      <c r="F262" s="510" t="str">
        <f ca="1">IF(G262="","",IF(OR(AND($C262&lt;&gt;" ",$C263=" "),AND($C263&lt;&gt;" ",$C262=" "),AND(L264&gt;0,OR(AND($C264&lt;&gt;" ",OR($C262=" ",$C263=" ")),AND($C264=" ",OR($C262&lt;&gt;" ",$C263&lt;&gt;" "))))),IF(SUM(F$4:F261)=0,1,LARGE(F$4:F261,1)+1),IF(MONTH(G262)=MONTH(TODAY()),IF(AND(DAY(G262)&lt;DAY(TODAY()),$B262=" "),IF(SUM(F$4:F261)=0,1,LARGE(F$4:F261,1)+1),IF($B262=" ",IF(AND(DAY(G262)=DAY(TODAY()),HOUR(G262)&lt;=HOUR(NOW())+1),IF(AND(HOUR(G262)+2&lt;=HOUR(NOW()),DAY(G262)&lt;=DAY(TODAY()),MINUTE(G262)&lt;=MINUTE(NOW())),IF(SUM(F$4:F261)=0,1,LARGE(F$4:F261,1)+1),IF(OR(MINUTE(G262)&lt;=MINUTE(NOW()),HOUR(G262)&lt;=HOUR(NOW())),"!!!","")),""),"")),"")))</f>
        <v/>
      </c>
      <c r="G262" s="508">
        <v>44993.291666666664</v>
      </c>
      <c r="H262" s="502" t="s">
        <v>135</v>
      </c>
      <c r="I262" s="180" t="s">
        <v>76</v>
      </c>
      <c r="J262" s="181">
        <v>0</v>
      </c>
      <c r="K262" s="150" t="s">
        <v>40</v>
      </c>
      <c r="L262" s="151">
        <v>2.06</v>
      </c>
      <c r="M262" s="152">
        <v>106.13</v>
      </c>
      <c r="N262" s="503">
        <v>0</v>
      </c>
      <c r="O262" s="153">
        <f>IF(OR(AE262="",AE263=""),"",ROUND(IF(L264&gt;0,IF(M262&gt;0,M262,IF(M263&gt;0,ROUND((M263*AE262)/AE263,IF(N262=0,2,IF(N262=0.1,1,0))),ROUND((M264*AE262)/AE264,IF(N262=0,2,IF(N262=0.1,1,0))))),IF(M262&gt;0,M262,ROUND((M263*AE262)/AE263,IF(N262=0,2,IF(N262=0.1,1,0))))),2))</f>
        <v>106.13</v>
      </c>
      <c r="P262" s="154">
        <f>IF(OR(L262="",O262=""),"",IF($C262="1/2W",O262/2+O262/2*L262,IF($C262="1/2L",O262/2,IF(I262="Lay",(O262*(L262/(L262-1))-O262)*(1-_xlfn.XLOOKUP(K262,'Fevereiro 2023 - Valor Real'!A3:A15,'Fevereiro 2023 - Valor Real'!C3:C15,0))+O262,(O262*L262-O262)*(1-_xlfn.XLOOKUP(K262,'Fevereiro 2023 - Valor Real'!A3:A15,'Fevereiro 2023 - Valor Real'!C3:C15,0))+O262))))</f>
        <v>218.62780000000001</v>
      </c>
      <c r="Q262" s="155">
        <f>IF(K262="","",IF(_xlfn.XLOOKUP(K262,K$9:K254,$DJ$9:DJ254,0,,-1)=DJ262,_xlfn.XLOOKUP(K262,K$9:K254,Q$9:Q254,1,,-1)+1,1))</f>
        <v>1</v>
      </c>
      <c r="R262" s="156">
        <f>IF(K262="","",_xlfn.XLOOKUP(K262,K$9:K254,R$9:R254,0,,-1)+IF($C262=" ",1,0))</f>
        <v>0</v>
      </c>
      <c r="S262" s="501">
        <f>IF($B262="Anulado",0,ROUND(IF(OR($B262="LOSS",$B262="OK"),IF(OR($C262="W",$C262="1/2W",$C262="1/2L"),P262-O262,IF($C262="L",-O262,0))+IF(OR($C263="W",$C263="1/2W",$C263="1/2L"),P263-O263,IF($C263="L",-O263,0))+IF(OR($C264="W",$C264="1/2W",$C264="1/2L"),P264-O264,IF($C264="L",-O264,0)),IF(AND(OR($C262="W",$C262="1/2W",$C262="1/2L"),C263="W"),P262+P263-SUM(O262:O264)+_xlfn.XLOOKUP("X",C262:C264,O262:O264,0),IF(AND(C262=TRUE,C264="W"),P262+P264-SUM(O262:O264),IF(AND(C263="W",C264="W"),P263+P264-SUM(O262:O264)+_xlfn.XLOOKUP("X",C262:C264,O262:O264,0),IF(L264&gt;0,IF(OR($C262="W",$C262="1/2W",$C262="1/2L"),P262-SUM(O262:O264)+_xlfn.XLOOKUP("X",C262:C264,O262:O264,0),IF(OR($C262="W",$C262="1/2W",$C262="1/2L"),P263-SUM(O262:O264)+_xlfn.XLOOKUP("X",C262:C264,O262:O264,0),IF(OR($C262="W",$C262="1/2W",$C262="1/2L"),P264-SUM(O262:O264)+_xlfn.XLOOKUP("X",C262:C264,O262:O264,0),IF(SUM(P262:P264)/3-SUM(O262:O264)+_xlfn.XLOOKUP("X",C262:C264,O262:O264,0)&gt;0,SUM(P262:P264)/3-SUM(O262:O264)+_xlfn.XLOOKUP("X",C262:C264,O262:O264,0),LARGE(P262:P264,1)-SUM(O262:O264))))),IF(OR($C262="W",$C262="1/2W",$C262="1/2L"),P262-SUM(O262:O263)+_xlfn.XLOOKUP("X",C262:C264,O262:O264,0),IF(OR($C262="W",$C262="1/2W",$C262="1/2L"),P263-SUM(O262:O263)+_xlfn.XLOOKUP("X",C262:C264,O262:O264,0),SUM(P262:P263)/2-SUM(O262:O263)+_xlfn.XLOOKUP("X",C262:C264,O262:O264,0)))))))),2))</f>
        <v>14.74</v>
      </c>
      <c r="T262" s="486">
        <f>IF(S262=0,0,S262/SUM(O262:O264))</f>
        <v>7.2293883957035662E-2</v>
      </c>
      <c r="U262" s="496">
        <f>IF($D262=$D259,IF(OR($B262="LOSS",$B262="OK",$B262="Anulada"),S262,0)+U259,IF(OR($B262="LOSS",$B262="OK",$B262="Anulada"),S262,0))</f>
        <v>15.63</v>
      </c>
      <c r="V262" s="496">
        <f>IF($D262="",0,IF($D262=$D259,IF($B262=" ",IF(I264="",IF(OR(AND(I262="DNB1",I263="DNB2"),AND(OR(I262="DNB1",I262="DNB2"),J263=0),AND(OR(I263="DNB1",I263="DNB2"),J262=0),AND(I262="DNB2",I263="DNB1"),AND(IF(J262=0,(J262+1)/ROUND(J262+1,0),J262/ROUND(J262,0))=1,IF(J263=0,(J263+1)/ROUND(IF(J263="",0,J263)+1,0),IF(J263="",0,J263)/ROUND(IF(J263="",1,J263),0))=1,OR(J262&lt;&gt;""),J263&lt;&gt;"")),0,IF(S262&lt;0,IF(I264="",SMALL(P262:P263,1)-SUM(O262:O263),0),SMALL(P262:P263,1)-SUM(O262:O263))),IF(S262&lt;0,IF(I264="",SMALL(P262:P264,1)-SUM(O262:O264),0),LARGE(P262:P264,1)-SUM(O262:O264))),S262)+V259,IF(I264="",IF(OR(AND(I262="DNB1",I263="DNB2"),AND(OR(I262="DNB1",I262="DNB2"),J263=0),AND(OR(I263="DNB1",I263="DNB2"),J262=0),AND(I262="DNB2",I263="DNB1"),AND(IF(J262=0,(J262+1)/ROUND(J262+1,0),J262/ROUND(J262,0))=1,IF(J263=0,(IF(J263="",0,J263)+1)/ROUND(IF(J263="",0,J263)+1,0),IF(J263="",0,J263)/ROUND(IF(J263="",0,J263)+1,0))=1,OR(J262&lt;&gt;""),J263&lt;&gt;"")),0,IF(S262&lt;0,IF(I264="",SMALL(P262:P263,1)-SUM(O262:O263),0),SMALL(P262:P264,1)-SUM(O262:O264))),IF(S262&lt;0,IF(I264="",SMALL(P262:P264,1)-SUM(O262:O264),0),LARGE(P262:P264,1)-SUM(O262:O264)))))</f>
        <v>15.785</v>
      </c>
      <c r="W262" s="496">
        <f>IF($D262=$D259,IF(S262&lt;0,IF(I264="",S262,0),S262)+W259,S262)</f>
        <v>15.63</v>
      </c>
      <c r="X262" s="505" t="str">
        <f>IF(OR(SUM(R262:R264)=0,V262=W262),ROUND(IF(W262=0,0,W262/Y262)*100,2)&amp;"%",ROUND(IF(V262=0,0,V262/Y262)*100,2)&amp;"% a "&amp;ROUND(IF(W262=0,0,W262/Y262)*100,2)&amp;"%")</f>
        <v>7,14%</v>
      </c>
      <c r="Y262" s="497">
        <f>IF($D262=$D259,Y259+SUM(O262:O264),SUM(O262:O264))</f>
        <v>218.94</v>
      </c>
      <c r="Z262" s="496">
        <f>IF($B262=" ",SUM(O262:O264),0)+Z259</f>
        <v>0</v>
      </c>
      <c r="AA262" s="496">
        <f>IF(G262="","",IF($B262="Anulado",LARGE(P262:P264,1)-SUM(O262:O264)+AA259,AA259))</f>
        <v>1.4607999999999972</v>
      </c>
      <c r="AB262" s="496">
        <f>IF($D262="","",AB259+S262)</f>
        <v>431.75</v>
      </c>
      <c r="AC262" s="499">
        <f ca="1">IF($D262="","",IF($B262=" ",IF(DAY(G262)=DAY(TODAY()),1+AC259,0+AC259),0+AC259))</f>
        <v>0</v>
      </c>
      <c r="AD262" s="157">
        <f>(1-_xlfn.XLOOKUP(K260,'Fevereiro 2023 - Valor Real'!A3:A15,'Fevereiro 2023 - Valor Real'!C3:C15,0))+1</f>
        <v>2</v>
      </c>
      <c r="AE262" s="158">
        <f>IF(L262="","",IF(L264&gt;0,(SUM(((L262-1)*(1-_xlfn.XLOOKUP(K262,'Fevereiro 2023 - Valor Real'!A3:A15,'Fevereiro 2023 - Valor Real'!C3:C15,0))+1),((L263-1)*(1-_xlfn.XLOOKUP(K263,'Fevereiro 2023 - Valor Real'!A3:A15,'Fevereiro 2023 - Valor Real'!C3:C15,0))+1),((L264-1)*(1-_xlfn.XLOOKUP(K264,'Fevereiro 2023 - Valor Real'!A3:A15,'Fevereiro 2023 - Valor Real'!C3:C15,0))+1))/((L262-1)*(1-_xlfn.XLOOKUP(K262,'Fevereiro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Real'!C3:C15,0))+1))/((L262-1)*(1-_xlfn.XLOOKUP(K262,'Fevereiro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Real'!C3:C15,0))+1))/((L263-1)*(1-_xlfn.XLOOKUP(K263,'Fevereiro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Real'!C3:C15,0))+1))/((L264-1)*(1-_xlfn.XLOOKUP(K264,'Fevereiro 2023 - Valor Real'!A3:A15,'Fevereiro 2023 - Valor Real'!C3:C15,0))+1)),IF(I262="Lay",IF(I263="Lay",((L263/(L263-1)-1)*(1-_xlfn.XLOOKUP(K263,'Fevereiro 2023 - Valor Real'!A3:A15,'Fevereiro 2023 - Valor Real'!C3:C15,0))+1)/(((L263/(L263-1)-1)*(1-_xlfn.XLOOKUP(K263,'Fevereiro 2023 - Valor Real'!A3:A15,'Fevereiro 2023 - Valor Real'!C3:C15,0))+1)+((L262/(L262-1)-1)*(1-_xlfn.XLOOKUP(K262,'Fevereiro 2023 - Valor Real'!A3:A15,'Fevereiro 2023 - Valor Real'!C3:C15,0))+1)),((L263-1)*(1-_xlfn.XLOOKUP(K263,'Fevereiro 2023 - Valor Real'!A3:A15,'Fevereiro 2023 - Valor Real'!C3:C15,0))+1)/(((L263-1)*(1-_xlfn.XLOOKUP(K263,'Fevereiro 2023 - Valor Real'!A3:A15,'Fevereiro 2023 - Valor Real'!C3:C15,0))+1)+((L262/(L262-1)-1)*(1-_xlfn.XLOOKUP(K262,'Fevereiro 2023 - Valor Real'!A3:A15,'Fevereiro 2023 - Valor Real'!C3:C15,0))+1))),IF(I263="Lay",(((L263/(L263-1)-1)*(1-_xlfn.XLOOKUP(K263,'Fevereiro 2023 - Valor Real'!A3:A15,'Fevereiro 2023 - Valor Real'!C3:C15,0))+1))/(((L262-1)*(1-_xlfn.XLOOKUP(K262,'Fevereiro 2023 - Valor Real'!A3:A15,'Fevereiro 2023 - Valor Real'!C3:C15,0))+1)+((L263/(L263-1)-1)*(1-_xlfn.XLOOKUP(K263,'Fevereiro 2023 - Valor Real'!A3:A15,'Fevereiro 2023 - Valor Real'!C3:C15,0))+1)),((L263-1)*(1-_xlfn.XLOOKUP(K263,'Fevereiro 2023 - Valor Real'!A3:A15,'Fevereiro 2023 - Valor Real'!C3:C15,0))+1)/(((L263-1)*(1-_xlfn.XLOOKUP(K263,'Fevereiro 2023 - Valor Real'!A3:A15,'Fevereiro 2023 - Valor Real'!C3:C15,0))+1)+((L262-1)*(1-_xlfn.XLOOKUP(K262,'Fevereiro 2023 - Valor Real'!A3:A15,'Fevereiro 2023 - Valor Real'!C3:C15,0))+1))))))</f>
        <v>0.51869158878504673</v>
      </c>
      <c r="AF262" s="66">
        <f t="shared" si="504"/>
        <v>0</v>
      </c>
      <c r="AG262" s="67">
        <f t="shared" si="504"/>
        <v>0</v>
      </c>
      <c r="AH262" s="67">
        <f t="shared" si="504"/>
        <v>0</v>
      </c>
      <c r="AI262" s="67">
        <f t="shared" si="504"/>
        <v>0</v>
      </c>
      <c r="AJ262" s="67">
        <f t="shared" si="504"/>
        <v>112.5</v>
      </c>
      <c r="AK262" s="67">
        <f t="shared" si="504"/>
        <v>0</v>
      </c>
      <c r="AL262" s="67">
        <f t="shared" si="504"/>
        <v>0</v>
      </c>
      <c r="AM262" s="67">
        <f t="shared" si="504"/>
        <v>0</v>
      </c>
      <c r="AN262" s="67">
        <f t="shared" si="504"/>
        <v>0</v>
      </c>
      <c r="AO262" s="67">
        <f t="shared" si="504"/>
        <v>0</v>
      </c>
      <c r="AP262" s="67">
        <f t="shared" si="504"/>
        <v>0</v>
      </c>
      <c r="AQ262" s="67">
        <f t="shared" si="504"/>
        <v>0</v>
      </c>
      <c r="AR262" s="68">
        <f t="shared" si="504"/>
        <v>0</v>
      </c>
      <c r="AS262" s="66">
        <f t="shared" ref="AS262:BE262" si="546">IF(AND($B262=" ",$K262=AS$3),$O262,0)</f>
        <v>0</v>
      </c>
      <c r="AT262" s="67">
        <f t="shared" si="546"/>
        <v>0</v>
      </c>
      <c r="AU262" s="67">
        <f t="shared" si="546"/>
        <v>0</v>
      </c>
      <c r="AV262" s="67">
        <f t="shared" si="546"/>
        <v>0</v>
      </c>
      <c r="AW262" s="67">
        <f t="shared" si="546"/>
        <v>0</v>
      </c>
      <c r="AX262" s="67">
        <f t="shared" si="546"/>
        <v>0</v>
      </c>
      <c r="AY262" s="69">
        <f t="shared" si="546"/>
        <v>0</v>
      </c>
      <c r="AZ262" s="70">
        <f t="shared" si="546"/>
        <v>0</v>
      </c>
      <c r="BA262" s="70">
        <f t="shared" si="546"/>
        <v>0</v>
      </c>
      <c r="BB262" s="70">
        <f t="shared" si="546"/>
        <v>0</v>
      </c>
      <c r="BC262" s="71">
        <f t="shared" si="546"/>
        <v>0</v>
      </c>
      <c r="BD262" s="67">
        <f t="shared" si="546"/>
        <v>0</v>
      </c>
      <c r="BE262" s="68">
        <f t="shared" si="546"/>
        <v>0</v>
      </c>
      <c r="BF262" s="66">
        <f t="shared" si="506"/>
        <v>0</v>
      </c>
      <c r="BG262" s="67">
        <f t="shared" si="506"/>
        <v>0</v>
      </c>
      <c r="BH262" s="67">
        <f t="shared" si="506"/>
        <v>0</v>
      </c>
      <c r="BI262" s="67">
        <f t="shared" si="506"/>
        <v>0</v>
      </c>
      <c r="BJ262" s="67">
        <f t="shared" si="506"/>
        <v>106.13</v>
      </c>
      <c r="BK262" s="67">
        <f t="shared" si="506"/>
        <v>0</v>
      </c>
      <c r="BL262" s="67">
        <f t="shared" si="506"/>
        <v>0</v>
      </c>
      <c r="BM262" s="69">
        <f t="shared" si="506"/>
        <v>0</v>
      </c>
      <c r="BN262" s="70">
        <f t="shared" si="506"/>
        <v>0</v>
      </c>
      <c r="BO262" s="70">
        <f t="shared" si="506"/>
        <v>0</v>
      </c>
      <c r="BP262" s="70">
        <f t="shared" si="506"/>
        <v>0</v>
      </c>
      <c r="BQ262" s="71">
        <f t="shared" si="506"/>
        <v>0</v>
      </c>
      <c r="BR262" s="68">
        <f t="shared" si="506"/>
        <v>0</v>
      </c>
      <c r="BS262" s="490">
        <f>IF($B262="LOSS",IF(AND($K262=BS$3,$C262="L"),-$O262,0)+IF(AND($K263=BS$3,$C263="L"),-$O263,0)+IF(AND($K264=BS$3,$C264="L"),-$O264,0),IF(OR(AND($K262=BS$3,OR($C262="W",$C262="1/2W")),AND($K263=BS$3,OR($C263="W",$C263="1/2W")),AND($K264=BS$3,OR($C264="W",$C264="1/2W"))),$S262,0))</f>
        <v>0</v>
      </c>
      <c r="BT262" s="498">
        <f>IF($B262="LOSS",IF(AND($K262=BT$3,$C262="L"),-$O262,0)+IF(AND($K263=BT$3,$C263="L"),-$O263,0)+IF(AND($K263=BT$3,$C264="L"),-$O264,0),IF(OR(AND($K263=BT$3,OR($C262="W",$C262="1/2W")),AND($K263=BT$3,OR($C263="W",$C263="1/2W")),AND($K263=BT$3,OR($C264="W",$C264="1/2W"))),$S262,0))</f>
        <v>0</v>
      </c>
      <c r="BU262" s="488">
        <f>IF($B262="LOSS",IF(AND($K262=BU$3,$C262="L"),-$O262,0)+IF(AND($K263=BU$3,$C263="L"),-$O263,0)+IF(AND($K263=BU$3,$C264="L"),-$O264,0),IF(OR(AND($K263=BU$3,OR($C262="W",$C262="1/2W")),AND($K263=BU$3,OR($C263="W",$C263="1/2W")),AND($K263=BU$3,OR($C264="W",$C264="1/2W"))),$S262,0))</f>
        <v>0</v>
      </c>
      <c r="BV262" s="488">
        <f t="shared" ref="BV262:CE262" si="547">IF($B262="LOSS",IF(AND($K262=BV$3,$C262="L"),-$O262,0)+IF(AND($K263=BV$3,$C263="L"),-$O263,0)+IF(AND($K264=BV$3,$C264="L"),-$O264,0),IF(OR(AND($K262=BV$3,OR($C262="W",$C262="1/2W")),AND($K263=BV$3,OR($C263="W",$C263="1/2W")),AND($K264=BV$3,OR($C264="W",$C264="1/2W"))),$S262,0))</f>
        <v>0</v>
      </c>
      <c r="BW262" s="488">
        <f t="shared" si="547"/>
        <v>14.74</v>
      </c>
      <c r="BX262" s="488">
        <f t="shared" si="547"/>
        <v>0</v>
      </c>
      <c r="BY262" s="488">
        <f t="shared" si="547"/>
        <v>0</v>
      </c>
      <c r="BZ262" s="488">
        <f t="shared" si="547"/>
        <v>0</v>
      </c>
      <c r="CA262" s="488">
        <f t="shared" si="547"/>
        <v>0</v>
      </c>
      <c r="CB262" s="488">
        <f t="shared" si="547"/>
        <v>0</v>
      </c>
      <c r="CC262" s="488">
        <f t="shared" si="547"/>
        <v>0</v>
      </c>
      <c r="CD262" s="500">
        <f t="shared" si="547"/>
        <v>0</v>
      </c>
      <c r="CE262" s="504">
        <f t="shared" si="547"/>
        <v>0</v>
      </c>
      <c r="CF262" s="160">
        <f t="shared" si="515"/>
        <v>0</v>
      </c>
      <c r="CG262" s="161">
        <f t="shared" si="516"/>
        <v>0</v>
      </c>
      <c r="CH262" s="161">
        <f t="shared" si="517"/>
        <v>0</v>
      </c>
      <c r="CI262" s="161">
        <f t="shared" si="518"/>
        <v>0</v>
      </c>
      <c r="CJ262" s="161">
        <f t="shared" si="519"/>
        <v>0</v>
      </c>
      <c r="CK262" s="161">
        <f t="shared" si="520"/>
        <v>0</v>
      </c>
      <c r="CL262" s="161">
        <f t="shared" si="521"/>
        <v>0</v>
      </c>
      <c r="CM262" s="161">
        <f t="shared" si="522"/>
        <v>0</v>
      </c>
      <c r="CN262" s="161">
        <f t="shared" si="523"/>
        <v>1</v>
      </c>
      <c r="CO262" s="161">
        <f t="shared" si="524"/>
        <v>0</v>
      </c>
      <c r="CP262" s="161">
        <f t="shared" si="525"/>
        <v>0</v>
      </c>
      <c r="CQ262" s="161">
        <f t="shared" si="526"/>
        <v>0</v>
      </c>
      <c r="CR262" s="161">
        <f t="shared" si="527"/>
        <v>0</v>
      </c>
      <c r="CS262" s="161">
        <f t="shared" si="528"/>
        <v>0</v>
      </c>
      <c r="CT262" s="75">
        <f t="shared" si="529"/>
        <v>0</v>
      </c>
      <c r="CU262" s="76">
        <f t="shared" si="530"/>
        <v>0</v>
      </c>
      <c r="CV262" s="76">
        <f t="shared" si="531"/>
        <v>0</v>
      </c>
      <c r="CW262" s="76">
        <f t="shared" si="532"/>
        <v>0</v>
      </c>
      <c r="CX262" s="76">
        <f t="shared" si="533"/>
        <v>0</v>
      </c>
      <c r="CY262" s="76">
        <f t="shared" si="534"/>
        <v>0</v>
      </c>
      <c r="CZ262" s="76">
        <f t="shared" si="535"/>
        <v>0</v>
      </c>
      <c r="DA262" s="76">
        <f t="shared" si="536"/>
        <v>0</v>
      </c>
      <c r="DB262" s="76">
        <f t="shared" si="537"/>
        <v>0</v>
      </c>
      <c r="DC262" s="76">
        <f t="shared" si="538"/>
        <v>0</v>
      </c>
      <c r="DD262" s="76">
        <f t="shared" si="539"/>
        <v>0</v>
      </c>
      <c r="DE262" s="77">
        <f t="shared" si="540"/>
        <v>0</v>
      </c>
      <c r="DF262" s="73">
        <f t="shared" si="542"/>
        <v>16</v>
      </c>
      <c r="DG262" s="67">
        <f t="shared" si="543"/>
        <v>20.66</v>
      </c>
      <c r="DH262" s="76">
        <f t="shared" si="544"/>
        <v>8</v>
      </c>
      <c r="DI262" s="67">
        <f t="shared" si="545"/>
        <v>33.049999999999997</v>
      </c>
      <c r="DJ262" s="202" t="str">
        <f>IF($D262="","",$D262)</f>
        <v>8</v>
      </c>
      <c r="DK262" s="492">
        <f>IF(AND($B262=" ",$D262&lt;&gt;""),1,0)</f>
        <v>0</v>
      </c>
    </row>
    <row r="263" spans="1:115" ht="14.5" customHeight="1" x14ac:dyDescent="0.2">
      <c r="A263" s="389"/>
      <c r="B263" s="456"/>
      <c r="C263" s="53" t="s">
        <v>55</v>
      </c>
      <c r="D263" s="374"/>
      <c r="E263" s="386"/>
      <c r="F263" s="377"/>
      <c r="G263" s="508"/>
      <c r="H263" s="476"/>
      <c r="I263" s="182" t="s">
        <v>66</v>
      </c>
      <c r="J263" s="56">
        <f>IF(OR(I262="TO",I262="TU",I262="TO1",I262="TU1",I262="TO2",I262="TU2"),J262,IF(OR(I262="AH1",I262="AH2"),IF(OR(I263="AH1",I263="AH2"),-J262,IF(OR(I263="EH1",I263="EH2"),-J262+0.5,"")),IF(OR(I262="EH1",I262="EH2"),IF(OR(I263="AH1",I263="AH2"),-J262+0.5,IF(OR(I263="EH1",I263="EH2"),-J262+1,"")),IF(AND(OR(I262="DNB1",I262="DNB2"),OR(I263="AH1",I263="AH2")),0,IF(AND(I262="Not ScoreBoth",OR(I263="TO1",I263="TO2")),0.5,"")))))</f>
        <v>0</v>
      </c>
      <c r="K263" s="57" t="s">
        <v>43</v>
      </c>
      <c r="L263" s="164">
        <v>2.2200000000000002</v>
      </c>
      <c r="M263" s="165">
        <v>97.76</v>
      </c>
      <c r="N263" s="406"/>
      <c r="O263" s="60">
        <f>IF(OR(AE262="",AE263=""),"",ROUND(IF(L264&gt;0,IF(M263&gt;0,M263,IF(M262&gt;0,IF(N262=TRUE,ROUND((M262*AE263)/AE262,0),(M262*AE263)/AE262),IF(M263&gt;0,ROUND(M263,IF(N262=0,2,IF(N262=0.1,1,0))),IF(M264&gt;0,ROUND(O264*AE263/AE264,IF(N262=0,2,IF(N262=0.1,1,0))),0)))),IF(M263&gt;0,M263,ROUND((M262*AE263)/AE262,IF(N262=0,2,IF(N262=0.1,1,0))))),2))</f>
        <v>97.76</v>
      </c>
      <c r="P263" s="61">
        <f>IF(OR(L263="",O263=""),"",IF($C263="1/2W",O263/2+O263/2*L263,IF($C263="1/2L",O263/2,IF(I263="Lay",((O263*(L263/(L263-1)))-O263)*(1-_xlfn.XLOOKUP(K263,'Fevereiro 2023 - Valor Real'!A3:A15,'Fevereiro 2023 - Valor Real'!C3:C15,0))+O263,(O263*L263-O263)*(1-_xlfn.XLOOKUP(K263,'Fevereiro 2023 - Valor Real'!A3:A15,'Fevereiro 2023 - Valor Real'!C3:C15,0))+O263))))</f>
        <v>217.02720000000002</v>
      </c>
      <c r="Q263" s="166">
        <f>IF(K263="","",IF(_xlfn.XLOOKUP(K263,K$10:K254,$DJ$10:DJ254,0,,-1)=DJ263,_xlfn.XLOOKUP(K263,K$10:K254,Q$10:Q254,1,,-1)+1,1))</f>
        <v>1</v>
      </c>
      <c r="R263" s="167">
        <f>IF(K263="","",_xlfn.XLOOKUP(K263,K$10:K254,R$10:R254,0,,-1)+IF($C263=" ",1,0))</f>
        <v>0</v>
      </c>
      <c r="S263" s="403"/>
      <c r="T263" s="380"/>
      <c r="U263" s="380"/>
      <c r="V263" s="481"/>
      <c r="W263" s="380"/>
      <c r="X263" s="452"/>
      <c r="Y263" s="383"/>
      <c r="Z263" s="384"/>
      <c r="AA263" s="384"/>
      <c r="AB263" s="384"/>
      <c r="AC263" s="384"/>
      <c r="AD263" s="64"/>
      <c r="AE263" s="65">
        <f>IF(L263="","",IF(L264&gt;0,(SUM(((L262-1)*(1-_xlfn.XLOOKUP(K262,'Fevereiro 2023 - Valor Real'!A3:A15,'Fevereiro 2023 - Valor Real'!C3:C15,0))+1),((L263-1)*(1-_xlfn.XLOOKUP(K263,'Fevereiro 2023 - Valor Real'!A3:A15,'Fevereiro 2023 - Valor Real'!C3:C15,0))+1),((L264-1)*(1-_xlfn.XLOOKUP(K264,'Fevereiro 2023 - Valor Real'!A3:A15,'Fevereiro 2023 - Valor Real'!C3:C15,0))+1))/((L263-1)*(1-_xlfn.XLOOKUP(K263,'Fevereiro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Real'!C3:C15,0))+1))/((L262-1)*(1-_xlfn.XLOOKUP(K262,'Fevereiro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Real'!C3:C15,0))+1))/((L263-1)*(1-_xlfn.XLOOKUP(K263,'Fevereiro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Real'!C3:C15,0))+1))/((L264-1)*(1-_xlfn.XLOOKUP(K264,'Fevereiro 2023 - Valor Real'!A3:A15,'Fevereiro 2023 - Valor Real'!C3:C15,0))+1)),IF(I263="Lay",IF(I262="Lay",((L262/(L262-1)-1)*(1-_xlfn.XLOOKUP(K262,'Fevereiro 2023 - Valor Real'!A3:A15,'Fevereiro 2023 - Valor Real'!C3:C15,0))+1)/(((L262/(L262-1)-1)*(1-_xlfn.XLOOKUP(K262,'Fevereiro 2023 - Valor Real'!A3:A15,'Fevereiro 2023 - Valor Real'!C3:C15,0))+1)+((L263/(L263-1)-1)*(1-_xlfn.XLOOKUP(K263,'Fevereiro 2023 - Valor Real'!A3:A15,'Fevereiro 2023 - Valor Real'!C3:C15,0))+1)),((L262-1)*(1-_xlfn.XLOOKUP(K262,'Fevereiro 2023 - Valor Real'!A3:A15,'Fevereiro 2023 - Valor Real'!C3:C15,0))+1)/(((L262-1)*(1-_xlfn.XLOOKUP(K262,'Fevereiro 2023 - Valor Real'!A3:A15,'Fevereiro 2023 - Valor Real'!C3:C15,0))+1)+((L263/(L263-1)-1)*(1-_xlfn.XLOOKUP(K263,'Fevereiro 2023 - Valor Real'!A3:A15,'Fevereiro 2023 - Valor Real'!C3:C15,0))+1))),IF(I262="Lay",((L262/(L262-1)-1)*(1-_xlfn.XLOOKUP(K262,'Fevereiro 2023 - Valor Real'!A3:A15,'Fevereiro 2023 - Valor Real'!C3:C15,0))+1)/((((L262/(L262-1)-1)*(1-_xlfn.XLOOKUP(K262,'Fevereiro 2023 - Valor Real'!A3:A15,'Fevereiro 2023 - Valor Real'!C3:C15,0))+1))+((L263-1)*(1-_xlfn.XLOOKUP(K263,'Fevereiro 2023 - Valor Real'!A3:A15,'Fevereiro 2023 - Valor Real'!C3:C15,0))+1)),((L262-1)*(1-_xlfn.XLOOKUP(K262,'Fevereiro 2023 - Valor Real'!A3:A15,'Fevereiro 2023 - Valor Real'!C3:C15,0))+1)/(((L262-1)*(1-_xlfn.XLOOKUP(K262,'Fevereiro 2023 - Valor Real'!A3:A15,'Fevereiro 2023 - Valor Real'!C3:C15,0))+1)+((L263-1)*(1-_xlfn.XLOOKUP(K263,'Fevereiro 2023 - Valor Real'!A3:A15,'Fevereiro 2023 - Valor Real'!C3:C15,0))+1))))))</f>
        <v>0.48130841121495327</v>
      </c>
      <c r="AF263" s="66">
        <f t="shared" si="504"/>
        <v>0</v>
      </c>
      <c r="AG263" s="67">
        <f t="shared" si="504"/>
        <v>0</v>
      </c>
      <c r="AH263" s="67">
        <f t="shared" si="504"/>
        <v>0</v>
      </c>
      <c r="AI263" s="67">
        <f t="shared" si="504"/>
        <v>0</v>
      </c>
      <c r="AJ263" s="67">
        <f t="shared" si="504"/>
        <v>0</v>
      </c>
      <c r="AK263" s="67">
        <f t="shared" si="504"/>
        <v>0</v>
      </c>
      <c r="AL263" s="67">
        <f t="shared" si="504"/>
        <v>0</v>
      </c>
      <c r="AM263" s="67">
        <f t="shared" si="504"/>
        <v>-97.76</v>
      </c>
      <c r="AN263" s="67">
        <f t="shared" si="504"/>
        <v>0</v>
      </c>
      <c r="AO263" s="67">
        <f t="shared" si="504"/>
        <v>0</v>
      </c>
      <c r="AP263" s="67">
        <f t="shared" si="504"/>
        <v>0</v>
      </c>
      <c r="AQ263" s="67">
        <f t="shared" si="504"/>
        <v>0</v>
      </c>
      <c r="AR263" s="68">
        <f t="shared" si="504"/>
        <v>0</v>
      </c>
      <c r="AS263" s="66">
        <f>IF(AND($B262=" ",$K263=AS$3),$O263,0)</f>
        <v>0</v>
      </c>
      <c r="AT263" s="67">
        <f>IF(AND($B262=" ",K263=AT$3),$O263,0)</f>
        <v>0</v>
      </c>
      <c r="AU263" s="67">
        <f t="shared" ref="AU263:BE263" si="548">IF(AND($B262=" ",$K263=AU$3),$O263,0)</f>
        <v>0</v>
      </c>
      <c r="AV263" s="67">
        <f t="shared" si="548"/>
        <v>0</v>
      </c>
      <c r="AW263" s="67">
        <f t="shared" si="548"/>
        <v>0</v>
      </c>
      <c r="AX263" s="67">
        <f t="shared" si="548"/>
        <v>0</v>
      </c>
      <c r="AY263" s="69">
        <f t="shared" si="548"/>
        <v>0</v>
      </c>
      <c r="AZ263" s="70">
        <f t="shared" si="548"/>
        <v>0</v>
      </c>
      <c r="BA263" s="70">
        <f t="shared" si="548"/>
        <v>0</v>
      </c>
      <c r="BB263" s="70">
        <f t="shared" si="548"/>
        <v>0</v>
      </c>
      <c r="BC263" s="71">
        <f t="shared" si="548"/>
        <v>0</v>
      </c>
      <c r="BD263" s="67">
        <f t="shared" si="548"/>
        <v>0</v>
      </c>
      <c r="BE263" s="68">
        <f t="shared" si="548"/>
        <v>0</v>
      </c>
      <c r="BF263" s="66">
        <f t="shared" si="506"/>
        <v>0</v>
      </c>
      <c r="BG263" s="168">
        <f t="shared" si="506"/>
        <v>0</v>
      </c>
      <c r="BH263" s="67">
        <f t="shared" si="506"/>
        <v>0</v>
      </c>
      <c r="BI263" s="67">
        <f t="shared" si="506"/>
        <v>0</v>
      </c>
      <c r="BJ263" s="67">
        <f t="shared" si="506"/>
        <v>0</v>
      </c>
      <c r="BK263" s="67">
        <f t="shared" si="506"/>
        <v>0</v>
      </c>
      <c r="BL263" s="67">
        <f t="shared" si="506"/>
        <v>0</v>
      </c>
      <c r="BM263" s="69">
        <f t="shared" si="506"/>
        <v>97.76</v>
      </c>
      <c r="BN263" s="70">
        <f t="shared" si="506"/>
        <v>0</v>
      </c>
      <c r="BO263" s="70">
        <f t="shared" si="506"/>
        <v>0</v>
      </c>
      <c r="BP263" s="70">
        <f t="shared" si="506"/>
        <v>0</v>
      </c>
      <c r="BQ263" s="71">
        <f t="shared" si="506"/>
        <v>0</v>
      </c>
      <c r="BR263" s="68">
        <f t="shared" si="506"/>
        <v>0</v>
      </c>
      <c r="BS263" s="491"/>
      <c r="BT263" s="489"/>
      <c r="BU263" s="392"/>
      <c r="BV263" s="489"/>
      <c r="BW263" s="392"/>
      <c r="BX263" s="392"/>
      <c r="BY263" s="392"/>
      <c r="BZ263" s="489"/>
      <c r="CA263" s="392"/>
      <c r="CB263" s="392"/>
      <c r="CC263" s="392"/>
      <c r="CD263" s="401"/>
      <c r="CE263" s="409"/>
      <c r="CF263" s="169">
        <f t="shared" si="515"/>
        <v>0</v>
      </c>
      <c r="CG263" s="170">
        <f t="shared" si="516"/>
        <v>0</v>
      </c>
      <c r="CH263" s="170">
        <f t="shared" si="517"/>
        <v>0</v>
      </c>
      <c r="CI263" s="170">
        <f t="shared" si="518"/>
        <v>0</v>
      </c>
      <c r="CJ263" s="170">
        <f t="shared" si="519"/>
        <v>0</v>
      </c>
      <c r="CK263" s="170">
        <f t="shared" si="520"/>
        <v>0</v>
      </c>
      <c r="CL263" s="170">
        <f t="shared" si="521"/>
        <v>0</v>
      </c>
      <c r="CM263" s="170">
        <f t="shared" si="522"/>
        <v>0</v>
      </c>
      <c r="CN263" s="170">
        <f t="shared" si="523"/>
        <v>0</v>
      </c>
      <c r="CO263" s="170">
        <f t="shared" si="524"/>
        <v>0</v>
      </c>
      <c r="CP263" s="170">
        <f t="shared" si="525"/>
        <v>0</v>
      </c>
      <c r="CQ263" s="170">
        <f t="shared" si="526"/>
        <v>0</v>
      </c>
      <c r="CR263" s="170">
        <f t="shared" si="527"/>
        <v>0</v>
      </c>
      <c r="CS263" s="170">
        <f t="shared" si="528"/>
        <v>0</v>
      </c>
      <c r="CT263" s="75">
        <f t="shared" si="529"/>
        <v>0</v>
      </c>
      <c r="CU263" s="76">
        <f t="shared" si="530"/>
        <v>1</v>
      </c>
      <c r="CV263" s="76">
        <f t="shared" si="531"/>
        <v>0</v>
      </c>
      <c r="CW263" s="76">
        <f t="shared" si="532"/>
        <v>0</v>
      </c>
      <c r="CX263" s="76">
        <f t="shared" si="533"/>
        <v>0</v>
      </c>
      <c r="CY263" s="76">
        <f t="shared" si="534"/>
        <v>0</v>
      </c>
      <c r="CZ263" s="76">
        <f t="shared" si="535"/>
        <v>0</v>
      </c>
      <c r="DA263" s="76">
        <f t="shared" si="536"/>
        <v>0</v>
      </c>
      <c r="DB263" s="76">
        <f t="shared" si="537"/>
        <v>0</v>
      </c>
      <c r="DC263" s="76">
        <f t="shared" si="538"/>
        <v>0</v>
      </c>
      <c r="DD263" s="76">
        <f t="shared" si="539"/>
        <v>0</v>
      </c>
      <c r="DE263" s="77">
        <f t="shared" si="540"/>
        <v>0</v>
      </c>
      <c r="DF263" s="73">
        <f t="shared" si="542"/>
        <v>16</v>
      </c>
      <c r="DG263" s="67">
        <f t="shared" si="543"/>
        <v>20.66</v>
      </c>
      <c r="DH263" s="76">
        <f t="shared" si="544"/>
        <v>8</v>
      </c>
      <c r="DI263" s="67">
        <f t="shared" si="545"/>
        <v>33.049999999999997</v>
      </c>
      <c r="DJ263" s="202" t="str">
        <f>IF($D262="","",$D262)</f>
        <v>8</v>
      </c>
      <c r="DK263" s="493"/>
    </row>
    <row r="264" spans="1:115" ht="14.5" customHeight="1" x14ac:dyDescent="0.2">
      <c r="A264" s="390"/>
      <c r="B264" s="457"/>
      <c r="C264" s="79" t="s">
        <v>53</v>
      </c>
      <c r="D264" s="375"/>
      <c r="E264" s="387"/>
      <c r="F264" s="378"/>
      <c r="G264" s="508"/>
      <c r="H264" s="477"/>
      <c r="I264" s="171"/>
      <c r="J264" s="172"/>
      <c r="K264" s="81"/>
      <c r="L264" s="173"/>
      <c r="M264" s="174"/>
      <c r="N264" s="407"/>
      <c r="O264" s="86" t="str">
        <f>IF(OR(AE262="",AE263=""),"",IF(L264&gt;0,ROUND(IF(M264&gt;0,M264,IF(M262&gt;0,ROUND((M262*AE264)/AE262,IF(N262=0,2,IF(N262=0.1,1,0))),IF(M263&gt;0,ROUND((M263*AE264)/AE263,IF(N262=0,2,IF(N262=0.1,1,0))),IF(M264&gt;0,M264,0)))),2),""))</f>
        <v/>
      </c>
      <c r="P264" s="87" t="str">
        <f>IF(I263="Lay",O263*(L263/(L263-1))-O263,IF(I262="Lay",O262*(L262/(L262-1))-O262,IF(OR(L264="",O264=""),"",IF($C264="1/2W",O264/2+O264/2*L264,IF($C264="1/2L",O264/2,(O264*L264-O264)*(1-_xlfn.XLOOKUP(K264,'Fevereiro 2023 - Valor Real'!A3:A15,'Fevereiro 2023 - Valor Real'!C3:C15,0))+O264)))))</f>
        <v/>
      </c>
      <c r="Q264" s="54" t="str">
        <f>IF(K264="","",IF(_xlfn.XLOOKUP(K264,K$11:K254,$DJ$11:DJ254,0,,-1)=DJ264,_xlfn.XLOOKUP(K264,K$11:K254,Q$11:Q254,1,,-1)+1,1))</f>
        <v/>
      </c>
      <c r="R264" s="87" t="str">
        <f>IF(K264="","",_xlfn.XLOOKUP(K264,K$11:K254,R$11:R254,0,,-1)+IF($C264=" ",1,0))</f>
        <v/>
      </c>
      <c r="S264" s="404"/>
      <c r="T264" s="378"/>
      <c r="U264" s="378"/>
      <c r="V264" s="404"/>
      <c r="W264" s="378"/>
      <c r="X264" s="453"/>
      <c r="Y264" s="383"/>
      <c r="Z264" s="384"/>
      <c r="AA264" s="384"/>
      <c r="AB264" s="384"/>
      <c r="AC264" s="384"/>
      <c r="AD264" s="90"/>
      <c r="AE264" s="91" t="str">
        <f>IF(L264="","",(SUM(((L262-1)*(1-_xlfn.XLOOKUP(K262,'Fevereiro 2023 - Valor Real'!A3:A15,'Fevereiro 2023 - Valor Real'!C3:C15,0))+1),((L263-1)*(1-_xlfn.XLOOKUP(K263,'Fevereiro 2023 - Valor Real'!A3:A15,'Fevereiro 2023 - Valor Real'!C3:C15,0))+1),((L264-1)*(1-_xlfn.XLOOKUP(K264,'Fevereiro 2023 - Valor Real'!A3:A15,'Fevereiro 2023 - Valor Real'!C3:C15,0))+1))/((L264-1)*(1-_xlfn.XLOOKUP(K264,'Fevereiro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Real'!C3:C15,0))+1))/((L262-1)*(1-_xlfn.XLOOKUP(K262,'Fevereiro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Real'!C3:C15,0))+1))/((L263-1)*(1-_xlfn.XLOOKUP(K263,'Fevereiro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Real'!C3:C15,0))+1))/((L264-1)*(1-_xlfn.XLOOKUP(K264,'Fevereiro 2023 - Valor Real'!A3:A15,'Fevereiro 2023 - Valor Real'!C3:C15,0))+1)))</f>
        <v/>
      </c>
      <c r="AF264" s="66">
        <f t="shared" ref="AF264:AR273" si="549">IF($K264=AF$3,ROUND(IF(OR($C264="W",$C264="1/2W",$C264="1/2L"),$P264-$O264,IF($C264="X",0,-$O264)),2),0)</f>
        <v>0</v>
      </c>
      <c r="AG264" s="67">
        <f t="shared" si="549"/>
        <v>0</v>
      </c>
      <c r="AH264" s="67">
        <f t="shared" si="549"/>
        <v>0</v>
      </c>
      <c r="AI264" s="67">
        <f t="shared" si="549"/>
        <v>0</v>
      </c>
      <c r="AJ264" s="67">
        <f t="shared" si="549"/>
        <v>0</v>
      </c>
      <c r="AK264" s="67">
        <f t="shared" si="549"/>
        <v>0</v>
      </c>
      <c r="AL264" s="67">
        <f t="shared" si="549"/>
        <v>0</v>
      </c>
      <c r="AM264" s="67">
        <f t="shared" si="549"/>
        <v>0</v>
      </c>
      <c r="AN264" s="67">
        <f t="shared" si="549"/>
        <v>0</v>
      </c>
      <c r="AO264" s="67">
        <f t="shared" si="549"/>
        <v>0</v>
      </c>
      <c r="AP264" s="67">
        <f t="shared" si="549"/>
        <v>0</v>
      </c>
      <c r="AQ264" s="67">
        <f t="shared" si="549"/>
        <v>0</v>
      </c>
      <c r="AR264" s="68">
        <f t="shared" si="549"/>
        <v>0</v>
      </c>
      <c r="AS264" s="66">
        <f>IF(AND($B262=" ",$K264=AS$3),$O264,0)</f>
        <v>0</v>
      </c>
      <c r="AT264" s="67">
        <f>IF(AND($B262=" ",K264=AT$3),$O264,0)</f>
        <v>0</v>
      </c>
      <c r="AU264" s="67">
        <f t="shared" ref="AU264:BE264" si="550">IF(AND($B262=" ",$K264=AU$3),$O264,0)</f>
        <v>0</v>
      </c>
      <c r="AV264" s="67">
        <f t="shared" si="550"/>
        <v>0</v>
      </c>
      <c r="AW264" s="67">
        <f t="shared" si="550"/>
        <v>0</v>
      </c>
      <c r="AX264" s="67">
        <f t="shared" si="550"/>
        <v>0</v>
      </c>
      <c r="AY264" s="69">
        <f t="shared" si="550"/>
        <v>0</v>
      </c>
      <c r="AZ264" s="70">
        <f t="shared" si="550"/>
        <v>0</v>
      </c>
      <c r="BA264" s="70">
        <f t="shared" si="550"/>
        <v>0</v>
      </c>
      <c r="BB264" s="70">
        <f t="shared" si="550"/>
        <v>0</v>
      </c>
      <c r="BC264" s="71">
        <f t="shared" si="550"/>
        <v>0</v>
      </c>
      <c r="BD264" s="67">
        <f t="shared" si="550"/>
        <v>0</v>
      </c>
      <c r="BE264" s="68">
        <f t="shared" si="550"/>
        <v>0</v>
      </c>
      <c r="BF264" s="66">
        <f t="shared" ref="BF264:BR273" si="551">IF($K264=BF$3,IF($C264="X",0,$O264),0)</f>
        <v>0</v>
      </c>
      <c r="BG264" s="168">
        <f t="shared" si="551"/>
        <v>0</v>
      </c>
      <c r="BH264" s="67">
        <f t="shared" si="551"/>
        <v>0</v>
      </c>
      <c r="BI264" s="67">
        <f t="shared" si="551"/>
        <v>0</v>
      </c>
      <c r="BJ264" s="67">
        <f t="shared" si="551"/>
        <v>0</v>
      </c>
      <c r="BK264" s="67">
        <f t="shared" si="551"/>
        <v>0</v>
      </c>
      <c r="BL264" s="67">
        <f t="shared" si="551"/>
        <v>0</v>
      </c>
      <c r="BM264" s="69">
        <f t="shared" si="551"/>
        <v>0</v>
      </c>
      <c r="BN264" s="70">
        <f t="shared" si="551"/>
        <v>0</v>
      </c>
      <c r="BO264" s="70">
        <f t="shared" si="551"/>
        <v>0</v>
      </c>
      <c r="BP264" s="70">
        <f t="shared" si="551"/>
        <v>0</v>
      </c>
      <c r="BQ264" s="71">
        <f t="shared" si="551"/>
        <v>0</v>
      </c>
      <c r="BR264" s="68">
        <f t="shared" si="551"/>
        <v>0</v>
      </c>
      <c r="BS264" s="491"/>
      <c r="BT264" s="489"/>
      <c r="BU264" s="392"/>
      <c r="BV264" s="489"/>
      <c r="BW264" s="392"/>
      <c r="BX264" s="392"/>
      <c r="BY264" s="392"/>
      <c r="BZ264" s="489"/>
      <c r="CA264" s="392"/>
      <c r="CB264" s="392"/>
      <c r="CC264" s="392"/>
      <c r="CD264" s="401"/>
      <c r="CE264" s="409"/>
      <c r="CF264" s="169">
        <f t="shared" si="515"/>
        <v>0</v>
      </c>
      <c r="CG264" s="170">
        <f t="shared" si="516"/>
        <v>0</v>
      </c>
      <c r="CH264" s="170">
        <f t="shared" si="517"/>
        <v>0</v>
      </c>
      <c r="CI264" s="170">
        <f t="shared" si="518"/>
        <v>0</v>
      </c>
      <c r="CJ264" s="170">
        <f t="shared" si="519"/>
        <v>0</v>
      </c>
      <c r="CK264" s="170">
        <f t="shared" si="520"/>
        <v>0</v>
      </c>
      <c r="CL264" s="170">
        <f t="shared" si="521"/>
        <v>0</v>
      </c>
      <c r="CM264" s="170">
        <f t="shared" si="522"/>
        <v>0</v>
      </c>
      <c r="CN264" s="170">
        <f t="shared" si="523"/>
        <v>0</v>
      </c>
      <c r="CO264" s="170">
        <f t="shared" si="524"/>
        <v>0</v>
      </c>
      <c r="CP264" s="170">
        <f t="shared" si="525"/>
        <v>0</v>
      </c>
      <c r="CQ264" s="170">
        <f t="shared" si="526"/>
        <v>0</v>
      </c>
      <c r="CR264" s="170">
        <f t="shared" si="527"/>
        <v>0</v>
      </c>
      <c r="CS264" s="170">
        <f t="shared" si="528"/>
        <v>0</v>
      </c>
      <c r="CT264" s="75">
        <f t="shared" si="529"/>
        <v>0</v>
      </c>
      <c r="CU264" s="76">
        <f t="shared" si="530"/>
        <v>0</v>
      </c>
      <c r="CV264" s="76">
        <f t="shared" si="531"/>
        <v>0</v>
      </c>
      <c r="CW264" s="76">
        <f t="shared" si="532"/>
        <v>0</v>
      </c>
      <c r="CX264" s="76">
        <f t="shared" si="533"/>
        <v>0</v>
      </c>
      <c r="CY264" s="76">
        <f t="shared" si="534"/>
        <v>0</v>
      </c>
      <c r="CZ264" s="76">
        <f t="shared" si="535"/>
        <v>0</v>
      </c>
      <c r="DA264" s="76">
        <f t="shared" si="536"/>
        <v>0</v>
      </c>
      <c r="DB264" s="76">
        <f t="shared" si="537"/>
        <v>0</v>
      </c>
      <c r="DC264" s="76">
        <f t="shared" si="538"/>
        <v>0</v>
      </c>
      <c r="DD264" s="76">
        <f t="shared" si="539"/>
        <v>0</v>
      </c>
      <c r="DE264" s="77">
        <f t="shared" si="540"/>
        <v>0</v>
      </c>
      <c r="DF264" s="73">
        <f t="shared" si="542"/>
        <v>16</v>
      </c>
      <c r="DG264" s="67">
        <f t="shared" si="543"/>
        <v>20.66</v>
      </c>
      <c r="DH264" s="76">
        <f t="shared" si="544"/>
        <v>8</v>
      </c>
      <c r="DI264" s="67">
        <f t="shared" si="545"/>
        <v>33.049999999999997</v>
      </c>
      <c r="DJ264" s="202" t="str">
        <f>IF($D262="","",$D262)</f>
        <v>8</v>
      </c>
      <c r="DK264" s="493"/>
    </row>
    <row r="265" spans="1:115" ht="14.5" customHeight="1" x14ac:dyDescent="0.2">
      <c r="A265" s="459">
        <f>$A262+1</f>
        <v>88</v>
      </c>
      <c r="B265" s="507" t="str">
        <f>IF(OR(C265="W",C266="W",C267="W",C265="1/2W",C266="1/2W",C267="1/2W",C265="1/2L",C266="1/2L",C267="1/2L"),"OK",IF(OR(C265="L",C266="L",C267="L"),"LOSS",IF(OR(C265="X",C266="X",C267="X"),"Anulado"," ")))</f>
        <v>OK</v>
      </c>
      <c r="C265" s="93" t="s">
        <v>54</v>
      </c>
      <c r="D265" s="468" t="str">
        <f>IF(G265="","",$D262)</f>
        <v>8</v>
      </c>
      <c r="E265" s="485" t="str">
        <f>IF(G265=""," ","– "&amp;COUNTIF(D$4:D267,$D265))</f>
        <v>– 3</v>
      </c>
      <c r="F265" s="509" t="str">
        <f ca="1">IF(G265="","",IF(OR(AND($C265&lt;&gt;" ",$C266=" "),AND($C266&lt;&gt;" ",$C265=" "),AND(L267&gt;0,OR(AND($C267&lt;&gt;" ",OR($C265=" ",$C266=" ")),AND($C267=" ",OR($C265&lt;&gt;" ",$C266&lt;&gt;" "))))),IF(SUM(F$4:F264)=0,1,LARGE(F$4:F264,1)+1),IF(MONTH(G265)=MONTH(TODAY()),IF(AND(DAY(G265)&lt;DAY(TODAY()),$B265=" "),IF(SUM(F$4:F264)=0,1,LARGE(F$4:F264,1)+1),IF($B265=" ",IF(AND(DAY(G265)=DAY(TODAY()),HOUR(G265)&lt;=HOUR(NOW())+1),IF(AND(HOUR(G265)+2&lt;=HOUR(NOW()),DAY(G265)&lt;=DAY(TODAY()),MINUTE(G265)&lt;=MINUTE(NOW())),IF(SUM(F$4:F264)=0,1,LARGE(F$4:F264,1)+1),IF(OR(MINUTE(G265)&lt;=MINUTE(NOW()),HOUR(G265)&lt;=HOUR(NOW())),"!!!","")),""),"")),"")))</f>
        <v/>
      </c>
      <c r="G265" s="482">
        <v>44993.25</v>
      </c>
      <c r="H265" s="475" t="s">
        <v>136</v>
      </c>
      <c r="I265" s="94" t="s">
        <v>76</v>
      </c>
      <c r="J265" s="95">
        <v>-1.75</v>
      </c>
      <c r="K265" s="96" t="s">
        <v>43</v>
      </c>
      <c r="L265" s="97">
        <v>2.2400000000000002</v>
      </c>
      <c r="M265" s="98"/>
      <c r="N265" s="478">
        <v>1</v>
      </c>
      <c r="O265" s="99">
        <f>IF(OR(AE265="",AE266=""),"",ROUND(IF(L267&gt;0,IF(M265&gt;0,M265,IF(M266&gt;0,ROUND((M266*AE265)/AE266,IF(N265=0,2,IF(N265=0.1,1,0))),ROUND((M267*AE265)/AE267,IF(N265=0,2,IF(N265=0.1,1,0))))),IF(M265&gt;0,M265,ROUND((M266*AE265)/AE266,IF(N265=0,2,IF(N265=0.1,1,0))))),2))</f>
        <v>16</v>
      </c>
      <c r="P265" s="100">
        <f>IF(OR(L265="",O265=""),"",IF($C265="1/2W",O265/2+O265/2*L265,IF($C265="1/2L",O265/2,IF(I265="Lay",(O265*(L265/(L265-1))-O265)*(1-_xlfn.XLOOKUP(K265,'Fevereiro 2023 - Valor Real'!A3:A15,'Fevereiro 2023 - Valor Real'!C3:C15,0))+O265,(O265*L265-O265)*(1-_xlfn.XLOOKUP(K265,'Fevereiro 2023 - Valor Real'!A3:A15,'Fevereiro 2023 - Valor Real'!C3:C15,0))+O265))))</f>
        <v>35.840000000000003</v>
      </c>
      <c r="Q265" s="101">
        <f>IF(K265="","",IF(_xlfn.XLOOKUP(K265,K$6:K260,$DJ$6:DJ260,0,,-1)=DJ265,_xlfn.XLOOKUP(K265,K$6:K260,Q$6:Q260,1,,-1)+1,1))</f>
        <v>1</v>
      </c>
      <c r="R265" s="102">
        <f>IF(K265="","",_xlfn.XLOOKUP(K265,K$6:K260,R$6:R260,0,,-1)+IF($C265=" ",1,0))</f>
        <v>0</v>
      </c>
      <c r="S265" s="474">
        <f>IF($B265="Anulado",0,ROUND(IF(OR($B265="LOSS",$B265="OK"),IF(OR($C265="W",$C265="1/2W",$C265="1/2L"),P265-O265,IF($C265="L",-O265,0))+IF(OR($C266="W",$C266="1/2W",$C266="1/2L"),P266-O266,IF($C266="L",-O266,0))+IF(OR($C267="W",$C267="1/2W",$C267="1/2L"),P267-O267,IF($C267="L",-O267,0)),IF(AND(OR($C265="W",$C265="1/2W",$C265="1/2L"),C266="W"),P265+P266-SUM(O265:O267)+_xlfn.XLOOKUP("X",C265:C267,O265:O267,0),IF(AND(C265=TRUE,C267="W"),P265+P267-SUM(O265:O267),IF(AND(C266="W",C267="W"),P266+P267-SUM(O265:O267)+_xlfn.XLOOKUP("X",C265:C267,O265:O267,0),IF(L267&gt;0,IF(OR($C265="W",$C265="1/2W",$C265="1/2L"),P265-SUM(O265:O267)+_xlfn.XLOOKUP("X",C265:C267,O265:O267,0),IF(OR($C265="W",$C265="1/2W",$C265="1/2L"),P266-SUM(O265:O267)+_xlfn.XLOOKUP("X",C265:C267,O265:O267,0),IF(OR($C265="W",$C265="1/2W",$C265="1/2L"),P267-SUM(O265:O267)+_xlfn.XLOOKUP("X",C265:C267,O265:O267,0),IF(SUM(P265:P267)/3-SUM(O265:O267)+_xlfn.XLOOKUP("X",C265:C267,O265:O267,0)&gt;0,SUM(P265:P267)/3-SUM(O265:O267)+_xlfn.XLOOKUP("X",C265:C267,O265:O267,0),LARGE(P265:P267,1)-SUM(O265:O267))))),IF(OR($C265="W",$C265="1/2W",$C265="1/2L"),P265-SUM(O265:O266)+_xlfn.XLOOKUP("X",C265:C267,O265:O267,0),IF(OR($C265="W",$C265="1/2W",$C265="1/2L"),P266-SUM(O265:O266)+_xlfn.XLOOKUP("X",C265:C267,O265:O267,0),SUM(P265:P266)/2-SUM(O265:O266)+_xlfn.XLOOKUP("X",C265:C267,O265:O267,0)))))))),2))</f>
        <v>0.92</v>
      </c>
      <c r="T265" s="458">
        <f>IF(S265=0,0,S265/SUM(O265:O267))</f>
        <v>2.6345933562428408E-2</v>
      </c>
      <c r="U265" s="470">
        <f>IF($D265=$D262,IF(OR($B265="LOSS",$B265="OK",$B265="Anulada"),S265,0)+U262,IF(OR($B265="LOSS",$B265="OK",$B265="Anulada"),S265,0))</f>
        <v>16.55</v>
      </c>
      <c r="V265" s="470">
        <f>IF($D265="",0,IF($D265=$D262,IF($B265=" ",IF(I267="",IF(OR(AND(I265="DNB1",I266="DNB2"),AND(OR(I265="DNB1",I265="DNB2"),J266=0),AND(OR(I266="DNB1",I266="DNB2"),J265=0),AND(I265="DNB2",I266="DNB1"),AND(IF(J265=0,(J265+1)/ROUND(J265+1,0),J265/ROUND(J265,0))=1,IF(J266=0,(J266+1)/ROUND(IF(J266="",0,J266)+1,0),IF(J266="",0,J266)/ROUND(IF(J266="",1,J266),0))=1,OR(J265&lt;&gt;""),J266&lt;&gt;"")),0,IF(S265&lt;0,IF(I267="",SMALL(P265:P266,1)-SUM(O265:O266),0),SMALL(P265:P266,1)-SUM(O265:O266))),IF(S265&lt;0,IF(I267="",SMALL(P265:P267,1)-SUM(O265:O267),0),LARGE(P265:P267,1)-SUM(O265:O267))),S265)+V262,IF(I267="",IF(OR(AND(I265="DNB1",I266="DNB2"),AND(OR(I265="DNB1",I265="DNB2"),J266=0),AND(OR(I266="DNB1",I266="DNB2"),J265=0),AND(I265="DNB2",I266="DNB1"),AND(IF(J265=0,(J265+1)/ROUND(J265+1,0),J265/ROUND(J265,0))=1,IF(J266=0,(IF(J266="",0,J266)+1)/ROUND(IF(J266="",0,J266)+1,0),IF(J266="",0,J266)/ROUND(IF(J266="",0,J266)+1,0))=1,OR(J265&lt;&gt;""),J266&lt;&gt;"")),0,IF(S265&lt;0,IF(I267="",SMALL(P265:P266,1)-SUM(O265:O266),0),SMALL(P265:P267,1)-SUM(O265:O267))),IF(S265&lt;0,IF(I267="",SMALL(P265:P267,1)-SUM(O265:O267),0),LARGE(P265:P267,1)-SUM(O265:O267)))))</f>
        <v>16.705000000000002</v>
      </c>
      <c r="W265" s="470">
        <f>IF($D265=$D262,IF(S265&lt;0,IF(I267="",S265,0),S265)+W262,S265)</f>
        <v>16.55</v>
      </c>
      <c r="X265" s="480" t="str">
        <f>IF(OR(SUM(R265:R267)=0,V265=W265),ROUND(IF(W265=0,0,W265/Y265)*100,2)&amp;"%",ROUND(IF(V265=0,0,V265/Y265)*100,2)&amp;"% a "&amp;ROUND(IF(W265=0,0,W265/Y265)*100,2)&amp;"%")</f>
        <v>6,52%</v>
      </c>
      <c r="Y265" s="471">
        <f>IF($D265=$D262,Y262+SUM(O265:O267),SUM(O265:O267))</f>
        <v>253.86</v>
      </c>
      <c r="Z265" s="470">
        <f>IF($B265=" ",SUM(O265:O267),0)+Z262</f>
        <v>0</v>
      </c>
      <c r="AA265" s="470">
        <f>IF(G265="","",IF($B265="Anulado",LARGE(P265:P267,1)-SUM(O265:O267)+AA262,AA262))</f>
        <v>1.4607999999999972</v>
      </c>
      <c r="AB265" s="470">
        <f>IF($D265="","",AB262+S265)</f>
        <v>432.67</v>
      </c>
      <c r="AC265" s="472">
        <f ca="1">IF($D265="","",IF($B265=" ",IF(DAY(G265)=DAY(TODAY()),1+AC262,0+AC262),0+AC262))</f>
        <v>0</v>
      </c>
      <c r="AD265" s="103">
        <f>(((L266/(L266-1)-1)*(1-_xlfn.XLOOKUP(K266,'Fevereiro 2023 - Valor Real'!A3:A15,'Fevereiro 2023 - Valor Real'!C3:C15,0))+1))/(((L265-1)*(1-_xlfn.XLOOKUP(K265,'Fevereiro 2023 - Valor Real'!A3:A15,'Fevereiro 2023 - Valor Real'!C3:C15,0))+1)+((L266/(L266-1)-1)*(1-_xlfn.XLOOKUP(K266,'Fevereiro 2023 - Valor Real'!A3:A15,'Fevereiro 2023 - Valor Real'!C3:C15,0))+1))</f>
        <v>0.48161120840630478</v>
      </c>
      <c r="AE265" s="104">
        <f>IF(L265="","",IF(L267&gt;0,(SUM(((L265-1)*(1-_xlfn.XLOOKUP(K265,'Fevereiro 2023 - Valor Real'!A3:A15,'Fevereiro 2023 - Valor Real'!C3:C15,0))+1),((L266-1)*(1-_xlfn.XLOOKUP(K266,'Fevereiro 2023 - Valor Real'!A3:A15,'Fevereiro 2023 - Valor Real'!C3:C15,0))+1),((L267-1)*(1-_xlfn.XLOOKUP(K267,'Fevereiro 2023 - Valor Real'!A3:A15,'Fevereiro 2023 - Valor Real'!C3:C15,0))+1))/((L265-1)*(1-_xlfn.XLOOKUP(K265,'Fevereiro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Real'!C3:C15,0))+1))/((L265-1)*(1-_xlfn.XLOOKUP(K265,'Fevereiro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Real'!C3:C15,0))+1))/((L266-1)*(1-_xlfn.XLOOKUP(K266,'Fevereiro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Real'!C3:C15,0))+1))/((L267-1)*(1-_xlfn.XLOOKUP(K267,'Fevereiro 2023 - Valor Real'!A3:A15,'Fevereiro 2023 - Valor Real'!C3:C15,0))+1)),IF(I265="Lay",IF(I266="Lay",((L266/(L266-1)-1)*(1-_xlfn.XLOOKUP(K266,'Fevereiro 2023 - Valor Real'!A3:A15,'Fevereiro 2023 - Valor Real'!C3:C15,0))+1)/(((L266/(L266-1)-1)*(1-_xlfn.XLOOKUP(K266,'Fevereiro 2023 - Valor Real'!A3:A15,'Fevereiro 2023 - Valor Real'!C3:C15,0))+1)+((L265/(L265-1)-1)*(1-_xlfn.XLOOKUP(K265,'Fevereiro 2023 - Valor Real'!A3:A15,'Fevereiro 2023 - Valor Real'!C3:C15,0))+1)),((L266-1)*(1-_xlfn.XLOOKUP(K266,'Fevereiro 2023 - Valor Real'!A3:A15,'Fevereiro 2023 - Valor Real'!C3:C15,0))+1)/(((L266-1)*(1-_xlfn.XLOOKUP(K266,'Fevereiro 2023 - Valor Real'!A3:A15,'Fevereiro 2023 - Valor Real'!C3:C15,0))+1)+((L265/(L265-1)-1)*(1-_xlfn.XLOOKUP(K265,'Fevereiro 2023 - Valor Real'!A3:A15,'Fevereiro 2023 - Valor Real'!C3:C15,0))+1))),IF(I266="Lay",(((L266/(L266-1)-1)*(1-_xlfn.XLOOKUP(K266,'Fevereiro 2023 - Valor Real'!A3:A15,'Fevereiro 2023 - Valor Real'!C3:C15,0))+1))/(((L265-1)*(1-_xlfn.XLOOKUP(K265,'Fevereiro 2023 - Valor Real'!A3:A15,'Fevereiro 2023 - Valor Real'!C3:C15,0))+1)+((L266/(L266-1)-1)*(1-_xlfn.XLOOKUP(K266,'Fevereiro 2023 - Valor Real'!A3:A15,'Fevereiro 2023 - Valor Real'!C3:C15,0))+1)),((L266-1)*(1-_xlfn.XLOOKUP(K266,'Fevereiro 2023 - Valor Real'!A3:A15,'Fevereiro 2023 - Valor Real'!C3:C15,0))+1)/(((L266-1)*(1-_xlfn.XLOOKUP(K266,'Fevereiro 2023 - Valor Real'!A3:A15,'Fevereiro 2023 - Valor Real'!C3:C15,0))+1)+((L265-1)*(1-_xlfn.XLOOKUP(K265,'Fevereiro 2023 - Valor Real'!A3:A15,'Fevereiro 2023 - Valor Real'!C3:C15,0))+1))))))</f>
        <v>0.46218487394957986</v>
      </c>
      <c r="AF265" s="105">
        <f t="shared" si="549"/>
        <v>0</v>
      </c>
      <c r="AG265" s="106">
        <f t="shared" si="549"/>
        <v>0</v>
      </c>
      <c r="AH265" s="106">
        <f t="shared" si="549"/>
        <v>0</v>
      </c>
      <c r="AI265" s="106">
        <f t="shared" si="549"/>
        <v>0</v>
      </c>
      <c r="AJ265" s="106">
        <f t="shared" si="549"/>
        <v>0</v>
      </c>
      <c r="AK265" s="106">
        <f t="shared" si="549"/>
        <v>0</v>
      </c>
      <c r="AL265" s="106">
        <f t="shared" si="549"/>
        <v>0</v>
      </c>
      <c r="AM265" s="106">
        <f t="shared" si="549"/>
        <v>19.84</v>
      </c>
      <c r="AN265" s="106">
        <f t="shared" si="549"/>
        <v>0</v>
      </c>
      <c r="AO265" s="106">
        <f t="shared" si="549"/>
        <v>0</v>
      </c>
      <c r="AP265" s="106">
        <f t="shared" si="549"/>
        <v>0</v>
      </c>
      <c r="AQ265" s="106">
        <f t="shared" si="549"/>
        <v>0</v>
      </c>
      <c r="AR265" s="107">
        <f t="shared" si="549"/>
        <v>0</v>
      </c>
      <c r="AS265" s="105">
        <f t="shared" ref="AS265:BE265" si="552">IF(AND($B265=" ",$K265=AS$3),$O265,0)</f>
        <v>0</v>
      </c>
      <c r="AT265" s="106">
        <f t="shared" si="552"/>
        <v>0</v>
      </c>
      <c r="AU265" s="106">
        <f t="shared" si="552"/>
        <v>0</v>
      </c>
      <c r="AV265" s="106">
        <f t="shared" si="552"/>
        <v>0</v>
      </c>
      <c r="AW265" s="106">
        <f t="shared" si="552"/>
        <v>0</v>
      </c>
      <c r="AX265" s="106">
        <f t="shared" si="552"/>
        <v>0</v>
      </c>
      <c r="AY265" s="108">
        <f t="shared" si="552"/>
        <v>0</v>
      </c>
      <c r="AZ265" s="109">
        <f t="shared" si="552"/>
        <v>0</v>
      </c>
      <c r="BA265" s="109">
        <f t="shared" si="552"/>
        <v>0</v>
      </c>
      <c r="BB265" s="109">
        <f t="shared" si="552"/>
        <v>0</v>
      </c>
      <c r="BC265" s="110">
        <f t="shared" si="552"/>
        <v>0</v>
      </c>
      <c r="BD265" s="106">
        <f t="shared" si="552"/>
        <v>0</v>
      </c>
      <c r="BE265" s="107">
        <f t="shared" si="552"/>
        <v>0</v>
      </c>
      <c r="BF265" s="111">
        <f t="shared" si="551"/>
        <v>0</v>
      </c>
      <c r="BG265" s="106">
        <f t="shared" si="551"/>
        <v>0</v>
      </c>
      <c r="BH265" s="106">
        <f t="shared" si="551"/>
        <v>0</v>
      </c>
      <c r="BI265" s="106">
        <f t="shared" si="551"/>
        <v>0</v>
      </c>
      <c r="BJ265" s="106">
        <f t="shared" si="551"/>
        <v>0</v>
      </c>
      <c r="BK265" s="106">
        <f t="shared" si="551"/>
        <v>0</v>
      </c>
      <c r="BL265" s="106">
        <f t="shared" si="551"/>
        <v>0</v>
      </c>
      <c r="BM265" s="108">
        <f t="shared" si="551"/>
        <v>16</v>
      </c>
      <c r="BN265" s="109">
        <f t="shared" si="551"/>
        <v>0</v>
      </c>
      <c r="BO265" s="109">
        <f t="shared" si="551"/>
        <v>0</v>
      </c>
      <c r="BP265" s="109">
        <f t="shared" si="551"/>
        <v>0</v>
      </c>
      <c r="BQ265" s="110">
        <f t="shared" si="551"/>
        <v>0</v>
      </c>
      <c r="BR265" s="107">
        <f t="shared" si="551"/>
        <v>0</v>
      </c>
      <c r="BS265" s="463">
        <f>IF($B265="LOSS",IF(AND($K265=BS$3,$C265="L"),-$O265,0)+IF(AND($K266=BS$3,$C266="L"),-$O266,0)+IF(AND($K267=BS$3,$C267="L"),-$O267,0),IF(OR(AND($K265=BS$3,OR($C265="W",$C265="1/2W")),AND($K266=BS$3,OR($C266="W",$C266="1/2W")),AND($K267=BS$3,OR($C267="W",$C267="1/2W"))),$S265,0))</f>
        <v>0</v>
      </c>
      <c r="BT265" s="462">
        <f>IF($B265="LOSS",IF(AND($K265=BT$3,$C265="L"),-$O265,0)+IF(AND($K266=BT$3,$C266="L"),-$O266,0)+IF(AND($K266=BT$3,$C267="L"),-$O267,0),IF(OR(AND($K266=BT$3,OR($C265="W",$C265="1/2W")),AND($K266=BT$3,OR($C266="W",$C266="1/2W")),AND($K266=BT$3,OR($C267="W",$C267="1/2W"))),$S265,0))</f>
        <v>0</v>
      </c>
      <c r="BU265" s="462">
        <f>IF($B265="LOSS",IF(AND($K265=BU$3,$C265="L"),-$O265,0)+IF(AND($K266=BU$3,$C266="L"),-$O266,0)+IF(AND($K266=BU$3,$C267="L"),-$O267,0),IF(OR(AND($K266=BU$3,OR($C265="W",$C265="1/2W")),AND($K266=BU$3,OR($C266="W",$C266="1/2W")),AND($K266=BU$3,OR($C267="W",$C267="1/2W"))),$S265,0))</f>
        <v>0</v>
      </c>
      <c r="BV265" s="462">
        <f t="shared" ref="BV265:CE265" si="553">IF($B265="LOSS",IF(AND($K265=BV$3,$C265="L"),-$O265,0)+IF(AND($K266=BV$3,$C266="L"),-$O266,0)+IF(AND($K267=BV$3,$C267="L"),-$O267,0),IF(OR(AND($K265=BV$3,OR($C265="W",$C265="1/2W")),AND($K266=BV$3,OR($C266="W",$C266="1/2W")),AND($K267=BV$3,OR($C267="W",$C267="1/2W"))),$S265,0))</f>
        <v>0</v>
      </c>
      <c r="BW265" s="462">
        <f t="shared" si="553"/>
        <v>0</v>
      </c>
      <c r="BX265" s="462">
        <f t="shared" si="553"/>
        <v>0</v>
      </c>
      <c r="BY265" s="462">
        <f t="shared" si="553"/>
        <v>0</v>
      </c>
      <c r="BZ265" s="460">
        <f t="shared" si="553"/>
        <v>0.92</v>
      </c>
      <c r="CA265" s="460">
        <f t="shared" si="553"/>
        <v>0</v>
      </c>
      <c r="CB265" s="460">
        <f t="shared" si="553"/>
        <v>0</v>
      </c>
      <c r="CC265" s="460">
        <f t="shared" si="553"/>
        <v>0</v>
      </c>
      <c r="CD265" s="473">
        <f t="shared" si="553"/>
        <v>0</v>
      </c>
      <c r="CE265" s="479">
        <f t="shared" si="553"/>
        <v>0</v>
      </c>
      <c r="CF265" s="113">
        <f t="shared" si="515"/>
        <v>0</v>
      </c>
      <c r="CG265" s="114">
        <f t="shared" si="516"/>
        <v>0</v>
      </c>
      <c r="CH265" s="114">
        <f t="shared" si="517"/>
        <v>0</v>
      </c>
      <c r="CI265" s="114">
        <f t="shared" si="518"/>
        <v>0</v>
      </c>
      <c r="CJ265" s="114">
        <f t="shared" si="519"/>
        <v>0</v>
      </c>
      <c r="CK265" s="114">
        <f t="shared" si="520"/>
        <v>0</v>
      </c>
      <c r="CL265" s="114">
        <f t="shared" si="521"/>
        <v>0</v>
      </c>
      <c r="CM265" s="114">
        <f t="shared" si="522"/>
        <v>0</v>
      </c>
      <c r="CN265" s="114">
        <f t="shared" si="523"/>
        <v>0</v>
      </c>
      <c r="CO265" s="114">
        <f t="shared" si="524"/>
        <v>0</v>
      </c>
      <c r="CP265" s="114">
        <f t="shared" si="525"/>
        <v>0</v>
      </c>
      <c r="CQ265" s="114">
        <f t="shared" si="526"/>
        <v>0</v>
      </c>
      <c r="CR265" s="114">
        <f t="shared" si="527"/>
        <v>0</v>
      </c>
      <c r="CS265" s="114">
        <f t="shared" si="528"/>
        <v>0</v>
      </c>
      <c r="CT265" s="115">
        <f t="shared" si="529"/>
        <v>1</v>
      </c>
      <c r="CU265" s="116">
        <f t="shared" si="530"/>
        <v>0</v>
      </c>
      <c r="CV265" s="116">
        <f t="shared" si="531"/>
        <v>0</v>
      </c>
      <c r="CW265" s="116">
        <f t="shared" si="532"/>
        <v>0</v>
      </c>
      <c r="CX265" s="116">
        <f t="shared" si="533"/>
        <v>0</v>
      </c>
      <c r="CY265" s="116">
        <f t="shared" si="534"/>
        <v>0</v>
      </c>
      <c r="CZ265" s="116">
        <f t="shared" si="535"/>
        <v>0</v>
      </c>
      <c r="DA265" s="116">
        <f t="shared" si="536"/>
        <v>0</v>
      </c>
      <c r="DB265" s="116">
        <f t="shared" si="537"/>
        <v>0</v>
      </c>
      <c r="DC265" s="116">
        <f t="shared" si="538"/>
        <v>0</v>
      </c>
      <c r="DD265" s="116">
        <f t="shared" si="539"/>
        <v>0</v>
      </c>
      <c r="DE265" s="117">
        <f t="shared" si="540"/>
        <v>0</v>
      </c>
      <c r="DF265" s="118">
        <f t="shared" si="542"/>
        <v>16</v>
      </c>
      <c r="DG265" s="106">
        <f t="shared" si="543"/>
        <v>20.66</v>
      </c>
      <c r="DH265" s="116">
        <f t="shared" si="544"/>
        <v>8</v>
      </c>
      <c r="DI265" s="106">
        <f t="shared" si="545"/>
        <v>33.049999999999997</v>
      </c>
      <c r="DJ265" s="201" t="str">
        <f>IF($D265="","",$D265)</f>
        <v>8</v>
      </c>
      <c r="DK265" s="465">
        <f>IF(AND($B265=" ",$D265&lt;&gt;""),1,0)</f>
        <v>0</v>
      </c>
    </row>
    <row r="266" spans="1:115" ht="14.5" customHeight="1" x14ac:dyDescent="0.2">
      <c r="A266" s="389"/>
      <c r="B266" s="456"/>
      <c r="C266" s="120" t="s">
        <v>55</v>
      </c>
      <c r="D266" s="374"/>
      <c r="E266" s="386"/>
      <c r="F266" s="377"/>
      <c r="G266" s="483"/>
      <c r="H266" s="476"/>
      <c r="I266" s="121" t="s">
        <v>66</v>
      </c>
      <c r="J266" s="122">
        <f>IF(OR(I265="TO",I265="TU",I265="TO1",I265="TU1",I265="TO2",I265="TU2"),J265,IF(OR(I265="AH1",I265="AH2"),IF(OR(I266="AH1",I266="AH2"),-J265,IF(OR(I266="EH1",I266="EH2"),-J265+0.5,"")),IF(OR(I265="EH1",I265="EH2"),IF(OR(I266="AH1",I266="AH2"),-J265+0.5,IF(OR(I266="EH1",I266="EH2"),-J265+1,"")),IF(AND(OR(I265="DNB1",I265="DNB2"),OR(I266="AH1",I266="AH2")),0,IF(AND(I265="Not ScoreBoth",OR(I266="TO1",I266="TO2")),0.5,"")))))</f>
        <v>1.75</v>
      </c>
      <c r="K266" s="123" t="s">
        <v>36</v>
      </c>
      <c r="L266" s="124">
        <v>1.925</v>
      </c>
      <c r="M266" s="125">
        <v>18.920000000000002</v>
      </c>
      <c r="N266" s="406"/>
      <c r="O266" s="126">
        <f>IF(OR(AE265="",AE266=""),"",ROUND(IF(L267&gt;0,IF(M266&gt;0,M266,IF(M265&gt;0,IF(N265=TRUE,ROUND((M265*AE266)/AE265,0),(M265*AE266)/AE265),IF(M266&gt;0,ROUND(M266,IF(N265=0,2,IF(N265=0.1,1,0))),IF(M267&gt;0,ROUND(O267*AE266/AE267,IF(N265=0,2,IF(N265=0.1,1,0))),0)))),IF(M266&gt;0,M266,ROUND((M265*AE266)/AE265,IF(N265=0,2,IF(N265=0.1,1,0))))),2))</f>
        <v>18.920000000000002</v>
      </c>
      <c r="P266" s="127">
        <f>IF(OR(L266="",O266=""),"",IF($C266="1/2W",O266/2+O266/2*L266,IF($C266="1/2L",O266/2,IF(I266="Lay",((O266*(L266/(L266-1)))-O266)*(1-_xlfn.XLOOKUP(K266,'Fevereiro 2023 - Valor Real'!A3:A15,'Fevereiro 2023 - Valor Real'!C3:C15,0))+O266,(O266*L266-O266)*(1-_xlfn.XLOOKUP(K266,'Fevereiro 2023 - Valor Real'!A3:A15,'Fevereiro 2023 - Valor Real'!C3:C15,0))+O266))))</f>
        <v>36.421000000000006</v>
      </c>
      <c r="Q266" s="128">
        <f>IF(K266="","",IF(_xlfn.XLOOKUP(K266,K$7:K260,$DJ$7:DJ260,0,,-1)=DJ266,_xlfn.XLOOKUP(K266,K$7:K260,Q$7:Q260,1,,-1)+1,1))</f>
        <v>1</v>
      </c>
      <c r="R266" s="129">
        <f>IF(K266="","",_xlfn.XLOOKUP(K266,K$7:K260,R$7:R260,0,,-1)+IF($C266=" ",1,0))</f>
        <v>0</v>
      </c>
      <c r="S266" s="403"/>
      <c r="T266" s="380"/>
      <c r="U266" s="380"/>
      <c r="V266" s="481"/>
      <c r="W266" s="380"/>
      <c r="X266" s="452"/>
      <c r="Y266" s="383"/>
      <c r="Z266" s="384"/>
      <c r="AA266" s="384"/>
      <c r="AB266" s="384"/>
      <c r="AC266" s="384"/>
      <c r="AD266" s="130">
        <f>(((L266/(L266-1)-1)*(1-_xlfn.XLOOKUP(K266,'Fevereiro 2023 - Valor Real'!A3:A15,'Fevereiro 2023 - Valor Real'!C3:C15,0))+1))</f>
        <v>2.0810810810810811</v>
      </c>
      <c r="AE266" s="131">
        <f>IF(L266="","",IF(L267&gt;0,(SUM(((L265-1)*(1-_xlfn.XLOOKUP(K265,'Fevereiro 2023 - Valor Real'!A3:A15,'Fevereiro 2023 - Valor Real'!C3:C15,0))+1),((L266-1)*(1-_xlfn.XLOOKUP(K266,'Fevereiro 2023 - Valor Real'!A3:A15,'Fevereiro 2023 - Valor Real'!C3:C15,0))+1),((L267-1)*(1-_xlfn.XLOOKUP(K267,'Fevereiro 2023 - Valor Real'!A3:A15,'Fevereiro 2023 - Valor Real'!C3:C15,0))+1))/((L266-1)*(1-_xlfn.XLOOKUP(K266,'Fevereiro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Real'!C3:C15,0))+1))/((L265-1)*(1-_xlfn.XLOOKUP(K265,'Fevereiro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Real'!C3:C15,0))+1))/((L266-1)*(1-_xlfn.XLOOKUP(K266,'Fevereiro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Real'!C3:C15,0))+1))/((L267-1)*(1-_xlfn.XLOOKUP(K267,'Fevereiro 2023 - Valor Real'!A3:A15,'Fevereiro 2023 - Valor Real'!C3:C15,0))+1)),IF(I266="Lay",IF(I265="Lay",((L265/(L265-1)-1)*(1-_xlfn.XLOOKUP(K265,'Fevereiro 2023 - Valor Real'!A3:A15,'Fevereiro 2023 - Valor Real'!C3:C15,0))+1)/(((L265/(L265-1)-1)*(1-_xlfn.XLOOKUP(K265,'Fevereiro 2023 - Valor Real'!A3:A15,'Fevereiro 2023 - Valor Real'!C3:C15,0))+1)+((L266/(L266-1)-1)*(1-_xlfn.XLOOKUP(K266,'Fevereiro 2023 - Valor Real'!A3:A15,'Fevereiro 2023 - Valor Real'!C3:C15,0))+1)),((L265-1)*(1-_xlfn.XLOOKUP(K265,'Fevereiro 2023 - Valor Real'!A3:A15,'Fevereiro 2023 - Valor Real'!C3:C15,0))+1)/(((L265-1)*(1-_xlfn.XLOOKUP(K265,'Fevereiro 2023 - Valor Real'!A3:A15,'Fevereiro 2023 - Valor Real'!C3:C15,0))+1)+((L266/(L266-1)-1)*(1-_xlfn.XLOOKUP(K266,'Fevereiro 2023 - Valor Real'!A3:A15,'Fevereiro 2023 - Valor Real'!C3:C15,0))+1))),IF(I265="Lay",((L265/(L265-1)-1)*(1-_xlfn.XLOOKUP(K265,'Fevereiro 2023 - Valor Real'!A3:A15,'Fevereiro 2023 - Valor Real'!C3:C15,0))+1)/((((L265/(L265-1)-1)*(1-_xlfn.XLOOKUP(K265,'Fevereiro 2023 - Valor Real'!A3:A15,'Fevereiro 2023 - Valor Real'!C3:C15,0))+1))+((L266-1)*(1-_xlfn.XLOOKUP(K266,'Fevereiro 2023 - Valor Real'!A3:A15,'Fevereiro 2023 - Valor Real'!C3:C15,0))+1)),((L265-1)*(1-_xlfn.XLOOKUP(K265,'Fevereiro 2023 - Valor Real'!A3:A15,'Fevereiro 2023 - Valor Real'!C3:C15,0))+1)/(((L265-1)*(1-_xlfn.XLOOKUP(K265,'Fevereiro 2023 - Valor Real'!A3:A15,'Fevereiro 2023 - Valor Real'!C3:C15,0))+1)+((L266-1)*(1-_xlfn.XLOOKUP(K266,'Fevereiro 2023 - Valor Real'!A3:A15,'Fevereiro 2023 - Valor Real'!C3:C15,0))+1))))))</f>
        <v>0.53781512605042026</v>
      </c>
      <c r="AF266" s="105">
        <f t="shared" si="549"/>
        <v>-18.920000000000002</v>
      </c>
      <c r="AG266" s="106">
        <f t="shared" si="549"/>
        <v>0</v>
      </c>
      <c r="AH266" s="106">
        <f t="shared" si="549"/>
        <v>0</v>
      </c>
      <c r="AI266" s="106">
        <f t="shared" si="549"/>
        <v>0</v>
      </c>
      <c r="AJ266" s="106">
        <f t="shared" si="549"/>
        <v>0</v>
      </c>
      <c r="AK266" s="106">
        <f t="shared" si="549"/>
        <v>0</v>
      </c>
      <c r="AL266" s="106">
        <f t="shared" si="549"/>
        <v>0</v>
      </c>
      <c r="AM266" s="106">
        <f t="shared" si="549"/>
        <v>0</v>
      </c>
      <c r="AN266" s="106">
        <f t="shared" si="549"/>
        <v>0</v>
      </c>
      <c r="AO266" s="106">
        <f t="shared" si="549"/>
        <v>0</v>
      </c>
      <c r="AP266" s="106">
        <f t="shared" si="549"/>
        <v>0</v>
      </c>
      <c r="AQ266" s="106">
        <f t="shared" si="549"/>
        <v>0</v>
      </c>
      <c r="AR266" s="107">
        <f t="shared" si="549"/>
        <v>0</v>
      </c>
      <c r="AS266" s="105">
        <f>IF(AND($B265=" ",$K266=AS$3),$O266,0)</f>
        <v>0</v>
      </c>
      <c r="AT266" s="106">
        <f>IF(AND($B265=" ",K266=AT$3),$O266,0)</f>
        <v>0</v>
      </c>
      <c r="AU266" s="106">
        <f t="shared" ref="AU266:BE266" si="554">IF(AND($B265=" ",$K266=AU$3),$O266,0)</f>
        <v>0</v>
      </c>
      <c r="AV266" s="106">
        <f t="shared" si="554"/>
        <v>0</v>
      </c>
      <c r="AW266" s="106">
        <f t="shared" si="554"/>
        <v>0</v>
      </c>
      <c r="AX266" s="106">
        <f t="shared" si="554"/>
        <v>0</v>
      </c>
      <c r="AY266" s="108">
        <f t="shared" si="554"/>
        <v>0</v>
      </c>
      <c r="AZ266" s="109">
        <f t="shared" si="554"/>
        <v>0</v>
      </c>
      <c r="BA266" s="109">
        <f t="shared" si="554"/>
        <v>0</v>
      </c>
      <c r="BB266" s="109">
        <f t="shared" si="554"/>
        <v>0</v>
      </c>
      <c r="BC266" s="110">
        <f t="shared" si="554"/>
        <v>0</v>
      </c>
      <c r="BD266" s="106">
        <f t="shared" si="554"/>
        <v>0</v>
      </c>
      <c r="BE266" s="107">
        <f t="shared" si="554"/>
        <v>0</v>
      </c>
      <c r="BF266" s="105">
        <f t="shared" si="551"/>
        <v>18.920000000000002</v>
      </c>
      <c r="BG266" s="106">
        <f t="shared" si="551"/>
        <v>0</v>
      </c>
      <c r="BH266" s="106">
        <f t="shared" si="551"/>
        <v>0</v>
      </c>
      <c r="BI266" s="106">
        <f t="shared" si="551"/>
        <v>0</v>
      </c>
      <c r="BJ266" s="106">
        <f t="shared" si="551"/>
        <v>0</v>
      </c>
      <c r="BK266" s="106">
        <f t="shared" si="551"/>
        <v>0</v>
      </c>
      <c r="BL266" s="106">
        <f t="shared" si="551"/>
        <v>0</v>
      </c>
      <c r="BM266" s="132">
        <f t="shared" si="551"/>
        <v>0</v>
      </c>
      <c r="BN266" s="112">
        <f t="shared" si="551"/>
        <v>0</v>
      </c>
      <c r="BO266" s="112">
        <f t="shared" si="551"/>
        <v>0</v>
      </c>
      <c r="BP266" s="112">
        <f t="shared" si="551"/>
        <v>0</v>
      </c>
      <c r="BQ266" s="110">
        <f t="shared" si="551"/>
        <v>0</v>
      </c>
      <c r="BR266" s="107">
        <f t="shared" si="551"/>
        <v>0</v>
      </c>
      <c r="BS266" s="464"/>
      <c r="BT266" s="461"/>
      <c r="BU266" s="392"/>
      <c r="BV266" s="461"/>
      <c r="BW266" s="392"/>
      <c r="BX266" s="392"/>
      <c r="BY266" s="392"/>
      <c r="BZ266" s="461"/>
      <c r="CA266" s="392"/>
      <c r="CB266" s="392"/>
      <c r="CC266" s="392"/>
      <c r="CD266" s="401"/>
      <c r="CE266" s="409"/>
      <c r="CF266" s="133">
        <f t="shared" si="515"/>
        <v>0</v>
      </c>
      <c r="CG266" s="134">
        <f t="shared" si="516"/>
        <v>1</v>
      </c>
      <c r="CH266" s="134">
        <f t="shared" si="517"/>
        <v>0</v>
      </c>
      <c r="CI266" s="134">
        <f t="shared" si="518"/>
        <v>0</v>
      </c>
      <c r="CJ266" s="134">
        <f t="shared" si="519"/>
        <v>0</v>
      </c>
      <c r="CK266" s="134">
        <f t="shared" si="520"/>
        <v>0</v>
      </c>
      <c r="CL266" s="134">
        <f t="shared" si="521"/>
        <v>0</v>
      </c>
      <c r="CM266" s="134">
        <f t="shared" si="522"/>
        <v>0</v>
      </c>
      <c r="CN266" s="134">
        <f t="shared" si="523"/>
        <v>0</v>
      </c>
      <c r="CO266" s="134">
        <f t="shared" si="524"/>
        <v>0</v>
      </c>
      <c r="CP266" s="134">
        <f t="shared" si="525"/>
        <v>0</v>
      </c>
      <c r="CQ266" s="134">
        <f t="shared" si="526"/>
        <v>0</v>
      </c>
      <c r="CR266" s="134">
        <f t="shared" si="527"/>
        <v>0</v>
      </c>
      <c r="CS266" s="134">
        <f t="shared" si="528"/>
        <v>0</v>
      </c>
      <c r="CT266" s="115">
        <f t="shared" si="529"/>
        <v>0</v>
      </c>
      <c r="CU266" s="116">
        <f t="shared" si="530"/>
        <v>0</v>
      </c>
      <c r="CV266" s="116">
        <f t="shared" si="531"/>
        <v>0</v>
      </c>
      <c r="CW266" s="116">
        <f t="shared" si="532"/>
        <v>0</v>
      </c>
      <c r="CX266" s="116">
        <f t="shared" si="533"/>
        <v>0</v>
      </c>
      <c r="CY266" s="116">
        <f t="shared" si="534"/>
        <v>0</v>
      </c>
      <c r="CZ266" s="116">
        <f t="shared" si="535"/>
        <v>0</v>
      </c>
      <c r="DA266" s="116">
        <f t="shared" si="536"/>
        <v>0</v>
      </c>
      <c r="DB266" s="116">
        <f t="shared" si="537"/>
        <v>0</v>
      </c>
      <c r="DC266" s="116">
        <f t="shared" si="538"/>
        <v>0</v>
      </c>
      <c r="DD266" s="116">
        <f t="shared" si="539"/>
        <v>0</v>
      </c>
      <c r="DE266" s="117">
        <f t="shared" si="540"/>
        <v>0</v>
      </c>
      <c r="DF266" s="118">
        <f t="shared" si="542"/>
        <v>16</v>
      </c>
      <c r="DG266" s="106">
        <f t="shared" si="543"/>
        <v>20.66</v>
      </c>
      <c r="DH266" s="116">
        <f t="shared" si="544"/>
        <v>8</v>
      </c>
      <c r="DI266" s="106">
        <f t="shared" si="545"/>
        <v>33.049999999999997</v>
      </c>
      <c r="DJ266" s="201" t="str">
        <f>IF($D265="","",$D265)</f>
        <v>8</v>
      </c>
      <c r="DK266" s="466"/>
    </row>
    <row r="267" spans="1:115" ht="14.5" customHeight="1" x14ac:dyDescent="0.2">
      <c r="A267" s="390"/>
      <c r="B267" s="457"/>
      <c r="C267" s="135" t="s">
        <v>53</v>
      </c>
      <c r="D267" s="375"/>
      <c r="E267" s="387"/>
      <c r="F267" s="378"/>
      <c r="G267" s="484"/>
      <c r="H267" s="477"/>
      <c r="I267" s="136"/>
      <c r="J267" s="137"/>
      <c r="K267" s="138"/>
      <c r="L267" s="139"/>
      <c r="M267" s="140"/>
      <c r="N267" s="407"/>
      <c r="O267" s="141" t="str">
        <f>IF(OR(AE265="",AE266=""),"",IF(L267&gt;0,ROUND(IF(M267&gt;0,M267,IF(M265&gt;0,ROUND((M265*AE267)/AE265,IF(N265=0,2,IF(N265=0.1,1,0))),IF(M266&gt;0,ROUND((M266*AE267)/AE266,IF(N265=0,2,IF(N265=0.1,1,0))),IF(M267&gt;0,M267,0)))),2),""))</f>
        <v/>
      </c>
      <c r="P267" s="142" t="str">
        <f>IF(I266="Lay",O266*(L266/(L266-1))-O266,IF(I265="Lay",O265*(L265/(L265-1))-O265,IF(OR(L267="",O267=""),"",IF($C267="1/2W",O267/2+O267/2*L267,IF($C267="1/2L",O267/2,(O267*L267-O267)*(1-_xlfn.XLOOKUP(K267,'Fevereiro 2023 - Valor Real'!A3:A15,'Fevereiro 2023 - Valor Real'!C3:C15,0))+O267)))))</f>
        <v/>
      </c>
      <c r="Q267" s="143" t="str">
        <f>IF(K267="","",IF(_xlfn.XLOOKUP(K267,K$8:K260,$DJ$8:DJ260,0,,-1)=DJ267,_xlfn.XLOOKUP(K267,K$8:K260,Q$8:Q260,1,,-1)+1,1))</f>
        <v/>
      </c>
      <c r="R267" s="144" t="str">
        <f>IF(K267="","",_xlfn.XLOOKUP(K267,K$8:K260,R$8:R260,0,,-1)+IF($C267=" ",1,0))</f>
        <v/>
      </c>
      <c r="S267" s="404"/>
      <c r="T267" s="378"/>
      <c r="U267" s="378"/>
      <c r="V267" s="404"/>
      <c r="W267" s="378"/>
      <c r="X267" s="453"/>
      <c r="Y267" s="383"/>
      <c r="Z267" s="384"/>
      <c r="AA267" s="384"/>
      <c r="AB267" s="384"/>
      <c r="AC267" s="384"/>
      <c r="AD267" s="145">
        <f>((L266/(L266-1)-1))</f>
        <v>1.0810810810810811</v>
      </c>
      <c r="AE267" s="146" t="str">
        <f>IF(L267="","",(SUM(((L265-1)*(1-_xlfn.XLOOKUP(K265,'Fevereiro 2023 - Valor Real'!A3:A15,'Fevereiro 2023 - Valor Real'!C3:C15,0))+1),((L266-1)*(1-_xlfn.XLOOKUP(K266,'Fevereiro 2023 - Valor Real'!A3:A15,'Fevereiro 2023 - Valor Real'!C3:C15,0))+1),((L267-1)*(1-_xlfn.XLOOKUP(K267,'Fevereiro 2023 - Valor Real'!A3:A15,'Fevereiro 2023 - Valor Real'!C3:C15,0))+1))/((L267-1)*(1-_xlfn.XLOOKUP(K267,'Fevereiro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Real'!C3:C15,0))+1))/((L265-1)*(1-_xlfn.XLOOKUP(K265,'Fevereiro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Real'!C3:C15,0))+1))/((L266-1)*(1-_xlfn.XLOOKUP(K266,'Fevereiro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Real'!C3:C15,0))+1))/((L267-1)*(1-_xlfn.XLOOKUP(K267,'Fevereiro 2023 - Valor Real'!A3:A15,'Fevereiro 2023 - Valor Real'!C3:C15,0))+1)))</f>
        <v/>
      </c>
      <c r="AF267" s="105">
        <f t="shared" si="549"/>
        <v>0</v>
      </c>
      <c r="AG267" s="106">
        <f t="shared" si="549"/>
        <v>0</v>
      </c>
      <c r="AH267" s="106">
        <f t="shared" si="549"/>
        <v>0</v>
      </c>
      <c r="AI267" s="106">
        <f t="shared" si="549"/>
        <v>0</v>
      </c>
      <c r="AJ267" s="106">
        <f t="shared" si="549"/>
        <v>0</v>
      </c>
      <c r="AK267" s="106">
        <f t="shared" si="549"/>
        <v>0</v>
      </c>
      <c r="AL267" s="106">
        <f t="shared" si="549"/>
        <v>0</v>
      </c>
      <c r="AM267" s="106">
        <f t="shared" si="549"/>
        <v>0</v>
      </c>
      <c r="AN267" s="106">
        <f t="shared" si="549"/>
        <v>0</v>
      </c>
      <c r="AO267" s="106">
        <f t="shared" si="549"/>
        <v>0</v>
      </c>
      <c r="AP267" s="106">
        <f t="shared" si="549"/>
        <v>0</v>
      </c>
      <c r="AQ267" s="106">
        <f t="shared" si="549"/>
        <v>0</v>
      </c>
      <c r="AR267" s="107">
        <f t="shared" si="549"/>
        <v>0</v>
      </c>
      <c r="AS267" s="105">
        <f>IF(AND($B265=" ",$K267=AS$3),$O267,0)</f>
        <v>0</v>
      </c>
      <c r="AT267" s="106">
        <f>IF(AND($B265=" ",K267=AT$3),$O267,0)</f>
        <v>0</v>
      </c>
      <c r="AU267" s="106">
        <f t="shared" ref="AU267:BE267" si="555">IF(AND($B265=" ",$K267=AU$3),$O267,0)</f>
        <v>0</v>
      </c>
      <c r="AV267" s="106">
        <f t="shared" si="555"/>
        <v>0</v>
      </c>
      <c r="AW267" s="106">
        <f t="shared" si="555"/>
        <v>0</v>
      </c>
      <c r="AX267" s="106">
        <f t="shared" si="555"/>
        <v>0</v>
      </c>
      <c r="AY267" s="108">
        <f t="shared" si="555"/>
        <v>0</v>
      </c>
      <c r="AZ267" s="109">
        <f t="shared" si="555"/>
        <v>0</v>
      </c>
      <c r="BA267" s="109">
        <f t="shared" si="555"/>
        <v>0</v>
      </c>
      <c r="BB267" s="109">
        <f t="shared" si="555"/>
        <v>0</v>
      </c>
      <c r="BC267" s="110">
        <f t="shared" si="555"/>
        <v>0</v>
      </c>
      <c r="BD267" s="106">
        <f t="shared" si="555"/>
        <v>0</v>
      </c>
      <c r="BE267" s="107">
        <f t="shared" si="555"/>
        <v>0</v>
      </c>
      <c r="BF267" s="105">
        <f t="shared" si="551"/>
        <v>0</v>
      </c>
      <c r="BG267" s="106">
        <f t="shared" si="551"/>
        <v>0</v>
      </c>
      <c r="BH267" s="106">
        <f t="shared" si="551"/>
        <v>0</v>
      </c>
      <c r="BI267" s="106">
        <f t="shared" si="551"/>
        <v>0</v>
      </c>
      <c r="BJ267" s="106">
        <f t="shared" si="551"/>
        <v>0</v>
      </c>
      <c r="BK267" s="106">
        <f t="shared" si="551"/>
        <v>0</v>
      </c>
      <c r="BL267" s="106">
        <f t="shared" si="551"/>
        <v>0</v>
      </c>
      <c r="BM267" s="108">
        <f t="shared" si="551"/>
        <v>0</v>
      </c>
      <c r="BN267" s="109">
        <f t="shared" si="551"/>
        <v>0</v>
      </c>
      <c r="BO267" s="109">
        <f t="shared" si="551"/>
        <v>0</v>
      </c>
      <c r="BP267" s="109">
        <f t="shared" si="551"/>
        <v>0</v>
      </c>
      <c r="BQ267" s="110">
        <f t="shared" si="551"/>
        <v>0</v>
      </c>
      <c r="BR267" s="107">
        <f t="shared" si="551"/>
        <v>0</v>
      </c>
      <c r="BS267" s="464"/>
      <c r="BT267" s="461"/>
      <c r="BU267" s="392"/>
      <c r="BV267" s="461"/>
      <c r="BW267" s="392"/>
      <c r="BX267" s="392"/>
      <c r="BY267" s="392"/>
      <c r="BZ267" s="461"/>
      <c r="CA267" s="392"/>
      <c r="CB267" s="392"/>
      <c r="CC267" s="392"/>
      <c r="CD267" s="401"/>
      <c r="CE267" s="409"/>
      <c r="CF267" s="133">
        <f t="shared" si="515"/>
        <v>0</v>
      </c>
      <c r="CG267" s="134">
        <f t="shared" si="516"/>
        <v>0</v>
      </c>
      <c r="CH267" s="134">
        <f t="shared" si="517"/>
        <v>0</v>
      </c>
      <c r="CI267" s="134">
        <f t="shared" si="518"/>
        <v>0</v>
      </c>
      <c r="CJ267" s="134">
        <f t="shared" si="519"/>
        <v>0</v>
      </c>
      <c r="CK267" s="134">
        <f t="shared" si="520"/>
        <v>0</v>
      </c>
      <c r="CL267" s="134">
        <f t="shared" si="521"/>
        <v>0</v>
      </c>
      <c r="CM267" s="134">
        <f t="shared" si="522"/>
        <v>0</v>
      </c>
      <c r="CN267" s="134">
        <f t="shared" si="523"/>
        <v>0</v>
      </c>
      <c r="CO267" s="134">
        <f t="shared" si="524"/>
        <v>0</v>
      </c>
      <c r="CP267" s="134">
        <f t="shared" si="525"/>
        <v>0</v>
      </c>
      <c r="CQ267" s="134">
        <f t="shared" si="526"/>
        <v>0</v>
      </c>
      <c r="CR267" s="134">
        <f t="shared" si="527"/>
        <v>0</v>
      </c>
      <c r="CS267" s="134">
        <f t="shared" si="528"/>
        <v>0</v>
      </c>
      <c r="CT267" s="115">
        <f t="shared" si="529"/>
        <v>0</v>
      </c>
      <c r="CU267" s="116">
        <f t="shared" si="530"/>
        <v>0</v>
      </c>
      <c r="CV267" s="116">
        <f t="shared" si="531"/>
        <v>0</v>
      </c>
      <c r="CW267" s="116">
        <f t="shared" si="532"/>
        <v>0</v>
      </c>
      <c r="CX267" s="116">
        <f t="shared" si="533"/>
        <v>0</v>
      </c>
      <c r="CY267" s="116">
        <f t="shared" si="534"/>
        <v>0</v>
      </c>
      <c r="CZ267" s="116">
        <f t="shared" si="535"/>
        <v>0</v>
      </c>
      <c r="DA267" s="116">
        <f t="shared" si="536"/>
        <v>0</v>
      </c>
      <c r="DB267" s="116">
        <f t="shared" si="537"/>
        <v>0</v>
      </c>
      <c r="DC267" s="116">
        <f t="shared" si="538"/>
        <v>0</v>
      </c>
      <c r="DD267" s="116">
        <f t="shared" si="539"/>
        <v>0</v>
      </c>
      <c r="DE267" s="117">
        <f t="shared" si="540"/>
        <v>0</v>
      </c>
      <c r="DF267" s="118">
        <f t="shared" si="542"/>
        <v>16</v>
      </c>
      <c r="DG267" s="106">
        <f t="shared" si="543"/>
        <v>20.66</v>
      </c>
      <c r="DH267" s="116">
        <f t="shared" si="544"/>
        <v>8</v>
      </c>
      <c r="DI267" s="106">
        <f t="shared" si="545"/>
        <v>33.049999999999997</v>
      </c>
      <c r="DJ267" s="201" t="str">
        <f>IF($D265="","",$D265)</f>
        <v>8</v>
      </c>
      <c r="DK267" s="466"/>
    </row>
    <row r="268" spans="1:115" ht="14.5" customHeight="1" x14ac:dyDescent="0.2">
      <c r="A268" s="487">
        <f>$A265+1</f>
        <v>89</v>
      </c>
      <c r="B268" s="506" t="str">
        <f>IF(OR(C268="W",C269="W",C270="W",C268="1/2W",C269="1/2W",C270="1/2W",C268="1/2L",C269="1/2L",C270="1/2L"),"OK",IF(OR(C268="L",C269="L",C270="L"),"LOSS",IF(OR(C268="X",C269="X",C270="X"),"Anulado"," ")))</f>
        <v>OK</v>
      </c>
      <c r="C268" s="147" t="s">
        <v>55</v>
      </c>
      <c r="D268" s="494" t="str">
        <f>IF(G268="","",$D265)</f>
        <v>8</v>
      </c>
      <c r="E268" s="511" t="str">
        <f>IF(G268=""," ","– "&amp;COUNTIF(D$4:D270,$D268))</f>
        <v>– 4</v>
      </c>
      <c r="F268" s="510" t="str">
        <f ca="1">IF(G268="","",IF(OR(AND($C268&lt;&gt;" ",$C269=" "),AND($C269&lt;&gt;" ",$C268=" "),AND(L270&gt;0,OR(AND($C270&lt;&gt;" ",OR($C268=" ",$C269=" ")),AND($C270=" ",OR($C268&lt;&gt;" ",$C269&lt;&gt;" "))))),IF(SUM(F$4:F267)=0,1,LARGE(F$4:F267,1)+1),IF(MONTH(G268)=MONTH(TODAY()),IF(AND(DAY(G268)&lt;DAY(TODAY()),$B268=" "),IF(SUM(F$4:F267)=0,1,LARGE(F$4:F267,1)+1),IF($B268=" ",IF(AND(DAY(G268)=DAY(TODAY()),HOUR(G268)&lt;=HOUR(NOW())+1),IF(AND(HOUR(G268)+2&lt;=HOUR(NOW()),DAY(G268)&lt;=DAY(TODAY()),MINUTE(G268)&lt;=MINUTE(NOW())),IF(SUM(F$4:F267)=0,1,LARGE(F$4:F267,1)+1),IF(OR(MINUTE(G268)&lt;=MINUTE(NOW()),HOUR(G268)&lt;=HOUR(NOW())),"!!!","")),""),"")),"")))</f>
        <v/>
      </c>
      <c r="G268" s="508">
        <v>44996.375</v>
      </c>
      <c r="H268" s="502" t="s">
        <v>137</v>
      </c>
      <c r="I268" s="148">
        <v>2</v>
      </c>
      <c r="J268" s="149"/>
      <c r="K268" s="150" t="s">
        <v>37</v>
      </c>
      <c r="L268" s="151">
        <v>6.5</v>
      </c>
      <c r="M268" s="152">
        <v>4</v>
      </c>
      <c r="N268" s="503">
        <v>0</v>
      </c>
      <c r="O268" s="153">
        <f>IF(OR(AE268="",AE269=""),"",ROUND(IF(L270&gt;0,IF(M268&gt;0,M268,IF(M269&gt;0,ROUND((M269*AE268)/AE269,IF(N268=0,2,IF(N268=0.1,1,0))),ROUND((M270*AE268)/AE270,IF(N268=0,2,IF(N268=0.1,1,0))))),IF(M268&gt;0,M268,ROUND((M269*AE268)/AE269,IF(N268=0,2,IF(N268=0.1,1,0))))),2))</f>
        <v>4</v>
      </c>
      <c r="P268" s="154">
        <f>IF(OR(L268="",O268=""),"",IF($C268="1/2W",O268/2+O268/2*L268,IF($C268="1/2L",O268/2,IF(I268="Lay",(O268*(L268/(L268-1))-O268)*(1-_xlfn.XLOOKUP(K268,'Fevereiro 2023 - Valor Real'!A3:A15,'Fevereiro 2023 - Valor Real'!C3:C15,0))+O268,(O268*L268-O268)*(1-_xlfn.XLOOKUP(K268,'Fevereiro 2023 - Valor Real'!A3:A15,'Fevereiro 2023 - Valor Real'!C3:C15,0))+O268))))</f>
        <v>26</v>
      </c>
      <c r="Q268" s="155">
        <f>IF(K268="","",IF(_xlfn.XLOOKUP(K268,K$9:K260,$DJ$9:DJ260,0,,-1)=DJ268,_xlfn.XLOOKUP(K268,K$9:K260,Q$9:Q260,1,,-1)+1,1))</f>
        <v>2</v>
      </c>
      <c r="R268" s="156">
        <f>IF(K268="","",_xlfn.XLOOKUP(K268,K$9:K260,R$9:R260,0,,-1)+IF($C268=" ",1,0))</f>
        <v>0</v>
      </c>
      <c r="S268" s="501">
        <f>IF($B268="Anulado",0,ROUND(IF(OR($B268="LOSS",$B268="OK"),IF(OR($C268="W",$C268="1/2W",$C268="1/2L"),P268-O268,IF($C268="L",-O268,0))+IF(OR($C269="W",$C269="1/2W",$C269="1/2L"),P269-O269,IF($C269="L",-O269,0))+IF(OR($C270="W",$C270="1/2W",$C270="1/2L"),P270-O270,IF($C270="L",-O270,0)),IF(AND(OR($C268="W",$C268="1/2W",$C268="1/2L"),C269="W"),P268+P269-SUM(O268:O270)+_xlfn.XLOOKUP("X",C268:C270,O268:O270,0),IF(AND(C268=TRUE,C270="W"),P268+P270-SUM(O268:O270),IF(AND(C269="W",C270="W"),P269+P270-SUM(O268:O270)+_xlfn.XLOOKUP("X",C268:C270,O268:O270,0),IF(L270&gt;0,IF(OR($C268="W",$C268="1/2W",$C268="1/2L"),P268-SUM(O268:O270)+_xlfn.XLOOKUP("X",C268:C270,O268:O270,0),IF(OR($C268="W",$C268="1/2W",$C268="1/2L"),P269-SUM(O268:O270)+_xlfn.XLOOKUP("X",C268:C270,O268:O270,0),IF(OR($C268="W",$C268="1/2W",$C268="1/2L"),P270-SUM(O268:O270)+_xlfn.XLOOKUP("X",C268:C270,O268:O270,0),IF(SUM(P268:P270)/3-SUM(O268:O270)+_xlfn.XLOOKUP("X",C268:C270,O268:O270,0)&gt;0,SUM(P268:P270)/3-SUM(O268:O270)+_xlfn.XLOOKUP("X",C268:C270,O268:O270,0),LARGE(P268:P270,1)-SUM(O268:O270))))),IF(OR($C268="W",$C268="1/2W",$C268="1/2L"),P268-SUM(O268:O269)+_xlfn.XLOOKUP("X",C268:C270,O268:O270,0),IF(OR($C268="W",$C268="1/2W",$C268="1/2L"),P269-SUM(O268:O269)+_xlfn.XLOOKUP("X",C268:C270,O268:O270,0),SUM(P268:P269)/2-SUM(O268:O269)+_xlfn.XLOOKUP("X",C268:C270,O268:O270,0)))))))),2))</f>
        <v>2.58</v>
      </c>
      <c r="T268" s="486">
        <f>IF(S268=0,0,S268/SUM(O268:O270))</f>
        <v>0.10969387755102039</v>
      </c>
      <c r="U268" s="496">
        <f>IF($D268=$D265,IF(OR($B268="LOSS",$B268="OK",$B268="Anulada"),S268,0)+U265,IF(OR($B268="LOSS",$B268="OK",$B268="Anulada"),S268,0))</f>
        <v>19.130000000000003</v>
      </c>
      <c r="V268" s="496">
        <f>IF($D268="",0,IF($D268=$D265,IF($B268=" ",IF(I270="",IF(OR(AND(I268="DNB1",I269="DNB2"),AND(OR(I268="DNB1",I268="DNB2"),J269=0),AND(OR(I269="DNB1",I269="DNB2"),J268=0),AND(I268="DNB2",I269="DNB1"),AND(IF(J268=0,(J268+1)/ROUND(J268+1,0),J268/ROUND(J268,0))=1,IF(J269=0,(J269+1)/ROUND(IF(J269="",0,J269)+1,0),IF(J269="",0,J269)/ROUND(IF(J269="",1,J269),0))=1,OR(J268&lt;&gt;""),J269&lt;&gt;"")),0,IF(S268&lt;0,IF(I270="",SMALL(P268:P269,1)-SUM(O268:O269),0),SMALL(P268:P269,1)-SUM(O268:O269))),IF(S268&lt;0,IF(I270="",SMALL(P268:P270,1)-SUM(O268:O270),0),LARGE(P268:P270,1)-SUM(O268:O270))),S268)+V265,IF(I270="",IF(OR(AND(I268="DNB1",I269="DNB2"),AND(OR(I268="DNB1",I268="DNB2"),J269=0),AND(OR(I269="DNB1",I269="DNB2"),J268=0),AND(I268="DNB2",I269="DNB1"),AND(IF(J268=0,(J268+1)/ROUND(J268+1,0),J268/ROUND(J268,0))=1,IF(J269=0,(IF(J269="",0,J269)+1)/ROUND(IF(J269="",0,J269)+1,0),IF(J269="",0,J269)/ROUND(IF(J269="",0,J269)+1,0))=1,OR(J268&lt;&gt;""),J269&lt;&gt;"")),0,IF(S268&lt;0,IF(I270="",SMALL(P268:P269,1)-SUM(O268:O269),0),SMALL(P268:P270,1)-SUM(O268:O270))),IF(S268&lt;0,IF(I270="",SMALL(P268:P270,1)-SUM(O268:O270),0),LARGE(P268:P270,1)-SUM(O268:O270)))))</f>
        <v>19.285000000000004</v>
      </c>
      <c r="W268" s="496">
        <f>IF($D268=$D265,IF(S268&lt;0,IF(I270="",S268,0),S268)+W265,S268)</f>
        <v>19.130000000000003</v>
      </c>
      <c r="X268" s="505" t="str">
        <f>IF(OR(SUM(R268:R270)=0,V268=W268),ROUND(IF(W268=0,0,W268/Y268)*100,2)&amp;"%",ROUND(IF(V268=0,0,V268/Y268)*100,2)&amp;"% a "&amp;ROUND(IF(W268=0,0,W268/Y268)*100,2)&amp;"%")</f>
        <v>6,9%</v>
      </c>
      <c r="Y268" s="497">
        <f>IF($D268=$D265,Y265+SUM(O268:O270),SUM(O268:O270))</f>
        <v>277.38</v>
      </c>
      <c r="Z268" s="496">
        <f>IF($B268=" ",SUM(O268:O270),0)+Z265</f>
        <v>0</v>
      </c>
      <c r="AA268" s="496">
        <f>IF(G268="","",IF($B268="Anulado",LARGE(P268:P270,1)-SUM(O268:O270)+AA265,AA265))</f>
        <v>1.4607999999999972</v>
      </c>
      <c r="AB268" s="496">
        <f>IF($D268="","",AB265+S268)</f>
        <v>435.25</v>
      </c>
      <c r="AC268" s="499">
        <f ca="1">IF($D268="","",IF($B268=" ",IF(DAY(G268)=DAY(TODAY()),1+AC265,0+AC265),0+AC265))</f>
        <v>0</v>
      </c>
      <c r="AD268" s="157">
        <f>(1-_xlfn.XLOOKUP(K266,'Fevereiro 2023 - Valor Real'!A3:A15,'Fevereiro 2023 - Valor Real'!C3:C15,0))+1</f>
        <v>2</v>
      </c>
      <c r="AE268" s="158">
        <f>IF(L268="","",IF(L270&gt;0,(SUM(((L268-1)*(1-_xlfn.XLOOKUP(K268,'Fevereiro 2023 - Valor Real'!A3:A15,'Fevereiro 2023 - Valor Real'!C3:C15,0))+1),((L269-1)*(1-_xlfn.XLOOKUP(K269,'Fevereiro 2023 - Valor Real'!A3:A15,'Fevereiro 2023 - Valor Real'!C3:C15,0))+1),((L270-1)*(1-_xlfn.XLOOKUP(K270,'Fevereiro 2023 - Valor Real'!A3:A15,'Fevereiro 2023 - Valor Real'!C3:C15,0))+1))/((L268-1)*(1-_xlfn.XLOOKUP(K268,'Fevereiro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Real'!C3:C15,0))+1))/((L268-1)*(1-_xlfn.XLOOKUP(K268,'Fevereiro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Real'!C3:C15,0))+1))/((L269-1)*(1-_xlfn.XLOOKUP(K269,'Fevereiro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Real'!C3:C15,0))+1))/((L270-1)*(1-_xlfn.XLOOKUP(K270,'Fevereiro 2023 - Valor Real'!A3:A15,'Fevereiro 2023 - Valor Real'!C3:C15,0))+1)),IF(I268="Lay",IF(I269="Lay",((L269/(L269-1)-1)*(1-_xlfn.XLOOKUP(K269,'Fevereiro 2023 - Valor Real'!A3:A15,'Fevereiro 2023 - Valor Real'!C3:C15,0))+1)/(((L269/(L269-1)-1)*(1-_xlfn.XLOOKUP(K269,'Fevereiro 2023 - Valor Real'!A3:A15,'Fevereiro 2023 - Valor Real'!C3:C15,0))+1)+((L268/(L268-1)-1)*(1-_xlfn.XLOOKUP(K268,'Fevereiro 2023 - Valor Real'!A3:A15,'Fevereiro 2023 - Valor Real'!C3:C15,0))+1)),((L269-1)*(1-_xlfn.XLOOKUP(K269,'Fevereiro 2023 - Valor Real'!A3:A15,'Fevereiro 2023 - Valor Real'!C3:C15,0))+1)/(((L269-1)*(1-_xlfn.XLOOKUP(K269,'Fevereiro 2023 - Valor Real'!A3:A15,'Fevereiro 2023 - Valor Real'!C3:C15,0))+1)+((L268/(L268-1)-1)*(1-_xlfn.XLOOKUP(K268,'Fevereiro 2023 - Valor Real'!A3:A15,'Fevereiro 2023 - Valor Real'!C3:C15,0))+1))),IF(I269="Lay",(((L269/(L269-1)-1)*(1-_xlfn.XLOOKUP(K269,'Fevereiro 2023 - Valor Real'!A3:A15,'Fevereiro 2023 - Valor Real'!C3:C15,0))+1))/(((L268-1)*(1-_xlfn.XLOOKUP(K268,'Fevereiro 2023 - Valor Real'!A3:A15,'Fevereiro 2023 - Valor Real'!C3:C15,0))+1)+((L269/(L269-1)-1)*(1-_xlfn.XLOOKUP(K269,'Fevereiro 2023 - Valor Real'!A3:A15,'Fevereiro 2023 - Valor Real'!C3:C15,0))+1)),((L269-1)*(1-_xlfn.XLOOKUP(K269,'Fevereiro 2023 - Valor Real'!A3:A15,'Fevereiro 2023 - Valor Real'!C3:C15,0))+1)/(((L269-1)*(1-_xlfn.XLOOKUP(K269,'Fevereiro 2023 - Valor Real'!A3:A15,'Fevereiro 2023 - Valor Real'!C3:C15,0))+1)+((L268-1)*(1-_xlfn.XLOOKUP(K268,'Fevereiro 2023 - Valor Real'!A3:A15,'Fevereiro 2023 - Valor Real'!C3:C15,0))+1))))))</f>
        <v>0.17060692288819135</v>
      </c>
      <c r="AF268" s="66">
        <f t="shared" si="549"/>
        <v>0</v>
      </c>
      <c r="AG268" s="67">
        <f t="shared" si="549"/>
        <v>-4</v>
      </c>
      <c r="AH268" s="67">
        <f t="shared" si="549"/>
        <v>0</v>
      </c>
      <c r="AI268" s="67">
        <f t="shared" si="549"/>
        <v>0</v>
      </c>
      <c r="AJ268" s="67">
        <f t="shared" si="549"/>
        <v>0</v>
      </c>
      <c r="AK268" s="67">
        <f t="shared" si="549"/>
        <v>0</v>
      </c>
      <c r="AL268" s="67">
        <f t="shared" si="549"/>
        <v>0</v>
      </c>
      <c r="AM268" s="67">
        <f t="shared" si="549"/>
        <v>0</v>
      </c>
      <c r="AN268" s="67">
        <f t="shared" si="549"/>
        <v>0</v>
      </c>
      <c r="AO268" s="67">
        <f t="shared" si="549"/>
        <v>0</v>
      </c>
      <c r="AP268" s="67">
        <f t="shared" si="549"/>
        <v>0</v>
      </c>
      <c r="AQ268" s="67">
        <f t="shared" si="549"/>
        <v>0</v>
      </c>
      <c r="AR268" s="68">
        <f t="shared" si="549"/>
        <v>0</v>
      </c>
      <c r="AS268" s="66">
        <f t="shared" ref="AS268:BE268" si="556">IF(AND($B268=" ",$K268=AS$3),$O268,0)</f>
        <v>0</v>
      </c>
      <c r="AT268" s="67">
        <f t="shared" si="556"/>
        <v>0</v>
      </c>
      <c r="AU268" s="67">
        <f t="shared" si="556"/>
        <v>0</v>
      </c>
      <c r="AV268" s="67">
        <f t="shared" si="556"/>
        <v>0</v>
      </c>
      <c r="AW268" s="67">
        <f t="shared" si="556"/>
        <v>0</v>
      </c>
      <c r="AX268" s="67">
        <f t="shared" si="556"/>
        <v>0</v>
      </c>
      <c r="AY268" s="69">
        <f t="shared" si="556"/>
        <v>0</v>
      </c>
      <c r="AZ268" s="70">
        <f t="shared" si="556"/>
        <v>0</v>
      </c>
      <c r="BA268" s="70">
        <f t="shared" si="556"/>
        <v>0</v>
      </c>
      <c r="BB268" s="70">
        <f t="shared" si="556"/>
        <v>0</v>
      </c>
      <c r="BC268" s="71">
        <f t="shared" si="556"/>
        <v>0</v>
      </c>
      <c r="BD268" s="67">
        <f t="shared" si="556"/>
        <v>0</v>
      </c>
      <c r="BE268" s="68">
        <f t="shared" si="556"/>
        <v>0</v>
      </c>
      <c r="BF268" s="66">
        <f t="shared" si="551"/>
        <v>0</v>
      </c>
      <c r="BG268" s="67">
        <f t="shared" si="551"/>
        <v>4</v>
      </c>
      <c r="BH268" s="67">
        <f t="shared" si="551"/>
        <v>0</v>
      </c>
      <c r="BI268" s="67">
        <f t="shared" si="551"/>
        <v>0</v>
      </c>
      <c r="BJ268" s="67">
        <f t="shared" si="551"/>
        <v>0</v>
      </c>
      <c r="BK268" s="67">
        <f t="shared" si="551"/>
        <v>0</v>
      </c>
      <c r="BL268" s="67">
        <f t="shared" si="551"/>
        <v>0</v>
      </c>
      <c r="BM268" s="69">
        <f t="shared" si="551"/>
        <v>0</v>
      </c>
      <c r="BN268" s="70">
        <f t="shared" si="551"/>
        <v>0</v>
      </c>
      <c r="BO268" s="70">
        <f t="shared" si="551"/>
        <v>0</v>
      </c>
      <c r="BP268" s="70">
        <f t="shared" si="551"/>
        <v>0</v>
      </c>
      <c r="BQ268" s="71">
        <f t="shared" si="551"/>
        <v>0</v>
      </c>
      <c r="BR268" s="68">
        <f t="shared" si="551"/>
        <v>0</v>
      </c>
      <c r="BS268" s="490">
        <f>IF($B268="LOSS",IF(AND($K268=BS$3,$C268="L"),-$O268,0)+IF(AND($K269=BS$3,$C269="L"),-$O269,0)+IF(AND($K270=BS$3,$C270="L"),-$O270,0),IF(OR(AND($K268=BS$3,OR($C268="W",$C268="1/2W")),AND($K269=BS$3,OR($C269="W",$C269="1/2W")),AND($K270=BS$3,OR($C270="W",$C270="1/2W"))),$S268,0))</f>
        <v>0</v>
      </c>
      <c r="BT268" s="498">
        <f>IF($B268="LOSS",IF(AND($K268=BT$3,$C268="L"),-$O268,0)+IF(AND($K269=BT$3,$C269="L"),-$O269,0)+IF(AND($K269=BT$3,$C270="L"),-$O270,0),IF(OR(AND($K269=BT$3,OR($C268="W",$C268="1/2W")),AND($K269=BT$3,OR($C269="W",$C269="1/2W")),AND($K269=BT$3,OR($C270="W",$C270="1/2W"))),$S268,0))</f>
        <v>2.58</v>
      </c>
      <c r="BU268" s="488">
        <f>IF($B268="LOSS",IF(AND($K268=BU$3,$C268="L"),-$O268,0)+IF(AND($K269=BU$3,$C269="L"),-$O269,0)+IF(AND($K269=BU$3,$C270="L"),-$O270,0),IF(OR(AND($K269=BU$3,OR($C268="W",$C268="1/2W")),AND($K269=BU$3,OR($C269="W",$C269="1/2W")),AND($K269=BU$3,OR($C270="W",$C270="1/2W"))),$S268,0))</f>
        <v>0</v>
      </c>
      <c r="BV268" s="488">
        <f t="shared" ref="BV268:CE268" si="557">IF($B268="LOSS",IF(AND($K268=BV$3,$C268="L"),-$O268,0)+IF(AND($K269=BV$3,$C269="L"),-$O269,0)+IF(AND($K270=BV$3,$C270="L"),-$O270,0),IF(OR(AND($K268=BV$3,OR($C268="W",$C268="1/2W")),AND($K269=BV$3,OR($C269="W",$C269="1/2W")),AND($K270=BV$3,OR($C270="W",$C270="1/2W"))),$S268,0))</f>
        <v>0</v>
      </c>
      <c r="BW268" s="488">
        <f t="shared" si="557"/>
        <v>0</v>
      </c>
      <c r="BX268" s="488">
        <f t="shared" si="557"/>
        <v>0</v>
      </c>
      <c r="BY268" s="488">
        <f t="shared" si="557"/>
        <v>0</v>
      </c>
      <c r="BZ268" s="488">
        <f t="shared" si="557"/>
        <v>0</v>
      </c>
      <c r="CA268" s="488">
        <f t="shared" si="557"/>
        <v>0</v>
      </c>
      <c r="CB268" s="488">
        <f t="shared" si="557"/>
        <v>0</v>
      </c>
      <c r="CC268" s="488">
        <f t="shared" si="557"/>
        <v>0</v>
      </c>
      <c r="CD268" s="500">
        <f t="shared" si="557"/>
        <v>0</v>
      </c>
      <c r="CE268" s="504">
        <f t="shared" si="557"/>
        <v>0</v>
      </c>
      <c r="CF268" s="160">
        <f t="shared" si="515"/>
        <v>0</v>
      </c>
      <c r="CG268" s="161">
        <f t="shared" si="516"/>
        <v>0</v>
      </c>
      <c r="CH268" s="161">
        <f t="shared" si="517"/>
        <v>0</v>
      </c>
      <c r="CI268" s="161">
        <f t="shared" si="518"/>
        <v>1</v>
      </c>
      <c r="CJ268" s="161">
        <f t="shared" si="519"/>
        <v>0</v>
      </c>
      <c r="CK268" s="161">
        <f t="shared" si="520"/>
        <v>0</v>
      </c>
      <c r="CL268" s="161">
        <f t="shared" si="521"/>
        <v>0</v>
      </c>
      <c r="CM268" s="161">
        <f t="shared" si="522"/>
        <v>0</v>
      </c>
      <c r="CN268" s="161">
        <f t="shared" si="523"/>
        <v>0</v>
      </c>
      <c r="CO268" s="161">
        <f t="shared" si="524"/>
        <v>0</v>
      </c>
      <c r="CP268" s="161">
        <f t="shared" si="525"/>
        <v>0</v>
      </c>
      <c r="CQ268" s="161">
        <f t="shared" si="526"/>
        <v>0</v>
      </c>
      <c r="CR268" s="161">
        <f t="shared" si="527"/>
        <v>0</v>
      </c>
      <c r="CS268" s="161">
        <f t="shared" si="528"/>
        <v>0</v>
      </c>
      <c r="CT268" s="75">
        <f t="shared" si="529"/>
        <v>0</v>
      </c>
      <c r="CU268" s="76">
        <f t="shared" si="530"/>
        <v>0</v>
      </c>
      <c r="CV268" s="76">
        <f t="shared" si="531"/>
        <v>0</v>
      </c>
      <c r="CW268" s="76">
        <f t="shared" si="532"/>
        <v>0</v>
      </c>
      <c r="CX268" s="76">
        <f t="shared" si="533"/>
        <v>0</v>
      </c>
      <c r="CY268" s="76">
        <f t="shared" si="534"/>
        <v>0</v>
      </c>
      <c r="CZ268" s="76">
        <f t="shared" si="535"/>
        <v>0</v>
      </c>
      <c r="DA268" s="76">
        <f t="shared" si="536"/>
        <v>0</v>
      </c>
      <c r="DB268" s="76">
        <f t="shared" si="537"/>
        <v>0</v>
      </c>
      <c r="DC268" s="76">
        <f t="shared" si="538"/>
        <v>0</v>
      </c>
      <c r="DD268" s="76">
        <f t="shared" si="539"/>
        <v>0</v>
      </c>
      <c r="DE268" s="77">
        <f t="shared" si="540"/>
        <v>0</v>
      </c>
      <c r="DF268" s="73">
        <f t="shared" si="542"/>
        <v>16</v>
      </c>
      <c r="DG268" s="67">
        <f t="shared" si="543"/>
        <v>20.66</v>
      </c>
      <c r="DH268" s="76">
        <f t="shared" si="544"/>
        <v>8</v>
      </c>
      <c r="DI268" s="67">
        <f t="shared" si="545"/>
        <v>33.049999999999997</v>
      </c>
      <c r="DJ268" s="202" t="str">
        <f>IF($D268="","",$D268)</f>
        <v>8</v>
      </c>
      <c r="DK268" s="492">
        <f>IF(AND($B268=" ",$D268&lt;&gt;""),1,0)</f>
        <v>0</v>
      </c>
    </row>
    <row r="269" spans="1:115" ht="14.5" customHeight="1" x14ac:dyDescent="0.2">
      <c r="A269" s="389"/>
      <c r="B269" s="456"/>
      <c r="C269" s="53" t="s">
        <v>55</v>
      </c>
      <c r="D269" s="374"/>
      <c r="E269" s="386"/>
      <c r="F269" s="377"/>
      <c r="G269" s="508"/>
      <c r="H269" s="476"/>
      <c r="I269" s="182" t="s">
        <v>49</v>
      </c>
      <c r="J269" s="163" t="str">
        <f>IF(OR(I268="TO",I268="TU",I268="TO1",I268="TU1",I268="TO2",I268="TU2"),J268,IF(OR(I268="AH1",I268="AH2"),IF(OR(I269="AH1",I269="AH2"),-J268,IF(OR(I269="EH1",I269="EH2"),-J268+0.5,"")),IF(OR(I268="EH1",I268="EH2"),IF(OR(I269="AH1",I269="AH2"),-J268+0.5,IF(OR(I269="EH1",I269="EH2"),-J268+1,"")),IF(AND(OR(I268="DNB1",I268="DNB2"),OR(I269="AH1",I269="AH2")),0,IF(AND(I268="Not ScoreBoth",OR(I269="TO1",I269="TO2")),0.5,"")))))</f>
        <v/>
      </c>
      <c r="K269" s="57" t="s">
        <v>37</v>
      </c>
      <c r="L269" s="164">
        <v>9</v>
      </c>
      <c r="M269" s="165">
        <v>2.9</v>
      </c>
      <c r="N269" s="406"/>
      <c r="O269" s="60">
        <f>IF(OR(AE268="",AE269=""),"",ROUND(IF(L270&gt;0,IF(M269&gt;0,M269,IF(M268&gt;0,IF(N268=TRUE,ROUND((M268*AE269)/AE268,0),(M268*AE269)/AE268),IF(M269&gt;0,ROUND(M269,IF(N268=0,2,IF(N268=0.1,1,0))),IF(M270&gt;0,ROUND(O270*AE269/AE270,IF(N268=0,2,IF(N268=0.1,1,0))),0)))),IF(M269&gt;0,M269,ROUND((M268*AE269)/AE268,IF(N268=0,2,IF(N268=0.1,1,0))))),2))</f>
        <v>2.9</v>
      </c>
      <c r="P269" s="61">
        <f>IF(OR(L269="",O269=""),"",IF($C269="1/2W",O269/2+O269/2*L269,IF($C269="1/2L",O269/2,IF(I269="Lay",((O269*(L269/(L269-1)))-O269)*(1-_xlfn.XLOOKUP(K269,'Fevereiro 2023 - Valor Real'!A3:A15,'Fevereiro 2023 - Valor Real'!C3:C15,0))+O269,(O269*L269-O269)*(1-_xlfn.XLOOKUP(K269,'Fevereiro 2023 - Valor Real'!A3:A15,'Fevereiro 2023 - Valor Real'!C3:C15,0))+O269))))</f>
        <v>26.099999999999998</v>
      </c>
      <c r="Q269" s="166">
        <f>IF(K269="","",IF(_xlfn.XLOOKUP(K269,K$10:K260,$DJ$10:DJ260,0,,-1)=DJ269,_xlfn.XLOOKUP(K269,K$10:K260,Q$10:Q260,1,,-1)+1,1))</f>
        <v>2</v>
      </c>
      <c r="R269" s="167">
        <f>IF(K269="","",_xlfn.XLOOKUP(K269,K$10:K260,R$10:R260,0,,-1)+IF($C269=" ",1,0))</f>
        <v>0</v>
      </c>
      <c r="S269" s="403"/>
      <c r="T269" s="380"/>
      <c r="U269" s="380"/>
      <c r="V269" s="481"/>
      <c r="W269" s="380"/>
      <c r="X269" s="452"/>
      <c r="Y269" s="383"/>
      <c r="Z269" s="384"/>
      <c r="AA269" s="384"/>
      <c r="AB269" s="384"/>
      <c r="AC269" s="384"/>
      <c r="AD269" s="64"/>
      <c r="AE269" s="65">
        <f>IF(L269="","",IF(L270&gt;0,(SUM(((L268-1)*(1-_xlfn.XLOOKUP(K268,'Fevereiro 2023 - Valor Real'!A3:A15,'Fevereiro 2023 - Valor Real'!C3:C15,0))+1),((L269-1)*(1-_xlfn.XLOOKUP(K269,'Fevereiro 2023 - Valor Real'!A3:A15,'Fevereiro 2023 - Valor Real'!C3:C15,0))+1),((L270-1)*(1-_xlfn.XLOOKUP(K270,'Fevereiro 2023 - Valor Real'!A3:A15,'Fevereiro 2023 - Valor Real'!C3:C15,0))+1))/((L269-1)*(1-_xlfn.XLOOKUP(K269,'Fevereiro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Real'!C3:C15,0))+1))/((L268-1)*(1-_xlfn.XLOOKUP(K268,'Fevereiro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Real'!C3:C15,0))+1))/((L269-1)*(1-_xlfn.XLOOKUP(K269,'Fevereiro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Real'!C3:C15,0))+1))/((L270-1)*(1-_xlfn.XLOOKUP(K270,'Fevereiro 2023 - Valor Real'!A3:A15,'Fevereiro 2023 - Valor Real'!C3:C15,0))+1)),IF(I269="Lay",IF(I268="Lay",((L268/(L268-1)-1)*(1-_xlfn.XLOOKUP(K268,'Fevereiro 2023 - Valor Real'!A3:A15,'Fevereiro 2023 - Valor Real'!C3:C15,0))+1)/(((L268/(L268-1)-1)*(1-_xlfn.XLOOKUP(K268,'Fevereiro 2023 - Valor Real'!A3:A15,'Fevereiro 2023 - Valor Real'!C3:C15,0))+1)+((L269/(L269-1)-1)*(1-_xlfn.XLOOKUP(K269,'Fevereiro 2023 - Valor Real'!A3:A15,'Fevereiro 2023 - Valor Real'!C3:C15,0))+1)),((L268-1)*(1-_xlfn.XLOOKUP(K268,'Fevereiro 2023 - Valor Real'!A3:A15,'Fevereiro 2023 - Valor Real'!C3:C15,0))+1)/(((L268-1)*(1-_xlfn.XLOOKUP(K268,'Fevereiro 2023 - Valor Real'!A3:A15,'Fevereiro 2023 - Valor Real'!C3:C15,0))+1)+((L269/(L269-1)-1)*(1-_xlfn.XLOOKUP(K269,'Fevereiro 2023 - Valor Real'!A3:A15,'Fevereiro 2023 - Valor Real'!C3:C15,0))+1))),IF(I268="Lay",((L268/(L268-1)-1)*(1-_xlfn.XLOOKUP(K268,'Fevereiro 2023 - Valor Real'!A3:A15,'Fevereiro 2023 - Valor Real'!C3:C15,0))+1)/((((L268/(L268-1)-1)*(1-_xlfn.XLOOKUP(K268,'Fevereiro 2023 - Valor Real'!A3:A15,'Fevereiro 2023 - Valor Real'!C3:C15,0))+1))+((L269-1)*(1-_xlfn.XLOOKUP(K269,'Fevereiro 2023 - Valor Real'!A3:A15,'Fevereiro 2023 - Valor Real'!C3:C15,0))+1)),((L268-1)*(1-_xlfn.XLOOKUP(K268,'Fevereiro 2023 - Valor Real'!A3:A15,'Fevereiro 2023 - Valor Real'!C3:C15,0))+1)/(((L268-1)*(1-_xlfn.XLOOKUP(K268,'Fevereiro 2023 - Valor Real'!A3:A15,'Fevereiro 2023 - Valor Real'!C3:C15,0))+1)+((L269-1)*(1-_xlfn.XLOOKUP(K269,'Fevereiro 2023 - Valor Real'!A3:A15,'Fevereiro 2023 - Valor Real'!C3:C15,0))+1))))))</f>
        <v>0.12321611097480487</v>
      </c>
      <c r="AF269" s="66">
        <f t="shared" si="549"/>
        <v>0</v>
      </c>
      <c r="AG269" s="67">
        <f t="shared" si="549"/>
        <v>-2.9</v>
      </c>
      <c r="AH269" s="67">
        <f t="shared" si="549"/>
        <v>0</v>
      </c>
      <c r="AI269" s="67">
        <f t="shared" si="549"/>
        <v>0</v>
      </c>
      <c r="AJ269" s="67">
        <f t="shared" si="549"/>
        <v>0</v>
      </c>
      <c r="AK269" s="67">
        <f t="shared" si="549"/>
        <v>0</v>
      </c>
      <c r="AL269" s="67">
        <f t="shared" si="549"/>
        <v>0</v>
      </c>
      <c r="AM269" s="67">
        <f t="shared" si="549"/>
        <v>0</v>
      </c>
      <c r="AN269" s="67">
        <f t="shared" si="549"/>
        <v>0</v>
      </c>
      <c r="AO269" s="67">
        <f t="shared" si="549"/>
        <v>0</v>
      </c>
      <c r="AP269" s="67">
        <f t="shared" si="549"/>
        <v>0</v>
      </c>
      <c r="AQ269" s="67">
        <f t="shared" si="549"/>
        <v>0</v>
      </c>
      <c r="AR269" s="68">
        <f t="shared" si="549"/>
        <v>0</v>
      </c>
      <c r="AS269" s="66">
        <f>IF(AND($B268=" ",$K269=AS$3),$O269,0)</f>
        <v>0</v>
      </c>
      <c r="AT269" s="67">
        <f>IF(AND($B268=" ",K269=AT$3),$O269,0)</f>
        <v>0</v>
      </c>
      <c r="AU269" s="67">
        <f t="shared" ref="AU269:BE269" si="558">IF(AND($B268=" ",$K269=AU$3),$O269,0)</f>
        <v>0</v>
      </c>
      <c r="AV269" s="67">
        <f t="shared" si="558"/>
        <v>0</v>
      </c>
      <c r="AW269" s="67">
        <f t="shared" si="558"/>
        <v>0</v>
      </c>
      <c r="AX269" s="67">
        <f t="shared" si="558"/>
        <v>0</v>
      </c>
      <c r="AY269" s="69">
        <f t="shared" si="558"/>
        <v>0</v>
      </c>
      <c r="AZ269" s="70">
        <f t="shared" si="558"/>
        <v>0</v>
      </c>
      <c r="BA269" s="70">
        <f t="shared" si="558"/>
        <v>0</v>
      </c>
      <c r="BB269" s="70">
        <f t="shared" si="558"/>
        <v>0</v>
      </c>
      <c r="BC269" s="71">
        <f t="shared" si="558"/>
        <v>0</v>
      </c>
      <c r="BD269" s="67">
        <f t="shared" si="558"/>
        <v>0</v>
      </c>
      <c r="BE269" s="68">
        <f t="shared" si="558"/>
        <v>0</v>
      </c>
      <c r="BF269" s="66">
        <f t="shared" si="551"/>
        <v>0</v>
      </c>
      <c r="BG269" s="168">
        <f t="shared" si="551"/>
        <v>2.9</v>
      </c>
      <c r="BH269" s="67">
        <f t="shared" si="551"/>
        <v>0</v>
      </c>
      <c r="BI269" s="67">
        <f t="shared" si="551"/>
        <v>0</v>
      </c>
      <c r="BJ269" s="67">
        <f t="shared" si="551"/>
        <v>0</v>
      </c>
      <c r="BK269" s="67">
        <f t="shared" si="551"/>
        <v>0</v>
      </c>
      <c r="BL269" s="67">
        <f t="shared" si="551"/>
        <v>0</v>
      </c>
      <c r="BM269" s="69">
        <f t="shared" si="551"/>
        <v>0</v>
      </c>
      <c r="BN269" s="70">
        <f t="shared" si="551"/>
        <v>0</v>
      </c>
      <c r="BO269" s="70">
        <f t="shared" si="551"/>
        <v>0</v>
      </c>
      <c r="BP269" s="70">
        <f t="shared" si="551"/>
        <v>0</v>
      </c>
      <c r="BQ269" s="71">
        <f t="shared" si="551"/>
        <v>0</v>
      </c>
      <c r="BR269" s="68">
        <f t="shared" si="551"/>
        <v>0</v>
      </c>
      <c r="BS269" s="491"/>
      <c r="BT269" s="489"/>
      <c r="BU269" s="392"/>
      <c r="BV269" s="489"/>
      <c r="BW269" s="392"/>
      <c r="BX269" s="392"/>
      <c r="BY269" s="392"/>
      <c r="BZ269" s="489"/>
      <c r="CA269" s="392"/>
      <c r="CB269" s="392"/>
      <c r="CC269" s="392"/>
      <c r="CD269" s="401"/>
      <c r="CE269" s="409"/>
      <c r="CF269" s="169">
        <f t="shared" si="515"/>
        <v>0</v>
      </c>
      <c r="CG269" s="170">
        <f t="shared" si="516"/>
        <v>0</v>
      </c>
      <c r="CH269" s="170">
        <f t="shared" si="517"/>
        <v>0</v>
      </c>
      <c r="CI269" s="170">
        <f t="shared" si="518"/>
        <v>1</v>
      </c>
      <c r="CJ269" s="170">
        <f t="shared" si="519"/>
        <v>0</v>
      </c>
      <c r="CK269" s="170">
        <f t="shared" si="520"/>
        <v>0</v>
      </c>
      <c r="CL269" s="170">
        <f t="shared" si="521"/>
        <v>0</v>
      </c>
      <c r="CM269" s="170">
        <f t="shared" si="522"/>
        <v>0</v>
      </c>
      <c r="CN269" s="170">
        <f t="shared" si="523"/>
        <v>0</v>
      </c>
      <c r="CO269" s="170">
        <f t="shared" si="524"/>
        <v>0</v>
      </c>
      <c r="CP269" s="170">
        <f t="shared" si="525"/>
        <v>0</v>
      </c>
      <c r="CQ269" s="170">
        <f t="shared" si="526"/>
        <v>0</v>
      </c>
      <c r="CR269" s="170">
        <f t="shared" si="527"/>
        <v>0</v>
      </c>
      <c r="CS269" s="170">
        <f t="shared" si="528"/>
        <v>0</v>
      </c>
      <c r="CT269" s="75">
        <f t="shared" si="529"/>
        <v>0</v>
      </c>
      <c r="CU269" s="76">
        <f t="shared" si="530"/>
        <v>0</v>
      </c>
      <c r="CV269" s="76">
        <f t="shared" si="531"/>
        <v>0</v>
      </c>
      <c r="CW269" s="76">
        <f t="shared" si="532"/>
        <v>0</v>
      </c>
      <c r="CX269" s="76">
        <f t="shared" si="533"/>
        <v>0</v>
      </c>
      <c r="CY269" s="76">
        <f t="shared" si="534"/>
        <v>0</v>
      </c>
      <c r="CZ269" s="76">
        <f t="shared" si="535"/>
        <v>0</v>
      </c>
      <c r="DA269" s="76">
        <f t="shared" si="536"/>
        <v>0</v>
      </c>
      <c r="DB269" s="76">
        <f t="shared" si="537"/>
        <v>0</v>
      </c>
      <c r="DC269" s="76">
        <f t="shared" si="538"/>
        <v>0</v>
      </c>
      <c r="DD269" s="76">
        <f t="shared" si="539"/>
        <v>0</v>
      </c>
      <c r="DE269" s="77">
        <f t="shared" si="540"/>
        <v>0</v>
      </c>
      <c r="DF269" s="73">
        <f t="shared" si="542"/>
        <v>16</v>
      </c>
      <c r="DG269" s="67">
        <f t="shared" si="543"/>
        <v>20.66</v>
      </c>
      <c r="DH269" s="76">
        <f t="shared" si="544"/>
        <v>8</v>
      </c>
      <c r="DI269" s="67">
        <f t="shared" si="545"/>
        <v>33.049999999999997</v>
      </c>
      <c r="DJ269" s="202" t="str">
        <f>IF($D268="","",$D268)</f>
        <v>8</v>
      </c>
      <c r="DK269" s="493"/>
    </row>
    <row r="270" spans="1:115" ht="14.5" customHeight="1" x14ac:dyDescent="0.2">
      <c r="A270" s="390"/>
      <c r="B270" s="457"/>
      <c r="C270" s="79" t="s">
        <v>54</v>
      </c>
      <c r="D270" s="375"/>
      <c r="E270" s="387"/>
      <c r="F270" s="378"/>
      <c r="G270" s="508"/>
      <c r="H270" s="477"/>
      <c r="I270" s="191">
        <v>1</v>
      </c>
      <c r="J270" s="172"/>
      <c r="K270" s="185" t="s">
        <v>38</v>
      </c>
      <c r="L270" s="186">
        <v>1.61</v>
      </c>
      <c r="M270" s="174">
        <v>16.62</v>
      </c>
      <c r="N270" s="407"/>
      <c r="O270" s="187">
        <f>IF(OR(AE268="",AE269=""),"",IF(L270&gt;0,ROUND(IF(M270&gt;0,M270,IF(M268&gt;0,ROUND((M268*AE270)/AE268,IF(N268=0,2,IF(N268=0.1,1,0))),IF(M269&gt;0,ROUND((M269*AE270)/AE269,IF(N268=0,2,IF(N268=0.1,1,0))),IF(M270&gt;0,M270,0)))),2),""))</f>
        <v>16.62</v>
      </c>
      <c r="P270" s="188">
        <f>IF(I269="Lay",O269*(L269/(L269-1))-O269,IF(I268="Lay",O268*(L268/(L268-1))-O268,IF(OR(L270="",O270=""),"",IF($C270="1/2W",O270/2+O270/2*L270,IF($C270="1/2L",O270/2,(O270*L270-O270)*(1-_xlfn.XLOOKUP(K270,'Fevereiro 2023 - Valor Real'!A3:A15,'Fevereiro 2023 - Valor Real'!C3:C15,0))+O270)))))</f>
        <v>26.099217000000003</v>
      </c>
      <c r="Q270" s="166">
        <f>IF(K270="","",IF(_xlfn.XLOOKUP(K270,K$11:K260,$DJ$11:DJ260,0,,-1)=DJ270,_xlfn.XLOOKUP(K270,K$11:K260,Q$11:Q260,1,,-1)+1,1))</f>
        <v>1</v>
      </c>
      <c r="R270" s="189">
        <f>IF(K270="","",_xlfn.XLOOKUP(K270,K$11:K260,R$11:R260,0,,-1)+IF($C270=" ",1,0))</f>
        <v>0</v>
      </c>
      <c r="S270" s="404"/>
      <c r="T270" s="378"/>
      <c r="U270" s="378"/>
      <c r="V270" s="404"/>
      <c r="W270" s="378"/>
      <c r="X270" s="453"/>
      <c r="Y270" s="383"/>
      <c r="Z270" s="384"/>
      <c r="AA270" s="384"/>
      <c r="AB270" s="384"/>
      <c r="AC270" s="384"/>
      <c r="AD270" s="90"/>
      <c r="AE270" s="190">
        <f>IF(L270="","",(SUM(((L268-1)*(1-_xlfn.XLOOKUP(K268,'Fevereiro 2023 - Valor Real'!A3:A15,'Fevereiro 2023 - Valor Real'!C3:C15,0))+1),((L269-1)*(1-_xlfn.XLOOKUP(K269,'Fevereiro 2023 - Valor Real'!A3:A15,'Fevereiro 2023 - Valor Real'!C3:C15,0))+1),((L270-1)*(1-_xlfn.XLOOKUP(K270,'Fevereiro 2023 - Valor Real'!A3:A15,'Fevereiro 2023 - Valor Real'!C3:C15,0))+1))/((L270-1)*(1-_xlfn.XLOOKUP(K270,'Fevereiro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Real'!C3:C15,0))+1))/((L268-1)*(1-_xlfn.XLOOKUP(K268,'Fevereiro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Real'!C3:C15,0))+1))/((L269-1)*(1-_xlfn.XLOOKUP(K269,'Fevereiro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Real'!C3:C15,0))+1))/((L270-1)*(1-_xlfn.XLOOKUP(K270,'Fevereiro 2023 - Valor Real'!A3:A15,'Fevereiro 2023 - Valor Real'!C3:C15,0))+1)))</f>
        <v>0.70617696613700376</v>
      </c>
      <c r="AF270" s="66">
        <f t="shared" si="549"/>
        <v>0</v>
      </c>
      <c r="AG270" s="67">
        <f t="shared" si="549"/>
        <v>0</v>
      </c>
      <c r="AH270" s="67">
        <f t="shared" si="549"/>
        <v>9.48</v>
      </c>
      <c r="AI270" s="67">
        <f t="shared" si="549"/>
        <v>0</v>
      </c>
      <c r="AJ270" s="67">
        <f t="shared" si="549"/>
        <v>0</v>
      </c>
      <c r="AK270" s="67">
        <f t="shared" si="549"/>
        <v>0</v>
      </c>
      <c r="AL270" s="67">
        <f t="shared" si="549"/>
        <v>0</v>
      </c>
      <c r="AM270" s="67">
        <f t="shared" si="549"/>
        <v>0</v>
      </c>
      <c r="AN270" s="67">
        <f t="shared" si="549"/>
        <v>0</v>
      </c>
      <c r="AO270" s="67">
        <f t="shared" si="549"/>
        <v>0</v>
      </c>
      <c r="AP270" s="67">
        <f t="shared" si="549"/>
        <v>0</v>
      </c>
      <c r="AQ270" s="67">
        <f t="shared" si="549"/>
        <v>0</v>
      </c>
      <c r="AR270" s="68">
        <f t="shared" si="549"/>
        <v>0</v>
      </c>
      <c r="AS270" s="66">
        <f>IF(AND($B268=" ",$K270=AS$3),$O270,0)</f>
        <v>0</v>
      </c>
      <c r="AT270" s="67">
        <f>IF(AND($B268=" ",K270=AT$3),$O270,0)</f>
        <v>0</v>
      </c>
      <c r="AU270" s="67">
        <f t="shared" ref="AU270:BE270" si="559">IF(AND($B268=" ",$K270=AU$3),$O270,0)</f>
        <v>0</v>
      </c>
      <c r="AV270" s="67">
        <f t="shared" si="559"/>
        <v>0</v>
      </c>
      <c r="AW270" s="67">
        <f t="shared" si="559"/>
        <v>0</v>
      </c>
      <c r="AX270" s="67">
        <f t="shared" si="559"/>
        <v>0</v>
      </c>
      <c r="AY270" s="69">
        <f t="shared" si="559"/>
        <v>0</v>
      </c>
      <c r="AZ270" s="70">
        <f t="shared" si="559"/>
        <v>0</v>
      </c>
      <c r="BA270" s="70">
        <f t="shared" si="559"/>
        <v>0</v>
      </c>
      <c r="BB270" s="70">
        <f t="shared" si="559"/>
        <v>0</v>
      </c>
      <c r="BC270" s="71">
        <f t="shared" si="559"/>
        <v>0</v>
      </c>
      <c r="BD270" s="67">
        <f t="shared" si="559"/>
        <v>0</v>
      </c>
      <c r="BE270" s="68">
        <f t="shared" si="559"/>
        <v>0</v>
      </c>
      <c r="BF270" s="66">
        <f t="shared" si="551"/>
        <v>0</v>
      </c>
      <c r="BG270" s="168">
        <f t="shared" si="551"/>
        <v>0</v>
      </c>
      <c r="BH270" s="67">
        <f t="shared" si="551"/>
        <v>16.62</v>
      </c>
      <c r="BI270" s="67">
        <f t="shared" si="551"/>
        <v>0</v>
      </c>
      <c r="BJ270" s="67">
        <f t="shared" si="551"/>
        <v>0</v>
      </c>
      <c r="BK270" s="67">
        <f t="shared" si="551"/>
        <v>0</v>
      </c>
      <c r="BL270" s="67">
        <f t="shared" si="551"/>
        <v>0</v>
      </c>
      <c r="BM270" s="69">
        <f t="shared" si="551"/>
        <v>0</v>
      </c>
      <c r="BN270" s="70">
        <f t="shared" si="551"/>
        <v>0</v>
      </c>
      <c r="BO270" s="70">
        <f t="shared" si="551"/>
        <v>0</v>
      </c>
      <c r="BP270" s="70">
        <f t="shared" si="551"/>
        <v>0</v>
      </c>
      <c r="BQ270" s="71">
        <f t="shared" si="551"/>
        <v>0</v>
      </c>
      <c r="BR270" s="68">
        <f t="shared" si="551"/>
        <v>0</v>
      </c>
      <c r="BS270" s="491"/>
      <c r="BT270" s="489"/>
      <c r="BU270" s="392"/>
      <c r="BV270" s="489"/>
      <c r="BW270" s="392"/>
      <c r="BX270" s="392"/>
      <c r="BY270" s="392"/>
      <c r="BZ270" s="489"/>
      <c r="CA270" s="392"/>
      <c r="CB270" s="392"/>
      <c r="CC270" s="392"/>
      <c r="CD270" s="401"/>
      <c r="CE270" s="409"/>
      <c r="CF270" s="169">
        <f t="shared" si="515"/>
        <v>0</v>
      </c>
      <c r="CG270" s="170">
        <f t="shared" si="516"/>
        <v>0</v>
      </c>
      <c r="CH270" s="170">
        <f t="shared" si="517"/>
        <v>0</v>
      </c>
      <c r="CI270" s="170">
        <f t="shared" si="518"/>
        <v>0</v>
      </c>
      <c r="CJ270" s="170">
        <f t="shared" si="519"/>
        <v>1</v>
      </c>
      <c r="CK270" s="170">
        <f t="shared" si="520"/>
        <v>0</v>
      </c>
      <c r="CL270" s="170">
        <f t="shared" si="521"/>
        <v>0</v>
      </c>
      <c r="CM270" s="170">
        <f t="shared" si="522"/>
        <v>0</v>
      </c>
      <c r="CN270" s="170">
        <f t="shared" si="523"/>
        <v>0</v>
      </c>
      <c r="CO270" s="170">
        <f t="shared" si="524"/>
        <v>0</v>
      </c>
      <c r="CP270" s="170">
        <f t="shared" si="525"/>
        <v>0</v>
      </c>
      <c r="CQ270" s="170">
        <f t="shared" si="526"/>
        <v>0</v>
      </c>
      <c r="CR270" s="170">
        <f t="shared" si="527"/>
        <v>0</v>
      </c>
      <c r="CS270" s="170">
        <f t="shared" si="528"/>
        <v>0</v>
      </c>
      <c r="CT270" s="75">
        <f t="shared" si="529"/>
        <v>0</v>
      </c>
      <c r="CU270" s="76">
        <f t="shared" si="530"/>
        <v>0</v>
      </c>
      <c r="CV270" s="76">
        <f t="shared" si="531"/>
        <v>0</v>
      </c>
      <c r="CW270" s="76">
        <f t="shared" si="532"/>
        <v>0</v>
      </c>
      <c r="CX270" s="76">
        <f t="shared" si="533"/>
        <v>0</v>
      </c>
      <c r="CY270" s="76">
        <f t="shared" si="534"/>
        <v>0</v>
      </c>
      <c r="CZ270" s="76">
        <f t="shared" si="535"/>
        <v>0</v>
      </c>
      <c r="DA270" s="76">
        <f t="shared" si="536"/>
        <v>0</v>
      </c>
      <c r="DB270" s="76">
        <f t="shared" si="537"/>
        <v>0</v>
      </c>
      <c r="DC270" s="76">
        <f t="shared" si="538"/>
        <v>0</v>
      </c>
      <c r="DD270" s="76">
        <f t="shared" si="539"/>
        <v>0</v>
      </c>
      <c r="DE270" s="77">
        <f t="shared" si="540"/>
        <v>0</v>
      </c>
      <c r="DF270" s="73">
        <f t="shared" si="542"/>
        <v>16</v>
      </c>
      <c r="DG270" s="67">
        <f t="shared" si="543"/>
        <v>20.66</v>
      </c>
      <c r="DH270" s="76">
        <f t="shared" si="544"/>
        <v>8</v>
      </c>
      <c r="DI270" s="67">
        <f t="shared" si="545"/>
        <v>33.049999999999997</v>
      </c>
      <c r="DJ270" s="202" t="str">
        <f>IF($D268="","",$D268)</f>
        <v>8</v>
      </c>
      <c r="DK270" s="493"/>
    </row>
    <row r="271" spans="1:115" ht="14.5" customHeight="1" x14ac:dyDescent="0.2">
      <c r="A271" s="459">
        <f>$A268+1</f>
        <v>90</v>
      </c>
      <c r="B271" s="507" t="str">
        <f>IF(OR(C271="W",C272="W",C273="W",C271="1/2W",C272="1/2W",C273="1/2W",C271="1/2L",C272="1/2L",C273="1/2L"),"OK",IF(OR(C271="L",C272="L",C273="L"),"LOSS",IF(OR(C271="X",C272="X",C273="X"),"Anulado"," ")))</f>
        <v>OK</v>
      </c>
      <c r="C271" s="93" t="s">
        <v>55</v>
      </c>
      <c r="D271" s="468" t="str">
        <f>IF(G271="","",$D268)</f>
        <v>8</v>
      </c>
      <c r="E271" s="485" t="str">
        <f>IF(G271=""," ","– "&amp;COUNTIF(D$4:D273,$D271))</f>
        <v>– 5</v>
      </c>
      <c r="F271" s="509" t="str">
        <f ca="1">IF(G271="","",IF(OR(AND($C271&lt;&gt;" ",$C272=" "),AND($C272&lt;&gt;" ",$C271=" "),AND(L273&gt;0,OR(AND($C273&lt;&gt;" ",OR($C271=" ",$C272=" ")),AND($C273=" ",OR($C271&lt;&gt;" ",$C272&lt;&gt;" "))))),IF(SUM(F$4:F270)=0,1,LARGE(F$4:F270,1)+1),IF(MONTH(G271)=MONTH(TODAY()),IF(AND(DAY(G271)&lt;DAY(TODAY()),$B271=" "),IF(SUM(F$4:F270)=0,1,LARGE(F$4:F270,1)+1),IF($B271=" ",IF(AND(DAY(G271)=DAY(TODAY()),HOUR(G271)&lt;=HOUR(NOW())+1),IF(AND(HOUR(G271)+2&lt;=HOUR(NOW()),DAY(G271)&lt;=DAY(TODAY()),MINUTE(G271)&lt;=MINUTE(NOW())),IF(SUM(F$4:F270)=0,1,LARGE(F$4:F270,1)+1),IF(OR(MINUTE(G271)&lt;=MINUTE(NOW()),HOUR(G271)&lt;=HOUR(NOW())),"!!!","")),""),"")),"")))</f>
        <v/>
      </c>
      <c r="G271" s="482">
        <v>44993.791666666664</v>
      </c>
      <c r="H271" s="475" t="s">
        <v>138</v>
      </c>
      <c r="I271" s="175">
        <v>1</v>
      </c>
      <c r="J271" s="176"/>
      <c r="K271" s="96" t="s">
        <v>40</v>
      </c>
      <c r="L271" s="97">
        <v>2.39</v>
      </c>
      <c r="M271" s="98">
        <v>24.38</v>
      </c>
      <c r="N271" s="478">
        <v>0</v>
      </c>
      <c r="O271" s="99">
        <f>IF(OR(AE271="",AE272=""),"",ROUND(IF(L273&gt;0,IF(M271&gt;0,M271,IF(M272&gt;0,ROUND((M272*AE271)/AE272,IF(N271=0,2,IF(N271=0.1,1,0))),ROUND((M273*AE271)/AE273,IF(N271=0,2,IF(N271=0.1,1,0))))),IF(M271&gt;0,M271,ROUND((M272*AE271)/AE272,IF(N271=0,2,IF(N271=0.1,1,0))))),2))</f>
        <v>24.38</v>
      </c>
      <c r="P271" s="100">
        <f>IF(OR(L271="",O271=""),"",IF($C271="1/2W",O271/2+O271/2*L271,IF($C271="1/2L",O271/2,IF(I271="Lay",(O271*(L271/(L271-1))-O271)*(1-_xlfn.XLOOKUP(K271,'Fevereiro 2023 - Valor Real'!A3:A15,'Fevereiro 2023 - Valor Real'!C3:C15,0))+O271,(O271*L271-O271)*(1-_xlfn.XLOOKUP(K271,'Fevereiro 2023 - Valor Real'!A3:A15,'Fevereiro 2023 - Valor Real'!C3:C15,0))+O271))))</f>
        <v>58.268199999999993</v>
      </c>
      <c r="Q271" s="101">
        <f>IF(K271="","",IF(_xlfn.XLOOKUP(K271,K$4:K270,$DJ$4:DJ270,0,,-1)=DJ271,_xlfn.XLOOKUP(K271,K$4:K270,Q$4:Q270,1,,-1)+1,1))</f>
        <v>2</v>
      </c>
      <c r="R271" s="102">
        <f>IF(K271="","",_xlfn.XLOOKUP(K271,K$4:K270,R$4:R270,0,,-1)+IF($C271=" ",1,0))</f>
        <v>0</v>
      </c>
      <c r="S271" s="474">
        <f>IF($B271="Anulado",0,ROUND(IF(OR($B271="LOSS",$B271="OK"),IF(OR($C271="W",$C271="1/2W",$C271="1/2L"),P271-O271,IF($C271="L",-O271,0))+IF(OR($C272="W",$C272="1/2W",$C272="1/2L"),P272-O272,IF($C272="L",-O272,0))+IF(OR($C273="W",$C273="1/2W",$C273="1/2L"),P273-O273,IF($C273="L",-O273,0)),IF(AND(OR($C271="W",$C271="1/2W",$C271="1/2L"),C272="W"),P271+P272-SUM(O271:O273)+_xlfn.XLOOKUP("X",C271:C273,O271:O273,0),IF(AND(C271=TRUE,C273="W"),P271+P273-SUM(O271:O273),IF(AND(C272="W",C273="W"),P272+P273-SUM(O271:O273)+_xlfn.XLOOKUP("X",C271:C273,O271:O273,0),IF(L273&gt;0,IF(OR($C271="W",$C271="1/2W",$C271="1/2L"),P271-SUM(O271:O273)+_xlfn.XLOOKUP("X",C271:C273,O271:O273,0),IF(OR($C271="W",$C271="1/2W",$C271="1/2L"),P272-SUM(O271:O273)+_xlfn.XLOOKUP("X",C271:C273,O271:O273,0),IF(OR($C271="W",$C271="1/2W",$C271="1/2L"),P273-SUM(O271:O273)+_xlfn.XLOOKUP("X",C271:C273,O271:O273,0),IF(SUM(P271:P273)/3-SUM(O271:O273)+_xlfn.XLOOKUP("X",C271:C273,O271:O273,0)&gt;0,SUM(P271:P273)/3-SUM(O271:O273)+_xlfn.XLOOKUP("X",C271:C273,O271:O273,0),LARGE(P271:P273,1)-SUM(O271:O273))))),IF(OR($C271="W",$C271="1/2W",$C271="1/2L"),P271-SUM(O271:O272)+_xlfn.XLOOKUP("X",C271:C273,O271:O273,0),IF(OR($C271="W",$C271="1/2W",$C271="1/2L"),P272-SUM(O271:O272)+_xlfn.XLOOKUP("X",C271:C273,O271:O273,0),SUM(P271:P272)/2-SUM(O271:O272)+_xlfn.XLOOKUP("X",C271:C273,O271:O273,0)))))))),2))</f>
        <v>2.89</v>
      </c>
      <c r="T271" s="458">
        <f>IF(S271=0,0,S271/SUM(O271:O273))</f>
        <v>5.2194329059057257E-2</v>
      </c>
      <c r="U271" s="470">
        <f>IF($D271=$D268,IF(OR($B271="LOSS",$B271="OK",$B271="Anulada"),S271,0)+U268,IF(OR($B271="LOSS",$B271="OK",$B271="Anulada"),S271,0))</f>
        <v>22.020000000000003</v>
      </c>
      <c r="V271" s="470">
        <f>IF($D271="",0,IF($D271=$D268,IF($B271=" ",IF(I273="",IF(OR(AND(I271="DNB1",I272="DNB2"),AND(OR(I271="DNB1",I271="DNB2"),J272=0),AND(OR(I272="DNB1",I272="DNB2"),J271=0),AND(I271="DNB2",I272="DNB1"),AND(IF(J271=0,(J271+1)/ROUND(J271+1,0),J271/ROUND(J271,0))=1,IF(J272=0,(J272+1)/ROUND(IF(J272="",0,J272)+1,0),IF(J272="",0,J272)/ROUND(IF(J272="",1,J272),0))=1,OR(J271&lt;&gt;""),J272&lt;&gt;"")),0,IF(S271&lt;0,IF(I273="",SMALL(P271:P272,1)-SUM(O271:O272),0),SMALL(P271:P272,1)-SUM(O271:O272))),IF(S271&lt;0,IF(I273="",SMALL(P271:P273,1)-SUM(O271:O273),0),LARGE(P271:P273,1)-SUM(O271:O273))),S271)+V268,IF(I273="",IF(OR(AND(I271="DNB1",I272="DNB2"),AND(OR(I271="DNB1",I271="DNB2"),J272=0),AND(OR(I272="DNB1",I272="DNB2"),J271=0),AND(I271="DNB2",I272="DNB1"),AND(IF(J271=0,(J271+1)/ROUND(J271+1,0),J271/ROUND(J271,0))=1,IF(J272=0,(IF(J272="",0,J272)+1)/ROUND(IF(J272="",0,J272)+1,0),IF(J272="",0,J272)/ROUND(IF(J272="",0,J272)+1,0))=1,OR(J271&lt;&gt;""),J272&lt;&gt;"")),0,IF(S271&lt;0,IF(I273="",SMALL(P271:P272,1)-SUM(O271:O272),0),SMALL(P271:P273,1)-SUM(O271:O273))),IF(S271&lt;0,IF(I273="",SMALL(P271:P273,1)-SUM(O271:O273),0),LARGE(P271:P273,1)-SUM(O271:O273)))))</f>
        <v>22.175000000000004</v>
      </c>
      <c r="W271" s="470">
        <f>IF($D271=$D268,IF(S271&lt;0,IF(I273="",S271,0),S271)+W268,S271)</f>
        <v>22.020000000000003</v>
      </c>
      <c r="X271" s="480" t="str">
        <f>IF(OR(SUM(R271:R273)=0,V271=W271),ROUND(IF(W271=0,0,W271/Y271)*100,2)&amp;"%",ROUND(IF(V271=0,0,V271/Y271)*100,2)&amp;"% a "&amp;ROUND(IF(W271=0,0,W271/Y271)*100,2)&amp;"%")</f>
        <v>6,62%</v>
      </c>
      <c r="Y271" s="471">
        <f>IF($D271=$D268,Y268+SUM(O271:O273),SUM(O271:O273))</f>
        <v>332.75</v>
      </c>
      <c r="Z271" s="470">
        <f>IF($B271=" ",SUM(O271:O273),0)+Z268</f>
        <v>0</v>
      </c>
      <c r="AA271" s="470">
        <f>IF(G271="","",IF($B271="Anulado",LARGE(P271:P273,1)-SUM(O271:O273)+AA268,AA268))</f>
        <v>1.4607999999999972</v>
      </c>
      <c r="AB271" s="470">
        <f>IF($D271="","",AB268+S271)</f>
        <v>438.14</v>
      </c>
      <c r="AC271" s="472">
        <f ca="1">IF($D271="","",IF($B271=" ",IF(DAY(G271)=DAY(TODAY()),1+AC268,0+AC268),0+AC268))</f>
        <v>0</v>
      </c>
      <c r="AD271" s="103">
        <f>(((L272/(L272-1)-1)*(1-_xlfn.XLOOKUP(K272,'Fevereiro 2023 - Valor Real'!A3:A15,'Fevereiro 2023 - Valor Real'!C3:C15,0))+1))/(((L271-1)*(1-_xlfn.XLOOKUP(K271,'Fevereiro 2023 - Valor Real'!A3:A15,'Fevereiro 2023 - Valor Real'!C3:C15,0))+1)+((L272/(L272-1)-1)*(1-_xlfn.XLOOKUP(K272,'Fevereiro 2023 - Valor Real'!A3:A15,'Fevereiro 2023 - Valor Real'!C3:C15,0))+1))</f>
        <v>0.47198232576822652</v>
      </c>
      <c r="AE271" s="104">
        <f>IF(L271="","",IF(L273&gt;0,(SUM(((L271-1)*(1-_xlfn.XLOOKUP(K271,'Fevereiro 2023 - Valor Real'!A3:A15,'Fevereiro 2023 - Valor Real'!C3:C15,0))+1),((L272-1)*(1-_xlfn.XLOOKUP(K272,'Fevereiro 2023 - Valor Real'!A3:A15,'Fevereiro 2023 - Valor Real'!C3:C15,0))+1),((L273-1)*(1-_xlfn.XLOOKUP(K273,'Fevereiro 2023 - Valor Real'!A3:A15,'Fevereiro 2023 - Valor Real'!C3:C15,0))+1))/((L271-1)*(1-_xlfn.XLOOKUP(K271,'Fevereiro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Real'!C3:C15,0))+1))/((L271-1)*(1-_xlfn.XLOOKUP(K271,'Fevereiro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Real'!C3:C15,0))+1))/((L272-1)*(1-_xlfn.XLOOKUP(K272,'Fevereiro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Real'!C3:C15,0))+1))/((L273-1)*(1-_xlfn.XLOOKUP(K273,'Fevereiro 2023 - Valor Real'!A3:A15,'Fevereiro 2023 - Valor Real'!C3:C15,0))+1)),IF(I271="Lay",IF(I272="Lay",((L272/(L272-1)-1)*(1-_xlfn.XLOOKUP(K272,'Fevereiro 2023 - Valor Real'!A3:A15,'Fevereiro 2023 - Valor Real'!C3:C15,0))+1)/(((L272/(L272-1)-1)*(1-_xlfn.XLOOKUP(K272,'Fevereiro 2023 - Valor Real'!A3:A15,'Fevereiro 2023 - Valor Real'!C3:C15,0))+1)+((L271/(L271-1)-1)*(1-_xlfn.XLOOKUP(K271,'Fevereiro 2023 - Valor Real'!A3:A15,'Fevereiro 2023 - Valor Real'!C3:C15,0))+1)),((L272-1)*(1-_xlfn.XLOOKUP(K272,'Fevereiro 2023 - Valor Real'!A3:A15,'Fevereiro 2023 - Valor Real'!C3:C15,0))+1)/(((L272-1)*(1-_xlfn.XLOOKUP(K272,'Fevereiro 2023 - Valor Real'!A3:A15,'Fevereiro 2023 - Valor Real'!C3:C15,0))+1)+((L271/(L271-1)-1)*(1-_xlfn.XLOOKUP(K271,'Fevereiro 2023 - Valor Real'!A3:A15,'Fevereiro 2023 - Valor Real'!C3:C15,0))+1))),IF(I272="Lay",(((L272/(L272-1)-1)*(1-_xlfn.XLOOKUP(K272,'Fevereiro 2023 - Valor Real'!A3:A15,'Fevereiro 2023 - Valor Real'!C3:C15,0))+1))/(((L271-1)*(1-_xlfn.XLOOKUP(K271,'Fevereiro 2023 - Valor Real'!A3:A15,'Fevereiro 2023 - Valor Real'!C3:C15,0))+1)+((L272/(L272-1)-1)*(1-_xlfn.XLOOKUP(K272,'Fevereiro 2023 - Valor Real'!A3:A15,'Fevereiro 2023 - Valor Real'!C3:C15,0))+1)),((L272-1)*(1-_xlfn.XLOOKUP(K272,'Fevereiro 2023 - Valor Real'!A3:A15,'Fevereiro 2023 - Valor Real'!C3:C15,0))+1)/(((L272-1)*(1-_xlfn.XLOOKUP(K272,'Fevereiro 2023 - Valor Real'!A3:A15,'Fevereiro 2023 - Valor Real'!C3:C15,0))+1)+((L271-1)*(1-_xlfn.XLOOKUP(K271,'Fevereiro 2023 - Valor Real'!A3:A15,'Fevereiro 2023 - Valor Real'!C3:C15,0))+1))))))</f>
        <v>0.44028103044496492</v>
      </c>
      <c r="AF271" s="105">
        <f t="shared" si="549"/>
        <v>0</v>
      </c>
      <c r="AG271" s="106">
        <f t="shared" si="549"/>
        <v>0</v>
      </c>
      <c r="AH271" s="106">
        <f t="shared" si="549"/>
        <v>0</v>
      </c>
      <c r="AI271" s="106">
        <f t="shared" si="549"/>
        <v>0</v>
      </c>
      <c r="AJ271" s="106">
        <f t="shared" si="549"/>
        <v>-24.38</v>
      </c>
      <c r="AK271" s="106">
        <f t="shared" si="549"/>
        <v>0</v>
      </c>
      <c r="AL271" s="106">
        <f t="shared" si="549"/>
        <v>0</v>
      </c>
      <c r="AM271" s="106">
        <f t="shared" si="549"/>
        <v>0</v>
      </c>
      <c r="AN271" s="106">
        <f t="shared" si="549"/>
        <v>0</v>
      </c>
      <c r="AO271" s="106">
        <f t="shared" si="549"/>
        <v>0</v>
      </c>
      <c r="AP271" s="106">
        <f t="shared" si="549"/>
        <v>0</v>
      </c>
      <c r="AQ271" s="106">
        <f t="shared" si="549"/>
        <v>0</v>
      </c>
      <c r="AR271" s="107">
        <f t="shared" si="549"/>
        <v>0</v>
      </c>
      <c r="AS271" s="105">
        <f t="shared" ref="AS271:BE271" si="560">IF(AND($B271=" ",$K271=AS$3),$O271,0)</f>
        <v>0</v>
      </c>
      <c r="AT271" s="106">
        <f t="shared" si="560"/>
        <v>0</v>
      </c>
      <c r="AU271" s="106">
        <f t="shared" si="560"/>
        <v>0</v>
      </c>
      <c r="AV271" s="106">
        <f t="shared" si="560"/>
        <v>0</v>
      </c>
      <c r="AW271" s="106">
        <f t="shared" si="560"/>
        <v>0</v>
      </c>
      <c r="AX271" s="106">
        <f t="shared" si="560"/>
        <v>0</v>
      </c>
      <c r="AY271" s="108">
        <f t="shared" si="560"/>
        <v>0</v>
      </c>
      <c r="AZ271" s="109">
        <f t="shared" si="560"/>
        <v>0</v>
      </c>
      <c r="BA271" s="109">
        <f t="shared" si="560"/>
        <v>0</v>
      </c>
      <c r="BB271" s="109">
        <f t="shared" si="560"/>
        <v>0</v>
      </c>
      <c r="BC271" s="110">
        <f t="shared" si="560"/>
        <v>0</v>
      </c>
      <c r="BD271" s="106">
        <f t="shared" si="560"/>
        <v>0</v>
      </c>
      <c r="BE271" s="107">
        <f t="shared" si="560"/>
        <v>0</v>
      </c>
      <c r="BF271" s="111">
        <f t="shared" si="551"/>
        <v>0</v>
      </c>
      <c r="BG271" s="106">
        <f t="shared" si="551"/>
        <v>0</v>
      </c>
      <c r="BH271" s="106">
        <f t="shared" si="551"/>
        <v>0</v>
      </c>
      <c r="BI271" s="106">
        <f t="shared" si="551"/>
        <v>0</v>
      </c>
      <c r="BJ271" s="106">
        <f t="shared" si="551"/>
        <v>24.38</v>
      </c>
      <c r="BK271" s="106">
        <f t="shared" si="551"/>
        <v>0</v>
      </c>
      <c r="BL271" s="106">
        <f t="shared" si="551"/>
        <v>0</v>
      </c>
      <c r="BM271" s="108">
        <f t="shared" si="551"/>
        <v>0</v>
      </c>
      <c r="BN271" s="109">
        <f t="shared" si="551"/>
        <v>0</v>
      </c>
      <c r="BO271" s="109">
        <f t="shared" si="551"/>
        <v>0</v>
      </c>
      <c r="BP271" s="109">
        <f t="shared" si="551"/>
        <v>0</v>
      </c>
      <c r="BQ271" s="110">
        <f t="shared" si="551"/>
        <v>0</v>
      </c>
      <c r="BR271" s="107">
        <f t="shared" si="551"/>
        <v>0</v>
      </c>
      <c r="BS271" s="463">
        <f>IF($B271="LOSS",IF(AND($K271=BS$3,$C271="L"),-$O271,0)+IF(AND($K272=BS$3,$C272="L"),-$O272,0)+IF(AND($K273=BS$3,$C273="L"),-$O273,0),IF(OR(AND($K271=BS$3,OR($C271="W",$C271="1/2W")),AND($K272=BS$3,OR($C272="W",$C272="1/2W")),AND($K273=BS$3,OR($C273="W",$C273="1/2W"))),$S271,0))</f>
        <v>0</v>
      </c>
      <c r="BT271" s="462">
        <f>IF($B271="LOSS",IF(AND($K271=BT$3,$C271="L"),-$O271,0)+IF(AND($K272=BT$3,$C272="L"),-$O272,0)+IF(AND($K272=BT$3,$C273="L"),-$O273,0),IF(OR(AND($K272=BT$3,OR($C271="W",$C271="1/2W")),AND($K272=BT$3,OR($C272="W",$C272="1/2W")),AND($K272=BT$3,OR($C273="W",$C273="1/2W"))),$S271,0))</f>
        <v>0</v>
      </c>
      <c r="BU271" s="462">
        <f>IF($B271="LOSS",IF(AND($K271=BU$3,$C271="L"),-$O271,0)+IF(AND($K272=BU$3,$C272="L"),-$O272,0)+IF(AND($K272=BU$3,$C273="L"),-$O273,0),IF(OR(AND($K272=BU$3,OR($C271="W",$C271="1/2W")),AND($K272=BU$3,OR($C272="W",$C272="1/2W")),AND($K272=BU$3,OR($C273="W",$C273="1/2W"))),$S271,0))</f>
        <v>0</v>
      </c>
      <c r="BV271" s="462">
        <f t="shared" ref="BV271:CE271" si="561">IF($B271="LOSS",IF(AND($K271=BV$3,$C271="L"),-$O271,0)+IF(AND($K272=BV$3,$C272="L"),-$O272,0)+IF(AND($K273=BV$3,$C273="L"),-$O273,0),IF(OR(AND($K271=BV$3,OR($C271="W",$C271="1/2W")),AND($K272=BV$3,OR($C272="W",$C272="1/2W")),AND($K273=BV$3,OR($C273="W",$C273="1/2W"))),$S271,0))</f>
        <v>0</v>
      </c>
      <c r="BW271" s="462">
        <f t="shared" si="561"/>
        <v>0</v>
      </c>
      <c r="BX271" s="462">
        <f t="shared" si="561"/>
        <v>0</v>
      </c>
      <c r="BY271" s="462">
        <f t="shared" si="561"/>
        <v>0</v>
      </c>
      <c r="BZ271" s="460">
        <f t="shared" si="561"/>
        <v>2.89</v>
      </c>
      <c r="CA271" s="460">
        <f t="shared" si="561"/>
        <v>0</v>
      </c>
      <c r="CB271" s="460">
        <f t="shared" si="561"/>
        <v>0</v>
      </c>
      <c r="CC271" s="460">
        <f t="shared" si="561"/>
        <v>0</v>
      </c>
      <c r="CD271" s="473">
        <f t="shared" si="561"/>
        <v>0</v>
      </c>
      <c r="CE271" s="479">
        <f t="shared" si="561"/>
        <v>0</v>
      </c>
      <c r="CF271" s="113">
        <f t="shared" si="515"/>
        <v>0</v>
      </c>
      <c r="CG271" s="114">
        <f t="shared" si="516"/>
        <v>0</v>
      </c>
      <c r="CH271" s="114">
        <f t="shared" si="517"/>
        <v>0</v>
      </c>
      <c r="CI271" s="114">
        <f t="shared" si="518"/>
        <v>0</v>
      </c>
      <c r="CJ271" s="114">
        <f t="shared" si="519"/>
        <v>0</v>
      </c>
      <c r="CK271" s="114">
        <f t="shared" si="520"/>
        <v>0</v>
      </c>
      <c r="CL271" s="114">
        <f t="shared" si="521"/>
        <v>0</v>
      </c>
      <c r="CM271" s="114">
        <f t="shared" si="522"/>
        <v>0</v>
      </c>
      <c r="CN271" s="114">
        <f t="shared" si="523"/>
        <v>0</v>
      </c>
      <c r="CO271" s="114">
        <f t="shared" si="524"/>
        <v>1</v>
      </c>
      <c r="CP271" s="114">
        <f t="shared" si="525"/>
        <v>0</v>
      </c>
      <c r="CQ271" s="114">
        <f t="shared" si="526"/>
        <v>0</v>
      </c>
      <c r="CR271" s="114">
        <f t="shared" si="527"/>
        <v>0</v>
      </c>
      <c r="CS271" s="114">
        <f t="shared" si="528"/>
        <v>0</v>
      </c>
      <c r="CT271" s="115">
        <f t="shared" si="529"/>
        <v>0</v>
      </c>
      <c r="CU271" s="116">
        <f t="shared" si="530"/>
        <v>0</v>
      </c>
      <c r="CV271" s="116">
        <f t="shared" si="531"/>
        <v>0</v>
      </c>
      <c r="CW271" s="116">
        <f t="shared" si="532"/>
        <v>0</v>
      </c>
      <c r="CX271" s="116">
        <f t="shared" si="533"/>
        <v>0</v>
      </c>
      <c r="CY271" s="116">
        <f t="shared" si="534"/>
        <v>0</v>
      </c>
      <c r="CZ271" s="116">
        <f t="shared" si="535"/>
        <v>0</v>
      </c>
      <c r="DA271" s="116">
        <f t="shared" si="536"/>
        <v>0</v>
      </c>
      <c r="DB271" s="116">
        <f t="shared" si="537"/>
        <v>0</v>
      </c>
      <c r="DC271" s="116">
        <f t="shared" si="538"/>
        <v>0</v>
      </c>
      <c r="DD271" s="116">
        <f t="shared" si="539"/>
        <v>0</v>
      </c>
      <c r="DE271" s="117">
        <f t="shared" si="540"/>
        <v>0</v>
      </c>
      <c r="DF271" s="118">
        <f t="shared" si="542"/>
        <v>16</v>
      </c>
      <c r="DG271" s="106">
        <f t="shared" si="543"/>
        <v>20.66</v>
      </c>
      <c r="DH271" s="116">
        <f t="shared" si="544"/>
        <v>8</v>
      </c>
      <c r="DI271" s="106">
        <f t="shared" si="545"/>
        <v>33.049999999999997</v>
      </c>
      <c r="DJ271" s="201" t="str">
        <f>IF($D271="","",$D271)</f>
        <v>8</v>
      </c>
      <c r="DK271" s="465">
        <f>IF(AND($B271=" ",$D271&lt;&gt;""),1,0)</f>
        <v>0</v>
      </c>
    </row>
    <row r="272" spans="1:115" ht="14.5" customHeight="1" x14ac:dyDescent="0.2">
      <c r="A272" s="389"/>
      <c r="B272" s="456"/>
      <c r="C272" s="120" t="s">
        <v>54</v>
      </c>
      <c r="D272" s="374"/>
      <c r="E272" s="386"/>
      <c r="F272" s="377"/>
      <c r="G272" s="483"/>
      <c r="H272" s="476"/>
      <c r="I272" s="178">
        <v>2</v>
      </c>
      <c r="J272" s="179" t="str">
        <f>IF(OR(I271="TO",I271="TU",I271="TO1",I271="TU1",I271="TO2",I271="TU2"),J271,IF(OR(I271="AH1",I271="AH2"),IF(OR(I272="AH1",I272="AH2"),-J271,IF(OR(I272="EH1",I272="EH2"),-J271+0.5,"")),IF(OR(I271="EH1",I271="EH2"),IF(OR(I272="AH1",I272="AH2"),-J271+0.5,IF(OR(I272="EH1",I272="EH2"),-J271+1,"")),IF(AND(OR(I271="DNB1",I271="DNB2"),OR(I272="AH1",I272="AH2")),0,IF(AND(I271="Not ScoreBoth",OR(I272="TO1",I272="TO2")),0.5,"")))))</f>
        <v/>
      </c>
      <c r="K272" s="123" t="s">
        <v>43</v>
      </c>
      <c r="L272" s="124">
        <v>1.88</v>
      </c>
      <c r="M272" s="125"/>
      <c r="N272" s="406"/>
      <c r="O272" s="126">
        <f>IF(OR(AE271="",AE272=""),"",ROUND(IF(L273&gt;0,IF(M272&gt;0,M272,IF(M271&gt;0,IF(N271=TRUE,ROUND((M271*AE272)/AE271,0),(M271*AE272)/AE271),IF(M272&gt;0,ROUND(M272,IF(N271=0,2,IF(N271=0.1,1,0))),IF(M273&gt;0,ROUND(O273*AE272/AE273,IF(N271=0,2,IF(N271=0.1,1,0))),0)))),IF(M272&gt;0,M272,ROUND((M271*AE272)/AE271,IF(N271=0,2,IF(N271=0.1,1,0))))),2))</f>
        <v>30.99</v>
      </c>
      <c r="P272" s="127">
        <f>IF(OR(L272="",O272=""),"",IF($C272="1/2W",O272/2+O272/2*L272,IF($C272="1/2L",O272/2,IF(I272="Lay",((O272*(L272/(L272-1)))-O272)*(1-_xlfn.XLOOKUP(K272,'Fevereiro 2023 - Valor Real'!A3:A15,'Fevereiro 2023 - Valor Real'!C3:C15,0))+O272,(O272*L272-O272)*(1-_xlfn.XLOOKUP(K272,'Fevereiro 2023 - Valor Real'!A3:A15,'Fevereiro 2023 - Valor Real'!C3:C15,0))+O272))))</f>
        <v>58.261199999999995</v>
      </c>
      <c r="Q272" s="128">
        <f>IF(K272="","",IF(_xlfn.XLOOKUP(K272,K$4:K271,$DJ$4:DJ271,0,,-1)=DJ272,_xlfn.XLOOKUP(K272,K$4:K271,Q$4:Q271,1,,-1)+1,1))</f>
        <v>2</v>
      </c>
      <c r="R272" s="129">
        <f>IF(K272="","",_xlfn.XLOOKUP(K272,K$4:K271,R$4:R271,0,,-1)+IF($C272=" ",1,0))</f>
        <v>0</v>
      </c>
      <c r="S272" s="403"/>
      <c r="T272" s="380"/>
      <c r="U272" s="380"/>
      <c r="V272" s="481"/>
      <c r="W272" s="380"/>
      <c r="X272" s="452"/>
      <c r="Y272" s="383"/>
      <c r="Z272" s="384"/>
      <c r="AA272" s="384"/>
      <c r="AB272" s="384"/>
      <c r="AC272" s="384"/>
      <c r="AD272" s="130">
        <f>(((L272/(L272-1)-1)*(1-_xlfn.XLOOKUP(K272,'Fevereiro 2023 - Valor Real'!A3:A15,'Fevereiro 2023 - Valor Real'!C3:C15,0))+1))</f>
        <v>2.1363636363636367</v>
      </c>
      <c r="AE272" s="131">
        <f>IF(L272="","",IF(L273&gt;0,(SUM(((L271-1)*(1-_xlfn.XLOOKUP(K271,'Fevereiro 2023 - Valor Real'!A3:A15,'Fevereiro 2023 - Valor Real'!C3:C15,0))+1),((L272-1)*(1-_xlfn.XLOOKUP(K272,'Fevereiro 2023 - Valor Real'!A3:A15,'Fevereiro 2023 - Valor Real'!C3:C15,0))+1),((L273-1)*(1-_xlfn.XLOOKUP(K273,'Fevereiro 2023 - Valor Real'!A3:A15,'Fevereiro 2023 - Valor Real'!C3:C15,0))+1))/((L272-1)*(1-_xlfn.XLOOKUP(K272,'Fevereiro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Real'!C3:C15,0))+1))/((L271-1)*(1-_xlfn.XLOOKUP(K271,'Fevereiro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Real'!C3:C15,0))+1))/((L272-1)*(1-_xlfn.XLOOKUP(K272,'Fevereiro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Real'!C3:C15,0))+1))/((L273-1)*(1-_xlfn.XLOOKUP(K273,'Fevereiro 2023 - Valor Real'!A3:A15,'Fevereiro 2023 - Valor Real'!C3:C15,0))+1)),IF(I272="Lay",IF(I271="Lay",((L271/(L271-1)-1)*(1-_xlfn.XLOOKUP(K271,'Fevereiro 2023 - Valor Real'!A3:A15,'Fevereiro 2023 - Valor Real'!C3:C15,0))+1)/(((L271/(L271-1)-1)*(1-_xlfn.XLOOKUP(K271,'Fevereiro 2023 - Valor Real'!A3:A15,'Fevereiro 2023 - Valor Real'!C3:C15,0))+1)+((L272/(L272-1)-1)*(1-_xlfn.XLOOKUP(K272,'Fevereiro 2023 - Valor Real'!A3:A15,'Fevereiro 2023 - Valor Real'!C3:C15,0))+1)),((L271-1)*(1-_xlfn.XLOOKUP(K271,'Fevereiro 2023 - Valor Real'!A3:A15,'Fevereiro 2023 - Valor Real'!C3:C15,0))+1)/(((L271-1)*(1-_xlfn.XLOOKUP(K271,'Fevereiro 2023 - Valor Real'!A3:A15,'Fevereiro 2023 - Valor Real'!C3:C15,0))+1)+((L272/(L272-1)-1)*(1-_xlfn.XLOOKUP(K272,'Fevereiro 2023 - Valor Real'!A3:A15,'Fevereiro 2023 - Valor Real'!C3:C15,0))+1))),IF(I271="Lay",((L271/(L271-1)-1)*(1-_xlfn.XLOOKUP(K271,'Fevereiro 2023 - Valor Real'!A3:A15,'Fevereiro 2023 - Valor Real'!C3:C15,0))+1)/((((L271/(L271-1)-1)*(1-_xlfn.XLOOKUP(K271,'Fevereiro 2023 - Valor Real'!A3:A15,'Fevereiro 2023 - Valor Real'!C3:C15,0))+1))+((L272-1)*(1-_xlfn.XLOOKUP(K272,'Fevereiro 2023 - Valor Real'!A3:A15,'Fevereiro 2023 - Valor Real'!C3:C15,0))+1)),((L271-1)*(1-_xlfn.XLOOKUP(K271,'Fevereiro 2023 - Valor Real'!A3:A15,'Fevereiro 2023 - Valor Real'!C3:C15,0))+1)/(((L271-1)*(1-_xlfn.XLOOKUP(K271,'Fevereiro 2023 - Valor Real'!A3:A15,'Fevereiro 2023 - Valor Real'!C3:C15,0))+1)+((L272-1)*(1-_xlfn.XLOOKUP(K272,'Fevereiro 2023 - Valor Real'!A3:A15,'Fevereiro 2023 - Valor Real'!C3:C15,0))+1))))))</f>
        <v>0.5597189695550352</v>
      </c>
      <c r="AF272" s="105">
        <f t="shared" si="549"/>
        <v>0</v>
      </c>
      <c r="AG272" s="106">
        <f t="shared" si="549"/>
        <v>0</v>
      </c>
      <c r="AH272" s="106">
        <f t="shared" si="549"/>
        <v>0</v>
      </c>
      <c r="AI272" s="106">
        <f t="shared" si="549"/>
        <v>0</v>
      </c>
      <c r="AJ272" s="106">
        <f t="shared" si="549"/>
        <v>0</v>
      </c>
      <c r="AK272" s="106">
        <f t="shared" si="549"/>
        <v>0</v>
      </c>
      <c r="AL272" s="106">
        <f t="shared" si="549"/>
        <v>0</v>
      </c>
      <c r="AM272" s="106">
        <f t="shared" si="549"/>
        <v>27.27</v>
      </c>
      <c r="AN272" s="106">
        <f t="shared" si="549"/>
        <v>0</v>
      </c>
      <c r="AO272" s="106">
        <f t="shared" si="549"/>
        <v>0</v>
      </c>
      <c r="AP272" s="106">
        <f t="shared" si="549"/>
        <v>0</v>
      </c>
      <c r="AQ272" s="106">
        <f t="shared" si="549"/>
        <v>0</v>
      </c>
      <c r="AR272" s="107">
        <f t="shared" si="549"/>
        <v>0</v>
      </c>
      <c r="AS272" s="105">
        <f>IF(AND($B271=" ",$K272=AS$3),$O272,0)</f>
        <v>0</v>
      </c>
      <c r="AT272" s="106">
        <f>IF(AND($B271=" ",K272=AT$3),$O272,0)</f>
        <v>0</v>
      </c>
      <c r="AU272" s="106">
        <f t="shared" ref="AU272:BE272" si="562">IF(AND($B271=" ",$K272=AU$3),$O272,0)</f>
        <v>0</v>
      </c>
      <c r="AV272" s="106">
        <f t="shared" si="562"/>
        <v>0</v>
      </c>
      <c r="AW272" s="106">
        <f t="shared" si="562"/>
        <v>0</v>
      </c>
      <c r="AX272" s="106">
        <f t="shared" si="562"/>
        <v>0</v>
      </c>
      <c r="AY272" s="108">
        <f t="shared" si="562"/>
        <v>0</v>
      </c>
      <c r="AZ272" s="109">
        <f t="shared" si="562"/>
        <v>0</v>
      </c>
      <c r="BA272" s="109">
        <f t="shared" si="562"/>
        <v>0</v>
      </c>
      <c r="BB272" s="109">
        <f t="shared" si="562"/>
        <v>0</v>
      </c>
      <c r="BC272" s="110">
        <f t="shared" si="562"/>
        <v>0</v>
      </c>
      <c r="BD272" s="106">
        <f t="shared" si="562"/>
        <v>0</v>
      </c>
      <c r="BE272" s="107">
        <f t="shared" si="562"/>
        <v>0</v>
      </c>
      <c r="BF272" s="105">
        <f t="shared" si="551"/>
        <v>0</v>
      </c>
      <c r="BG272" s="106">
        <f t="shared" si="551"/>
        <v>0</v>
      </c>
      <c r="BH272" s="106">
        <f t="shared" si="551"/>
        <v>0</v>
      </c>
      <c r="BI272" s="106">
        <f t="shared" si="551"/>
        <v>0</v>
      </c>
      <c r="BJ272" s="106">
        <f t="shared" si="551"/>
        <v>0</v>
      </c>
      <c r="BK272" s="106">
        <f t="shared" si="551"/>
        <v>0</v>
      </c>
      <c r="BL272" s="106">
        <f t="shared" si="551"/>
        <v>0</v>
      </c>
      <c r="BM272" s="132">
        <f t="shared" si="551"/>
        <v>30.99</v>
      </c>
      <c r="BN272" s="112">
        <f t="shared" si="551"/>
        <v>0</v>
      </c>
      <c r="BO272" s="112">
        <f t="shared" si="551"/>
        <v>0</v>
      </c>
      <c r="BP272" s="112">
        <f t="shared" si="551"/>
        <v>0</v>
      </c>
      <c r="BQ272" s="110">
        <f t="shared" si="551"/>
        <v>0</v>
      </c>
      <c r="BR272" s="107">
        <f t="shared" si="551"/>
        <v>0</v>
      </c>
      <c r="BS272" s="464"/>
      <c r="BT272" s="461"/>
      <c r="BU272" s="392"/>
      <c r="BV272" s="461"/>
      <c r="BW272" s="392"/>
      <c r="BX272" s="392"/>
      <c r="BY272" s="392"/>
      <c r="BZ272" s="461"/>
      <c r="CA272" s="392"/>
      <c r="CB272" s="392"/>
      <c r="CC272" s="392"/>
      <c r="CD272" s="401"/>
      <c r="CE272" s="409"/>
      <c r="CF272" s="133">
        <f t="shared" si="515"/>
        <v>0</v>
      </c>
      <c r="CG272" s="134">
        <f t="shared" si="516"/>
        <v>0</v>
      </c>
      <c r="CH272" s="134">
        <f t="shared" si="517"/>
        <v>0</v>
      </c>
      <c r="CI272" s="134">
        <f t="shared" si="518"/>
        <v>0</v>
      </c>
      <c r="CJ272" s="134">
        <f t="shared" si="519"/>
        <v>0</v>
      </c>
      <c r="CK272" s="134">
        <f t="shared" si="520"/>
        <v>0</v>
      </c>
      <c r="CL272" s="134">
        <f t="shared" si="521"/>
        <v>0</v>
      </c>
      <c r="CM272" s="134">
        <f t="shared" si="522"/>
        <v>0</v>
      </c>
      <c r="CN272" s="134">
        <f t="shared" si="523"/>
        <v>0</v>
      </c>
      <c r="CO272" s="134">
        <f t="shared" si="524"/>
        <v>0</v>
      </c>
      <c r="CP272" s="134">
        <f t="shared" si="525"/>
        <v>0</v>
      </c>
      <c r="CQ272" s="134">
        <f t="shared" si="526"/>
        <v>0</v>
      </c>
      <c r="CR272" s="134">
        <f t="shared" si="527"/>
        <v>0</v>
      </c>
      <c r="CS272" s="134">
        <f t="shared" si="528"/>
        <v>0</v>
      </c>
      <c r="CT272" s="115">
        <f t="shared" si="529"/>
        <v>1</v>
      </c>
      <c r="CU272" s="116">
        <f t="shared" si="530"/>
        <v>0</v>
      </c>
      <c r="CV272" s="116">
        <f t="shared" si="531"/>
        <v>0</v>
      </c>
      <c r="CW272" s="116">
        <f t="shared" si="532"/>
        <v>0</v>
      </c>
      <c r="CX272" s="116">
        <f t="shared" si="533"/>
        <v>0</v>
      </c>
      <c r="CY272" s="116">
        <f t="shared" si="534"/>
        <v>0</v>
      </c>
      <c r="CZ272" s="116">
        <f t="shared" si="535"/>
        <v>0</v>
      </c>
      <c r="DA272" s="116">
        <f t="shared" si="536"/>
        <v>0</v>
      </c>
      <c r="DB272" s="116">
        <f t="shared" si="537"/>
        <v>0</v>
      </c>
      <c r="DC272" s="116">
        <f t="shared" si="538"/>
        <v>0</v>
      </c>
      <c r="DD272" s="116">
        <f t="shared" si="539"/>
        <v>0</v>
      </c>
      <c r="DE272" s="117">
        <f t="shared" si="540"/>
        <v>0</v>
      </c>
      <c r="DF272" s="118">
        <f t="shared" si="542"/>
        <v>16</v>
      </c>
      <c r="DG272" s="106">
        <f t="shared" si="543"/>
        <v>20.66</v>
      </c>
      <c r="DH272" s="116">
        <f t="shared" si="544"/>
        <v>8</v>
      </c>
      <c r="DI272" s="106">
        <f t="shared" si="545"/>
        <v>33.049999999999997</v>
      </c>
      <c r="DJ272" s="201" t="str">
        <f>IF($D271="","",$D271)</f>
        <v>8</v>
      </c>
      <c r="DK272" s="466"/>
    </row>
    <row r="273" spans="1:115" ht="14.5" customHeight="1" x14ac:dyDescent="0.2">
      <c r="A273" s="390"/>
      <c r="B273" s="457"/>
      <c r="C273" s="135" t="s">
        <v>53</v>
      </c>
      <c r="D273" s="375"/>
      <c r="E273" s="387"/>
      <c r="F273" s="378"/>
      <c r="G273" s="484"/>
      <c r="H273" s="477"/>
      <c r="I273" s="136"/>
      <c r="J273" s="137"/>
      <c r="K273" s="138"/>
      <c r="L273" s="139"/>
      <c r="M273" s="140"/>
      <c r="N273" s="407"/>
      <c r="O273" s="141" t="str">
        <f>IF(OR(AE271="",AE272=""),"",IF(L273&gt;0,ROUND(IF(M273&gt;0,M273,IF(M271&gt;0,ROUND((M271*AE273)/AE271,IF(N271=0,2,IF(N271=0.1,1,0))),IF(M272&gt;0,ROUND((M272*AE273)/AE272,IF(N271=0,2,IF(N271=0.1,1,0))),IF(M273&gt;0,M273,0)))),2),""))</f>
        <v/>
      </c>
      <c r="P273" s="142" t="str">
        <f>IF(I272="Lay",O272*(L272/(L272-1))-O272,IF(I271="Lay",O271*(L271/(L271-1))-O271,IF(OR(L273="",O273=""),"",IF($C273="1/2W",O273/2+O273/2*L273,IF($C273="1/2L",O273/2,(O273*L273-O273)*(1-_xlfn.XLOOKUP(K273,'Fevereiro 2023 - Valor Real'!A3:A15,'Fevereiro 2023 - Valor Real'!C3:C15,0))+O273)))))</f>
        <v/>
      </c>
      <c r="Q273" s="143" t="str">
        <f>IF(K273="","",IF(_xlfn.XLOOKUP(K273,K$4:K272,$DJ$4:DJ272,0,,-1)=DJ273,_xlfn.XLOOKUP(K273,K$4:K272,Q$4:Q272,1,,-1)+1,1))</f>
        <v/>
      </c>
      <c r="R273" s="144" t="str">
        <f>IF(K273="","",_xlfn.XLOOKUP(K273,K$4:K272,R$4:R272,0,,-1)+IF($C273=" ",1,0))</f>
        <v/>
      </c>
      <c r="S273" s="404"/>
      <c r="T273" s="378"/>
      <c r="U273" s="378"/>
      <c r="V273" s="404"/>
      <c r="W273" s="378"/>
      <c r="X273" s="453"/>
      <c r="Y273" s="383"/>
      <c r="Z273" s="384"/>
      <c r="AA273" s="384"/>
      <c r="AB273" s="384"/>
      <c r="AC273" s="384"/>
      <c r="AD273" s="145">
        <f>((L272/(L272-1)-1))</f>
        <v>1.1363636363636367</v>
      </c>
      <c r="AE273" s="146" t="str">
        <f>IF(L273="","",(SUM(((L271-1)*(1-_xlfn.XLOOKUP(K271,'Fevereiro 2023 - Valor Real'!A3:A15,'Fevereiro 2023 - Valor Real'!C3:C15,0))+1),((L272-1)*(1-_xlfn.XLOOKUP(K272,'Fevereiro 2023 - Valor Real'!A3:A15,'Fevereiro 2023 - Valor Real'!C3:C15,0))+1),((L273-1)*(1-_xlfn.XLOOKUP(K273,'Fevereiro 2023 - Valor Real'!A3:A15,'Fevereiro 2023 - Valor Real'!C3:C15,0))+1))/((L273-1)*(1-_xlfn.XLOOKUP(K273,'Fevereiro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Real'!C3:C15,0))+1))/((L271-1)*(1-_xlfn.XLOOKUP(K271,'Fevereiro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Real'!C3:C15,0))+1))/((L272-1)*(1-_xlfn.XLOOKUP(K272,'Fevereiro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Real'!C3:C15,0))+1))/((L273-1)*(1-_xlfn.XLOOKUP(K273,'Fevereiro 2023 - Valor Real'!A3:A15,'Fevereiro 2023 - Valor Real'!C3:C15,0))+1)))</f>
        <v/>
      </c>
      <c r="AF273" s="105">
        <f t="shared" si="549"/>
        <v>0</v>
      </c>
      <c r="AG273" s="106">
        <f t="shared" si="549"/>
        <v>0</v>
      </c>
      <c r="AH273" s="106">
        <f t="shared" si="549"/>
        <v>0</v>
      </c>
      <c r="AI273" s="106">
        <f t="shared" si="549"/>
        <v>0</v>
      </c>
      <c r="AJ273" s="106">
        <f t="shared" si="549"/>
        <v>0</v>
      </c>
      <c r="AK273" s="106">
        <f t="shared" si="549"/>
        <v>0</v>
      </c>
      <c r="AL273" s="106">
        <f t="shared" si="549"/>
        <v>0</v>
      </c>
      <c r="AM273" s="106">
        <f t="shared" si="549"/>
        <v>0</v>
      </c>
      <c r="AN273" s="106">
        <f t="shared" si="549"/>
        <v>0</v>
      </c>
      <c r="AO273" s="106">
        <f t="shared" si="549"/>
        <v>0</v>
      </c>
      <c r="AP273" s="106">
        <f t="shared" si="549"/>
        <v>0</v>
      </c>
      <c r="AQ273" s="106">
        <f t="shared" si="549"/>
        <v>0</v>
      </c>
      <c r="AR273" s="107">
        <f t="shared" si="549"/>
        <v>0</v>
      </c>
      <c r="AS273" s="105">
        <f>IF(AND($B271=" ",$K273=AS$3),$O273,0)</f>
        <v>0</v>
      </c>
      <c r="AT273" s="106">
        <f>IF(AND($B271=" ",K273=AT$3),$O273,0)</f>
        <v>0</v>
      </c>
      <c r="AU273" s="106">
        <f t="shared" ref="AU273:BE273" si="563">IF(AND($B271=" ",$K273=AU$3),$O273,0)</f>
        <v>0</v>
      </c>
      <c r="AV273" s="106">
        <f t="shared" si="563"/>
        <v>0</v>
      </c>
      <c r="AW273" s="106">
        <f t="shared" si="563"/>
        <v>0</v>
      </c>
      <c r="AX273" s="106">
        <f t="shared" si="563"/>
        <v>0</v>
      </c>
      <c r="AY273" s="108">
        <f t="shared" si="563"/>
        <v>0</v>
      </c>
      <c r="AZ273" s="109">
        <f t="shared" si="563"/>
        <v>0</v>
      </c>
      <c r="BA273" s="109">
        <f t="shared" si="563"/>
        <v>0</v>
      </c>
      <c r="BB273" s="109">
        <f t="shared" si="563"/>
        <v>0</v>
      </c>
      <c r="BC273" s="110">
        <f t="shared" si="563"/>
        <v>0</v>
      </c>
      <c r="BD273" s="106">
        <f t="shared" si="563"/>
        <v>0</v>
      </c>
      <c r="BE273" s="107">
        <f t="shared" si="563"/>
        <v>0</v>
      </c>
      <c r="BF273" s="105">
        <f t="shared" si="551"/>
        <v>0</v>
      </c>
      <c r="BG273" s="106">
        <f t="shared" si="551"/>
        <v>0</v>
      </c>
      <c r="BH273" s="106">
        <f t="shared" si="551"/>
        <v>0</v>
      </c>
      <c r="BI273" s="106">
        <f t="shared" si="551"/>
        <v>0</v>
      </c>
      <c r="BJ273" s="106">
        <f t="shared" si="551"/>
        <v>0</v>
      </c>
      <c r="BK273" s="106">
        <f t="shared" si="551"/>
        <v>0</v>
      </c>
      <c r="BL273" s="106">
        <f t="shared" si="551"/>
        <v>0</v>
      </c>
      <c r="BM273" s="108">
        <f t="shared" si="551"/>
        <v>0</v>
      </c>
      <c r="BN273" s="109">
        <f t="shared" si="551"/>
        <v>0</v>
      </c>
      <c r="BO273" s="109">
        <f t="shared" si="551"/>
        <v>0</v>
      </c>
      <c r="BP273" s="109">
        <f t="shared" si="551"/>
        <v>0</v>
      </c>
      <c r="BQ273" s="110">
        <f t="shared" si="551"/>
        <v>0</v>
      </c>
      <c r="BR273" s="107">
        <f t="shared" si="551"/>
        <v>0</v>
      </c>
      <c r="BS273" s="464"/>
      <c r="BT273" s="461"/>
      <c r="BU273" s="392"/>
      <c r="BV273" s="461"/>
      <c r="BW273" s="392"/>
      <c r="BX273" s="392"/>
      <c r="BY273" s="392"/>
      <c r="BZ273" s="461"/>
      <c r="CA273" s="392"/>
      <c r="CB273" s="392"/>
      <c r="CC273" s="392"/>
      <c r="CD273" s="401"/>
      <c r="CE273" s="409"/>
      <c r="CF273" s="133">
        <f t="shared" si="515"/>
        <v>0</v>
      </c>
      <c r="CG273" s="134">
        <f t="shared" si="516"/>
        <v>0</v>
      </c>
      <c r="CH273" s="134">
        <f t="shared" si="517"/>
        <v>0</v>
      </c>
      <c r="CI273" s="134">
        <f t="shared" si="518"/>
        <v>0</v>
      </c>
      <c r="CJ273" s="134">
        <f t="shared" si="519"/>
        <v>0</v>
      </c>
      <c r="CK273" s="134">
        <f t="shared" si="520"/>
        <v>0</v>
      </c>
      <c r="CL273" s="134">
        <f t="shared" si="521"/>
        <v>0</v>
      </c>
      <c r="CM273" s="134">
        <f t="shared" si="522"/>
        <v>0</v>
      </c>
      <c r="CN273" s="134">
        <f t="shared" si="523"/>
        <v>0</v>
      </c>
      <c r="CO273" s="134">
        <f t="shared" si="524"/>
        <v>0</v>
      </c>
      <c r="CP273" s="134">
        <f t="shared" si="525"/>
        <v>0</v>
      </c>
      <c r="CQ273" s="134">
        <f t="shared" si="526"/>
        <v>0</v>
      </c>
      <c r="CR273" s="134">
        <f t="shared" si="527"/>
        <v>0</v>
      </c>
      <c r="CS273" s="134">
        <f t="shared" si="528"/>
        <v>0</v>
      </c>
      <c r="CT273" s="115">
        <f t="shared" si="529"/>
        <v>0</v>
      </c>
      <c r="CU273" s="116">
        <f t="shared" si="530"/>
        <v>0</v>
      </c>
      <c r="CV273" s="116">
        <f t="shared" si="531"/>
        <v>0</v>
      </c>
      <c r="CW273" s="116">
        <f t="shared" si="532"/>
        <v>0</v>
      </c>
      <c r="CX273" s="116">
        <f t="shared" si="533"/>
        <v>0</v>
      </c>
      <c r="CY273" s="116">
        <f t="shared" si="534"/>
        <v>0</v>
      </c>
      <c r="CZ273" s="116">
        <f t="shared" si="535"/>
        <v>0</v>
      </c>
      <c r="DA273" s="116">
        <f t="shared" si="536"/>
        <v>0</v>
      </c>
      <c r="DB273" s="116">
        <f t="shared" si="537"/>
        <v>0</v>
      </c>
      <c r="DC273" s="116">
        <f t="shared" si="538"/>
        <v>0</v>
      </c>
      <c r="DD273" s="116">
        <f t="shared" si="539"/>
        <v>0</v>
      </c>
      <c r="DE273" s="117">
        <f t="shared" si="540"/>
        <v>0</v>
      </c>
      <c r="DF273" s="118">
        <f t="shared" si="542"/>
        <v>16</v>
      </c>
      <c r="DG273" s="106">
        <f t="shared" si="543"/>
        <v>20.66</v>
      </c>
      <c r="DH273" s="116">
        <f t="shared" si="544"/>
        <v>8</v>
      </c>
      <c r="DI273" s="106">
        <f t="shared" si="545"/>
        <v>33.049999999999997</v>
      </c>
      <c r="DJ273" s="201" t="str">
        <f>IF($D271="","",$D271)</f>
        <v>8</v>
      </c>
      <c r="DK273" s="466"/>
    </row>
    <row r="274" spans="1:115" ht="14.5" customHeight="1" x14ac:dyDescent="0.2">
      <c r="A274" s="487">
        <f>$A271+1</f>
        <v>91</v>
      </c>
      <c r="B274" s="506" t="str">
        <f>IF(OR(C274="W",C275="W",C276="W",C274="1/2W",C275="1/2W",C276="1/2W",C274="1/2L",C275="1/2L",C276="1/2L"),"OK",IF(OR(C274="L",C275="L",C276="L"),"LOSS",IF(OR(C274="X",C275="X",C276="X"),"Anulado"," ")))</f>
        <v>OK</v>
      </c>
      <c r="C274" s="147" t="s">
        <v>55</v>
      </c>
      <c r="D274" s="494" t="str">
        <f>IF(G274="","",$D271)</f>
        <v>8</v>
      </c>
      <c r="E274" s="511" t="str">
        <f>IF(G274=""," ","– "&amp;COUNTIF(D$4:D276,$D274))</f>
        <v>– 6</v>
      </c>
      <c r="F274" s="510" t="str">
        <f ca="1">IF(G274="","",IF(OR(AND($C274&lt;&gt;" ",$C275=" "),AND($C275&lt;&gt;" ",$C274=" "),AND(L276&gt;0,OR(AND($C276&lt;&gt;" ",OR($C274=" ",$C275=" ")),AND($C276=" ",OR($C274&lt;&gt;" ",$C275&lt;&gt;" "))))),IF(SUM(F$4:F273)=0,1,LARGE(F$4:F273,1)+1),IF(MONTH(G274)=MONTH(TODAY()),IF(AND(DAY(G274)&lt;DAY(TODAY()),$B274=" "),IF(SUM(F$4:F273)=0,1,LARGE(F$4:F273,1)+1),IF($B274=" ",IF(AND(DAY(G274)=DAY(TODAY()),HOUR(G274)&lt;=HOUR(NOW())+1),IF(AND(HOUR(G274)+2&lt;=HOUR(NOW()),DAY(G274)&lt;=DAY(TODAY()),MINUTE(G274)&lt;=MINUTE(NOW())),IF(SUM(F$4:F273)=0,1,LARGE(F$4:F273,1)+1),IF(OR(MINUTE(G274)&lt;=MINUTE(NOW()),HOUR(G274)&lt;=HOUR(NOW())),"!!!","")),""),"")),"")))</f>
        <v/>
      </c>
      <c r="G274" s="508">
        <v>44994.645833333336</v>
      </c>
      <c r="H274" s="502" t="s">
        <v>139</v>
      </c>
      <c r="I274" s="180" t="s">
        <v>63</v>
      </c>
      <c r="J274" s="149"/>
      <c r="K274" s="150" t="s">
        <v>37</v>
      </c>
      <c r="L274" s="151">
        <v>3.2</v>
      </c>
      <c r="M274" s="152">
        <v>3.47</v>
      </c>
      <c r="N274" s="503">
        <v>0.1</v>
      </c>
      <c r="O274" s="153">
        <f>IF(OR(AE274="",AE275=""),"",ROUND(IF(L276&gt;0,IF(M274&gt;0,M274,IF(M275&gt;0,ROUND((M275*AE274)/AE275,IF(N274=0,2,IF(N274=0.1,1,0))),ROUND((M276*AE274)/AE276,IF(N274=0,2,IF(N274=0.1,1,0))))),IF(M274&gt;0,M274,ROUND((M275*AE274)/AE275,IF(N274=0,2,IF(N274=0.1,1,0))))),2))</f>
        <v>3.47</v>
      </c>
      <c r="P274" s="154">
        <f>IF(OR(L274="",O274=""),"",IF($C274="1/2W",O274/2+O274/2*L274,IF($C274="1/2L",O274/2,IF(I274="Lay",(O274*(L274/(L274-1))-O274)*(1-_xlfn.XLOOKUP(K274,'Fevereiro 2023 - Valor Real'!A3:A15,'Fevereiro 2023 - Valor Real'!C3:C15,0))+O274,(O274*L274-O274)*(1-_xlfn.XLOOKUP(K274,'Fevereiro 2023 - Valor Real'!A3:A15,'Fevereiro 2023 - Valor Real'!C3:C15,0))+O274))))</f>
        <v>11.104000000000001</v>
      </c>
      <c r="Q274" s="155">
        <f>IF(K274="","",IF(_xlfn.XLOOKUP(K274,K$9:K266,$DJ$9:DJ266,0,,-1)=DJ274,_xlfn.XLOOKUP(K274,K$9:K266,Q$9:Q266,1,,-1)+1,1))</f>
        <v>2</v>
      </c>
      <c r="R274" s="156">
        <f>IF(K274="","",_xlfn.XLOOKUP(K274,K$9:K266,R$9:R266,0,,-1)+IF($C274=" ",1,0))</f>
        <v>0</v>
      </c>
      <c r="S274" s="501">
        <f>IF($B274="Anulado",0,ROUND(IF(OR($B274="LOSS",$B274="OK"),IF(OR($C274="W",$C274="1/2W",$C274="1/2L"),P274-O274,IF($C274="L",-O274,0))+IF(OR($C275="W",$C275="1/2W",$C275="1/2L"),P275-O275,IF($C275="L",-O275,0))+IF(OR($C276="W",$C276="1/2W",$C276="1/2L"),P276-O276,IF($C276="L",-O276,0)),IF(AND(OR($C274="W",$C274="1/2W",$C274="1/2L"),C275="W"),P274+P275-SUM(O274:O276)+_xlfn.XLOOKUP("X",C274:C276,O274:O276,0),IF(AND(C274=TRUE,C276="W"),P274+P276-SUM(O274:O276),IF(AND(C275="W",C276="W"),P275+P276-SUM(O274:O276)+_xlfn.XLOOKUP("X",C274:C276,O274:O276,0),IF(L276&gt;0,IF(OR($C274="W",$C274="1/2W",$C274="1/2L"),P274-SUM(O274:O276)+_xlfn.XLOOKUP("X",C274:C276,O274:O276,0),IF(OR($C274="W",$C274="1/2W",$C274="1/2L"),P275-SUM(O274:O276)+_xlfn.XLOOKUP("X",C274:C276,O274:O276,0),IF(OR($C274="W",$C274="1/2W",$C274="1/2L"),P276-SUM(O274:O276)+_xlfn.XLOOKUP("X",C274:C276,O274:O276,0),IF(SUM(P274:P276)/3-SUM(O274:O276)+_xlfn.XLOOKUP("X",C274:C276,O274:O276,0)&gt;0,SUM(P274:P276)/3-SUM(O274:O276)+_xlfn.XLOOKUP("X",C274:C276,O274:O276,0),LARGE(P274:P276,1)-SUM(O274:O276))))),IF(OR($C274="W",$C274="1/2W",$C274="1/2L"),P274-SUM(O274:O275)+_xlfn.XLOOKUP("X",C274:C276,O274:O276,0),IF(OR($C274="W",$C274="1/2W",$C274="1/2L"),P275-SUM(O274:O275)+_xlfn.XLOOKUP("X",C274:C276,O274:O276,0),SUM(P274:P275)/2-SUM(O274:O275)+_xlfn.XLOOKUP("X",C274:C276,O274:O276,0)))))))),2))</f>
        <v>0.77</v>
      </c>
      <c r="T274" s="486">
        <f>IF(S274=0,0,S274/SUM(O274:O276))</f>
        <v>7.4252651880424292E-2</v>
      </c>
      <c r="U274" s="496">
        <f>IF($D274=$D271,IF(OR($B274="LOSS",$B274="OK",$B274="Anulada"),S274,0)+U271,IF(OR($B274="LOSS",$B274="OK",$B274="Anulada"),S274,0))</f>
        <v>22.790000000000003</v>
      </c>
      <c r="V274" s="496">
        <f>IF($D274="",0,IF($D274=$D271,IF($B274=" ",IF(I276="",IF(OR(AND(I274="DNB1",I275="DNB2"),AND(OR(I274="DNB1",I274="DNB2"),J275=0),AND(OR(I275="DNB1",I275="DNB2"),J274=0),AND(I274="DNB2",I275="DNB1"),AND(IF(J274=0,(J274+1)/ROUND(J274+1,0),J274/ROUND(J274,0))=1,IF(J275=0,(J275+1)/ROUND(IF(J275="",0,J275)+1,0),IF(J275="",0,J275)/ROUND(IF(J275="",1,J275),0))=1,OR(J274&lt;&gt;""),J275&lt;&gt;"")),0,IF(S274&lt;0,IF(I276="",SMALL(P274:P275,1)-SUM(O274:O275),0),SMALL(P274:P275,1)-SUM(O274:O275))),IF(S274&lt;0,IF(I276="",SMALL(P274:P276,1)-SUM(O274:O276),0),LARGE(P274:P276,1)-SUM(O274:O276))),S274)+V271,IF(I276="",IF(OR(AND(I274="DNB1",I275="DNB2"),AND(OR(I274="DNB1",I274="DNB2"),J275=0),AND(OR(I275="DNB1",I275="DNB2"),J274=0),AND(I274="DNB2",I275="DNB1"),AND(IF(J274=0,(J274+1)/ROUND(J274+1,0),J274/ROUND(J274,0))=1,IF(J275=0,(IF(J275="",0,J275)+1)/ROUND(IF(J275="",0,J275)+1,0),IF(J275="",0,J275)/ROUND(IF(J275="",0,J275)+1,0))=1,OR(J274&lt;&gt;""),J275&lt;&gt;"")),0,IF(S274&lt;0,IF(I276="",SMALL(P274:P275,1)-SUM(O274:O275),0),SMALL(P274:P276,1)-SUM(O274:O276))),IF(S274&lt;0,IF(I276="",SMALL(P274:P276,1)-SUM(O274:O276),0),LARGE(P274:P276,1)-SUM(O274:O276)))))</f>
        <v>22.945000000000004</v>
      </c>
      <c r="W274" s="496">
        <f>IF($D274=$D271,IF(S274&lt;0,IF(I276="",S274,0),S274)+W271,S274)</f>
        <v>22.790000000000003</v>
      </c>
      <c r="X274" s="505" t="str">
        <f>IF(OR(SUM(R274:R276)=0,V274=W274),ROUND(IF(W274=0,0,W274/Y274)*100,2)&amp;"%",ROUND(IF(V274=0,0,V274/Y274)*100,2)&amp;"% a "&amp;ROUND(IF(W274=0,0,W274/Y274)*100,2)&amp;"%")</f>
        <v>6,64%</v>
      </c>
      <c r="Y274" s="497">
        <f>IF($D274=$D271,Y271+SUM(O274:O276),SUM(O274:O276))</f>
        <v>343.12</v>
      </c>
      <c r="Z274" s="496">
        <f>IF($B274=" ",SUM(O274:O276),0)+Z271</f>
        <v>0</v>
      </c>
      <c r="AA274" s="496">
        <f>IF(G274="","",IF($B274="Anulado",LARGE(P274:P276,1)-SUM(O274:O276)+AA271,AA271))</f>
        <v>1.4607999999999972</v>
      </c>
      <c r="AB274" s="496">
        <f>IF($D274="","",AB271+S274)</f>
        <v>438.90999999999997</v>
      </c>
      <c r="AC274" s="499">
        <f ca="1">IF($D274="","",IF($B274=" ",IF(DAY(G274)=DAY(TODAY()),1+AC271,0+AC271),0+AC271))</f>
        <v>0</v>
      </c>
      <c r="AD274" s="157">
        <f>(1-_xlfn.XLOOKUP(K272,'Fevereiro 2023 - Valor Real'!A3:A15,'Fevereiro 2023 - Valor Real'!C3:C15,0))+1</f>
        <v>2</v>
      </c>
      <c r="AE274" s="158">
        <f>IF(L274="","",IF(L276&gt;0,(SUM(((L274-1)*(1-_xlfn.XLOOKUP(K274,'Fevereiro 2023 - Valor Real'!A3:A15,'Fevereiro 2023 - Valor Real'!C3:C15,0))+1),((L275-1)*(1-_xlfn.XLOOKUP(K275,'Fevereiro 2023 - Valor Real'!A3:A15,'Fevereiro 2023 - Valor Real'!C3:C15,0))+1),((L276-1)*(1-_xlfn.XLOOKUP(K276,'Fevereiro 2023 - Valor Real'!A3:A15,'Fevereiro 2023 - Valor Real'!C3:C15,0))+1))/((L274-1)*(1-_xlfn.XLOOKUP(K274,'Fevereiro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Real'!C3:C15,0))+1))/((L274-1)*(1-_xlfn.XLOOKUP(K274,'Fevereiro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Real'!C3:C15,0))+1))/((L275-1)*(1-_xlfn.XLOOKUP(K275,'Fevereiro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Real'!C3:C15,0))+1))/((L276-1)*(1-_xlfn.XLOOKUP(K276,'Fevereiro 2023 - Valor Real'!A3:A15,'Fevereiro 2023 - Valor Real'!C3:C15,0))+1)),IF(I274="Lay",IF(I275="Lay",((L275/(L275-1)-1)*(1-_xlfn.XLOOKUP(K275,'Fevereiro 2023 - Valor Real'!A3:A15,'Fevereiro 2023 - Valor Real'!C3:C15,0))+1)/(((L275/(L275-1)-1)*(1-_xlfn.XLOOKUP(K275,'Fevereiro 2023 - Valor Real'!A3:A15,'Fevereiro 2023 - Valor Real'!C3:C15,0))+1)+((L274/(L274-1)-1)*(1-_xlfn.XLOOKUP(K274,'Fevereiro 2023 - Valor Real'!A3:A15,'Fevereiro 2023 - Valor Real'!C3:C15,0))+1)),((L275-1)*(1-_xlfn.XLOOKUP(K275,'Fevereiro 2023 - Valor Real'!A3:A15,'Fevereiro 2023 - Valor Real'!C3:C15,0))+1)/(((L275-1)*(1-_xlfn.XLOOKUP(K275,'Fevereiro 2023 - Valor Real'!A3:A15,'Fevereiro 2023 - Valor Real'!C3:C15,0))+1)+((L274/(L274-1)-1)*(1-_xlfn.XLOOKUP(K274,'Fevereiro 2023 - Valor Real'!A3:A15,'Fevereiro 2023 - Valor Real'!C3:C15,0))+1))),IF(I275="Lay",(((L275/(L275-1)-1)*(1-_xlfn.XLOOKUP(K275,'Fevereiro 2023 - Valor Real'!A3:A15,'Fevereiro 2023 - Valor Real'!C3:C15,0))+1))/(((L274-1)*(1-_xlfn.XLOOKUP(K274,'Fevereiro 2023 - Valor Real'!A3:A15,'Fevereiro 2023 - Valor Real'!C3:C15,0))+1)+((L275/(L275-1)-1)*(1-_xlfn.XLOOKUP(K275,'Fevereiro 2023 - Valor Real'!A3:A15,'Fevereiro 2023 - Valor Real'!C3:C15,0))+1)),((L275-1)*(1-_xlfn.XLOOKUP(K275,'Fevereiro 2023 - Valor Real'!A3:A15,'Fevereiro 2023 - Valor Real'!C3:C15,0))+1)/(((L275-1)*(1-_xlfn.XLOOKUP(K275,'Fevereiro 2023 - Valor Real'!A3:A15,'Fevereiro 2023 - Valor Real'!C3:C15,0))+1)+((L274-1)*(1-_xlfn.XLOOKUP(K274,'Fevereiro 2023 - Valor Real'!A3:A15,'Fevereiro 2023 - Valor Real'!C3:C15,0))+1))))))</f>
        <v>0.33541017653167182</v>
      </c>
      <c r="AF274" s="66">
        <f t="shared" ref="AF274:AR283" si="564">IF($K274=AF$3,ROUND(IF(OR($C274="W",$C274="1/2W",$C274="1/2L"),$P274-$O274,IF($C274="X",0,-$O274)),2),0)</f>
        <v>0</v>
      </c>
      <c r="AG274" s="67">
        <f t="shared" si="564"/>
        <v>-3.47</v>
      </c>
      <c r="AH274" s="67">
        <f t="shared" si="564"/>
        <v>0</v>
      </c>
      <c r="AI274" s="67">
        <f t="shared" si="564"/>
        <v>0</v>
      </c>
      <c r="AJ274" s="67">
        <f t="shared" si="564"/>
        <v>0</v>
      </c>
      <c r="AK274" s="67">
        <f t="shared" si="564"/>
        <v>0</v>
      </c>
      <c r="AL274" s="67">
        <f t="shared" si="564"/>
        <v>0</v>
      </c>
      <c r="AM274" s="67">
        <f t="shared" si="564"/>
        <v>0</v>
      </c>
      <c r="AN274" s="67">
        <f t="shared" si="564"/>
        <v>0</v>
      </c>
      <c r="AO274" s="67">
        <f t="shared" si="564"/>
        <v>0</v>
      </c>
      <c r="AP274" s="67">
        <f t="shared" si="564"/>
        <v>0</v>
      </c>
      <c r="AQ274" s="67">
        <f t="shared" si="564"/>
        <v>0</v>
      </c>
      <c r="AR274" s="68">
        <f t="shared" si="564"/>
        <v>0</v>
      </c>
      <c r="AS274" s="66">
        <f t="shared" ref="AS274:BE274" si="565">IF(AND($B274=" ",$K274=AS$3),$O274,0)</f>
        <v>0</v>
      </c>
      <c r="AT274" s="67">
        <f t="shared" si="565"/>
        <v>0</v>
      </c>
      <c r="AU274" s="67">
        <f t="shared" si="565"/>
        <v>0</v>
      </c>
      <c r="AV274" s="67">
        <f t="shared" si="565"/>
        <v>0</v>
      </c>
      <c r="AW274" s="67">
        <f t="shared" si="565"/>
        <v>0</v>
      </c>
      <c r="AX274" s="67">
        <f t="shared" si="565"/>
        <v>0</v>
      </c>
      <c r="AY274" s="69">
        <f t="shared" si="565"/>
        <v>0</v>
      </c>
      <c r="AZ274" s="70">
        <f t="shared" si="565"/>
        <v>0</v>
      </c>
      <c r="BA274" s="70">
        <f t="shared" si="565"/>
        <v>0</v>
      </c>
      <c r="BB274" s="70">
        <f t="shared" si="565"/>
        <v>0</v>
      </c>
      <c r="BC274" s="71">
        <f t="shared" si="565"/>
        <v>0</v>
      </c>
      <c r="BD274" s="67">
        <f t="shared" si="565"/>
        <v>0</v>
      </c>
      <c r="BE274" s="68">
        <f t="shared" si="565"/>
        <v>0</v>
      </c>
      <c r="BF274" s="66">
        <f t="shared" ref="BF274:BR283" si="566">IF($K274=BF$3,IF($C274="X",0,$O274),0)</f>
        <v>0</v>
      </c>
      <c r="BG274" s="67">
        <f t="shared" si="566"/>
        <v>3.47</v>
      </c>
      <c r="BH274" s="67">
        <f t="shared" si="566"/>
        <v>0</v>
      </c>
      <c r="BI274" s="67">
        <f t="shared" si="566"/>
        <v>0</v>
      </c>
      <c r="BJ274" s="67">
        <f t="shared" si="566"/>
        <v>0</v>
      </c>
      <c r="BK274" s="67">
        <f t="shared" si="566"/>
        <v>0</v>
      </c>
      <c r="BL274" s="67">
        <f t="shared" si="566"/>
        <v>0</v>
      </c>
      <c r="BM274" s="69">
        <f t="shared" si="566"/>
        <v>0</v>
      </c>
      <c r="BN274" s="70">
        <f t="shared" si="566"/>
        <v>0</v>
      </c>
      <c r="BO274" s="70">
        <f t="shared" si="566"/>
        <v>0</v>
      </c>
      <c r="BP274" s="70">
        <f t="shared" si="566"/>
        <v>0</v>
      </c>
      <c r="BQ274" s="71">
        <f t="shared" si="566"/>
        <v>0</v>
      </c>
      <c r="BR274" s="68">
        <f t="shared" si="566"/>
        <v>0</v>
      </c>
      <c r="BS274" s="490">
        <f>IF($B274="LOSS",IF(AND($K274=BS$3,$C274="L"),-$O274,0)+IF(AND($K275=BS$3,$C275="L"),-$O275,0)+IF(AND($K276=BS$3,$C276="L"),-$O276,0),IF(OR(AND($K274=BS$3,OR($C274="W",$C274="1/2W")),AND($K275=BS$3,OR($C275="W",$C275="1/2W")),AND($K276=BS$3,OR($C276="W",$C276="1/2W"))),$S274,0))</f>
        <v>0.77</v>
      </c>
      <c r="BT274" s="498">
        <f>IF($B274="LOSS",IF(AND($K274=BT$3,$C274="L"),-$O274,0)+IF(AND($K275=BT$3,$C275="L"),-$O275,0)+IF(AND($K275=BT$3,$C276="L"),-$O276,0),IF(OR(AND($K275=BT$3,OR($C274="W",$C274="1/2W")),AND($K275=BT$3,OR($C275="W",$C275="1/2W")),AND($K275=BT$3,OR($C276="W",$C276="1/2W"))),$S274,0))</f>
        <v>0</v>
      </c>
      <c r="BU274" s="488">
        <f>IF($B274="LOSS",IF(AND($K274=BU$3,$C274="L"),-$O274,0)+IF(AND($K275=BU$3,$C275="L"),-$O275,0)+IF(AND($K275=BU$3,$C276="L"),-$O276,0),IF(OR(AND($K275=BU$3,OR($C274="W",$C274="1/2W")),AND($K275=BU$3,OR($C275="W",$C275="1/2W")),AND($K275=BU$3,OR($C276="W",$C276="1/2W"))),$S274,0))</f>
        <v>0</v>
      </c>
      <c r="BV274" s="488">
        <f t="shared" ref="BV274:CE274" si="567">IF($B274="LOSS",IF(AND($K274=BV$3,$C274="L"),-$O274,0)+IF(AND($K275=BV$3,$C275="L"),-$O275,0)+IF(AND($K276=BV$3,$C276="L"),-$O276,0),IF(OR(AND($K274=BV$3,OR($C274="W",$C274="1/2W")),AND($K275=BV$3,OR($C275="W",$C275="1/2W")),AND($K276=BV$3,OR($C276="W",$C276="1/2W"))),$S274,0))</f>
        <v>0</v>
      </c>
      <c r="BW274" s="488">
        <f t="shared" si="567"/>
        <v>0</v>
      </c>
      <c r="BX274" s="488">
        <f t="shared" si="567"/>
        <v>0</v>
      </c>
      <c r="BY274" s="488">
        <f t="shared" si="567"/>
        <v>0</v>
      </c>
      <c r="BZ274" s="488">
        <f t="shared" si="567"/>
        <v>0</v>
      </c>
      <c r="CA274" s="488">
        <f t="shared" si="567"/>
        <v>0</v>
      </c>
      <c r="CB274" s="488">
        <f t="shared" si="567"/>
        <v>0</v>
      </c>
      <c r="CC274" s="488">
        <f t="shared" si="567"/>
        <v>0</v>
      </c>
      <c r="CD274" s="500">
        <f t="shared" si="567"/>
        <v>0</v>
      </c>
      <c r="CE274" s="504">
        <f t="shared" si="567"/>
        <v>0</v>
      </c>
      <c r="CF274" s="160">
        <f t="shared" si="515"/>
        <v>0</v>
      </c>
      <c r="CG274" s="161">
        <f t="shared" si="516"/>
        <v>0</v>
      </c>
      <c r="CH274" s="161">
        <f t="shared" si="517"/>
        <v>0</v>
      </c>
      <c r="CI274" s="161">
        <f t="shared" si="518"/>
        <v>1</v>
      </c>
      <c r="CJ274" s="161">
        <f t="shared" si="519"/>
        <v>0</v>
      </c>
      <c r="CK274" s="161">
        <f t="shared" si="520"/>
        <v>0</v>
      </c>
      <c r="CL274" s="161">
        <f t="shared" si="521"/>
        <v>0</v>
      </c>
      <c r="CM274" s="161">
        <f t="shared" si="522"/>
        <v>0</v>
      </c>
      <c r="CN274" s="161">
        <f t="shared" si="523"/>
        <v>0</v>
      </c>
      <c r="CO274" s="161">
        <f t="shared" si="524"/>
        <v>0</v>
      </c>
      <c r="CP274" s="161">
        <f t="shared" si="525"/>
        <v>0</v>
      </c>
      <c r="CQ274" s="161">
        <f t="shared" si="526"/>
        <v>0</v>
      </c>
      <c r="CR274" s="161">
        <f t="shared" si="527"/>
        <v>0</v>
      </c>
      <c r="CS274" s="161">
        <f t="shared" si="528"/>
        <v>0</v>
      </c>
      <c r="CT274" s="75">
        <f t="shared" si="529"/>
        <v>0</v>
      </c>
      <c r="CU274" s="76">
        <f t="shared" si="530"/>
        <v>0</v>
      </c>
      <c r="CV274" s="76">
        <f t="shared" si="531"/>
        <v>0</v>
      </c>
      <c r="CW274" s="76">
        <f t="shared" si="532"/>
        <v>0</v>
      </c>
      <c r="CX274" s="76">
        <f t="shared" si="533"/>
        <v>0</v>
      </c>
      <c r="CY274" s="76">
        <f t="shared" si="534"/>
        <v>0</v>
      </c>
      <c r="CZ274" s="76">
        <f t="shared" si="535"/>
        <v>0</v>
      </c>
      <c r="DA274" s="76">
        <f t="shared" si="536"/>
        <v>0</v>
      </c>
      <c r="DB274" s="76">
        <f t="shared" si="537"/>
        <v>0</v>
      </c>
      <c r="DC274" s="76">
        <f t="shared" si="538"/>
        <v>0</v>
      </c>
      <c r="DD274" s="76">
        <f t="shared" si="539"/>
        <v>0</v>
      </c>
      <c r="DE274" s="77">
        <f t="shared" si="540"/>
        <v>0</v>
      </c>
      <c r="DF274" s="73">
        <f t="shared" si="542"/>
        <v>16</v>
      </c>
      <c r="DG274" s="67">
        <f t="shared" si="543"/>
        <v>20.66</v>
      </c>
      <c r="DH274" s="76">
        <f t="shared" si="544"/>
        <v>8</v>
      </c>
      <c r="DI274" s="67">
        <f t="shared" si="545"/>
        <v>33.049999999999997</v>
      </c>
      <c r="DJ274" s="202" t="str">
        <f>IF($D274="","",$D274)</f>
        <v>8</v>
      </c>
      <c r="DK274" s="492">
        <f>IF(AND($B274=" ",$D274&lt;&gt;""),1,0)</f>
        <v>0</v>
      </c>
    </row>
    <row r="275" spans="1:115" ht="14.5" customHeight="1" x14ac:dyDescent="0.2">
      <c r="A275" s="389"/>
      <c r="B275" s="456"/>
      <c r="C275" s="53" t="s">
        <v>54</v>
      </c>
      <c r="D275" s="374"/>
      <c r="E275" s="386"/>
      <c r="F275" s="377"/>
      <c r="G275" s="508"/>
      <c r="H275" s="476"/>
      <c r="I275" s="182" t="s">
        <v>61</v>
      </c>
      <c r="J275" s="163" t="str">
        <f>IF(OR(I274="TO",I274="TU",I274="TO1",I274="TU1",I274="TO2",I274="TU2"),J274,IF(OR(I274="AH1",I274="AH2"),IF(OR(I275="AH1",I275="AH2"),-J274,IF(OR(I275="EH1",I275="EH2"),-J274+0.5,"")),IF(OR(I274="EH1",I274="EH2"),IF(OR(I275="AH1",I275="AH2"),-J274+0.5,IF(OR(I275="EH1",I275="EH2"),-J274+1,"")),IF(AND(OR(I274="DNB1",I274="DNB2"),OR(I275="AH1",I275="AH2")),0,IF(AND(I274="Not ScoreBoth",OR(I275="TO1",I275="TO2")),0.5,"")))))</f>
        <v/>
      </c>
      <c r="K275" s="57" t="s">
        <v>36</v>
      </c>
      <c r="L275" s="164">
        <v>1.615</v>
      </c>
      <c r="M275" s="165"/>
      <c r="N275" s="406"/>
      <c r="O275" s="60">
        <f>IF(OR(AE274="",AE275=""),"",ROUND(IF(L276&gt;0,IF(M275&gt;0,M275,IF(M274&gt;0,IF(N274=TRUE,ROUND((M274*AE275)/AE274,0),(M274*AE275)/AE274),IF(M275&gt;0,ROUND(M275,IF(N274=0,2,IF(N274=0.1,1,0))),IF(M276&gt;0,ROUND(O276*AE275/AE276,IF(N274=0,2,IF(N274=0.1,1,0))),0)))),IF(M275&gt;0,M275,ROUND((M274*AE275)/AE274,IF(N274=0,2,IF(N274=0.1,1,0))))),2))</f>
        <v>6.9</v>
      </c>
      <c r="P275" s="61">
        <f>IF(OR(L275="",O275=""),"",IF($C275="1/2W",O275/2+O275/2*L275,IF($C275="1/2L",O275/2,IF(I275="Lay",((O275*(L275/(L275-1)))-O275)*(1-_xlfn.XLOOKUP(K275,'Fevereiro 2023 - Valor Real'!A3:A15,'Fevereiro 2023 - Valor Real'!C3:C15,0))+O275,(O275*L275-O275)*(1-_xlfn.XLOOKUP(K275,'Fevereiro 2023 - Valor Real'!A3:A15,'Fevereiro 2023 - Valor Real'!C3:C15,0))+O275))))</f>
        <v>11.143500000000001</v>
      </c>
      <c r="Q275" s="166">
        <f>IF(K275="","",IF(_xlfn.XLOOKUP(K275,K$10:K266,$DJ$10:DJ266,0,,-1)=DJ275,_xlfn.XLOOKUP(K275,K$10:K266,Q$10:Q266,1,,-1)+1,1))</f>
        <v>2</v>
      </c>
      <c r="R275" s="167">
        <f>IF(K275="","",_xlfn.XLOOKUP(K275,K$10:K266,R$10:R266,0,,-1)+IF($C275=" ",1,0))</f>
        <v>0</v>
      </c>
      <c r="S275" s="403"/>
      <c r="T275" s="380"/>
      <c r="U275" s="380"/>
      <c r="V275" s="481"/>
      <c r="W275" s="380"/>
      <c r="X275" s="452"/>
      <c r="Y275" s="383"/>
      <c r="Z275" s="384"/>
      <c r="AA275" s="384"/>
      <c r="AB275" s="384"/>
      <c r="AC275" s="384"/>
      <c r="AD275" s="64"/>
      <c r="AE275" s="65">
        <f>IF(L275="","",IF(L276&gt;0,(SUM(((L274-1)*(1-_xlfn.XLOOKUP(K274,'Fevereiro 2023 - Valor Real'!A3:A15,'Fevereiro 2023 - Valor Real'!C3:C15,0))+1),((L275-1)*(1-_xlfn.XLOOKUP(K275,'Fevereiro 2023 - Valor Real'!A3:A15,'Fevereiro 2023 - Valor Real'!C3:C15,0))+1),((L276-1)*(1-_xlfn.XLOOKUP(K276,'Fevereiro 2023 - Valor Real'!A3:A15,'Fevereiro 2023 - Valor Real'!C3:C15,0))+1))/((L275-1)*(1-_xlfn.XLOOKUP(K275,'Fevereiro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Real'!C3:C15,0))+1))/((L274-1)*(1-_xlfn.XLOOKUP(K274,'Fevereiro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Real'!C3:C15,0))+1))/((L275-1)*(1-_xlfn.XLOOKUP(K275,'Fevereiro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Real'!C3:C15,0))+1))/((L276-1)*(1-_xlfn.XLOOKUP(K276,'Fevereiro 2023 - Valor Real'!A3:A15,'Fevereiro 2023 - Valor Real'!C3:C15,0))+1)),IF(I275="Lay",IF(I274="Lay",((L274/(L274-1)-1)*(1-_xlfn.XLOOKUP(K274,'Fevereiro 2023 - Valor Real'!A3:A15,'Fevereiro 2023 - Valor Real'!C3:C15,0))+1)/(((L274/(L274-1)-1)*(1-_xlfn.XLOOKUP(K274,'Fevereiro 2023 - Valor Real'!A3:A15,'Fevereiro 2023 - Valor Real'!C3:C15,0))+1)+((L275/(L275-1)-1)*(1-_xlfn.XLOOKUP(K275,'Fevereiro 2023 - Valor Real'!A3:A15,'Fevereiro 2023 - Valor Real'!C3:C15,0))+1)),((L274-1)*(1-_xlfn.XLOOKUP(K274,'Fevereiro 2023 - Valor Real'!A3:A15,'Fevereiro 2023 - Valor Real'!C3:C15,0))+1)/(((L274-1)*(1-_xlfn.XLOOKUP(K274,'Fevereiro 2023 - Valor Real'!A3:A15,'Fevereiro 2023 - Valor Real'!C3:C15,0))+1)+((L275/(L275-1)-1)*(1-_xlfn.XLOOKUP(K275,'Fevereiro 2023 - Valor Real'!A3:A15,'Fevereiro 2023 - Valor Real'!C3:C15,0))+1))),IF(I274="Lay",((L274/(L274-1)-1)*(1-_xlfn.XLOOKUP(K274,'Fevereiro 2023 - Valor Real'!A3:A15,'Fevereiro 2023 - Valor Real'!C3:C15,0))+1)/((((L274/(L274-1)-1)*(1-_xlfn.XLOOKUP(K274,'Fevereiro 2023 - Valor Real'!A3:A15,'Fevereiro 2023 - Valor Real'!C3:C15,0))+1))+((L275-1)*(1-_xlfn.XLOOKUP(K275,'Fevereiro 2023 - Valor Real'!A3:A15,'Fevereiro 2023 - Valor Real'!C3:C15,0))+1)),((L274-1)*(1-_xlfn.XLOOKUP(K274,'Fevereiro 2023 - Valor Real'!A3:A15,'Fevereiro 2023 - Valor Real'!C3:C15,0))+1)/(((L274-1)*(1-_xlfn.XLOOKUP(K274,'Fevereiro 2023 - Valor Real'!A3:A15,'Fevereiro 2023 - Valor Real'!C3:C15,0))+1)+((L275-1)*(1-_xlfn.XLOOKUP(K275,'Fevereiro 2023 - Valor Real'!A3:A15,'Fevereiro 2023 - Valor Real'!C3:C15,0))+1))))))</f>
        <v>0.66458982346832818</v>
      </c>
      <c r="AF275" s="66">
        <f t="shared" si="564"/>
        <v>4.24</v>
      </c>
      <c r="AG275" s="67">
        <f t="shared" si="564"/>
        <v>0</v>
      </c>
      <c r="AH275" s="67">
        <f t="shared" si="564"/>
        <v>0</v>
      </c>
      <c r="AI275" s="67">
        <f t="shared" si="564"/>
        <v>0</v>
      </c>
      <c r="AJ275" s="67">
        <f t="shared" si="564"/>
        <v>0</v>
      </c>
      <c r="AK275" s="67">
        <f t="shared" si="564"/>
        <v>0</v>
      </c>
      <c r="AL275" s="67">
        <f t="shared" si="564"/>
        <v>0</v>
      </c>
      <c r="AM275" s="67">
        <f t="shared" si="564"/>
        <v>0</v>
      </c>
      <c r="AN275" s="67">
        <f t="shared" si="564"/>
        <v>0</v>
      </c>
      <c r="AO275" s="67">
        <f t="shared" si="564"/>
        <v>0</v>
      </c>
      <c r="AP275" s="67">
        <f t="shared" si="564"/>
        <v>0</v>
      </c>
      <c r="AQ275" s="67">
        <f t="shared" si="564"/>
        <v>0</v>
      </c>
      <c r="AR275" s="68">
        <f t="shared" si="564"/>
        <v>0</v>
      </c>
      <c r="AS275" s="66">
        <f>IF(AND($B274=" ",$K275=AS$3),$O275,0)</f>
        <v>0</v>
      </c>
      <c r="AT275" s="67">
        <f>IF(AND($B274=" ",K275=AT$3),$O275,0)</f>
        <v>0</v>
      </c>
      <c r="AU275" s="67">
        <f t="shared" ref="AU275:BE275" si="568">IF(AND($B274=" ",$K275=AU$3),$O275,0)</f>
        <v>0</v>
      </c>
      <c r="AV275" s="67">
        <f t="shared" si="568"/>
        <v>0</v>
      </c>
      <c r="AW275" s="67">
        <f t="shared" si="568"/>
        <v>0</v>
      </c>
      <c r="AX275" s="67">
        <f t="shared" si="568"/>
        <v>0</v>
      </c>
      <c r="AY275" s="69">
        <f t="shared" si="568"/>
        <v>0</v>
      </c>
      <c r="AZ275" s="70">
        <f t="shared" si="568"/>
        <v>0</v>
      </c>
      <c r="BA275" s="70">
        <f t="shared" si="568"/>
        <v>0</v>
      </c>
      <c r="BB275" s="70">
        <f t="shared" si="568"/>
        <v>0</v>
      </c>
      <c r="BC275" s="71">
        <f t="shared" si="568"/>
        <v>0</v>
      </c>
      <c r="BD275" s="67">
        <f t="shared" si="568"/>
        <v>0</v>
      </c>
      <c r="BE275" s="68">
        <f t="shared" si="568"/>
        <v>0</v>
      </c>
      <c r="BF275" s="66">
        <f t="shared" si="566"/>
        <v>6.9</v>
      </c>
      <c r="BG275" s="168">
        <f t="shared" si="566"/>
        <v>0</v>
      </c>
      <c r="BH275" s="67">
        <f t="shared" si="566"/>
        <v>0</v>
      </c>
      <c r="BI275" s="67">
        <f t="shared" si="566"/>
        <v>0</v>
      </c>
      <c r="BJ275" s="67">
        <f t="shared" si="566"/>
        <v>0</v>
      </c>
      <c r="BK275" s="67">
        <f t="shared" si="566"/>
        <v>0</v>
      </c>
      <c r="BL275" s="67">
        <f t="shared" si="566"/>
        <v>0</v>
      </c>
      <c r="BM275" s="69">
        <f t="shared" si="566"/>
        <v>0</v>
      </c>
      <c r="BN275" s="70">
        <f t="shared" si="566"/>
        <v>0</v>
      </c>
      <c r="BO275" s="70">
        <f t="shared" si="566"/>
        <v>0</v>
      </c>
      <c r="BP275" s="70">
        <f t="shared" si="566"/>
        <v>0</v>
      </c>
      <c r="BQ275" s="71">
        <f t="shared" si="566"/>
        <v>0</v>
      </c>
      <c r="BR275" s="68">
        <f t="shared" si="566"/>
        <v>0</v>
      </c>
      <c r="BS275" s="491"/>
      <c r="BT275" s="489"/>
      <c r="BU275" s="392"/>
      <c r="BV275" s="489"/>
      <c r="BW275" s="392"/>
      <c r="BX275" s="392"/>
      <c r="BY275" s="392"/>
      <c r="BZ275" s="489"/>
      <c r="CA275" s="392"/>
      <c r="CB275" s="392"/>
      <c r="CC275" s="392"/>
      <c r="CD275" s="401"/>
      <c r="CE275" s="409"/>
      <c r="CF275" s="169">
        <f t="shared" si="515"/>
        <v>1</v>
      </c>
      <c r="CG275" s="170">
        <f t="shared" si="516"/>
        <v>0</v>
      </c>
      <c r="CH275" s="170">
        <f t="shared" si="517"/>
        <v>0</v>
      </c>
      <c r="CI275" s="170">
        <f t="shared" si="518"/>
        <v>0</v>
      </c>
      <c r="CJ275" s="170">
        <f t="shared" si="519"/>
        <v>0</v>
      </c>
      <c r="CK275" s="170">
        <f t="shared" si="520"/>
        <v>0</v>
      </c>
      <c r="CL275" s="170">
        <f t="shared" si="521"/>
        <v>0</v>
      </c>
      <c r="CM275" s="170">
        <f t="shared" si="522"/>
        <v>0</v>
      </c>
      <c r="CN275" s="170">
        <f t="shared" si="523"/>
        <v>0</v>
      </c>
      <c r="CO275" s="170">
        <f t="shared" si="524"/>
        <v>0</v>
      </c>
      <c r="CP275" s="170">
        <f t="shared" si="525"/>
        <v>0</v>
      </c>
      <c r="CQ275" s="170">
        <f t="shared" si="526"/>
        <v>0</v>
      </c>
      <c r="CR275" s="170">
        <f t="shared" si="527"/>
        <v>0</v>
      </c>
      <c r="CS275" s="170">
        <f t="shared" si="528"/>
        <v>0</v>
      </c>
      <c r="CT275" s="75">
        <f t="shared" si="529"/>
        <v>0</v>
      </c>
      <c r="CU275" s="76">
        <f t="shared" si="530"/>
        <v>0</v>
      </c>
      <c r="CV275" s="76">
        <f t="shared" si="531"/>
        <v>0</v>
      </c>
      <c r="CW275" s="76">
        <f t="shared" si="532"/>
        <v>0</v>
      </c>
      <c r="CX275" s="76">
        <f t="shared" si="533"/>
        <v>0</v>
      </c>
      <c r="CY275" s="76">
        <f t="shared" si="534"/>
        <v>0</v>
      </c>
      <c r="CZ275" s="76">
        <f t="shared" si="535"/>
        <v>0</v>
      </c>
      <c r="DA275" s="76">
        <f t="shared" si="536"/>
        <v>0</v>
      </c>
      <c r="DB275" s="76">
        <f t="shared" si="537"/>
        <v>0</v>
      </c>
      <c r="DC275" s="76">
        <f t="shared" si="538"/>
        <v>0</v>
      </c>
      <c r="DD275" s="76">
        <f t="shared" si="539"/>
        <v>0</v>
      </c>
      <c r="DE275" s="77">
        <f t="shared" si="540"/>
        <v>0</v>
      </c>
      <c r="DF275" s="73">
        <f t="shared" si="542"/>
        <v>16</v>
      </c>
      <c r="DG275" s="67">
        <f t="shared" si="543"/>
        <v>20.66</v>
      </c>
      <c r="DH275" s="76">
        <f t="shared" si="544"/>
        <v>8</v>
      </c>
      <c r="DI275" s="67">
        <f t="shared" si="545"/>
        <v>33.049999999999997</v>
      </c>
      <c r="DJ275" s="202" t="str">
        <f>IF($D274="","",$D274)</f>
        <v>8</v>
      </c>
      <c r="DK275" s="493"/>
    </row>
    <row r="276" spans="1:115" ht="14.5" customHeight="1" x14ac:dyDescent="0.2">
      <c r="A276" s="390"/>
      <c r="B276" s="457"/>
      <c r="C276" s="79" t="s">
        <v>53</v>
      </c>
      <c r="D276" s="375"/>
      <c r="E276" s="387"/>
      <c r="F276" s="378"/>
      <c r="G276" s="508"/>
      <c r="H276" s="477"/>
      <c r="I276" s="171"/>
      <c r="J276" s="172"/>
      <c r="K276" s="81"/>
      <c r="L276" s="173"/>
      <c r="M276" s="174"/>
      <c r="N276" s="407"/>
      <c r="O276" s="86" t="str">
        <f>IF(OR(AE274="",AE275=""),"",IF(L276&gt;0,ROUND(IF(M276&gt;0,M276,IF(M274&gt;0,ROUND((M274*AE276)/AE274,IF(N274=0,2,IF(N274=0.1,1,0))),IF(M275&gt;0,ROUND((M275*AE276)/AE275,IF(N274=0,2,IF(N274=0.1,1,0))),IF(M276&gt;0,M276,0)))),2),""))</f>
        <v/>
      </c>
      <c r="P276" s="87" t="str">
        <f>IF(I275="Lay",O275*(L275/(L275-1))-O275,IF(I274="Lay",O274*(L274/(L274-1))-O274,IF(OR(L276="",O276=""),"",IF($C276="1/2W",O276/2+O276/2*L276,IF($C276="1/2L",O276/2,(O276*L276-O276)*(1-_xlfn.XLOOKUP(K276,'Fevereiro 2023 - Valor Real'!A3:A15,'Fevereiro 2023 - Valor Real'!C3:C15,0))+O276)))))</f>
        <v/>
      </c>
      <c r="Q276" s="54" t="str">
        <f>IF(K276="","",IF(_xlfn.XLOOKUP(K276,K$11:K266,$DJ$11:DJ266,0,,-1)=DJ276,_xlfn.XLOOKUP(K276,K$11:K266,Q$11:Q266,1,,-1)+1,1))</f>
        <v/>
      </c>
      <c r="R276" s="87" t="str">
        <f>IF(K276="","",_xlfn.XLOOKUP(K276,K$11:K266,R$11:R266,0,,-1)+IF($C276=" ",1,0))</f>
        <v/>
      </c>
      <c r="S276" s="404"/>
      <c r="T276" s="378"/>
      <c r="U276" s="378"/>
      <c r="V276" s="404"/>
      <c r="W276" s="378"/>
      <c r="X276" s="453"/>
      <c r="Y276" s="383"/>
      <c r="Z276" s="384"/>
      <c r="AA276" s="384"/>
      <c r="AB276" s="384"/>
      <c r="AC276" s="384"/>
      <c r="AD276" s="90"/>
      <c r="AE276" s="91" t="str">
        <f>IF(L276="","",(SUM(((L274-1)*(1-_xlfn.XLOOKUP(K274,'Fevereiro 2023 - Valor Real'!A3:A15,'Fevereiro 2023 - Valor Real'!C3:C15,0))+1),((L275-1)*(1-_xlfn.XLOOKUP(K275,'Fevereiro 2023 - Valor Real'!A3:A15,'Fevereiro 2023 - Valor Real'!C3:C15,0))+1),((L276-1)*(1-_xlfn.XLOOKUP(K276,'Fevereiro 2023 - Valor Real'!A3:A15,'Fevereiro 2023 - Valor Real'!C3:C15,0))+1))/((L276-1)*(1-_xlfn.XLOOKUP(K276,'Fevereiro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Real'!C3:C15,0))+1))/((L274-1)*(1-_xlfn.XLOOKUP(K274,'Fevereiro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Real'!C3:C15,0))+1))/((L275-1)*(1-_xlfn.XLOOKUP(K275,'Fevereiro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Real'!C3:C15,0))+1))/((L276-1)*(1-_xlfn.XLOOKUP(K276,'Fevereiro 2023 - Valor Real'!A3:A15,'Fevereiro 2023 - Valor Real'!C3:C15,0))+1)))</f>
        <v/>
      </c>
      <c r="AF276" s="66">
        <f t="shared" si="564"/>
        <v>0</v>
      </c>
      <c r="AG276" s="67">
        <f t="shared" si="564"/>
        <v>0</v>
      </c>
      <c r="AH276" s="67">
        <f t="shared" si="564"/>
        <v>0</v>
      </c>
      <c r="AI276" s="67">
        <f t="shared" si="564"/>
        <v>0</v>
      </c>
      <c r="AJ276" s="67">
        <f t="shared" si="564"/>
        <v>0</v>
      </c>
      <c r="AK276" s="67">
        <f t="shared" si="564"/>
        <v>0</v>
      </c>
      <c r="AL276" s="67">
        <f t="shared" si="564"/>
        <v>0</v>
      </c>
      <c r="AM276" s="67">
        <f t="shared" si="564"/>
        <v>0</v>
      </c>
      <c r="AN276" s="67">
        <f t="shared" si="564"/>
        <v>0</v>
      </c>
      <c r="AO276" s="67">
        <f t="shared" si="564"/>
        <v>0</v>
      </c>
      <c r="AP276" s="67">
        <f t="shared" si="564"/>
        <v>0</v>
      </c>
      <c r="AQ276" s="67">
        <f t="shared" si="564"/>
        <v>0</v>
      </c>
      <c r="AR276" s="68">
        <f t="shared" si="564"/>
        <v>0</v>
      </c>
      <c r="AS276" s="66">
        <f>IF(AND($B274=" ",$K276=AS$3),$O276,0)</f>
        <v>0</v>
      </c>
      <c r="AT276" s="67">
        <f>IF(AND($B274=" ",K276=AT$3),$O276,0)</f>
        <v>0</v>
      </c>
      <c r="AU276" s="67">
        <f t="shared" ref="AU276:BE276" si="569">IF(AND($B274=" ",$K276=AU$3),$O276,0)</f>
        <v>0</v>
      </c>
      <c r="AV276" s="67">
        <f t="shared" si="569"/>
        <v>0</v>
      </c>
      <c r="AW276" s="67">
        <f t="shared" si="569"/>
        <v>0</v>
      </c>
      <c r="AX276" s="67">
        <f t="shared" si="569"/>
        <v>0</v>
      </c>
      <c r="AY276" s="69">
        <f t="shared" si="569"/>
        <v>0</v>
      </c>
      <c r="AZ276" s="70">
        <f t="shared" si="569"/>
        <v>0</v>
      </c>
      <c r="BA276" s="70">
        <f t="shared" si="569"/>
        <v>0</v>
      </c>
      <c r="BB276" s="70">
        <f t="shared" si="569"/>
        <v>0</v>
      </c>
      <c r="BC276" s="71">
        <f t="shared" si="569"/>
        <v>0</v>
      </c>
      <c r="BD276" s="67">
        <f t="shared" si="569"/>
        <v>0</v>
      </c>
      <c r="BE276" s="68">
        <f t="shared" si="569"/>
        <v>0</v>
      </c>
      <c r="BF276" s="66">
        <f t="shared" si="566"/>
        <v>0</v>
      </c>
      <c r="BG276" s="168">
        <f t="shared" si="566"/>
        <v>0</v>
      </c>
      <c r="BH276" s="67">
        <f t="shared" si="566"/>
        <v>0</v>
      </c>
      <c r="BI276" s="67">
        <f t="shared" si="566"/>
        <v>0</v>
      </c>
      <c r="BJ276" s="67">
        <f t="shared" si="566"/>
        <v>0</v>
      </c>
      <c r="BK276" s="67">
        <f t="shared" si="566"/>
        <v>0</v>
      </c>
      <c r="BL276" s="67">
        <f t="shared" si="566"/>
        <v>0</v>
      </c>
      <c r="BM276" s="69">
        <f t="shared" si="566"/>
        <v>0</v>
      </c>
      <c r="BN276" s="70">
        <f t="shared" si="566"/>
        <v>0</v>
      </c>
      <c r="BO276" s="70">
        <f t="shared" si="566"/>
        <v>0</v>
      </c>
      <c r="BP276" s="70">
        <f t="shared" si="566"/>
        <v>0</v>
      </c>
      <c r="BQ276" s="71">
        <f t="shared" si="566"/>
        <v>0</v>
      </c>
      <c r="BR276" s="68">
        <f t="shared" si="566"/>
        <v>0</v>
      </c>
      <c r="BS276" s="491"/>
      <c r="BT276" s="489"/>
      <c r="BU276" s="392"/>
      <c r="BV276" s="489"/>
      <c r="BW276" s="392"/>
      <c r="BX276" s="392"/>
      <c r="BY276" s="392"/>
      <c r="BZ276" s="489"/>
      <c r="CA276" s="392"/>
      <c r="CB276" s="392"/>
      <c r="CC276" s="392"/>
      <c r="CD276" s="401"/>
      <c r="CE276" s="409"/>
      <c r="CF276" s="169">
        <f t="shared" si="515"/>
        <v>0</v>
      </c>
      <c r="CG276" s="170">
        <f t="shared" si="516"/>
        <v>0</v>
      </c>
      <c r="CH276" s="170">
        <f t="shared" si="517"/>
        <v>0</v>
      </c>
      <c r="CI276" s="170">
        <f t="shared" si="518"/>
        <v>0</v>
      </c>
      <c r="CJ276" s="170">
        <f t="shared" si="519"/>
        <v>0</v>
      </c>
      <c r="CK276" s="170">
        <f t="shared" si="520"/>
        <v>0</v>
      </c>
      <c r="CL276" s="170">
        <f t="shared" si="521"/>
        <v>0</v>
      </c>
      <c r="CM276" s="170">
        <f t="shared" si="522"/>
        <v>0</v>
      </c>
      <c r="CN276" s="170">
        <f t="shared" si="523"/>
        <v>0</v>
      </c>
      <c r="CO276" s="170">
        <f t="shared" si="524"/>
        <v>0</v>
      </c>
      <c r="CP276" s="170">
        <f t="shared" si="525"/>
        <v>0</v>
      </c>
      <c r="CQ276" s="170">
        <f t="shared" si="526"/>
        <v>0</v>
      </c>
      <c r="CR276" s="170">
        <f t="shared" si="527"/>
        <v>0</v>
      </c>
      <c r="CS276" s="170">
        <f t="shared" si="528"/>
        <v>0</v>
      </c>
      <c r="CT276" s="75">
        <f t="shared" si="529"/>
        <v>0</v>
      </c>
      <c r="CU276" s="76">
        <f t="shared" si="530"/>
        <v>0</v>
      </c>
      <c r="CV276" s="76">
        <f t="shared" si="531"/>
        <v>0</v>
      </c>
      <c r="CW276" s="76">
        <f t="shared" si="532"/>
        <v>0</v>
      </c>
      <c r="CX276" s="76">
        <f t="shared" si="533"/>
        <v>0</v>
      </c>
      <c r="CY276" s="76">
        <f t="shared" si="534"/>
        <v>0</v>
      </c>
      <c r="CZ276" s="76">
        <f t="shared" si="535"/>
        <v>0</v>
      </c>
      <c r="DA276" s="76">
        <f t="shared" si="536"/>
        <v>0</v>
      </c>
      <c r="DB276" s="76">
        <f t="shared" si="537"/>
        <v>0</v>
      </c>
      <c r="DC276" s="76">
        <f t="shared" si="538"/>
        <v>0</v>
      </c>
      <c r="DD276" s="76">
        <f t="shared" si="539"/>
        <v>0</v>
      </c>
      <c r="DE276" s="77">
        <f t="shared" si="540"/>
        <v>0</v>
      </c>
      <c r="DF276" s="73">
        <f t="shared" si="542"/>
        <v>16</v>
      </c>
      <c r="DG276" s="67">
        <f t="shared" si="543"/>
        <v>20.66</v>
      </c>
      <c r="DH276" s="76">
        <f t="shared" si="544"/>
        <v>8</v>
      </c>
      <c r="DI276" s="67">
        <f t="shared" si="545"/>
        <v>33.049999999999997</v>
      </c>
      <c r="DJ276" s="202" t="str">
        <f>IF($D274="","",$D274)</f>
        <v>8</v>
      </c>
      <c r="DK276" s="493"/>
    </row>
    <row r="277" spans="1:115" ht="14.5" customHeight="1" x14ac:dyDescent="0.2">
      <c r="A277" s="459">
        <f>$A274+1</f>
        <v>92</v>
      </c>
      <c r="B277" s="507" t="str">
        <f>IF(OR(C277="W",C278="W",C279="W",C277="1/2W",C278="1/2W",C279="1/2W",C277="1/2L",C278="1/2L",C279="1/2L"),"OK",IF(OR(C277="L",C278="L",C279="L"),"LOSS",IF(OR(C277="X",C278="X",C279="X"),"Anulado"," ")))</f>
        <v>OK</v>
      </c>
      <c r="C277" s="93" t="s">
        <v>49</v>
      </c>
      <c r="D277" s="468" t="str">
        <f>IF(G277="","",$D274)</f>
        <v>8</v>
      </c>
      <c r="E277" s="485" t="str">
        <f>IF(G277=""," ","– "&amp;COUNTIF(D$4:D279,$D277))</f>
        <v>– 7</v>
      </c>
      <c r="F277" s="509" t="str">
        <f ca="1">IF(G277="","",IF(OR(AND($C277&lt;&gt;" ",$C278=" "),AND($C278&lt;&gt;" ",$C277=" "),AND(L279&gt;0,OR(AND($C279&lt;&gt;" ",OR($C277=" ",$C278=" ")),AND($C279=" ",OR($C277&lt;&gt;" ",$C278&lt;&gt;" "))))),IF(SUM(F$4:F276)=0,1,LARGE(F$4:F276,1)+1),IF(MONTH(G277)=MONTH(TODAY()),IF(AND(DAY(G277)&lt;DAY(TODAY()),$B277=" "),IF(SUM(F$4:F276)=0,1,LARGE(F$4:F276,1)+1),IF($B277=" ",IF(AND(DAY(G277)=DAY(TODAY()),HOUR(G277)&lt;=HOUR(NOW())+1),IF(AND(HOUR(G277)+2&lt;=HOUR(NOW()),DAY(G277)&lt;=DAY(TODAY()),MINUTE(G277)&lt;=MINUTE(NOW())),IF(SUM(F$4:F276)=0,1,LARGE(F$4:F276,1)+1),IF(OR(MINUTE(G277)&lt;=MINUTE(NOW()),HOUR(G277)&lt;=HOUR(NOW())),"!!!","")),""),"")),"")))</f>
        <v/>
      </c>
      <c r="G277" s="482">
        <v>44994.614583333336</v>
      </c>
      <c r="H277" s="475" t="s">
        <v>140</v>
      </c>
      <c r="I277" s="94" t="s">
        <v>51</v>
      </c>
      <c r="J277" s="95">
        <v>2</v>
      </c>
      <c r="K277" s="96" t="s">
        <v>40</v>
      </c>
      <c r="L277" s="97">
        <v>2.11</v>
      </c>
      <c r="M277" s="98">
        <v>12.16</v>
      </c>
      <c r="N277" s="478">
        <v>0</v>
      </c>
      <c r="O277" s="99">
        <f>IF(OR(AE277="",AE278=""),"",ROUND(IF(L279&gt;0,IF(M277&gt;0,M277,IF(M278&gt;0,ROUND((M278*AE277)/AE278,IF(N277=0,2,IF(N277=0.1,1,0))),ROUND((M279*AE277)/AE279,IF(N277=0,2,IF(N277=0.1,1,0))))),IF(M277&gt;0,M277,ROUND((M278*AE277)/AE278,IF(N277=0,2,IF(N277=0.1,1,0))))),2))</f>
        <v>12.16</v>
      </c>
      <c r="P277" s="100">
        <f>IF(OR(L277="",O277=""),"",IF($C277="1/2W",O277/2+O277/2*L277,IF($C277="1/2L",O277/2,IF(I277="Lay",(O277*(L277/(L277-1))-O277)*(1-_xlfn.XLOOKUP(K277,'Fevereiro 2023 - Valor Real'!A3:A15,'Fevereiro 2023 - Valor Real'!C3:C15,0))+O277,(O277*L277-O277)*(1-_xlfn.XLOOKUP(K277,'Fevereiro 2023 - Valor Real'!A3:A15,'Fevereiro 2023 - Valor Real'!C3:C15,0))+O277))))</f>
        <v>25.657599999999999</v>
      </c>
      <c r="Q277" s="101">
        <f>IF(K277="","",IF(_xlfn.XLOOKUP(K277,K$6:K272,$DJ$6:DJ272,0,,-1)=DJ277,_xlfn.XLOOKUP(K277,K$6:K272,Q$6:Q272,1,,-1)+1,1))</f>
        <v>3</v>
      </c>
      <c r="R277" s="102">
        <f>IF(K277="","",_xlfn.XLOOKUP(K277,K$6:K272,R$6:R272,0,,-1)+IF($C277=" ",1,0))</f>
        <v>0</v>
      </c>
      <c r="S277" s="474">
        <f>IF($B277="Anulado",0,ROUND(IF(OR($B277="LOSS",$B277="OK"),IF(OR($C277="W",$C277="1/2W",$C277="1/2L"),P277-O277,IF($C277="L",-O277,0))+IF(OR($C278="W",$C278="1/2W",$C278="1/2L"),P278-O278,IF($C278="L",-O278,0))+IF(OR($C279="W",$C279="1/2W",$C279="1/2L"),P279-O279,IF($C279="L",-O279,0)),IF(AND(OR($C277="W",$C277="1/2W",$C277="1/2L"),C278="W"),P277+P278-SUM(O277:O279)+_xlfn.XLOOKUP("X",C277:C279,O277:O279,0),IF(AND(C277=TRUE,C279="W"),P277+P279-SUM(O277:O279),IF(AND(C278="W",C279="W"),P278+P279-SUM(O277:O279)+_xlfn.XLOOKUP("X",C277:C279,O277:O279,0),IF(L279&gt;0,IF(OR($C277="W",$C277="1/2W",$C277="1/2L"),P277-SUM(O277:O279)+_xlfn.XLOOKUP("X",C277:C279,O277:O279,0),IF(OR($C277="W",$C277="1/2W",$C277="1/2L"),P278-SUM(O277:O279)+_xlfn.XLOOKUP("X",C277:C279,O277:O279,0),IF(OR($C277="W",$C277="1/2W",$C277="1/2L"),P279-SUM(O277:O279)+_xlfn.XLOOKUP("X",C277:C279,O277:O279,0),IF(SUM(P277:P279)/3-SUM(O277:O279)+_xlfn.XLOOKUP("X",C277:C279,O277:O279,0)&gt;0,SUM(P277:P279)/3-SUM(O277:O279)+_xlfn.XLOOKUP("X",C277:C279,O277:O279,0),LARGE(P277:P279,1)-SUM(O277:O279))))),IF(OR($C277="W",$C277="1/2W",$C277="1/2L"),P277-SUM(O277:O278)+_xlfn.XLOOKUP("X",C277:C279,O277:O279,0),IF(OR($C277="W",$C277="1/2W",$C277="1/2L"),P278-SUM(O277:O278)+_xlfn.XLOOKUP("X",C277:C279,O277:O279,0),SUM(P277:P278)/2-SUM(O277:O278)+_xlfn.XLOOKUP("X",C277:C279,O277:O279,0)))))))),2))</f>
        <v>1.95</v>
      </c>
      <c r="T277" s="458">
        <f>IF(S277=0,0,S277/SUM(O277:O279))</f>
        <v>8.2243778996204123E-2</v>
      </c>
      <c r="U277" s="470">
        <f>IF($D277=$D274,IF(OR($B277="LOSS",$B277="OK",$B277="Anulada"),S277,0)+U274,IF(OR($B277="LOSS",$B277="OK",$B277="Anulada"),S277,0))</f>
        <v>24.740000000000002</v>
      </c>
      <c r="V277" s="470">
        <f>IF($D277="",0,IF($D277=$D274,IF($B277=" ",IF(I279="",IF(OR(AND(I277="DNB1",I278="DNB2"),AND(OR(I277="DNB1",I277="DNB2"),J278=0),AND(OR(I278="DNB1",I278="DNB2"),J277=0),AND(I277="DNB2",I278="DNB1"),AND(IF(J277=0,(J277+1)/ROUND(J277+1,0),J277/ROUND(J277,0))=1,IF(J278=0,(J278+1)/ROUND(IF(J278="",0,J278)+1,0),IF(J278="",0,J278)/ROUND(IF(J278="",1,J278),0))=1,OR(J277&lt;&gt;""),J278&lt;&gt;"")),0,IF(S277&lt;0,IF(I279="",SMALL(P277:P278,1)-SUM(O277:O278),0),SMALL(P277:P278,1)-SUM(O277:O278))),IF(S277&lt;0,IF(I279="",SMALL(P277:P279,1)-SUM(O277:O279),0),LARGE(P277:P279,1)-SUM(O277:O279))),S277)+V274,IF(I279="",IF(OR(AND(I277="DNB1",I278="DNB2"),AND(OR(I277="DNB1",I277="DNB2"),J278=0),AND(OR(I278="DNB1",I278="DNB2"),J277=0),AND(I277="DNB2",I278="DNB1"),AND(IF(J277=0,(J277+1)/ROUND(J277+1,0),J277/ROUND(J277,0))=1,IF(J278=0,(IF(J278="",0,J278)+1)/ROUND(IF(J278="",0,J278)+1,0),IF(J278="",0,J278)/ROUND(IF(J278="",0,J278)+1,0))=1,OR(J277&lt;&gt;""),J278&lt;&gt;"")),0,IF(S277&lt;0,IF(I279="",SMALL(P277:P278,1)-SUM(O277:O278),0),SMALL(P277:P279,1)-SUM(O277:O279))),IF(S277&lt;0,IF(I279="",SMALL(P277:P279,1)-SUM(O277:O279),0),LARGE(P277:P279,1)-SUM(O277:O279)))))</f>
        <v>24.895000000000003</v>
      </c>
      <c r="W277" s="470">
        <f>IF($D277=$D274,IF(S277&lt;0,IF(I279="",S277,0),S277)+W274,S277)</f>
        <v>24.740000000000002</v>
      </c>
      <c r="X277" s="480" t="str">
        <f>IF(OR(SUM(R277:R279)=0,V277=W277),ROUND(IF(W277=0,0,W277/Y277)*100,2)&amp;"%",ROUND(IF(V277=0,0,V277/Y277)*100,2)&amp;"% a "&amp;ROUND(IF(W277=0,0,W277/Y277)*100,2)&amp;"%")</f>
        <v>6,74%</v>
      </c>
      <c r="Y277" s="471">
        <f>IF($D277=$D274,Y274+SUM(O277:O279),SUM(O277:O279))</f>
        <v>366.83</v>
      </c>
      <c r="Z277" s="470">
        <f>IF($B277=" ",SUM(O277:O279),0)+Z274</f>
        <v>0</v>
      </c>
      <c r="AA277" s="470">
        <f>IF(G277="","",IF($B277="Anulado",LARGE(P277:P279,1)-SUM(O277:O279)+AA274,AA274))</f>
        <v>1.4607999999999972</v>
      </c>
      <c r="AB277" s="470">
        <f>IF($D277="","",AB274+S277)</f>
        <v>440.85999999999996</v>
      </c>
      <c r="AC277" s="472">
        <f ca="1">IF($D277="","",IF($B277=" ",IF(DAY(G277)=DAY(TODAY()),1+AC274,0+AC274),0+AC274))</f>
        <v>0</v>
      </c>
      <c r="AD277" s="103">
        <f>(((L278/(L278-1)-1)*(1-_xlfn.XLOOKUP(K278,'Fevereiro 2023 - Valor Real'!A3:A15,'Fevereiro 2023 - Valor Real'!C3:C15,0))+1))/(((L277-1)*(1-_xlfn.XLOOKUP(K277,'Fevereiro 2023 - Valor Real'!A3:A15,'Fevereiro 2023 - Valor Real'!C3:C15,0))+1)+((L278/(L278-1)-1)*(1-_xlfn.XLOOKUP(K278,'Fevereiro 2023 - Valor Real'!A3:A15,'Fevereiro 2023 - Valor Real'!C3:C15,0))+1))</f>
        <v>0.5160550458715597</v>
      </c>
      <c r="AE277" s="104">
        <f>IF(L277="","",IF(L279&gt;0,(SUM(((L277-1)*(1-_xlfn.XLOOKUP(K277,'Fevereiro 2023 - Valor Real'!A3:A15,'Fevereiro 2023 - Valor Real'!C3:C15,0))+1),((L278-1)*(1-_xlfn.XLOOKUP(K278,'Fevereiro 2023 - Valor Real'!A3:A15,'Fevereiro 2023 - Valor Real'!C3:C15,0))+1),((L279-1)*(1-_xlfn.XLOOKUP(K279,'Fevereiro 2023 - Valor Real'!A3:A15,'Fevereiro 2023 - Valor Real'!C3:C15,0))+1))/((L277-1)*(1-_xlfn.XLOOKUP(K277,'Fevereiro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Real'!C3:C15,0))+1))/((L277-1)*(1-_xlfn.XLOOKUP(K277,'Fevereiro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Real'!C3:C15,0))+1))/((L278-1)*(1-_xlfn.XLOOKUP(K278,'Fevereiro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Real'!C3:C15,0))+1))/((L279-1)*(1-_xlfn.XLOOKUP(K279,'Fevereiro 2023 - Valor Real'!A3:A15,'Fevereiro 2023 - Valor Real'!C3:C15,0))+1)),IF(I277="Lay",IF(I278="Lay",((L278/(L278-1)-1)*(1-_xlfn.XLOOKUP(K278,'Fevereiro 2023 - Valor Real'!A3:A15,'Fevereiro 2023 - Valor Real'!C3:C15,0))+1)/(((L278/(L278-1)-1)*(1-_xlfn.XLOOKUP(K278,'Fevereiro 2023 - Valor Real'!A3:A15,'Fevereiro 2023 - Valor Real'!C3:C15,0))+1)+((L277/(L277-1)-1)*(1-_xlfn.XLOOKUP(K277,'Fevereiro 2023 - Valor Real'!A3:A15,'Fevereiro 2023 - Valor Real'!C3:C15,0))+1)),((L278-1)*(1-_xlfn.XLOOKUP(K278,'Fevereiro 2023 - Valor Real'!A3:A15,'Fevereiro 2023 - Valor Real'!C3:C15,0))+1)/(((L278-1)*(1-_xlfn.XLOOKUP(K278,'Fevereiro 2023 - Valor Real'!A3:A15,'Fevereiro 2023 - Valor Real'!C3:C15,0))+1)+((L277/(L277-1)-1)*(1-_xlfn.XLOOKUP(K277,'Fevereiro 2023 - Valor Real'!A3:A15,'Fevereiro 2023 - Valor Real'!C3:C15,0))+1))),IF(I278="Lay",(((L278/(L278-1)-1)*(1-_xlfn.XLOOKUP(K278,'Fevereiro 2023 - Valor Real'!A3:A15,'Fevereiro 2023 - Valor Real'!C3:C15,0))+1))/(((L277-1)*(1-_xlfn.XLOOKUP(K277,'Fevereiro 2023 - Valor Real'!A3:A15,'Fevereiro 2023 - Valor Real'!C3:C15,0))+1)+((L278/(L278-1)-1)*(1-_xlfn.XLOOKUP(K278,'Fevereiro 2023 - Valor Real'!A3:A15,'Fevereiro 2023 - Valor Real'!C3:C15,0))+1)),((L278-1)*(1-_xlfn.XLOOKUP(K278,'Fevereiro 2023 - Valor Real'!A3:A15,'Fevereiro 2023 - Valor Real'!C3:C15,0))+1)/(((L278-1)*(1-_xlfn.XLOOKUP(K278,'Fevereiro 2023 - Valor Real'!A3:A15,'Fevereiro 2023 - Valor Real'!C3:C15,0))+1)+((L277-1)*(1-_xlfn.XLOOKUP(K277,'Fevereiro 2023 - Valor Real'!A3:A15,'Fevereiro 2023 - Valor Real'!C3:C15,0))+1))))))</f>
        <v>0.34775888717156112</v>
      </c>
      <c r="AF277" s="105">
        <f t="shared" si="564"/>
        <v>0</v>
      </c>
      <c r="AG277" s="106">
        <f t="shared" si="564"/>
        <v>0</v>
      </c>
      <c r="AH277" s="106">
        <f t="shared" si="564"/>
        <v>0</v>
      </c>
      <c r="AI277" s="106">
        <f t="shared" si="564"/>
        <v>0</v>
      </c>
      <c r="AJ277" s="106">
        <f t="shared" si="564"/>
        <v>0</v>
      </c>
      <c r="AK277" s="106">
        <f t="shared" si="564"/>
        <v>0</v>
      </c>
      <c r="AL277" s="106">
        <f t="shared" si="564"/>
        <v>0</v>
      </c>
      <c r="AM277" s="106">
        <f t="shared" si="564"/>
        <v>0</v>
      </c>
      <c r="AN277" s="106">
        <f t="shared" si="564"/>
        <v>0</v>
      </c>
      <c r="AO277" s="106">
        <f t="shared" si="564"/>
        <v>0</v>
      </c>
      <c r="AP277" s="106">
        <f t="shared" si="564"/>
        <v>0</v>
      </c>
      <c r="AQ277" s="106">
        <f t="shared" si="564"/>
        <v>0</v>
      </c>
      <c r="AR277" s="107">
        <f t="shared" si="564"/>
        <v>0</v>
      </c>
      <c r="AS277" s="105">
        <f t="shared" ref="AS277:BE277" si="570">IF(AND($B277=" ",$K277=AS$3),$O277,0)</f>
        <v>0</v>
      </c>
      <c r="AT277" s="106">
        <f t="shared" si="570"/>
        <v>0</v>
      </c>
      <c r="AU277" s="106">
        <f t="shared" si="570"/>
        <v>0</v>
      </c>
      <c r="AV277" s="106">
        <f t="shared" si="570"/>
        <v>0</v>
      </c>
      <c r="AW277" s="106">
        <f t="shared" si="570"/>
        <v>0</v>
      </c>
      <c r="AX277" s="106">
        <f t="shared" si="570"/>
        <v>0</v>
      </c>
      <c r="AY277" s="108">
        <f t="shared" si="570"/>
        <v>0</v>
      </c>
      <c r="AZ277" s="109">
        <f t="shared" si="570"/>
        <v>0</v>
      </c>
      <c r="BA277" s="109">
        <f t="shared" si="570"/>
        <v>0</v>
      </c>
      <c r="BB277" s="109">
        <f t="shared" si="570"/>
        <v>0</v>
      </c>
      <c r="BC277" s="110">
        <f t="shared" si="570"/>
        <v>0</v>
      </c>
      <c r="BD277" s="106">
        <f t="shared" si="570"/>
        <v>0</v>
      </c>
      <c r="BE277" s="107">
        <f t="shared" si="570"/>
        <v>0</v>
      </c>
      <c r="BF277" s="111">
        <f t="shared" si="566"/>
        <v>0</v>
      </c>
      <c r="BG277" s="106">
        <f t="shared" si="566"/>
        <v>0</v>
      </c>
      <c r="BH277" s="106">
        <f t="shared" si="566"/>
        <v>0</v>
      </c>
      <c r="BI277" s="106">
        <f t="shared" si="566"/>
        <v>0</v>
      </c>
      <c r="BJ277" s="106">
        <f t="shared" si="566"/>
        <v>0</v>
      </c>
      <c r="BK277" s="106">
        <f t="shared" si="566"/>
        <v>0</v>
      </c>
      <c r="BL277" s="106">
        <f t="shared" si="566"/>
        <v>0</v>
      </c>
      <c r="BM277" s="108">
        <f t="shared" si="566"/>
        <v>0</v>
      </c>
      <c r="BN277" s="109">
        <f t="shared" si="566"/>
        <v>0</v>
      </c>
      <c r="BO277" s="109">
        <f t="shared" si="566"/>
        <v>0</v>
      </c>
      <c r="BP277" s="109">
        <f t="shared" si="566"/>
        <v>0</v>
      </c>
      <c r="BQ277" s="110">
        <f t="shared" si="566"/>
        <v>0</v>
      </c>
      <c r="BR277" s="107">
        <f t="shared" si="566"/>
        <v>0</v>
      </c>
      <c r="BS277" s="463">
        <f>IF($B277="LOSS",IF(AND($K277=BS$3,$C277="L"),-$O277,0)+IF(AND($K278=BS$3,$C278="L"),-$O278,0)+IF(AND($K279=BS$3,$C279="L"),-$O279,0),IF(OR(AND($K277=BS$3,OR($C277="W",$C277="1/2W")),AND($K278=BS$3,OR($C278="W",$C278="1/2W")),AND($K279=BS$3,OR($C279="W",$C279="1/2W"))),$S277,0))</f>
        <v>1.95</v>
      </c>
      <c r="BT277" s="462">
        <f>IF($B277="LOSS",IF(AND($K277=BT$3,$C277="L"),-$O277,0)+IF(AND($K278=BT$3,$C278="L"),-$O278,0)+IF(AND($K278=BT$3,$C279="L"),-$O279,0),IF(OR(AND($K278=BT$3,OR($C277="W",$C277="1/2W")),AND($K278=BT$3,OR($C278="W",$C278="1/2W")),AND($K278=BT$3,OR($C279="W",$C279="1/2W"))),$S277,0))</f>
        <v>0</v>
      </c>
      <c r="BU277" s="462">
        <f>IF($B277="LOSS",IF(AND($K277=BU$3,$C277="L"),-$O277,0)+IF(AND($K278=BU$3,$C278="L"),-$O278,0)+IF(AND($K278=BU$3,$C279="L"),-$O279,0),IF(OR(AND($K278=BU$3,OR($C277="W",$C277="1/2W")),AND($K278=BU$3,OR($C278="W",$C278="1/2W")),AND($K278=BU$3,OR($C279="W",$C279="1/2W"))),$S277,0))</f>
        <v>0</v>
      </c>
      <c r="BV277" s="462">
        <f t="shared" ref="BV277:CE277" si="571">IF($B277="LOSS",IF(AND($K277=BV$3,$C277="L"),-$O277,0)+IF(AND($K278=BV$3,$C278="L"),-$O278,0)+IF(AND($K279=BV$3,$C279="L"),-$O279,0),IF(OR(AND($K277=BV$3,OR($C277="W",$C277="1/2W")),AND($K278=BV$3,OR($C278="W",$C278="1/2W")),AND($K279=BV$3,OR($C279="W",$C279="1/2W"))),$S277,0))</f>
        <v>0</v>
      </c>
      <c r="BW277" s="462">
        <f t="shared" si="571"/>
        <v>0</v>
      </c>
      <c r="BX277" s="462">
        <f t="shared" si="571"/>
        <v>0</v>
      </c>
      <c r="BY277" s="462">
        <f t="shared" si="571"/>
        <v>0</v>
      </c>
      <c r="BZ277" s="460">
        <f t="shared" si="571"/>
        <v>0</v>
      </c>
      <c r="CA277" s="460">
        <f t="shared" si="571"/>
        <v>0</v>
      </c>
      <c r="CB277" s="460">
        <f t="shared" si="571"/>
        <v>0</v>
      </c>
      <c r="CC277" s="460">
        <f t="shared" si="571"/>
        <v>0</v>
      </c>
      <c r="CD277" s="473">
        <f t="shared" si="571"/>
        <v>0</v>
      </c>
      <c r="CE277" s="479">
        <f t="shared" si="571"/>
        <v>0</v>
      </c>
      <c r="CF277" s="113">
        <f t="shared" si="515"/>
        <v>0</v>
      </c>
      <c r="CG277" s="114">
        <f t="shared" si="516"/>
        <v>0</v>
      </c>
      <c r="CH277" s="114">
        <f t="shared" si="517"/>
        <v>0</v>
      </c>
      <c r="CI277" s="114">
        <f t="shared" si="518"/>
        <v>0</v>
      </c>
      <c r="CJ277" s="114">
        <f t="shared" si="519"/>
        <v>0</v>
      </c>
      <c r="CK277" s="114">
        <f t="shared" si="520"/>
        <v>0</v>
      </c>
      <c r="CL277" s="114">
        <f t="shared" si="521"/>
        <v>0</v>
      </c>
      <c r="CM277" s="114">
        <f t="shared" si="522"/>
        <v>0</v>
      </c>
      <c r="CN277" s="114">
        <f t="shared" si="523"/>
        <v>0</v>
      </c>
      <c r="CO277" s="114">
        <f t="shared" si="524"/>
        <v>0</v>
      </c>
      <c r="CP277" s="114">
        <f t="shared" si="525"/>
        <v>0</v>
      </c>
      <c r="CQ277" s="114">
        <f t="shared" si="526"/>
        <v>0</v>
      </c>
      <c r="CR277" s="114">
        <f t="shared" si="527"/>
        <v>0</v>
      </c>
      <c r="CS277" s="114">
        <f t="shared" si="528"/>
        <v>0</v>
      </c>
      <c r="CT277" s="115">
        <f t="shared" si="529"/>
        <v>0</v>
      </c>
      <c r="CU277" s="116">
        <f t="shared" si="530"/>
        <v>0</v>
      </c>
      <c r="CV277" s="116">
        <f t="shared" si="531"/>
        <v>0</v>
      </c>
      <c r="CW277" s="116">
        <f t="shared" si="532"/>
        <v>0</v>
      </c>
      <c r="CX277" s="116">
        <f t="shared" si="533"/>
        <v>0</v>
      </c>
      <c r="CY277" s="116">
        <f t="shared" si="534"/>
        <v>0</v>
      </c>
      <c r="CZ277" s="116">
        <f t="shared" si="535"/>
        <v>0</v>
      </c>
      <c r="DA277" s="116">
        <f t="shared" si="536"/>
        <v>0</v>
      </c>
      <c r="DB277" s="116">
        <f t="shared" si="537"/>
        <v>0</v>
      </c>
      <c r="DC277" s="116">
        <f t="shared" si="538"/>
        <v>0</v>
      </c>
      <c r="DD277" s="116">
        <f t="shared" si="539"/>
        <v>0</v>
      </c>
      <c r="DE277" s="117">
        <f t="shared" si="540"/>
        <v>0</v>
      </c>
      <c r="DF277" s="118">
        <f t="shared" si="542"/>
        <v>16</v>
      </c>
      <c r="DG277" s="106">
        <f t="shared" si="543"/>
        <v>20.66</v>
      </c>
      <c r="DH277" s="116">
        <f t="shared" si="544"/>
        <v>8</v>
      </c>
      <c r="DI277" s="106">
        <f t="shared" si="545"/>
        <v>33.049999999999997</v>
      </c>
      <c r="DJ277" s="201" t="str">
        <f>IF($D277="","",$D277)</f>
        <v>8</v>
      </c>
      <c r="DK277" s="465">
        <f>IF(AND($B277=" ",$D277&lt;&gt;""),1,0)</f>
        <v>0</v>
      </c>
    </row>
    <row r="278" spans="1:115" ht="14.5" customHeight="1" x14ac:dyDescent="0.2">
      <c r="A278" s="389"/>
      <c r="B278" s="456"/>
      <c r="C278" s="120" t="s">
        <v>54</v>
      </c>
      <c r="D278" s="374"/>
      <c r="E278" s="386"/>
      <c r="F278" s="377"/>
      <c r="G278" s="483"/>
      <c r="H278" s="476"/>
      <c r="I278" s="121" t="s">
        <v>52</v>
      </c>
      <c r="J278" s="122">
        <v>2.5</v>
      </c>
      <c r="K278" s="123" t="s">
        <v>36</v>
      </c>
      <c r="L278" s="124">
        <v>1.8</v>
      </c>
      <c r="M278" s="125">
        <v>7.5</v>
      </c>
      <c r="N278" s="406"/>
      <c r="O278" s="126">
        <f>IF(OR(AE277="",AE278=""),"",ROUND(IF(L279&gt;0,IF(M278&gt;0,M278,IF(M277&gt;0,IF(N277=TRUE,ROUND((M277*AE278)/AE277,0),(M277*AE278)/AE277),IF(M278&gt;0,ROUND(M278,IF(N277=0,2,IF(N277=0.1,1,0))),IF(M279&gt;0,ROUND(O279*AE278/AE279,IF(N277=0,2,IF(N277=0.1,1,0))),0)))),IF(M278&gt;0,M278,ROUND((M277*AE278)/AE277,IF(N277=0,2,IF(N277=0.1,1,0))))),2))</f>
        <v>7.5</v>
      </c>
      <c r="P278" s="127">
        <f>IF(OR(L278="",O278=""),"",IF($C278="1/2W",O278/2+O278/2*L278,IF($C278="1/2L",O278/2,IF(I278="Lay",((O278*(L278/(L278-1)))-O278)*(1-_xlfn.XLOOKUP(K278,'Fevereiro 2023 - Valor Real'!A3:A15,'Fevereiro 2023 - Valor Real'!C3:C15,0))+O278,(O278*L278-O278)*(1-_xlfn.XLOOKUP(K278,'Fevereiro 2023 - Valor Real'!A3:A15,'Fevereiro 2023 - Valor Real'!C3:C15,0))+O278))))</f>
        <v>13.5</v>
      </c>
      <c r="Q278" s="128">
        <f>IF(K278="","",IF(_xlfn.XLOOKUP(K278,K$7:K272,$DJ$7:DJ272,0,,-1)=DJ278,_xlfn.XLOOKUP(K278,K$7:K272,Q$7:Q272,1,,-1)+1,1))</f>
        <v>2</v>
      </c>
      <c r="R278" s="129">
        <f>IF(K278="","",_xlfn.XLOOKUP(K278,K$7:K272,R$7:R272,0,,-1)+IF($C278=" ",1,0))</f>
        <v>0</v>
      </c>
      <c r="S278" s="403"/>
      <c r="T278" s="380"/>
      <c r="U278" s="380"/>
      <c r="V278" s="481"/>
      <c r="W278" s="380"/>
      <c r="X278" s="452"/>
      <c r="Y278" s="383"/>
      <c r="Z278" s="384"/>
      <c r="AA278" s="384"/>
      <c r="AB278" s="384"/>
      <c r="AC278" s="384"/>
      <c r="AD278" s="130">
        <f>(((L278/(L278-1)-1)*(1-_xlfn.XLOOKUP(K278,'Fevereiro 2023 - Valor Real'!A3:A15,'Fevereiro 2023 - Valor Real'!C3:C15,0))+1))</f>
        <v>2.25</v>
      </c>
      <c r="AE278" s="131">
        <f>IF(L278="","",IF(L279&gt;0,(SUM(((L277-1)*(1-_xlfn.XLOOKUP(K277,'Fevereiro 2023 - Valor Real'!A3:A15,'Fevereiro 2023 - Valor Real'!C3:C15,0))+1),((L278-1)*(1-_xlfn.XLOOKUP(K278,'Fevereiro 2023 - Valor Real'!A3:A15,'Fevereiro 2023 - Valor Real'!C3:C15,0))+1),((L279-1)*(1-_xlfn.XLOOKUP(K279,'Fevereiro 2023 - Valor Real'!A3:A15,'Fevereiro 2023 - Valor Real'!C3:C15,0))+1))/((L278-1)*(1-_xlfn.XLOOKUP(K278,'Fevereiro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Real'!C3:C15,0))+1))/((L277-1)*(1-_xlfn.XLOOKUP(K277,'Fevereiro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Real'!C3:C15,0))+1))/((L278-1)*(1-_xlfn.XLOOKUP(K278,'Fevereiro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Real'!C3:C15,0))+1))/((L279-1)*(1-_xlfn.XLOOKUP(K279,'Fevereiro 2023 - Valor Real'!A3:A15,'Fevereiro 2023 - Valor Real'!C3:C15,0))+1)),IF(I278="Lay",IF(I277="Lay",((L277/(L277-1)-1)*(1-_xlfn.XLOOKUP(K277,'Fevereiro 2023 - Valor Real'!A3:A15,'Fevereiro 2023 - Valor Real'!C3:C15,0))+1)/(((L277/(L277-1)-1)*(1-_xlfn.XLOOKUP(K277,'Fevereiro 2023 - Valor Real'!A3:A15,'Fevereiro 2023 - Valor Real'!C3:C15,0))+1)+((L278/(L278-1)-1)*(1-_xlfn.XLOOKUP(K278,'Fevereiro 2023 - Valor Real'!A3:A15,'Fevereiro 2023 - Valor Real'!C3:C15,0))+1)),((L277-1)*(1-_xlfn.XLOOKUP(K277,'Fevereiro 2023 - Valor Real'!A3:A15,'Fevereiro 2023 - Valor Real'!C3:C15,0))+1)/(((L277-1)*(1-_xlfn.XLOOKUP(K277,'Fevereiro 2023 - Valor Real'!A3:A15,'Fevereiro 2023 - Valor Real'!C3:C15,0))+1)+((L278/(L278-1)-1)*(1-_xlfn.XLOOKUP(K278,'Fevereiro 2023 - Valor Real'!A3:A15,'Fevereiro 2023 - Valor Real'!C3:C15,0))+1))),IF(I277="Lay",((L277/(L277-1)-1)*(1-_xlfn.XLOOKUP(K277,'Fevereiro 2023 - Valor Real'!A3:A15,'Fevereiro 2023 - Valor Real'!C3:C15,0))+1)/((((L277/(L277-1)-1)*(1-_xlfn.XLOOKUP(K277,'Fevereiro 2023 - Valor Real'!A3:A15,'Fevereiro 2023 - Valor Real'!C3:C15,0))+1))+((L278-1)*(1-_xlfn.XLOOKUP(K278,'Fevereiro 2023 - Valor Real'!A3:A15,'Fevereiro 2023 - Valor Real'!C3:C15,0))+1)),((L277-1)*(1-_xlfn.XLOOKUP(K277,'Fevereiro 2023 - Valor Real'!A3:A15,'Fevereiro 2023 - Valor Real'!C3:C15,0))+1)/(((L277-1)*(1-_xlfn.XLOOKUP(K277,'Fevereiro 2023 - Valor Real'!A3:A15,'Fevereiro 2023 - Valor Real'!C3:C15,0))+1)+((L278-1)*(1-_xlfn.XLOOKUP(K278,'Fevereiro 2023 - Valor Real'!A3:A15,'Fevereiro 2023 - Valor Real'!C3:C15,0))+1))))))</f>
        <v>0.40765069551777439</v>
      </c>
      <c r="AF278" s="105">
        <f t="shared" si="564"/>
        <v>6</v>
      </c>
      <c r="AG278" s="106">
        <f t="shared" si="564"/>
        <v>0</v>
      </c>
      <c r="AH278" s="106">
        <f t="shared" si="564"/>
        <v>0</v>
      </c>
      <c r="AI278" s="106">
        <f t="shared" si="564"/>
        <v>0</v>
      </c>
      <c r="AJ278" s="106">
        <f t="shared" si="564"/>
        <v>0</v>
      </c>
      <c r="AK278" s="106">
        <f t="shared" si="564"/>
        <v>0</v>
      </c>
      <c r="AL278" s="106">
        <f t="shared" si="564"/>
        <v>0</v>
      </c>
      <c r="AM278" s="106">
        <f t="shared" si="564"/>
        <v>0</v>
      </c>
      <c r="AN278" s="106">
        <f t="shared" si="564"/>
        <v>0</v>
      </c>
      <c r="AO278" s="106">
        <f t="shared" si="564"/>
        <v>0</v>
      </c>
      <c r="AP278" s="106">
        <f t="shared" si="564"/>
        <v>0</v>
      </c>
      <c r="AQ278" s="106">
        <f t="shared" si="564"/>
        <v>0</v>
      </c>
      <c r="AR278" s="107">
        <f t="shared" si="564"/>
        <v>0</v>
      </c>
      <c r="AS278" s="105">
        <f>IF(AND($B277=" ",$K278=AS$3),$O278,0)</f>
        <v>0</v>
      </c>
      <c r="AT278" s="106">
        <f>IF(AND($B277=" ",K278=AT$3),$O278,0)</f>
        <v>0</v>
      </c>
      <c r="AU278" s="106">
        <f t="shared" ref="AU278:BE278" si="572">IF(AND($B277=" ",$K278=AU$3),$O278,0)</f>
        <v>0</v>
      </c>
      <c r="AV278" s="106">
        <f t="shared" si="572"/>
        <v>0</v>
      </c>
      <c r="AW278" s="106">
        <f t="shared" si="572"/>
        <v>0</v>
      </c>
      <c r="AX278" s="106">
        <f t="shared" si="572"/>
        <v>0</v>
      </c>
      <c r="AY278" s="108">
        <f t="shared" si="572"/>
        <v>0</v>
      </c>
      <c r="AZ278" s="109">
        <f t="shared" si="572"/>
        <v>0</v>
      </c>
      <c r="BA278" s="109">
        <f t="shared" si="572"/>
        <v>0</v>
      </c>
      <c r="BB278" s="109">
        <f t="shared" si="572"/>
        <v>0</v>
      </c>
      <c r="BC278" s="110">
        <f t="shared" si="572"/>
        <v>0</v>
      </c>
      <c r="BD278" s="106">
        <f t="shared" si="572"/>
        <v>0</v>
      </c>
      <c r="BE278" s="107">
        <f t="shared" si="572"/>
        <v>0</v>
      </c>
      <c r="BF278" s="105">
        <f t="shared" si="566"/>
        <v>7.5</v>
      </c>
      <c r="BG278" s="106">
        <f t="shared" si="566"/>
        <v>0</v>
      </c>
      <c r="BH278" s="106">
        <f t="shared" si="566"/>
        <v>0</v>
      </c>
      <c r="BI278" s="106">
        <f t="shared" si="566"/>
        <v>0</v>
      </c>
      <c r="BJ278" s="106">
        <f t="shared" si="566"/>
        <v>0</v>
      </c>
      <c r="BK278" s="106">
        <f t="shared" si="566"/>
        <v>0</v>
      </c>
      <c r="BL278" s="106">
        <f t="shared" si="566"/>
        <v>0</v>
      </c>
      <c r="BM278" s="132">
        <f t="shared" si="566"/>
        <v>0</v>
      </c>
      <c r="BN278" s="112">
        <f t="shared" si="566"/>
        <v>0</v>
      </c>
      <c r="BO278" s="112">
        <f t="shared" si="566"/>
        <v>0</v>
      </c>
      <c r="BP278" s="112">
        <f t="shared" si="566"/>
        <v>0</v>
      </c>
      <c r="BQ278" s="110">
        <f t="shared" si="566"/>
        <v>0</v>
      </c>
      <c r="BR278" s="107">
        <f t="shared" si="566"/>
        <v>0</v>
      </c>
      <c r="BS278" s="464"/>
      <c r="BT278" s="461"/>
      <c r="BU278" s="392"/>
      <c r="BV278" s="461"/>
      <c r="BW278" s="392"/>
      <c r="BX278" s="392"/>
      <c r="BY278" s="392"/>
      <c r="BZ278" s="461"/>
      <c r="CA278" s="392"/>
      <c r="CB278" s="392"/>
      <c r="CC278" s="392"/>
      <c r="CD278" s="401"/>
      <c r="CE278" s="409"/>
      <c r="CF278" s="133">
        <f t="shared" si="515"/>
        <v>1</v>
      </c>
      <c r="CG278" s="134">
        <f t="shared" si="516"/>
        <v>0</v>
      </c>
      <c r="CH278" s="134">
        <f t="shared" si="517"/>
        <v>0</v>
      </c>
      <c r="CI278" s="134">
        <f t="shared" si="518"/>
        <v>0</v>
      </c>
      <c r="CJ278" s="134">
        <f t="shared" si="519"/>
        <v>0</v>
      </c>
      <c r="CK278" s="134">
        <f t="shared" si="520"/>
        <v>0</v>
      </c>
      <c r="CL278" s="134">
        <f t="shared" si="521"/>
        <v>0</v>
      </c>
      <c r="CM278" s="134">
        <f t="shared" si="522"/>
        <v>0</v>
      </c>
      <c r="CN278" s="134">
        <f t="shared" si="523"/>
        <v>0</v>
      </c>
      <c r="CO278" s="134">
        <f t="shared" si="524"/>
        <v>0</v>
      </c>
      <c r="CP278" s="134">
        <f t="shared" si="525"/>
        <v>0</v>
      </c>
      <c r="CQ278" s="134">
        <f t="shared" si="526"/>
        <v>0</v>
      </c>
      <c r="CR278" s="134">
        <f t="shared" si="527"/>
        <v>0</v>
      </c>
      <c r="CS278" s="134">
        <f t="shared" si="528"/>
        <v>0</v>
      </c>
      <c r="CT278" s="115">
        <f t="shared" si="529"/>
        <v>0</v>
      </c>
      <c r="CU278" s="116">
        <f t="shared" si="530"/>
        <v>0</v>
      </c>
      <c r="CV278" s="116">
        <f t="shared" si="531"/>
        <v>0</v>
      </c>
      <c r="CW278" s="116">
        <f t="shared" si="532"/>
        <v>0</v>
      </c>
      <c r="CX278" s="116">
        <f t="shared" si="533"/>
        <v>0</v>
      </c>
      <c r="CY278" s="116">
        <f t="shared" si="534"/>
        <v>0</v>
      </c>
      <c r="CZ278" s="116">
        <f t="shared" si="535"/>
        <v>0</v>
      </c>
      <c r="DA278" s="116">
        <f t="shared" si="536"/>
        <v>0</v>
      </c>
      <c r="DB278" s="116">
        <f t="shared" si="537"/>
        <v>0</v>
      </c>
      <c r="DC278" s="116">
        <f t="shared" si="538"/>
        <v>0</v>
      </c>
      <c r="DD278" s="116">
        <f t="shared" si="539"/>
        <v>0</v>
      </c>
      <c r="DE278" s="117">
        <f t="shared" si="540"/>
        <v>0</v>
      </c>
      <c r="DF278" s="118">
        <f t="shared" si="542"/>
        <v>16</v>
      </c>
      <c r="DG278" s="106">
        <f t="shared" si="543"/>
        <v>20.66</v>
      </c>
      <c r="DH278" s="116">
        <f t="shared" si="544"/>
        <v>8</v>
      </c>
      <c r="DI278" s="106">
        <f t="shared" si="545"/>
        <v>33.049999999999997</v>
      </c>
      <c r="DJ278" s="201" t="str">
        <f>IF($D277="","",$D277)</f>
        <v>8</v>
      </c>
      <c r="DK278" s="466"/>
    </row>
    <row r="279" spans="1:115" ht="14.5" customHeight="1" x14ac:dyDescent="0.2">
      <c r="A279" s="390"/>
      <c r="B279" s="457"/>
      <c r="C279" s="135" t="s">
        <v>55</v>
      </c>
      <c r="D279" s="375"/>
      <c r="E279" s="387"/>
      <c r="F279" s="378"/>
      <c r="G279" s="484"/>
      <c r="H279" s="477"/>
      <c r="I279" s="203" t="s">
        <v>52</v>
      </c>
      <c r="J279" s="204">
        <v>1.5</v>
      </c>
      <c r="K279" s="193" t="s">
        <v>39</v>
      </c>
      <c r="L279" s="194">
        <v>3</v>
      </c>
      <c r="M279" s="140">
        <v>4.05</v>
      </c>
      <c r="N279" s="407"/>
      <c r="O279" s="195">
        <f>IF(OR(AE277="",AE278=""),"",IF(L279&gt;0,ROUND(IF(M279&gt;0,M279,IF(M277&gt;0,ROUND((M277*AE279)/AE277,IF(N277=0,2,IF(N277=0.1,1,0))),IF(M278&gt;0,ROUND((M278*AE279)/AE278,IF(N277=0,2,IF(N277=0.1,1,0))),IF(M279&gt;0,M279,0)))),2),""))</f>
        <v>4.05</v>
      </c>
      <c r="P279" s="196">
        <f>IF(I278="Lay",O278*(L278/(L278-1))-O278,IF(I277="Lay",O277*(L277/(L277-1))-O277,IF(OR(L279="",O279=""),"",IF($C279="1/2W",O279/2+O279/2*L279,IF($C279="1/2L",O279/2,(O279*L279-O279)*(1-_xlfn.XLOOKUP(K279,'Fevereiro 2023 - Valor Real'!A3:A15,'Fevereiro 2023 - Valor Real'!C3:C15,0))+O279)))))</f>
        <v>12.149999999999999</v>
      </c>
      <c r="Q279" s="197">
        <f>IF(K279="","",IF(_xlfn.XLOOKUP(K279,K$8:K272,$DJ$8:DJ272,0,,-1)=DJ279,_xlfn.XLOOKUP(K279,K$8:K272,Q$8:Q272,1,,-1)+1,1))</f>
        <v>1</v>
      </c>
      <c r="R279" s="198">
        <f>IF(K279="","",_xlfn.XLOOKUP(K279,K$8:K272,R$8:R272,0,,-1)+IF($C279=" ",1,0))</f>
        <v>0</v>
      </c>
      <c r="S279" s="404"/>
      <c r="T279" s="378"/>
      <c r="U279" s="378"/>
      <c r="V279" s="404"/>
      <c r="W279" s="378"/>
      <c r="X279" s="453"/>
      <c r="Y279" s="383"/>
      <c r="Z279" s="384"/>
      <c r="AA279" s="384"/>
      <c r="AB279" s="384"/>
      <c r="AC279" s="384"/>
      <c r="AD279" s="145">
        <f>((L278/(L278-1)-1))</f>
        <v>1.25</v>
      </c>
      <c r="AE279" s="199">
        <f>IF(L279="","",(SUM(((L277-1)*(1-_xlfn.XLOOKUP(K277,'Fevereiro 2023 - Valor Real'!A3:A15,'Fevereiro 2023 - Valor Real'!C3:C15,0))+1),((L278-1)*(1-_xlfn.XLOOKUP(K278,'Fevereiro 2023 - Valor Real'!A3:A15,'Fevereiro 2023 - Valor Real'!C3:C15,0))+1),((L279-1)*(1-_xlfn.XLOOKUP(K279,'Fevereiro 2023 - Valor Real'!A3:A15,'Fevereiro 2023 - Valor Real'!C3:C15,0))+1))/((L279-1)*(1-_xlfn.XLOOKUP(K279,'Fevereiro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Real'!C3:C15,0))+1))/((L277-1)*(1-_xlfn.XLOOKUP(K277,'Fevereiro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Real'!C3:C15,0))+1))/((L278-1)*(1-_xlfn.XLOOKUP(K278,'Fevereiro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Real'!C3:C15,0))+1))/((L279-1)*(1-_xlfn.XLOOKUP(K279,'Fevereiro 2023 - Valor Real'!A3:A15,'Fevereiro 2023 - Valor Real'!C3:C15,0))+1)))</f>
        <v>0.24459041731066461</v>
      </c>
      <c r="AF279" s="105">
        <f t="shared" si="564"/>
        <v>0</v>
      </c>
      <c r="AG279" s="106">
        <f t="shared" si="564"/>
        <v>0</v>
      </c>
      <c r="AH279" s="106">
        <f t="shared" si="564"/>
        <v>0</v>
      </c>
      <c r="AI279" s="106">
        <f t="shared" si="564"/>
        <v>-4.05</v>
      </c>
      <c r="AJ279" s="106">
        <f t="shared" si="564"/>
        <v>0</v>
      </c>
      <c r="AK279" s="106">
        <f t="shared" si="564"/>
        <v>0</v>
      </c>
      <c r="AL279" s="106">
        <f t="shared" si="564"/>
        <v>0</v>
      </c>
      <c r="AM279" s="106">
        <f t="shared" si="564"/>
        <v>0</v>
      </c>
      <c r="AN279" s="106">
        <f t="shared" si="564"/>
        <v>0</v>
      </c>
      <c r="AO279" s="106">
        <f t="shared" si="564"/>
        <v>0</v>
      </c>
      <c r="AP279" s="106">
        <f t="shared" si="564"/>
        <v>0</v>
      </c>
      <c r="AQ279" s="106">
        <f t="shared" si="564"/>
        <v>0</v>
      </c>
      <c r="AR279" s="107">
        <f t="shared" si="564"/>
        <v>0</v>
      </c>
      <c r="AS279" s="105">
        <f>IF(AND($B277=" ",$K279=AS$3),$O279,0)</f>
        <v>0</v>
      </c>
      <c r="AT279" s="106">
        <f>IF(AND($B277=" ",K279=AT$3),$O279,0)</f>
        <v>0</v>
      </c>
      <c r="AU279" s="106">
        <f t="shared" ref="AU279:BE279" si="573">IF(AND($B277=" ",$K279=AU$3),$O279,0)</f>
        <v>0</v>
      </c>
      <c r="AV279" s="106">
        <f t="shared" si="573"/>
        <v>0</v>
      </c>
      <c r="AW279" s="106">
        <f t="shared" si="573"/>
        <v>0</v>
      </c>
      <c r="AX279" s="106">
        <f t="shared" si="573"/>
        <v>0</v>
      </c>
      <c r="AY279" s="108">
        <f t="shared" si="573"/>
        <v>0</v>
      </c>
      <c r="AZ279" s="109">
        <f t="shared" si="573"/>
        <v>0</v>
      </c>
      <c r="BA279" s="109">
        <f t="shared" si="573"/>
        <v>0</v>
      </c>
      <c r="BB279" s="109">
        <f t="shared" si="573"/>
        <v>0</v>
      </c>
      <c r="BC279" s="110">
        <f t="shared" si="573"/>
        <v>0</v>
      </c>
      <c r="BD279" s="106">
        <f t="shared" si="573"/>
        <v>0</v>
      </c>
      <c r="BE279" s="107">
        <f t="shared" si="573"/>
        <v>0</v>
      </c>
      <c r="BF279" s="105">
        <f t="shared" si="566"/>
        <v>0</v>
      </c>
      <c r="BG279" s="106">
        <f t="shared" si="566"/>
        <v>0</v>
      </c>
      <c r="BH279" s="106">
        <f t="shared" si="566"/>
        <v>0</v>
      </c>
      <c r="BI279" s="106">
        <f t="shared" si="566"/>
        <v>4.05</v>
      </c>
      <c r="BJ279" s="106">
        <f t="shared" si="566"/>
        <v>0</v>
      </c>
      <c r="BK279" s="106">
        <f t="shared" si="566"/>
        <v>0</v>
      </c>
      <c r="BL279" s="106">
        <f t="shared" si="566"/>
        <v>0</v>
      </c>
      <c r="BM279" s="108">
        <f t="shared" si="566"/>
        <v>0</v>
      </c>
      <c r="BN279" s="109">
        <f t="shared" si="566"/>
        <v>0</v>
      </c>
      <c r="BO279" s="109">
        <f t="shared" si="566"/>
        <v>0</v>
      </c>
      <c r="BP279" s="109">
        <f t="shared" si="566"/>
        <v>0</v>
      </c>
      <c r="BQ279" s="110">
        <f t="shared" si="566"/>
        <v>0</v>
      </c>
      <c r="BR279" s="107">
        <f t="shared" si="566"/>
        <v>0</v>
      </c>
      <c r="BS279" s="464"/>
      <c r="BT279" s="461"/>
      <c r="BU279" s="392"/>
      <c r="BV279" s="461"/>
      <c r="BW279" s="392"/>
      <c r="BX279" s="392"/>
      <c r="BY279" s="392"/>
      <c r="BZ279" s="461"/>
      <c r="CA279" s="392"/>
      <c r="CB279" s="392"/>
      <c r="CC279" s="392"/>
      <c r="CD279" s="401"/>
      <c r="CE279" s="409"/>
      <c r="CF279" s="133">
        <f t="shared" si="515"/>
        <v>0</v>
      </c>
      <c r="CG279" s="134">
        <f t="shared" si="516"/>
        <v>0</v>
      </c>
      <c r="CH279" s="134">
        <f t="shared" si="517"/>
        <v>0</v>
      </c>
      <c r="CI279" s="134">
        <f t="shared" si="518"/>
        <v>0</v>
      </c>
      <c r="CJ279" s="134">
        <f t="shared" si="519"/>
        <v>0</v>
      </c>
      <c r="CK279" s="134">
        <f t="shared" si="520"/>
        <v>0</v>
      </c>
      <c r="CL279" s="134">
        <f t="shared" si="521"/>
        <v>0</v>
      </c>
      <c r="CM279" s="134">
        <f t="shared" si="522"/>
        <v>1</v>
      </c>
      <c r="CN279" s="134">
        <f t="shared" si="523"/>
        <v>0</v>
      </c>
      <c r="CO279" s="134">
        <f t="shared" si="524"/>
        <v>0</v>
      </c>
      <c r="CP279" s="134">
        <f t="shared" si="525"/>
        <v>0</v>
      </c>
      <c r="CQ279" s="134">
        <f t="shared" si="526"/>
        <v>0</v>
      </c>
      <c r="CR279" s="134">
        <f t="shared" si="527"/>
        <v>0</v>
      </c>
      <c r="CS279" s="134">
        <f t="shared" si="528"/>
        <v>0</v>
      </c>
      <c r="CT279" s="115">
        <f t="shared" si="529"/>
        <v>0</v>
      </c>
      <c r="CU279" s="116">
        <f t="shared" si="530"/>
        <v>0</v>
      </c>
      <c r="CV279" s="116">
        <f t="shared" si="531"/>
        <v>0</v>
      </c>
      <c r="CW279" s="116">
        <f t="shared" si="532"/>
        <v>0</v>
      </c>
      <c r="CX279" s="116">
        <f t="shared" si="533"/>
        <v>0</v>
      </c>
      <c r="CY279" s="116">
        <f t="shared" si="534"/>
        <v>0</v>
      </c>
      <c r="CZ279" s="116">
        <f t="shared" si="535"/>
        <v>0</v>
      </c>
      <c r="DA279" s="116">
        <f t="shared" si="536"/>
        <v>0</v>
      </c>
      <c r="DB279" s="116">
        <f t="shared" si="537"/>
        <v>0</v>
      </c>
      <c r="DC279" s="116">
        <f t="shared" si="538"/>
        <v>0</v>
      </c>
      <c r="DD279" s="116">
        <f t="shared" si="539"/>
        <v>0</v>
      </c>
      <c r="DE279" s="117">
        <f t="shared" si="540"/>
        <v>0</v>
      </c>
      <c r="DF279" s="118">
        <f t="shared" si="542"/>
        <v>16</v>
      </c>
      <c r="DG279" s="106">
        <f t="shared" si="543"/>
        <v>20.66</v>
      </c>
      <c r="DH279" s="116">
        <f t="shared" si="544"/>
        <v>8</v>
      </c>
      <c r="DI279" s="106">
        <f t="shared" si="545"/>
        <v>33.049999999999997</v>
      </c>
      <c r="DJ279" s="201" t="str">
        <f>IF($D277="","",$D277)</f>
        <v>8</v>
      </c>
      <c r="DK279" s="466"/>
    </row>
    <row r="280" spans="1:115" ht="14.5" customHeight="1" x14ac:dyDescent="0.2">
      <c r="A280" s="487">
        <f>$A277+1</f>
        <v>93</v>
      </c>
      <c r="B280" s="506" t="str">
        <f>IF(OR(C280="W",C281="W",C282="W",C280="1/2W",C281="1/2W",C282="1/2W",C280="1/2L",C281="1/2L",C282="1/2L"),"OK",IF(OR(C280="L",C281="L",C282="L"),"LOSS",IF(OR(C280="X",C281="X",C282="X"),"Anulado"," ")))</f>
        <v>OK</v>
      </c>
      <c r="C280" s="147" t="s">
        <v>55</v>
      </c>
      <c r="D280" s="494" t="s">
        <v>141</v>
      </c>
      <c r="E280" s="511" t="str">
        <f>IF(G280=""," ","– "&amp;COUNTIF(D$4:D282,$D280))</f>
        <v>– 1</v>
      </c>
      <c r="F280" s="510" t="str">
        <f ca="1">IF(G280="","",IF(OR(AND($C280&lt;&gt;" ",$C281=" "),AND($C281&lt;&gt;" ",$C280=" "),AND(L282&gt;0,OR(AND($C282&lt;&gt;" ",OR($C280=" ",$C281=" ")),AND($C282=" ",OR($C280&lt;&gt;" ",$C281&lt;&gt;" "))))),IF(SUM(F$4:F279)=0,1,LARGE(F$4:F279,1)+1),IF(MONTH(G280)=MONTH(TODAY()),IF(AND(DAY(G280)&lt;DAY(TODAY()),$B280=" "),IF(SUM(F$4:F279)=0,1,LARGE(F$4:F279,1)+1),IF($B280=" ",IF(AND(DAY(G280)=DAY(TODAY()),HOUR(G280)&lt;=HOUR(NOW())+1),IF(AND(HOUR(G280)+2&lt;=HOUR(NOW()),DAY(G280)&lt;=DAY(TODAY()),MINUTE(G280)&lt;=MINUTE(NOW())),IF(SUM(F$4:F279)=0,1,LARGE(F$4:F279,1)+1),IF(OR(MINUTE(G280)&lt;=MINUTE(NOW()),HOUR(G280)&lt;=HOUR(NOW())),"!!!","")),""),"")),"")))</f>
        <v/>
      </c>
      <c r="G280" s="508">
        <v>44993.614583333336</v>
      </c>
      <c r="H280" s="502" t="s">
        <v>105</v>
      </c>
      <c r="I280" s="180" t="s">
        <v>51</v>
      </c>
      <c r="J280" s="181">
        <v>7.5</v>
      </c>
      <c r="K280" s="150" t="s">
        <v>37</v>
      </c>
      <c r="L280" s="151">
        <v>2.38</v>
      </c>
      <c r="M280" s="152">
        <v>4.17</v>
      </c>
      <c r="N280" s="503">
        <v>0</v>
      </c>
      <c r="O280" s="153">
        <f>IF(OR(AE280="",AE281=""),"",ROUND(IF(L282&gt;0,IF(M280&gt;0,M280,IF(M281&gt;0,ROUND((M281*AE280)/AE281,IF(N280=0,2,IF(N280=0.1,1,0))),ROUND((M282*AE280)/AE282,IF(N280=0,2,IF(N280=0.1,1,0))))),IF(M280&gt;0,M280,ROUND((M281*AE280)/AE281,IF(N280=0,2,IF(N280=0.1,1,0))))),2))</f>
        <v>4.17</v>
      </c>
      <c r="P280" s="154">
        <f>IF(OR(L280="",O280=""),"",IF($C280="1/2W",O280/2+O280/2*L280,IF($C280="1/2L",O280/2,IF(I280="Lay",(O280*(L280/(L280-1))-O280)*(1-_xlfn.XLOOKUP(K280,'Fevereiro 2023 - Valor Real'!A3:A15,'Fevereiro 2023 - Valor Real'!C3:C15,0))+O280,(O280*L280-O280)*(1-_xlfn.XLOOKUP(K280,'Fevereiro 2023 - Valor Real'!A3:A15,'Fevereiro 2023 - Valor Real'!C3:C15,0))+O280))))</f>
        <v>9.9245999999999999</v>
      </c>
      <c r="Q280" s="155">
        <f>IF(K280="","",IF(_xlfn.XLOOKUP(K280,K$9:K272,$DJ$9:DJ272,0,,-1)=DJ280,_xlfn.XLOOKUP(K280,K$9:K272,Q$9:Q272,1,,-1)+1,1))</f>
        <v>1</v>
      </c>
      <c r="R280" s="156">
        <f>IF(K280="","",_xlfn.XLOOKUP(K280,K$9:K272,R$9:R272,0,,-1)+IF($C280=" ",1,0))</f>
        <v>0</v>
      </c>
      <c r="S280" s="501">
        <f>IF($B280="Anulado",0,ROUND(IF(OR($B280="LOSS",$B280="OK"),IF(OR($C280="W",$C280="1/2W",$C280="1/2L"),P280-O280,IF($C280="L",-O280,0))+IF(OR($C281="W",$C281="1/2W",$C281="1/2L"),P281-O281,IF($C281="L",-O281,0))+IF(OR($C282="W",$C282="1/2W",$C282="1/2L"),P282-O282,IF($C282="L",-O282,0)),IF(AND(OR($C280="W",$C280="1/2W",$C280="1/2L"),C281="W"),P280+P281-SUM(O280:O282)+_xlfn.XLOOKUP("X",C280:C282,O280:O282,0),IF(AND(C280=TRUE,C282="W"),P280+P282-SUM(O280:O282),IF(AND(C281="W",C282="W"),P281+P282-SUM(O280:O282)+_xlfn.XLOOKUP("X",C280:C282,O280:O282,0),IF(L282&gt;0,IF(OR($C280="W",$C280="1/2W",$C280="1/2L"),P280-SUM(O280:O282)+_xlfn.XLOOKUP("X",C280:C282,O280:O282,0),IF(OR($C280="W",$C280="1/2W",$C280="1/2L"),P281-SUM(O280:O282)+_xlfn.XLOOKUP("X",C280:C282,O280:O282,0),IF(OR($C280="W",$C280="1/2W",$C280="1/2L"),P282-SUM(O280:O282)+_xlfn.XLOOKUP("X",C280:C282,O280:O282,0),IF(SUM(P280:P282)/3-SUM(O280:O282)+_xlfn.XLOOKUP("X",C280:C282,O280:O282,0)&gt;0,SUM(P280:P282)/3-SUM(O280:O282)+_xlfn.XLOOKUP("X",C280:C282,O280:O282,0),LARGE(P280:P282,1)-SUM(O280:O282))))),IF(OR($C280="W",$C280="1/2W",$C280="1/2L"),P280-SUM(O280:O281)+_xlfn.XLOOKUP("X",C280:C282,O280:O282,0),IF(OR($C280="W",$C280="1/2W",$C280="1/2L"),P281-SUM(O280:O281)+_xlfn.XLOOKUP("X",C280:C282,O280:O282,0),SUM(P280:P281)/2-SUM(O280:O281)+_xlfn.XLOOKUP("X",C280:C282,O280:O282,0)))))))),2))</f>
        <v>1.06</v>
      </c>
      <c r="T280" s="486">
        <f>IF(S280=0,0,S280/SUM(O280:O282))</f>
        <v>0.11990950226244344</v>
      </c>
      <c r="U280" s="496">
        <f>IF($D280=$D277,IF(OR($B280="LOSS",$B280="OK",$B280="Anulada"),S280,0)+U277,IF(OR($B280="LOSS",$B280="OK",$B280="Anulada"),S280,0))</f>
        <v>1.06</v>
      </c>
      <c r="V280" s="496">
        <f>IF($D280="",0,IF($D280=$D277,IF($B280=" ",IF(I282="",IF(OR(AND(I280="DNB1",I281="DNB2"),AND(OR(I280="DNB1",I280="DNB2"),J281=0),AND(OR(I281="DNB1",I281="DNB2"),J280=0),AND(I280="DNB2",I281="DNB1"),AND(IF(J280=0,(J280+1)/ROUND(J280+1,0),J280/ROUND(J280,0))=1,IF(J281=0,(J281+1)/ROUND(IF(J281="",0,J281)+1,0),IF(J281="",0,J281)/ROUND(IF(J281="",1,J281),0))=1,OR(J280&lt;&gt;""),J281&lt;&gt;"")),0,IF(S280&lt;0,IF(I282="",SMALL(P280:P281,1)-SUM(O280:O281),0),SMALL(P280:P281,1)-SUM(O280:O281))),IF(S280&lt;0,IF(I282="",SMALL(P280:P282,1)-SUM(O280:O282),0),LARGE(P280:P282,1)-SUM(O280:O282))),S280)+V277,IF(I282="",IF(OR(AND(I280="DNB1",I281="DNB2"),AND(OR(I280="DNB1",I280="DNB2"),J281=0),AND(OR(I281="DNB1",I281="DNB2"),J280=0),AND(I280="DNB2",I281="DNB1"),AND(IF(J280=0,(J280+1)/ROUND(J280+1,0),J280/ROUND(J280,0))=1,IF(J281=0,(IF(J281="",0,J281)+1)/ROUND(IF(J281="",0,J281)+1,0),IF(J281="",0,J281)/ROUND(IF(J281="",0,J281)+1,0))=1,OR(J280&lt;&gt;""),J281&lt;&gt;"")),0,IF(S280&lt;0,IF(I282="",SMALL(P280:P281,1)-SUM(O280:O281),0),SMALL(P280:P282,1)-SUM(O280:O282))),IF(S280&lt;0,IF(I282="",SMALL(P280:P282,1)-SUM(O280:O282),0),LARGE(P280:P282,1)-SUM(O280:O282)))))</f>
        <v>1.0604000000000013</v>
      </c>
      <c r="W280" s="496">
        <f>IF($D280=$D277,IF(S280&lt;0,IF(I282="",S280,0),S280)+W277,S280)</f>
        <v>1.06</v>
      </c>
      <c r="X280" s="505" t="str">
        <f>IF(OR(SUM(R280:R282)=0,V280=W280),ROUND(IF(W280=0,0,W280/Y280)*100,2)&amp;"%",ROUND(IF(V280=0,0,V280/Y280)*100,2)&amp;"% a "&amp;ROUND(IF(W280=0,0,W280/Y280)*100,2)&amp;"%")</f>
        <v>11,99%</v>
      </c>
      <c r="Y280" s="497">
        <f>IF($D280=$D277,Y277+SUM(O280:O282),SUM(O280:O282))</f>
        <v>8.84</v>
      </c>
      <c r="Z280" s="496">
        <f>IF($B280=" ",SUM(O280:O282),0)+Z277</f>
        <v>0</v>
      </c>
      <c r="AA280" s="496">
        <f>IF(G280="","",IF($B280="Anulado",LARGE(P280:P282,1)-SUM(O280:O282)+AA277,AA277))</f>
        <v>1.4607999999999972</v>
      </c>
      <c r="AB280" s="496">
        <f>IF($D280="","",AB277+S280)</f>
        <v>441.91999999999996</v>
      </c>
      <c r="AC280" s="499">
        <f ca="1">IF($D280="","",IF($B280=" ",IF(DAY(G280)=DAY(TODAY()),1+AC277,0+AC277),0+AC277))</f>
        <v>0</v>
      </c>
      <c r="AD280" s="157">
        <f>(1-_xlfn.XLOOKUP(K278,'Fevereiro 2023 - Valor Real'!A3:A15,'Fevereiro 2023 - Valor Real'!C3:C15,0))+1</f>
        <v>2</v>
      </c>
      <c r="AE280" s="158">
        <f>IF(L280="","",IF(L282&gt;0,(SUM(((L280-1)*(1-_xlfn.XLOOKUP(K280,'Fevereiro 2023 - Valor Real'!A3:A15,'Fevereiro 2023 - Valor Real'!C3:C15,0))+1),((L281-1)*(1-_xlfn.XLOOKUP(K281,'Fevereiro 2023 - Valor Real'!A3:A15,'Fevereiro 2023 - Valor Real'!C3:C15,0))+1),((L282-1)*(1-_xlfn.XLOOKUP(K282,'Fevereiro 2023 - Valor Real'!A3:A15,'Fevereiro 2023 - Valor Real'!C3:C15,0))+1))/((L280-1)*(1-_xlfn.XLOOKUP(K280,'Fevereiro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Real'!C3:C15,0))+1))/((L280-1)*(1-_xlfn.XLOOKUP(K280,'Fevereiro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Real'!C3:C15,0))+1))/((L281-1)*(1-_xlfn.XLOOKUP(K281,'Fevereiro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Real'!C3:C15,0))+1))/((L282-1)*(1-_xlfn.XLOOKUP(K282,'Fevereiro 2023 - Valor Real'!A3:A15,'Fevereiro 2023 - Valor Real'!C3:C15,0))+1)),IF(I280="Lay",IF(I281="Lay",((L281/(L281-1)-1)*(1-_xlfn.XLOOKUP(K281,'Fevereiro 2023 - Valor Real'!A3:A15,'Fevereiro 2023 - Valor Real'!C3:C15,0))+1)/(((L281/(L281-1)-1)*(1-_xlfn.XLOOKUP(K281,'Fevereiro 2023 - Valor Real'!A3:A15,'Fevereiro 2023 - Valor Real'!C3:C15,0))+1)+((L280/(L280-1)-1)*(1-_xlfn.XLOOKUP(K280,'Fevereiro 2023 - Valor Real'!A3:A15,'Fevereiro 2023 - Valor Real'!C3:C15,0))+1)),((L281-1)*(1-_xlfn.XLOOKUP(K281,'Fevereiro 2023 - Valor Real'!A3:A15,'Fevereiro 2023 - Valor Real'!C3:C15,0))+1)/(((L281-1)*(1-_xlfn.XLOOKUP(K281,'Fevereiro 2023 - Valor Real'!A3:A15,'Fevereiro 2023 - Valor Real'!C3:C15,0))+1)+((L280/(L280-1)-1)*(1-_xlfn.XLOOKUP(K280,'Fevereiro 2023 - Valor Real'!A3:A15,'Fevereiro 2023 - Valor Real'!C3:C15,0))+1))),IF(I281="Lay",(((L281/(L281-1)-1)*(1-_xlfn.XLOOKUP(K281,'Fevereiro 2023 - Valor Real'!A3:A15,'Fevereiro 2023 - Valor Real'!C3:C15,0))+1))/(((L280-1)*(1-_xlfn.XLOOKUP(K280,'Fevereiro 2023 - Valor Real'!A3:A15,'Fevereiro 2023 - Valor Real'!C3:C15,0))+1)+((L281/(L281-1)-1)*(1-_xlfn.XLOOKUP(K281,'Fevereiro 2023 - Valor Real'!A3:A15,'Fevereiro 2023 - Valor Real'!C3:C15,0))+1)),((L281-1)*(1-_xlfn.XLOOKUP(K281,'Fevereiro 2023 - Valor Real'!A3:A15,'Fevereiro 2023 - Valor Real'!C3:C15,0))+1)/(((L281-1)*(1-_xlfn.XLOOKUP(K281,'Fevereiro 2023 - Valor Real'!A3:A15,'Fevereiro 2023 - Valor Real'!C3:C15,0))+1)+((L280-1)*(1-_xlfn.XLOOKUP(K280,'Fevereiro 2023 - Valor Real'!A3:A15,'Fevereiro 2023 - Valor Real'!C3:C15,0))+1))))))</f>
        <v>0.47111111111111115</v>
      </c>
      <c r="AF280" s="66">
        <f t="shared" si="564"/>
        <v>0</v>
      </c>
      <c r="AG280" s="67">
        <f t="shared" si="564"/>
        <v>-4.17</v>
      </c>
      <c r="AH280" s="67">
        <f t="shared" si="564"/>
        <v>0</v>
      </c>
      <c r="AI280" s="67">
        <f t="shared" si="564"/>
        <v>0</v>
      </c>
      <c r="AJ280" s="67">
        <f t="shared" si="564"/>
        <v>0</v>
      </c>
      <c r="AK280" s="67">
        <f t="shared" si="564"/>
        <v>0</v>
      </c>
      <c r="AL280" s="67">
        <f t="shared" si="564"/>
        <v>0</v>
      </c>
      <c r="AM280" s="67">
        <f t="shared" si="564"/>
        <v>0</v>
      </c>
      <c r="AN280" s="67">
        <f t="shared" si="564"/>
        <v>0</v>
      </c>
      <c r="AO280" s="67">
        <f t="shared" si="564"/>
        <v>0</v>
      </c>
      <c r="AP280" s="67">
        <f t="shared" si="564"/>
        <v>0</v>
      </c>
      <c r="AQ280" s="67">
        <f t="shared" si="564"/>
        <v>0</v>
      </c>
      <c r="AR280" s="68">
        <f t="shared" si="564"/>
        <v>0</v>
      </c>
      <c r="AS280" s="66">
        <f t="shared" ref="AS280:BE280" si="574">IF(AND($B280=" ",$K280=AS$3),$O280,0)</f>
        <v>0</v>
      </c>
      <c r="AT280" s="67">
        <f t="shared" si="574"/>
        <v>0</v>
      </c>
      <c r="AU280" s="67">
        <f t="shared" si="574"/>
        <v>0</v>
      </c>
      <c r="AV280" s="67">
        <f t="shared" si="574"/>
        <v>0</v>
      </c>
      <c r="AW280" s="67">
        <f t="shared" si="574"/>
        <v>0</v>
      </c>
      <c r="AX280" s="67">
        <f t="shared" si="574"/>
        <v>0</v>
      </c>
      <c r="AY280" s="69">
        <f t="shared" si="574"/>
        <v>0</v>
      </c>
      <c r="AZ280" s="70">
        <f t="shared" si="574"/>
        <v>0</v>
      </c>
      <c r="BA280" s="70">
        <f t="shared" si="574"/>
        <v>0</v>
      </c>
      <c r="BB280" s="70">
        <f t="shared" si="574"/>
        <v>0</v>
      </c>
      <c r="BC280" s="71">
        <f t="shared" si="574"/>
        <v>0</v>
      </c>
      <c r="BD280" s="67">
        <f t="shared" si="574"/>
        <v>0</v>
      </c>
      <c r="BE280" s="68">
        <f t="shared" si="574"/>
        <v>0</v>
      </c>
      <c r="BF280" s="66">
        <f t="shared" si="566"/>
        <v>0</v>
      </c>
      <c r="BG280" s="67">
        <f t="shared" si="566"/>
        <v>4.17</v>
      </c>
      <c r="BH280" s="67">
        <f t="shared" si="566"/>
        <v>0</v>
      </c>
      <c r="BI280" s="67">
        <f t="shared" si="566"/>
        <v>0</v>
      </c>
      <c r="BJ280" s="67">
        <f t="shared" si="566"/>
        <v>0</v>
      </c>
      <c r="BK280" s="67">
        <f t="shared" si="566"/>
        <v>0</v>
      </c>
      <c r="BL280" s="67">
        <f t="shared" si="566"/>
        <v>0</v>
      </c>
      <c r="BM280" s="69">
        <f t="shared" si="566"/>
        <v>0</v>
      </c>
      <c r="BN280" s="70">
        <f t="shared" si="566"/>
        <v>0</v>
      </c>
      <c r="BO280" s="70">
        <f t="shared" si="566"/>
        <v>0</v>
      </c>
      <c r="BP280" s="70">
        <f t="shared" si="566"/>
        <v>0</v>
      </c>
      <c r="BQ280" s="71">
        <f t="shared" si="566"/>
        <v>0</v>
      </c>
      <c r="BR280" s="68">
        <f t="shared" si="566"/>
        <v>0</v>
      </c>
      <c r="BS280" s="490">
        <f>IF($B280="LOSS",IF(AND($K280=BS$3,$C280="L"),-$O280,0)+IF(AND($K281=BS$3,$C281="L"),-$O281,0)+IF(AND($K282=BS$3,$C282="L"),-$O282,0),IF(OR(AND($K280=BS$3,OR($C280="W",$C280="1/2W")),AND($K281=BS$3,OR($C281="W",$C281="1/2W")),AND($K282=BS$3,OR($C282="W",$C282="1/2W"))),$S280,0))</f>
        <v>0</v>
      </c>
      <c r="BT280" s="498">
        <f>IF($B280="LOSS",IF(AND($K280=BT$3,$C280="L"),-$O280,0)+IF(AND($K281=BT$3,$C281="L"),-$O281,0)+IF(AND($K281=BT$3,$C282="L"),-$O282,0),IF(OR(AND($K281=BT$3,OR($C280="W",$C280="1/2W")),AND($K281=BT$3,OR($C281="W",$C281="1/2W")),AND($K281=BT$3,OR($C282="W",$C282="1/2W"))),$S280,0))</f>
        <v>0</v>
      </c>
      <c r="BU280" s="488">
        <f>IF($B280="LOSS",IF(AND($K280=BU$3,$C280="L"),-$O280,0)+IF(AND($K281=BU$3,$C281="L"),-$O281,0)+IF(AND($K281=BU$3,$C282="L"),-$O282,0),IF(OR(AND($K281=BU$3,OR($C280="W",$C280="1/2W")),AND($K281=BU$3,OR($C281="W",$C281="1/2W")),AND($K281=BU$3,OR($C282="W",$C282="1/2W"))),$S280,0))</f>
        <v>0</v>
      </c>
      <c r="BV280" s="488">
        <f t="shared" ref="BV280:CE280" si="575">IF($B280="LOSS",IF(AND($K280=BV$3,$C280="L"),-$O280,0)+IF(AND($K281=BV$3,$C281="L"),-$O281,0)+IF(AND($K282=BV$3,$C282="L"),-$O282,0),IF(OR(AND($K280=BV$3,OR($C280="W",$C280="1/2W")),AND($K281=BV$3,OR($C281="W",$C281="1/2W")),AND($K282=BV$3,OR($C282="W",$C282="1/2W"))),$S280,0))</f>
        <v>0</v>
      </c>
      <c r="BW280" s="488">
        <f t="shared" si="575"/>
        <v>0</v>
      </c>
      <c r="BX280" s="488">
        <f t="shared" si="575"/>
        <v>0</v>
      </c>
      <c r="BY280" s="488">
        <f t="shared" si="575"/>
        <v>0</v>
      </c>
      <c r="BZ280" s="488">
        <f t="shared" si="575"/>
        <v>0</v>
      </c>
      <c r="CA280" s="488">
        <f t="shared" si="575"/>
        <v>0</v>
      </c>
      <c r="CB280" s="488">
        <f t="shared" si="575"/>
        <v>0</v>
      </c>
      <c r="CC280" s="488">
        <f t="shared" si="575"/>
        <v>0</v>
      </c>
      <c r="CD280" s="500">
        <f t="shared" si="575"/>
        <v>1.06</v>
      </c>
      <c r="CE280" s="504">
        <f t="shared" si="575"/>
        <v>0</v>
      </c>
      <c r="CF280" s="160">
        <f t="shared" si="515"/>
        <v>0</v>
      </c>
      <c r="CG280" s="161">
        <f t="shared" si="516"/>
        <v>0</v>
      </c>
      <c r="CH280" s="161">
        <f t="shared" si="517"/>
        <v>0</v>
      </c>
      <c r="CI280" s="161">
        <f t="shared" si="518"/>
        <v>1</v>
      </c>
      <c r="CJ280" s="161">
        <f t="shared" si="519"/>
        <v>0</v>
      </c>
      <c r="CK280" s="161">
        <f t="shared" si="520"/>
        <v>0</v>
      </c>
      <c r="CL280" s="161">
        <f t="shared" si="521"/>
        <v>0</v>
      </c>
      <c r="CM280" s="161">
        <f t="shared" si="522"/>
        <v>0</v>
      </c>
      <c r="CN280" s="161">
        <f t="shared" si="523"/>
        <v>0</v>
      </c>
      <c r="CO280" s="161">
        <f t="shared" si="524"/>
        <v>0</v>
      </c>
      <c r="CP280" s="161">
        <f t="shared" si="525"/>
        <v>0</v>
      </c>
      <c r="CQ280" s="161">
        <f t="shared" si="526"/>
        <v>0</v>
      </c>
      <c r="CR280" s="161">
        <f t="shared" si="527"/>
        <v>0</v>
      </c>
      <c r="CS280" s="161">
        <f t="shared" si="528"/>
        <v>0</v>
      </c>
      <c r="CT280" s="75">
        <f t="shared" si="529"/>
        <v>0</v>
      </c>
      <c r="CU280" s="76">
        <f t="shared" si="530"/>
        <v>0</v>
      </c>
      <c r="CV280" s="76">
        <f t="shared" si="531"/>
        <v>0</v>
      </c>
      <c r="CW280" s="76">
        <f t="shared" si="532"/>
        <v>0</v>
      </c>
      <c r="CX280" s="76">
        <f t="shared" si="533"/>
        <v>0</v>
      </c>
      <c r="CY280" s="76">
        <f t="shared" si="534"/>
        <v>0</v>
      </c>
      <c r="CZ280" s="76">
        <f t="shared" si="535"/>
        <v>0</v>
      </c>
      <c r="DA280" s="76">
        <f t="shared" si="536"/>
        <v>0</v>
      </c>
      <c r="DB280" s="76">
        <f t="shared" si="537"/>
        <v>0</v>
      </c>
      <c r="DC280" s="76">
        <f t="shared" si="538"/>
        <v>0</v>
      </c>
      <c r="DD280" s="76">
        <f t="shared" si="539"/>
        <v>0</v>
      </c>
      <c r="DE280" s="77">
        <f t="shared" si="540"/>
        <v>0</v>
      </c>
      <c r="DF280" s="73">
        <f t="shared" si="542"/>
        <v>16</v>
      </c>
      <c r="DG280" s="67">
        <f t="shared" si="543"/>
        <v>20.66</v>
      </c>
      <c r="DH280" s="76">
        <f t="shared" si="544"/>
        <v>8</v>
      </c>
      <c r="DI280" s="67">
        <f t="shared" si="545"/>
        <v>33.049999999999997</v>
      </c>
      <c r="DJ280" s="202" t="str">
        <f>IF($D280="","",$D280)</f>
        <v>9</v>
      </c>
      <c r="DK280" s="492">
        <f>IF(AND($B280=" ",$D280&lt;&gt;""),1,0)</f>
        <v>0</v>
      </c>
    </row>
    <row r="281" spans="1:115" ht="14.5" customHeight="1" x14ac:dyDescent="0.2">
      <c r="A281" s="389"/>
      <c r="B281" s="456"/>
      <c r="C281" s="53" t="s">
        <v>54</v>
      </c>
      <c r="D281" s="374"/>
      <c r="E281" s="386"/>
      <c r="F281" s="377"/>
      <c r="G281" s="508"/>
      <c r="H281" s="476"/>
      <c r="I281" s="182" t="s">
        <v>52</v>
      </c>
      <c r="J281" s="56">
        <f>IF(OR(I280="TO",I280="TU",I280="TO1",I280="TU1",I280="TO2",I280="TU2"),J280,IF(OR(I280="AH1",I280="AH2"),IF(OR(I281="AH1",I281="AH2"),-J280,IF(OR(I281="EH1",I281="EH2"),-J280+0.5,"")),IF(OR(I280="EH1",I280="EH2"),IF(OR(I281="AH1",I281="AH2"),-J280+0.5,IF(OR(I281="EH1",I281="EH2"),-J280+1,"")),IF(AND(OR(I280="DNB1",I280="DNB2"),OR(I281="AH1",I281="AH2")),0,IF(AND(I280="Not ScoreBoth",OR(I281="TO1",I281="TO2")),0.5,"")))))</f>
        <v>7.5</v>
      </c>
      <c r="K281" s="57" t="s">
        <v>47</v>
      </c>
      <c r="L281" s="164">
        <v>2.12</v>
      </c>
      <c r="M281" s="165">
        <v>4.67</v>
      </c>
      <c r="N281" s="406"/>
      <c r="O281" s="60">
        <f>IF(OR(AE280="",AE281=""),"",ROUND(IF(L282&gt;0,IF(M281&gt;0,M281,IF(M280&gt;0,IF(N280=TRUE,ROUND((M280*AE281)/AE280,0),(M280*AE281)/AE280),IF(M281&gt;0,ROUND(M281,IF(N280=0,2,IF(N280=0.1,1,0))),IF(M282&gt;0,ROUND(O282*AE281/AE282,IF(N280=0,2,IF(N280=0.1,1,0))),0)))),IF(M281&gt;0,M281,ROUND((M280*AE281)/AE280,IF(N280=0,2,IF(N280=0.1,1,0))))),2))</f>
        <v>4.67</v>
      </c>
      <c r="P281" s="61">
        <f>IF(OR(L281="",O281=""),"",IF($C281="1/2W",O281/2+O281/2*L281,IF($C281="1/2L",O281/2,IF(I281="Lay",((O281*(L281/(L281-1)))-O281)*(1-_xlfn.XLOOKUP(K281,'Fevereiro 2023 - Valor Real'!A3:A15,'Fevereiro 2023 - Valor Real'!C3:C15,0))+O281,(O281*L281-O281)*(1-_xlfn.XLOOKUP(K281,'Fevereiro 2023 - Valor Real'!A3:A15,'Fevereiro 2023 - Valor Real'!C3:C15,0))+O281))))</f>
        <v>9.9004000000000012</v>
      </c>
      <c r="Q281" s="166">
        <f>IF(K281="","",IF(_xlfn.XLOOKUP(K281,K$10:K272,$DJ$10:DJ272,0,,-1)=DJ281,_xlfn.XLOOKUP(K281,K$10:K272,Q$10:Q272,1,,-1)+1,1))</f>
        <v>1</v>
      </c>
      <c r="R281" s="167">
        <f>IF(K281="","",_xlfn.XLOOKUP(K281,K$10:K272,R$10:R272,0,,-1)+IF($C281=" ",1,0))</f>
        <v>0</v>
      </c>
      <c r="S281" s="403"/>
      <c r="T281" s="380"/>
      <c r="U281" s="380"/>
      <c r="V281" s="481"/>
      <c r="W281" s="380"/>
      <c r="X281" s="452"/>
      <c r="Y281" s="383"/>
      <c r="Z281" s="384"/>
      <c r="AA281" s="384"/>
      <c r="AB281" s="384"/>
      <c r="AC281" s="384"/>
      <c r="AD281" s="64"/>
      <c r="AE281" s="65">
        <f>IF(L281="","",IF(L282&gt;0,(SUM(((L280-1)*(1-_xlfn.XLOOKUP(K280,'Fevereiro 2023 - Valor Real'!A3:A15,'Fevereiro 2023 - Valor Real'!C3:C15,0))+1),((L281-1)*(1-_xlfn.XLOOKUP(K281,'Fevereiro 2023 - Valor Real'!A3:A15,'Fevereiro 2023 - Valor Real'!C3:C15,0))+1),((L282-1)*(1-_xlfn.XLOOKUP(K282,'Fevereiro 2023 - Valor Real'!A3:A15,'Fevereiro 2023 - Valor Real'!C3:C15,0))+1))/((L281-1)*(1-_xlfn.XLOOKUP(K281,'Fevereiro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Real'!C3:C15,0))+1))/((L280-1)*(1-_xlfn.XLOOKUP(K280,'Fevereiro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Real'!C3:C15,0))+1))/((L281-1)*(1-_xlfn.XLOOKUP(K281,'Fevereiro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Real'!C3:C15,0))+1))/((L282-1)*(1-_xlfn.XLOOKUP(K282,'Fevereiro 2023 - Valor Real'!A3:A15,'Fevereiro 2023 - Valor Real'!C3:C15,0))+1)),IF(I281="Lay",IF(I280="Lay",((L280/(L280-1)-1)*(1-_xlfn.XLOOKUP(K280,'Fevereiro 2023 - Valor Real'!A3:A15,'Fevereiro 2023 - Valor Real'!C3:C15,0))+1)/(((L280/(L280-1)-1)*(1-_xlfn.XLOOKUP(K280,'Fevereiro 2023 - Valor Real'!A3:A15,'Fevereiro 2023 - Valor Real'!C3:C15,0))+1)+((L281/(L281-1)-1)*(1-_xlfn.XLOOKUP(K281,'Fevereiro 2023 - Valor Real'!A3:A15,'Fevereiro 2023 - Valor Real'!C3:C15,0))+1)),((L280-1)*(1-_xlfn.XLOOKUP(K280,'Fevereiro 2023 - Valor Real'!A3:A15,'Fevereiro 2023 - Valor Real'!C3:C15,0))+1)/(((L280-1)*(1-_xlfn.XLOOKUP(K280,'Fevereiro 2023 - Valor Real'!A3:A15,'Fevereiro 2023 - Valor Real'!C3:C15,0))+1)+((L281/(L281-1)-1)*(1-_xlfn.XLOOKUP(K281,'Fevereiro 2023 - Valor Real'!A3:A15,'Fevereiro 2023 - Valor Real'!C3:C15,0))+1))),IF(I280="Lay",((L280/(L280-1)-1)*(1-_xlfn.XLOOKUP(K280,'Fevereiro 2023 - Valor Real'!A3:A15,'Fevereiro 2023 - Valor Real'!C3:C15,0))+1)/((((L280/(L280-1)-1)*(1-_xlfn.XLOOKUP(K280,'Fevereiro 2023 - Valor Real'!A3:A15,'Fevereiro 2023 - Valor Real'!C3:C15,0))+1))+((L281-1)*(1-_xlfn.XLOOKUP(K281,'Fevereiro 2023 - Valor Real'!A3:A15,'Fevereiro 2023 - Valor Real'!C3:C15,0))+1)),((L280-1)*(1-_xlfn.XLOOKUP(K280,'Fevereiro 2023 - Valor Real'!A3:A15,'Fevereiro 2023 - Valor Real'!C3:C15,0))+1)/(((L280-1)*(1-_xlfn.XLOOKUP(K280,'Fevereiro 2023 - Valor Real'!A3:A15,'Fevereiro 2023 - Valor Real'!C3:C15,0))+1)+((L281-1)*(1-_xlfn.XLOOKUP(K281,'Fevereiro 2023 - Valor Real'!A3:A15,'Fevereiro 2023 - Valor Real'!C3:C15,0))+1))))))</f>
        <v>0.52888888888888885</v>
      </c>
      <c r="AF281" s="66">
        <f t="shared" si="564"/>
        <v>0</v>
      </c>
      <c r="AG281" s="67">
        <f t="shared" si="564"/>
        <v>0</v>
      </c>
      <c r="AH281" s="67">
        <f t="shared" si="564"/>
        <v>0</v>
      </c>
      <c r="AI281" s="67">
        <f t="shared" si="564"/>
        <v>0</v>
      </c>
      <c r="AJ281" s="67">
        <f t="shared" si="564"/>
        <v>0</v>
      </c>
      <c r="AK281" s="67">
        <f t="shared" si="564"/>
        <v>0</v>
      </c>
      <c r="AL281" s="67">
        <f t="shared" si="564"/>
        <v>0</v>
      </c>
      <c r="AM281" s="67">
        <f t="shared" si="564"/>
        <v>0</v>
      </c>
      <c r="AN281" s="67">
        <f t="shared" si="564"/>
        <v>0</v>
      </c>
      <c r="AO281" s="67">
        <f t="shared" si="564"/>
        <v>0</v>
      </c>
      <c r="AP281" s="67">
        <f t="shared" si="564"/>
        <v>0</v>
      </c>
      <c r="AQ281" s="67">
        <f t="shared" si="564"/>
        <v>5.23</v>
      </c>
      <c r="AR281" s="68">
        <f t="shared" si="564"/>
        <v>0</v>
      </c>
      <c r="AS281" s="66">
        <f>IF(AND($B280=" ",$K281=AS$3),$O281,0)</f>
        <v>0</v>
      </c>
      <c r="AT281" s="67">
        <f>IF(AND($B280=" ",K281=AT$3),$O281,0)</f>
        <v>0</v>
      </c>
      <c r="AU281" s="67">
        <f t="shared" ref="AU281:BE281" si="576">IF(AND($B280=" ",$K281=AU$3),$O281,0)</f>
        <v>0</v>
      </c>
      <c r="AV281" s="67">
        <f t="shared" si="576"/>
        <v>0</v>
      </c>
      <c r="AW281" s="67">
        <f t="shared" si="576"/>
        <v>0</v>
      </c>
      <c r="AX281" s="67">
        <f t="shared" si="576"/>
        <v>0</v>
      </c>
      <c r="AY281" s="69">
        <f t="shared" si="576"/>
        <v>0</v>
      </c>
      <c r="AZ281" s="70">
        <f t="shared" si="576"/>
        <v>0</v>
      </c>
      <c r="BA281" s="70">
        <f t="shared" si="576"/>
        <v>0</v>
      </c>
      <c r="BB281" s="70">
        <f t="shared" si="576"/>
        <v>0</v>
      </c>
      <c r="BC281" s="71">
        <f t="shared" si="576"/>
        <v>0</v>
      </c>
      <c r="BD281" s="67">
        <f t="shared" si="576"/>
        <v>0</v>
      </c>
      <c r="BE281" s="68">
        <f t="shared" si="576"/>
        <v>0</v>
      </c>
      <c r="BF281" s="66">
        <f t="shared" si="566"/>
        <v>0</v>
      </c>
      <c r="BG281" s="168">
        <f t="shared" si="566"/>
        <v>0</v>
      </c>
      <c r="BH281" s="67">
        <f t="shared" si="566"/>
        <v>0</v>
      </c>
      <c r="BI281" s="67">
        <f t="shared" si="566"/>
        <v>0</v>
      </c>
      <c r="BJ281" s="67">
        <f t="shared" si="566"/>
        <v>0</v>
      </c>
      <c r="BK281" s="67">
        <f t="shared" si="566"/>
        <v>0</v>
      </c>
      <c r="BL281" s="67">
        <f t="shared" si="566"/>
        <v>0</v>
      </c>
      <c r="BM281" s="69">
        <f t="shared" si="566"/>
        <v>0</v>
      </c>
      <c r="BN281" s="70">
        <f t="shared" si="566"/>
        <v>0</v>
      </c>
      <c r="BO281" s="70">
        <f t="shared" si="566"/>
        <v>0</v>
      </c>
      <c r="BP281" s="70">
        <f t="shared" si="566"/>
        <v>0</v>
      </c>
      <c r="BQ281" s="71">
        <f t="shared" si="566"/>
        <v>4.67</v>
      </c>
      <c r="BR281" s="68">
        <f t="shared" si="566"/>
        <v>0</v>
      </c>
      <c r="BS281" s="491"/>
      <c r="BT281" s="489"/>
      <c r="BU281" s="392"/>
      <c r="BV281" s="489"/>
      <c r="BW281" s="392"/>
      <c r="BX281" s="392"/>
      <c r="BY281" s="392"/>
      <c r="BZ281" s="489"/>
      <c r="CA281" s="392"/>
      <c r="CB281" s="392"/>
      <c r="CC281" s="392"/>
      <c r="CD281" s="401"/>
      <c r="CE281" s="409"/>
      <c r="CF281" s="169">
        <f t="shared" si="515"/>
        <v>0</v>
      </c>
      <c r="CG281" s="170">
        <f t="shared" si="516"/>
        <v>0</v>
      </c>
      <c r="CH281" s="170">
        <f t="shared" si="517"/>
        <v>0</v>
      </c>
      <c r="CI281" s="170">
        <f t="shared" si="518"/>
        <v>0</v>
      </c>
      <c r="CJ281" s="170">
        <f t="shared" si="519"/>
        <v>0</v>
      </c>
      <c r="CK281" s="170">
        <f t="shared" si="520"/>
        <v>0</v>
      </c>
      <c r="CL281" s="170">
        <f t="shared" si="521"/>
        <v>0</v>
      </c>
      <c r="CM281" s="170">
        <f t="shared" si="522"/>
        <v>0</v>
      </c>
      <c r="CN281" s="170">
        <f t="shared" si="523"/>
        <v>0</v>
      </c>
      <c r="CO281" s="170">
        <f t="shared" si="524"/>
        <v>0</v>
      </c>
      <c r="CP281" s="170">
        <f t="shared" si="525"/>
        <v>0</v>
      </c>
      <c r="CQ281" s="170">
        <f t="shared" si="526"/>
        <v>0</v>
      </c>
      <c r="CR281" s="170">
        <f t="shared" si="527"/>
        <v>0</v>
      </c>
      <c r="CS281" s="170">
        <f t="shared" si="528"/>
        <v>0</v>
      </c>
      <c r="CT281" s="75">
        <f t="shared" si="529"/>
        <v>0</v>
      </c>
      <c r="CU281" s="76">
        <f t="shared" si="530"/>
        <v>0</v>
      </c>
      <c r="CV281" s="76">
        <f t="shared" si="531"/>
        <v>0</v>
      </c>
      <c r="CW281" s="76">
        <f t="shared" si="532"/>
        <v>0</v>
      </c>
      <c r="CX281" s="76">
        <f t="shared" si="533"/>
        <v>0</v>
      </c>
      <c r="CY281" s="76">
        <f t="shared" si="534"/>
        <v>0</v>
      </c>
      <c r="CZ281" s="76">
        <f t="shared" si="535"/>
        <v>0</v>
      </c>
      <c r="DA281" s="76">
        <f t="shared" si="536"/>
        <v>0</v>
      </c>
      <c r="DB281" s="76">
        <f t="shared" si="537"/>
        <v>1</v>
      </c>
      <c r="DC281" s="76">
        <f t="shared" si="538"/>
        <v>0</v>
      </c>
      <c r="DD281" s="76">
        <f t="shared" si="539"/>
        <v>0</v>
      </c>
      <c r="DE281" s="77">
        <f t="shared" si="540"/>
        <v>0</v>
      </c>
      <c r="DF281" s="73">
        <f t="shared" si="542"/>
        <v>16</v>
      </c>
      <c r="DG281" s="67">
        <f t="shared" si="543"/>
        <v>20.66</v>
      </c>
      <c r="DH281" s="76">
        <f t="shared" si="544"/>
        <v>8</v>
      </c>
      <c r="DI281" s="67">
        <f t="shared" si="545"/>
        <v>33.049999999999997</v>
      </c>
      <c r="DJ281" s="202" t="str">
        <f>IF($D280="","",$D280)</f>
        <v>9</v>
      </c>
      <c r="DK281" s="493"/>
    </row>
    <row r="282" spans="1:115" ht="14.5" customHeight="1" x14ac:dyDescent="0.2">
      <c r="A282" s="390"/>
      <c r="B282" s="457"/>
      <c r="C282" s="79" t="s">
        <v>53</v>
      </c>
      <c r="D282" s="375"/>
      <c r="E282" s="387"/>
      <c r="F282" s="378"/>
      <c r="G282" s="508"/>
      <c r="H282" s="477"/>
      <c r="I282" s="171"/>
      <c r="J282" s="172"/>
      <c r="K282" s="81"/>
      <c r="L282" s="173"/>
      <c r="M282" s="174"/>
      <c r="N282" s="407"/>
      <c r="O282" s="86" t="str">
        <f>IF(OR(AE280="",AE281=""),"",IF(L282&gt;0,ROUND(IF(M282&gt;0,M282,IF(M280&gt;0,ROUND((M280*AE282)/AE280,IF(N280=0,2,IF(N280=0.1,1,0))),IF(M281&gt;0,ROUND((M281*AE282)/AE281,IF(N280=0,2,IF(N280=0.1,1,0))),IF(M282&gt;0,M282,0)))),2),""))</f>
        <v/>
      </c>
      <c r="P282" s="87" t="str">
        <f>IF(I281="Lay",O281*(L281/(L281-1))-O281,IF(I280="Lay",O280*(L280/(L280-1))-O280,IF(OR(L282="",O282=""),"",IF($C282="1/2W",O282/2+O282/2*L282,IF($C282="1/2L",O282/2,(O282*L282-O282)*(1-_xlfn.XLOOKUP(K282,'Fevereiro 2023 - Valor Real'!A3:A15,'Fevereiro 2023 - Valor Real'!C3:C15,0))+O282)))))</f>
        <v/>
      </c>
      <c r="Q282" s="54" t="str">
        <f>IF(K282="","",IF(_xlfn.XLOOKUP(K282,K$11:K272,$DJ$11:DJ272,0,,-1)=DJ282,_xlfn.XLOOKUP(K282,K$11:K272,Q$11:Q272,1,,-1)+1,1))</f>
        <v/>
      </c>
      <c r="R282" s="87" t="str">
        <f>IF(K282="","",_xlfn.XLOOKUP(K282,K$11:K272,R$11:R272,0,,-1)+IF($C282=" ",1,0))</f>
        <v/>
      </c>
      <c r="S282" s="404"/>
      <c r="T282" s="378"/>
      <c r="U282" s="378"/>
      <c r="V282" s="404"/>
      <c r="W282" s="378"/>
      <c r="X282" s="453"/>
      <c r="Y282" s="383"/>
      <c r="Z282" s="384"/>
      <c r="AA282" s="384"/>
      <c r="AB282" s="384"/>
      <c r="AC282" s="384"/>
      <c r="AD282" s="90"/>
      <c r="AE282" s="91" t="str">
        <f>IF(L282="","",(SUM(((L280-1)*(1-_xlfn.XLOOKUP(K280,'Fevereiro 2023 - Valor Real'!A3:A15,'Fevereiro 2023 - Valor Real'!C3:C15,0))+1),((L281-1)*(1-_xlfn.XLOOKUP(K281,'Fevereiro 2023 - Valor Real'!A3:A15,'Fevereiro 2023 - Valor Real'!C3:C15,0))+1),((L282-1)*(1-_xlfn.XLOOKUP(K282,'Fevereiro 2023 - Valor Real'!A3:A15,'Fevereiro 2023 - Valor Real'!C3:C15,0))+1))/((L282-1)*(1-_xlfn.XLOOKUP(K282,'Fevereiro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Real'!C3:C15,0))+1))/((L280-1)*(1-_xlfn.XLOOKUP(K280,'Fevereiro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Real'!C3:C15,0))+1))/((L281-1)*(1-_xlfn.XLOOKUP(K281,'Fevereiro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Real'!C3:C15,0))+1))/((L282-1)*(1-_xlfn.XLOOKUP(K282,'Fevereiro 2023 - Valor Real'!A3:A15,'Fevereiro 2023 - Valor Real'!C3:C15,0))+1)))</f>
        <v/>
      </c>
      <c r="AF282" s="66">
        <f t="shared" si="564"/>
        <v>0</v>
      </c>
      <c r="AG282" s="67">
        <f t="shared" si="564"/>
        <v>0</v>
      </c>
      <c r="AH282" s="67">
        <f t="shared" si="564"/>
        <v>0</v>
      </c>
      <c r="AI282" s="67">
        <f t="shared" si="564"/>
        <v>0</v>
      </c>
      <c r="AJ282" s="67">
        <f t="shared" si="564"/>
        <v>0</v>
      </c>
      <c r="AK282" s="67">
        <f t="shared" si="564"/>
        <v>0</v>
      </c>
      <c r="AL282" s="67">
        <f t="shared" si="564"/>
        <v>0</v>
      </c>
      <c r="AM282" s="67">
        <f t="shared" si="564"/>
        <v>0</v>
      </c>
      <c r="AN282" s="67">
        <f t="shared" si="564"/>
        <v>0</v>
      </c>
      <c r="AO282" s="67">
        <f t="shared" si="564"/>
        <v>0</v>
      </c>
      <c r="AP282" s="67">
        <f t="shared" si="564"/>
        <v>0</v>
      </c>
      <c r="AQ282" s="67">
        <f t="shared" si="564"/>
        <v>0</v>
      </c>
      <c r="AR282" s="68">
        <f t="shared" si="564"/>
        <v>0</v>
      </c>
      <c r="AS282" s="66">
        <f>IF(AND($B280=" ",$K282=AS$3),$O282,0)</f>
        <v>0</v>
      </c>
      <c r="AT282" s="67">
        <f>IF(AND($B280=" ",K282=AT$3),$O282,0)</f>
        <v>0</v>
      </c>
      <c r="AU282" s="67">
        <f t="shared" ref="AU282:BE282" si="577">IF(AND($B280=" ",$K282=AU$3),$O282,0)</f>
        <v>0</v>
      </c>
      <c r="AV282" s="67">
        <f t="shared" si="577"/>
        <v>0</v>
      </c>
      <c r="AW282" s="67">
        <f t="shared" si="577"/>
        <v>0</v>
      </c>
      <c r="AX282" s="67">
        <f t="shared" si="577"/>
        <v>0</v>
      </c>
      <c r="AY282" s="69">
        <f t="shared" si="577"/>
        <v>0</v>
      </c>
      <c r="AZ282" s="70">
        <f t="shared" si="577"/>
        <v>0</v>
      </c>
      <c r="BA282" s="70">
        <f t="shared" si="577"/>
        <v>0</v>
      </c>
      <c r="BB282" s="70">
        <f t="shared" si="577"/>
        <v>0</v>
      </c>
      <c r="BC282" s="71">
        <f t="shared" si="577"/>
        <v>0</v>
      </c>
      <c r="BD282" s="67">
        <f t="shared" si="577"/>
        <v>0</v>
      </c>
      <c r="BE282" s="68">
        <f t="shared" si="577"/>
        <v>0</v>
      </c>
      <c r="BF282" s="66">
        <f t="shared" si="566"/>
        <v>0</v>
      </c>
      <c r="BG282" s="168">
        <f t="shared" si="566"/>
        <v>0</v>
      </c>
      <c r="BH282" s="67">
        <f t="shared" si="566"/>
        <v>0</v>
      </c>
      <c r="BI282" s="67">
        <f t="shared" si="566"/>
        <v>0</v>
      </c>
      <c r="BJ282" s="67">
        <f t="shared" si="566"/>
        <v>0</v>
      </c>
      <c r="BK282" s="67">
        <f t="shared" si="566"/>
        <v>0</v>
      </c>
      <c r="BL282" s="67">
        <f t="shared" si="566"/>
        <v>0</v>
      </c>
      <c r="BM282" s="69">
        <f t="shared" si="566"/>
        <v>0</v>
      </c>
      <c r="BN282" s="70">
        <f t="shared" si="566"/>
        <v>0</v>
      </c>
      <c r="BO282" s="70">
        <f t="shared" si="566"/>
        <v>0</v>
      </c>
      <c r="BP282" s="70">
        <f t="shared" si="566"/>
        <v>0</v>
      </c>
      <c r="BQ282" s="71">
        <f t="shared" si="566"/>
        <v>0</v>
      </c>
      <c r="BR282" s="68">
        <f t="shared" si="566"/>
        <v>0</v>
      </c>
      <c r="BS282" s="491"/>
      <c r="BT282" s="489"/>
      <c r="BU282" s="392"/>
      <c r="BV282" s="489"/>
      <c r="BW282" s="392"/>
      <c r="BX282" s="392"/>
      <c r="BY282" s="392"/>
      <c r="BZ282" s="489"/>
      <c r="CA282" s="392"/>
      <c r="CB282" s="392"/>
      <c r="CC282" s="392"/>
      <c r="CD282" s="401"/>
      <c r="CE282" s="409"/>
      <c r="CF282" s="169">
        <f t="shared" si="515"/>
        <v>0</v>
      </c>
      <c r="CG282" s="170">
        <f t="shared" si="516"/>
        <v>0</v>
      </c>
      <c r="CH282" s="170">
        <f t="shared" si="517"/>
        <v>0</v>
      </c>
      <c r="CI282" s="170">
        <f t="shared" si="518"/>
        <v>0</v>
      </c>
      <c r="CJ282" s="170">
        <f t="shared" si="519"/>
        <v>0</v>
      </c>
      <c r="CK282" s="170">
        <f t="shared" si="520"/>
        <v>0</v>
      </c>
      <c r="CL282" s="170">
        <f t="shared" si="521"/>
        <v>0</v>
      </c>
      <c r="CM282" s="170">
        <f t="shared" si="522"/>
        <v>0</v>
      </c>
      <c r="CN282" s="170">
        <f t="shared" si="523"/>
        <v>0</v>
      </c>
      <c r="CO282" s="170">
        <f t="shared" si="524"/>
        <v>0</v>
      </c>
      <c r="CP282" s="170">
        <f t="shared" si="525"/>
        <v>0</v>
      </c>
      <c r="CQ282" s="170">
        <f t="shared" si="526"/>
        <v>0</v>
      </c>
      <c r="CR282" s="170">
        <f t="shared" si="527"/>
        <v>0</v>
      </c>
      <c r="CS282" s="170">
        <f t="shared" si="528"/>
        <v>0</v>
      </c>
      <c r="CT282" s="75">
        <f t="shared" si="529"/>
        <v>0</v>
      </c>
      <c r="CU282" s="76">
        <f t="shared" si="530"/>
        <v>0</v>
      </c>
      <c r="CV282" s="76">
        <f t="shared" si="531"/>
        <v>0</v>
      </c>
      <c r="CW282" s="76">
        <f t="shared" si="532"/>
        <v>0</v>
      </c>
      <c r="CX282" s="76">
        <f t="shared" si="533"/>
        <v>0</v>
      </c>
      <c r="CY282" s="76">
        <f t="shared" si="534"/>
        <v>0</v>
      </c>
      <c r="CZ282" s="76">
        <f t="shared" si="535"/>
        <v>0</v>
      </c>
      <c r="DA282" s="76">
        <f t="shared" si="536"/>
        <v>0</v>
      </c>
      <c r="DB282" s="76">
        <f t="shared" si="537"/>
        <v>0</v>
      </c>
      <c r="DC282" s="76">
        <f t="shared" si="538"/>
        <v>0</v>
      </c>
      <c r="DD282" s="76">
        <f t="shared" si="539"/>
        <v>0</v>
      </c>
      <c r="DE282" s="77">
        <f t="shared" si="540"/>
        <v>0</v>
      </c>
      <c r="DF282" s="73">
        <f t="shared" si="542"/>
        <v>16</v>
      </c>
      <c r="DG282" s="67">
        <f t="shared" si="543"/>
        <v>20.66</v>
      </c>
      <c r="DH282" s="76">
        <f t="shared" si="544"/>
        <v>8</v>
      </c>
      <c r="DI282" s="67">
        <f t="shared" si="545"/>
        <v>33.049999999999997</v>
      </c>
      <c r="DJ282" s="202" t="str">
        <f>IF($D280="","",$D280)</f>
        <v>9</v>
      </c>
      <c r="DK282" s="493"/>
    </row>
    <row r="283" spans="1:115" ht="14.5" customHeight="1" x14ac:dyDescent="0.2">
      <c r="A283" s="459">
        <f>$A280+1</f>
        <v>94</v>
      </c>
      <c r="B283" s="507" t="str">
        <f>IF(OR(C283="W",C284="W",C285="W",C283="1/2W",C284="1/2W",C285="1/2W",C283="1/2L",C284="1/2L",C285="1/2L"),"OK",IF(OR(C283="L",C284="L",C285="L"),"LOSS",IF(OR(C283="X",C284="X",C285="X"),"Anulado"," ")))</f>
        <v>OK</v>
      </c>
      <c r="C283" s="93" t="s">
        <v>55</v>
      </c>
      <c r="D283" s="468" t="str">
        <f>IF(G283="","",$D280)</f>
        <v>9</v>
      </c>
      <c r="E283" s="485" t="str">
        <f>IF(G283=""," ","– "&amp;COUNTIF(D$4:D285,$D283))</f>
        <v>– 2</v>
      </c>
      <c r="F283" s="509" t="str">
        <f ca="1">IF(G283="","",IF(OR(AND($C283&lt;&gt;" ",$C284=" "),AND($C284&lt;&gt;" ",$C283=" "),AND(L285&gt;0,OR(AND($C285&lt;&gt;" ",OR($C283=" ",$C284=" ")),AND($C285=" ",OR($C283&lt;&gt;" ",$C284&lt;&gt;" "))))),IF(SUM(F$6:F278)=0,1,LARGE(F$6:F278,1)+1),IF(MONTH(G283)=MONTH(TODAY()),IF(AND(DAY(G283)&lt;DAY(TODAY()),$B283=" "),IF(SUM(F$6:F278)=0,1,LARGE(F$6:F278,1)+1),IF($B283=" ",IF(AND(DAY(G283)=DAY(TODAY()),HOUR(G283)&lt;=HOUR(NOW())+1),IF(AND(HOUR(G283)+2&lt;=HOUR(NOW()),DAY(G283)&lt;=DAY(TODAY()),MINUTE(G283)&lt;=MINUTE(NOW())),IF(SUM(F$6:F278)=0,1,LARGE(F$6:F278,1)+1),IF(OR(MINUTE(G283)&lt;=MINUTE(NOW()),HOUR(G283)&lt;=HOUR(NOW())),"!!!","")),""),"")),"")))</f>
        <v/>
      </c>
      <c r="G283" s="482">
        <f>IF(H283="","",_xlfn.XLOOKUP(H283,$H$4:H282,$G$4:G282,""))</f>
        <v>44994.614583333336</v>
      </c>
      <c r="H283" s="475" t="s">
        <v>105</v>
      </c>
      <c r="I283" s="94" t="s">
        <v>51</v>
      </c>
      <c r="J283" s="95">
        <v>8.5</v>
      </c>
      <c r="K283" s="96" t="s">
        <v>37</v>
      </c>
      <c r="L283" s="97">
        <v>3.4</v>
      </c>
      <c r="M283" s="98">
        <v>3.74</v>
      </c>
      <c r="N283" s="478">
        <v>0</v>
      </c>
      <c r="O283" s="99">
        <f>IF(OR(AE283="",AE284=""),"",ROUND(IF(L285&gt;0,IF(M283&gt;0,M283,IF(M284&gt;0,ROUND((M284*AE283)/AE284,IF(N283=0,2,IF(N283=0.1,1,0))),ROUND((M285*AE283)/AE285,IF(N283=0,2,IF(N283=0.1,1,0))))),IF(M283&gt;0,M283,ROUND((M284*AE283)/AE284,IF(N283=0,2,IF(N283=0.1,1,0))))),2))</f>
        <v>3.74</v>
      </c>
      <c r="P283" s="100">
        <f>IF(OR(L283="",O283=""),"",IF($C283="1/2W",O283/2+O283/2*L283,IF($C283="1/2L",O283/2,IF(I283="Lay",(O283*(L283/(L283-1))-O283)*(1-_xlfn.XLOOKUP(K283,'Fevereiro 2023 - Valor Real'!A3:A15,'Fevereiro 2023 - Valor Real'!C3:C15,0))+O283,(O283*L283-O283)*(1-_xlfn.XLOOKUP(K283,'Fevereiro 2023 - Valor Real'!A3:A15,'Fevereiro 2023 - Valor Real'!C3:C15,0))+O283))))</f>
        <v>12.716000000000001</v>
      </c>
      <c r="Q283" s="101">
        <f>IF(K283="","",IF(_xlfn.XLOOKUP(K283,K$6:K278,$DJ$6:DJ278,0,,-1)=DJ283,_xlfn.XLOOKUP(K283,K$6:K278,Q$6:Q278,1,,-1)+1,1))</f>
        <v>1</v>
      </c>
      <c r="R283" s="102">
        <f>IF(K283="","",_xlfn.XLOOKUP(K283,K$6:K278,R$6:R278,0,,-1)+IF($C283=" ",1,0))</f>
        <v>0</v>
      </c>
      <c r="S283" s="474">
        <f>IF($B283="Anulado",0,ROUND(IF(OR($B283="LOSS",$B283="OK"),IF(OR($C283="W",$C283="1/2W",$C283="1/2L"),P283-O283,IF($C283="L",-O283,0))+IF(OR($C284="W",$C284="1/2W",$C284="1/2L"),P284-O284,IF($C284="L",-O284,0))+IF(OR($C285="W",$C285="1/2W",$C285="1/2L"),P285-O285,IF($C285="L",-O285,0)),IF(AND(OR($C283="W",$C283="1/2W",$C283="1/2L"),C284="W"),P283+P284-SUM(O283:O285)+_xlfn.XLOOKUP("X",C283:C285,O283:O285,0),IF(AND(C283=TRUE,C285="W"),P283+P285-SUM(O283:O285),IF(AND(C284="W",C285="W"),P284+P285-SUM(O283:O285)+_xlfn.XLOOKUP("X",C283:C285,O283:O285,0),IF(L285&gt;0,IF(OR($C283="W",$C283="1/2W",$C283="1/2L"),P283-SUM(O283:O285)+_xlfn.XLOOKUP("X",C283:C285,O283:O285,0),IF(OR($C283="W",$C283="1/2W",$C283="1/2L"),P284-SUM(O283:O285)+_xlfn.XLOOKUP("X",C283:C285,O283:O285,0),IF(OR($C283="W",$C283="1/2W",$C283="1/2L"),P285-SUM(O283:O285)+_xlfn.XLOOKUP("X",C283:C285,O283:O285,0),IF(SUM(P283:P285)/3-SUM(O283:O285)+_xlfn.XLOOKUP("X",C283:C285,O283:O285,0)&gt;0,SUM(P283:P285)/3-SUM(O283:O285)+_xlfn.XLOOKUP("X",C283:C285,O283:O285,0),LARGE(P283:P285,1)-SUM(O283:O285))))),IF(OR($C283="W",$C283="1/2W",$C283="1/2L"),P283-SUM(O283:O284)+_xlfn.XLOOKUP("X",C283:C285,O283:O285,0),IF(OR($C283="W",$C283="1/2W",$C283="1/2L"),P284-SUM(O283:O284)+_xlfn.XLOOKUP("X",C283:C285,O283:O285,0),SUM(P283:P284)/2-SUM(O283:O284)+_xlfn.XLOOKUP("X",C283:C285,O283:O285,0)))))))),2))</f>
        <v>1.49</v>
      </c>
      <c r="T283" s="458">
        <f>IF(S283=0,0,S283/SUM(O283:O285))</f>
        <v>0.13291703835860838</v>
      </c>
      <c r="U283" s="470">
        <f>IF($D283=$D280,IF(OR($B283="LOSS",$B283="OK",$B283="Anulada"),S283,0)+U280,IF(OR($B283="LOSS",$B283="OK",$B283="Anulada"),S283,0))</f>
        <v>2.5499999999999998</v>
      </c>
      <c r="V283" s="470">
        <f>IF($D283="",0,IF($D283=$D280,IF($B283=" ",IF(I285="",IF(OR(AND(I283="DNB1",I284="DNB2"),AND(OR(I283="DNB1",I283="DNB2"),J284=0),AND(OR(I284="DNB1",I284="DNB2"),J283=0),AND(I283="DNB2",I284="DNB1"),AND(IF(J283=0,(J283+1)/ROUND(J283+1,0),J283/ROUND(J283,0))=1,IF(J284=0,(J284+1)/ROUND(IF(J284="",0,J284)+1,0),IF(J284="",0,J284)/ROUND(IF(J284="",1,J284),0))=1,OR(J283&lt;&gt;""),J284&lt;&gt;"")),0,IF(S283&lt;0,IF(I285="",SMALL(P283:P284,1)-SUM(O283:O284),0),SMALL(P283:P284,1)-SUM(O283:O284))),IF(S283&lt;0,IF(I285="",SMALL(P283:P285,1)-SUM(O283:O285),0),LARGE(P283:P285,1)-SUM(O283:O285))),S283)+V280,IF(I285="",IF(OR(AND(I283="DNB1",I284="DNB2"),AND(OR(I283="DNB1",I283="DNB2"),J284=0),AND(OR(I284="DNB1",I284="DNB2"),J283=0),AND(I283="DNB2",I284="DNB1"),AND(IF(J283=0,(J283+1)/ROUND(J283+1,0),J283/ROUND(J283,0))=1,IF(J284=0,(IF(J284="",0,J284)+1)/ROUND(IF(J284="",0,J284)+1,0),IF(J284="",0,J284)/ROUND(IF(J284="",0,J284)+1,0))=1,OR(J283&lt;&gt;""),J284&lt;&gt;"")),0,IF(S283&lt;0,IF(I285="",SMALL(P283:P284,1)-SUM(O283:O284),0),SMALL(P283:P285,1)-SUM(O283:O285))),IF(S283&lt;0,IF(I285="",SMALL(P283:P285,1)-SUM(O283:O285),0),LARGE(P283:P285,1)-SUM(O283:O285)))))</f>
        <v>2.5504000000000016</v>
      </c>
      <c r="W283" s="470">
        <f>IF($D283=$D280,IF(S283&lt;0,IF(I285="",S283,0),S283)+W280,S283)</f>
        <v>2.5499999999999998</v>
      </c>
      <c r="X283" s="480" t="str">
        <f>IF(OR(SUM(R283:R285)=0,V283=W283),ROUND(IF(W283=0,0,W283/Y283)*100,2)&amp;"%",ROUND(IF(V283=0,0,V283/Y283)*100,2)&amp;"% a "&amp;ROUND(IF(W283=0,0,W283/Y283)*100,2)&amp;"%")</f>
        <v>12,72%</v>
      </c>
      <c r="Y283" s="471">
        <f>IF($D283=$D280,Y280+SUM(O283:O285),SUM(O283:O285))</f>
        <v>20.05</v>
      </c>
      <c r="Z283" s="470">
        <f>IF($B283=" ",SUM(O283:O285),0)+Z280</f>
        <v>0</v>
      </c>
      <c r="AA283" s="470">
        <f>IF(G283="","",IF($B283="Anulado",LARGE(P283:P285,1)-SUM(O283:O285)+AA280,AA280))</f>
        <v>1.4607999999999972</v>
      </c>
      <c r="AB283" s="470">
        <f>IF($D283="","",AB280+S283)</f>
        <v>443.40999999999997</v>
      </c>
      <c r="AC283" s="472">
        <f ca="1">IF($D283="","",IF($B283=" ",IF(DAY(G283)=DAY(TODAY()),1+AC280,0+AC280),0+AC280))</f>
        <v>0</v>
      </c>
      <c r="AD283" s="103">
        <f>(((L284/(L284-1)-1)*(1-_xlfn.XLOOKUP(K284,'Fevereiro 2023 - Valor Real'!A3:A15,'Fevereiro 2023 - Valor Real'!C3:C15,0))+1))/(((L283-1)*(1-_xlfn.XLOOKUP(K283,'Fevereiro 2023 - Valor Real'!A3:A15,'Fevereiro 2023 - Valor Real'!C3:C15,0))+1)+((L284/(L284-1)-1)*(1-_xlfn.XLOOKUP(K284,'Fevereiro 2023 - Valor Real'!A3:A15,'Fevereiro 2023 - Valor Real'!C3:C15,0))+1))</f>
        <v>0.41666666666666669</v>
      </c>
      <c r="AE283" s="104">
        <f>IF(L283="","",IF(L285&gt;0,(SUM(((L283-1)*(1-_xlfn.XLOOKUP(K283,'Fevereiro 2023 - Valor Real'!A3:A15,'Fevereiro 2023 - Valor Real'!C3:C15,0))+1),((L284-1)*(1-_xlfn.XLOOKUP(K284,'Fevereiro 2023 - Valor Real'!A3:A15,'Fevereiro 2023 - Valor Real'!C3:C15,0))+1),((L285-1)*(1-_xlfn.XLOOKUP(K285,'Fevereiro 2023 - Valor Real'!A3:A15,'Fevereiro 2023 - Valor Real'!C3:C15,0))+1))/((L283-1)*(1-_xlfn.XLOOKUP(K283,'Fevereiro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Real'!C3:C15,0))+1))/((L283-1)*(1-_xlfn.XLOOKUP(K283,'Fevereiro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Real'!C3:C15,0))+1))/((L284-1)*(1-_xlfn.XLOOKUP(K284,'Fevereiro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Real'!C3:C15,0))+1))/((L285-1)*(1-_xlfn.XLOOKUP(K285,'Fevereiro 2023 - Valor Real'!A3:A15,'Fevereiro 2023 - Valor Real'!C3:C15,0))+1)),IF(I283="Lay",IF(I284="Lay",((L284/(L284-1)-1)*(1-_xlfn.XLOOKUP(K284,'Fevereiro 2023 - Valor Real'!A3:A15,'Fevereiro 2023 - Valor Real'!C3:C15,0))+1)/(((L284/(L284-1)-1)*(1-_xlfn.XLOOKUP(K284,'Fevereiro 2023 - Valor Real'!A3:A15,'Fevereiro 2023 - Valor Real'!C3:C15,0))+1)+((L283/(L283-1)-1)*(1-_xlfn.XLOOKUP(K283,'Fevereiro 2023 - Valor Real'!A3:A15,'Fevereiro 2023 - Valor Real'!C3:C15,0))+1)),((L284-1)*(1-_xlfn.XLOOKUP(K284,'Fevereiro 2023 - Valor Real'!A3:A15,'Fevereiro 2023 - Valor Real'!C3:C15,0))+1)/(((L284-1)*(1-_xlfn.XLOOKUP(K284,'Fevereiro 2023 - Valor Real'!A3:A15,'Fevereiro 2023 - Valor Real'!C3:C15,0))+1)+((L283/(L283-1)-1)*(1-_xlfn.XLOOKUP(K283,'Fevereiro 2023 - Valor Real'!A3:A15,'Fevereiro 2023 - Valor Real'!C3:C15,0))+1))),IF(I284="Lay",(((L284/(L284-1)-1)*(1-_xlfn.XLOOKUP(K284,'Fevereiro 2023 - Valor Real'!A3:A15,'Fevereiro 2023 - Valor Real'!C3:C15,0))+1))/(((L283-1)*(1-_xlfn.XLOOKUP(K283,'Fevereiro 2023 - Valor Real'!A3:A15,'Fevereiro 2023 - Valor Real'!C3:C15,0))+1)+((L284/(L284-1)-1)*(1-_xlfn.XLOOKUP(K284,'Fevereiro 2023 - Valor Real'!A3:A15,'Fevereiro 2023 - Valor Real'!C3:C15,0))+1)),((L284-1)*(1-_xlfn.XLOOKUP(K284,'Fevereiro 2023 - Valor Real'!A3:A15,'Fevereiro 2023 - Valor Real'!C3:C15,0))+1)/(((L284-1)*(1-_xlfn.XLOOKUP(K284,'Fevereiro 2023 - Valor Real'!A3:A15,'Fevereiro 2023 - Valor Real'!C3:C15,0))+1)+((L283-1)*(1-_xlfn.XLOOKUP(K283,'Fevereiro 2023 - Valor Real'!A3:A15,'Fevereiro 2023 - Valor Real'!C3:C15,0))+1))))))</f>
        <v>0.33333333333333337</v>
      </c>
      <c r="AF283" s="105">
        <f t="shared" si="564"/>
        <v>0</v>
      </c>
      <c r="AG283" s="106">
        <f t="shared" si="564"/>
        <v>-3.74</v>
      </c>
      <c r="AH283" s="106">
        <f t="shared" si="564"/>
        <v>0</v>
      </c>
      <c r="AI283" s="106">
        <f t="shared" si="564"/>
        <v>0</v>
      </c>
      <c r="AJ283" s="106">
        <f t="shared" si="564"/>
        <v>0</v>
      </c>
      <c r="AK283" s="106">
        <f t="shared" si="564"/>
        <v>0</v>
      </c>
      <c r="AL283" s="106">
        <f t="shared" si="564"/>
        <v>0</v>
      </c>
      <c r="AM283" s="106">
        <f t="shared" si="564"/>
        <v>0</v>
      </c>
      <c r="AN283" s="106">
        <f t="shared" si="564"/>
        <v>0</v>
      </c>
      <c r="AO283" s="106">
        <f t="shared" si="564"/>
        <v>0</v>
      </c>
      <c r="AP283" s="106">
        <f t="shared" si="564"/>
        <v>0</v>
      </c>
      <c r="AQ283" s="106">
        <f t="shared" si="564"/>
        <v>0</v>
      </c>
      <c r="AR283" s="107">
        <f t="shared" si="564"/>
        <v>0</v>
      </c>
      <c r="AS283" s="105">
        <f t="shared" ref="AS283:BE283" si="578">IF(AND($B283=" ",$K283=AS$3),$O283,0)</f>
        <v>0</v>
      </c>
      <c r="AT283" s="106">
        <f t="shared" si="578"/>
        <v>0</v>
      </c>
      <c r="AU283" s="106">
        <f t="shared" si="578"/>
        <v>0</v>
      </c>
      <c r="AV283" s="106">
        <f t="shared" si="578"/>
        <v>0</v>
      </c>
      <c r="AW283" s="106">
        <f t="shared" si="578"/>
        <v>0</v>
      </c>
      <c r="AX283" s="106">
        <f t="shared" si="578"/>
        <v>0</v>
      </c>
      <c r="AY283" s="108">
        <f t="shared" si="578"/>
        <v>0</v>
      </c>
      <c r="AZ283" s="109">
        <f t="shared" si="578"/>
        <v>0</v>
      </c>
      <c r="BA283" s="109">
        <f t="shared" si="578"/>
        <v>0</v>
      </c>
      <c r="BB283" s="109">
        <f t="shared" si="578"/>
        <v>0</v>
      </c>
      <c r="BC283" s="110">
        <f t="shared" si="578"/>
        <v>0</v>
      </c>
      <c r="BD283" s="106">
        <f t="shared" si="578"/>
        <v>0</v>
      </c>
      <c r="BE283" s="107">
        <f t="shared" si="578"/>
        <v>0</v>
      </c>
      <c r="BF283" s="111">
        <f t="shared" si="566"/>
        <v>0</v>
      </c>
      <c r="BG283" s="106">
        <f t="shared" si="566"/>
        <v>3.74</v>
      </c>
      <c r="BH283" s="106">
        <f t="shared" si="566"/>
        <v>0</v>
      </c>
      <c r="BI283" s="106">
        <f t="shared" si="566"/>
        <v>0</v>
      </c>
      <c r="BJ283" s="106">
        <f t="shared" si="566"/>
        <v>0</v>
      </c>
      <c r="BK283" s="106">
        <f t="shared" si="566"/>
        <v>0</v>
      </c>
      <c r="BL283" s="106">
        <f t="shared" si="566"/>
        <v>0</v>
      </c>
      <c r="BM283" s="108">
        <f t="shared" si="566"/>
        <v>0</v>
      </c>
      <c r="BN283" s="109">
        <f t="shared" si="566"/>
        <v>0</v>
      </c>
      <c r="BO283" s="109">
        <f t="shared" si="566"/>
        <v>0</v>
      </c>
      <c r="BP283" s="109">
        <f t="shared" si="566"/>
        <v>0</v>
      </c>
      <c r="BQ283" s="110">
        <f t="shared" si="566"/>
        <v>0</v>
      </c>
      <c r="BR283" s="107">
        <f t="shared" si="566"/>
        <v>0</v>
      </c>
      <c r="BS283" s="463">
        <f>IF($B283="LOSS",IF(AND($K283=BS$3,$C283="L"),-$O283,0)+IF(AND($K284=BS$3,$C284="L"),-$O284,0)+IF(AND($K285=BS$3,$C285="L"),-$O285,0),IF(OR(AND($K283=BS$3,OR($C283="W",$C283="1/2W")),AND($K284=BS$3,OR($C284="W",$C284="1/2W")),AND($K285=BS$3,OR($C285="W",$C285="1/2W"))),$S283,0))</f>
        <v>0</v>
      </c>
      <c r="BT283" s="462">
        <f>IF($B283="LOSS",IF(AND($K283=BT$3,$C283="L"),-$O283,0)+IF(AND($K284=BT$3,$C284="L"),-$O284,0)+IF(AND($K284=BT$3,$C285="L"),-$O285,0),IF(OR(AND($K284=BT$3,OR($C283="W",$C283="1/2W")),AND($K284=BT$3,OR($C284="W",$C284="1/2W")),AND($K284=BT$3,OR($C285="W",$C285="1/2W"))),$S283,0))</f>
        <v>0</v>
      </c>
      <c r="BU283" s="462">
        <f>IF($B283="LOSS",IF(AND($K283=BU$3,$C283="L"),-$O283,0)+IF(AND($K284=BU$3,$C284="L"),-$O284,0)+IF(AND($K284=BU$3,$C285="L"),-$O285,0),IF(OR(AND($K284=BU$3,OR($C283="W",$C283="1/2W")),AND($K284=BU$3,OR($C284="W",$C284="1/2W")),AND($K284=BU$3,OR($C285="W",$C285="1/2W"))),$S283,0))</f>
        <v>0</v>
      </c>
      <c r="BV283" s="462">
        <f t="shared" ref="BV283:CE283" si="579">IF($B283="LOSS",IF(AND($K283=BV$3,$C283="L"),-$O283,0)+IF(AND($K284=BV$3,$C284="L"),-$O284,0)+IF(AND($K285=BV$3,$C285="L"),-$O285,0),IF(OR(AND($K283=BV$3,OR($C283="W",$C283="1/2W")),AND($K284=BV$3,OR($C284="W",$C284="1/2W")),AND($K285=BV$3,OR($C285="W",$C285="1/2W"))),$S283,0))</f>
        <v>0</v>
      </c>
      <c r="BW283" s="462">
        <f t="shared" si="579"/>
        <v>0</v>
      </c>
      <c r="BX283" s="462">
        <f t="shared" si="579"/>
        <v>0</v>
      </c>
      <c r="BY283" s="462">
        <f t="shared" si="579"/>
        <v>0</v>
      </c>
      <c r="BZ283" s="460">
        <f t="shared" si="579"/>
        <v>0</v>
      </c>
      <c r="CA283" s="460">
        <f t="shared" si="579"/>
        <v>0</v>
      </c>
      <c r="CB283" s="460">
        <f t="shared" si="579"/>
        <v>0</v>
      </c>
      <c r="CC283" s="460">
        <f t="shared" si="579"/>
        <v>0</v>
      </c>
      <c r="CD283" s="473">
        <f t="shared" si="579"/>
        <v>1.49</v>
      </c>
      <c r="CE283" s="479">
        <f t="shared" si="579"/>
        <v>0</v>
      </c>
      <c r="CF283" s="113">
        <f t="shared" si="515"/>
        <v>0</v>
      </c>
      <c r="CG283" s="114">
        <f t="shared" si="516"/>
        <v>0</v>
      </c>
      <c r="CH283" s="114">
        <f t="shared" si="517"/>
        <v>0</v>
      </c>
      <c r="CI283" s="114">
        <f t="shared" si="518"/>
        <v>1</v>
      </c>
      <c r="CJ283" s="114">
        <f t="shared" si="519"/>
        <v>0</v>
      </c>
      <c r="CK283" s="114">
        <f t="shared" si="520"/>
        <v>0</v>
      </c>
      <c r="CL283" s="114">
        <f t="shared" si="521"/>
        <v>0</v>
      </c>
      <c r="CM283" s="114">
        <f t="shared" si="522"/>
        <v>0</v>
      </c>
      <c r="CN283" s="114">
        <f t="shared" si="523"/>
        <v>0</v>
      </c>
      <c r="CO283" s="114">
        <f t="shared" si="524"/>
        <v>0</v>
      </c>
      <c r="CP283" s="114">
        <f t="shared" si="525"/>
        <v>0</v>
      </c>
      <c r="CQ283" s="114">
        <f t="shared" si="526"/>
        <v>0</v>
      </c>
      <c r="CR283" s="114">
        <f t="shared" si="527"/>
        <v>0</v>
      </c>
      <c r="CS283" s="114">
        <f t="shared" si="528"/>
        <v>0</v>
      </c>
      <c r="CT283" s="115">
        <f t="shared" si="529"/>
        <v>0</v>
      </c>
      <c r="CU283" s="116">
        <f t="shared" si="530"/>
        <v>0</v>
      </c>
      <c r="CV283" s="116">
        <f t="shared" si="531"/>
        <v>0</v>
      </c>
      <c r="CW283" s="116">
        <f t="shared" si="532"/>
        <v>0</v>
      </c>
      <c r="CX283" s="116">
        <f t="shared" si="533"/>
        <v>0</v>
      </c>
      <c r="CY283" s="116">
        <f t="shared" si="534"/>
        <v>0</v>
      </c>
      <c r="CZ283" s="116">
        <f t="shared" si="535"/>
        <v>0</v>
      </c>
      <c r="DA283" s="116">
        <f t="shared" si="536"/>
        <v>0</v>
      </c>
      <c r="DB283" s="116">
        <f t="shared" si="537"/>
        <v>0</v>
      </c>
      <c r="DC283" s="116">
        <f t="shared" si="538"/>
        <v>0</v>
      </c>
      <c r="DD283" s="116">
        <f t="shared" si="539"/>
        <v>0</v>
      </c>
      <c r="DE283" s="117">
        <f t="shared" si="540"/>
        <v>0</v>
      </c>
      <c r="DF283" s="118">
        <f t="shared" si="542"/>
        <v>16</v>
      </c>
      <c r="DG283" s="106">
        <f t="shared" si="543"/>
        <v>20.66</v>
      </c>
      <c r="DH283" s="116">
        <f t="shared" si="544"/>
        <v>8</v>
      </c>
      <c r="DI283" s="106">
        <f t="shared" si="545"/>
        <v>33.049999999999997</v>
      </c>
      <c r="DJ283" s="201" t="str">
        <f>IF($D283="","",$D283)</f>
        <v>9</v>
      </c>
      <c r="DK283" s="465">
        <f>IF(AND($B283=" ",$D283&lt;&gt;""),1,0)</f>
        <v>0</v>
      </c>
    </row>
    <row r="284" spans="1:115" ht="14.5" customHeight="1" x14ac:dyDescent="0.2">
      <c r="A284" s="389"/>
      <c r="B284" s="456"/>
      <c r="C284" s="120" t="s">
        <v>54</v>
      </c>
      <c r="D284" s="374"/>
      <c r="E284" s="386"/>
      <c r="F284" s="377"/>
      <c r="G284" s="483"/>
      <c r="H284" s="476"/>
      <c r="I284" s="121" t="s">
        <v>52</v>
      </c>
      <c r="J284" s="122">
        <f>IF(OR(I283="TO",I283="TU",I283="TO1",I283="TU1",I283="TO2",I283="TU2"),J283,IF(OR(I283="AH1",I283="AH2"),IF(OR(I284="AH1",I284="AH2"),-J283,IF(OR(I284="EH1",I284="EH2"),-J283+0.5,"")),IF(OR(I283="EH1",I283="EH2"),IF(OR(I284="AH1",I284="AH2"),-J283+0.5,IF(OR(I284="EH1",I284="EH2"),-J283+1,"")),IF(AND(OR(I283="DNB1",I283="DNB2"),OR(I284="AH1",I284="AH2")),0,IF(AND(I283="Not ScoreBoth",OR(I284="TO1",I284="TO2")),0.5,"")))))</f>
        <v>8.5</v>
      </c>
      <c r="K284" s="123" t="s">
        <v>47</v>
      </c>
      <c r="L284" s="124">
        <v>1.7</v>
      </c>
      <c r="M284" s="125">
        <v>7.47</v>
      </c>
      <c r="N284" s="406"/>
      <c r="O284" s="126">
        <f>IF(OR(AE283="",AE284=""),"",ROUND(IF(L285&gt;0,IF(M284&gt;0,M284,IF(M283&gt;0,IF(N283=TRUE,ROUND((M283*AE284)/AE283,0),(M283*AE284)/AE283),IF(M284&gt;0,ROUND(M284,IF(N283=0,2,IF(N283=0.1,1,0))),IF(M285&gt;0,ROUND(O285*AE284/AE285,IF(N283=0,2,IF(N283=0.1,1,0))),0)))),IF(M284&gt;0,M284,ROUND((M283*AE284)/AE283,IF(N283=0,2,IF(N283=0.1,1,0))))),2))</f>
        <v>7.47</v>
      </c>
      <c r="P284" s="127">
        <f>IF(OR(L284="",O284=""),"",IF($C284="1/2W",O284/2+O284/2*L284,IF($C284="1/2L",O284/2,IF(I284="Lay",((O284*(L284/(L284-1)))-O284)*(1-_xlfn.XLOOKUP(K284,'Fevereiro 2023 - Valor Real'!A3:A15,'Fevereiro 2023 - Valor Real'!C3:C15,0))+O284,(O284*L284-O284)*(1-_xlfn.XLOOKUP(K284,'Fevereiro 2023 - Valor Real'!A3:A15,'Fevereiro 2023 - Valor Real'!C3:C15,0))+O284))))</f>
        <v>12.699</v>
      </c>
      <c r="Q284" s="128">
        <f>IF(K284="","",IF(_xlfn.XLOOKUP(K284,K$7:K278,$DJ$7:DJ278,0,,-1)=DJ284,_xlfn.XLOOKUP(K284,K$7:K278,Q$7:Q278,1,,-1)+1,1))</f>
        <v>1</v>
      </c>
      <c r="R284" s="129">
        <f>IF(K284="","",_xlfn.XLOOKUP(K284,K$7:K278,R$7:R278,0,,-1)+IF($C284=" ",1,0))</f>
        <v>0</v>
      </c>
      <c r="S284" s="403"/>
      <c r="T284" s="380"/>
      <c r="U284" s="380"/>
      <c r="V284" s="481"/>
      <c r="W284" s="380"/>
      <c r="X284" s="452"/>
      <c r="Y284" s="383"/>
      <c r="Z284" s="384"/>
      <c r="AA284" s="384"/>
      <c r="AB284" s="384"/>
      <c r="AC284" s="384"/>
      <c r="AD284" s="130">
        <f>(((L284/(L284-1)-1)*(1-_xlfn.XLOOKUP(K284,'Fevereiro 2023 - Valor Real'!A3:A15,'Fevereiro 2023 - Valor Real'!C3:C15,0))+1))</f>
        <v>2.4285714285714288</v>
      </c>
      <c r="AE284" s="131">
        <f>IF(L284="","",IF(L285&gt;0,(SUM(((L283-1)*(1-_xlfn.XLOOKUP(K283,'Fevereiro 2023 - Valor Real'!A3:A15,'Fevereiro 2023 - Valor Real'!C3:C15,0))+1),((L284-1)*(1-_xlfn.XLOOKUP(K284,'Fevereiro 2023 - Valor Real'!A3:A15,'Fevereiro 2023 - Valor Real'!C3:C15,0))+1),((L285-1)*(1-_xlfn.XLOOKUP(K285,'Fevereiro 2023 - Valor Real'!A3:A15,'Fevereiro 2023 - Valor Real'!C3:C15,0))+1))/((L284-1)*(1-_xlfn.XLOOKUP(K284,'Fevereiro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Real'!C3:C15,0))+1))/((L283-1)*(1-_xlfn.XLOOKUP(K283,'Fevereiro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Real'!C3:C15,0))+1))/((L284-1)*(1-_xlfn.XLOOKUP(K284,'Fevereiro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Real'!C3:C15,0))+1))/((L285-1)*(1-_xlfn.XLOOKUP(K285,'Fevereiro 2023 - Valor Real'!A3:A15,'Fevereiro 2023 - Valor Real'!C3:C15,0))+1)),IF(I284="Lay",IF(I283="Lay",((L283/(L283-1)-1)*(1-_xlfn.XLOOKUP(K283,'Fevereiro 2023 - Valor Real'!A3:A15,'Fevereiro 2023 - Valor Real'!C3:C15,0))+1)/(((L283/(L283-1)-1)*(1-_xlfn.XLOOKUP(K283,'Fevereiro 2023 - Valor Real'!A3:A15,'Fevereiro 2023 - Valor Real'!C3:C15,0))+1)+((L284/(L284-1)-1)*(1-_xlfn.XLOOKUP(K284,'Fevereiro 2023 - Valor Real'!A3:A15,'Fevereiro 2023 - Valor Real'!C3:C15,0))+1)),((L283-1)*(1-_xlfn.XLOOKUP(K283,'Fevereiro 2023 - Valor Real'!A3:A15,'Fevereiro 2023 - Valor Real'!C3:C15,0))+1)/(((L283-1)*(1-_xlfn.XLOOKUP(K283,'Fevereiro 2023 - Valor Real'!A3:A15,'Fevereiro 2023 - Valor Real'!C3:C15,0))+1)+((L284/(L284-1)-1)*(1-_xlfn.XLOOKUP(K284,'Fevereiro 2023 - Valor Real'!A3:A15,'Fevereiro 2023 - Valor Real'!C3:C15,0))+1))),IF(I283="Lay",((L283/(L283-1)-1)*(1-_xlfn.XLOOKUP(K283,'Fevereiro 2023 - Valor Real'!A3:A15,'Fevereiro 2023 - Valor Real'!C3:C15,0))+1)/((((L283/(L283-1)-1)*(1-_xlfn.XLOOKUP(K283,'Fevereiro 2023 - Valor Real'!A3:A15,'Fevereiro 2023 - Valor Real'!C3:C15,0))+1))+((L284-1)*(1-_xlfn.XLOOKUP(K284,'Fevereiro 2023 - Valor Real'!A3:A15,'Fevereiro 2023 - Valor Real'!C3:C15,0))+1)),((L283-1)*(1-_xlfn.XLOOKUP(K283,'Fevereiro 2023 - Valor Real'!A3:A15,'Fevereiro 2023 - Valor Real'!C3:C15,0))+1)/(((L283-1)*(1-_xlfn.XLOOKUP(K283,'Fevereiro 2023 - Valor Real'!A3:A15,'Fevereiro 2023 - Valor Real'!C3:C15,0))+1)+((L284-1)*(1-_xlfn.XLOOKUP(K284,'Fevereiro 2023 - Valor Real'!A3:A15,'Fevereiro 2023 - Valor Real'!C3:C15,0))+1))))))</f>
        <v>0.66666666666666674</v>
      </c>
      <c r="AF284" s="105">
        <f t="shared" ref="AF284:AR293" si="580">IF($K284=AF$3,ROUND(IF(OR($C284="W",$C284="1/2W",$C284="1/2L"),$P284-$O284,IF($C284="X",0,-$O284)),2),0)</f>
        <v>0</v>
      </c>
      <c r="AG284" s="106">
        <f t="shared" si="580"/>
        <v>0</v>
      </c>
      <c r="AH284" s="106">
        <f t="shared" si="580"/>
        <v>0</v>
      </c>
      <c r="AI284" s="106">
        <f t="shared" si="580"/>
        <v>0</v>
      </c>
      <c r="AJ284" s="106">
        <f t="shared" si="580"/>
        <v>0</v>
      </c>
      <c r="AK284" s="106">
        <f t="shared" si="580"/>
        <v>0</v>
      </c>
      <c r="AL284" s="106">
        <f t="shared" si="580"/>
        <v>0</v>
      </c>
      <c r="AM284" s="106">
        <f t="shared" si="580"/>
        <v>0</v>
      </c>
      <c r="AN284" s="106">
        <f t="shared" si="580"/>
        <v>0</v>
      </c>
      <c r="AO284" s="106">
        <f t="shared" si="580"/>
        <v>0</v>
      </c>
      <c r="AP284" s="106">
        <f t="shared" si="580"/>
        <v>0</v>
      </c>
      <c r="AQ284" s="106">
        <f t="shared" si="580"/>
        <v>5.23</v>
      </c>
      <c r="AR284" s="107">
        <f t="shared" si="580"/>
        <v>0</v>
      </c>
      <c r="AS284" s="105">
        <f>IF(AND($B283=" ",$K284=AS$3),$O284,0)</f>
        <v>0</v>
      </c>
      <c r="AT284" s="106">
        <f>IF(AND($B283=" ",K284=AT$3),$O284,0)</f>
        <v>0</v>
      </c>
      <c r="AU284" s="106">
        <f t="shared" ref="AU284:BE284" si="581">IF(AND($B283=" ",$K284=AU$3),$O284,0)</f>
        <v>0</v>
      </c>
      <c r="AV284" s="106">
        <f t="shared" si="581"/>
        <v>0</v>
      </c>
      <c r="AW284" s="106">
        <f t="shared" si="581"/>
        <v>0</v>
      </c>
      <c r="AX284" s="106">
        <f t="shared" si="581"/>
        <v>0</v>
      </c>
      <c r="AY284" s="108">
        <f t="shared" si="581"/>
        <v>0</v>
      </c>
      <c r="AZ284" s="109">
        <f t="shared" si="581"/>
        <v>0</v>
      </c>
      <c r="BA284" s="109">
        <f t="shared" si="581"/>
        <v>0</v>
      </c>
      <c r="BB284" s="109">
        <f t="shared" si="581"/>
        <v>0</v>
      </c>
      <c r="BC284" s="110">
        <f t="shared" si="581"/>
        <v>0</v>
      </c>
      <c r="BD284" s="106">
        <f t="shared" si="581"/>
        <v>0</v>
      </c>
      <c r="BE284" s="107">
        <f t="shared" si="581"/>
        <v>0</v>
      </c>
      <c r="BF284" s="105">
        <f t="shared" ref="BF284:BR293" si="582">IF($K284=BF$3,IF($C284="X",0,$O284),0)</f>
        <v>0</v>
      </c>
      <c r="BG284" s="106">
        <f t="shared" si="582"/>
        <v>0</v>
      </c>
      <c r="BH284" s="106">
        <f t="shared" si="582"/>
        <v>0</v>
      </c>
      <c r="BI284" s="106">
        <f t="shared" si="582"/>
        <v>0</v>
      </c>
      <c r="BJ284" s="106">
        <f t="shared" si="582"/>
        <v>0</v>
      </c>
      <c r="BK284" s="106">
        <f t="shared" si="582"/>
        <v>0</v>
      </c>
      <c r="BL284" s="106">
        <f t="shared" si="582"/>
        <v>0</v>
      </c>
      <c r="BM284" s="132">
        <f t="shared" si="582"/>
        <v>0</v>
      </c>
      <c r="BN284" s="112">
        <f t="shared" si="582"/>
        <v>0</v>
      </c>
      <c r="BO284" s="112">
        <f t="shared" si="582"/>
        <v>0</v>
      </c>
      <c r="BP284" s="112">
        <f t="shared" si="582"/>
        <v>0</v>
      </c>
      <c r="BQ284" s="110">
        <f t="shared" si="582"/>
        <v>7.47</v>
      </c>
      <c r="BR284" s="107">
        <f t="shared" si="582"/>
        <v>0</v>
      </c>
      <c r="BS284" s="464"/>
      <c r="BT284" s="461"/>
      <c r="BU284" s="392"/>
      <c r="BV284" s="461"/>
      <c r="BW284" s="392"/>
      <c r="BX284" s="392"/>
      <c r="BY284" s="392"/>
      <c r="BZ284" s="461"/>
      <c r="CA284" s="392"/>
      <c r="CB284" s="392"/>
      <c r="CC284" s="392"/>
      <c r="CD284" s="401"/>
      <c r="CE284" s="409"/>
      <c r="CF284" s="133">
        <f t="shared" si="515"/>
        <v>0</v>
      </c>
      <c r="CG284" s="134">
        <f t="shared" si="516"/>
        <v>0</v>
      </c>
      <c r="CH284" s="134">
        <f t="shared" si="517"/>
        <v>0</v>
      </c>
      <c r="CI284" s="134">
        <f t="shared" si="518"/>
        <v>0</v>
      </c>
      <c r="CJ284" s="134">
        <f t="shared" si="519"/>
        <v>0</v>
      </c>
      <c r="CK284" s="134">
        <f t="shared" si="520"/>
        <v>0</v>
      </c>
      <c r="CL284" s="134">
        <f t="shared" si="521"/>
        <v>0</v>
      </c>
      <c r="CM284" s="134">
        <f t="shared" si="522"/>
        <v>0</v>
      </c>
      <c r="CN284" s="134">
        <f t="shared" si="523"/>
        <v>0</v>
      </c>
      <c r="CO284" s="134">
        <f t="shared" si="524"/>
        <v>0</v>
      </c>
      <c r="CP284" s="134">
        <f t="shared" si="525"/>
        <v>0</v>
      </c>
      <c r="CQ284" s="134">
        <f t="shared" si="526"/>
        <v>0</v>
      </c>
      <c r="CR284" s="134">
        <f t="shared" si="527"/>
        <v>0</v>
      </c>
      <c r="CS284" s="134">
        <f t="shared" si="528"/>
        <v>0</v>
      </c>
      <c r="CT284" s="115">
        <f t="shared" si="529"/>
        <v>0</v>
      </c>
      <c r="CU284" s="116">
        <f t="shared" si="530"/>
        <v>0</v>
      </c>
      <c r="CV284" s="116">
        <f t="shared" si="531"/>
        <v>0</v>
      </c>
      <c r="CW284" s="116">
        <f t="shared" si="532"/>
        <v>0</v>
      </c>
      <c r="CX284" s="116">
        <f t="shared" si="533"/>
        <v>0</v>
      </c>
      <c r="CY284" s="116">
        <f t="shared" si="534"/>
        <v>0</v>
      </c>
      <c r="CZ284" s="116">
        <f t="shared" si="535"/>
        <v>0</v>
      </c>
      <c r="DA284" s="116">
        <f t="shared" si="536"/>
        <v>0</v>
      </c>
      <c r="DB284" s="116">
        <f t="shared" si="537"/>
        <v>1</v>
      </c>
      <c r="DC284" s="116">
        <f t="shared" si="538"/>
        <v>0</v>
      </c>
      <c r="DD284" s="116">
        <f t="shared" si="539"/>
        <v>0</v>
      </c>
      <c r="DE284" s="117">
        <f t="shared" si="540"/>
        <v>0</v>
      </c>
      <c r="DF284" s="118">
        <f t="shared" si="542"/>
        <v>16</v>
      </c>
      <c r="DG284" s="106">
        <f t="shared" si="543"/>
        <v>20.66</v>
      </c>
      <c r="DH284" s="116">
        <f t="shared" si="544"/>
        <v>8</v>
      </c>
      <c r="DI284" s="106">
        <f t="shared" si="545"/>
        <v>33.049999999999997</v>
      </c>
      <c r="DJ284" s="201" t="str">
        <f>IF($D283="","",$D283)</f>
        <v>9</v>
      </c>
      <c r="DK284" s="466"/>
    </row>
    <row r="285" spans="1:115" ht="14.5" customHeight="1" x14ac:dyDescent="0.2">
      <c r="A285" s="390"/>
      <c r="B285" s="457"/>
      <c r="C285" s="135" t="s">
        <v>53</v>
      </c>
      <c r="D285" s="375"/>
      <c r="E285" s="387"/>
      <c r="F285" s="378"/>
      <c r="G285" s="484"/>
      <c r="H285" s="477"/>
      <c r="I285" s="136"/>
      <c r="J285" s="137"/>
      <c r="K285" s="138"/>
      <c r="L285" s="139"/>
      <c r="M285" s="140"/>
      <c r="N285" s="407"/>
      <c r="O285" s="141" t="str">
        <f>IF(OR(AE283="",AE284=""),"",IF(L285&gt;0,ROUND(IF(M285&gt;0,M285,IF(M283&gt;0,ROUND((M283*AE285)/AE283,IF(N283=0,2,IF(N283=0.1,1,0))),IF(M284&gt;0,ROUND((M284*AE285)/AE284,IF(N283=0,2,IF(N283=0.1,1,0))),IF(M285&gt;0,M285,0)))),2),""))</f>
        <v/>
      </c>
      <c r="P285" s="142" t="str">
        <f>IF(I284="Lay",O284*(L284/(L284-1))-O284,IF(I283="Lay",O283*(L283/(L283-1))-O283,IF(OR(L285="",O285=""),"",IF($C285="1/2W",O285/2+O285/2*L285,IF($C285="1/2L",O285/2,(O285*L285-O285)*(1-_xlfn.XLOOKUP(K285,'Fevereiro 2023 - Valor Real'!A3:A15,'Fevereiro 2023 - Valor Real'!C3:C15,0))+O285)))))</f>
        <v/>
      </c>
      <c r="Q285" s="143" t="str">
        <f>IF(K285="","",IF(_xlfn.XLOOKUP(K285,K$8:K278,$DJ$8:DJ278,0,,-1)=DJ285,_xlfn.XLOOKUP(K285,K$8:K278,Q$8:Q278,1,,-1)+1,1))</f>
        <v/>
      </c>
      <c r="R285" s="144" t="str">
        <f>IF(K285="","",_xlfn.XLOOKUP(K285,K$8:K278,R$8:R278,0,,-1)+IF($C285=" ",1,0))</f>
        <v/>
      </c>
      <c r="S285" s="404"/>
      <c r="T285" s="378"/>
      <c r="U285" s="378"/>
      <c r="V285" s="404"/>
      <c r="W285" s="378"/>
      <c r="X285" s="453"/>
      <c r="Y285" s="383"/>
      <c r="Z285" s="384"/>
      <c r="AA285" s="384"/>
      <c r="AB285" s="384"/>
      <c r="AC285" s="384"/>
      <c r="AD285" s="145">
        <f>((L284/(L284-1)-1))</f>
        <v>1.4285714285714288</v>
      </c>
      <c r="AE285" s="146" t="str">
        <f>IF(L285="","",(SUM(((L283-1)*(1-_xlfn.XLOOKUP(K283,'Fevereiro 2023 - Valor Real'!A3:A15,'Fevereiro 2023 - Valor Real'!C3:C15,0))+1),((L284-1)*(1-_xlfn.XLOOKUP(K284,'Fevereiro 2023 - Valor Real'!A3:A15,'Fevereiro 2023 - Valor Real'!C3:C15,0))+1),((L285-1)*(1-_xlfn.XLOOKUP(K285,'Fevereiro 2023 - Valor Real'!A3:A15,'Fevereiro 2023 - Valor Real'!C3:C15,0))+1))/((L285-1)*(1-_xlfn.XLOOKUP(K285,'Fevereiro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Real'!C3:C15,0))+1))/((L283-1)*(1-_xlfn.XLOOKUP(K283,'Fevereiro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Real'!C3:C15,0))+1))/((L284-1)*(1-_xlfn.XLOOKUP(K284,'Fevereiro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Real'!C3:C15,0))+1))/((L285-1)*(1-_xlfn.XLOOKUP(K285,'Fevereiro 2023 - Valor Real'!A3:A15,'Fevereiro 2023 - Valor Real'!C3:C15,0))+1)))</f>
        <v/>
      </c>
      <c r="AF285" s="105">
        <f t="shared" si="580"/>
        <v>0</v>
      </c>
      <c r="AG285" s="106">
        <f t="shared" si="580"/>
        <v>0</v>
      </c>
      <c r="AH285" s="106">
        <f t="shared" si="580"/>
        <v>0</v>
      </c>
      <c r="AI285" s="106">
        <f t="shared" si="580"/>
        <v>0</v>
      </c>
      <c r="AJ285" s="106">
        <f t="shared" si="580"/>
        <v>0</v>
      </c>
      <c r="AK285" s="106">
        <f t="shared" si="580"/>
        <v>0</v>
      </c>
      <c r="AL285" s="106">
        <f t="shared" si="580"/>
        <v>0</v>
      </c>
      <c r="AM285" s="106">
        <f t="shared" si="580"/>
        <v>0</v>
      </c>
      <c r="AN285" s="106">
        <f t="shared" si="580"/>
        <v>0</v>
      </c>
      <c r="AO285" s="106">
        <f t="shared" si="580"/>
        <v>0</v>
      </c>
      <c r="AP285" s="106">
        <f t="shared" si="580"/>
        <v>0</v>
      </c>
      <c r="AQ285" s="106">
        <f t="shared" si="580"/>
        <v>0</v>
      </c>
      <c r="AR285" s="107">
        <f t="shared" si="580"/>
        <v>0</v>
      </c>
      <c r="AS285" s="105">
        <f>IF(AND($B283=" ",$K285=AS$3),$O285,0)</f>
        <v>0</v>
      </c>
      <c r="AT285" s="106">
        <f>IF(AND($B283=" ",K285=AT$3),$O285,0)</f>
        <v>0</v>
      </c>
      <c r="AU285" s="106">
        <f t="shared" ref="AU285:BE285" si="583">IF(AND($B283=" ",$K285=AU$3),$O285,0)</f>
        <v>0</v>
      </c>
      <c r="AV285" s="106">
        <f t="shared" si="583"/>
        <v>0</v>
      </c>
      <c r="AW285" s="106">
        <f t="shared" si="583"/>
        <v>0</v>
      </c>
      <c r="AX285" s="106">
        <f t="shared" si="583"/>
        <v>0</v>
      </c>
      <c r="AY285" s="108">
        <f t="shared" si="583"/>
        <v>0</v>
      </c>
      <c r="AZ285" s="109">
        <f t="shared" si="583"/>
        <v>0</v>
      </c>
      <c r="BA285" s="109">
        <f t="shared" si="583"/>
        <v>0</v>
      </c>
      <c r="BB285" s="109">
        <f t="shared" si="583"/>
        <v>0</v>
      </c>
      <c r="BC285" s="110">
        <f t="shared" si="583"/>
        <v>0</v>
      </c>
      <c r="BD285" s="106">
        <f t="shared" si="583"/>
        <v>0</v>
      </c>
      <c r="BE285" s="107">
        <f t="shared" si="583"/>
        <v>0</v>
      </c>
      <c r="BF285" s="105">
        <f t="shared" si="582"/>
        <v>0</v>
      </c>
      <c r="BG285" s="106">
        <f t="shared" si="582"/>
        <v>0</v>
      </c>
      <c r="BH285" s="106">
        <f t="shared" si="582"/>
        <v>0</v>
      </c>
      <c r="BI285" s="106">
        <f t="shared" si="582"/>
        <v>0</v>
      </c>
      <c r="BJ285" s="106">
        <f t="shared" si="582"/>
        <v>0</v>
      </c>
      <c r="BK285" s="106">
        <f t="shared" si="582"/>
        <v>0</v>
      </c>
      <c r="BL285" s="106">
        <f t="shared" si="582"/>
        <v>0</v>
      </c>
      <c r="BM285" s="108">
        <f t="shared" si="582"/>
        <v>0</v>
      </c>
      <c r="BN285" s="109">
        <f t="shared" si="582"/>
        <v>0</v>
      </c>
      <c r="BO285" s="109">
        <f t="shared" si="582"/>
        <v>0</v>
      </c>
      <c r="BP285" s="109">
        <f t="shared" si="582"/>
        <v>0</v>
      </c>
      <c r="BQ285" s="110">
        <f t="shared" si="582"/>
        <v>0</v>
      </c>
      <c r="BR285" s="107">
        <f t="shared" si="582"/>
        <v>0</v>
      </c>
      <c r="BS285" s="464"/>
      <c r="BT285" s="461"/>
      <c r="BU285" s="392"/>
      <c r="BV285" s="461"/>
      <c r="BW285" s="392"/>
      <c r="BX285" s="392"/>
      <c r="BY285" s="392"/>
      <c r="BZ285" s="461"/>
      <c r="CA285" s="392"/>
      <c r="CB285" s="392"/>
      <c r="CC285" s="392"/>
      <c r="CD285" s="401"/>
      <c r="CE285" s="409"/>
      <c r="CF285" s="133">
        <f t="shared" si="515"/>
        <v>0</v>
      </c>
      <c r="CG285" s="134">
        <f t="shared" si="516"/>
        <v>0</v>
      </c>
      <c r="CH285" s="134">
        <f t="shared" si="517"/>
        <v>0</v>
      </c>
      <c r="CI285" s="134">
        <f t="shared" si="518"/>
        <v>0</v>
      </c>
      <c r="CJ285" s="134">
        <f t="shared" si="519"/>
        <v>0</v>
      </c>
      <c r="CK285" s="134">
        <f t="shared" si="520"/>
        <v>0</v>
      </c>
      <c r="CL285" s="134">
        <f t="shared" si="521"/>
        <v>0</v>
      </c>
      <c r="CM285" s="134">
        <f t="shared" si="522"/>
        <v>0</v>
      </c>
      <c r="CN285" s="134">
        <f t="shared" si="523"/>
        <v>0</v>
      </c>
      <c r="CO285" s="134">
        <f t="shared" si="524"/>
        <v>0</v>
      </c>
      <c r="CP285" s="134">
        <f t="shared" si="525"/>
        <v>0</v>
      </c>
      <c r="CQ285" s="134">
        <f t="shared" si="526"/>
        <v>0</v>
      </c>
      <c r="CR285" s="134">
        <f t="shared" si="527"/>
        <v>0</v>
      </c>
      <c r="CS285" s="134">
        <f t="shared" si="528"/>
        <v>0</v>
      </c>
      <c r="CT285" s="115">
        <f t="shared" si="529"/>
        <v>0</v>
      </c>
      <c r="CU285" s="116">
        <f t="shared" si="530"/>
        <v>0</v>
      </c>
      <c r="CV285" s="116">
        <f t="shared" si="531"/>
        <v>0</v>
      </c>
      <c r="CW285" s="116">
        <f t="shared" si="532"/>
        <v>0</v>
      </c>
      <c r="CX285" s="116">
        <f t="shared" si="533"/>
        <v>0</v>
      </c>
      <c r="CY285" s="116">
        <f t="shared" si="534"/>
        <v>0</v>
      </c>
      <c r="CZ285" s="116">
        <f t="shared" si="535"/>
        <v>0</v>
      </c>
      <c r="DA285" s="116">
        <f t="shared" si="536"/>
        <v>0</v>
      </c>
      <c r="DB285" s="116">
        <f t="shared" si="537"/>
        <v>0</v>
      </c>
      <c r="DC285" s="116">
        <f t="shared" si="538"/>
        <v>0</v>
      </c>
      <c r="DD285" s="116">
        <f t="shared" si="539"/>
        <v>0</v>
      </c>
      <c r="DE285" s="117">
        <f t="shared" si="540"/>
        <v>0</v>
      </c>
      <c r="DF285" s="118">
        <f t="shared" si="542"/>
        <v>16</v>
      </c>
      <c r="DG285" s="106">
        <f t="shared" si="543"/>
        <v>20.66</v>
      </c>
      <c r="DH285" s="116">
        <f t="shared" si="544"/>
        <v>8</v>
      </c>
      <c r="DI285" s="106">
        <f t="shared" si="545"/>
        <v>33.049999999999997</v>
      </c>
      <c r="DJ285" s="201" t="str">
        <f>IF($D283="","",$D283)</f>
        <v>9</v>
      </c>
      <c r="DK285" s="466"/>
    </row>
    <row r="286" spans="1:115" ht="14.5" customHeight="1" x14ac:dyDescent="0.2">
      <c r="A286" s="487">
        <f>$A283+1</f>
        <v>95</v>
      </c>
      <c r="B286" s="506" t="str">
        <f>IF(OR(C286="W",C287="W",C288="W",C286="1/2W",C287="1/2W",C288="1/2W",C286="1/2L",C287="1/2L",C288="1/2L"),"OK",IF(OR(C286="L",C287="L",C288="L"),"LOSS",IF(OR(C286="X",C287="X",C288="X"),"Anulado"," ")))</f>
        <v>OK</v>
      </c>
      <c r="C286" s="147" t="s">
        <v>55</v>
      </c>
      <c r="D286" s="494" t="str">
        <f>IF(G286="","",$D283)</f>
        <v>9</v>
      </c>
      <c r="E286" s="511" t="str">
        <f>IF(G286=""," ","– "&amp;COUNTIF(D$4:D288,$D286))</f>
        <v>– 3</v>
      </c>
      <c r="F286" s="510" t="str">
        <f ca="1">IF(G286="","",IF(OR(AND($C286&lt;&gt;" ",$C287=" "),AND($C287&lt;&gt;" ",$C286=" "),AND(L288&gt;0,OR(AND($C288&lt;&gt;" ",OR($C286=" ",$C287=" ")),AND($C288=" ",OR($C286&lt;&gt;" ",$C287&lt;&gt;" "))))),IF(SUM(F$9:F278)=0,1,LARGE(F$9:F278,1)+1),IF(MONTH(G286)=MONTH(TODAY()),IF(AND(DAY(G286)&lt;DAY(TODAY()),$B286=" "),IF(SUM(F$9:F278)=0,1,LARGE(F$9:F278,1)+1),IF($B286=" ",IF(AND(DAY(G286)=DAY(TODAY()),HOUR(G286)&lt;=HOUR(NOW())+1),IF(AND(HOUR(G286)+2&lt;=HOUR(NOW()),DAY(G286)&lt;=DAY(TODAY()),MINUTE(G286)&lt;=MINUTE(NOW())),IF(SUM(F$9:F278)=0,1,LARGE(F$9:F278,1)+1),IF(OR(MINUTE(G286)&lt;=MINUTE(NOW()),HOUR(G286)&lt;=HOUR(NOW())),"!!!","")),""),"")),"")))</f>
        <v/>
      </c>
      <c r="G286" s="508">
        <f>IF(H286="","",_xlfn.XLOOKUP(H286,$H$4:H285,$G$4:G285,""))</f>
        <v>44994.614583333336</v>
      </c>
      <c r="H286" s="502" t="s">
        <v>105</v>
      </c>
      <c r="I286" s="180" t="s">
        <v>51</v>
      </c>
      <c r="J286" s="181">
        <v>22.5</v>
      </c>
      <c r="K286" s="150" t="s">
        <v>37</v>
      </c>
      <c r="L286" s="151">
        <v>2.4</v>
      </c>
      <c r="M286" s="152"/>
      <c r="N286" s="503">
        <v>0</v>
      </c>
      <c r="O286" s="153">
        <f>IF(OR(AE286="",AE287=""),"",ROUND(IF(L288&gt;0,IF(M286&gt;0,M286,IF(M287&gt;0,ROUND((M287*AE286)/AE287,IF(N286=0,2,IF(N286=0.1,1,0))),ROUND((M288*AE286)/AE288,IF(N286=0,2,IF(N286=0.1,1,0))))),IF(M286&gt;0,M286,ROUND((M287*AE286)/AE287,IF(N286=0,2,IF(N286=0.1,1,0))))),2))</f>
        <v>3.45</v>
      </c>
      <c r="P286" s="154">
        <f>IF(OR(L286="",O286=""),"",IF($C286="1/2W",O286/2+O286/2*L286,IF($C286="1/2L",O286/2,IF(I286="Lay",(O286*(L286/(L286-1))-O286)*(1-_xlfn.XLOOKUP(K286,'Fevereiro 2023 - Valor Real'!A3:A15,'Fevereiro 2023 - Valor Real'!C3:C15,0))+O286,(O286*L286-O286)*(1-_xlfn.XLOOKUP(K286,'Fevereiro 2023 - Valor Real'!A3:A15,'Fevereiro 2023 - Valor Real'!C3:C15,0))+O286))))</f>
        <v>8.2799999999999994</v>
      </c>
      <c r="Q286" s="155">
        <f>IF(K286="","",IF(_xlfn.XLOOKUP(K286,K$9:K278,$DJ$9:DJ278,0,,-1)=DJ286,_xlfn.XLOOKUP(K286,K$9:K278,Q$9:Q278,1,,-1)+1,1))</f>
        <v>1</v>
      </c>
      <c r="R286" s="156">
        <f>IF(K286="","",_xlfn.XLOOKUP(K286,K$9:K278,R$9:R278,0,,-1)+IF($C286=" ",1,0))</f>
        <v>0</v>
      </c>
      <c r="S286" s="501">
        <f>IF($B286="Anulado",0,ROUND(IF(OR($B286="LOSS",$B286="OK"),IF(OR($C286="W",$C286="1/2W",$C286="1/2L"),P286-O286,IF($C286="L",-O286,0))+IF(OR($C287="W",$C287="1/2W",$C287="1/2L"),P287-O287,IF($C287="L",-O287,0))+IF(OR($C288="W",$C288="1/2W",$C288="1/2L"),P288-O288,IF($C288="L",-O288,0)),IF(AND(OR($C286="W",$C286="1/2W",$C286="1/2L"),C287="W"),P286+P287-SUM(O286:O288)+_xlfn.XLOOKUP("X",C286:C288,O286:O288,0),IF(AND(C286=TRUE,C288="W"),P286+P288-SUM(O286:O288),IF(AND(C287="W",C288="W"),P287+P288-SUM(O286:O288)+_xlfn.XLOOKUP("X",C286:C288,O286:O288,0),IF(L288&gt;0,IF(OR($C286="W",$C286="1/2W",$C286="1/2L"),P286-SUM(O286:O288)+_xlfn.XLOOKUP("X",C286:C288,O286:O288,0),IF(OR($C286="W",$C286="1/2W",$C286="1/2L"),P287-SUM(O286:O288)+_xlfn.XLOOKUP("X",C286:C288,O286:O288,0),IF(OR($C286="W",$C286="1/2W",$C286="1/2L"),P288-SUM(O286:O288)+_xlfn.XLOOKUP("X",C286:C288,O286:O288,0),IF(SUM(P286:P288)/3-SUM(O286:O288)+_xlfn.XLOOKUP("X",C286:C288,O286:O288,0)&gt;0,SUM(P286:P288)/3-SUM(O286:O288)+_xlfn.XLOOKUP("X",C286:C288,O286:O288,0),LARGE(P286:P288,1)-SUM(O286:O288))))),IF(OR($C286="W",$C286="1/2W",$C286="1/2L"),P286-SUM(O286:O287)+_xlfn.XLOOKUP("X",C286:C288,O286:O288,0),IF(OR($C286="W",$C286="1/2W",$C286="1/2L"),P287-SUM(O286:O287)+_xlfn.XLOOKUP("X",C286:C288,O286:O288,0),SUM(P286:P287)/2-SUM(O286:O287)+_xlfn.XLOOKUP("X",C286:C288,O286:O288,0)))))))),2))</f>
        <v>0.73</v>
      </c>
      <c r="T286" s="486">
        <f>IF(S286=0,0,S286/SUM(O286:O288))</f>
        <v>9.6688741721854307E-2</v>
      </c>
      <c r="U286" s="496">
        <f>IF($D286=$D283,IF(OR($B286="LOSS",$B286="OK",$B286="Anulada"),S286,0)+U283,IF(OR($B286="LOSS",$B286="OK",$B286="Anulada"),S286,0))</f>
        <v>3.28</v>
      </c>
      <c r="V286" s="496">
        <f>IF($D286="",0,IF($D286=$D283,IF($B286=" ",IF(I288="",IF(OR(AND(I286="DNB1",I287="DNB2"),AND(OR(I286="DNB1",I286="DNB2"),J287=0),AND(OR(I287="DNB1",I287="DNB2"),J286=0),AND(I286="DNB2",I287="DNB1"),AND(IF(J286=0,(J286+1)/ROUND(J286+1,0),J286/ROUND(J286,0))=1,IF(J287=0,(J287+1)/ROUND(IF(J287="",0,J287)+1,0),IF(J287="",0,J287)/ROUND(IF(J287="",1,J287),0))=1,OR(J286&lt;&gt;""),J287&lt;&gt;"")),0,IF(S286&lt;0,IF(I288="",SMALL(P286:P287,1)-SUM(O286:O287),0),SMALL(P286:P287,1)-SUM(O286:O287))),IF(S286&lt;0,IF(I288="",SMALL(P286:P288,1)-SUM(O286:O288),0),LARGE(P286:P288,1)-SUM(O286:O288))),S286)+V283,IF(I288="",IF(OR(AND(I286="DNB1",I287="DNB2"),AND(OR(I286="DNB1",I286="DNB2"),J287=0),AND(OR(I287="DNB1",I287="DNB2"),J286=0),AND(I286="DNB2",I287="DNB1"),AND(IF(J286=0,(J286+1)/ROUND(J286+1,0),J286/ROUND(J286,0))=1,IF(J287=0,(IF(J287="",0,J287)+1)/ROUND(IF(J287="",0,J287)+1,0),IF(J287="",0,J287)/ROUND(IF(J287="",0,J287)+1,0))=1,OR(J286&lt;&gt;""),J287&lt;&gt;"")),0,IF(S286&lt;0,IF(I288="",SMALL(P286:P287,1)-SUM(O286:O287),0),SMALL(P286:P288,1)-SUM(O286:O288))),IF(S286&lt;0,IF(I288="",SMALL(P286:P288,1)-SUM(O286:O288),0),LARGE(P286:P288,1)-SUM(O286:O288)))))</f>
        <v>3.2804000000000015</v>
      </c>
      <c r="W286" s="496">
        <f>IF($D286=$D283,IF(S286&lt;0,IF(I288="",S286,0),S286)+W283,S286)</f>
        <v>3.28</v>
      </c>
      <c r="X286" s="505" t="str">
        <f>IF(OR(SUM(R286:R288)=0,V286=W286),ROUND(IF(W286=0,0,W286/Y286)*100,2)&amp;"%",ROUND(IF(V286=0,0,V286/Y286)*100,2)&amp;"% a "&amp;ROUND(IF(W286=0,0,W286/Y286)*100,2)&amp;"%")</f>
        <v>11,88%</v>
      </c>
      <c r="Y286" s="497">
        <f>IF($D286=$D283,Y283+SUM(O286:O288),SUM(O286:O288))</f>
        <v>27.6</v>
      </c>
      <c r="Z286" s="496">
        <f>IF($B286=" ",SUM(O286:O288),0)+Z283</f>
        <v>0</v>
      </c>
      <c r="AA286" s="496">
        <f>IF(G286="","",IF($B286="Anulado",LARGE(P286:P288,1)-SUM(O286:O288)+AA283,AA283))</f>
        <v>1.4607999999999972</v>
      </c>
      <c r="AB286" s="496">
        <f>IF($D286="","",AB283+S286)</f>
        <v>444.14</v>
      </c>
      <c r="AC286" s="499">
        <f ca="1">IF($D286="","",IF($B286=" ",IF(DAY(G286)=DAY(TODAY()),1+AC283,0+AC283),0+AC283))</f>
        <v>0</v>
      </c>
      <c r="AD286" s="157">
        <f>(1-_xlfn.XLOOKUP(K284,'Fevereiro 2023 - Valor Real'!A3:A15,'Fevereiro 2023 - Valor Real'!C3:C15,0))+1</f>
        <v>2</v>
      </c>
      <c r="AE286" s="158">
        <f>IF(L286="","",IF(L288&gt;0,(SUM(((L286-1)*(1-_xlfn.XLOOKUP(K286,'Fevereiro 2023 - Valor Real'!A3:A15,'Fevereiro 2023 - Valor Real'!C3:C15,0))+1),((L287-1)*(1-_xlfn.XLOOKUP(K287,'Fevereiro 2023 - Valor Real'!A3:A15,'Fevereiro 2023 - Valor Real'!C3:C15,0))+1),((L288-1)*(1-_xlfn.XLOOKUP(K288,'Fevereiro 2023 - Valor Real'!A3:A15,'Fevereiro 2023 - Valor Real'!C3:C15,0))+1))/((L286-1)*(1-_xlfn.XLOOKUP(K286,'Fevereiro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Real'!C3:C15,0))+1))/((L286-1)*(1-_xlfn.XLOOKUP(K286,'Fevereiro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Real'!C3:C15,0))+1))/((L287-1)*(1-_xlfn.XLOOKUP(K287,'Fevereiro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Real'!C3:C15,0))+1))/((L288-1)*(1-_xlfn.XLOOKUP(K288,'Fevereiro 2023 - Valor Real'!A3:A15,'Fevereiro 2023 - Valor Real'!C3:C15,0))+1)),IF(I286="Lay",IF(I287="Lay",((L287/(L287-1)-1)*(1-_xlfn.XLOOKUP(K287,'Fevereiro 2023 - Valor Real'!A3:A15,'Fevereiro 2023 - Valor Real'!C3:C15,0))+1)/(((L287/(L287-1)-1)*(1-_xlfn.XLOOKUP(K287,'Fevereiro 2023 - Valor Real'!A3:A15,'Fevereiro 2023 - Valor Real'!C3:C15,0))+1)+((L286/(L286-1)-1)*(1-_xlfn.XLOOKUP(K286,'Fevereiro 2023 - Valor Real'!A3:A15,'Fevereiro 2023 - Valor Real'!C3:C15,0))+1)),((L287-1)*(1-_xlfn.XLOOKUP(K287,'Fevereiro 2023 - Valor Real'!A3:A15,'Fevereiro 2023 - Valor Real'!C3:C15,0))+1)/(((L287-1)*(1-_xlfn.XLOOKUP(K287,'Fevereiro 2023 - Valor Real'!A3:A15,'Fevereiro 2023 - Valor Real'!C3:C15,0))+1)+((L286/(L286-1)-1)*(1-_xlfn.XLOOKUP(K286,'Fevereiro 2023 - Valor Real'!A3:A15,'Fevereiro 2023 - Valor Real'!C3:C15,0))+1))),IF(I287="Lay",(((L287/(L287-1)-1)*(1-_xlfn.XLOOKUP(K287,'Fevereiro 2023 - Valor Real'!A3:A15,'Fevereiro 2023 - Valor Real'!C3:C15,0))+1))/(((L286-1)*(1-_xlfn.XLOOKUP(K286,'Fevereiro 2023 - Valor Real'!A3:A15,'Fevereiro 2023 - Valor Real'!C3:C15,0))+1)+((L287/(L287-1)-1)*(1-_xlfn.XLOOKUP(K287,'Fevereiro 2023 - Valor Real'!A3:A15,'Fevereiro 2023 - Valor Real'!C3:C15,0))+1)),((L287-1)*(1-_xlfn.XLOOKUP(K287,'Fevereiro 2023 - Valor Real'!A3:A15,'Fevereiro 2023 - Valor Real'!C3:C15,0))+1)/(((L287-1)*(1-_xlfn.XLOOKUP(K287,'Fevereiro 2023 - Valor Real'!A3:A15,'Fevereiro 2023 - Valor Real'!C3:C15,0))+1)+((L286-1)*(1-_xlfn.XLOOKUP(K286,'Fevereiro 2023 - Valor Real'!A3:A15,'Fevereiro 2023 - Valor Real'!C3:C15,0))+1))))))</f>
        <v>0.45701357466063347</v>
      </c>
      <c r="AF286" s="66">
        <f t="shared" si="580"/>
        <v>0</v>
      </c>
      <c r="AG286" s="67">
        <f t="shared" si="580"/>
        <v>-3.45</v>
      </c>
      <c r="AH286" s="67">
        <f t="shared" si="580"/>
        <v>0</v>
      </c>
      <c r="AI286" s="67">
        <f t="shared" si="580"/>
        <v>0</v>
      </c>
      <c r="AJ286" s="67">
        <f t="shared" si="580"/>
        <v>0</v>
      </c>
      <c r="AK286" s="67">
        <f t="shared" si="580"/>
        <v>0</v>
      </c>
      <c r="AL286" s="67">
        <f t="shared" si="580"/>
        <v>0</v>
      </c>
      <c r="AM286" s="67">
        <f t="shared" si="580"/>
        <v>0</v>
      </c>
      <c r="AN286" s="67">
        <f t="shared" si="580"/>
        <v>0</v>
      </c>
      <c r="AO286" s="67">
        <f t="shared" si="580"/>
        <v>0</v>
      </c>
      <c r="AP286" s="67">
        <f t="shared" si="580"/>
        <v>0</v>
      </c>
      <c r="AQ286" s="67">
        <f t="shared" si="580"/>
        <v>0</v>
      </c>
      <c r="AR286" s="68">
        <f t="shared" si="580"/>
        <v>0</v>
      </c>
      <c r="AS286" s="66">
        <f t="shared" ref="AS286:BE286" si="584">IF(AND($B286=" ",$K286=AS$3),$O286,0)</f>
        <v>0</v>
      </c>
      <c r="AT286" s="67">
        <f t="shared" si="584"/>
        <v>0</v>
      </c>
      <c r="AU286" s="67">
        <f t="shared" si="584"/>
        <v>0</v>
      </c>
      <c r="AV286" s="67">
        <f t="shared" si="584"/>
        <v>0</v>
      </c>
      <c r="AW286" s="67">
        <f t="shared" si="584"/>
        <v>0</v>
      </c>
      <c r="AX286" s="67">
        <f t="shared" si="584"/>
        <v>0</v>
      </c>
      <c r="AY286" s="69">
        <f t="shared" si="584"/>
        <v>0</v>
      </c>
      <c r="AZ286" s="70">
        <f t="shared" si="584"/>
        <v>0</v>
      </c>
      <c r="BA286" s="70">
        <f t="shared" si="584"/>
        <v>0</v>
      </c>
      <c r="BB286" s="70">
        <f t="shared" si="584"/>
        <v>0</v>
      </c>
      <c r="BC286" s="71">
        <f t="shared" si="584"/>
        <v>0</v>
      </c>
      <c r="BD286" s="67">
        <f t="shared" si="584"/>
        <v>0</v>
      </c>
      <c r="BE286" s="68">
        <f t="shared" si="584"/>
        <v>0</v>
      </c>
      <c r="BF286" s="66">
        <f t="shared" si="582"/>
        <v>0</v>
      </c>
      <c r="BG286" s="67">
        <f t="shared" si="582"/>
        <v>3.45</v>
      </c>
      <c r="BH286" s="67">
        <f t="shared" si="582"/>
        <v>0</v>
      </c>
      <c r="BI286" s="67">
        <f t="shared" si="582"/>
        <v>0</v>
      </c>
      <c r="BJ286" s="67">
        <f t="shared" si="582"/>
        <v>0</v>
      </c>
      <c r="BK286" s="67">
        <f t="shared" si="582"/>
        <v>0</v>
      </c>
      <c r="BL286" s="67">
        <f t="shared" si="582"/>
        <v>0</v>
      </c>
      <c r="BM286" s="69">
        <f t="shared" si="582"/>
        <v>0</v>
      </c>
      <c r="BN286" s="70">
        <f t="shared" si="582"/>
        <v>0</v>
      </c>
      <c r="BO286" s="70">
        <f t="shared" si="582"/>
        <v>0</v>
      </c>
      <c r="BP286" s="70">
        <f t="shared" si="582"/>
        <v>0</v>
      </c>
      <c r="BQ286" s="71">
        <f t="shared" si="582"/>
        <v>0</v>
      </c>
      <c r="BR286" s="68">
        <f t="shared" si="582"/>
        <v>0</v>
      </c>
      <c r="BS286" s="490">
        <f>IF($B286="LOSS",IF(AND($K286=BS$3,$C286="L"),-$O286,0)+IF(AND($K287=BS$3,$C287="L"),-$O287,0)+IF(AND($K288=BS$3,$C288="L"),-$O288,0),IF(OR(AND($K286=BS$3,OR($C286="W",$C286="1/2W")),AND($K287=BS$3,OR($C287="W",$C287="1/2W")),AND($K288=BS$3,OR($C288="W",$C288="1/2W"))),$S286,0))</f>
        <v>0</v>
      </c>
      <c r="BT286" s="498">
        <f>IF($B286="LOSS",IF(AND($K286=BT$3,$C286="L"),-$O286,0)+IF(AND($K287=BT$3,$C287="L"),-$O287,0)+IF(AND($K287=BT$3,$C288="L"),-$O288,0),IF(OR(AND($K287=BT$3,OR($C286="W",$C286="1/2W")),AND($K287=BT$3,OR($C287="W",$C287="1/2W")),AND($K287=BT$3,OR($C288="W",$C288="1/2W"))),$S286,0))</f>
        <v>0</v>
      </c>
      <c r="BU286" s="488">
        <f>IF($B286="LOSS",IF(AND($K286=BU$3,$C286="L"),-$O286,0)+IF(AND($K287=BU$3,$C287="L"),-$O287,0)+IF(AND($K287=BU$3,$C288="L"),-$O288,0),IF(OR(AND($K287=BU$3,OR($C286="W",$C286="1/2W")),AND($K287=BU$3,OR($C287="W",$C287="1/2W")),AND($K287=BU$3,OR($C288="W",$C288="1/2W"))),$S286,0))</f>
        <v>0</v>
      </c>
      <c r="BV286" s="488">
        <f t="shared" ref="BV286:CE286" si="585">IF($B286="LOSS",IF(AND($K286=BV$3,$C286="L"),-$O286,0)+IF(AND($K287=BV$3,$C287="L"),-$O287,0)+IF(AND($K288=BV$3,$C288="L"),-$O288,0),IF(OR(AND($K286=BV$3,OR($C286="W",$C286="1/2W")),AND($K287=BV$3,OR($C287="W",$C287="1/2W")),AND($K288=BV$3,OR($C288="W",$C288="1/2W"))),$S286,0))</f>
        <v>0</v>
      </c>
      <c r="BW286" s="488">
        <f t="shared" si="585"/>
        <v>0</v>
      </c>
      <c r="BX286" s="488">
        <f t="shared" si="585"/>
        <v>0</v>
      </c>
      <c r="BY286" s="488">
        <f t="shared" si="585"/>
        <v>0</v>
      </c>
      <c r="BZ286" s="488">
        <f t="shared" si="585"/>
        <v>0</v>
      </c>
      <c r="CA286" s="488">
        <f t="shared" si="585"/>
        <v>0</v>
      </c>
      <c r="CB286" s="488">
        <f t="shared" si="585"/>
        <v>0</v>
      </c>
      <c r="CC286" s="488">
        <f t="shared" si="585"/>
        <v>0</v>
      </c>
      <c r="CD286" s="500">
        <f t="shared" si="585"/>
        <v>0.73</v>
      </c>
      <c r="CE286" s="504">
        <f t="shared" si="585"/>
        <v>0</v>
      </c>
      <c r="CF286" s="160">
        <f t="shared" si="515"/>
        <v>0</v>
      </c>
      <c r="CG286" s="161">
        <f t="shared" si="516"/>
        <v>0</v>
      </c>
      <c r="CH286" s="161">
        <f t="shared" si="517"/>
        <v>0</v>
      </c>
      <c r="CI286" s="161">
        <f t="shared" si="518"/>
        <v>1</v>
      </c>
      <c r="CJ286" s="161">
        <f t="shared" si="519"/>
        <v>0</v>
      </c>
      <c r="CK286" s="161">
        <f t="shared" si="520"/>
        <v>0</v>
      </c>
      <c r="CL286" s="161">
        <f t="shared" si="521"/>
        <v>0</v>
      </c>
      <c r="CM286" s="161">
        <f t="shared" si="522"/>
        <v>0</v>
      </c>
      <c r="CN286" s="161">
        <f t="shared" si="523"/>
        <v>0</v>
      </c>
      <c r="CO286" s="161">
        <f t="shared" si="524"/>
        <v>0</v>
      </c>
      <c r="CP286" s="161">
        <f t="shared" si="525"/>
        <v>0</v>
      </c>
      <c r="CQ286" s="161">
        <f t="shared" si="526"/>
        <v>0</v>
      </c>
      <c r="CR286" s="161">
        <f t="shared" si="527"/>
        <v>0</v>
      </c>
      <c r="CS286" s="161">
        <f t="shared" si="528"/>
        <v>0</v>
      </c>
      <c r="CT286" s="75">
        <f t="shared" si="529"/>
        <v>0</v>
      </c>
      <c r="CU286" s="76">
        <f t="shared" si="530"/>
        <v>0</v>
      </c>
      <c r="CV286" s="76">
        <f t="shared" si="531"/>
        <v>0</v>
      </c>
      <c r="CW286" s="76">
        <f t="shared" si="532"/>
        <v>0</v>
      </c>
      <c r="CX286" s="76">
        <f t="shared" si="533"/>
        <v>0</v>
      </c>
      <c r="CY286" s="76">
        <f t="shared" si="534"/>
        <v>0</v>
      </c>
      <c r="CZ286" s="76">
        <f t="shared" si="535"/>
        <v>0</v>
      </c>
      <c r="DA286" s="76">
        <f t="shared" si="536"/>
        <v>0</v>
      </c>
      <c r="DB286" s="76">
        <f t="shared" si="537"/>
        <v>0</v>
      </c>
      <c r="DC286" s="76">
        <f t="shared" si="538"/>
        <v>0</v>
      </c>
      <c r="DD286" s="76">
        <f t="shared" si="539"/>
        <v>0</v>
      </c>
      <c r="DE286" s="77">
        <f t="shared" si="540"/>
        <v>0</v>
      </c>
      <c r="DF286" s="73">
        <f t="shared" si="542"/>
        <v>16</v>
      </c>
      <c r="DG286" s="67">
        <f t="shared" si="543"/>
        <v>20.66</v>
      </c>
      <c r="DH286" s="76">
        <f t="shared" si="544"/>
        <v>8</v>
      </c>
      <c r="DI286" s="67">
        <f t="shared" si="545"/>
        <v>33.049999999999997</v>
      </c>
      <c r="DJ286" s="202" t="str">
        <f>IF($D286="","",$D286)</f>
        <v>9</v>
      </c>
      <c r="DK286" s="492">
        <f>IF(AND($B286=" ",$D286&lt;&gt;""),1,0)</f>
        <v>0</v>
      </c>
    </row>
    <row r="287" spans="1:115" ht="14.5" customHeight="1" x14ac:dyDescent="0.2">
      <c r="A287" s="389"/>
      <c r="B287" s="456"/>
      <c r="C287" s="53" t="s">
        <v>54</v>
      </c>
      <c r="D287" s="374"/>
      <c r="E287" s="386"/>
      <c r="F287" s="377"/>
      <c r="G287" s="508"/>
      <c r="H287" s="476"/>
      <c r="I287" s="182" t="s">
        <v>52</v>
      </c>
      <c r="J287" s="56">
        <f>IF(OR(I286="TO",I286="TU",I286="TO1",I286="TU1",I286="TO2",I286="TU2"),J286,IF(OR(I286="AH1",I286="AH2"),IF(OR(I287="AH1",I287="AH2"),-J286,IF(OR(I287="EH1",I287="EH2"),-J286+0.5,"")),IF(OR(I286="EH1",I286="EH2"),IF(OR(I287="AH1",I287="AH2"),-J286+0.5,IF(OR(I287="EH1",I287="EH2"),-J286+1,"")),IF(AND(OR(I286="DNB1",I286="DNB2"),OR(I287="AH1",I287="AH2")),0,IF(AND(I286="Not ScoreBoth",OR(I287="TO1",I287="TO2")),0.5,"")))))</f>
        <v>22.5</v>
      </c>
      <c r="K287" s="57" t="s">
        <v>47</v>
      </c>
      <c r="L287" s="164">
        <v>2.02</v>
      </c>
      <c r="M287" s="165">
        <v>4.0999999999999996</v>
      </c>
      <c r="N287" s="406"/>
      <c r="O287" s="60">
        <f>IF(OR(AE286="",AE287=""),"",ROUND(IF(L288&gt;0,IF(M287&gt;0,M287,IF(M286&gt;0,IF(N286=TRUE,ROUND((M286*AE287)/AE286,0),(M286*AE287)/AE286),IF(M287&gt;0,ROUND(M287,IF(N286=0,2,IF(N286=0.1,1,0))),IF(M288&gt;0,ROUND(O288*AE287/AE288,IF(N286=0,2,IF(N286=0.1,1,0))),0)))),IF(M287&gt;0,M287,ROUND((M286*AE287)/AE286,IF(N286=0,2,IF(N286=0.1,1,0))))),2))</f>
        <v>4.0999999999999996</v>
      </c>
      <c r="P287" s="61">
        <f>IF(OR(L287="",O287=""),"",IF($C287="1/2W",O287/2+O287/2*L287,IF($C287="1/2L",O287/2,IF(I287="Lay",((O287*(L287/(L287-1)))-O287)*(1-_xlfn.XLOOKUP(K287,'Fevereiro 2023 - Valor Real'!A3:A15,'Fevereiro 2023 - Valor Real'!C3:C15,0))+O287,(O287*L287-O287)*(1-_xlfn.XLOOKUP(K287,'Fevereiro 2023 - Valor Real'!A3:A15,'Fevereiro 2023 - Valor Real'!C3:C15,0))+O287))))</f>
        <v>8.282</v>
      </c>
      <c r="Q287" s="166">
        <f>IF(K287="","",IF(_xlfn.XLOOKUP(K287,K$10:K278,$DJ$10:DJ278,0,,-1)=DJ287,_xlfn.XLOOKUP(K287,K$10:K278,Q$10:Q278,1,,-1)+1,1))</f>
        <v>1</v>
      </c>
      <c r="R287" s="167">
        <f>IF(K287="","",_xlfn.XLOOKUP(K287,K$10:K278,R$10:R278,0,,-1)+IF($C287=" ",1,0))</f>
        <v>0</v>
      </c>
      <c r="S287" s="403"/>
      <c r="T287" s="380"/>
      <c r="U287" s="380"/>
      <c r="V287" s="481"/>
      <c r="W287" s="380"/>
      <c r="X287" s="452"/>
      <c r="Y287" s="383"/>
      <c r="Z287" s="384"/>
      <c r="AA287" s="384"/>
      <c r="AB287" s="384"/>
      <c r="AC287" s="384"/>
      <c r="AD287" s="64"/>
      <c r="AE287" s="65">
        <f>IF(L287="","",IF(L288&gt;0,(SUM(((L286-1)*(1-_xlfn.XLOOKUP(K286,'Fevereiro 2023 - Valor Real'!A3:A15,'Fevereiro 2023 - Valor Real'!C3:C15,0))+1),((L287-1)*(1-_xlfn.XLOOKUP(K287,'Fevereiro 2023 - Valor Real'!A3:A15,'Fevereiro 2023 - Valor Real'!C3:C15,0))+1),((L288-1)*(1-_xlfn.XLOOKUP(K288,'Fevereiro 2023 - Valor Real'!A3:A15,'Fevereiro 2023 - Valor Real'!C3:C15,0))+1))/((L287-1)*(1-_xlfn.XLOOKUP(K287,'Fevereiro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Real'!C3:C15,0))+1))/((L286-1)*(1-_xlfn.XLOOKUP(K286,'Fevereiro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Real'!C3:C15,0))+1))/((L287-1)*(1-_xlfn.XLOOKUP(K287,'Fevereiro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Real'!C3:C15,0))+1))/((L288-1)*(1-_xlfn.XLOOKUP(K288,'Fevereiro 2023 - Valor Real'!A3:A15,'Fevereiro 2023 - Valor Real'!C3:C15,0))+1)),IF(I287="Lay",IF(I286="Lay",((L286/(L286-1)-1)*(1-_xlfn.XLOOKUP(K286,'Fevereiro 2023 - Valor Real'!A3:A15,'Fevereiro 2023 - Valor Real'!C3:C15,0))+1)/(((L286/(L286-1)-1)*(1-_xlfn.XLOOKUP(K286,'Fevereiro 2023 - Valor Real'!A3:A15,'Fevereiro 2023 - Valor Real'!C3:C15,0))+1)+((L287/(L287-1)-1)*(1-_xlfn.XLOOKUP(K287,'Fevereiro 2023 - Valor Real'!A3:A15,'Fevereiro 2023 - Valor Real'!C3:C15,0))+1)),((L286-1)*(1-_xlfn.XLOOKUP(K286,'Fevereiro 2023 - Valor Real'!A3:A15,'Fevereiro 2023 - Valor Real'!C3:C15,0))+1)/(((L286-1)*(1-_xlfn.XLOOKUP(K286,'Fevereiro 2023 - Valor Real'!A3:A15,'Fevereiro 2023 - Valor Real'!C3:C15,0))+1)+((L287/(L287-1)-1)*(1-_xlfn.XLOOKUP(K287,'Fevereiro 2023 - Valor Real'!A3:A15,'Fevereiro 2023 - Valor Real'!C3:C15,0))+1))),IF(I286="Lay",((L286/(L286-1)-1)*(1-_xlfn.XLOOKUP(K286,'Fevereiro 2023 - Valor Real'!A3:A15,'Fevereiro 2023 - Valor Real'!C3:C15,0))+1)/((((L286/(L286-1)-1)*(1-_xlfn.XLOOKUP(K286,'Fevereiro 2023 - Valor Real'!A3:A15,'Fevereiro 2023 - Valor Real'!C3:C15,0))+1))+((L287-1)*(1-_xlfn.XLOOKUP(K287,'Fevereiro 2023 - Valor Real'!A3:A15,'Fevereiro 2023 - Valor Real'!C3:C15,0))+1)),((L286-1)*(1-_xlfn.XLOOKUP(K286,'Fevereiro 2023 - Valor Real'!A3:A15,'Fevereiro 2023 - Valor Real'!C3:C15,0))+1)/(((L286-1)*(1-_xlfn.XLOOKUP(K286,'Fevereiro 2023 - Valor Real'!A3:A15,'Fevereiro 2023 - Valor Real'!C3:C15,0))+1)+((L287-1)*(1-_xlfn.XLOOKUP(K287,'Fevereiro 2023 - Valor Real'!A3:A15,'Fevereiro 2023 - Valor Real'!C3:C15,0))+1))))))</f>
        <v>0.54298642533936647</v>
      </c>
      <c r="AF287" s="66">
        <f t="shared" si="580"/>
        <v>0</v>
      </c>
      <c r="AG287" s="67">
        <f t="shared" si="580"/>
        <v>0</v>
      </c>
      <c r="AH287" s="67">
        <f t="shared" si="580"/>
        <v>0</v>
      </c>
      <c r="AI287" s="67">
        <f t="shared" si="580"/>
        <v>0</v>
      </c>
      <c r="AJ287" s="67">
        <f t="shared" si="580"/>
        <v>0</v>
      </c>
      <c r="AK287" s="67">
        <f t="shared" si="580"/>
        <v>0</v>
      </c>
      <c r="AL287" s="67">
        <f t="shared" si="580"/>
        <v>0</v>
      </c>
      <c r="AM287" s="67">
        <f t="shared" si="580"/>
        <v>0</v>
      </c>
      <c r="AN287" s="67">
        <f t="shared" si="580"/>
        <v>0</v>
      </c>
      <c r="AO287" s="67">
        <f t="shared" si="580"/>
        <v>0</v>
      </c>
      <c r="AP287" s="67">
        <f t="shared" si="580"/>
        <v>0</v>
      </c>
      <c r="AQ287" s="67">
        <f t="shared" si="580"/>
        <v>4.18</v>
      </c>
      <c r="AR287" s="68">
        <f t="shared" si="580"/>
        <v>0</v>
      </c>
      <c r="AS287" s="66">
        <f>IF(AND($B286=" ",$K287=AS$3),$O287,0)</f>
        <v>0</v>
      </c>
      <c r="AT287" s="67">
        <f>IF(AND($B286=" ",K287=AT$3),$O287,0)</f>
        <v>0</v>
      </c>
      <c r="AU287" s="67">
        <f t="shared" ref="AU287:BE287" si="586">IF(AND($B286=" ",$K287=AU$3),$O287,0)</f>
        <v>0</v>
      </c>
      <c r="AV287" s="67">
        <f t="shared" si="586"/>
        <v>0</v>
      </c>
      <c r="AW287" s="67">
        <f t="shared" si="586"/>
        <v>0</v>
      </c>
      <c r="AX287" s="67">
        <f t="shared" si="586"/>
        <v>0</v>
      </c>
      <c r="AY287" s="69">
        <f t="shared" si="586"/>
        <v>0</v>
      </c>
      <c r="AZ287" s="70">
        <f t="shared" si="586"/>
        <v>0</v>
      </c>
      <c r="BA287" s="70">
        <f t="shared" si="586"/>
        <v>0</v>
      </c>
      <c r="BB287" s="70">
        <f t="shared" si="586"/>
        <v>0</v>
      </c>
      <c r="BC287" s="71">
        <f t="shared" si="586"/>
        <v>0</v>
      </c>
      <c r="BD287" s="67">
        <f t="shared" si="586"/>
        <v>0</v>
      </c>
      <c r="BE287" s="68">
        <f t="shared" si="586"/>
        <v>0</v>
      </c>
      <c r="BF287" s="66">
        <f t="shared" si="582"/>
        <v>0</v>
      </c>
      <c r="BG287" s="168">
        <f t="shared" si="582"/>
        <v>0</v>
      </c>
      <c r="BH287" s="67">
        <f t="shared" si="582"/>
        <v>0</v>
      </c>
      <c r="BI287" s="67">
        <f t="shared" si="582"/>
        <v>0</v>
      </c>
      <c r="BJ287" s="67">
        <f t="shared" si="582"/>
        <v>0</v>
      </c>
      <c r="BK287" s="67">
        <f t="shared" si="582"/>
        <v>0</v>
      </c>
      <c r="BL287" s="67">
        <f t="shared" si="582"/>
        <v>0</v>
      </c>
      <c r="BM287" s="69">
        <f t="shared" si="582"/>
        <v>0</v>
      </c>
      <c r="BN287" s="70">
        <f t="shared" si="582"/>
        <v>0</v>
      </c>
      <c r="BO287" s="70">
        <f t="shared" si="582"/>
        <v>0</v>
      </c>
      <c r="BP287" s="70">
        <f t="shared" si="582"/>
        <v>0</v>
      </c>
      <c r="BQ287" s="71">
        <f t="shared" si="582"/>
        <v>4.0999999999999996</v>
      </c>
      <c r="BR287" s="68">
        <f t="shared" si="582"/>
        <v>0</v>
      </c>
      <c r="BS287" s="491"/>
      <c r="BT287" s="489"/>
      <c r="BU287" s="392"/>
      <c r="BV287" s="489"/>
      <c r="BW287" s="392"/>
      <c r="BX287" s="392"/>
      <c r="BY287" s="392"/>
      <c r="BZ287" s="489"/>
      <c r="CA287" s="392"/>
      <c r="CB287" s="392"/>
      <c r="CC287" s="392"/>
      <c r="CD287" s="401"/>
      <c r="CE287" s="409"/>
      <c r="CF287" s="169">
        <f t="shared" si="515"/>
        <v>0</v>
      </c>
      <c r="CG287" s="170">
        <f t="shared" si="516"/>
        <v>0</v>
      </c>
      <c r="CH287" s="170">
        <f t="shared" si="517"/>
        <v>0</v>
      </c>
      <c r="CI287" s="170">
        <f t="shared" si="518"/>
        <v>0</v>
      </c>
      <c r="CJ287" s="170">
        <f t="shared" si="519"/>
        <v>0</v>
      </c>
      <c r="CK287" s="170">
        <f t="shared" si="520"/>
        <v>0</v>
      </c>
      <c r="CL287" s="170">
        <f t="shared" si="521"/>
        <v>0</v>
      </c>
      <c r="CM287" s="170">
        <f t="shared" si="522"/>
        <v>0</v>
      </c>
      <c r="CN287" s="170">
        <f t="shared" si="523"/>
        <v>0</v>
      </c>
      <c r="CO287" s="170">
        <f t="shared" si="524"/>
        <v>0</v>
      </c>
      <c r="CP287" s="170">
        <f t="shared" si="525"/>
        <v>0</v>
      </c>
      <c r="CQ287" s="170">
        <f t="shared" si="526"/>
        <v>0</v>
      </c>
      <c r="CR287" s="170">
        <f t="shared" si="527"/>
        <v>0</v>
      </c>
      <c r="CS287" s="170">
        <f t="shared" si="528"/>
        <v>0</v>
      </c>
      <c r="CT287" s="75">
        <f t="shared" si="529"/>
        <v>0</v>
      </c>
      <c r="CU287" s="76">
        <f t="shared" si="530"/>
        <v>0</v>
      </c>
      <c r="CV287" s="76">
        <f t="shared" si="531"/>
        <v>0</v>
      </c>
      <c r="CW287" s="76">
        <f t="shared" si="532"/>
        <v>0</v>
      </c>
      <c r="CX287" s="76">
        <f t="shared" si="533"/>
        <v>0</v>
      </c>
      <c r="CY287" s="76">
        <f t="shared" si="534"/>
        <v>0</v>
      </c>
      <c r="CZ287" s="76">
        <f t="shared" si="535"/>
        <v>0</v>
      </c>
      <c r="DA287" s="76">
        <f t="shared" si="536"/>
        <v>0</v>
      </c>
      <c r="DB287" s="76">
        <f t="shared" si="537"/>
        <v>1</v>
      </c>
      <c r="DC287" s="76">
        <f t="shared" si="538"/>
        <v>0</v>
      </c>
      <c r="DD287" s="76">
        <f t="shared" si="539"/>
        <v>0</v>
      </c>
      <c r="DE287" s="77">
        <f t="shared" si="540"/>
        <v>0</v>
      </c>
      <c r="DF287" s="73">
        <f t="shared" si="542"/>
        <v>16</v>
      </c>
      <c r="DG287" s="67">
        <f t="shared" si="543"/>
        <v>20.66</v>
      </c>
      <c r="DH287" s="76">
        <f t="shared" si="544"/>
        <v>8</v>
      </c>
      <c r="DI287" s="67">
        <f t="shared" si="545"/>
        <v>33.049999999999997</v>
      </c>
      <c r="DJ287" s="202" t="str">
        <f>IF($D286="","",$D286)</f>
        <v>9</v>
      </c>
      <c r="DK287" s="493"/>
    </row>
    <row r="288" spans="1:115" ht="14.5" customHeight="1" x14ac:dyDescent="0.2">
      <c r="A288" s="390"/>
      <c r="B288" s="457"/>
      <c r="C288" s="79" t="s">
        <v>53</v>
      </c>
      <c r="D288" s="375"/>
      <c r="E288" s="387"/>
      <c r="F288" s="378"/>
      <c r="G288" s="508"/>
      <c r="H288" s="477"/>
      <c r="I288" s="171"/>
      <c r="J288" s="172"/>
      <c r="K288" s="81"/>
      <c r="L288" s="173"/>
      <c r="M288" s="174"/>
      <c r="N288" s="407"/>
      <c r="O288" s="86" t="str">
        <f>IF(OR(AE286="",AE287=""),"",IF(L288&gt;0,ROUND(IF(M288&gt;0,M288,IF(M286&gt;0,ROUND((M286*AE288)/AE286,IF(N286=0,2,IF(N286=0.1,1,0))),IF(M287&gt;0,ROUND((M287*AE288)/AE287,IF(N286=0,2,IF(N286=0.1,1,0))),IF(M288&gt;0,M288,0)))),2),""))</f>
        <v/>
      </c>
      <c r="P288" s="87" t="str">
        <f>IF(I287="Lay",O287*(L287/(L287-1))-O287,IF(I286="Lay",O286*(L286/(L286-1))-O286,IF(OR(L288="",O288=""),"",IF($C288="1/2W",O288/2+O288/2*L288,IF($C288="1/2L",O288/2,(O288*L288-O288)*(1-_xlfn.XLOOKUP(K288,'Fevereiro 2023 - Valor Real'!A3:A15,'Fevereiro 2023 - Valor Real'!C3:C15,0))+O288)))))</f>
        <v/>
      </c>
      <c r="Q288" s="54" t="str">
        <f>IF(K288="","",IF(_xlfn.XLOOKUP(K288,K$11:K278,$DJ$11:DJ278,0,,-1)=DJ288,_xlfn.XLOOKUP(K288,K$11:K278,Q$11:Q278,1,,-1)+1,1))</f>
        <v/>
      </c>
      <c r="R288" s="87" t="str">
        <f>IF(K288="","",_xlfn.XLOOKUP(K288,K$11:K278,R$11:R278,0,,-1)+IF($C288=" ",1,0))</f>
        <v/>
      </c>
      <c r="S288" s="404"/>
      <c r="T288" s="378"/>
      <c r="U288" s="378"/>
      <c r="V288" s="404"/>
      <c r="W288" s="378"/>
      <c r="X288" s="453"/>
      <c r="Y288" s="383"/>
      <c r="Z288" s="384"/>
      <c r="AA288" s="384"/>
      <c r="AB288" s="384"/>
      <c r="AC288" s="384"/>
      <c r="AD288" s="90"/>
      <c r="AE288" s="91" t="str">
        <f>IF(L288="","",(SUM(((L286-1)*(1-_xlfn.XLOOKUP(K286,'Fevereiro 2023 - Valor Real'!A3:A15,'Fevereiro 2023 - Valor Real'!C3:C15,0))+1),((L287-1)*(1-_xlfn.XLOOKUP(K287,'Fevereiro 2023 - Valor Real'!A3:A15,'Fevereiro 2023 - Valor Real'!C3:C15,0))+1),((L288-1)*(1-_xlfn.XLOOKUP(K288,'Fevereiro 2023 - Valor Real'!A3:A15,'Fevereiro 2023 - Valor Real'!C3:C15,0))+1))/((L288-1)*(1-_xlfn.XLOOKUP(K288,'Fevereiro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Real'!C3:C15,0))+1))/((L286-1)*(1-_xlfn.XLOOKUP(K286,'Fevereiro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Real'!C3:C15,0))+1))/((L287-1)*(1-_xlfn.XLOOKUP(K287,'Fevereiro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Real'!C3:C15,0))+1))/((L288-1)*(1-_xlfn.XLOOKUP(K288,'Fevereiro 2023 - Valor Real'!A3:A15,'Fevereiro 2023 - Valor Real'!C3:C15,0))+1)))</f>
        <v/>
      </c>
      <c r="AF288" s="66">
        <f t="shared" si="580"/>
        <v>0</v>
      </c>
      <c r="AG288" s="67">
        <f t="shared" si="580"/>
        <v>0</v>
      </c>
      <c r="AH288" s="67">
        <f t="shared" si="580"/>
        <v>0</v>
      </c>
      <c r="AI288" s="67">
        <f t="shared" si="580"/>
        <v>0</v>
      </c>
      <c r="AJ288" s="67">
        <f t="shared" si="580"/>
        <v>0</v>
      </c>
      <c r="AK288" s="67">
        <f t="shared" si="580"/>
        <v>0</v>
      </c>
      <c r="AL288" s="67">
        <f t="shared" si="580"/>
        <v>0</v>
      </c>
      <c r="AM288" s="67">
        <f t="shared" si="580"/>
        <v>0</v>
      </c>
      <c r="AN288" s="67">
        <f t="shared" si="580"/>
        <v>0</v>
      </c>
      <c r="AO288" s="67">
        <f t="shared" si="580"/>
        <v>0</v>
      </c>
      <c r="AP288" s="67">
        <f t="shared" si="580"/>
        <v>0</v>
      </c>
      <c r="AQ288" s="67">
        <f t="shared" si="580"/>
        <v>0</v>
      </c>
      <c r="AR288" s="68">
        <f t="shared" si="580"/>
        <v>0</v>
      </c>
      <c r="AS288" s="66">
        <f>IF(AND($B286=" ",$K288=AS$3),$O288,0)</f>
        <v>0</v>
      </c>
      <c r="AT288" s="67">
        <f>IF(AND($B286=" ",K288=AT$3),$O288,0)</f>
        <v>0</v>
      </c>
      <c r="AU288" s="67">
        <f t="shared" ref="AU288:BE288" si="587">IF(AND($B286=" ",$K288=AU$3),$O288,0)</f>
        <v>0</v>
      </c>
      <c r="AV288" s="67">
        <f t="shared" si="587"/>
        <v>0</v>
      </c>
      <c r="AW288" s="67">
        <f t="shared" si="587"/>
        <v>0</v>
      </c>
      <c r="AX288" s="67">
        <f t="shared" si="587"/>
        <v>0</v>
      </c>
      <c r="AY288" s="69">
        <f t="shared" si="587"/>
        <v>0</v>
      </c>
      <c r="AZ288" s="70">
        <f t="shared" si="587"/>
        <v>0</v>
      </c>
      <c r="BA288" s="70">
        <f t="shared" si="587"/>
        <v>0</v>
      </c>
      <c r="BB288" s="70">
        <f t="shared" si="587"/>
        <v>0</v>
      </c>
      <c r="BC288" s="71">
        <f t="shared" si="587"/>
        <v>0</v>
      </c>
      <c r="BD288" s="67">
        <f t="shared" si="587"/>
        <v>0</v>
      </c>
      <c r="BE288" s="68">
        <f t="shared" si="587"/>
        <v>0</v>
      </c>
      <c r="BF288" s="66">
        <f t="shared" si="582"/>
        <v>0</v>
      </c>
      <c r="BG288" s="168">
        <f t="shared" si="582"/>
        <v>0</v>
      </c>
      <c r="BH288" s="67">
        <f t="shared" si="582"/>
        <v>0</v>
      </c>
      <c r="BI288" s="67">
        <f t="shared" si="582"/>
        <v>0</v>
      </c>
      <c r="BJ288" s="67">
        <f t="shared" si="582"/>
        <v>0</v>
      </c>
      <c r="BK288" s="67">
        <f t="shared" si="582"/>
        <v>0</v>
      </c>
      <c r="BL288" s="67">
        <f t="shared" si="582"/>
        <v>0</v>
      </c>
      <c r="BM288" s="69">
        <f t="shared" si="582"/>
        <v>0</v>
      </c>
      <c r="BN288" s="70">
        <f t="shared" si="582"/>
        <v>0</v>
      </c>
      <c r="BO288" s="70">
        <f t="shared" si="582"/>
        <v>0</v>
      </c>
      <c r="BP288" s="70">
        <f t="shared" si="582"/>
        <v>0</v>
      </c>
      <c r="BQ288" s="71">
        <f t="shared" si="582"/>
        <v>0</v>
      </c>
      <c r="BR288" s="68">
        <f t="shared" si="582"/>
        <v>0</v>
      </c>
      <c r="BS288" s="491"/>
      <c r="BT288" s="489"/>
      <c r="BU288" s="392"/>
      <c r="BV288" s="489"/>
      <c r="BW288" s="392"/>
      <c r="BX288" s="392"/>
      <c r="BY288" s="392"/>
      <c r="BZ288" s="489"/>
      <c r="CA288" s="392"/>
      <c r="CB288" s="392"/>
      <c r="CC288" s="392"/>
      <c r="CD288" s="401"/>
      <c r="CE288" s="409"/>
      <c r="CF288" s="169">
        <f t="shared" si="515"/>
        <v>0</v>
      </c>
      <c r="CG288" s="170">
        <f t="shared" si="516"/>
        <v>0</v>
      </c>
      <c r="CH288" s="170">
        <f t="shared" si="517"/>
        <v>0</v>
      </c>
      <c r="CI288" s="170">
        <f t="shared" si="518"/>
        <v>0</v>
      </c>
      <c r="CJ288" s="170">
        <f t="shared" si="519"/>
        <v>0</v>
      </c>
      <c r="CK288" s="170">
        <f t="shared" si="520"/>
        <v>0</v>
      </c>
      <c r="CL288" s="170">
        <f t="shared" si="521"/>
        <v>0</v>
      </c>
      <c r="CM288" s="170">
        <f t="shared" si="522"/>
        <v>0</v>
      </c>
      <c r="CN288" s="170">
        <f t="shared" si="523"/>
        <v>0</v>
      </c>
      <c r="CO288" s="170">
        <f t="shared" si="524"/>
        <v>0</v>
      </c>
      <c r="CP288" s="170">
        <f t="shared" si="525"/>
        <v>0</v>
      </c>
      <c r="CQ288" s="170">
        <f t="shared" si="526"/>
        <v>0</v>
      </c>
      <c r="CR288" s="170">
        <f t="shared" si="527"/>
        <v>0</v>
      </c>
      <c r="CS288" s="170">
        <f t="shared" si="528"/>
        <v>0</v>
      </c>
      <c r="CT288" s="75">
        <f t="shared" si="529"/>
        <v>0</v>
      </c>
      <c r="CU288" s="76">
        <f t="shared" si="530"/>
        <v>0</v>
      </c>
      <c r="CV288" s="76">
        <f t="shared" si="531"/>
        <v>0</v>
      </c>
      <c r="CW288" s="76">
        <f t="shared" si="532"/>
        <v>0</v>
      </c>
      <c r="CX288" s="76">
        <f t="shared" si="533"/>
        <v>0</v>
      </c>
      <c r="CY288" s="76">
        <f t="shared" si="534"/>
        <v>0</v>
      </c>
      <c r="CZ288" s="76">
        <f t="shared" si="535"/>
        <v>0</v>
      </c>
      <c r="DA288" s="76">
        <f t="shared" si="536"/>
        <v>0</v>
      </c>
      <c r="DB288" s="76">
        <f t="shared" si="537"/>
        <v>0</v>
      </c>
      <c r="DC288" s="76">
        <f t="shared" si="538"/>
        <v>0</v>
      </c>
      <c r="DD288" s="76">
        <f t="shared" si="539"/>
        <v>0</v>
      </c>
      <c r="DE288" s="77">
        <f t="shared" si="540"/>
        <v>0</v>
      </c>
      <c r="DF288" s="73">
        <f t="shared" si="542"/>
        <v>16</v>
      </c>
      <c r="DG288" s="67">
        <f t="shared" si="543"/>
        <v>20.66</v>
      </c>
      <c r="DH288" s="76">
        <f t="shared" si="544"/>
        <v>8</v>
      </c>
      <c r="DI288" s="67">
        <f t="shared" si="545"/>
        <v>33.049999999999997</v>
      </c>
      <c r="DJ288" s="202" t="str">
        <f>IF($D286="","",$D286)</f>
        <v>9</v>
      </c>
      <c r="DK288" s="493"/>
    </row>
    <row r="289" spans="1:115" ht="14.5" customHeight="1" x14ac:dyDescent="0.2">
      <c r="A289" s="459">
        <f>$A286+1</f>
        <v>96</v>
      </c>
      <c r="B289" s="507" t="str">
        <f>IF(OR(C289="W",C290="W",C291="W",C289="1/2W",C290="1/2W",C291="1/2W",C289="1/2L",C290="1/2L",C291="1/2L"),"OK",IF(OR(C289="L",C290="L",C291="L"),"LOSS",IF(OR(C289="X",C290="X",C291="X"),"Anulado"," ")))</f>
        <v>OK</v>
      </c>
      <c r="C289" s="93" t="s">
        <v>55</v>
      </c>
      <c r="D289" s="468" t="str">
        <f>IF(G289="","",$D286)</f>
        <v>9</v>
      </c>
      <c r="E289" s="485" t="str">
        <f>IF(G289=""," ","– "&amp;COUNTIF(D$4:D291,$D289))</f>
        <v>– 4</v>
      </c>
      <c r="F289" s="509" t="str">
        <f ca="1">IF(G289="","",IF(OR(AND($C289&lt;&gt;" ",$C290=" "),AND($C290&lt;&gt;" ",$C289=" "),AND(L291&gt;0,OR(AND($C291&lt;&gt;" ",OR($C289=" ",$C290=" ")),AND($C291=" ",OR($C289&lt;&gt;" ",$C290&lt;&gt;" "))))),IF(SUM(F$6:F284)=0,1,LARGE(F$6:F284,1)+1),IF(MONTH(G289)=MONTH(TODAY()),IF(AND(DAY(G289)&lt;DAY(TODAY()),$B289=" "),IF(SUM(F$6:F284)=0,1,LARGE(F$6:F284,1)+1),IF($B289=" ",IF(AND(DAY(G289)=DAY(TODAY()),HOUR(G289)&lt;=HOUR(NOW())+1),IF(AND(HOUR(G289)+2&lt;=HOUR(NOW()),DAY(G289)&lt;=DAY(TODAY()),MINUTE(G289)&lt;=MINUTE(NOW())),IF(SUM(F$6:F284)=0,1,LARGE(F$6:F284,1)+1),IF(OR(MINUTE(G289)&lt;=MINUTE(NOW()),HOUR(G289)&lt;=HOUR(NOW())),"!!!","")),""),"")),"")))</f>
        <v/>
      </c>
      <c r="G289" s="482">
        <v>44994.625</v>
      </c>
      <c r="H289" s="475" t="s">
        <v>142</v>
      </c>
      <c r="I289" s="175">
        <v>1</v>
      </c>
      <c r="J289" s="176"/>
      <c r="K289" s="96" t="s">
        <v>47</v>
      </c>
      <c r="L289" s="97">
        <v>7.4</v>
      </c>
      <c r="M289" s="98">
        <v>4.08</v>
      </c>
      <c r="N289" s="478">
        <v>0.1</v>
      </c>
      <c r="O289" s="99">
        <f>IF(OR(AE289="",AE290=""),"",ROUND(IF(L291&gt;0,IF(M289&gt;0,M289,IF(M290&gt;0,ROUND((M290*AE289)/AE290,IF(N289=0,2,IF(N289=0.1,1,0))),ROUND((M291*AE289)/AE291,IF(N289=0,2,IF(N289=0.1,1,0))))),IF(M289&gt;0,M289,ROUND((M290*AE289)/AE290,IF(N289=0,2,IF(N289=0.1,1,0))))),2))</f>
        <v>4.08</v>
      </c>
      <c r="P289" s="100">
        <f>IF(OR(L289="",O289=""),"",IF($C289="1/2W",O289/2+O289/2*L289,IF($C289="1/2L",O289/2,IF(I289="Lay",(O289*(L289/(L289-1))-O289)*(1-_xlfn.XLOOKUP(K289,'Fevereiro 2023 - Valor Real'!A3:A15,'Fevereiro 2023 - Valor Real'!C3:C15,0))+O289,(O289*L289-O289)*(1-_xlfn.XLOOKUP(K289,'Fevereiro 2023 - Valor Real'!A3:A15,'Fevereiro 2023 - Valor Real'!C3:C15,0))+O289))))</f>
        <v>30.192</v>
      </c>
      <c r="Q289" s="101">
        <f>IF(K289="","",IF(_xlfn.XLOOKUP(K289,K$6:K284,$DJ$6:DJ284,0,,-1)=DJ289,_xlfn.XLOOKUP(K289,K$6:K284,Q$6:Q284,1,,-1)+1,1))</f>
        <v>2</v>
      </c>
      <c r="R289" s="102">
        <f>IF(K289="","",_xlfn.XLOOKUP(K289,K$6:K284,R$6:R284,0,,-1)+IF($C289=" ",1,0))</f>
        <v>0</v>
      </c>
      <c r="S289" s="474">
        <f>IF($B289="Anulado",0,ROUND(IF(OR($B289="LOSS",$B289="OK"),IF(OR($C289="W",$C289="1/2W",$C289="1/2L"),P289-O289,IF($C289="L",-O289,0))+IF(OR($C290="W",$C290="1/2W",$C290="1/2L"),P290-O290,IF($C290="L",-O290,0))+IF(OR($C291="W",$C291="1/2W",$C291="1/2L"),P291-O291,IF($C291="L",-O291,0)),IF(AND(OR($C289="W",$C289="1/2W",$C289="1/2L"),C290="W"),P289+P290-SUM(O289:O291)+_xlfn.XLOOKUP("X",C289:C291,O289:O291,0),IF(AND(C289=TRUE,C291="W"),P289+P291-SUM(O289:O291),IF(AND(C290="W",C291="W"),P290+P291-SUM(O289:O291)+_xlfn.XLOOKUP("X",C289:C291,O289:O291,0),IF(L291&gt;0,IF(OR($C289="W",$C289="1/2W",$C289="1/2L"),P289-SUM(O289:O291)+_xlfn.XLOOKUP("X",C289:C291,O289:O291,0),IF(OR($C289="W",$C289="1/2W",$C289="1/2L"),P290-SUM(O289:O291)+_xlfn.XLOOKUP("X",C289:C291,O289:O291,0),IF(OR($C289="W",$C289="1/2W",$C289="1/2L"),P291-SUM(O289:O291)+_xlfn.XLOOKUP("X",C289:C291,O289:O291,0),IF(SUM(P289:P291)/3-SUM(O289:O291)+_xlfn.XLOOKUP("X",C289:C291,O289:O291,0)&gt;0,SUM(P289:P291)/3-SUM(O289:O291)+_xlfn.XLOOKUP("X",C289:C291,O289:O291,0),LARGE(P289:P291,1)-SUM(O289:O291))))),IF(OR($C289="W",$C289="1/2W",$C289="1/2L"),P289-SUM(O289:O290)+_xlfn.XLOOKUP("X",C289:C291,O289:O291,0),IF(OR($C289="W",$C289="1/2W",$C289="1/2L"),P290-SUM(O289:O290)+_xlfn.XLOOKUP("X",C289:C291,O289:O291,0),SUM(P289:P290)/2-SUM(O289:O290)+_xlfn.XLOOKUP("X",C289:C291,O289:O291,0)))))))),2))</f>
        <v>1.17</v>
      </c>
      <c r="T289" s="458">
        <f>IF(S289=0,0,S289/SUM(O289:O291))</f>
        <v>4.0233837689133425E-2</v>
      </c>
      <c r="U289" s="470">
        <f>IF($D289=$D286,IF(OR($B289="LOSS",$B289="OK",$B289="Anulada"),S289,0)+U286,IF(OR($B289="LOSS",$B289="OK",$B289="Anulada"),S289,0))</f>
        <v>4.4499999999999993</v>
      </c>
      <c r="V289" s="470">
        <f>IF($D289="",0,IF($D289=$D286,IF($B289=" ",IF(I291="",IF(OR(AND(I289="DNB1",I290="DNB2"),AND(OR(I289="DNB1",I289="DNB2"),J290=0),AND(OR(I290="DNB1",I290="DNB2"),J289=0),AND(I289="DNB2",I290="DNB1"),AND(IF(J289=0,(J289+1)/ROUND(J289+1,0),J289/ROUND(J289,0))=1,IF(J290=0,(J290+1)/ROUND(IF(J290="",0,J290)+1,0),IF(J290="",0,J290)/ROUND(IF(J290="",1,J290),0))=1,OR(J289&lt;&gt;""),J290&lt;&gt;"")),0,IF(S289&lt;0,IF(I291="",SMALL(P289:P290,1)-SUM(O289:O290),0),SMALL(P289:P290,1)-SUM(O289:O290))),IF(S289&lt;0,IF(I291="",SMALL(P289:P291,1)-SUM(O289:O291),0),LARGE(P289:P291,1)-SUM(O289:O291))),S289)+V286,IF(I291="",IF(OR(AND(I289="DNB1",I290="DNB2"),AND(OR(I289="DNB1",I289="DNB2"),J290=0),AND(OR(I290="DNB1",I290="DNB2"),J289=0),AND(I289="DNB2",I290="DNB1"),AND(IF(J289=0,(J289+1)/ROUND(J289+1,0),J289/ROUND(J289,0))=1,IF(J290=0,(IF(J290="",0,J290)+1)/ROUND(IF(J290="",0,J290)+1,0),IF(J290="",0,J290)/ROUND(IF(J290="",0,J290)+1,0))=1,OR(J289&lt;&gt;""),J290&lt;&gt;"")),0,IF(S289&lt;0,IF(I291="",SMALL(P289:P290,1)-SUM(O289:O290),0),SMALL(P289:P291,1)-SUM(O289:O291))),IF(S289&lt;0,IF(I291="",SMALL(P289:P291,1)-SUM(O289:O291),0),LARGE(P289:P291,1)-SUM(O289:O291)))))</f>
        <v>4.4504000000000019</v>
      </c>
      <c r="W289" s="470">
        <f>IF($D289=$D286,IF(S289&lt;0,IF(I291="",S289,0),S289)+W286,S289)</f>
        <v>4.4499999999999993</v>
      </c>
      <c r="X289" s="480" t="str">
        <f>IF(OR(SUM(R289:R291)=0,V289=W289),ROUND(IF(W289=0,0,W289/Y289)*100,2)&amp;"%",ROUND(IF(V289=0,0,V289/Y289)*100,2)&amp;"% a "&amp;ROUND(IF(W289=0,0,W289/Y289)*100,2)&amp;"%")</f>
        <v>7,85%</v>
      </c>
      <c r="Y289" s="471">
        <f>IF($D289=$D286,Y286+SUM(O289:O291),SUM(O289:O291))</f>
        <v>56.68</v>
      </c>
      <c r="Z289" s="470">
        <f>IF($B289=" ",SUM(O289:O291),0)+Z286</f>
        <v>0</v>
      </c>
      <c r="AA289" s="470">
        <f>IF(G289="","",IF($B289="Anulado",LARGE(P289:P291,1)-SUM(O289:O291)+AA286,AA286))</f>
        <v>1.4607999999999972</v>
      </c>
      <c r="AB289" s="470">
        <f>IF($D289="","",AB286+S289)</f>
        <v>445.31</v>
      </c>
      <c r="AC289" s="472">
        <f ca="1">IF($D289="","",IF($B289=" ",IF(DAY(G289)=DAY(TODAY()),1+AC286,0+AC286),0+AC286))</f>
        <v>0</v>
      </c>
      <c r="AD289" s="103">
        <f>(((L290/(L290-1)-1)*(1-_xlfn.XLOOKUP(K290,'Fevereiro 2023 - Valor Real'!A3:A15,'Fevereiro 2023 - Valor Real'!C3:C15,0))+1))/(((L289-1)*(1-_xlfn.XLOOKUP(K289,'Fevereiro 2023 - Valor Real'!A3:A15,'Fevereiro 2023 - Valor Real'!C3:C15,0))+1)+((L290/(L290-1)-1)*(1-_xlfn.XLOOKUP(K290,'Fevereiro 2023 - Valor Real'!A3:A15,'Fevereiro 2023 - Valor Real'!C3:C15,0))+1))</f>
        <v>0.43777134587554273</v>
      </c>
      <c r="AE289" s="104">
        <f>IF(L289="","",IF(L291&gt;0,(SUM(((L289-1)*(1-_xlfn.XLOOKUP(K289,'Fevereiro 2023 - Valor Real'!A3:A15,'Fevereiro 2023 - Valor Real'!C3:C15,0))+1),((L290-1)*(1-_xlfn.XLOOKUP(K290,'Fevereiro 2023 - Valor Real'!A3:A15,'Fevereiro 2023 - Valor Real'!C3:C15,0))+1),((L291-1)*(1-_xlfn.XLOOKUP(K291,'Fevereiro 2023 - Valor Real'!A3:A15,'Fevereiro 2023 - Valor Real'!C3:C15,0))+1))/((L289-1)*(1-_xlfn.XLOOKUP(K289,'Fevereiro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Real'!C3:C15,0))+1))/((L289-1)*(1-_xlfn.XLOOKUP(K289,'Fevereiro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Real'!C3:C15,0))+1))/((L290-1)*(1-_xlfn.XLOOKUP(K290,'Fevereiro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Real'!C3:C15,0))+1))/((L291-1)*(1-_xlfn.XLOOKUP(K291,'Fevereiro 2023 - Valor Real'!A3:A15,'Fevereiro 2023 - Valor Real'!C3:C15,0))+1)),IF(I289="Lay",IF(I290="Lay",((L290/(L290-1)-1)*(1-_xlfn.XLOOKUP(K290,'Fevereiro 2023 - Valor Real'!A3:A15,'Fevereiro 2023 - Valor Real'!C3:C15,0))+1)/(((L290/(L290-1)-1)*(1-_xlfn.XLOOKUP(K290,'Fevereiro 2023 - Valor Real'!A3:A15,'Fevereiro 2023 - Valor Real'!C3:C15,0))+1)+((L289/(L289-1)-1)*(1-_xlfn.XLOOKUP(K289,'Fevereiro 2023 - Valor Real'!A3:A15,'Fevereiro 2023 - Valor Real'!C3:C15,0))+1)),((L290-1)*(1-_xlfn.XLOOKUP(K290,'Fevereiro 2023 - Valor Real'!A3:A15,'Fevereiro 2023 - Valor Real'!C3:C15,0))+1)/(((L290-1)*(1-_xlfn.XLOOKUP(K290,'Fevereiro 2023 - Valor Real'!A3:A15,'Fevereiro 2023 - Valor Real'!C3:C15,0))+1)+((L289/(L289-1)-1)*(1-_xlfn.XLOOKUP(K289,'Fevereiro 2023 - Valor Real'!A3:A15,'Fevereiro 2023 - Valor Real'!C3:C15,0))+1))),IF(I290="Lay",(((L290/(L290-1)-1)*(1-_xlfn.XLOOKUP(K290,'Fevereiro 2023 - Valor Real'!A3:A15,'Fevereiro 2023 - Valor Real'!C3:C15,0))+1))/(((L289-1)*(1-_xlfn.XLOOKUP(K289,'Fevereiro 2023 - Valor Real'!A3:A15,'Fevereiro 2023 - Valor Real'!C3:C15,0))+1)+((L290/(L290-1)-1)*(1-_xlfn.XLOOKUP(K290,'Fevereiro 2023 - Valor Real'!A3:A15,'Fevereiro 2023 - Valor Real'!C3:C15,0))+1)),((L290-1)*(1-_xlfn.XLOOKUP(K290,'Fevereiro 2023 - Valor Real'!A3:A15,'Fevereiro 2023 - Valor Real'!C3:C15,0))+1)/(((L290-1)*(1-_xlfn.XLOOKUP(K290,'Fevereiro 2023 - Valor Real'!A3:A15,'Fevereiro 2023 - Valor Real'!C3:C15,0))+1)+((L289-1)*(1-_xlfn.XLOOKUP(K289,'Fevereiro 2023 - Valor Real'!A3:A15,'Fevereiro 2023 - Valor Real'!C3:C15,0))+1))))))</f>
        <v>0.14053426248548201</v>
      </c>
      <c r="AF289" s="105">
        <f t="shared" si="580"/>
        <v>0</v>
      </c>
      <c r="AG289" s="106">
        <f t="shared" si="580"/>
        <v>0</v>
      </c>
      <c r="AH289" s="106">
        <f t="shared" si="580"/>
        <v>0</v>
      </c>
      <c r="AI289" s="106">
        <f t="shared" si="580"/>
        <v>0</v>
      </c>
      <c r="AJ289" s="106">
        <f t="shared" si="580"/>
        <v>0</v>
      </c>
      <c r="AK289" s="106">
        <f t="shared" si="580"/>
        <v>0</v>
      </c>
      <c r="AL289" s="106">
        <f t="shared" si="580"/>
        <v>0</v>
      </c>
      <c r="AM289" s="106">
        <f t="shared" si="580"/>
        <v>0</v>
      </c>
      <c r="AN289" s="106">
        <f t="shared" si="580"/>
        <v>0</v>
      </c>
      <c r="AO289" s="106">
        <f t="shared" si="580"/>
        <v>0</v>
      </c>
      <c r="AP289" s="106">
        <f t="shared" si="580"/>
        <v>0</v>
      </c>
      <c r="AQ289" s="106">
        <f t="shared" si="580"/>
        <v>-4.08</v>
      </c>
      <c r="AR289" s="107">
        <f t="shared" si="580"/>
        <v>0</v>
      </c>
      <c r="AS289" s="105">
        <f t="shared" ref="AS289:BE289" si="588">IF(AND($B289=" ",$K289=AS$3),$O289,0)</f>
        <v>0</v>
      </c>
      <c r="AT289" s="106">
        <f t="shared" si="588"/>
        <v>0</v>
      </c>
      <c r="AU289" s="106">
        <f t="shared" si="588"/>
        <v>0</v>
      </c>
      <c r="AV289" s="106">
        <f t="shared" si="588"/>
        <v>0</v>
      </c>
      <c r="AW289" s="106">
        <f t="shared" si="588"/>
        <v>0</v>
      </c>
      <c r="AX289" s="106">
        <f t="shared" si="588"/>
        <v>0</v>
      </c>
      <c r="AY289" s="108">
        <f t="shared" si="588"/>
        <v>0</v>
      </c>
      <c r="AZ289" s="109">
        <f t="shared" si="588"/>
        <v>0</v>
      </c>
      <c r="BA289" s="109">
        <f t="shared" si="588"/>
        <v>0</v>
      </c>
      <c r="BB289" s="109">
        <f t="shared" si="588"/>
        <v>0</v>
      </c>
      <c r="BC289" s="110">
        <f t="shared" si="588"/>
        <v>0</v>
      </c>
      <c r="BD289" s="106">
        <f t="shared" si="588"/>
        <v>0</v>
      </c>
      <c r="BE289" s="107">
        <f t="shared" si="588"/>
        <v>0</v>
      </c>
      <c r="BF289" s="111">
        <f t="shared" si="582"/>
        <v>0</v>
      </c>
      <c r="BG289" s="106">
        <f t="shared" si="582"/>
        <v>0</v>
      </c>
      <c r="BH289" s="106">
        <f t="shared" si="582"/>
        <v>0</v>
      </c>
      <c r="BI289" s="106">
        <f t="shared" si="582"/>
        <v>0</v>
      </c>
      <c r="BJ289" s="106">
        <f t="shared" si="582"/>
        <v>0</v>
      </c>
      <c r="BK289" s="106">
        <f t="shared" si="582"/>
        <v>0</v>
      </c>
      <c r="BL289" s="106">
        <f t="shared" si="582"/>
        <v>0</v>
      </c>
      <c r="BM289" s="108">
        <f t="shared" si="582"/>
        <v>0</v>
      </c>
      <c r="BN289" s="109">
        <f t="shared" si="582"/>
        <v>0</v>
      </c>
      <c r="BO289" s="109">
        <f t="shared" si="582"/>
        <v>0</v>
      </c>
      <c r="BP289" s="109">
        <f t="shared" si="582"/>
        <v>0</v>
      </c>
      <c r="BQ289" s="110">
        <f t="shared" si="582"/>
        <v>4.08</v>
      </c>
      <c r="BR289" s="107">
        <f t="shared" si="582"/>
        <v>0</v>
      </c>
      <c r="BS289" s="463">
        <f>IF($B289="LOSS",IF(AND($K289=BS$3,$C289="L"),-$O289,0)+IF(AND($K290=BS$3,$C290="L"),-$O290,0)+IF(AND($K291=BS$3,$C291="L"),-$O291,0),IF(OR(AND($K289=BS$3,OR($C289="W",$C289="1/2W")),AND($K290=BS$3,OR($C290="W",$C290="1/2W")),AND($K291=BS$3,OR($C291="W",$C291="1/2W"))),$S289,0))</f>
        <v>0</v>
      </c>
      <c r="BT289" s="462">
        <f>IF($B289="LOSS",IF(AND($K289=BT$3,$C289="L"),-$O289,0)+IF(AND($K290=BT$3,$C290="L"),-$O290,0)+IF(AND($K290=BT$3,$C291="L"),-$O291,0),IF(OR(AND($K290=BT$3,OR($C289="W",$C289="1/2W")),AND($K290=BT$3,OR($C290="W",$C290="1/2W")),AND($K290=BT$3,OR($C291="W",$C291="1/2W"))),$S289,0))</f>
        <v>0</v>
      </c>
      <c r="BU289" s="462">
        <f>IF($B289="LOSS",IF(AND($K289=BU$3,$C289="L"),-$O289,0)+IF(AND($K290=BU$3,$C290="L"),-$O290,0)+IF(AND($K290=BU$3,$C291="L"),-$O291,0),IF(OR(AND($K290=BU$3,OR($C289="W",$C289="1/2W")),AND($K290=BU$3,OR($C290="W",$C290="1/2W")),AND($K290=BU$3,OR($C291="W",$C291="1/2W"))),$S289,0))</f>
        <v>0</v>
      </c>
      <c r="BV289" s="462">
        <f t="shared" ref="BV289:CE289" si="589">IF($B289="LOSS",IF(AND($K289=BV$3,$C289="L"),-$O289,0)+IF(AND($K290=BV$3,$C290="L"),-$O290,0)+IF(AND($K291=BV$3,$C291="L"),-$O291,0),IF(OR(AND($K289=BV$3,OR($C289="W",$C289="1/2W")),AND($K290=BV$3,OR($C290="W",$C290="1/2W")),AND($K291=BV$3,OR($C291="W",$C291="1/2W"))),$S289,0))</f>
        <v>0</v>
      </c>
      <c r="BW289" s="462">
        <f t="shared" si="589"/>
        <v>1.17</v>
      </c>
      <c r="BX289" s="462">
        <f t="shared" si="589"/>
        <v>0</v>
      </c>
      <c r="BY289" s="462">
        <f t="shared" si="589"/>
        <v>0</v>
      </c>
      <c r="BZ289" s="460">
        <f t="shared" si="589"/>
        <v>0</v>
      </c>
      <c r="CA289" s="460">
        <f t="shared" si="589"/>
        <v>0</v>
      </c>
      <c r="CB289" s="460">
        <f t="shared" si="589"/>
        <v>0</v>
      </c>
      <c r="CC289" s="460">
        <f t="shared" si="589"/>
        <v>0</v>
      </c>
      <c r="CD289" s="473">
        <f t="shared" si="589"/>
        <v>0</v>
      </c>
      <c r="CE289" s="479">
        <f t="shared" si="589"/>
        <v>0</v>
      </c>
      <c r="CF289" s="113">
        <f t="shared" si="515"/>
        <v>0</v>
      </c>
      <c r="CG289" s="114">
        <f t="shared" si="516"/>
        <v>0</v>
      </c>
      <c r="CH289" s="114">
        <f t="shared" si="517"/>
        <v>0</v>
      </c>
      <c r="CI289" s="114">
        <f t="shared" si="518"/>
        <v>0</v>
      </c>
      <c r="CJ289" s="114">
        <f t="shared" si="519"/>
        <v>0</v>
      </c>
      <c r="CK289" s="114">
        <f t="shared" si="520"/>
        <v>0</v>
      </c>
      <c r="CL289" s="114">
        <f t="shared" si="521"/>
        <v>0</v>
      </c>
      <c r="CM289" s="114">
        <f t="shared" si="522"/>
        <v>0</v>
      </c>
      <c r="CN289" s="114">
        <f t="shared" si="523"/>
        <v>0</v>
      </c>
      <c r="CO289" s="114">
        <f t="shared" si="524"/>
        <v>0</v>
      </c>
      <c r="CP289" s="114">
        <f t="shared" si="525"/>
        <v>0</v>
      </c>
      <c r="CQ289" s="114">
        <f t="shared" si="526"/>
        <v>0</v>
      </c>
      <c r="CR289" s="114">
        <f t="shared" si="527"/>
        <v>0</v>
      </c>
      <c r="CS289" s="114">
        <f t="shared" si="528"/>
        <v>0</v>
      </c>
      <c r="CT289" s="115">
        <f t="shared" si="529"/>
        <v>0</v>
      </c>
      <c r="CU289" s="116">
        <f t="shared" si="530"/>
        <v>0</v>
      </c>
      <c r="CV289" s="116">
        <f t="shared" si="531"/>
        <v>0</v>
      </c>
      <c r="CW289" s="116">
        <f t="shared" si="532"/>
        <v>0</v>
      </c>
      <c r="CX289" s="116">
        <f t="shared" si="533"/>
        <v>0</v>
      </c>
      <c r="CY289" s="116">
        <f t="shared" si="534"/>
        <v>0</v>
      </c>
      <c r="CZ289" s="116">
        <f t="shared" si="535"/>
        <v>0</v>
      </c>
      <c r="DA289" s="116">
        <f t="shared" si="536"/>
        <v>0</v>
      </c>
      <c r="DB289" s="116">
        <f t="shared" si="537"/>
        <v>0</v>
      </c>
      <c r="DC289" s="116">
        <f t="shared" si="538"/>
        <v>1</v>
      </c>
      <c r="DD289" s="116">
        <f t="shared" si="539"/>
        <v>0</v>
      </c>
      <c r="DE289" s="117">
        <f t="shared" si="540"/>
        <v>0</v>
      </c>
      <c r="DF289" s="118">
        <f t="shared" si="542"/>
        <v>16</v>
      </c>
      <c r="DG289" s="106">
        <f t="shared" si="543"/>
        <v>20.66</v>
      </c>
      <c r="DH289" s="116">
        <f t="shared" si="544"/>
        <v>8</v>
      </c>
      <c r="DI289" s="106">
        <f t="shared" si="545"/>
        <v>33.049999999999997</v>
      </c>
      <c r="DJ289" s="201" t="str">
        <f>IF($D289="","",$D289)</f>
        <v>9</v>
      </c>
      <c r="DK289" s="465">
        <f>IF(AND($B289=" ",$D289&lt;&gt;""),1,0)</f>
        <v>0</v>
      </c>
    </row>
    <row r="290" spans="1:115" ht="14.5" customHeight="1" x14ac:dyDescent="0.2">
      <c r="A290" s="389"/>
      <c r="B290" s="456"/>
      <c r="C290" s="120" t="s">
        <v>54</v>
      </c>
      <c r="D290" s="374"/>
      <c r="E290" s="386"/>
      <c r="F290" s="377"/>
      <c r="G290" s="483"/>
      <c r="H290" s="476"/>
      <c r="I290" s="121" t="s">
        <v>64</v>
      </c>
      <c r="J290" s="179" t="str">
        <f>IF(OR(I289="TO",I289="TU",I289="TO1",I289="TU1",I289="TO2",I289="TU2"),J289,IF(OR(I289="AH1",I289="AH2"),IF(OR(I290="AH1",I290="AH2"),-J289,IF(OR(I290="EH1",I290="EH2"),-J289+0.5,"")),IF(OR(I289="EH1",I289="EH2"),IF(OR(I290="AH1",I290="AH2"),-J289+0.5,IF(OR(I290="EH1",I290="EH2"),-J289+1,"")),IF(AND(OR(I289="DNB1",I289="DNB2"),OR(I290="AH1",I290="AH2")),0,IF(AND(I289="Not ScoreBoth",OR(I290="TO1",I290="TO2")),0.5,"")))))</f>
        <v/>
      </c>
      <c r="K290" s="123" t="s">
        <v>40</v>
      </c>
      <c r="L290" s="124">
        <v>1.21</v>
      </c>
      <c r="M290" s="125"/>
      <c r="N290" s="406"/>
      <c r="O290" s="126">
        <f>IF(OR(AE289="",AE290=""),"",ROUND(IF(L291&gt;0,IF(M290&gt;0,M290,IF(M289&gt;0,IF(N289=TRUE,ROUND((M289*AE290)/AE289,0),(M289*AE290)/AE289),IF(M290&gt;0,ROUND(M290,IF(N289=0,2,IF(N289=0.1,1,0))),IF(M291&gt;0,ROUND(O291*AE290/AE291,IF(N289=0,2,IF(N289=0.1,1,0))),0)))),IF(M290&gt;0,M290,ROUND((M289*AE290)/AE289,IF(N289=0,2,IF(N289=0.1,1,0))))),2))</f>
        <v>25</v>
      </c>
      <c r="P290" s="127">
        <f>IF(OR(L290="",O290=""),"",IF($C290="1/2W",O290/2+O290/2*L290,IF($C290="1/2L",O290/2,IF(I290="Lay",((O290*(L290/(L290-1)))-O290)*(1-_xlfn.XLOOKUP(K290,'Fevereiro 2023 - Valor Real'!A3:A15,'Fevereiro 2023 - Valor Real'!C3:C15,0))+O290,(O290*L290-O290)*(1-_xlfn.XLOOKUP(K290,'Fevereiro 2023 - Valor Real'!A3:A15,'Fevereiro 2023 - Valor Real'!C3:C15,0))+O290))))</f>
        <v>30.25</v>
      </c>
      <c r="Q290" s="128">
        <f>IF(K290="","",IF(_xlfn.XLOOKUP(K290,K$7:K284,$DJ$7:DJ284,0,,-1)=DJ290,_xlfn.XLOOKUP(K290,K$7:K284,Q$7:Q284,1,,-1)+1,1))</f>
        <v>1</v>
      </c>
      <c r="R290" s="129">
        <f>IF(K290="","",_xlfn.XLOOKUP(K290,K$7:K284,R$7:R284,0,,-1)+IF($C290=" ",1,0))</f>
        <v>0</v>
      </c>
      <c r="S290" s="403"/>
      <c r="T290" s="380"/>
      <c r="U290" s="380"/>
      <c r="V290" s="481"/>
      <c r="W290" s="380"/>
      <c r="X290" s="452"/>
      <c r="Y290" s="383"/>
      <c r="Z290" s="384"/>
      <c r="AA290" s="384"/>
      <c r="AB290" s="384"/>
      <c r="AC290" s="384"/>
      <c r="AD290" s="130">
        <f>(((L290/(L290-1)-1)*(1-_xlfn.XLOOKUP(K290,'Fevereiro 2023 - Valor Real'!A3:A15,'Fevereiro 2023 - Valor Real'!C3:C15,0))+1))</f>
        <v>5.7619047619047628</v>
      </c>
      <c r="AE290" s="131">
        <f>IF(L290="","",IF(L291&gt;0,(SUM(((L289-1)*(1-_xlfn.XLOOKUP(K289,'Fevereiro 2023 - Valor Real'!A3:A15,'Fevereiro 2023 - Valor Real'!C3:C15,0))+1),((L290-1)*(1-_xlfn.XLOOKUP(K290,'Fevereiro 2023 - Valor Real'!A3:A15,'Fevereiro 2023 - Valor Real'!C3:C15,0))+1),((L291-1)*(1-_xlfn.XLOOKUP(K291,'Fevereiro 2023 - Valor Real'!A3:A15,'Fevereiro 2023 - Valor Real'!C3:C15,0))+1))/((L290-1)*(1-_xlfn.XLOOKUP(K290,'Fevereiro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Real'!C3:C15,0))+1))/((L289-1)*(1-_xlfn.XLOOKUP(K289,'Fevereiro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Real'!C3:C15,0))+1))/((L290-1)*(1-_xlfn.XLOOKUP(K290,'Fevereiro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Real'!C3:C15,0))+1))/((L291-1)*(1-_xlfn.XLOOKUP(K291,'Fevereiro 2023 - Valor Real'!A3:A15,'Fevereiro 2023 - Valor Real'!C3:C15,0))+1)),IF(I290="Lay",IF(I289="Lay",((L289/(L289-1)-1)*(1-_xlfn.XLOOKUP(K289,'Fevereiro 2023 - Valor Real'!A3:A15,'Fevereiro 2023 - Valor Real'!C3:C15,0))+1)/(((L289/(L289-1)-1)*(1-_xlfn.XLOOKUP(K289,'Fevereiro 2023 - Valor Real'!A3:A15,'Fevereiro 2023 - Valor Real'!C3:C15,0))+1)+((L290/(L290-1)-1)*(1-_xlfn.XLOOKUP(K290,'Fevereiro 2023 - Valor Real'!A3:A15,'Fevereiro 2023 - Valor Real'!C3:C15,0))+1)),((L289-1)*(1-_xlfn.XLOOKUP(K289,'Fevereiro 2023 - Valor Real'!A3:A15,'Fevereiro 2023 - Valor Real'!C3:C15,0))+1)/(((L289-1)*(1-_xlfn.XLOOKUP(K289,'Fevereiro 2023 - Valor Real'!A3:A15,'Fevereiro 2023 - Valor Real'!C3:C15,0))+1)+((L290/(L290-1)-1)*(1-_xlfn.XLOOKUP(K290,'Fevereiro 2023 - Valor Real'!A3:A15,'Fevereiro 2023 - Valor Real'!C3:C15,0))+1))),IF(I289="Lay",((L289/(L289-1)-1)*(1-_xlfn.XLOOKUP(K289,'Fevereiro 2023 - Valor Real'!A3:A15,'Fevereiro 2023 - Valor Real'!C3:C15,0))+1)/((((L289/(L289-1)-1)*(1-_xlfn.XLOOKUP(K289,'Fevereiro 2023 - Valor Real'!A3:A15,'Fevereiro 2023 - Valor Real'!C3:C15,0))+1))+((L290-1)*(1-_xlfn.XLOOKUP(K290,'Fevereiro 2023 - Valor Real'!A3:A15,'Fevereiro 2023 - Valor Real'!C3:C15,0))+1)),((L289-1)*(1-_xlfn.XLOOKUP(K289,'Fevereiro 2023 - Valor Real'!A3:A15,'Fevereiro 2023 - Valor Real'!C3:C15,0))+1)/(((L289-1)*(1-_xlfn.XLOOKUP(K289,'Fevereiro 2023 - Valor Real'!A3:A15,'Fevereiro 2023 - Valor Real'!C3:C15,0))+1)+((L290-1)*(1-_xlfn.XLOOKUP(K290,'Fevereiro 2023 - Valor Real'!A3:A15,'Fevereiro 2023 - Valor Real'!C3:C15,0))+1))))))</f>
        <v>0.85946573751451805</v>
      </c>
      <c r="AF290" s="105">
        <f t="shared" si="580"/>
        <v>0</v>
      </c>
      <c r="AG290" s="106">
        <f t="shared" si="580"/>
        <v>0</v>
      </c>
      <c r="AH290" s="106">
        <f t="shared" si="580"/>
        <v>0</v>
      </c>
      <c r="AI290" s="106">
        <f t="shared" si="580"/>
        <v>0</v>
      </c>
      <c r="AJ290" s="106">
        <f t="shared" si="580"/>
        <v>5.25</v>
      </c>
      <c r="AK290" s="106">
        <f t="shared" si="580"/>
        <v>0</v>
      </c>
      <c r="AL290" s="106">
        <f t="shared" si="580"/>
        <v>0</v>
      </c>
      <c r="AM290" s="106">
        <f t="shared" si="580"/>
        <v>0</v>
      </c>
      <c r="AN290" s="106">
        <f t="shared" si="580"/>
        <v>0</v>
      </c>
      <c r="AO290" s="106">
        <f t="shared" si="580"/>
        <v>0</v>
      </c>
      <c r="AP290" s="106">
        <f t="shared" si="580"/>
        <v>0</v>
      </c>
      <c r="AQ290" s="106">
        <f t="shared" si="580"/>
        <v>0</v>
      </c>
      <c r="AR290" s="107">
        <f t="shared" si="580"/>
        <v>0</v>
      </c>
      <c r="AS290" s="105">
        <f>IF(AND($B289=" ",$K290=AS$3),$O290,0)</f>
        <v>0</v>
      </c>
      <c r="AT290" s="106">
        <f>IF(AND($B289=" ",K290=AT$3),$O290,0)</f>
        <v>0</v>
      </c>
      <c r="AU290" s="106">
        <f t="shared" ref="AU290:BE290" si="590">IF(AND($B289=" ",$K290=AU$3),$O290,0)</f>
        <v>0</v>
      </c>
      <c r="AV290" s="106">
        <f t="shared" si="590"/>
        <v>0</v>
      </c>
      <c r="AW290" s="106">
        <f t="shared" si="590"/>
        <v>0</v>
      </c>
      <c r="AX290" s="106">
        <f t="shared" si="590"/>
        <v>0</v>
      </c>
      <c r="AY290" s="108">
        <f t="shared" si="590"/>
        <v>0</v>
      </c>
      <c r="AZ290" s="109">
        <f t="shared" si="590"/>
        <v>0</v>
      </c>
      <c r="BA290" s="109">
        <f t="shared" si="590"/>
        <v>0</v>
      </c>
      <c r="BB290" s="109">
        <f t="shared" si="590"/>
        <v>0</v>
      </c>
      <c r="BC290" s="110">
        <f t="shared" si="590"/>
        <v>0</v>
      </c>
      <c r="BD290" s="106">
        <f t="shared" si="590"/>
        <v>0</v>
      </c>
      <c r="BE290" s="107">
        <f t="shared" si="590"/>
        <v>0</v>
      </c>
      <c r="BF290" s="105">
        <f t="shared" si="582"/>
        <v>0</v>
      </c>
      <c r="BG290" s="106">
        <f t="shared" si="582"/>
        <v>0</v>
      </c>
      <c r="BH290" s="106">
        <f t="shared" si="582"/>
        <v>0</v>
      </c>
      <c r="BI290" s="106">
        <f t="shared" si="582"/>
        <v>0</v>
      </c>
      <c r="BJ290" s="106">
        <f t="shared" si="582"/>
        <v>25</v>
      </c>
      <c r="BK290" s="106">
        <f t="shared" si="582"/>
        <v>0</v>
      </c>
      <c r="BL290" s="106">
        <f t="shared" si="582"/>
        <v>0</v>
      </c>
      <c r="BM290" s="132">
        <f t="shared" si="582"/>
        <v>0</v>
      </c>
      <c r="BN290" s="112">
        <f t="shared" si="582"/>
        <v>0</v>
      </c>
      <c r="BO290" s="112">
        <f t="shared" si="582"/>
        <v>0</v>
      </c>
      <c r="BP290" s="112">
        <f t="shared" si="582"/>
        <v>0</v>
      </c>
      <c r="BQ290" s="110">
        <f t="shared" si="582"/>
        <v>0</v>
      </c>
      <c r="BR290" s="107">
        <f t="shared" si="582"/>
        <v>0</v>
      </c>
      <c r="BS290" s="464"/>
      <c r="BT290" s="461"/>
      <c r="BU290" s="392"/>
      <c r="BV290" s="461"/>
      <c r="BW290" s="392"/>
      <c r="BX290" s="392"/>
      <c r="BY290" s="392"/>
      <c r="BZ290" s="461"/>
      <c r="CA290" s="392"/>
      <c r="CB290" s="392"/>
      <c r="CC290" s="392"/>
      <c r="CD290" s="401"/>
      <c r="CE290" s="409"/>
      <c r="CF290" s="133">
        <f t="shared" si="515"/>
        <v>0</v>
      </c>
      <c r="CG290" s="134">
        <f t="shared" si="516"/>
        <v>0</v>
      </c>
      <c r="CH290" s="134">
        <f t="shared" si="517"/>
        <v>0</v>
      </c>
      <c r="CI290" s="134">
        <f t="shared" si="518"/>
        <v>0</v>
      </c>
      <c r="CJ290" s="134">
        <f t="shared" si="519"/>
        <v>0</v>
      </c>
      <c r="CK290" s="134">
        <f t="shared" si="520"/>
        <v>0</v>
      </c>
      <c r="CL290" s="134">
        <f t="shared" si="521"/>
        <v>0</v>
      </c>
      <c r="CM290" s="134">
        <f t="shared" si="522"/>
        <v>0</v>
      </c>
      <c r="CN290" s="134">
        <f t="shared" si="523"/>
        <v>1</v>
      </c>
      <c r="CO290" s="134">
        <f t="shared" si="524"/>
        <v>0</v>
      </c>
      <c r="CP290" s="134">
        <f t="shared" si="525"/>
        <v>0</v>
      </c>
      <c r="CQ290" s="134">
        <f t="shared" si="526"/>
        <v>0</v>
      </c>
      <c r="CR290" s="134">
        <f t="shared" si="527"/>
        <v>0</v>
      </c>
      <c r="CS290" s="134">
        <f t="shared" si="528"/>
        <v>0</v>
      </c>
      <c r="CT290" s="115">
        <f t="shared" si="529"/>
        <v>0</v>
      </c>
      <c r="CU290" s="116">
        <f t="shared" si="530"/>
        <v>0</v>
      </c>
      <c r="CV290" s="116">
        <f t="shared" si="531"/>
        <v>0</v>
      </c>
      <c r="CW290" s="116">
        <f t="shared" si="532"/>
        <v>0</v>
      </c>
      <c r="CX290" s="116">
        <f t="shared" si="533"/>
        <v>0</v>
      </c>
      <c r="CY290" s="116">
        <f t="shared" si="534"/>
        <v>0</v>
      </c>
      <c r="CZ290" s="116">
        <f t="shared" si="535"/>
        <v>0</v>
      </c>
      <c r="DA290" s="116">
        <f t="shared" si="536"/>
        <v>0</v>
      </c>
      <c r="DB290" s="116">
        <f t="shared" si="537"/>
        <v>0</v>
      </c>
      <c r="DC290" s="116">
        <f t="shared" si="538"/>
        <v>0</v>
      </c>
      <c r="DD290" s="116">
        <f t="shared" si="539"/>
        <v>0</v>
      </c>
      <c r="DE290" s="117">
        <f t="shared" si="540"/>
        <v>0</v>
      </c>
      <c r="DF290" s="118">
        <f t="shared" si="542"/>
        <v>17</v>
      </c>
      <c r="DG290" s="106">
        <f t="shared" si="543"/>
        <v>21.87</v>
      </c>
      <c r="DH290" s="116">
        <f t="shared" si="544"/>
        <v>8</v>
      </c>
      <c r="DI290" s="106">
        <f t="shared" si="545"/>
        <v>33.049999999999997</v>
      </c>
      <c r="DJ290" s="201" t="str">
        <f>IF($D289="","",$D289)</f>
        <v>9</v>
      </c>
      <c r="DK290" s="466"/>
    </row>
    <row r="291" spans="1:115" ht="14.5" customHeight="1" x14ac:dyDescent="0.2">
      <c r="A291" s="390"/>
      <c r="B291" s="457"/>
      <c r="C291" s="135" t="s">
        <v>53</v>
      </c>
      <c r="D291" s="375"/>
      <c r="E291" s="387"/>
      <c r="F291" s="378"/>
      <c r="G291" s="484"/>
      <c r="H291" s="477"/>
      <c r="I291" s="136"/>
      <c r="J291" s="137"/>
      <c r="K291" s="138"/>
      <c r="L291" s="139"/>
      <c r="M291" s="140"/>
      <c r="N291" s="407"/>
      <c r="O291" s="141" t="str">
        <f>IF(OR(AE289="",AE290=""),"",IF(L291&gt;0,ROUND(IF(M291&gt;0,M291,IF(M289&gt;0,ROUND((M289*AE291)/AE289,IF(N289=0,2,IF(N289=0.1,1,0))),IF(M290&gt;0,ROUND((M290*AE291)/AE290,IF(N289=0,2,IF(N289=0.1,1,0))),IF(M291&gt;0,M291,0)))),2),""))</f>
        <v/>
      </c>
      <c r="P291" s="142" t="str">
        <f>IF(I290="Lay",O290*(L290/(L290-1))-O290,IF(I289="Lay",O289*(L289/(L289-1))-O289,IF(OR(L291="",O291=""),"",IF($C291="1/2W",O291/2+O291/2*L291,IF($C291="1/2L",O291/2,(O291*L291-O291)*(1-_xlfn.XLOOKUP(K291,'Fevereiro 2023 - Valor Real'!A3:A15,'Fevereiro 2023 - Valor Real'!C3:C15,0))+O291)))))</f>
        <v/>
      </c>
      <c r="Q291" s="143" t="str">
        <f>IF(K291="","",IF(_xlfn.XLOOKUP(K291,K$8:K284,$DJ$8:DJ284,0,,-1)=DJ291,_xlfn.XLOOKUP(K291,K$8:K284,Q$8:Q284,1,,-1)+1,1))</f>
        <v/>
      </c>
      <c r="R291" s="144" t="str">
        <f>IF(K291="","",_xlfn.XLOOKUP(K291,K$8:K284,R$8:R284,0,,-1)+IF($C291=" ",1,0))</f>
        <v/>
      </c>
      <c r="S291" s="404"/>
      <c r="T291" s="378"/>
      <c r="U291" s="378"/>
      <c r="V291" s="404"/>
      <c r="W291" s="378"/>
      <c r="X291" s="453"/>
      <c r="Y291" s="383"/>
      <c r="Z291" s="384"/>
      <c r="AA291" s="384"/>
      <c r="AB291" s="384"/>
      <c r="AC291" s="384"/>
      <c r="AD291" s="145">
        <f>((L290/(L290-1)-1))</f>
        <v>4.7619047619047628</v>
      </c>
      <c r="AE291" s="146" t="str">
        <f>IF(L291="","",(SUM(((L289-1)*(1-_xlfn.XLOOKUP(K289,'Fevereiro 2023 - Valor Real'!A3:A15,'Fevereiro 2023 - Valor Real'!C3:C15,0))+1),((L290-1)*(1-_xlfn.XLOOKUP(K290,'Fevereiro 2023 - Valor Real'!A3:A15,'Fevereiro 2023 - Valor Real'!C3:C15,0))+1),((L291-1)*(1-_xlfn.XLOOKUP(K291,'Fevereiro 2023 - Valor Real'!A3:A15,'Fevereiro 2023 - Valor Real'!C3:C15,0))+1))/((L291-1)*(1-_xlfn.XLOOKUP(K291,'Fevereiro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Real'!C3:C15,0))+1))/((L289-1)*(1-_xlfn.XLOOKUP(K289,'Fevereiro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Real'!C3:C15,0))+1))/((L290-1)*(1-_xlfn.XLOOKUP(K290,'Fevereiro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Real'!C3:C15,0))+1))/((L291-1)*(1-_xlfn.XLOOKUP(K291,'Fevereiro 2023 - Valor Real'!A3:A15,'Fevereiro 2023 - Valor Real'!C3:C15,0))+1)))</f>
        <v/>
      </c>
      <c r="AF291" s="105">
        <f t="shared" si="580"/>
        <v>0</v>
      </c>
      <c r="AG291" s="106">
        <f t="shared" si="580"/>
        <v>0</v>
      </c>
      <c r="AH291" s="106">
        <f t="shared" si="580"/>
        <v>0</v>
      </c>
      <c r="AI291" s="106">
        <f t="shared" si="580"/>
        <v>0</v>
      </c>
      <c r="AJ291" s="106">
        <f t="shared" si="580"/>
        <v>0</v>
      </c>
      <c r="AK291" s="106">
        <f t="shared" si="580"/>
        <v>0</v>
      </c>
      <c r="AL291" s="106">
        <f t="shared" si="580"/>
        <v>0</v>
      </c>
      <c r="AM291" s="106">
        <f t="shared" si="580"/>
        <v>0</v>
      </c>
      <c r="AN291" s="106">
        <f t="shared" si="580"/>
        <v>0</v>
      </c>
      <c r="AO291" s="106">
        <f t="shared" si="580"/>
        <v>0</v>
      </c>
      <c r="AP291" s="106">
        <f t="shared" si="580"/>
        <v>0</v>
      </c>
      <c r="AQ291" s="106">
        <f t="shared" si="580"/>
        <v>0</v>
      </c>
      <c r="AR291" s="107">
        <f t="shared" si="580"/>
        <v>0</v>
      </c>
      <c r="AS291" s="105">
        <f>IF(AND($B289=" ",$K291=AS$3),$O291,0)</f>
        <v>0</v>
      </c>
      <c r="AT291" s="106">
        <f>IF(AND($B289=" ",K291=AT$3),$O291,0)</f>
        <v>0</v>
      </c>
      <c r="AU291" s="106">
        <f t="shared" ref="AU291:BE291" si="591">IF(AND($B289=" ",$K291=AU$3),$O291,0)</f>
        <v>0</v>
      </c>
      <c r="AV291" s="106">
        <f t="shared" si="591"/>
        <v>0</v>
      </c>
      <c r="AW291" s="106">
        <f t="shared" si="591"/>
        <v>0</v>
      </c>
      <c r="AX291" s="106">
        <f t="shared" si="591"/>
        <v>0</v>
      </c>
      <c r="AY291" s="108">
        <f t="shared" si="591"/>
        <v>0</v>
      </c>
      <c r="AZ291" s="109">
        <f t="shared" si="591"/>
        <v>0</v>
      </c>
      <c r="BA291" s="109">
        <f t="shared" si="591"/>
        <v>0</v>
      </c>
      <c r="BB291" s="109">
        <f t="shared" si="591"/>
        <v>0</v>
      </c>
      <c r="BC291" s="110">
        <f t="shared" si="591"/>
        <v>0</v>
      </c>
      <c r="BD291" s="106">
        <f t="shared" si="591"/>
        <v>0</v>
      </c>
      <c r="BE291" s="107">
        <f t="shared" si="591"/>
        <v>0</v>
      </c>
      <c r="BF291" s="105">
        <f t="shared" si="582"/>
        <v>0</v>
      </c>
      <c r="BG291" s="106">
        <f t="shared" si="582"/>
        <v>0</v>
      </c>
      <c r="BH291" s="106">
        <f t="shared" si="582"/>
        <v>0</v>
      </c>
      <c r="BI291" s="106">
        <f t="shared" si="582"/>
        <v>0</v>
      </c>
      <c r="BJ291" s="106">
        <f t="shared" si="582"/>
        <v>0</v>
      </c>
      <c r="BK291" s="106">
        <f t="shared" si="582"/>
        <v>0</v>
      </c>
      <c r="BL291" s="106">
        <f t="shared" si="582"/>
        <v>0</v>
      </c>
      <c r="BM291" s="108">
        <f t="shared" si="582"/>
        <v>0</v>
      </c>
      <c r="BN291" s="109">
        <f t="shared" si="582"/>
        <v>0</v>
      </c>
      <c r="BO291" s="109">
        <f t="shared" si="582"/>
        <v>0</v>
      </c>
      <c r="BP291" s="109">
        <f t="shared" si="582"/>
        <v>0</v>
      </c>
      <c r="BQ291" s="110">
        <f t="shared" si="582"/>
        <v>0</v>
      </c>
      <c r="BR291" s="107">
        <f t="shared" si="582"/>
        <v>0</v>
      </c>
      <c r="BS291" s="464"/>
      <c r="BT291" s="461"/>
      <c r="BU291" s="392"/>
      <c r="BV291" s="461"/>
      <c r="BW291" s="392"/>
      <c r="BX291" s="392"/>
      <c r="BY291" s="392"/>
      <c r="BZ291" s="461"/>
      <c r="CA291" s="392"/>
      <c r="CB291" s="392"/>
      <c r="CC291" s="392"/>
      <c r="CD291" s="401"/>
      <c r="CE291" s="409"/>
      <c r="CF291" s="133">
        <f t="shared" si="515"/>
        <v>0</v>
      </c>
      <c r="CG291" s="134">
        <f t="shared" si="516"/>
        <v>0</v>
      </c>
      <c r="CH291" s="134">
        <f t="shared" si="517"/>
        <v>0</v>
      </c>
      <c r="CI291" s="134">
        <f t="shared" si="518"/>
        <v>0</v>
      </c>
      <c r="CJ291" s="134">
        <f t="shared" si="519"/>
        <v>0</v>
      </c>
      <c r="CK291" s="134">
        <f t="shared" si="520"/>
        <v>0</v>
      </c>
      <c r="CL291" s="134">
        <f t="shared" si="521"/>
        <v>0</v>
      </c>
      <c r="CM291" s="134">
        <f t="shared" si="522"/>
        <v>0</v>
      </c>
      <c r="CN291" s="134">
        <f t="shared" si="523"/>
        <v>0</v>
      </c>
      <c r="CO291" s="134">
        <f t="shared" si="524"/>
        <v>0</v>
      </c>
      <c r="CP291" s="134">
        <f t="shared" si="525"/>
        <v>0</v>
      </c>
      <c r="CQ291" s="134">
        <f t="shared" si="526"/>
        <v>0</v>
      </c>
      <c r="CR291" s="134">
        <f t="shared" si="527"/>
        <v>0</v>
      </c>
      <c r="CS291" s="134">
        <f t="shared" si="528"/>
        <v>0</v>
      </c>
      <c r="CT291" s="115">
        <f t="shared" si="529"/>
        <v>0</v>
      </c>
      <c r="CU291" s="116">
        <f t="shared" si="530"/>
        <v>0</v>
      </c>
      <c r="CV291" s="116">
        <f t="shared" si="531"/>
        <v>0</v>
      </c>
      <c r="CW291" s="116">
        <f t="shared" si="532"/>
        <v>0</v>
      </c>
      <c r="CX291" s="116">
        <f t="shared" si="533"/>
        <v>0</v>
      </c>
      <c r="CY291" s="116">
        <f t="shared" si="534"/>
        <v>0</v>
      </c>
      <c r="CZ291" s="116">
        <f t="shared" si="535"/>
        <v>0</v>
      </c>
      <c r="DA291" s="116">
        <f t="shared" si="536"/>
        <v>0</v>
      </c>
      <c r="DB291" s="116">
        <f t="shared" si="537"/>
        <v>0</v>
      </c>
      <c r="DC291" s="116">
        <f t="shared" si="538"/>
        <v>0</v>
      </c>
      <c r="DD291" s="116">
        <f t="shared" si="539"/>
        <v>0</v>
      </c>
      <c r="DE291" s="117">
        <f t="shared" si="540"/>
        <v>0</v>
      </c>
      <c r="DF291" s="118">
        <f t="shared" si="542"/>
        <v>17</v>
      </c>
      <c r="DG291" s="106">
        <f t="shared" si="543"/>
        <v>21.87</v>
      </c>
      <c r="DH291" s="116">
        <f t="shared" si="544"/>
        <v>8</v>
      </c>
      <c r="DI291" s="106">
        <f t="shared" si="545"/>
        <v>33.049999999999997</v>
      </c>
      <c r="DJ291" s="201" t="str">
        <f>IF($D289="","",$D289)</f>
        <v>9</v>
      </c>
      <c r="DK291" s="466"/>
    </row>
    <row r="292" spans="1:115" ht="14.5" customHeight="1" x14ac:dyDescent="0.2">
      <c r="A292" s="487">
        <f>$A289+1</f>
        <v>97</v>
      </c>
      <c r="B292" s="506" t="str">
        <f>IF(OR(C292="W",C293="W",C294="W",C292="1/2W",C293="1/2W",C294="1/2W",C292="1/2L",C293="1/2L",C294="1/2L"),"OK",IF(OR(C292="L",C293="L",C294="L"),"LOSS",IF(OR(C292="X",C293="X",C294="X"),"Anulado"," ")))</f>
        <v>OK</v>
      </c>
      <c r="C292" s="147" t="s">
        <v>55</v>
      </c>
      <c r="D292" s="494" t="str">
        <f>IF(G292="","",$D289)</f>
        <v>9</v>
      </c>
      <c r="E292" s="511" t="str">
        <f>IF(G292=""," ","– "&amp;COUNTIF(D$4:D294,$D292))</f>
        <v>– 5</v>
      </c>
      <c r="F292" s="510" t="str">
        <f ca="1">IF(G292="","",IF(OR(AND($C292&lt;&gt;" ",$C293=" "),AND($C293&lt;&gt;" ",$C292=" "),AND(L294&gt;0,OR(AND($C294&lt;&gt;" ",OR($C292=" ",$C293=" ")),AND($C294=" ",OR($C292&lt;&gt;" ",$C293&lt;&gt;" "))))),IF(SUM(F$9:F284)=0,1,LARGE(F$9:F284,1)+1),IF(MONTH(G292)=MONTH(TODAY()),IF(AND(DAY(G292)&lt;DAY(TODAY()),$B292=" "),IF(SUM(F$9:F284)=0,1,LARGE(F$9:F284,1)+1),IF($B292=" ",IF(AND(DAY(G292)=DAY(TODAY()),HOUR(G292)&lt;=HOUR(NOW())+1),IF(AND(HOUR(G292)+2&lt;=HOUR(NOW()),DAY(G292)&lt;=DAY(TODAY()),MINUTE(G292)&lt;=MINUTE(NOW())),IF(SUM(F$9:F284)=0,1,LARGE(F$9:F284,1)+1),IF(OR(MINUTE(G292)&lt;=MINUTE(NOW()),HOUR(G292)&lt;=HOUR(NOW())),"!!!","")),""),"")),"")))</f>
        <v/>
      </c>
      <c r="G292" s="508">
        <v>44994.697916666664</v>
      </c>
      <c r="H292" s="502" t="s">
        <v>143</v>
      </c>
      <c r="I292" s="180" t="s">
        <v>61</v>
      </c>
      <c r="J292" s="149"/>
      <c r="K292" s="150" t="s">
        <v>47</v>
      </c>
      <c r="L292" s="151">
        <v>5.35</v>
      </c>
      <c r="M292" s="152">
        <v>6.01</v>
      </c>
      <c r="N292" s="503">
        <v>0</v>
      </c>
      <c r="O292" s="153">
        <f>IF(OR(AE292="",AE293=""),"",ROUND(IF(L294&gt;0,IF(M292&gt;0,M292,IF(M293&gt;0,ROUND((M293*AE292)/AE293,IF(N292=0,2,IF(N292=0.1,1,0))),ROUND((M294*AE292)/AE294,IF(N292=0,2,IF(N292=0.1,1,0))))),IF(M292&gt;0,M292,ROUND((M293*AE292)/AE293,IF(N292=0,2,IF(N292=0.1,1,0))))),2))</f>
        <v>6.01</v>
      </c>
      <c r="P292" s="154">
        <f>IF(OR(L292="",O292=""),"",IF($C292="1/2W",O292/2+O292/2*L292,IF($C292="1/2L",O292/2,IF(I292="Lay",(O292*(L292/(L292-1))-O292)*(1-_xlfn.XLOOKUP(K292,'Fevereiro 2023 - Valor Real'!A3:A15,'Fevereiro 2023 - Valor Real'!C3:C15,0))+O292,(O292*L292-O292)*(1-_xlfn.XLOOKUP(K292,'Fevereiro 2023 - Valor Real'!A3:A15,'Fevereiro 2023 - Valor Real'!C3:C15,0))+O292))))</f>
        <v>32.153499999999994</v>
      </c>
      <c r="Q292" s="155">
        <f>IF(K292="","",IF(_xlfn.XLOOKUP(K292,K$9:K284,$DJ$9:DJ284,0,,-1)=DJ292,_xlfn.XLOOKUP(K292,K$9:K284,Q$9:Q284,1,,-1)+1,1))</f>
        <v>2</v>
      </c>
      <c r="R292" s="156">
        <f>IF(K292="","",_xlfn.XLOOKUP(K292,K$9:K284,R$9:R284,0,,-1)+IF($C292=" ",1,0))</f>
        <v>0</v>
      </c>
      <c r="S292" s="501">
        <f>IF($B292="Anulado",0,ROUND(IF(OR($B292="LOSS",$B292="OK"),IF(OR($C292="W",$C292="1/2W",$C292="1/2L"),P292-O292,IF($C292="L",-O292,0))+IF(OR($C293="W",$C293="1/2W",$C293="1/2L"),P293-O293,IF($C293="L",-O293,0))+IF(OR($C294="W",$C294="1/2W",$C294="1/2L"),P294-O294,IF($C294="L",-O294,0)),IF(AND(OR($C292="W",$C292="1/2W",$C292="1/2L"),C293="W"),P292+P293-SUM(O292:O294)+_xlfn.XLOOKUP("X",C292:C294,O292:O294,0),IF(AND(C292=TRUE,C294="W"),P292+P294-SUM(O292:O294),IF(AND(C293="W",C294="W"),P293+P294-SUM(O292:O294)+_xlfn.XLOOKUP("X",C292:C294,O292:O294,0),IF(L294&gt;0,IF(OR($C292="W",$C292="1/2W",$C292="1/2L"),P292-SUM(O292:O294)+_xlfn.XLOOKUP("X",C292:C294,O292:O294,0),IF(OR($C292="W",$C292="1/2W",$C292="1/2L"),P293-SUM(O292:O294)+_xlfn.XLOOKUP("X",C292:C294,O292:O294,0),IF(OR($C292="W",$C292="1/2W",$C292="1/2L"),P294-SUM(O292:O294)+_xlfn.XLOOKUP("X",C292:C294,O292:O294,0),IF(SUM(P292:P294)/3-SUM(O292:O294)+_xlfn.XLOOKUP("X",C292:C294,O292:O294,0)&gt;0,SUM(P292:P294)/3-SUM(O292:O294)+_xlfn.XLOOKUP("X",C292:C294,O292:O294,0),LARGE(P292:P294,1)-SUM(O292:O294))))),IF(OR($C292="W",$C292="1/2W",$C292="1/2L"),P292-SUM(O292:O293)+_xlfn.XLOOKUP("X",C292:C294,O292:O294,0),IF(OR($C292="W",$C292="1/2W",$C292="1/2L"),P293-SUM(O292:O293)+_xlfn.XLOOKUP("X",C292:C294,O292:O294,0),SUM(P292:P293)/2-SUM(O292:O293)+_xlfn.XLOOKUP("X",C292:C294,O292:O294,0)))))))),2))</f>
        <v>1.74</v>
      </c>
      <c r="T292" s="486">
        <f>IF(S292=0,0,S292/SUM(O292:O294))</f>
        <v>5.6844168572361971E-2</v>
      </c>
      <c r="U292" s="496">
        <f>IF($D292=$D289,IF(OR($B292="LOSS",$B292="OK",$B292="Anulada"),S292,0)+U289,IF(OR($B292="LOSS",$B292="OK",$B292="Anulada"),S292,0))</f>
        <v>6.1899999999999995</v>
      </c>
      <c r="V292" s="496">
        <f>IF($D292="",0,IF($D292=$D289,IF($B292=" ",IF(I294="",IF(OR(AND(I292="DNB1",I293="DNB2"),AND(OR(I292="DNB1",I292="DNB2"),J293=0),AND(OR(I293="DNB1",I293="DNB2"),J292=0),AND(I292="DNB2",I293="DNB1"),AND(IF(J292=0,(J292+1)/ROUND(J292+1,0),J292/ROUND(J292,0))=1,IF(J293=0,(J293+1)/ROUND(IF(J293="",0,J293)+1,0),IF(J293="",0,J293)/ROUND(IF(J293="",1,J293),0))=1,OR(J292&lt;&gt;""),J293&lt;&gt;"")),0,IF(S292&lt;0,IF(I294="",SMALL(P292:P293,1)-SUM(O292:O293),0),SMALL(P292:P293,1)-SUM(O292:O293))),IF(S292&lt;0,IF(I294="",SMALL(P292:P294,1)-SUM(O292:O294),0),LARGE(P292:P294,1)-SUM(O292:O294))),S292)+V289,IF(I294="",IF(OR(AND(I292="DNB1",I293="DNB2"),AND(OR(I292="DNB1",I292="DNB2"),J293=0),AND(OR(I293="DNB1",I293="DNB2"),J292=0),AND(I292="DNB2",I293="DNB1"),AND(IF(J292=0,(J292+1)/ROUND(J292+1,0),J292/ROUND(J292,0))=1,IF(J293=0,(IF(J293="",0,J293)+1)/ROUND(IF(J293="",0,J293)+1,0),IF(J293="",0,J293)/ROUND(IF(J293="",0,J293)+1,0))=1,OR(J292&lt;&gt;""),J293&lt;&gt;"")),0,IF(S292&lt;0,IF(I294="",SMALL(P292:P293,1)-SUM(O292:O293),0),SMALL(P292:P294,1)-SUM(O292:O294))),IF(S292&lt;0,IF(I294="",SMALL(P292:P294,1)-SUM(O292:O294),0),LARGE(P292:P294,1)-SUM(O292:O294)))))</f>
        <v>6.1904000000000021</v>
      </c>
      <c r="W292" s="496">
        <f>IF($D292=$D289,IF(S292&lt;0,IF(I294="",S292,0),S292)+W289,S292)</f>
        <v>6.1899999999999995</v>
      </c>
      <c r="X292" s="505" t="str">
        <f>IF(OR(SUM(R292:R294)=0,V292=W292),ROUND(IF(W292=0,0,W292/Y292)*100,2)&amp;"%",ROUND(IF(V292=0,0,V292/Y292)*100,2)&amp;"% a "&amp;ROUND(IF(W292=0,0,W292/Y292)*100,2)&amp;"%")</f>
        <v>7,09%</v>
      </c>
      <c r="Y292" s="497">
        <f>IF($D292=$D289,Y289+SUM(O292:O294),SUM(O292:O294))</f>
        <v>87.289999999999992</v>
      </c>
      <c r="Z292" s="496">
        <f>IF($B292=" ",SUM(O292:O294),0)+Z289</f>
        <v>0</v>
      </c>
      <c r="AA292" s="496">
        <f>IF(G292="","",IF($B292="Anulado",LARGE(P292:P294,1)-SUM(O292:O294)+AA289,AA289))</f>
        <v>1.4607999999999972</v>
      </c>
      <c r="AB292" s="496">
        <f>IF($D292="","",AB289+S292)</f>
        <v>447.05</v>
      </c>
      <c r="AC292" s="499">
        <f ca="1">IF($D292="","",IF($B292=" ",IF(DAY(G292)=DAY(TODAY()),1+AC289,0+AC289),0+AC289))</f>
        <v>0</v>
      </c>
      <c r="AD292" s="157">
        <f>(1-_xlfn.XLOOKUP(K290,'Fevereiro 2023 - Valor Real'!A3:A15,'Fevereiro 2023 - Valor Real'!C3:C15,0))+1</f>
        <v>2</v>
      </c>
      <c r="AE292" s="158">
        <f>IF(L292="","",IF(L294&gt;0,(SUM(((L292-1)*(1-_xlfn.XLOOKUP(K292,'Fevereiro 2023 - Valor Real'!A3:A15,'Fevereiro 2023 - Valor Real'!C3:C15,0))+1),((L293-1)*(1-_xlfn.XLOOKUP(K293,'Fevereiro 2023 - Valor Real'!A3:A15,'Fevereiro 2023 - Valor Real'!C3:C15,0))+1),((L294-1)*(1-_xlfn.XLOOKUP(K294,'Fevereiro 2023 - Valor Real'!A3:A15,'Fevereiro 2023 - Valor Real'!C3:C15,0))+1))/((L292-1)*(1-_xlfn.XLOOKUP(K292,'Fevereiro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Real'!C3:C15,0))+1))/((L292-1)*(1-_xlfn.XLOOKUP(K292,'Fevereiro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Real'!C3:C15,0))+1))/((L293-1)*(1-_xlfn.XLOOKUP(K293,'Fevereiro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Real'!C3:C15,0))+1))/((L294-1)*(1-_xlfn.XLOOKUP(K294,'Fevereiro 2023 - Valor Real'!A3:A15,'Fevereiro 2023 - Valor Real'!C3:C15,0))+1)),IF(I292="Lay",IF(I293="Lay",((L293/(L293-1)-1)*(1-_xlfn.XLOOKUP(K293,'Fevereiro 2023 - Valor Real'!A3:A15,'Fevereiro 2023 - Valor Real'!C3:C15,0))+1)/(((L293/(L293-1)-1)*(1-_xlfn.XLOOKUP(K293,'Fevereiro 2023 - Valor Real'!A3:A15,'Fevereiro 2023 - Valor Real'!C3:C15,0))+1)+((L292/(L292-1)-1)*(1-_xlfn.XLOOKUP(K292,'Fevereiro 2023 - Valor Real'!A3:A15,'Fevereiro 2023 - Valor Real'!C3:C15,0))+1)),((L293-1)*(1-_xlfn.XLOOKUP(K293,'Fevereiro 2023 - Valor Real'!A3:A15,'Fevereiro 2023 - Valor Real'!C3:C15,0))+1)/(((L293-1)*(1-_xlfn.XLOOKUP(K293,'Fevereiro 2023 - Valor Real'!A3:A15,'Fevereiro 2023 - Valor Real'!C3:C15,0))+1)+((L292/(L292-1)-1)*(1-_xlfn.XLOOKUP(K292,'Fevereiro 2023 - Valor Real'!A3:A15,'Fevereiro 2023 - Valor Real'!C3:C15,0))+1))),IF(I293="Lay",(((L293/(L293-1)-1)*(1-_xlfn.XLOOKUP(K293,'Fevereiro 2023 - Valor Real'!A3:A15,'Fevereiro 2023 - Valor Real'!C3:C15,0))+1))/(((L292-1)*(1-_xlfn.XLOOKUP(K292,'Fevereiro 2023 - Valor Real'!A3:A15,'Fevereiro 2023 - Valor Real'!C3:C15,0))+1)+((L293/(L293-1)-1)*(1-_xlfn.XLOOKUP(K293,'Fevereiro 2023 - Valor Real'!A3:A15,'Fevereiro 2023 - Valor Real'!C3:C15,0))+1)),((L293-1)*(1-_xlfn.XLOOKUP(K293,'Fevereiro 2023 - Valor Real'!A3:A15,'Fevereiro 2023 - Valor Real'!C3:C15,0))+1)/(((L293-1)*(1-_xlfn.XLOOKUP(K293,'Fevereiro 2023 - Valor Real'!A3:A15,'Fevereiro 2023 - Valor Real'!C3:C15,0))+1)+((L292-1)*(1-_xlfn.XLOOKUP(K292,'Fevereiro 2023 - Valor Real'!A3:A15,'Fevereiro 2023 - Valor Real'!C3:C15,0))+1))))))</f>
        <v>0.11402129529434976</v>
      </c>
      <c r="AF292" s="66">
        <f t="shared" si="580"/>
        <v>0</v>
      </c>
      <c r="AG292" s="67">
        <f t="shared" si="580"/>
        <v>0</v>
      </c>
      <c r="AH292" s="67">
        <f t="shared" si="580"/>
        <v>0</v>
      </c>
      <c r="AI292" s="67">
        <f t="shared" si="580"/>
        <v>0</v>
      </c>
      <c r="AJ292" s="67">
        <f t="shared" si="580"/>
        <v>0</v>
      </c>
      <c r="AK292" s="67">
        <f t="shared" si="580"/>
        <v>0</v>
      </c>
      <c r="AL292" s="67">
        <f t="shared" si="580"/>
        <v>0</v>
      </c>
      <c r="AM292" s="67">
        <f t="shared" si="580"/>
        <v>0</v>
      </c>
      <c r="AN292" s="67">
        <f t="shared" si="580"/>
        <v>0</v>
      </c>
      <c r="AO292" s="67">
        <f t="shared" si="580"/>
        <v>0</v>
      </c>
      <c r="AP292" s="67">
        <f t="shared" si="580"/>
        <v>0</v>
      </c>
      <c r="AQ292" s="67">
        <f t="shared" si="580"/>
        <v>-6.01</v>
      </c>
      <c r="AR292" s="68">
        <f t="shared" si="580"/>
        <v>0</v>
      </c>
      <c r="AS292" s="66">
        <f t="shared" ref="AS292:BE292" si="592">IF(AND($B292=" ",$K292=AS$3),$O292,0)</f>
        <v>0</v>
      </c>
      <c r="AT292" s="67">
        <f t="shared" si="592"/>
        <v>0</v>
      </c>
      <c r="AU292" s="67">
        <f t="shared" si="592"/>
        <v>0</v>
      </c>
      <c r="AV292" s="67">
        <f t="shared" si="592"/>
        <v>0</v>
      </c>
      <c r="AW292" s="67">
        <f t="shared" si="592"/>
        <v>0</v>
      </c>
      <c r="AX292" s="67">
        <f t="shared" si="592"/>
        <v>0</v>
      </c>
      <c r="AY292" s="69">
        <f t="shared" si="592"/>
        <v>0</v>
      </c>
      <c r="AZ292" s="70">
        <f t="shared" si="592"/>
        <v>0</v>
      </c>
      <c r="BA292" s="70">
        <f t="shared" si="592"/>
        <v>0</v>
      </c>
      <c r="BB292" s="70">
        <f t="shared" si="592"/>
        <v>0</v>
      </c>
      <c r="BC292" s="71">
        <f t="shared" si="592"/>
        <v>0</v>
      </c>
      <c r="BD292" s="67">
        <f t="shared" si="592"/>
        <v>0</v>
      </c>
      <c r="BE292" s="68">
        <f t="shared" si="592"/>
        <v>0</v>
      </c>
      <c r="BF292" s="66">
        <f t="shared" si="582"/>
        <v>0</v>
      </c>
      <c r="BG292" s="67">
        <f t="shared" si="582"/>
        <v>0</v>
      </c>
      <c r="BH292" s="67">
        <f t="shared" si="582"/>
        <v>0</v>
      </c>
      <c r="BI292" s="67">
        <f t="shared" si="582"/>
        <v>0</v>
      </c>
      <c r="BJ292" s="67">
        <f t="shared" si="582"/>
        <v>0</v>
      </c>
      <c r="BK292" s="67">
        <f t="shared" si="582"/>
        <v>0</v>
      </c>
      <c r="BL292" s="67">
        <f t="shared" si="582"/>
        <v>0</v>
      </c>
      <c r="BM292" s="69">
        <f t="shared" si="582"/>
        <v>0</v>
      </c>
      <c r="BN292" s="70">
        <f t="shared" si="582"/>
        <v>0</v>
      </c>
      <c r="BO292" s="70">
        <f t="shared" si="582"/>
        <v>0</v>
      </c>
      <c r="BP292" s="70">
        <f t="shared" si="582"/>
        <v>0</v>
      </c>
      <c r="BQ292" s="71">
        <f t="shared" si="582"/>
        <v>6.01</v>
      </c>
      <c r="BR292" s="68">
        <f t="shared" si="582"/>
        <v>0</v>
      </c>
      <c r="BS292" s="490">
        <f>IF($B292="LOSS",IF(AND($K292=BS$3,$C292="L"),-$O292,0)+IF(AND($K293=BS$3,$C293="L"),-$O293,0)+IF(AND($K294=BS$3,$C294="L"),-$O294,0),IF(OR(AND($K292=BS$3,OR($C292="W",$C292="1/2W")),AND($K293=BS$3,OR($C293="W",$C293="1/2W")),AND($K294=BS$3,OR($C294="W",$C294="1/2W"))),$S292,0))</f>
        <v>0</v>
      </c>
      <c r="BT292" s="498">
        <f>IF($B292="LOSS",IF(AND($K292=BT$3,$C292="L"),-$O292,0)+IF(AND($K293=BT$3,$C293="L"),-$O293,0)+IF(AND($K293=BT$3,$C294="L"),-$O294,0),IF(OR(AND($K293=BT$3,OR($C292="W",$C292="1/2W")),AND($K293=BT$3,OR($C293="W",$C293="1/2W")),AND($K293=BT$3,OR($C294="W",$C294="1/2W"))),$S292,0))</f>
        <v>0</v>
      </c>
      <c r="BU292" s="488">
        <f>IF($B292="LOSS",IF(AND($K292=BU$3,$C292="L"),-$O292,0)+IF(AND($K293=BU$3,$C293="L"),-$O293,0)+IF(AND($K293=BU$3,$C294="L"),-$O294,0),IF(OR(AND($K293=BU$3,OR($C292="W",$C292="1/2W")),AND($K293=BU$3,OR($C293="W",$C293="1/2W")),AND($K293=BU$3,OR($C294="W",$C294="1/2W"))),$S292,0))</f>
        <v>0</v>
      </c>
      <c r="BV292" s="488">
        <f t="shared" ref="BV292:CE292" si="593">IF($B292="LOSS",IF(AND($K292=BV$3,$C292="L"),-$O292,0)+IF(AND($K293=BV$3,$C293="L"),-$O293,0)+IF(AND($K294=BV$3,$C294="L"),-$O294,0),IF(OR(AND($K292=BV$3,OR($C292="W",$C292="1/2W")),AND($K293=BV$3,OR($C293="W",$C293="1/2W")),AND($K294=BV$3,OR($C294="W",$C294="1/2W"))),$S292,0))</f>
        <v>0</v>
      </c>
      <c r="BW292" s="488">
        <f t="shared" si="593"/>
        <v>1.74</v>
      </c>
      <c r="BX292" s="488">
        <f t="shared" si="593"/>
        <v>0</v>
      </c>
      <c r="BY292" s="488">
        <f t="shared" si="593"/>
        <v>0</v>
      </c>
      <c r="BZ292" s="488">
        <f t="shared" si="593"/>
        <v>0</v>
      </c>
      <c r="CA292" s="488">
        <f t="shared" si="593"/>
        <v>0</v>
      </c>
      <c r="CB292" s="488">
        <f t="shared" si="593"/>
        <v>0</v>
      </c>
      <c r="CC292" s="488">
        <f t="shared" si="593"/>
        <v>0</v>
      </c>
      <c r="CD292" s="500">
        <f t="shared" si="593"/>
        <v>0</v>
      </c>
      <c r="CE292" s="504">
        <f t="shared" si="593"/>
        <v>0</v>
      </c>
      <c r="CF292" s="160">
        <f t="shared" si="515"/>
        <v>0</v>
      </c>
      <c r="CG292" s="161">
        <f t="shared" si="516"/>
        <v>0</v>
      </c>
      <c r="CH292" s="161">
        <f t="shared" si="517"/>
        <v>0</v>
      </c>
      <c r="CI292" s="161">
        <f t="shared" si="518"/>
        <v>0</v>
      </c>
      <c r="CJ292" s="161">
        <f t="shared" si="519"/>
        <v>0</v>
      </c>
      <c r="CK292" s="161">
        <f t="shared" si="520"/>
        <v>0</v>
      </c>
      <c r="CL292" s="161">
        <f t="shared" si="521"/>
        <v>0</v>
      </c>
      <c r="CM292" s="161">
        <f t="shared" si="522"/>
        <v>0</v>
      </c>
      <c r="CN292" s="161">
        <f t="shared" si="523"/>
        <v>0</v>
      </c>
      <c r="CO292" s="161">
        <f t="shared" si="524"/>
        <v>0</v>
      </c>
      <c r="CP292" s="161">
        <f t="shared" si="525"/>
        <v>0</v>
      </c>
      <c r="CQ292" s="161">
        <f t="shared" si="526"/>
        <v>0</v>
      </c>
      <c r="CR292" s="161">
        <f t="shared" si="527"/>
        <v>0</v>
      </c>
      <c r="CS292" s="161">
        <f t="shared" si="528"/>
        <v>0</v>
      </c>
      <c r="CT292" s="75">
        <f t="shared" si="529"/>
        <v>0</v>
      </c>
      <c r="CU292" s="76">
        <f t="shared" si="530"/>
        <v>0</v>
      </c>
      <c r="CV292" s="76">
        <f t="shared" si="531"/>
        <v>0</v>
      </c>
      <c r="CW292" s="76">
        <f t="shared" si="532"/>
        <v>0</v>
      </c>
      <c r="CX292" s="76">
        <f t="shared" si="533"/>
        <v>0</v>
      </c>
      <c r="CY292" s="76">
        <f t="shared" si="534"/>
        <v>0</v>
      </c>
      <c r="CZ292" s="76">
        <f t="shared" si="535"/>
        <v>0</v>
      </c>
      <c r="DA292" s="76">
        <f t="shared" si="536"/>
        <v>0</v>
      </c>
      <c r="DB292" s="76">
        <f t="shared" si="537"/>
        <v>0</v>
      </c>
      <c r="DC292" s="76">
        <f t="shared" si="538"/>
        <v>1</v>
      </c>
      <c r="DD292" s="76">
        <f t="shared" si="539"/>
        <v>0</v>
      </c>
      <c r="DE292" s="77">
        <f t="shared" si="540"/>
        <v>0</v>
      </c>
      <c r="DF292" s="73">
        <f t="shared" si="542"/>
        <v>17</v>
      </c>
      <c r="DG292" s="67">
        <f t="shared" si="543"/>
        <v>21.87</v>
      </c>
      <c r="DH292" s="76">
        <f t="shared" si="544"/>
        <v>8</v>
      </c>
      <c r="DI292" s="67">
        <f t="shared" si="545"/>
        <v>33.049999999999997</v>
      </c>
      <c r="DJ292" s="202" t="str">
        <f>IF($D292="","",$D292)</f>
        <v>9</v>
      </c>
      <c r="DK292" s="492">
        <f>IF(AND($B292=" ",$D292&lt;&gt;""),1,0)</f>
        <v>0</v>
      </c>
    </row>
    <row r="293" spans="1:115" ht="14.5" customHeight="1" x14ac:dyDescent="0.2">
      <c r="A293" s="389"/>
      <c r="B293" s="456"/>
      <c r="C293" s="53" t="s">
        <v>54</v>
      </c>
      <c r="D293" s="374"/>
      <c r="E293" s="386"/>
      <c r="F293" s="377"/>
      <c r="G293" s="508"/>
      <c r="H293" s="476"/>
      <c r="I293" s="182" t="s">
        <v>59</v>
      </c>
      <c r="J293" s="163" t="str">
        <f>IF(OR(I292="TO",I292="TU",I292="TO1",I292="TU1",I292="TO2",I292="TU2"),J292,IF(OR(I292="AH1",I292="AH2"),IF(OR(I293="AH1",I293="AH2"),-J292,IF(OR(I293="EH1",I293="EH2"),-J292+0.5,"")),IF(OR(I292="EH1",I292="EH2"),IF(OR(I293="AH1",I293="AH2"),-J292+0.5,IF(OR(I293="EH1",I293="EH2"),-J292+1,"")),IF(AND(OR(I292="DNB1",I292="DNB2"),OR(I293="AH1",I293="AH2")),0,IF(AND(I292="Not ScoreBoth",OR(I293="TO1",I293="TO2")),0.5,"")))))</f>
        <v/>
      </c>
      <c r="K293" s="57" t="s">
        <v>40</v>
      </c>
      <c r="L293" s="164">
        <v>1.28</v>
      </c>
      <c r="M293" s="165">
        <v>20.5</v>
      </c>
      <c r="N293" s="406"/>
      <c r="O293" s="60">
        <f>IF(OR(AE292="",AE293=""),"",ROUND(IF(L294&gt;0,IF(M293&gt;0,M293,IF(M292&gt;0,IF(N292=TRUE,ROUND((M292*AE293)/AE292,0),(M292*AE293)/AE292),IF(M293&gt;0,ROUND(M293,IF(N292=0,2,IF(N292=0.1,1,0))),IF(M294&gt;0,ROUND(O294*AE293/AE294,IF(N292=0,2,IF(N292=0.1,1,0))),0)))),IF(M293&gt;0,M293,ROUND((M292*AE293)/AE292,IF(N292=0,2,IF(N292=0.1,1,0))))),2))</f>
        <v>20.5</v>
      </c>
      <c r="P293" s="61">
        <f>IF(OR(L293="",O293=""),"",IF($C293="1/2W",O293/2+O293/2*L293,IF($C293="1/2L",O293/2,IF(I293="Lay",((O293*(L293/(L293-1)))-O293)*(1-_xlfn.XLOOKUP(K293,'Fevereiro 2023 - Valor Real'!A3:A15,'Fevereiro 2023 - Valor Real'!C3:C15,0))+O293,(O293*L293-O293)*(1-_xlfn.XLOOKUP(K293,'Fevereiro 2023 - Valor Real'!A3:A15,'Fevereiro 2023 - Valor Real'!C3:C15,0))+O293))))</f>
        <v>26.240000000000002</v>
      </c>
      <c r="Q293" s="166">
        <f>IF(K293="","",IF(_xlfn.XLOOKUP(K293,K$10:K284,$DJ$10:DJ284,0,,-1)=DJ293,_xlfn.XLOOKUP(K293,K$10:K284,Q$10:Q284,1,,-1)+1,1))</f>
        <v>1</v>
      </c>
      <c r="R293" s="167">
        <f>IF(K293="","",_xlfn.XLOOKUP(K293,K$10:K284,R$10:R284,0,,-1)+IF($C293=" ",1,0))</f>
        <v>0</v>
      </c>
      <c r="S293" s="403"/>
      <c r="T293" s="380"/>
      <c r="U293" s="380"/>
      <c r="V293" s="481"/>
      <c r="W293" s="380"/>
      <c r="X293" s="452"/>
      <c r="Y293" s="383"/>
      <c r="Z293" s="384"/>
      <c r="AA293" s="384"/>
      <c r="AB293" s="384"/>
      <c r="AC293" s="384"/>
      <c r="AD293" s="64"/>
      <c r="AE293" s="65">
        <f>IF(L293="","",IF(L294&gt;0,(SUM(((L292-1)*(1-_xlfn.XLOOKUP(K292,'Fevereiro 2023 - Valor Real'!A3:A15,'Fevereiro 2023 - Valor Real'!C3:C15,0))+1),((L293-1)*(1-_xlfn.XLOOKUP(K293,'Fevereiro 2023 - Valor Real'!A3:A15,'Fevereiro 2023 - Valor Real'!C3:C15,0))+1),((L294-1)*(1-_xlfn.XLOOKUP(K294,'Fevereiro 2023 - Valor Real'!A3:A15,'Fevereiro 2023 - Valor Real'!C3:C15,0))+1))/((L293-1)*(1-_xlfn.XLOOKUP(K293,'Fevereiro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Real'!C3:C15,0))+1))/((L292-1)*(1-_xlfn.XLOOKUP(K292,'Fevereiro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Real'!C3:C15,0))+1))/((L293-1)*(1-_xlfn.XLOOKUP(K293,'Fevereiro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Real'!C3:C15,0))+1))/((L294-1)*(1-_xlfn.XLOOKUP(K294,'Fevereiro 2023 - Valor Real'!A3:A15,'Fevereiro 2023 - Valor Real'!C3:C15,0))+1)),IF(I293="Lay",IF(I292="Lay",((L292/(L292-1)-1)*(1-_xlfn.XLOOKUP(K292,'Fevereiro 2023 - Valor Real'!A3:A15,'Fevereiro 2023 - Valor Real'!C3:C15,0))+1)/(((L292/(L292-1)-1)*(1-_xlfn.XLOOKUP(K292,'Fevereiro 2023 - Valor Real'!A3:A15,'Fevereiro 2023 - Valor Real'!C3:C15,0))+1)+((L293/(L293-1)-1)*(1-_xlfn.XLOOKUP(K293,'Fevereiro 2023 - Valor Real'!A3:A15,'Fevereiro 2023 - Valor Real'!C3:C15,0))+1)),((L292-1)*(1-_xlfn.XLOOKUP(K292,'Fevereiro 2023 - Valor Real'!A3:A15,'Fevereiro 2023 - Valor Real'!C3:C15,0))+1)/(((L292-1)*(1-_xlfn.XLOOKUP(K292,'Fevereiro 2023 - Valor Real'!A3:A15,'Fevereiro 2023 - Valor Real'!C3:C15,0))+1)+((L293/(L293-1)-1)*(1-_xlfn.XLOOKUP(K293,'Fevereiro 2023 - Valor Real'!A3:A15,'Fevereiro 2023 - Valor Real'!C3:C15,0))+1))),IF(I292="Lay",((L292/(L292-1)-1)*(1-_xlfn.XLOOKUP(K292,'Fevereiro 2023 - Valor Real'!A3:A15,'Fevereiro 2023 - Valor Real'!C3:C15,0))+1)/((((L292/(L292-1)-1)*(1-_xlfn.XLOOKUP(K292,'Fevereiro 2023 - Valor Real'!A3:A15,'Fevereiro 2023 - Valor Real'!C3:C15,0))+1))+((L293-1)*(1-_xlfn.XLOOKUP(K293,'Fevereiro 2023 - Valor Real'!A3:A15,'Fevereiro 2023 - Valor Real'!C3:C15,0))+1)),((L292-1)*(1-_xlfn.XLOOKUP(K292,'Fevereiro 2023 - Valor Real'!A3:A15,'Fevereiro 2023 - Valor Real'!C3:C15,0))+1)/(((L292-1)*(1-_xlfn.XLOOKUP(K292,'Fevereiro 2023 - Valor Real'!A3:A15,'Fevereiro 2023 - Valor Real'!C3:C15,0))+1)+((L293-1)*(1-_xlfn.XLOOKUP(K293,'Fevereiro 2023 - Valor Real'!A3:A15,'Fevereiro 2023 - Valor Real'!C3:C15,0))+1))))))</f>
        <v>0.47657338267560245</v>
      </c>
      <c r="AF293" s="66">
        <f t="shared" si="580"/>
        <v>0</v>
      </c>
      <c r="AG293" s="67">
        <f t="shared" si="580"/>
        <v>0</v>
      </c>
      <c r="AH293" s="67">
        <f t="shared" si="580"/>
        <v>0</v>
      </c>
      <c r="AI293" s="67">
        <f t="shared" si="580"/>
        <v>0</v>
      </c>
      <c r="AJ293" s="67">
        <f t="shared" si="580"/>
        <v>5.74</v>
      </c>
      <c r="AK293" s="67">
        <f t="shared" si="580"/>
        <v>0</v>
      </c>
      <c r="AL293" s="67">
        <f t="shared" si="580"/>
        <v>0</v>
      </c>
      <c r="AM293" s="67">
        <f t="shared" si="580"/>
        <v>0</v>
      </c>
      <c r="AN293" s="67">
        <f t="shared" si="580"/>
        <v>0</v>
      </c>
      <c r="AO293" s="67">
        <f t="shared" si="580"/>
        <v>0</v>
      </c>
      <c r="AP293" s="67">
        <f t="shared" si="580"/>
        <v>0</v>
      </c>
      <c r="AQ293" s="67">
        <f t="shared" si="580"/>
        <v>0</v>
      </c>
      <c r="AR293" s="68">
        <f t="shared" si="580"/>
        <v>0</v>
      </c>
      <c r="AS293" s="66">
        <f>IF(AND($B292=" ",$K293=AS$3),$O293,0)</f>
        <v>0</v>
      </c>
      <c r="AT293" s="67">
        <f>IF(AND($B292=" ",K293=AT$3),$O293,0)</f>
        <v>0</v>
      </c>
      <c r="AU293" s="67">
        <f t="shared" ref="AU293:BE293" si="594">IF(AND($B292=" ",$K293=AU$3),$O293,0)</f>
        <v>0</v>
      </c>
      <c r="AV293" s="67">
        <f t="shared" si="594"/>
        <v>0</v>
      </c>
      <c r="AW293" s="67">
        <f t="shared" si="594"/>
        <v>0</v>
      </c>
      <c r="AX293" s="67">
        <f t="shared" si="594"/>
        <v>0</v>
      </c>
      <c r="AY293" s="69">
        <f t="shared" si="594"/>
        <v>0</v>
      </c>
      <c r="AZ293" s="70">
        <f t="shared" si="594"/>
        <v>0</v>
      </c>
      <c r="BA293" s="70">
        <f t="shared" si="594"/>
        <v>0</v>
      </c>
      <c r="BB293" s="70">
        <f t="shared" si="594"/>
        <v>0</v>
      </c>
      <c r="BC293" s="71">
        <f t="shared" si="594"/>
        <v>0</v>
      </c>
      <c r="BD293" s="67">
        <f t="shared" si="594"/>
        <v>0</v>
      </c>
      <c r="BE293" s="68">
        <f t="shared" si="594"/>
        <v>0</v>
      </c>
      <c r="BF293" s="66">
        <f t="shared" si="582"/>
        <v>0</v>
      </c>
      <c r="BG293" s="168">
        <f t="shared" si="582"/>
        <v>0</v>
      </c>
      <c r="BH293" s="67">
        <f t="shared" si="582"/>
        <v>0</v>
      </c>
      <c r="BI293" s="67">
        <f t="shared" si="582"/>
        <v>0</v>
      </c>
      <c r="BJ293" s="67">
        <f t="shared" si="582"/>
        <v>20.5</v>
      </c>
      <c r="BK293" s="67">
        <f t="shared" si="582"/>
        <v>0</v>
      </c>
      <c r="BL293" s="67">
        <f t="shared" si="582"/>
        <v>0</v>
      </c>
      <c r="BM293" s="69">
        <f t="shared" si="582"/>
        <v>0</v>
      </c>
      <c r="BN293" s="70">
        <f t="shared" si="582"/>
        <v>0</v>
      </c>
      <c r="BO293" s="70">
        <f t="shared" si="582"/>
        <v>0</v>
      </c>
      <c r="BP293" s="70">
        <f t="shared" si="582"/>
        <v>0</v>
      </c>
      <c r="BQ293" s="71">
        <f t="shared" si="582"/>
        <v>0</v>
      </c>
      <c r="BR293" s="68">
        <f t="shared" si="582"/>
        <v>0</v>
      </c>
      <c r="BS293" s="491"/>
      <c r="BT293" s="489"/>
      <c r="BU293" s="392"/>
      <c r="BV293" s="489"/>
      <c r="BW293" s="392"/>
      <c r="BX293" s="392"/>
      <c r="BY293" s="392"/>
      <c r="BZ293" s="489"/>
      <c r="CA293" s="392"/>
      <c r="CB293" s="392"/>
      <c r="CC293" s="392"/>
      <c r="CD293" s="401"/>
      <c r="CE293" s="409"/>
      <c r="CF293" s="169">
        <f t="shared" si="515"/>
        <v>0</v>
      </c>
      <c r="CG293" s="170">
        <f t="shared" si="516"/>
        <v>0</v>
      </c>
      <c r="CH293" s="170">
        <f t="shared" si="517"/>
        <v>0</v>
      </c>
      <c r="CI293" s="170">
        <f t="shared" si="518"/>
        <v>0</v>
      </c>
      <c r="CJ293" s="170">
        <f t="shared" si="519"/>
        <v>0</v>
      </c>
      <c r="CK293" s="170">
        <f t="shared" si="520"/>
        <v>0</v>
      </c>
      <c r="CL293" s="170">
        <f t="shared" si="521"/>
        <v>0</v>
      </c>
      <c r="CM293" s="170">
        <f t="shared" si="522"/>
        <v>0</v>
      </c>
      <c r="CN293" s="170">
        <f t="shared" si="523"/>
        <v>1</v>
      </c>
      <c r="CO293" s="170">
        <f t="shared" si="524"/>
        <v>0</v>
      </c>
      <c r="CP293" s="170">
        <f t="shared" si="525"/>
        <v>0</v>
      </c>
      <c r="CQ293" s="170">
        <f t="shared" si="526"/>
        <v>0</v>
      </c>
      <c r="CR293" s="170">
        <f t="shared" si="527"/>
        <v>0</v>
      </c>
      <c r="CS293" s="170">
        <f t="shared" si="528"/>
        <v>0</v>
      </c>
      <c r="CT293" s="75">
        <f t="shared" si="529"/>
        <v>0</v>
      </c>
      <c r="CU293" s="76">
        <f t="shared" si="530"/>
        <v>0</v>
      </c>
      <c r="CV293" s="76">
        <f t="shared" si="531"/>
        <v>0</v>
      </c>
      <c r="CW293" s="76">
        <f t="shared" si="532"/>
        <v>0</v>
      </c>
      <c r="CX293" s="76">
        <f t="shared" si="533"/>
        <v>0</v>
      </c>
      <c r="CY293" s="76">
        <f t="shared" si="534"/>
        <v>0</v>
      </c>
      <c r="CZ293" s="76">
        <f t="shared" si="535"/>
        <v>0</v>
      </c>
      <c r="DA293" s="76">
        <f t="shared" si="536"/>
        <v>0</v>
      </c>
      <c r="DB293" s="76">
        <f t="shared" si="537"/>
        <v>0</v>
      </c>
      <c r="DC293" s="76">
        <f t="shared" si="538"/>
        <v>0</v>
      </c>
      <c r="DD293" s="76">
        <f t="shared" si="539"/>
        <v>0</v>
      </c>
      <c r="DE293" s="77">
        <f t="shared" si="540"/>
        <v>0</v>
      </c>
      <c r="DF293" s="73">
        <f t="shared" si="542"/>
        <v>18</v>
      </c>
      <c r="DG293" s="67">
        <f t="shared" si="543"/>
        <v>23.150000000000002</v>
      </c>
      <c r="DH293" s="76">
        <f t="shared" si="544"/>
        <v>8</v>
      </c>
      <c r="DI293" s="67">
        <f t="shared" si="545"/>
        <v>33.049999999999997</v>
      </c>
      <c r="DJ293" s="202" t="str">
        <f>IF($D292="","",$D292)</f>
        <v>9</v>
      </c>
      <c r="DK293" s="493"/>
    </row>
    <row r="294" spans="1:115" ht="14.5" customHeight="1" x14ac:dyDescent="0.2">
      <c r="A294" s="390"/>
      <c r="B294" s="457"/>
      <c r="C294" s="79" t="s">
        <v>54</v>
      </c>
      <c r="D294" s="375"/>
      <c r="E294" s="387"/>
      <c r="F294" s="378"/>
      <c r="G294" s="508"/>
      <c r="H294" s="477"/>
      <c r="I294" s="191">
        <v>1</v>
      </c>
      <c r="J294" s="172"/>
      <c r="K294" s="185" t="s">
        <v>40</v>
      </c>
      <c r="L294" s="186">
        <v>1.49</v>
      </c>
      <c r="M294" s="174">
        <v>4.0999999999999996</v>
      </c>
      <c r="N294" s="407"/>
      <c r="O294" s="187">
        <f>IF(OR(AE292="",AE293=""),"",IF(L294&gt;0,ROUND(IF(M294&gt;0,M294,IF(M292&gt;0,ROUND((M292*AE294)/AE292,IF(N292=0,2,IF(N292=0.1,1,0))),IF(M293&gt;0,ROUND((M293*AE294)/AE293,IF(N292=0,2,IF(N292=0.1,1,0))),IF(M294&gt;0,M294,0)))),2),""))</f>
        <v>4.0999999999999996</v>
      </c>
      <c r="P294" s="188">
        <f>IF(I293="Lay",O293*(L293/(L293-1))-O293,IF(I292="Lay",O292*(L292/(L292-1))-O292,IF(OR(L294="",O294=""),"",IF($C294="1/2W",O294/2+O294/2*L294,IF($C294="1/2L",O294/2,(O294*L294-O294)*(1-_xlfn.XLOOKUP(K294,'Fevereiro 2023 - Valor Real'!A3:A15,'Fevereiro 2023 - Valor Real'!C3:C15,0))+O294)))))</f>
        <v>6.1089999999999991</v>
      </c>
      <c r="Q294" s="166">
        <f>IF(K294="","",IF(_xlfn.XLOOKUP(K294,K$11:K284,$DJ$11:DJ284,0,,-1)=DJ294,_xlfn.XLOOKUP(K294,K$11:K284,Q$11:Q284,1,,-1)+1,1))</f>
        <v>1</v>
      </c>
      <c r="R294" s="189">
        <f>IF(K294="","",_xlfn.XLOOKUP(K294,K$11:K284,R$11:R284,0,,-1)+IF($C294=" ",1,0))</f>
        <v>0</v>
      </c>
      <c r="S294" s="404"/>
      <c r="T294" s="378"/>
      <c r="U294" s="378"/>
      <c r="V294" s="404"/>
      <c r="W294" s="378"/>
      <c r="X294" s="453"/>
      <c r="Y294" s="383"/>
      <c r="Z294" s="384"/>
      <c r="AA294" s="384"/>
      <c r="AB294" s="384"/>
      <c r="AC294" s="384"/>
      <c r="AD294" s="90"/>
      <c r="AE294" s="190">
        <f>IF(L294="","",(SUM(((L292-1)*(1-_xlfn.XLOOKUP(K292,'Fevereiro 2023 - Valor Real'!A3:A15,'Fevereiro 2023 - Valor Real'!C3:C15,0))+1),((L293-1)*(1-_xlfn.XLOOKUP(K293,'Fevereiro 2023 - Valor Real'!A3:A15,'Fevereiro 2023 - Valor Real'!C3:C15,0))+1),((L294-1)*(1-_xlfn.XLOOKUP(K294,'Fevereiro 2023 - Valor Real'!A3:A15,'Fevereiro 2023 - Valor Real'!C3:C15,0))+1))/((L294-1)*(1-_xlfn.XLOOKUP(K294,'Fevereiro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Real'!C3:C15,0))+1))/((L292-1)*(1-_xlfn.XLOOKUP(K292,'Fevereiro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Real'!C3:C15,0))+1))/((L293-1)*(1-_xlfn.XLOOKUP(K293,'Fevereiro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Real'!C3:C15,0))+1))/((L294-1)*(1-_xlfn.XLOOKUP(K294,'Fevereiro 2023 - Valor Real'!A3:A15,'Fevereiro 2023 - Valor Real'!C3:C15,0))+1)))</f>
        <v>0.40940532203004776</v>
      </c>
      <c r="AF294" s="66">
        <f t="shared" ref="AF294:AR303" si="595">IF($K294=AF$3,ROUND(IF(OR($C294="W",$C294="1/2W",$C294="1/2L"),$P294-$O294,IF($C294="X",0,-$O294)),2),0)</f>
        <v>0</v>
      </c>
      <c r="AG294" s="67">
        <f t="shared" si="595"/>
        <v>0</v>
      </c>
      <c r="AH294" s="67">
        <f t="shared" si="595"/>
        <v>0</v>
      </c>
      <c r="AI294" s="67">
        <f t="shared" si="595"/>
        <v>0</v>
      </c>
      <c r="AJ294" s="67">
        <f t="shared" si="595"/>
        <v>2.0099999999999998</v>
      </c>
      <c r="AK294" s="67">
        <f t="shared" si="595"/>
        <v>0</v>
      </c>
      <c r="AL294" s="67">
        <f t="shared" si="595"/>
        <v>0</v>
      </c>
      <c r="AM294" s="67">
        <f t="shared" si="595"/>
        <v>0</v>
      </c>
      <c r="AN294" s="67">
        <f t="shared" si="595"/>
        <v>0</v>
      </c>
      <c r="AO294" s="67">
        <f t="shared" si="595"/>
        <v>0</v>
      </c>
      <c r="AP294" s="67">
        <f t="shared" si="595"/>
        <v>0</v>
      </c>
      <c r="AQ294" s="67">
        <f t="shared" si="595"/>
        <v>0</v>
      </c>
      <c r="AR294" s="68">
        <f t="shared" si="595"/>
        <v>0</v>
      </c>
      <c r="AS294" s="66">
        <f>IF(AND($B292=" ",$K294=AS$3),$O294,0)</f>
        <v>0</v>
      </c>
      <c r="AT294" s="67">
        <f>IF(AND($B292=" ",K294=AT$3),$O294,0)</f>
        <v>0</v>
      </c>
      <c r="AU294" s="67">
        <f t="shared" ref="AU294:BE294" si="596">IF(AND($B292=" ",$K294=AU$3),$O294,0)</f>
        <v>0</v>
      </c>
      <c r="AV294" s="67">
        <f t="shared" si="596"/>
        <v>0</v>
      </c>
      <c r="AW294" s="67">
        <f t="shared" si="596"/>
        <v>0</v>
      </c>
      <c r="AX294" s="67">
        <f t="shared" si="596"/>
        <v>0</v>
      </c>
      <c r="AY294" s="69">
        <f t="shared" si="596"/>
        <v>0</v>
      </c>
      <c r="AZ294" s="70">
        <f t="shared" si="596"/>
        <v>0</v>
      </c>
      <c r="BA294" s="70">
        <f t="shared" si="596"/>
        <v>0</v>
      </c>
      <c r="BB294" s="70">
        <f t="shared" si="596"/>
        <v>0</v>
      </c>
      <c r="BC294" s="71">
        <f t="shared" si="596"/>
        <v>0</v>
      </c>
      <c r="BD294" s="67">
        <f t="shared" si="596"/>
        <v>0</v>
      </c>
      <c r="BE294" s="68">
        <f t="shared" si="596"/>
        <v>0</v>
      </c>
      <c r="BF294" s="66">
        <f t="shared" ref="BF294:BR303" si="597">IF($K294=BF$3,IF($C294="X",0,$O294),0)</f>
        <v>0</v>
      </c>
      <c r="BG294" s="168">
        <f t="shared" si="597"/>
        <v>0</v>
      </c>
      <c r="BH294" s="67">
        <f t="shared" si="597"/>
        <v>0</v>
      </c>
      <c r="BI294" s="67">
        <f t="shared" si="597"/>
        <v>0</v>
      </c>
      <c r="BJ294" s="67">
        <f t="shared" si="597"/>
        <v>4.0999999999999996</v>
      </c>
      <c r="BK294" s="67">
        <f t="shared" si="597"/>
        <v>0</v>
      </c>
      <c r="BL294" s="67">
        <f t="shared" si="597"/>
        <v>0</v>
      </c>
      <c r="BM294" s="69">
        <f t="shared" si="597"/>
        <v>0</v>
      </c>
      <c r="BN294" s="70">
        <f t="shared" si="597"/>
        <v>0</v>
      </c>
      <c r="BO294" s="70">
        <f t="shared" si="597"/>
        <v>0</v>
      </c>
      <c r="BP294" s="70">
        <f t="shared" si="597"/>
        <v>0</v>
      </c>
      <c r="BQ294" s="71">
        <f t="shared" si="597"/>
        <v>0</v>
      </c>
      <c r="BR294" s="68">
        <f t="shared" si="597"/>
        <v>0</v>
      </c>
      <c r="BS294" s="491"/>
      <c r="BT294" s="489"/>
      <c r="BU294" s="392"/>
      <c r="BV294" s="489"/>
      <c r="BW294" s="392"/>
      <c r="BX294" s="392"/>
      <c r="BY294" s="392"/>
      <c r="BZ294" s="489"/>
      <c r="CA294" s="392"/>
      <c r="CB294" s="392"/>
      <c r="CC294" s="392"/>
      <c r="CD294" s="401"/>
      <c r="CE294" s="409"/>
      <c r="CF294" s="169">
        <f t="shared" si="515"/>
        <v>0</v>
      </c>
      <c r="CG294" s="170">
        <f t="shared" si="516"/>
        <v>0</v>
      </c>
      <c r="CH294" s="170">
        <f t="shared" si="517"/>
        <v>0</v>
      </c>
      <c r="CI294" s="170">
        <f t="shared" si="518"/>
        <v>0</v>
      </c>
      <c r="CJ294" s="170">
        <f t="shared" si="519"/>
        <v>0</v>
      </c>
      <c r="CK294" s="170">
        <f t="shared" si="520"/>
        <v>0</v>
      </c>
      <c r="CL294" s="170">
        <f t="shared" si="521"/>
        <v>0</v>
      </c>
      <c r="CM294" s="170">
        <f t="shared" si="522"/>
        <v>0</v>
      </c>
      <c r="CN294" s="170">
        <f t="shared" si="523"/>
        <v>1</v>
      </c>
      <c r="CO294" s="170">
        <f t="shared" si="524"/>
        <v>0</v>
      </c>
      <c r="CP294" s="170">
        <f t="shared" si="525"/>
        <v>0</v>
      </c>
      <c r="CQ294" s="170">
        <f t="shared" si="526"/>
        <v>0</v>
      </c>
      <c r="CR294" s="170">
        <f t="shared" si="527"/>
        <v>0</v>
      </c>
      <c r="CS294" s="170">
        <f t="shared" si="528"/>
        <v>0</v>
      </c>
      <c r="CT294" s="75">
        <f t="shared" si="529"/>
        <v>0</v>
      </c>
      <c r="CU294" s="76">
        <f t="shared" si="530"/>
        <v>0</v>
      </c>
      <c r="CV294" s="76">
        <f t="shared" si="531"/>
        <v>0</v>
      </c>
      <c r="CW294" s="76">
        <f t="shared" si="532"/>
        <v>0</v>
      </c>
      <c r="CX294" s="76">
        <f t="shared" si="533"/>
        <v>0</v>
      </c>
      <c r="CY294" s="76">
        <f t="shared" si="534"/>
        <v>0</v>
      </c>
      <c r="CZ294" s="76">
        <f t="shared" si="535"/>
        <v>0</v>
      </c>
      <c r="DA294" s="76">
        <f t="shared" si="536"/>
        <v>0</v>
      </c>
      <c r="DB294" s="76">
        <f t="shared" si="537"/>
        <v>0</v>
      </c>
      <c r="DC294" s="76">
        <f t="shared" si="538"/>
        <v>0</v>
      </c>
      <c r="DD294" s="76">
        <f t="shared" si="539"/>
        <v>0</v>
      </c>
      <c r="DE294" s="77">
        <f t="shared" si="540"/>
        <v>0</v>
      </c>
      <c r="DF294" s="73">
        <f t="shared" si="542"/>
        <v>19</v>
      </c>
      <c r="DG294" s="67">
        <f t="shared" si="543"/>
        <v>24.64</v>
      </c>
      <c r="DH294" s="76">
        <f t="shared" si="544"/>
        <v>8</v>
      </c>
      <c r="DI294" s="67">
        <f t="shared" si="545"/>
        <v>33.049999999999997</v>
      </c>
      <c r="DJ294" s="202" t="str">
        <f>IF($D292="","",$D292)</f>
        <v>9</v>
      </c>
      <c r="DK294" s="493"/>
    </row>
    <row r="295" spans="1:115" ht="14.5" customHeight="1" x14ac:dyDescent="0.2">
      <c r="A295" s="459">
        <f>$A292+1</f>
        <v>98</v>
      </c>
      <c r="B295" s="507" t="str">
        <f>IF(OR(C295="W",C296="W",C297="W",C295="1/2W",C296="1/2W",C297="1/2W",C295="1/2L",C296="1/2L",C297="1/2L"),"OK",IF(OR(C295="L",C296="L",C297="L"),"LOSS",IF(OR(C295="X",C296="X",C297="X"),"Anulado"," ")))</f>
        <v>OK</v>
      </c>
      <c r="C295" s="93" t="s">
        <v>54</v>
      </c>
      <c r="D295" s="468" t="str">
        <f>IF(G295="","",$D292)</f>
        <v>9</v>
      </c>
      <c r="E295" s="485" t="str">
        <f>IF(G295=""," ","– "&amp;COUNTIF(D$4:D297,$D295))</f>
        <v>– 6</v>
      </c>
      <c r="F295" s="509" t="str">
        <f ca="1">IF(G295="","",IF(OR(AND($C295&lt;&gt;" ",$C296=" "),AND($C296&lt;&gt;" ",$C295=" "),AND(L297&gt;0,OR(AND($C297&lt;&gt;" ",OR($C295=" ",$C296=" ")),AND($C297=" ",OR($C295&lt;&gt;" ",$C296&lt;&gt;" "))))),IF(SUM(F$6:F290)=0,1,LARGE(F$6:F290,1)+1),IF(MONTH(G295)=MONTH(TODAY()),IF(AND(DAY(G295)&lt;DAY(TODAY()),$B295=" "),IF(SUM(F$6:F290)=0,1,LARGE(F$6:F290,1)+1),IF($B295=" ",IF(AND(DAY(G295)=DAY(TODAY()),HOUR(G295)&lt;=HOUR(NOW())+1),IF(AND(HOUR(G295)+2&lt;=HOUR(NOW()),DAY(G295)&lt;=DAY(TODAY()),MINUTE(G295)&lt;=MINUTE(NOW())),IF(SUM(F$6:F290)=0,1,LARGE(F$6:F290,1)+1),IF(OR(MINUTE(G295)&lt;=MINUTE(NOW()),HOUR(G295)&lt;=HOUR(NOW())),"!!!","")),""),"")),"")))</f>
        <v/>
      </c>
      <c r="G295" s="482">
        <v>44994.614583333336</v>
      </c>
      <c r="H295" s="475" t="s">
        <v>144</v>
      </c>
      <c r="I295" s="94" t="s">
        <v>51</v>
      </c>
      <c r="J295" s="95">
        <v>4</v>
      </c>
      <c r="K295" s="96" t="s">
        <v>40</v>
      </c>
      <c r="L295" s="97">
        <v>2.14</v>
      </c>
      <c r="M295" s="98">
        <v>9.15</v>
      </c>
      <c r="N295" s="478">
        <v>0</v>
      </c>
      <c r="O295" s="99">
        <f>IF(OR(AE295="",AE296=""),"",ROUND(IF(L297&gt;0,IF(M295&gt;0,M295,IF(M296&gt;0,ROUND((M296*AE295)/AE296,IF(N295=0,2,IF(N295=0.1,1,0))),ROUND((M297*AE295)/AE297,IF(N295=0,2,IF(N295=0.1,1,0))))),IF(M295&gt;0,M295,ROUND((M296*AE295)/AE296,IF(N295=0,2,IF(N295=0.1,1,0))))),2))</f>
        <v>9.15</v>
      </c>
      <c r="P295" s="100">
        <f>IF(OR(L295="",O295=""),"",IF($C295="1/2W",O295/2+O295/2*L295,IF($C295="1/2L",O295/2,IF(I295="Lay",(O295*(L295/(L295-1))-O295)*(1-_xlfn.XLOOKUP(K295,'Fevereiro 2023 - Valor Real'!A3:A15,'Fevereiro 2023 - Valor Real'!C3:C15,0))+O295,(O295*L295-O295)*(1-_xlfn.XLOOKUP(K295,'Fevereiro 2023 - Valor Real'!A3:A15,'Fevereiro 2023 - Valor Real'!C3:C15,0))+O295))))</f>
        <v>19.581000000000003</v>
      </c>
      <c r="Q295" s="101">
        <f>IF(K295="","",IF(_xlfn.XLOOKUP(K295,K$4:K294,$DJ$4:DJ294,0,,-1)=DJ295,_xlfn.XLOOKUP(K295,K$4:K294,Q$4:Q294,1,,-1)+1,1))</f>
        <v>2</v>
      </c>
      <c r="R295" s="102">
        <f>IF(K295="","",_xlfn.XLOOKUP(K295,K$4:K294,R$4:R294,0,,-1)+IF($C295=" ",1,0))</f>
        <v>0</v>
      </c>
      <c r="S295" s="474">
        <f>IF($B295="Anulado",0,ROUND(IF(OR($B295="LOSS",$B295="OK"),IF(OR($C295="W",$C295="1/2W",$C295="1/2L"),P295-O295,IF($C295="L",-O295,0))+IF(OR($C296="W",$C296="1/2W",$C296="1/2L"),P296-O296,IF($C296="L",-O296,0))+IF(OR($C297="W",$C297="1/2W",$C297="1/2L"),P297-O297,IF($C297="L",-O297,0)),IF(AND(OR($C295="W",$C295="1/2W",$C295="1/2L"),C296="W"),P295+P296-SUM(O295:O297)+_xlfn.XLOOKUP("X",C295:C297,O295:O297,0),IF(AND(C295=TRUE,C297="W"),P295+P297-SUM(O295:O297),IF(AND(C296="W",C297="W"),P296+P297-SUM(O295:O297)+_xlfn.XLOOKUP("X",C295:C297,O295:O297,0),IF(L297&gt;0,IF(OR($C295="W",$C295="1/2W",$C295="1/2L"),P295-SUM(O295:O297)+_xlfn.XLOOKUP("X",C295:C297,O295:O297,0),IF(OR($C295="W",$C295="1/2W",$C295="1/2L"),P296-SUM(O295:O297)+_xlfn.XLOOKUP("X",C295:C297,O295:O297,0),IF(OR($C295="W",$C295="1/2W",$C295="1/2L"),P297-SUM(O295:O297)+_xlfn.XLOOKUP("X",C295:C297,O295:O297,0),IF(SUM(P295:P297)/3-SUM(O295:O297)+_xlfn.XLOOKUP("X",C295:C297,O295:O297,0)&gt;0,SUM(P295:P297)/3-SUM(O295:O297)+_xlfn.XLOOKUP("X",C295:C297,O295:O297,0),LARGE(P295:P297,1)-SUM(O295:O297))))),IF(OR($C295="W",$C295="1/2W",$C295="1/2L"),P295-SUM(O295:O296)+_xlfn.XLOOKUP("X",C295:C297,O295:O297,0),IF(OR($C295="W",$C295="1/2W",$C295="1/2L"),P296-SUM(O295:O296)+_xlfn.XLOOKUP("X",C295:C297,O295:O297,0),SUM(P295:P296)/2-SUM(O295:O296)+_xlfn.XLOOKUP("X",C295:C297,O295:O297,0)))))))),2))</f>
        <v>1.57</v>
      </c>
      <c r="T295" s="458">
        <f>IF(S295=0,0,S295/SUM(O295:O297))</f>
        <v>8.717379233759022E-2</v>
      </c>
      <c r="U295" s="470">
        <f>IF($D295=$D292,IF(OR($B295="LOSS",$B295="OK",$B295="Anulada"),S295,0)+U292,IF(OR($B295="LOSS",$B295="OK",$B295="Anulada"),S295,0))</f>
        <v>7.76</v>
      </c>
      <c r="V295" s="470">
        <f>IF($D295="",0,IF($D295=$D292,IF($B295=" ",IF(I297="",IF(OR(AND(I295="DNB1",I296="DNB2"),AND(OR(I295="DNB1",I295="DNB2"),J296=0),AND(OR(I296="DNB1",I296="DNB2"),J295=0),AND(I295="DNB2",I296="DNB1"),AND(IF(J295=0,(J295+1)/ROUND(J295+1,0),J295/ROUND(J295,0))=1,IF(J296=0,(J296+1)/ROUND(IF(J296="",0,J296)+1,0),IF(J296="",0,J296)/ROUND(IF(J296="",1,J296),0))=1,OR(J295&lt;&gt;""),J296&lt;&gt;"")),0,IF(S295&lt;0,IF(I297="",SMALL(P295:P296,1)-SUM(O295:O296),0),SMALL(P295:P296,1)-SUM(O295:O296))),IF(S295&lt;0,IF(I297="",SMALL(P295:P297,1)-SUM(O295:O297),0),LARGE(P295:P297,1)-SUM(O295:O297))),S295)+V292,IF(I297="",IF(OR(AND(I295="DNB1",I296="DNB2"),AND(OR(I295="DNB1",I295="DNB2"),J296=0),AND(OR(I296="DNB1",I296="DNB2"),J295=0),AND(I295="DNB2",I296="DNB1"),AND(IF(J295=0,(J295+1)/ROUND(J295+1,0),J295/ROUND(J295,0))=1,IF(J296=0,(IF(J296="",0,J296)+1)/ROUND(IF(J296="",0,J296)+1,0),IF(J296="",0,J296)/ROUND(IF(J296="",0,J296)+1,0))=1,OR(J295&lt;&gt;""),J296&lt;&gt;"")),0,IF(S295&lt;0,IF(I297="",SMALL(P295:P296,1)-SUM(O295:O296),0),SMALL(P295:P297,1)-SUM(O295:O297))),IF(S295&lt;0,IF(I297="",SMALL(P295:P297,1)-SUM(O295:O297),0),LARGE(P295:P297,1)-SUM(O295:O297)))))</f>
        <v>7.7604000000000024</v>
      </c>
      <c r="W295" s="470">
        <f>IF($D295=$D292,IF(S295&lt;0,IF(I297="",S295,0),S295)+W292,S295)</f>
        <v>7.76</v>
      </c>
      <c r="X295" s="480" t="str">
        <f>IF(OR(SUM(R295:R297)=0,V295=W295),ROUND(IF(W295=0,0,W295/Y295)*100,2)&amp;"%",ROUND(IF(V295=0,0,V295/Y295)*100,2)&amp;"% a "&amp;ROUND(IF(W295=0,0,W295/Y295)*100,2)&amp;"%")</f>
        <v>7,37%</v>
      </c>
      <c r="Y295" s="471">
        <f>IF($D295=$D292,Y292+SUM(O295:O297),SUM(O295:O297))</f>
        <v>105.3</v>
      </c>
      <c r="Z295" s="470">
        <f>IF($B295=" ",SUM(O295:O297),0)+Z292</f>
        <v>0</v>
      </c>
      <c r="AA295" s="470">
        <f>IF(G295="","",IF($B295="Anulado",LARGE(P295:P297,1)-SUM(O295:O297)+AA292,AA292))</f>
        <v>1.4607999999999972</v>
      </c>
      <c r="AB295" s="470">
        <f>IF($D295="","",AB292+S295)</f>
        <v>448.62</v>
      </c>
      <c r="AC295" s="472">
        <f ca="1">IF($D295="","",IF($B295=" ",IF(DAY(G295)=DAY(TODAY()),1+AC292,0+AC292),0+AC292))</f>
        <v>0</v>
      </c>
      <c r="AD295" s="103">
        <f>(((L296/(L296-1)-1)*(1-_xlfn.XLOOKUP(K296,'Fevereiro 2023 - Valor Real'!A3:A15,'Fevereiro 2023 - Valor Real'!C3:C15,0))+1))/(((L295-1)*(1-_xlfn.XLOOKUP(K295,'Fevereiro 2023 - Valor Real'!A3:A15,'Fevereiro 2023 - Valor Real'!C3:C15,0))+1)+((L296/(L296-1)-1)*(1-_xlfn.XLOOKUP(K296,'Fevereiro 2023 - Valor Real'!A3:A15,'Fevereiro 2023 - Valor Real'!C3:C15,0))+1))</f>
        <v>0.49529611391032258</v>
      </c>
      <c r="AE295" s="104">
        <f>IF(L295="","",IF(L297&gt;0,(SUM(((L295-1)*(1-_xlfn.XLOOKUP(K295,'Fevereiro 2023 - Valor Real'!A3:A15,'Fevereiro 2023 - Valor Real'!C3:C15,0))+1),((L296-1)*(1-_xlfn.XLOOKUP(K296,'Fevereiro 2023 - Valor Real'!A3:A15,'Fevereiro 2023 - Valor Real'!C3:C15,0))+1),((L297-1)*(1-_xlfn.XLOOKUP(K297,'Fevereiro 2023 - Valor Real'!A3:A15,'Fevereiro 2023 - Valor Real'!C3:C15,0))+1))/((L295-1)*(1-_xlfn.XLOOKUP(K295,'Fevereiro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Real'!C3:C15,0))+1))/((L295-1)*(1-_xlfn.XLOOKUP(K295,'Fevereiro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Real'!C3:C15,0))+1))/((L296-1)*(1-_xlfn.XLOOKUP(K296,'Fevereiro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Real'!C3:C15,0))+1))/((L297-1)*(1-_xlfn.XLOOKUP(K297,'Fevereiro 2023 - Valor Real'!A3:A15,'Fevereiro 2023 - Valor Real'!C3:C15,0))+1)),IF(I295="Lay",IF(I296="Lay",((L296/(L296-1)-1)*(1-_xlfn.XLOOKUP(K296,'Fevereiro 2023 - Valor Real'!A3:A15,'Fevereiro 2023 - Valor Real'!C3:C15,0))+1)/(((L296/(L296-1)-1)*(1-_xlfn.XLOOKUP(K296,'Fevereiro 2023 - Valor Real'!A3:A15,'Fevereiro 2023 - Valor Real'!C3:C15,0))+1)+((L295/(L295-1)-1)*(1-_xlfn.XLOOKUP(K295,'Fevereiro 2023 - Valor Real'!A3:A15,'Fevereiro 2023 - Valor Real'!C3:C15,0))+1)),((L296-1)*(1-_xlfn.XLOOKUP(K296,'Fevereiro 2023 - Valor Real'!A3:A15,'Fevereiro 2023 - Valor Real'!C3:C15,0))+1)/(((L296-1)*(1-_xlfn.XLOOKUP(K296,'Fevereiro 2023 - Valor Real'!A3:A15,'Fevereiro 2023 - Valor Real'!C3:C15,0))+1)+((L295/(L295-1)-1)*(1-_xlfn.XLOOKUP(K295,'Fevereiro 2023 - Valor Real'!A3:A15,'Fevereiro 2023 - Valor Real'!C3:C15,0))+1))),IF(I296="Lay",(((L296/(L296-1)-1)*(1-_xlfn.XLOOKUP(K296,'Fevereiro 2023 - Valor Real'!A3:A15,'Fevereiro 2023 - Valor Real'!C3:C15,0))+1))/(((L295-1)*(1-_xlfn.XLOOKUP(K295,'Fevereiro 2023 - Valor Real'!A3:A15,'Fevereiro 2023 - Valor Real'!C3:C15,0))+1)+((L296/(L296-1)-1)*(1-_xlfn.XLOOKUP(K296,'Fevereiro 2023 - Valor Real'!A3:A15,'Fevereiro 2023 - Valor Real'!C3:C15,0))+1)),((L296-1)*(1-_xlfn.XLOOKUP(K296,'Fevereiro 2023 - Valor Real'!A3:A15,'Fevereiro 2023 - Valor Real'!C3:C15,0))+1)/(((L296-1)*(1-_xlfn.XLOOKUP(K296,'Fevereiro 2023 - Valor Real'!A3:A15,'Fevereiro 2023 - Valor Real'!C3:C15,0))+1)+((L295-1)*(1-_xlfn.XLOOKUP(K295,'Fevereiro 2023 - Valor Real'!A3:A15,'Fevereiro 2023 - Valor Real'!C3:C15,0))+1))))))</f>
        <v>0.34321820588697494</v>
      </c>
      <c r="AF295" s="105">
        <f t="shared" si="595"/>
        <v>0</v>
      </c>
      <c r="AG295" s="106">
        <f t="shared" si="595"/>
        <v>0</v>
      </c>
      <c r="AH295" s="106">
        <f t="shared" si="595"/>
        <v>0</v>
      </c>
      <c r="AI295" s="106">
        <f t="shared" si="595"/>
        <v>0</v>
      </c>
      <c r="AJ295" s="106">
        <f t="shared" si="595"/>
        <v>10.43</v>
      </c>
      <c r="AK295" s="106">
        <f t="shared" si="595"/>
        <v>0</v>
      </c>
      <c r="AL295" s="106">
        <f t="shared" si="595"/>
        <v>0</v>
      </c>
      <c r="AM295" s="106">
        <f t="shared" si="595"/>
        <v>0</v>
      </c>
      <c r="AN295" s="106">
        <f t="shared" si="595"/>
        <v>0</v>
      </c>
      <c r="AO295" s="106">
        <f t="shared" si="595"/>
        <v>0</v>
      </c>
      <c r="AP295" s="106">
        <f t="shared" si="595"/>
        <v>0</v>
      </c>
      <c r="AQ295" s="106">
        <f t="shared" si="595"/>
        <v>0</v>
      </c>
      <c r="AR295" s="107">
        <f t="shared" si="595"/>
        <v>0</v>
      </c>
      <c r="AS295" s="105">
        <f t="shared" ref="AS295:BE295" si="598">IF(AND($B295=" ",$K295=AS$3),$O295,0)</f>
        <v>0</v>
      </c>
      <c r="AT295" s="106">
        <f t="shared" si="598"/>
        <v>0</v>
      </c>
      <c r="AU295" s="106">
        <f t="shared" si="598"/>
        <v>0</v>
      </c>
      <c r="AV295" s="106">
        <f t="shared" si="598"/>
        <v>0</v>
      </c>
      <c r="AW295" s="106">
        <f t="shared" si="598"/>
        <v>0</v>
      </c>
      <c r="AX295" s="106">
        <f t="shared" si="598"/>
        <v>0</v>
      </c>
      <c r="AY295" s="108">
        <f t="shared" si="598"/>
        <v>0</v>
      </c>
      <c r="AZ295" s="109">
        <f t="shared" si="598"/>
        <v>0</v>
      </c>
      <c r="BA295" s="109">
        <f t="shared" si="598"/>
        <v>0</v>
      </c>
      <c r="BB295" s="109">
        <f t="shared" si="598"/>
        <v>0</v>
      </c>
      <c r="BC295" s="110">
        <f t="shared" si="598"/>
        <v>0</v>
      </c>
      <c r="BD295" s="106">
        <f t="shared" si="598"/>
        <v>0</v>
      </c>
      <c r="BE295" s="107">
        <f t="shared" si="598"/>
        <v>0</v>
      </c>
      <c r="BF295" s="111">
        <f t="shared" si="597"/>
        <v>0</v>
      </c>
      <c r="BG295" s="106">
        <f t="shared" si="597"/>
        <v>0</v>
      </c>
      <c r="BH295" s="106">
        <f t="shared" si="597"/>
        <v>0</v>
      </c>
      <c r="BI295" s="106">
        <f t="shared" si="597"/>
        <v>0</v>
      </c>
      <c r="BJ295" s="106">
        <f t="shared" si="597"/>
        <v>9.15</v>
      </c>
      <c r="BK295" s="106">
        <f t="shared" si="597"/>
        <v>0</v>
      </c>
      <c r="BL295" s="106">
        <f t="shared" si="597"/>
        <v>0</v>
      </c>
      <c r="BM295" s="108">
        <f t="shared" si="597"/>
        <v>0</v>
      </c>
      <c r="BN295" s="109">
        <f t="shared" si="597"/>
        <v>0</v>
      </c>
      <c r="BO295" s="109">
        <f t="shared" si="597"/>
        <v>0</v>
      </c>
      <c r="BP295" s="109">
        <f t="shared" si="597"/>
        <v>0</v>
      </c>
      <c r="BQ295" s="110">
        <f t="shared" si="597"/>
        <v>0</v>
      </c>
      <c r="BR295" s="107">
        <f t="shared" si="597"/>
        <v>0</v>
      </c>
      <c r="BS295" s="463">
        <f>IF($B295="LOSS",IF(AND($K295=BS$3,$C295="L"),-$O295,0)+IF(AND($K296=BS$3,$C296="L"),-$O296,0)+IF(AND($K297=BS$3,$C297="L"),-$O297,0),IF(OR(AND($K295=BS$3,OR($C295="W",$C295="1/2W")),AND($K296=BS$3,OR($C296="W",$C296="1/2W")),AND($K297=BS$3,OR($C297="W",$C297="1/2W"))),$S295,0))</f>
        <v>0</v>
      </c>
      <c r="BT295" s="462">
        <f>IF($B295="LOSS",IF(AND($K295=BT$3,$C295="L"),-$O295,0)+IF(AND($K296=BT$3,$C296="L"),-$O296,0)+IF(AND($K296=BT$3,$C297="L"),-$O297,0),IF(OR(AND($K296=BT$3,OR($C295="W",$C295="1/2W")),AND($K296=BT$3,OR($C296="W",$C296="1/2W")),AND($K296=BT$3,OR($C297="W",$C297="1/2W"))),$S295,0))</f>
        <v>0</v>
      </c>
      <c r="BU295" s="462">
        <f>IF($B295="LOSS",IF(AND($K295=BU$3,$C295="L"),-$O295,0)+IF(AND($K296=BU$3,$C296="L"),-$O296,0)+IF(AND($K296=BU$3,$C297="L"),-$O297,0),IF(OR(AND($K296=BU$3,OR($C295="W",$C295="1/2W")),AND($K296=BU$3,OR($C296="W",$C296="1/2W")),AND($K296=BU$3,OR($C297="W",$C297="1/2W"))),$S295,0))</f>
        <v>0</v>
      </c>
      <c r="BV295" s="462">
        <f t="shared" ref="BV295:CE295" si="599">IF($B295="LOSS",IF(AND($K295=BV$3,$C295="L"),-$O295,0)+IF(AND($K296=BV$3,$C296="L"),-$O296,0)+IF(AND($K297=BV$3,$C297="L"),-$O297,0),IF(OR(AND($K295=BV$3,OR($C295="W",$C295="1/2W")),AND($K296=BV$3,OR($C296="W",$C296="1/2W")),AND($K297=BV$3,OR($C297="W",$C297="1/2W"))),$S295,0))</f>
        <v>0</v>
      </c>
      <c r="BW295" s="462">
        <f t="shared" si="599"/>
        <v>1.57</v>
      </c>
      <c r="BX295" s="462">
        <f t="shared" si="599"/>
        <v>0</v>
      </c>
      <c r="BY295" s="462">
        <f t="shared" si="599"/>
        <v>0</v>
      </c>
      <c r="BZ295" s="460">
        <f t="shared" si="599"/>
        <v>0</v>
      </c>
      <c r="CA295" s="460">
        <f t="shared" si="599"/>
        <v>0</v>
      </c>
      <c r="CB295" s="460">
        <f t="shared" si="599"/>
        <v>0</v>
      </c>
      <c r="CC295" s="460">
        <f t="shared" si="599"/>
        <v>0</v>
      </c>
      <c r="CD295" s="473">
        <f t="shared" si="599"/>
        <v>0</v>
      </c>
      <c r="CE295" s="479">
        <f t="shared" si="599"/>
        <v>0</v>
      </c>
      <c r="CF295" s="113">
        <f t="shared" si="515"/>
        <v>0</v>
      </c>
      <c r="CG295" s="114">
        <f t="shared" si="516"/>
        <v>0</v>
      </c>
      <c r="CH295" s="114">
        <f t="shared" si="517"/>
        <v>0</v>
      </c>
      <c r="CI295" s="114">
        <f t="shared" si="518"/>
        <v>0</v>
      </c>
      <c r="CJ295" s="114">
        <f t="shared" si="519"/>
        <v>0</v>
      </c>
      <c r="CK295" s="114">
        <f t="shared" si="520"/>
        <v>0</v>
      </c>
      <c r="CL295" s="114">
        <f t="shared" si="521"/>
        <v>0</v>
      </c>
      <c r="CM295" s="114">
        <f t="shared" si="522"/>
        <v>0</v>
      </c>
      <c r="CN295" s="114">
        <f t="shared" si="523"/>
        <v>1</v>
      </c>
      <c r="CO295" s="114">
        <f t="shared" si="524"/>
        <v>0</v>
      </c>
      <c r="CP295" s="114">
        <f t="shared" si="525"/>
        <v>0</v>
      </c>
      <c r="CQ295" s="114">
        <f t="shared" si="526"/>
        <v>0</v>
      </c>
      <c r="CR295" s="114">
        <f t="shared" si="527"/>
        <v>0</v>
      </c>
      <c r="CS295" s="114">
        <f t="shared" si="528"/>
        <v>0</v>
      </c>
      <c r="CT295" s="115">
        <f t="shared" si="529"/>
        <v>0</v>
      </c>
      <c r="CU295" s="116">
        <f t="shared" si="530"/>
        <v>0</v>
      </c>
      <c r="CV295" s="116">
        <f t="shared" si="531"/>
        <v>0</v>
      </c>
      <c r="CW295" s="116">
        <f t="shared" si="532"/>
        <v>0</v>
      </c>
      <c r="CX295" s="116">
        <f t="shared" si="533"/>
        <v>0</v>
      </c>
      <c r="CY295" s="116">
        <f t="shared" si="534"/>
        <v>0</v>
      </c>
      <c r="CZ295" s="116">
        <f t="shared" si="535"/>
        <v>0</v>
      </c>
      <c r="DA295" s="116">
        <f t="shared" si="536"/>
        <v>0</v>
      </c>
      <c r="DB295" s="116">
        <f t="shared" si="537"/>
        <v>0</v>
      </c>
      <c r="DC295" s="116">
        <f t="shared" si="538"/>
        <v>0</v>
      </c>
      <c r="DD295" s="116">
        <f t="shared" si="539"/>
        <v>0</v>
      </c>
      <c r="DE295" s="117">
        <f t="shared" si="540"/>
        <v>0</v>
      </c>
      <c r="DF295" s="118">
        <f t="shared" si="542"/>
        <v>19</v>
      </c>
      <c r="DG295" s="106">
        <f t="shared" si="543"/>
        <v>24.64</v>
      </c>
      <c r="DH295" s="116">
        <f t="shared" si="544"/>
        <v>8</v>
      </c>
      <c r="DI295" s="106">
        <f t="shared" si="545"/>
        <v>33.049999999999997</v>
      </c>
      <c r="DJ295" s="201" t="str">
        <f>IF($D295="","",$D295)</f>
        <v>9</v>
      </c>
      <c r="DK295" s="465">
        <f>IF(AND($B295=" ",$D295&lt;&gt;""),1,0)</f>
        <v>0</v>
      </c>
    </row>
    <row r="296" spans="1:115" ht="14.5" customHeight="1" x14ac:dyDescent="0.2">
      <c r="A296" s="389"/>
      <c r="B296" s="456"/>
      <c r="C296" s="120" t="s">
        <v>55</v>
      </c>
      <c r="D296" s="374"/>
      <c r="E296" s="386"/>
      <c r="F296" s="377"/>
      <c r="G296" s="483"/>
      <c r="H296" s="476"/>
      <c r="I296" s="121" t="s">
        <v>52</v>
      </c>
      <c r="J296" s="122">
        <v>4.5</v>
      </c>
      <c r="K296" s="123" t="s">
        <v>39</v>
      </c>
      <c r="L296" s="124">
        <v>1.909</v>
      </c>
      <c r="M296" s="125">
        <v>5.47</v>
      </c>
      <c r="N296" s="406"/>
      <c r="O296" s="126">
        <f>IF(OR(AE295="",AE296=""),"",ROUND(IF(L297&gt;0,IF(M296&gt;0,M296,IF(M295&gt;0,IF(N295=TRUE,ROUND((M295*AE296)/AE295,0),(M295*AE296)/AE295),IF(M296&gt;0,ROUND(M296,IF(N295=0,2,IF(N295=0.1,1,0))),IF(M297&gt;0,ROUND(O297*AE296/AE297,IF(N295=0,2,IF(N295=0.1,1,0))),0)))),IF(M296&gt;0,M296,ROUND((M295*AE296)/AE295,IF(N295=0,2,IF(N295=0.1,1,0))))),2))</f>
        <v>5.47</v>
      </c>
      <c r="P296" s="127">
        <f>IF(OR(L296="",O296=""),"",IF($C296="1/2W",O296/2+O296/2*L296,IF($C296="1/2L",O296/2,IF(I296="Lay",((O296*(L296/(L296-1)))-O296)*(1-_xlfn.XLOOKUP(K296,'Fevereiro 2023 - Valor Real'!A3:A15,'Fevereiro 2023 - Valor Real'!C3:C15,0))+O296,(O296*L296-O296)*(1-_xlfn.XLOOKUP(K296,'Fevereiro 2023 - Valor Real'!A3:A15,'Fevereiro 2023 - Valor Real'!C3:C15,0))+O296))))</f>
        <v>10.44223</v>
      </c>
      <c r="Q296" s="128">
        <f>IF(K296="","",IF(_xlfn.XLOOKUP(K296,K$4:K295,$DJ$4:DJ295,0,,-1)=DJ296,_xlfn.XLOOKUP(K296,K$4:K295,Q$4:Q295,1,,-1)+1,1))</f>
        <v>1</v>
      </c>
      <c r="R296" s="129">
        <f>IF(K296="","",_xlfn.XLOOKUP(K296,K$4:K295,R$4:R295,0,,-1)+IF($C296=" ",1,0))</f>
        <v>0</v>
      </c>
      <c r="S296" s="403"/>
      <c r="T296" s="380"/>
      <c r="U296" s="380"/>
      <c r="V296" s="481"/>
      <c r="W296" s="380"/>
      <c r="X296" s="452"/>
      <c r="Y296" s="383"/>
      <c r="Z296" s="384"/>
      <c r="AA296" s="384"/>
      <c r="AB296" s="384"/>
      <c r="AC296" s="384"/>
      <c r="AD296" s="130">
        <f>(((L296/(L296-1)-1)*(1-_xlfn.XLOOKUP(K296,'Fevereiro 2023 - Valor Real'!A3:A15,'Fevereiro 2023 - Valor Real'!C3:C15,0))+1))</f>
        <v>2.1001100110011</v>
      </c>
      <c r="AE296" s="131">
        <f>IF(L296="","",IF(L297&gt;0,(SUM(((L295-1)*(1-_xlfn.XLOOKUP(K295,'Fevereiro 2023 - Valor Real'!A3:A15,'Fevereiro 2023 - Valor Real'!C3:C15,0))+1),((L296-1)*(1-_xlfn.XLOOKUP(K296,'Fevereiro 2023 - Valor Real'!A3:A15,'Fevereiro 2023 - Valor Real'!C3:C15,0))+1),((L297-1)*(1-_xlfn.XLOOKUP(K297,'Fevereiro 2023 - Valor Real'!A3:A15,'Fevereiro 2023 - Valor Real'!C3:C15,0))+1))/((L296-1)*(1-_xlfn.XLOOKUP(K296,'Fevereiro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Real'!C3:C15,0))+1))/((L295-1)*(1-_xlfn.XLOOKUP(K295,'Fevereiro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Real'!C3:C15,0))+1))/((L296-1)*(1-_xlfn.XLOOKUP(K296,'Fevereiro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Real'!C3:C15,0))+1))/((L297-1)*(1-_xlfn.XLOOKUP(K297,'Fevereiro 2023 - Valor Real'!A3:A15,'Fevereiro 2023 - Valor Real'!C3:C15,0))+1)),IF(I296="Lay",IF(I295="Lay",((L295/(L295-1)-1)*(1-_xlfn.XLOOKUP(K295,'Fevereiro 2023 - Valor Real'!A3:A15,'Fevereiro 2023 - Valor Real'!C3:C15,0))+1)/(((L295/(L295-1)-1)*(1-_xlfn.XLOOKUP(K295,'Fevereiro 2023 - Valor Real'!A3:A15,'Fevereiro 2023 - Valor Real'!C3:C15,0))+1)+((L296/(L296-1)-1)*(1-_xlfn.XLOOKUP(K296,'Fevereiro 2023 - Valor Real'!A3:A15,'Fevereiro 2023 - Valor Real'!C3:C15,0))+1)),((L295-1)*(1-_xlfn.XLOOKUP(K295,'Fevereiro 2023 - Valor Real'!A3:A15,'Fevereiro 2023 - Valor Real'!C3:C15,0))+1)/(((L295-1)*(1-_xlfn.XLOOKUP(K295,'Fevereiro 2023 - Valor Real'!A3:A15,'Fevereiro 2023 - Valor Real'!C3:C15,0))+1)+((L296/(L296-1)-1)*(1-_xlfn.XLOOKUP(K296,'Fevereiro 2023 - Valor Real'!A3:A15,'Fevereiro 2023 - Valor Real'!C3:C15,0))+1))),IF(I295="Lay",((L295/(L295-1)-1)*(1-_xlfn.XLOOKUP(K295,'Fevereiro 2023 - Valor Real'!A3:A15,'Fevereiro 2023 - Valor Real'!C3:C15,0))+1)/((((L295/(L295-1)-1)*(1-_xlfn.XLOOKUP(K295,'Fevereiro 2023 - Valor Real'!A3:A15,'Fevereiro 2023 - Valor Real'!C3:C15,0))+1))+((L296-1)*(1-_xlfn.XLOOKUP(K296,'Fevereiro 2023 - Valor Real'!A3:A15,'Fevereiro 2023 - Valor Real'!C3:C15,0))+1)),((L295-1)*(1-_xlfn.XLOOKUP(K295,'Fevereiro 2023 - Valor Real'!A3:A15,'Fevereiro 2023 - Valor Real'!C3:C15,0))+1)/(((L295-1)*(1-_xlfn.XLOOKUP(K295,'Fevereiro 2023 - Valor Real'!A3:A15,'Fevereiro 2023 - Valor Real'!C3:C15,0))+1)+((L296-1)*(1-_xlfn.XLOOKUP(K296,'Fevereiro 2023 - Valor Real'!A3:A15,'Fevereiro 2023 - Valor Real'!C3:C15,0))+1))))))</f>
        <v>0.3847495864840893</v>
      </c>
      <c r="AF296" s="105">
        <f t="shared" si="595"/>
        <v>0</v>
      </c>
      <c r="AG296" s="106">
        <f t="shared" si="595"/>
        <v>0</v>
      </c>
      <c r="AH296" s="106">
        <f t="shared" si="595"/>
        <v>0</v>
      </c>
      <c r="AI296" s="106">
        <f t="shared" si="595"/>
        <v>-5.47</v>
      </c>
      <c r="AJ296" s="106">
        <f t="shared" si="595"/>
        <v>0</v>
      </c>
      <c r="AK296" s="106">
        <f t="shared" si="595"/>
        <v>0</v>
      </c>
      <c r="AL296" s="106">
        <f t="shared" si="595"/>
        <v>0</v>
      </c>
      <c r="AM296" s="106">
        <f t="shared" si="595"/>
        <v>0</v>
      </c>
      <c r="AN296" s="106">
        <f t="shared" si="595"/>
        <v>0</v>
      </c>
      <c r="AO296" s="106">
        <f t="shared" si="595"/>
        <v>0</v>
      </c>
      <c r="AP296" s="106">
        <f t="shared" si="595"/>
        <v>0</v>
      </c>
      <c r="AQ296" s="106">
        <f t="shared" si="595"/>
        <v>0</v>
      </c>
      <c r="AR296" s="107">
        <f t="shared" si="595"/>
        <v>0</v>
      </c>
      <c r="AS296" s="105">
        <f>IF(AND($B295=" ",$K296=AS$3),$O296,0)</f>
        <v>0</v>
      </c>
      <c r="AT296" s="106">
        <f>IF(AND($B295=" ",K296=AT$3),$O296,0)</f>
        <v>0</v>
      </c>
      <c r="AU296" s="106">
        <f t="shared" ref="AU296:BE296" si="600">IF(AND($B295=" ",$K296=AU$3),$O296,0)</f>
        <v>0</v>
      </c>
      <c r="AV296" s="106">
        <f t="shared" si="600"/>
        <v>0</v>
      </c>
      <c r="AW296" s="106">
        <f t="shared" si="600"/>
        <v>0</v>
      </c>
      <c r="AX296" s="106">
        <f t="shared" si="600"/>
        <v>0</v>
      </c>
      <c r="AY296" s="108">
        <f t="shared" si="600"/>
        <v>0</v>
      </c>
      <c r="AZ296" s="109">
        <f t="shared" si="600"/>
        <v>0</v>
      </c>
      <c r="BA296" s="109">
        <f t="shared" si="600"/>
        <v>0</v>
      </c>
      <c r="BB296" s="109">
        <f t="shared" si="600"/>
        <v>0</v>
      </c>
      <c r="BC296" s="110">
        <f t="shared" si="600"/>
        <v>0</v>
      </c>
      <c r="BD296" s="106">
        <f t="shared" si="600"/>
        <v>0</v>
      </c>
      <c r="BE296" s="107">
        <f t="shared" si="600"/>
        <v>0</v>
      </c>
      <c r="BF296" s="105">
        <f t="shared" si="597"/>
        <v>0</v>
      </c>
      <c r="BG296" s="106">
        <f t="shared" si="597"/>
        <v>0</v>
      </c>
      <c r="BH296" s="106">
        <f t="shared" si="597"/>
        <v>0</v>
      </c>
      <c r="BI296" s="106">
        <f t="shared" si="597"/>
        <v>5.47</v>
      </c>
      <c r="BJ296" s="106">
        <f t="shared" si="597"/>
        <v>0</v>
      </c>
      <c r="BK296" s="106">
        <f t="shared" si="597"/>
        <v>0</v>
      </c>
      <c r="BL296" s="106">
        <f t="shared" si="597"/>
        <v>0</v>
      </c>
      <c r="BM296" s="132">
        <f t="shared" si="597"/>
        <v>0</v>
      </c>
      <c r="BN296" s="112">
        <f t="shared" si="597"/>
        <v>0</v>
      </c>
      <c r="BO296" s="112">
        <f t="shared" si="597"/>
        <v>0</v>
      </c>
      <c r="BP296" s="112">
        <f t="shared" si="597"/>
        <v>0</v>
      </c>
      <c r="BQ296" s="110">
        <f t="shared" si="597"/>
        <v>0</v>
      </c>
      <c r="BR296" s="107">
        <f t="shared" si="597"/>
        <v>0</v>
      </c>
      <c r="BS296" s="464"/>
      <c r="BT296" s="461"/>
      <c r="BU296" s="392"/>
      <c r="BV296" s="461"/>
      <c r="BW296" s="392"/>
      <c r="BX296" s="392"/>
      <c r="BY296" s="392"/>
      <c r="BZ296" s="461"/>
      <c r="CA296" s="392"/>
      <c r="CB296" s="392"/>
      <c r="CC296" s="392"/>
      <c r="CD296" s="401"/>
      <c r="CE296" s="409"/>
      <c r="CF296" s="133">
        <f t="shared" si="515"/>
        <v>0</v>
      </c>
      <c r="CG296" s="134">
        <f t="shared" si="516"/>
        <v>0</v>
      </c>
      <c r="CH296" s="134">
        <f t="shared" si="517"/>
        <v>0</v>
      </c>
      <c r="CI296" s="134">
        <f t="shared" si="518"/>
        <v>0</v>
      </c>
      <c r="CJ296" s="134">
        <f t="shared" si="519"/>
        <v>0</v>
      </c>
      <c r="CK296" s="134">
        <f t="shared" si="520"/>
        <v>0</v>
      </c>
      <c r="CL296" s="134">
        <f t="shared" si="521"/>
        <v>0</v>
      </c>
      <c r="CM296" s="134">
        <f t="shared" si="522"/>
        <v>1</v>
      </c>
      <c r="CN296" s="134">
        <f t="shared" si="523"/>
        <v>0</v>
      </c>
      <c r="CO296" s="134">
        <f t="shared" si="524"/>
        <v>0</v>
      </c>
      <c r="CP296" s="134">
        <f t="shared" si="525"/>
        <v>0</v>
      </c>
      <c r="CQ296" s="134">
        <f t="shared" si="526"/>
        <v>0</v>
      </c>
      <c r="CR296" s="134">
        <f t="shared" si="527"/>
        <v>0</v>
      </c>
      <c r="CS296" s="134">
        <f t="shared" si="528"/>
        <v>0</v>
      </c>
      <c r="CT296" s="115">
        <f t="shared" si="529"/>
        <v>0</v>
      </c>
      <c r="CU296" s="116">
        <f t="shared" si="530"/>
        <v>0</v>
      </c>
      <c r="CV296" s="116">
        <f t="shared" si="531"/>
        <v>0</v>
      </c>
      <c r="CW296" s="116">
        <f t="shared" si="532"/>
        <v>0</v>
      </c>
      <c r="CX296" s="116">
        <f t="shared" si="533"/>
        <v>0</v>
      </c>
      <c r="CY296" s="116">
        <f t="shared" si="534"/>
        <v>0</v>
      </c>
      <c r="CZ296" s="116">
        <f t="shared" si="535"/>
        <v>0</v>
      </c>
      <c r="DA296" s="116">
        <f t="shared" si="536"/>
        <v>0</v>
      </c>
      <c r="DB296" s="116">
        <f t="shared" si="537"/>
        <v>0</v>
      </c>
      <c r="DC296" s="116">
        <f t="shared" si="538"/>
        <v>0</v>
      </c>
      <c r="DD296" s="116">
        <f t="shared" si="539"/>
        <v>0</v>
      </c>
      <c r="DE296" s="117">
        <f t="shared" si="540"/>
        <v>0</v>
      </c>
      <c r="DF296" s="118">
        <f t="shared" si="542"/>
        <v>19</v>
      </c>
      <c r="DG296" s="106">
        <f t="shared" si="543"/>
        <v>24.64</v>
      </c>
      <c r="DH296" s="116">
        <f t="shared" si="544"/>
        <v>8</v>
      </c>
      <c r="DI296" s="106">
        <f t="shared" si="545"/>
        <v>33.049999999999997</v>
      </c>
      <c r="DJ296" s="201" t="str">
        <f>IF($D295="","",$D295)</f>
        <v>9</v>
      </c>
      <c r="DK296" s="466"/>
    </row>
    <row r="297" spans="1:115" ht="14.5" customHeight="1" x14ac:dyDescent="0.2">
      <c r="A297" s="390"/>
      <c r="B297" s="457"/>
      <c r="C297" s="135" t="s">
        <v>55</v>
      </c>
      <c r="D297" s="375"/>
      <c r="E297" s="387"/>
      <c r="F297" s="378"/>
      <c r="G297" s="484"/>
      <c r="H297" s="477"/>
      <c r="I297" s="203" t="s">
        <v>52</v>
      </c>
      <c r="J297" s="204">
        <v>3.5</v>
      </c>
      <c r="K297" s="193" t="s">
        <v>39</v>
      </c>
      <c r="L297" s="194">
        <v>2.7</v>
      </c>
      <c r="M297" s="140">
        <v>3.39</v>
      </c>
      <c r="N297" s="407"/>
      <c r="O297" s="195">
        <f>IF(OR(AE295="",AE296=""),"",IF(L297&gt;0,ROUND(IF(M297&gt;0,M297,IF(M295&gt;0,ROUND((M295*AE297)/AE295,IF(N295=0,2,IF(N295=0.1,1,0))),IF(M296&gt;0,ROUND((M296*AE297)/AE296,IF(N295=0,2,IF(N295=0.1,1,0))),IF(M297&gt;0,M297,0)))),2),""))</f>
        <v>3.39</v>
      </c>
      <c r="P297" s="196">
        <f>IF(I296="Lay",O296*(L296/(L296-1))-O296,IF(I295="Lay",O295*(L295/(L295-1))-O295,IF(OR(L297="",O297=""),"",IF($C297="1/2W",O297/2+O297/2*L297,IF($C297="1/2L",O297/2,(O297*L297-O297)*(1-_xlfn.XLOOKUP(K297,'Fevereiro 2023 - Valor Real'!A3:A15,'Fevereiro 2023 - Valor Real'!C3:C15,0))+O297)))))</f>
        <v>9.1530000000000005</v>
      </c>
      <c r="Q297" s="197">
        <f>IF(K297="","",IF(_xlfn.XLOOKUP(K297,K$4:K296,$DJ$4:DJ296,0,,-1)=DJ297,_xlfn.XLOOKUP(K297,K$4:K296,Q$4:Q296,1,,-1)+1,1))</f>
        <v>2</v>
      </c>
      <c r="R297" s="198">
        <f>IF(K297="","",_xlfn.XLOOKUP(K297,K$4:K296,R$4:R296,0,,-1)+IF($C297=" ",1,0))</f>
        <v>0</v>
      </c>
      <c r="S297" s="404"/>
      <c r="T297" s="378"/>
      <c r="U297" s="378"/>
      <c r="V297" s="404"/>
      <c r="W297" s="378"/>
      <c r="X297" s="453"/>
      <c r="Y297" s="383"/>
      <c r="Z297" s="384"/>
      <c r="AA297" s="384"/>
      <c r="AB297" s="384"/>
      <c r="AC297" s="384"/>
      <c r="AD297" s="145">
        <f>((L296/(L296-1)-1))</f>
        <v>1.1001100110011</v>
      </c>
      <c r="AE297" s="199">
        <f>IF(L297="","",(SUM(((L295-1)*(1-_xlfn.XLOOKUP(K295,'Fevereiro 2023 - Valor Real'!A3:A15,'Fevereiro 2023 - Valor Real'!C3:C15,0))+1),((L296-1)*(1-_xlfn.XLOOKUP(K296,'Fevereiro 2023 - Valor Real'!A3:A15,'Fevereiro 2023 - Valor Real'!C3:C15,0))+1),((L297-1)*(1-_xlfn.XLOOKUP(K297,'Fevereiro 2023 - Valor Real'!A3:A15,'Fevereiro 2023 - Valor Real'!C3:C15,0))+1))/((L297-1)*(1-_xlfn.XLOOKUP(K297,'Fevereiro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Real'!C3:C15,0))+1))/((L295-1)*(1-_xlfn.XLOOKUP(K295,'Fevereiro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Real'!C3:C15,0))+1))/((L296-1)*(1-_xlfn.XLOOKUP(K296,'Fevereiro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Real'!C3:C15,0))+1))/((L297-1)*(1-_xlfn.XLOOKUP(K297,'Fevereiro 2023 - Valor Real'!A3:A15,'Fevereiro 2023 - Valor Real'!C3:C15,0))+1)))</f>
        <v>0.27203220762893571</v>
      </c>
      <c r="AF297" s="105">
        <f t="shared" si="595"/>
        <v>0</v>
      </c>
      <c r="AG297" s="106">
        <f t="shared" si="595"/>
        <v>0</v>
      </c>
      <c r="AH297" s="106">
        <f t="shared" si="595"/>
        <v>0</v>
      </c>
      <c r="AI297" s="106">
        <f t="shared" si="595"/>
        <v>-3.39</v>
      </c>
      <c r="AJ297" s="106">
        <f t="shared" si="595"/>
        <v>0</v>
      </c>
      <c r="AK297" s="106">
        <f t="shared" si="595"/>
        <v>0</v>
      </c>
      <c r="AL297" s="106">
        <f t="shared" si="595"/>
        <v>0</v>
      </c>
      <c r="AM297" s="106">
        <f t="shared" si="595"/>
        <v>0</v>
      </c>
      <c r="AN297" s="106">
        <f t="shared" si="595"/>
        <v>0</v>
      </c>
      <c r="AO297" s="106">
        <f t="shared" si="595"/>
        <v>0</v>
      </c>
      <c r="AP297" s="106">
        <f t="shared" si="595"/>
        <v>0</v>
      </c>
      <c r="AQ297" s="106">
        <f t="shared" si="595"/>
        <v>0</v>
      </c>
      <c r="AR297" s="107">
        <f t="shared" si="595"/>
        <v>0</v>
      </c>
      <c r="AS297" s="105">
        <f>IF(AND($B295=" ",$K297=AS$3),$O297,0)</f>
        <v>0</v>
      </c>
      <c r="AT297" s="106">
        <f>IF(AND($B295=" ",K297=AT$3),$O297,0)</f>
        <v>0</v>
      </c>
      <c r="AU297" s="106">
        <f t="shared" ref="AU297:BE297" si="601">IF(AND($B295=" ",$K297=AU$3),$O297,0)</f>
        <v>0</v>
      </c>
      <c r="AV297" s="106">
        <f t="shared" si="601"/>
        <v>0</v>
      </c>
      <c r="AW297" s="106">
        <f t="shared" si="601"/>
        <v>0</v>
      </c>
      <c r="AX297" s="106">
        <f t="shared" si="601"/>
        <v>0</v>
      </c>
      <c r="AY297" s="108">
        <f t="shared" si="601"/>
        <v>0</v>
      </c>
      <c r="AZ297" s="109">
        <f t="shared" si="601"/>
        <v>0</v>
      </c>
      <c r="BA297" s="109">
        <f t="shared" si="601"/>
        <v>0</v>
      </c>
      <c r="BB297" s="109">
        <f t="shared" si="601"/>
        <v>0</v>
      </c>
      <c r="BC297" s="110">
        <f t="shared" si="601"/>
        <v>0</v>
      </c>
      <c r="BD297" s="106">
        <f t="shared" si="601"/>
        <v>0</v>
      </c>
      <c r="BE297" s="107">
        <f t="shared" si="601"/>
        <v>0</v>
      </c>
      <c r="BF297" s="105">
        <f t="shared" si="597"/>
        <v>0</v>
      </c>
      <c r="BG297" s="106">
        <f t="shared" si="597"/>
        <v>0</v>
      </c>
      <c r="BH297" s="106">
        <f t="shared" si="597"/>
        <v>0</v>
      </c>
      <c r="BI297" s="106">
        <f t="shared" si="597"/>
        <v>3.39</v>
      </c>
      <c r="BJ297" s="106">
        <f t="shared" si="597"/>
        <v>0</v>
      </c>
      <c r="BK297" s="106">
        <f t="shared" si="597"/>
        <v>0</v>
      </c>
      <c r="BL297" s="106">
        <f t="shared" si="597"/>
        <v>0</v>
      </c>
      <c r="BM297" s="108">
        <f t="shared" si="597"/>
        <v>0</v>
      </c>
      <c r="BN297" s="109">
        <f t="shared" si="597"/>
        <v>0</v>
      </c>
      <c r="BO297" s="109">
        <f t="shared" si="597"/>
        <v>0</v>
      </c>
      <c r="BP297" s="109">
        <f t="shared" si="597"/>
        <v>0</v>
      </c>
      <c r="BQ297" s="110">
        <f t="shared" si="597"/>
        <v>0</v>
      </c>
      <c r="BR297" s="107">
        <f t="shared" si="597"/>
        <v>0</v>
      </c>
      <c r="BS297" s="464"/>
      <c r="BT297" s="461"/>
      <c r="BU297" s="392"/>
      <c r="BV297" s="461"/>
      <c r="BW297" s="392"/>
      <c r="BX297" s="392"/>
      <c r="BY297" s="392"/>
      <c r="BZ297" s="461"/>
      <c r="CA297" s="392"/>
      <c r="CB297" s="392"/>
      <c r="CC297" s="392"/>
      <c r="CD297" s="401"/>
      <c r="CE297" s="409"/>
      <c r="CF297" s="133">
        <f t="shared" si="515"/>
        <v>0</v>
      </c>
      <c r="CG297" s="134">
        <f t="shared" si="516"/>
        <v>0</v>
      </c>
      <c r="CH297" s="134">
        <f t="shared" si="517"/>
        <v>0</v>
      </c>
      <c r="CI297" s="134">
        <f t="shared" si="518"/>
        <v>0</v>
      </c>
      <c r="CJ297" s="134">
        <f t="shared" si="519"/>
        <v>0</v>
      </c>
      <c r="CK297" s="134">
        <f t="shared" si="520"/>
        <v>0</v>
      </c>
      <c r="CL297" s="134">
        <f t="shared" si="521"/>
        <v>0</v>
      </c>
      <c r="CM297" s="134">
        <f t="shared" si="522"/>
        <v>1</v>
      </c>
      <c r="CN297" s="134">
        <f t="shared" si="523"/>
        <v>0</v>
      </c>
      <c r="CO297" s="134">
        <f t="shared" si="524"/>
        <v>0</v>
      </c>
      <c r="CP297" s="134">
        <f t="shared" si="525"/>
        <v>0</v>
      </c>
      <c r="CQ297" s="134">
        <f t="shared" si="526"/>
        <v>0</v>
      </c>
      <c r="CR297" s="134">
        <f t="shared" si="527"/>
        <v>0</v>
      </c>
      <c r="CS297" s="134">
        <f t="shared" si="528"/>
        <v>0</v>
      </c>
      <c r="CT297" s="115">
        <f t="shared" si="529"/>
        <v>0</v>
      </c>
      <c r="CU297" s="116">
        <f t="shared" si="530"/>
        <v>0</v>
      </c>
      <c r="CV297" s="116">
        <f t="shared" si="531"/>
        <v>0</v>
      </c>
      <c r="CW297" s="116">
        <f t="shared" si="532"/>
        <v>0</v>
      </c>
      <c r="CX297" s="116">
        <f t="shared" si="533"/>
        <v>0</v>
      </c>
      <c r="CY297" s="116">
        <f t="shared" si="534"/>
        <v>0</v>
      </c>
      <c r="CZ297" s="116">
        <f t="shared" si="535"/>
        <v>0</v>
      </c>
      <c r="DA297" s="116">
        <f t="shared" si="536"/>
        <v>0</v>
      </c>
      <c r="DB297" s="116">
        <f t="shared" si="537"/>
        <v>0</v>
      </c>
      <c r="DC297" s="116">
        <f t="shared" si="538"/>
        <v>0</v>
      </c>
      <c r="DD297" s="116">
        <f t="shared" si="539"/>
        <v>0</v>
      </c>
      <c r="DE297" s="117">
        <f t="shared" si="540"/>
        <v>0</v>
      </c>
      <c r="DF297" s="118">
        <f t="shared" si="542"/>
        <v>19</v>
      </c>
      <c r="DG297" s="106">
        <f t="shared" si="543"/>
        <v>24.64</v>
      </c>
      <c r="DH297" s="116">
        <f t="shared" si="544"/>
        <v>8</v>
      </c>
      <c r="DI297" s="106">
        <f t="shared" si="545"/>
        <v>33.049999999999997</v>
      </c>
      <c r="DJ297" s="201" t="str">
        <f>IF($D295="","",$D295)</f>
        <v>9</v>
      </c>
      <c r="DK297" s="466"/>
    </row>
    <row r="298" spans="1:115" ht="14.5" customHeight="1" x14ac:dyDescent="0.2">
      <c r="A298" s="487">
        <f>$A295+1</f>
        <v>99</v>
      </c>
      <c r="B298" s="506" t="str">
        <f>IF(OR(C298="W",C299="W",C300="W",C298="1/2W",C299="1/2W",C300="1/2W",C298="1/2L",C299="1/2L",C300="1/2L"),"OK",IF(OR(C298="L",C299="L",C300="L"),"LOSS",IF(OR(C298="X",C299="X",C300="X"),"Anulado"," ")))</f>
        <v>OK</v>
      </c>
      <c r="C298" s="147" t="s">
        <v>55</v>
      </c>
      <c r="D298" s="494" t="str">
        <f>IF(G298="","",$D295)</f>
        <v>9</v>
      </c>
      <c r="E298" s="511" t="str">
        <f>IF(G298=""," ","– "&amp;COUNTIF(D$4:D300,$D298))</f>
        <v>– 7</v>
      </c>
      <c r="F298" s="510" t="str">
        <f ca="1">IF(G298="","",IF(OR(AND($C298&lt;&gt;" ",$C299=" "),AND($C299&lt;&gt;" ",$C298=" "),AND(L300&gt;0,OR(AND($C300&lt;&gt;" ",OR($C298=" ",$C299=" ")),AND($C300=" ",OR($C298&lt;&gt;" ",$C299&lt;&gt;" "))))),IF(SUM(F$9:F290)=0,1,LARGE(F$9:F290,1)+1),IF(MONTH(G298)=MONTH(TODAY()),IF(AND(DAY(G298)&lt;DAY(TODAY()),$B298=" "),IF(SUM(F$9:F290)=0,1,LARGE(F$9:F290,1)+1),IF($B298=" ",IF(AND(DAY(G298)=DAY(TODAY()),HOUR(G298)&lt;=HOUR(NOW())+1),IF(AND(HOUR(G298)+2&lt;=HOUR(NOW()),DAY(G298)&lt;=DAY(TODAY()),MINUTE(G298)&lt;=MINUTE(NOW())),IF(SUM(F$9:F290)=0,1,LARGE(F$9:F290,1)+1),IF(OR(MINUTE(G298)&lt;=MINUTE(NOW()),HOUR(G298)&lt;=HOUR(NOW())),"!!!","")),""),"")),"")))</f>
        <v/>
      </c>
      <c r="G298" s="508">
        <v>44994.625</v>
      </c>
      <c r="H298" s="502" t="s">
        <v>142</v>
      </c>
      <c r="I298" s="180" t="s">
        <v>63</v>
      </c>
      <c r="J298" s="149"/>
      <c r="K298" s="150" t="s">
        <v>47</v>
      </c>
      <c r="L298" s="151">
        <v>7.3</v>
      </c>
      <c r="M298" s="152">
        <v>4.1500000000000004</v>
      </c>
      <c r="N298" s="503">
        <v>0</v>
      </c>
      <c r="O298" s="153">
        <f>IF(OR(AE298="",AE299=""),"",ROUND(IF(L300&gt;0,IF(M298&gt;0,M298,IF(M299&gt;0,ROUND((M299*AE298)/AE299,IF(N298=0,2,IF(N298=0.1,1,0))),ROUND((M300*AE298)/AE300,IF(N298=0,2,IF(N298=0.1,1,0))))),IF(M298&gt;0,M298,ROUND((M299*AE298)/AE299,IF(N298=0,2,IF(N298=0.1,1,0))))),2))</f>
        <v>4.1500000000000004</v>
      </c>
      <c r="P298" s="154">
        <f>IF(OR(L298="",O298=""),"",IF($C298="1/2W",O298/2+O298/2*L298,IF($C298="1/2L",O298/2,IF(I298="Lay",(O298*(L298/(L298-1))-O298)*(1-_xlfn.XLOOKUP(K298,'Fevereiro 2023 - Valor Real'!A3:A15,'Fevereiro 2023 - Valor Real'!C3:C15,0))+O298,(O298*L298-O298)*(1-_xlfn.XLOOKUP(K298,'Fevereiro 2023 - Valor Real'!A3:A15,'Fevereiro 2023 - Valor Real'!C3:C15,0))+O298))))</f>
        <v>30.295000000000002</v>
      </c>
      <c r="Q298" s="155">
        <f>IF(K298="","",IF(_xlfn.XLOOKUP(K298,K$9:K290,$DJ$9:DJ290,0,,-1)=DJ298,_xlfn.XLOOKUP(K298,K$9:K290,Q$9:Q290,1,,-1)+1,1))</f>
        <v>3</v>
      </c>
      <c r="R298" s="156">
        <f>IF(K298="","",_xlfn.XLOOKUP(K298,K$9:K290,R$9:R290,0,,-1)+IF($C298=" ",1,0))</f>
        <v>0</v>
      </c>
      <c r="S298" s="501">
        <f>IF($B298="Anulado",0,ROUND(IF(OR($B298="LOSS",$B298="OK"),IF(OR($C298="W",$C298="1/2W",$C298="1/2L"),P298-O298,IF($C298="L",-O298,0))+IF(OR($C299="W",$C299="1/2W",$C299="1/2L"),P299-O299,IF($C299="L",-O299,0))+IF(OR($C300="W",$C300="1/2W",$C300="1/2L"),P300-O300,IF($C300="L",-O300,0)),IF(AND(OR($C298="W",$C298="1/2W",$C298="1/2L"),C299="W"),P298+P299-SUM(O298:O300)+_xlfn.XLOOKUP("X",C298:C300,O298:O300,0),IF(AND(C298=TRUE,C300="W"),P298+P300-SUM(O298:O300),IF(AND(C299="W",C300="W"),P299+P300-SUM(O298:O300)+_xlfn.XLOOKUP("X",C298:C300,O298:O300,0),IF(L300&gt;0,IF(OR($C298="W",$C298="1/2W",$C298="1/2L"),P298-SUM(O298:O300)+_xlfn.XLOOKUP("X",C298:C300,O298:O300,0),IF(OR($C298="W",$C298="1/2W",$C298="1/2L"),P299-SUM(O298:O300)+_xlfn.XLOOKUP("X",C298:C300,O298:O300,0),IF(OR($C298="W",$C298="1/2W",$C298="1/2L"),P300-SUM(O298:O300)+_xlfn.XLOOKUP("X",C298:C300,O298:O300,0),IF(SUM(P298:P300)/3-SUM(O298:O300)+_xlfn.XLOOKUP("X",C298:C300,O298:O300,0)&gt;0,SUM(P298:P300)/3-SUM(O298:O300)+_xlfn.XLOOKUP("X",C298:C300,O298:O300,0),LARGE(P298:P300,1)-SUM(O298:O300))))),IF(OR($C298="W",$C298="1/2W",$C298="1/2L"),P298-SUM(O298:O299)+_xlfn.XLOOKUP("X",C298:C300,O298:O300,0),IF(OR($C298="W",$C298="1/2W",$C298="1/2L"),P299-SUM(O298:O299)+_xlfn.XLOOKUP("X",C298:C300,O298:O300,0),SUM(P298:P299)/2-SUM(O298:O299)+_xlfn.XLOOKUP("X",C298:C300,O298:O300,0)))))))),2))</f>
        <v>1.72</v>
      </c>
      <c r="T298" s="486">
        <f>IF(S298=0,0,S298/SUM(O298:O300))</f>
        <v>6.003490401396161E-2</v>
      </c>
      <c r="U298" s="496">
        <f>IF($D298=$D295,IF(OR($B298="LOSS",$B298="OK",$B298="Anulada"),S298,0)+U295,IF(OR($B298="LOSS",$B298="OK",$B298="Anulada"),S298,0))</f>
        <v>9.48</v>
      </c>
      <c r="V298" s="496">
        <f>IF($D298="",0,IF($D298=$D295,IF($B298=" ",IF(I300="",IF(OR(AND(I298="DNB1",I299="DNB2"),AND(OR(I298="DNB1",I298="DNB2"),J299=0),AND(OR(I299="DNB1",I299="DNB2"),J298=0),AND(I298="DNB2",I299="DNB1"),AND(IF(J298=0,(J298+1)/ROUND(J298+1,0),J298/ROUND(J298,0))=1,IF(J299=0,(J299+1)/ROUND(IF(J299="",0,J299)+1,0),IF(J299="",0,J299)/ROUND(IF(J299="",1,J299),0))=1,OR(J298&lt;&gt;""),J299&lt;&gt;"")),0,IF(S298&lt;0,IF(I300="",SMALL(P298:P299,1)-SUM(O298:O299),0),SMALL(P298:P299,1)-SUM(O298:O299))),IF(S298&lt;0,IF(I300="",SMALL(P298:P300,1)-SUM(O298:O300),0),LARGE(P298:P300,1)-SUM(O298:O300))),S298)+V295,IF(I300="",IF(OR(AND(I298="DNB1",I299="DNB2"),AND(OR(I298="DNB1",I298="DNB2"),J299=0),AND(OR(I299="DNB1",I299="DNB2"),J298=0),AND(I298="DNB2",I299="DNB1"),AND(IF(J298=0,(J298+1)/ROUND(J298+1,0),J298/ROUND(J298,0))=1,IF(J299=0,(IF(J299="",0,J299)+1)/ROUND(IF(J299="",0,J299)+1,0),IF(J299="",0,J299)/ROUND(IF(J299="",0,J299)+1,0))=1,OR(J298&lt;&gt;""),J299&lt;&gt;"")),0,IF(S298&lt;0,IF(I300="",SMALL(P298:P299,1)-SUM(O298:O299),0),SMALL(P298:P300,1)-SUM(O298:O300))),IF(S298&lt;0,IF(I300="",SMALL(P298:P300,1)-SUM(O298:O300),0),LARGE(P298:P300,1)-SUM(O298:O300)))))</f>
        <v>9.480400000000003</v>
      </c>
      <c r="W298" s="496">
        <f>IF($D298=$D295,IF(S298&lt;0,IF(I300="",S298,0),S298)+W295,S298)</f>
        <v>9.48</v>
      </c>
      <c r="X298" s="505" t="str">
        <f>IF(OR(SUM(R298:R300)=0,V298=W298),ROUND(IF(W298=0,0,W298/Y298)*100,2)&amp;"%",ROUND(IF(V298=0,0,V298/Y298)*100,2)&amp;"% a "&amp;ROUND(IF(W298=0,0,W298/Y298)*100,2)&amp;"%")</f>
        <v>7,08%</v>
      </c>
      <c r="Y298" s="497">
        <f>IF($D298=$D295,Y295+SUM(O298:O300),SUM(O298:O300))</f>
        <v>133.94999999999999</v>
      </c>
      <c r="Z298" s="496">
        <f>IF($B298=" ",SUM(O298:O300),0)+Z295</f>
        <v>0</v>
      </c>
      <c r="AA298" s="496">
        <f>IF(G298="","",IF($B298="Anulado",LARGE(P298:P300,1)-SUM(O298:O300)+AA295,AA295))</f>
        <v>1.4607999999999972</v>
      </c>
      <c r="AB298" s="496">
        <f>IF($D298="","",AB295+S298)</f>
        <v>450.34000000000003</v>
      </c>
      <c r="AC298" s="499">
        <f ca="1">IF($D298="","",IF($B298=" ",IF(DAY(G298)=DAY(TODAY()),1+AC295,0+AC295),0+AC295))</f>
        <v>0</v>
      </c>
      <c r="AD298" s="157">
        <f>(1-_xlfn.XLOOKUP(K296,'Fevereiro 2023 - Valor Real'!A3:A15,'Fevereiro 2023 - Valor Real'!C3:C15,0))+1</f>
        <v>2</v>
      </c>
      <c r="AE298" s="158">
        <f>IF(L298="","",IF(L300&gt;0,(SUM(((L298-1)*(1-_xlfn.XLOOKUP(K298,'Fevereiro 2023 - Valor Real'!A3:A15,'Fevereiro 2023 - Valor Real'!C3:C15,0))+1),((L299-1)*(1-_xlfn.XLOOKUP(K299,'Fevereiro 2023 - Valor Real'!A3:A15,'Fevereiro 2023 - Valor Real'!C3:C15,0))+1),((L300-1)*(1-_xlfn.XLOOKUP(K300,'Fevereiro 2023 - Valor Real'!A3:A15,'Fevereiro 2023 - Valor Real'!C3:C15,0))+1))/((L298-1)*(1-_xlfn.XLOOKUP(K298,'Fevereiro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Real'!C3:C15,0))+1))/((L298-1)*(1-_xlfn.XLOOKUP(K298,'Fevereiro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Real'!C3:C15,0))+1))/((L299-1)*(1-_xlfn.XLOOKUP(K299,'Fevereiro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Real'!C3:C15,0))+1))/((L300-1)*(1-_xlfn.XLOOKUP(K300,'Fevereiro 2023 - Valor Real'!A3:A15,'Fevereiro 2023 - Valor Real'!C3:C15,0))+1)),IF(I298="Lay",IF(I299="Lay",((L299/(L299-1)-1)*(1-_xlfn.XLOOKUP(K299,'Fevereiro 2023 - Valor Real'!A3:A15,'Fevereiro 2023 - Valor Real'!C3:C15,0))+1)/(((L299/(L299-1)-1)*(1-_xlfn.XLOOKUP(K299,'Fevereiro 2023 - Valor Real'!A3:A15,'Fevereiro 2023 - Valor Real'!C3:C15,0))+1)+((L298/(L298-1)-1)*(1-_xlfn.XLOOKUP(K298,'Fevereiro 2023 - Valor Real'!A3:A15,'Fevereiro 2023 - Valor Real'!C3:C15,0))+1)),((L299-1)*(1-_xlfn.XLOOKUP(K299,'Fevereiro 2023 - Valor Real'!A3:A15,'Fevereiro 2023 - Valor Real'!C3:C15,0))+1)/(((L299-1)*(1-_xlfn.XLOOKUP(K299,'Fevereiro 2023 - Valor Real'!A3:A15,'Fevereiro 2023 - Valor Real'!C3:C15,0))+1)+((L298/(L298-1)-1)*(1-_xlfn.XLOOKUP(K298,'Fevereiro 2023 - Valor Real'!A3:A15,'Fevereiro 2023 - Valor Real'!C3:C15,0))+1))),IF(I299="Lay",(((L299/(L299-1)-1)*(1-_xlfn.XLOOKUP(K299,'Fevereiro 2023 - Valor Real'!A3:A15,'Fevereiro 2023 - Valor Real'!C3:C15,0))+1))/(((L298-1)*(1-_xlfn.XLOOKUP(K298,'Fevereiro 2023 - Valor Real'!A3:A15,'Fevereiro 2023 - Valor Real'!C3:C15,0))+1)+((L299/(L299-1)-1)*(1-_xlfn.XLOOKUP(K299,'Fevereiro 2023 - Valor Real'!A3:A15,'Fevereiro 2023 - Valor Real'!C3:C15,0))+1)),((L299-1)*(1-_xlfn.XLOOKUP(K299,'Fevereiro 2023 - Valor Real'!A3:A15,'Fevereiro 2023 - Valor Real'!C3:C15,0))+1)/(((L299-1)*(1-_xlfn.XLOOKUP(K299,'Fevereiro 2023 - Valor Real'!A3:A15,'Fevereiro 2023 - Valor Real'!C3:C15,0))+1)+((L298-1)*(1-_xlfn.XLOOKUP(K298,'Fevereiro 2023 - Valor Real'!A3:A15,'Fevereiro 2023 - Valor Real'!C3:C15,0))+1))))))</f>
        <v>8.14766062060822E-2</v>
      </c>
      <c r="AF298" s="66">
        <f t="shared" si="595"/>
        <v>0</v>
      </c>
      <c r="AG298" s="67">
        <f t="shared" si="595"/>
        <v>0</v>
      </c>
      <c r="AH298" s="67">
        <f t="shared" si="595"/>
        <v>0</v>
      </c>
      <c r="AI298" s="67">
        <f t="shared" si="595"/>
        <v>0</v>
      </c>
      <c r="AJ298" s="67">
        <f t="shared" si="595"/>
        <v>0</v>
      </c>
      <c r="AK298" s="67">
        <f t="shared" si="595"/>
        <v>0</v>
      </c>
      <c r="AL298" s="67">
        <f t="shared" si="595"/>
        <v>0</v>
      </c>
      <c r="AM298" s="67">
        <f t="shared" si="595"/>
        <v>0</v>
      </c>
      <c r="AN298" s="67">
        <f t="shared" si="595"/>
        <v>0</v>
      </c>
      <c r="AO298" s="67">
        <f t="shared" si="595"/>
        <v>0</v>
      </c>
      <c r="AP298" s="67">
        <f t="shared" si="595"/>
        <v>0</v>
      </c>
      <c r="AQ298" s="67">
        <f t="shared" si="595"/>
        <v>-4.1500000000000004</v>
      </c>
      <c r="AR298" s="68">
        <f t="shared" si="595"/>
        <v>0</v>
      </c>
      <c r="AS298" s="66">
        <f t="shared" ref="AS298:BE298" si="602">IF(AND($B298=" ",$K298=AS$3),$O298,0)</f>
        <v>0</v>
      </c>
      <c r="AT298" s="67">
        <f t="shared" si="602"/>
        <v>0</v>
      </c>
      <c r="AU298" s="67">
        <f t="shared" si="602"/>
        <v>0</v>
      </c>
      <c r="AV298" s="67">
        <f t="shared" si="602"/>
        <v>0</v>
      </c>
      <c r="AW298" s="67">
        <f t="shared" si="602"/>
        <v>0</v>
      </c>
      <c r="AX298" s="67">
        <f t="shared" si="602"/>
        <v>0</v>
      </c>
      <c r="AY298" s="69">
        <f t="shared" si="602"/>
        <v>0</v>
      </c>
      <c r="AZ298" s="70">
        <f t="shared" si="602"/>
        <v>0</v>
      </c>
      <c r="BA298" s="70">
        <f t="shared" si="602"/>
        <v>0</v>
      </c>
      <c r="BB298" s="70">
        <f t="shared" si="602"/>
        <v>0</v>
      </c>
      <c r="BC298" s="71">
        <f t="shared" si="602"/>
        <v>0</v>
      </c>
      <c r="BD298" s="67">
        <f t="shared" si="602"/>
        <v>0</v>
      </c>
      <c r="BE298" s="68">
        <f t="shared" si="602"/>
        <v>0</v>
      </c>
      <c r="BF298" s="66">
        <f t="shared" si="597"/>
        <v>0</v>
      </c>
      <c r="BG298" s="67">
        <f t="shared" si="597"/>
        <v>0</v>
      </c>
      <c r="BH298" s="67">
        <f t="shared" si="597"/>
        <v>0</v>
      </c>
      <c r="BI298" s="67">
        <f t="shared" si="597"/>
        <v>0</v>
      </c>
      <c r="BJ298" s="67">
        <f t="shared" si="597"/>
        <v>0</v>
      </c>
      <c r="BK298" s="67">
        <f t="shared" si="597"/>
        <v>0</v>
      </c>
      <c r="BL298" s="67">
        <f t="shared" si="597"/>
        <v>0</v>
      </c>
      <c r="BM298" s="69">
        <f t="shared" si="597"/>
        <v>0</v>
      </c>
      <c r="BN298" s="70">
        <f t="shared" si="597"/>
        <v>0</v>
      </c>
      <c r="BO298" s="70">
        <f t="shared" si="597"/>
        <v>0</v>
      </c>
      <c r="BP298" s="70">
        <f t="shared" si="597"/>
        <v>0</v>
      </c>
      <c r="BQ298" s="71">
        <f t="shared" si="597"/>
        <v>4.1500000000000004</v>
      </c>
      <c r="BR298" s="68">
        <f t="shared" si="597"/>
        <v>0</v>
      </c>
      <c r="BS298" s="490">
        <f>IF($B298="LOSS",IF(AND($K298=BS$3,$C298="L"),-$O298,0)+IF(AND($K299=BS$3,$C299="L"),-$O299,0)+IF(AND($K300=BS$3,$C300="L"),-$O300,0),IF(OR(AND($K298=BS$3,OR($C298="W",$C298="1/2W")),AND($K299=BS$3,OR($C299="W",$C299="1/2W")),AND($K300=BS$3,OR($C300="W",$C300="1/2W"))),$S298,0))</f>
        <v>0</v>
      </c>
      <c r="BT298" s="498">
        <f>IF($B298="LOSS",IF(AND($K298=BT$3,$C298="L"),-$O298,0)+IF(AND($K299=BT$3,$C299="L"),-$O299,0)+IF(AND($K299=BT$3,$C300="L"),-$O300,0),IF(OR(AND($K299=BT$3,OR($C298="W",$C298="1/2W")),AND($K299=BT$3,OR($C299="W",$C299="1/2W")),AND($K299=BT$3,OR($C300="W",$C300="1/2W"))),$S298,0))</f>
        <v>0</v>
      </c>
      <c r="BU298" s="488">
        <f>IF($B298="LOSS",IF(AND($K298=BU$3,$C298="L"),-$O298,0)+IF(AND($K299=BU$3,$C299="L"),-$O299,0)+IF(AND($K299=BU$3,$C300="L"),-$O300,0),IF(OR(AND($K299=BU$3,OR($C298="W",$C298="1/2W")),AND($K299=BU$3,OR($C299="W",$C299="1/2W")),AND($K299=BU$3,OR($C300="W",$C300="1/2W"))),$S298,0))</f>
        <v>0</v>
      </c>
      <c r="BV298" s="488">
        <f t="shared" ref="BV298:CE298" si="603">IF($B298="LOSS",IF(AND($K298=BV$3,$C298="L"),-$O298,0)+IF(AND($K299=BV$3,$C299="L"),-$O299,0)+IF(AND($K300=BV$3,$C300="L"),-$O300,0),IF(OR(AND($K298=BV$3,OR($C298="W",$C298="1/2W")),AND($K299=BV$3,OR($C299="W",$C299="1/2W")),AND($K300=BV$3,OR($C300="W",$C300="1/2W"))),$S298,0))</f>
        <v>0</v>
      </c>
      <c r="BW298" s="488">
        <f t="shared" si="603"/>
        <v>1.72</v>
      </c>
      <c r="BX298" s="488">
        <f t="shared" si="603"/>
        <v>0</v>
      </c>
      <c r="BY298" s="488">
        <f t="shared" si="603"/>
        <v>0</v>
      </c>
      <c r="BZ298" s="488">
        <f t="shared" si="603"/>
        <v>0</v>
      </c>
      <c r="CA298" s="488">
        <f t="shared" si="603"/>
        <v>0</v>
      </c>
      <c r="CB298" s="488">
        <f t="shared" si="603"/>
        <v>0</v>
      </c>
      <c r="CC298" s="488">
        <f t="shared" si="603"/>
        <v>0</v>
      </c>
      <c r="CD298" s="500">
        <f t="shared" si="603"/>
        <v>0</v>
      </c>
      <c r="CE298" s="504">
        <f t="shared" si="603"/>
        <v>0</v>
      </c>
      <c r="CF298" s="160">
        <f t="shared" si="515"/>
        <v>0</v>
      </c>
      <c r="CG298" s="161">
        <f t="shared" si="516"/>
        <v>0</v>
      </c>
      <c r="CH298" s="161">
        <f t="shared" si="517"/>
        <v>0</v>
      </c>
      <c r="CI298" s="161">
        <f t="shared" si="518"/>
        <v>0</v>
      </c>
      <c r="CJ298" s="161">
        <f t="shared" si="519"/>
        <v>0</v>
      </c>
      <c r="CK298" s="161">
        <f t="shared" si="520"/>
        <v>0</v>
      </c>
      <c r="CL298" s="161">
        <f t="shared" si="521"/>
        <v>0</v>
      </c>
      <c r="CM298" s="161">
        <f t="shared" si="522"/>
        <v>0</v>
      </c>
      <c r="CN298" s="161">
        <f t="shared" si="523"/>
        <v>0</v>
      </c>
      <c r="CO298" s="161">
        <f t="shared" si="524"/>
        <v>0</v>
      </c>
      <c r="CP298" s="161">
        <f t="shared" si="525"/>
        <v>0</v>
      </c>
      <c r="CQ298" s="161">
        <f t="shared" si="526"/>
        <v>0</v>
      </c>
      <c r="CR298" s="161">
        <f t="shared" si="527"/>
        <v>0</v>
      </c>
      <c r="CS298" s="161">
        <f t="shared" si="528"/>
        <v>0</v>
      </c>
      <c r="CT298" s="75">
        <f t="shared" si="529"/>
        <v>0</v>
      </c>
      <c r="CU298" s="76">
        <f t="shared" si="530"/>
        <v>0</v>
      </c>
      <c r="CV298" s="76">
        <f t="shared" si="531"/>
        <v>0</v>
      </c>
      <c r="CW298" s="76">
        <f t="shared" si="532"/>
        <v>0</v>
      </c>
      <c r="CX298" s="76">
        <f t="shared" si="533"/>
        <v>0</v>
      </c>
      <c r="CY298" s="76">
        <f t="shared" si="534"/>
        <v>0</v>
      </c>
      <c r="CZ298" s="76">
        <f t="shared" si="535"/>
        <v>0</v>
      </c>
      <c r="DA298" s="76">
        <f t="shared" si="536"/>
        <v>0</v>
      </c>
      <c r="DB298" s="76">
        <f t="shared" si="537"/>
        <v>0</v>
      </c>
      <c r="DC298" s="76">
        <f t="shared" si="538"/>
        <v>1</v>
      </c>
      <c r="DD298" s="76">
        <f t="shared" si="539"/>
        <v>0</v>
      </c>
      <c r="DE298" s="77">
        <f t="shared" si="540"/>
        <v>0</v>
      </c>
      <c r="DF298" s="73">
        <f t="shared" si="542"/>
        <v>19</v>
      </c>
      <c r="DG298" s="67">
        <f t="shared" si="543"/>
        <v>24.64</v>
      </c>
      <c r="DH298" s="76">
        <f t="shared" si="544"/>
        <v>8</v>
      </c>
      <c r="DI298" s="67">
        <f t="shared" si="545"/>
        <v>33.049999999999997</v>
      </c>
      <c r="DJ298" s="202" t="str">
        <f>IF($D298="","",$D298)</f>
        <v>9</v>
      </c>
      <c r="DK298" s="492">
        <f>IF(AND($B298=" ",$D298&lt;&gt;""),1,0)</f>
        <v>0</v>
      </c>
    </row>
    <row r="299" spans="1:115" ht="14.5" customHeight="1" x14ac:dyDescent="0.2">
      <c r="A299" s="389"/>
      <c r="B299" s="456"/>
      <c r="C299" s="53" t="s">
        <v>54</v>
      </c>
      <c r="D299" s="374"/>
      <c r="E299" s="386"/>
      <c r="F299" s="377"/>
      <c r="G299" s="508"/>
      <c r="H299" s="476"/>
      <c r="I299" s="182" t="s">
        <v>64</v>
      </c>
      <c r="J299" s="163" t="str">
        <f>IF(OR(I298="TO",I298="TU",I298="TO1",I298="TU1",I298="TO2",I298="TU2"),J298,IF(OR(I298="AH1",I298="AH2"),IF(OR(I299="AH1",I299="AH2"),-J298,IF(OR(I299="EH1",I299="EH2"),-J298+0.5,"")),IF(OR(I298="EH1",I298="EH2"),IF(OR(I299="AH1",I299="AH2"),-J298+0.5,IF(OR(I299="EH1",I299="EH2"),-J298+1,"")),IF(AND(OR(I298="DNB1",I298="DNB2"),OR(I299="AH1",I299="AH2")),0,IF(AND(I298="Not ScoreBoth",OR(I299="TO1",I299="TO2")),0.5,"")))))</f>
        <v/>
      </c>
      <c r="K299" s="57" t="s">
        <v>40</v>
      </c>
      <c r="L299" s="164">
        <v>1.22</v>
      </c>
      <c r="M299" s="165">
        <v>21.5</v>
      </c>
      <c r="N299" s="406"/>
      <c r="O299" s="60">
        <f>IF(OR(AE298="",AE299=""),"",ROUND(IF(L300&gt;0,IF(M299&gt;0,M299,IF(M298&gt;0,IF(N298=TRUE,ROUND((M298*AE299)/AE298,0),(M298*AE299)/AE298),IF(M299&gt;0,ROUND(M299,IF(N298=0,2,IF(N298=0.1,1,0))),IF(M300&gt;0,ROUND(O300*AE299/AE300,IF(N298=0,2,IF(N298=0.1,1,0))),0)))),IF(M299&gt;0,M299,ROUND((M298*AE299)/AE298,IF(N298=0,2,IF(N298=0.1,1,0))))),2))</f>
        <v>21.5</v>
      </c>
      <c r="P299" s="61">
        <f>IF(OR(L299="",O299=""),"",IF($C299="1/2W",O299/2+O299/2*L299,IF($C299="1/2L",O299/2,IF(I299="Lay",((O299*(L299/(L299-1)))-O299)*(1-_xlfn.XLOOKUP(K299,'Fevereiro 2023 - Valor Real'!A3:A15,'Fevereiro 2023 - Valor Real'!C3:C15,0))+O299,(O299*L299-O299)*(1-_xlfn.XLOOKUP(K299,'Fevereiro 2023 - Valor Real'!A3:A15,'Fevereiro 2023 - Valor Real'!C3:C15,0))+O299))))</f>
        <v>26.23</v>
      </c>
      <c r="Q299" s="166">
        <f>IF(K299="","",IF(_xlfn.XLOOKUP(K299,K$10:K290,$DJ$10:DJ290,0,,-1)=DJ299,_xlfn.XLOOKUP(K299,K$10:K290,Q$10:Q290,1,,-1)+1,1))</f>
        <v>2</v>
      </c>
      <c r="R299" s="167">
        <f>IF(K299="","",_xlfn.XLOOKUP(K299,K$10:K290,R$10:R290,0,,-1)+IF($C299=" ",1,0))</f>
        <v>0</v>
      </c>
      <c r="S299" s="403"/>
      <c r="T299" s="380"/>
      <c r="U299" s="380"/>
      <c r="V299" s="481"/>
      <c r="W299" s="380"/>
      <c r="X299" s="452"/>
      <c r="Y299" s="383"/>
      <c r="Z299" s="384"/>
      <c r="AA299" s="384"/>
      <c r="AB299" s="384"/>
      <c r="AC299" s="384"/>
      <c r="AD299" s="64"/>
      <c r="AE299" s="65">
        <f>IF(L299="","",IF(L300&gt;0,(SUM(((L298-1)*(1-_xlfn.XLOOKUP(K298,'Fevereiro 2023 - Valor Real'!A3:A15,'Fevereiro 2023 - Valor Real'!C3:C15,0))+1),((L299-1)*(1-_xlfn.XLOOKUP(K299,'Fevereiro 2023 - Valor Real'!A3:A15,'Fevereiro 2023 - Valor Real'!C3:C15,0))+1),((L300-1)*(1-_xlfn.XLOOKUP(K300,'Fevereiro 2023 - Valor Real'!A3:A15,'Fevereiro 2023 - Valor Real'!C3:C15,0))+1))/((L299-1)*(1-_xlfn.XLOOKUP(K299,'Fevereiro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Real'!C3:C15,0))+1))/((L298-1)*(1-_xlfn.XLOOKUP(K298,'Fevereiro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Real'!C3:C15,0))+1))/((L299-1)*(1-_xlfn.XLOOKUP(K299,'Fevereiro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Real'!C3:C15,0))+1))/((L300-1)*(1-_xlfn.XLOOKUP(K300,'Fevereiro 2023 - Valor Real'!A3:A15,'Fevereiro 2023 - Valor Real'!C3:C15,0))+1)),IF(I299="Lay",IF(I298="Lay",((L298/(L298-1)-1)*(1-_xlfn.XLOOKUP(K298,'Fevereiro 2023 - Valor Real'!A3:A15,'Fevereiro 2023 - Valor Real'!C3:C15,0))+1)/(((L298/(L298-1)-1)*(1-_xlfn.XLOOKUP(K298,'Fevereiro 2023 - Valor Real'!A3:A15,'Fevereiro 2023 - Valor Real'!C3:C15,0))+1)+((L299/(L299-1)-1)*(1-_xlfn.XLOOKUP(K299,'Fevereiro 2023 - Valor Real'!A3:A15,'Fevereiro 2023 - Valor Real'!C3:C15,0))+1)),((L298-1)*(1-_xlfn.XLOOKUP(K298,'Fevereiro 2023 - Valor Real'!A3:A15,'Fevereiro 2023 - Valor Real'!C3:C15,0))+1)/(((L298-1)*(1-_xlfn.XLOOKUP(K298,'Fevereiro 2023 - Valor Real'!A3:A15,'Fevereiro 2023 - Valor Real'!C3:C15,0))+1)+((L299/(L299-1)-1)*(1-_xlfn.XLOOKUP(K299,'Fevereiro 2023 - Valor Real'!A3:A15,'Fevereiro 2023 - Valor Real'!C3:C15,0))+1))),IF(I298="Lay",((L298/(L298-1)-1)*(1-_xlfn.XLOOKUP(K298,'Fevereiro 2023 - Valor Real'!A3:A15,'Fevereiro 2023 - Valor Real'!C3:C15,0))+1)/((((L298/(L298-1)-1)*(1-_xlfn.XLOOKUP(K298,'Fevereiro 2023 - Valor Real'!A3:A15,'Fevereiro 2023 - Valor Real'!C3:C15,0))+1))+((L299-1)*(1-_xlfn.XLOOKUP(K299,'Fevereiro 2023 - Valor Real'!A3:A15,'Fevereiro 2023 - Valor Real'!C3:C15,0))+1)),((L298-1)*(1-_xlfn.XLOOKUP(K298,'Fevereiro 2023 - Valor Real'!A3:A15,'Fevereiro 2023 - Valor Real'!C3:C15,0))+1)/(((L298-1)*(1-_xlfn.XLOOKUP(K298,'Fevereiro 2023 - Valor Real'!A3:A15,'Fevereiro 2023 - Valor Real'!C3:C15,0))+1)+((L299-1)*(1-_xlfn.XLOOKUP(K299,'Fevereiro 2023 - Valor Real'!A3:A15,'Fevereiro 2023 - Valor Real'!C3:C15,0))+1))))))</f>
        <v>0.48752395516754093</v>
      </c>
      <c r="AF299" s="66">
        <f t="shared" si="595"/>
        <v>0</v>
      </c>
      <c r="AG299" s="67">
        <f t="shared" si="595"/>
        <v>0</v>
      </c>
      <c r="AH299" s="67">
        <f t="shared" si="595"/>
        <v>0</v>
      </c>
      <c r="AI299" s="67">
        <f t="shared" si="595"/>
        <v>0</v>
      </c>
      <c r="AJ299" s="67">
        <f t="shared" si="595"/>
        <v>4.7300000000000004</v>
      </c>
      <c r="AK299" s="67">
        <f t="shared" si="595"/>
        <v>0</v>
      </c>
      <c r="AL299" s="67">
        <f t="shared" si="595"/>
        <v>0</v>
      </c>
      <c r="AM299" s="67">
        <f t="shared" si="595"/>
        <v>0</v>
      </c>
      <c r="AN299" s="67">
        <f t="shared" si="595"/>
        <v>0</v>
      </c>
      <c r="AO299" s="67">
        <f t="shared" si="595"/>
        <v>0</v>
      </c>
      <c r="AP299" s="67">
        <f t="shared" si="595"/>
        <v>0</v>
      </c>
      <c r="AQ299" s="67">
        <f t="shared" si="595"/>
        <v>0</v>
      </c>
      <c r="AR299" s="68">
        <f t="shared" si="595"/>
        <v>0</v>
      </c>
      <c r="AS299" s="66">
        <f>IF(AND($B298=" ",$K299=AS$3),$O299,0)</f>
        <v>0</v>
      </c>
      <c r="AT299" s="67">
        <f>IF(AND($B298=" ",K299=AT$3),$O299,0)</f>
        <v>0</v>
      </c>
      <c r="AU299" s="67">
        <f t="shared" ref="AU299:BE299" si="604">IF(AND($B298=" ",$K299=AU$3),$O299,0)</f>
        <v>0</v>
      </c>
      <c r="AV299" s="67">
        <f t="shared" si="604"/>
        <v>0</v>
      </c>
      <c r="AW299" s="67">
        <f t="shared" si="604"/>
        <v>0</v>
      </c>
      <c r="AX299" s="67">
        <f t="shared" si="604"/>
        <v>0</v>
      </c>
      <c r="AY299" s="69">
        <f t="shared" si="604"/>
        <v>0</v>
      </c>
      <c r="AZ299" s="70">
        <f t="shared" si="604"/>
        <v>0</v>
      </c>
      <c r="BA299" s="70">
        <f t="shared" si="604"/>
        <v>0</v>
      </c>
      <c r="BB299" s="70">
        <f t="shared" si="604"/>
        <v>0</v>
      </c>
      <c r="BC299" s="71">
        <f t="shared" si="604"/>
        <v>0</v>
      </c>
      <c r="BD299" s="67">
        <f t="shared" si="604"/>
        <v>0</v>
      </c>
      <c r="BE299" s="68">
        <f t="shared" si="604"/>
        <v>0</v>
      </c>
      <c r="BF299" s="66">
        <f t="shared" si="597"/>
        <v>0</v>
      </c>
      <c r="BG299" s="168">
        <f t="shared" si="597"/>
        <v>0</v>
      </c>
      <c r="BH299" s="67">
        <f t="shared" si="597"/>
        <v>0</v>
      </c>
      <c r="BI299" s="67">
        <f t="shared" si="597"/>
        <v>0</v>
      </c>
      <c r="BJ299" s="67">
        <f t="shared" si="597"/>
        <v>21.5</v>
      </c>
      <c r="BK299" s="67">
        <f t="shared" si="597"/>
        <v>0</v>
      </c>
      <c r="BL299" s="67">
        <f t="shared" si="597"/>
        <v>0</v>
      </c>
      <c r="BM299" s="69">
        <f t="shared" si="597"/>
        <v>0</v>
      </c>
      <c r="BN299" s="70">
        <f t="shared" si="597"/>
        <v>0</v>
      </c>
      <c r="BO299" s="70">
        <f t="shared" si="597"/>
        <v>0</v>
      </c>
      <c r="BP299" s="70">
        <f t="shared" si="597"/>
        <v>0</v>
      </c>
      <c r="BQ299" s="71">
        <f t="shared" si="597"/>
        <v>0</v>
      </c>
      <c r="BR299" s="68">
        <f t="shared" si="597"/>
        <v>0</v>
      </c>
      <c r="BS299" s="491"/>
      <c r="BT299" s="489"/>
      <c r="BU299" s="392"/>
      <c r="BV299" s="489"/>
      <c r="BW299" s="392"/>
      <c r="BX299" s="392"/>
      <c r="BY299" s="392"/>
      <c r="BZ299" s="489"/>
      <c r="CA299" s="392"/>
      <c r="CB299" s="392"/>
      <c r="CC299" s="392"/>
      <c r="CD299" s="401"/>
      <c r="CE299" s="409"/>
      <c r="CF299" s="169">
        <f t="shared" si="515"/>
        <v>0</v>
      </c>
      <c r="CG299" s="170">
        <f t="shared" si="516"/>
        <v>0</v>
      </c>
      <c r="CH299" s="170">
        <f t="shared" si="517"/>
        <v>0</v>
      </c>
      <c r="CI299" s="170">
        <f t="shared" si="518"/>
        <v>0</v>
      </c>
      <c r="CJ299" s="170">
        <f t="shared" si="519"/>
        <v>0</v>
      </c>
      <c r="CK299" s="170">
        <f t="shared" si="520"/>
        <v>0</v>
      </c>
      <c r="CL299" s="170">
        <f t="shared" si="521"/>
        <v>0</v>
      </c>
      <c r="CM299" s="170">
        <f t="shared" si="522"/>
        <v>0</v>
      </c>
      <c r="CN299" s="170">
        <f t="shared" si="523"/>
        <v>1</v>
      </c>
      <c r="CO299" s="170">
        <f t="shared" si="524"/>
        <v>0</v>
      </c>
      <c r="CP299" s="170">
        <f t="shared" si="525"/>
        <v>0</v>
      </c>
      <c r="CQ299" s="170">
        <f t="shared" si="526"/>
        <v>0</v>
      </c>
      <c r="CR299" s="170">
        <f t="shared" si="527"/>
        <v>0</v>
      </c>
      <c r="CS299" s="170">
        <f t="shared" si="528"/>
        <v>0</v>
      </c>
      <c r="CT299" s="75">
        <f t="shared" si="529"/>
        <v>0</v>
      </c>
      <c r="CU299" s="76">
        <f t="shared" si="530"/>
        <v>0</v>
      </c>
      <c r="CV299" s="76">
        <f t="shared" si="531"/>
        <v>0</v>
      </c>
      <c r="CW299" s="76">
        <f t="shared" si="532"/>
        <v>0</v>
      </c>
      <c r="CX299" s="76">
        <f t="shared" si="533"/>
        <v>0</v>
      </c>
      <c r="CY299" s="76">
        <f t="shared" si="534"/>
        <v>0</v>
      </c>
      <c r="CZ299" s="76">
        <f t="shared" si="535"/>
        <v>0</v>
      </c>
      <c r="DA299" s="76">
        <f t="shared" si="536"/>
        <v>0</v>
      </c>
      <c r="DB299" s="76">
        <f t="shared" si="537"/>
        <v>0</v>
      </c>
      <c r="DC299" s="76">
        <f t="shared" si="538"/>
        <v>0</v>
      </c>
      <c r="DD299" s="76">
        <f t="shared" si="539"/>
        <v>0</v>
      </c>
      <c r="DE299" s="77">
        <f t="shared" si="540"/>
        <v>0</v>
      </c>
      <c r="DF299" s="73">
        <f t="shared" si="542"/>
        <v>20</v>
      </c>
      <c r="DG299" s="67">
        <f t="shared" si="543"/>
        <v>25.86</v>
      </c>
      <c r="DH299" s="76">
        <f t="shared" si="544"/>
        <v>8</v>
      </c>
      <c r="DI299" s="67">
        <f t="shared" si="545"/>
        <v>33.049999999999997</v>
      </c>
      <c r="DJ299" s="202" t="str">
        <f>IF($D298="","",$D298)</f>
        <v>9</v>
      </c>
      <c r="DK299" s="493"/>
    </row>
    <row r="300" spans="1:115" ht="14.5" customHeight="1" x14ac:dyDescent="0.2">
      <c r="A300" s="390"/>
      <c r="B300" s="457"/>
      <c r="C300" s="79" t="s">
        <v>54</v>
      </c>
      <c r="D300" s="375"/>
      <c r="E300" s="387"/>
      <c r="F300" s="378"/>
      <c r="G300" s="508"/>
      <c r="H300" s="477"/>
      <c r="I300" s="191">
        <v>2</v>
      </c>
      <c r="J300" s="172"/>
      <c r="K300" s="185" t="s">
        <v>40</v>
      </c>
      <c r="L300" s="186">
        <v>1.38</v>
      </c>
      <c r="M300" s="174">
        <v>3</v>
      </c>
      <c r="N300" s="407"/>
      <c r="O300" s="187">
        <f>IF(OR(AE298="",AE299=""),"",IF(L300&gt;0,ROUND(IF(M300&gt;0,M300,IF(M298&gt;0,ROUND((M298*AE300)/AE298,IF(N298=0,2,IF(N298=0.1,1,0))),IF(M299&gt;0,ROUND((M299*AE300)/AE299,IF(N298=0,2,IF(N298=0.1,1,0))),IF(M300&gt;0,M300,0)))),2),""))</f>
        <v>3</v>
      </c>
      <c r="P300" s="188">
        <f>IF(I299="Lay",O299*(L299/(L299-1))-O299,IF(I298="Lay",O298*(L298/(L298-1))-O298,IF(OR(L300="",O300=""),"",IF($C300="1/2W",O300/2+O300/2*L300,IF($C300="1/2L",O300/2,(O300*L300-O300)*(1-_xlfn.XLOOKUP(K300,'Fevereiro 2023 - Valor Real'!A3:A15,'Fevereiro 2023 - Valor Real'!C3:C15,0))+O300)))))</f>
        <v>4.1399999999999997</v>
      </c>
      <c r="Q300" s="166">
        <f>IF(K300="","",IF(_xlfn.XLOOKUP(K300,K$11:K290,$DJ$11:DJ290,0,,-1)=DJ300,_xlfn.XLOOKUP(K300,K$11:K290,Q$11:Q290,1,,-1)+1,1))</f>
        <v>2</v>
      </c>
      <c r="R300" s="189">
        <f>IF(K300="","",_xlfn.XLOOKUP(K300,K$11:K290,R$11:R290,0,,-1)+IF($C300=" ",1,0))</f>
        <v>0</v>
      </c>
      <c r="S300" s="404"/>
      <c r="T300" s="378"/>
      <c r="U300" s="378"/>
      <c r="V300" s="404"/>
      <c r="W300" s="378"/>
      <c r="X300" s="453"/>
      <c r="Y300" s="383"/>
      <c r="Z300" s="384"/>
      <c r="AA300" s="384"/>
      <c r="AB300" s="384"/>
      <c r="AC300" s="384"/>
      <c r="AD300" s="90"/>
      <c r="AE300" s="190">
        <f>IF(L300="","",(SUM(((L298-1)*(1-_xlfn.XLOOKUP(K298,'Fevereiro 2023 - Valor Real'!A3:A15,'Fevereiro 2023 - Valor Real'!C3:C15,0))+1),((L299-1)*(1-_xlfn.XLOOKUP(K299,'Fevereiro 2023 - Valor Real'!A3:A15,'Fevereiro 2023 - Valor Real'!C3:C15,0))+1),((L300-1)*(1-_xlfn.XLOOKUP(K300,'Fevereiro 2023 - Valor Real'!A3:A15,'Fevereiro 2023 - Valor Real'!C3:C15,0))+1))/((L300-1)*(1-_xlfn.XLOOKUP(K300,'Fevereiro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Real'!C3:C15,0))+1))/((L298-1)*(1-_xlfn.XLOOKUP(K298,'Fevereiro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Real'!C3:C15,0))+1))/((L299-1)*(1-_xlfn.XLOOKUP(K299,'Fevereiro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Real'!C3:C15,0))+1))/((L300-1)*(1-_xlfn.XLOOKUP(K300,'Fevereiro 2023 - Valor Real'!A3:A15,'Fevereiro 2023 - Valor Real'!C3:C15,0))+1)))</f>
        <v>0.43099943862637685</v>
      </c>
      <c r="AF300" s="66">
        <f t="shared" si="595"/>
        <v>0</v>
      </c>
      <c r="AG300" s="67">
        <f t="shared" si="595"/>
        <v>0</v>
      </c>
      <c r="AH300" s="67">
        <f t="shared" si="595"/>
        <v>0</v>
      </c>
      <c r="AI300" s="67">
        <f t="shared" si="595"/>
        <v>0</v>
      </c>
      <c r="AJ300" s="67">
        <f t="shared" si="595"/>
        <v>1.1399999999999999</v>
      </c>
      <c r="AK300" s="67">
        <f t="shared" si="595"/>
        <v>0</v>
      </c>
      <c r="AL300" s="67">
        <f t="shared" si="595"/>
        <v>0</v>
      </c>
      <c r="AM300" s="67">
        <f t="shared" si="595"/>
        <v>0</v>
      </c>
      <c r="AN300" s="67">
        <f t="shared" si="595"/>
        <v>0</v>
      </c>
      <c r="AO300" s="67">
        <f t="shared" si="595"/>
        <v>0</v>
      </c>
      <c r="AP300" s="67">
        <f t="shared" si="595"/>
        <v>0</v>
      </c>
      <c r="AQ300" s="67">
        <f t="shared" si="595"/>
        <v>0</v>
      </c>
      <c r="AR300" s="68">
        <f t="shared" si="595"/>
        <v>0</v>
      </c>
      <c r="AS300" s="66">
        <f>IF(AND($B298=" ",$K300=AS$3),$O300,0)</f>
        <v>0</v>
      </c>
      <c r="AT300" s="67">
        <f>IF(AND($B298=" ",K300=AT$3),$O300,0)</f>
        <v>0</v>
      </c>
      <c r="AU300" s="67">
        <f t="shared" ref="AU300:BE300" si="605">IF(AND($B298=" ",$K300=AU$3),$O300,0)</f>
        <v>0</v>
      </c>
      <c r="AV300" s="67">
        <f t="shared" si="605"/>
        <v>0</v>
      </c>
      <c r="AW300" s="67">
        <f t="shared" si="605"/>
        <v>0</v>
      </c>
      <c r="AX300" s="67">
        <f t="shared" si="605"/>
        <v>0</v>
      </c>
      <c r="AY300" s="69">
        <f t="shared" si="605"/>
        <v>0</v>
      </c>
      <c r="AZ300" s="70">
        <f t="shared" si="605"/>
        <v>0</v>
      </c>
      <c r="BA300" s="70">
        <f t="shared" si="605"/>
        <v>0</v>
      </c>
      <c r="BB300" s="70">
        <f t="shared" si="605"/>
        <v>0</v>
      </c>
      <c r="BC300" s="71">
        <f t="shared" si="605"/>
        <v>0</v>
      </c>
      <c r="BD300" s="67">
        <f t="shared" si="605"/>
        <v>0</v>
      </c>
      <c r="BE300" s="68">
        <f t="shared" si="605"/>
        <v>0</v>
      </c>
      <c r="BF300" s="66">
        <f t="shared" si="597"/>
        <v>0</v>
      </c>
      <c r="BG300" s="168">
        <f t="shared" si="597"/>
        <v>0</v>
      </c>
      <c r="BH300" s="67">
        <f t="shared" si="597"/>
        <v>0</v>
      </c>
      <c r="BI300" s="67">
        <f t="shared" si="597"/>
        <v>0</v>
      </c>
      <c r="BJ300" s="67">
        <f t="shared" si="597"/>
        <v>3</v>
      </c>
      <c r="BK300" s="67">
        <f t="shared" si="597"/>
        <v>0</v>
      </c>
      <c r="BL300" s="67">
        <f t="shared" si="597"/>
        <v>0</v>
      </c>
      <c r="BM300" s="69">
        <f t="shared" si="597"/>
        <v>0</v>
      </c>
      <c r="BN300" s="70">
        <f t="shared" si="597"/>
        <v>0</v>
      </c>
      <c r="BO300" s="70">
        <f t="shared" si="597"/>
        <v>0</v>
      </c>
      <c r="BP300" s="70">
        <f t="shared" si="597"/>
        <v>0</v>
      </c>
      <c r="BQ300" s="71">
        <f t="shared" si="597"/>
        <v>0</v>
      </c>
      <c r="BR300" s="68">
        <f t="shared" si="597"/>
        <v>0</v>
      </c>
      <c r="BS300" s="491"/>
      <c r="BT300" s="489"/>
      <c r="BU300" s="392"/>
      <c r="BV300" s="489"/>
      <c r="BW300" s="392"/>
      <c r="BX300" s="392"/>
      <c r="BY300" s="392"/>
      <c r="BZ300" s="489"/>
      <c r="CA300" s="392"/>
      <c r="CB300" s="392"/>
      <c r="CC300" s="392"/>
      <c r="CD300" s="401"/>
      <c r="CE300" s="409"/>
      <c r="CF300" s="169">
        <f t="shared" si="515"/>
        <v>0</v>
      </c>
      <c r="CG300" s="170">
        <f t="shared" si="516"/>
        <v>0</v>
      </c>
      <c r="CH300" s="170">
        <f t="shared" si="517"/>
        <v>0</v>
      </c>
      <c r="CI300" s="170">
        <f t="shared" si="518"/>
        <v>0</v>
      </c>
      <c r="CJ300" s="170">
        <f t="shared" si="519"/>
        <v>0</v>
      </c>
      <c r="CK300" s="170">
        <f t="shared" si="520"/>
        <v>0</v>
      </c>
      <c r="CL300" s="170">
        <f t="shared" si="521"/>
        <v>0</v>
      </c>
      <c r="CM300" s="170">
        <f t="shared" si="522"/>
        <v>0</v>
      </c>
      <c r="CN300" s="170">
        <f t="shared" si="523"/>
        <v>1</v>
      </c>
      <c r="CO300" s="170">
        <f t="shared" si="524"/>
        <v>0</v>
      </c>
      <c r="CP300" s="170">
        <f t="shared" si="525"/>
        <v>0</v>
      </c>
      <c r="CQ300" s="170">
        <f t="shared" si="526"/>
        <v>0</v>
      </c>
      <c r="CR300" s="170">
        <f t="shared" si="527"/>
        <v>0</v>
      </c>
      <c r="CS300" s="170">
        <f t="shared" si="528"/>
        <v>0</v>
      </c>
      <c r="CT300" s="75">
        <f t="shared" si="529"/>
        <v>0</v>
      </c>
      <c r="CU300" s="76">
        <f t="shared" si="530"/>
        <v>0</v>
      </c>
      <c r="CV300" s="76">
        <f t="shared" si="531"/>
        <v>0</v>
      </c>
      <c r="CW300" s="76">
        <f t="shared" si="532"/>
        <v>0</v>
      </c>
      <c r="CX300" s="76">
        <f t="shared" si="533"/>
        <v>0</v>
      </c>
      <c r="CY300" s="76">
        <f t="shared" si="534"/>
        <v>0</v>
      </c>
      <c r="CZ300" s="76">
        <f t="shared" si="535"/>
        <v>0</v>
      </c>
      <c r="DA300" s="76">
        <f t="shared" si="536"/>
        <v>0</v>
      </c>
      <c r="DB300" s="76">
        <f t="shared" si="537"/>
        <v>0</v>
      </c>
      <c r="DC300" s="76">
        <f t="shared" si="538"/>
        <v>0</v>
      </c>
      <c r="DD300" s="76">
        <f t="shared" si="539"/>
        <v>0</v>
      </c>
      <c r="DE300" s="77">
        <f t="shared" si="540"/>
        <v>0</v>
      </c>
      <c r="DF300" s="73">
        <f t="shared" si="542"/>
        <v>21</v>
      </c>
      <c r="DG300" s="67">
        <f t="shared" si="543"/>
        <v>27.24</v>
      </c>
      <c r="DH300" s="76">
        <f t="shared" si="544"/>
        <v>8</v>
      </c>
      <c r="DI300" s="67">
        <f t="shared" si="545"/>
        <v>33.049999999999997</v>
      </c>
      <c r="DJ300" s="202" t="str">
        <f>IF($D298="","",$D298)</f>
        <v>9</v>
      </c>
      <c r="DK300" s="493"/>
    </row>
    <row r="301" spans="1:115" ht="14.5" customHeight="1" x14ac:dyDescent="0.2">
      <c r="A301" s="459">
        <f>$A298+1</f>
        <v>100</v>
      </c>
      <c r="B301" s="507" t="str">
        <f>IF(OR(C301="W",C302="W",C303="W",C301="1/2W",C302="1/2W",C303="1/2W",C301="1/2L",C302="1/2L",C303="1/2L"),"OK",IF(OR(C301="L",C302="L",C303="L"),"LOSS",IF(OR(C301="X",C302="X",C303="X"),"Anulado"," ")))</f>
        <v>OK</v>
      </c>
      <c r="C301" s="93" t="s">
        <v>55</v>
      </c>
      <c r="D301" s="468" t="str">
        <f>IF(G301="","",$D298)</f>
        <v>9</v>
      </c>
      <c r="E301" s="485" t="str">
        <f>IF(G301=""," ","– "&amp;COUNTIF(D$4:D303,$D301))</f>
        <v>– 8</v>
      </c>
      <c r="F301" s="509" t="str">
        <f ca="1">IF(G301="","",IF(OR(AND($C301&lt;&gt;" ",$C302=" "),AND($C302&lt;&gt;" ",$C301=" "),AND(L303&gt;0,OR(AND($C303&lt;&gt;" ",OR($C301=" ",$C302=" ")),AND($C303=" ",OR($C301&lt;&gt;" ",$C302&lt;&gt;" "))))),IF(SUM(F$6:F296)=0,1,LARGE(F$6:F296,1)+1),IF(MONTH(G301)=MONTH(TODAY()),IF(AND(DAY(G301)&lt;DAY(TODAY()),$B301=" "),IF(SUM(F$6:F296)=0,1,LARGE(F$6:F296,1)+1),IF($B301=" ",IF(AND(DAY(G301)=DAY(TODAY()),HOUR(G301)&lt;=HOUR(NOW())+1),IF(AND(HOUR(G301)+2&lt;=HOUR(NOW()),DAY(G301)&lt;=DAY(TODAY()),MINUTE(G301)&lt;=MINUTE(NOW())),IF(SUM(F$6:F296)=0,1,LARGE(F$6:F296,1)+1),IF(OR(MINUTE(G301)&lt;=MINUTE(NOW()),HOUR(G301)&lt;=HOUR(NOW())),"!!!","")),""),"")),"")))</f>
        <v/>
      </c>
      <c r="G301" s="482">
        <f>IF(H301="","",_xlfn.XLOOKUP(H301,$H$4:H300,$G$4:G300,""))</f>
        <v>44994.614583333336</v>
      </c>
      <c r="H301" s="475" t="s">
        <v>99</v>
      </c>
      <c r="I301" s="175">
        <v>1</v>
      </c>
      <c r="J301" s="176"/>
      <c r="K301" s="96" t="s">
        <v>47</v>
      </c>
      <c r="L301" s="97">
        <v>1.6</v>
      </c>
      <c r="M301" s="98">
        <v>260</v>
      </c>
      <c r="N301" s="478">
        <v>1</v>
      </c>
      <c r="O301" s="99">
        <f>IF(OR(AE301="",AE302=""),"",ROUND(IF(L303&gt;0,IF(M301&gt;0,M301,IF(M302&gt;0,ROUND((M302*AE301)/AE302,IF(N301=0,2,IF(N301=0.1,1,0))),ROUND((M303*AE301)/AE303,IF(N301=0,2,IF(N301=0.1,1,0))))),IF(M301&gt;0,M301,ROUND((M302*AE301)/AE302,IF(N301=0,2,IF(N301=0.1,1,0))))),2))</f>
        <v>260</v>
      </c>
      <c r="P301" s="100">
        <f>IF(OR(L301="",O301=""),"",IF($C301="1/2W",O301/2+O301/2*L301,IF($C301="1/2L",O301/2,IF(I301="Lay",(O301*(L301/(L301-1))-O301)*(1-_xlfn.XLOOKUP(K301,'Fevereiro 2023 - Valor Real'!A3:A15,'Fevereiro 2023 - Valor Real'!C3:C15,0))+O301,(O301*L301-O301)*(1-_xlfn.XLOOKUP(K301,'Fevereiro 2023 - Valor Real'!A3:A15,'Fevereiro 2023 - Valor Real'!C3:C15,0))+O301))))</f>
        <v>416</v>
      </c>
      <c r="Q301" s="101">
        <f>IF(K301="","",IF(_xlfn.XLOOKUP(K301,K$6:K296,$DJ$6:DJ296,0,,-1)=DJ301,_xlfn.XLOOKUP(K301,K$6:K296,Q$6:Q296,1,,-1)+1,1))</f>
        <v>3</v>
      </c>
      <c r="R301" s="102">
        <f>IF(K301="","",_xlfn.XLOOKUP(K301,K$6:K296,R$6:R296,0,,-1)+IF($C301=" ",1,0))</f>
        <v>0</v>
      </c>
      <c r="S301" s="474">
        <f>IF($B301="Anulado",0,ROUND(IF(OR($B301="LOSS",$B301="OK"),IF(OR($C301="W",$C301="1/2W",$C301="1/2L"),P301-O301,IF($C301="L",-O301,0))+IF(OR($C302="W",$C302="1/2W",$C302="1/2L"),P302-O302,IF($C302="L",-O302,0))+IF(OR($C303="W",$C303="1/2W",$C303="1/2L"),P303-O303,IF($C303="L",-O303,0)),IF(AND(OR($C301="W",$C301="1/2W",$C301="1/2L"),C302="W"),P301+P302-SUM(O301:O303)+_xlfn.XLOOKUP("X",C301:C303,O301:O303,0),IF(AND(C301=TRUE,C303="W"),P301+P303-SUM(O301:O303),IF(AND(C302="W",C303="W"),P302+P303-SUM(O301:O303)+_xlfn.XLOOKUP("X",C301:C303,O301:O303,0),IF(L303&gt;0,IF(OR($C301="W",$C301="1/2W",$C301="1/2L"),P301-SUM(O301:O303)+_xlfn.XLOOKUP("X",C301:C303,O301:O303,0),IF(OR($C301="W",$C301="1/2W",$C301="1/2L"),P302-SUM(O301:O303)+_xlfn.XLOOKUP("X",C301:C303,O301:O303,0),IF(OR($C301="W",$C301="1/2W",$C301="1/2L"),P303-SUM(O301:O303)+_xlfn.XLOOKUP("X",C301:C303,O301:O303,0),IF(SUM(P301:P303)/3-SUM(O301:O303)+_xlfn.XLOOKUP("X",C301:C303,O301:O303,0)&gt;0,SUM(P301:P303)/3-SUM(O301:O303)+_xlfn.XLOOKUP("X",C301:C303,O301:O303,0),LARGE(P301:P303,1)-SUM(O301:O303))))),IF(OR($C301="W",$C301="1/2W",$C301="1/2L"),P301-SUM(O301:O302)+_xlfn.XLOOKUP("X",C301:C303,O301:O303,0),IF(OR($C301="W",$C301="1/2W",$C301="1/2L"),P302-SUM(O301:O302)+_xlfn.XLOOKUP("X",C301:C303,O301:O303,0),SUM(P301:P302)/2-SUM(O301:O302)+_xlfn.XLOOKUP("X",C301:C303,O301:O303,0)))))))),2))</f>
        <v>19.05</v>
      </c>
      <c r="T301" s="458">
        <f>IF(S301=0,0,S301/SUM(O301:O303))</f>
        <v>4.809148742805211E-2</v>
      </c>
      <c r="U301" s="470">
        <f>IF($D301=$D298,IF(OR($B301="LOSS",$B301="OK",$B301="Anulada"),S301,0)+U298,IF(OR($B301="LOSS",$B301="OK",$B301="Anulada"),S301,0))</f>
        <v>28.53</v>
      </c>
      <c r="V301" s="470">
        <f>IF($D301="",0,IF($D301=$D298,IF($B301=" ",IF(I303="",IF(OR(AND(I301="DNB1",I302="DNB2"),AND(OR(I301="DNB1",I301="DNB2"),J302=0),AND(OR(I302="DNB1",I302="DNB2"),J301=0),AND(I301="DNB2",I302="DNB1"),AND(IF(J301=0,(J301+1)/ROUND(J301+1,0),J301/ROUND(J301,0))=1,IF(J302=0,(J302+1)/ROUND(IF(J302="",0,J302)+1,0),IF(J302="",0,J302)/ROUND(IF(J302="",1,J302),0))=1,OR(J301&lt;&gt;""),J302&lt;&gt;"")),0,IF(S301&lt;0,IF(I303="",SMALL(P301:P302,1)-SUM(O301:O302),0),SMALL(P301:P302,1)-SUM(O301:O302))),IF(S301&lt;0,IF(I303="",SMALL(P301:P303,1)-SUM(O301:O303),0),LARGE(P301:P303,1)-SUM(O301:O303))),S301)+V298,IF(I303="",IF(OR(AND(I301="DNB1",I302="DNB2"),AND(OR(I301="DNB1",I301="DNB2"),J302=0),AND(OR(I302="DNB1",I302="DNB2"),J301=0),AND(I301="DNB2",I302="DNB1"),AND(IF(J301=0,(J301+1)/ROUND(J301+1,0),J301/ROUND(J301,0))=1,IF(J302=0,(IF(J302="",0,J302)+1)/ROUND(IF(J302="",0,J302)+1,0),IF(J302="",0,J302)/ROUND(IF(J302="",0,J302)+1,0))=1,OR(J301&lt;&gt;""),J302&lt;&gt;"")),0,IF(S301&lt;0,IF(I303="",SMALL(P301:P302,1)-SUM(O301:O302),0),SMALL(P301:P303,1)-SUM(O301:O303))),IF(S301&lt;0,IF(I303="",SMALL(P301:P303,1)-SUM(O301:O303),0),LARGE(P301:P303,1)-SUM(O301:O303)))))</f>
        <v>28.530400000000004</v>
      </c>
      <c r="W301" s="470">
        <f>IF($D301=$D298,IF(S301&lt;0,IF(I303="",S301,0),S301)+W298,S301)</f>
        <v>28.53</v>
      </c>
      <c r="X301" s="480" t="str">
        <f>IF(OR(SUM(R301:R303)=0,V301=W301),ROUND(IF(W301=0,0,W301/Y301)*100,2)&amp;"%",ROUND(IF(V301=0,0,V301/Y301)*100,2)&amp;"% a "&amp;ROUND(IF(W301=0,0,W301/Y301)*100,2)&amp;"%")</f>
        <v>5,38%</v>
      </c>
      <c r="Y301" s="471">
        <f>IF($D301=$D298,Y298+SUM(O301:O303),SUM(O301:O303))</f>
        <v>530.06999999999994</v>
      </c>
      <c r="Z301" s="470">
        <f>IF($B301=" ",SUM(O301:O303),0)+Z298</f>
        <v>0</v>
      </c>
      <c r="AA301" s="470">
        <f>IF(G301="","",IF($B301="Anulado",LARGE(P301:P303,1)-SUM(O301:O303)+AA298,AA298))</f>
        <v>1.4607999999999972</v>
      </c>
      <c r="AB301" s="470">
        <f>IF($D301="","",AB298+S301)</f>
        <v>469.39000000000004</v>
      </c>
      <c r="AC301" s="472">
        <f ca="1">IF($D301="","",IF($B301=" ",IF(DAY(G301)=DAY(TODAY()),1+AC298,0+AC298),0+AC298))</f>
        <v>0</v>
      </c>
      <c r="AD301" s="103">
        <f>(((L302/(L302-1)-1)*(1-_xlfn.XLOOKUP(K302,'Fevereiro 2023 - Valor Real'!A3:A15,'Fevereiro 2023 - Valor Real'!C3:C15,0))+1))/(((L301-1)*(1-_xlfn.XLOOKUP(K301,'Fevereiro 2023 - Valor Real'!A3:A15,'Fevereiro 2023 - Valor Real'!C3:C15,0))+1)+((L302/(L302-1)-1)*(1-_xlfn.XLOOKUP(K302,'Fevereiro 2023 - Valor Real'!A3:A15,'Fevereiro 2023 - Valor Real'!C3:C15,0))+1))</f>
        <v>0.48183254344391785</v>
      </c>
      <c r="AE301" s="104">
        <f>IF(L301="","",IF(L303&gt;0,(SUM(((L301-1)*(1-_xlfn.XLOOKUP(K301,'Fevereiro 2023 - Valor Real'!A3:A15,'Fevereiro 2023 - Valor Real'!C3:C15,0))+1),((L302-1)*(1-_xlfn.XLOOKUP(K302,'Fevereiro 2023 - Valor Real'!A3:A15,'Fevereiro 2023 - Valor Real'!C3:C15,0))+1),((L303-1)*(1-_xlfn.XLOOKUP(K303,'Fevereiro 2023 - Valor Real'!A3:A15,'Fevereiro 2023 - Valor Real'!C3:C15,0))+1))/((L301-1)*(1-_xlfn.XLOOKUP(K301,'Fevereiro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Real'!C3:C15,0))+1))/((L301-1)*(1-_xlfn.XLOOKUP(K301,'Fevereiro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Real'!C3:C15,0))+1))/((L302-1)*(1-_xlfn.XLOOKUP(K302,'Fevereiro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Real'!C3:C15,0))+1))/((L303-1)*(1-_xlfn.XLOOKUP(K303,'Fevereiro 2023 - Valor Real'!A3:A15,'Fevereiro 2023 - Valor Real'!C3:C15,0))+1)),IF(I301="Lay",IF(I302="Lay",((L302/(L302-1)-1)*(1-_xlfn.XLOOKUP(K302,'Fevereiro 2023 - Valor Real'!A3:A15,'Fevereiro 2023 - Valor Real'!C3:C15,0))+1)/(((L302/(L302-1)-1)*(1-_xlfn.XLOOKUP(K302,'Fevereiro 2023 - Valor Real'!A3:A15,'Fevereiro 2023 - Valor Real'!C3:C15,0))+1)+((L301/(L301-1)-1)*(1-_xlfn.XLOOKUP(K301,'Fevereiro 2023 - Valor Real'!A3:A15,'Fevereiro 2023 - Valor Real'!C3:C15,0))+1)),((L302-1)*(1-_xlfn.XLOOKUP(K302,'Fevereiro 2023 - Valor Real'!A3:A15,'Fevereiro 2023 - Valor Real'!C3:C15,0))+1)/(((L302-1)*(1-_xlfn.XLOOKUP(K302,'Fevereiro 2023 - Valor Real'!A3:A15,'Fevereiro 2023 - Valor Real'!C3:C15,0))+1)+((L301/(L301-1)-1)*(1-_xlfn.XLOOKUP(K301,'Fevereiro 2023 - Valor Real'!A3:A15,'Fevereiro 2023 - Valor Real'!C3:C15,0))+1))),IF(I302="Lay",(((L302/(L302-1)-1)*(1-_xlfn.XLOOKUP(K302,'Fevereiro 2023 - Valor Real'!A3:A15,'Fevereiro 2023 - Valor Real'!C3:C15,0))+1))/(((L301-1)*(1-_xlfn.XLOOKUP(K301,'Fevereiro 2023 - Valor Real'!A3:A15,'Fevereiro 2023 - Valor Real'!C3:C15,0))+1)+((L302/(L302-1)-1)*(1-_xlfn.XLOOKUP(K302,'Fevereiro 2023 - Valor Real'!A3:A15,'Fevereiro 2023 - Valor Real'!C3:C15,0))+1)),((L302-1)*(1-_xlfn.XLOOKUP(K302,'Fevereiro 2023 - Valor Real'!A3:A15,'Fevereiro 2023 - Valor Real'!C3:C15,0))+1)/(((L302-1)*(1-_xlfn.XLOOKUP(K302,'Fevereiro 2023 - Valor Real'!A3:A15,'Fevereiro 2023 - Valor Real'!C3:C15,0))+1)+((L301-1)*(1-_xlfn.XLOOKUP(K301,'Fevereiro 2023 - Valor Real'!A3:A15,'Fevereiro 2023 - Valor Real'!C3:C15,0))+1))))))</f>
        <v>0.65591397849462352</v>
      </c>
      <c r="AF301" s="105">
        <f t="shared" si="595"/>
        <v>0</v>
      </c>
      <c r="AG301" s="106">
        <f t="shared" si="595"/>
        <v>0</v>
      </c>
      <c r="AH301" s="106">
        <f t="shared" si="595"/>
        <v>0</v>
      </c>
      <c r="AI301" s="106">
        <f t="shared" si="595"/>
        <v>0</v>
      </c>
      <c r="AJ301" s="106">
        <f t="shared" si="595"/>
        <v>0</v>
      </c>
      <c r="AK301" s="106">
        <f t="shared" si="595"/>
        <v>0</v>
      </c>
      <c r="AL301" s="106">
        <f t="shared" si="595"/>
        <v>0</v>
      </c>
      <c r="AM301" s="106">
        <f t="shared" si="595"/>
        <v>0</v>
      </c>
      <c r="AN301" s="106">
        <f t="shared" si="595"/>
        <v>0</v>
      </c>
      <c r="AO301" s="106">
        <f t="shared" si="595"/>
        <v>0</v>
      </c>
      <c r="AP301" s="106">
        <f t="shared" si="595"/>
        <v>0</v>
      </c>
      <c r="AQ301" s="106">
        <f t="shared" si="595"/>
        <v>-260</v>
      </c>
      <c r="AR301" s="107">
        <f t="shared" si="595"/>
        <v>0</v>
      </c>
      <c r="AS301" s="105">
        <f t="shared" ref="AS301:BE301" si="606">IF(AND($B301=" ",$K301=AS$3),$O301,0)</f>
        <v>0</v>
      </c>
      <c r="AT301" s="106">
        <f t="shared" si="606"/>
        <v>0</v>
      </c>
      <c r="AU301" s="106">
        <f t="shared" si="606"/>
        <v>0</v>
      </c>
      <c r="AV301" s="106">
        <f t="shared" si="606"/>
        <v>0</v>
      </c>
      <c r="AW301" s="106">
        <f t="shared" si="606"/>
        <v>0</v>
      </c>
      <c r="AX301" s="106">
        <f t="shared" si="606"/>
        <v>0</v>
      </c>
      <c r="AY301" s="108">
        <f t="shared" si="606"/>
        <v>0</v>
      </c>
      <c r="AZ301" s="109">
        <f t="shared" si="606"/>
        <v>0</v>
      </c>
      <c r="BA301" s="109">
        <f t="shared" si="606"/>
        <v>0</v>
      </c>
      <c r="BB301" s="109">
        <f t="shared" si="606"/>
        <v>0</v>
      </c>
      <c r="BC301" s="110">
        <f t="shared" si="606"/>
        <v>0</v>
      </c>
      <c r="BD301" s="106">
        <f t="shared" si="606"/>
        <v>0</v>
      </c>
      <c r="BE301" s="107">
        <f t="shared" si="606"/>
        <v>0</v>
      </c>
      <c r="BF301" s="111">
        <f t="shared" si="597"/>
        <v>0</v>
      </c>
      <c r="BG301" s="106">
        <f t="shared" si="597"/>
        <v>0</v>
      </c>
      <c r="BH301" s="106">
        <f t="shared" si="597"/>
        <v>0</v>
      </c>
      <c r="BI301" s="106">
        <f t="shared" si="597"/>
        <v>0</v>
      </c>
      <c r="BJ301" s="106">
        <f t="shared" si="597"/>
        <v>0</v>
      </c>
      <c r="BK301" s="106">
        <f t="shared" si="597"/>
        <v>0</v>
      </c>
      <c r="BL301" s="106">
        <f t="shared" si="597"/>
        <v>0</v>
      </c>
      <c r="BM301" s="108">
        <f t="shared" si="597"/>
        <v>0</v>
      </c>
      <c r="BN301" s="109">
        <f t="shared" si="597"/>
        <v>0</v>
      </c>
      <c r="BO301" s="109">
        <f t="shared" si="597"/>
        <v>0</v>
      </c>
      <c r="BP301" s="109">
        <f t="shared" si="597"/>
        <v>0</v>
      </c>
      <c r="BQ301" s="110">
        <f t="shared" si="597"/>
        <v>260</v>
      </c>
      <c r="BR301" s="107">
        <f t="shared" si="597"/>
        <v>0</v>
      </c>
      <c r="BS301" s="463">
        <f>IF($B301="LOSS",IF(AND($K301=BS$3,$C301="L"),-$O301,0)+IF(AND($K302=BS$3,$C302="L"),-$O302,0)+IF(AND($K303=BS$3,$C303="L"),-$O303,0),IF(OR(AND($K301=BS$3,OR($C301="W",$C301="1/2W")),AND($K302=BS$3,OR($C302="W",$C302="1/2W")),AND($K303=BS$3,OR($C303="W",$C303="1/2W"))),$S301,0))</f>
        <v>0</v>
      </c>
      <c r="BT301" s="462">
        <f>IF($B301="LOSS",IF(AND($K301=BT$3,$C301="L"),-$O301,0)+IF(AND($K302=BT$3,$C302="L"),-$O302,0)+IF(AND($K302=BT$3,$C303="L"),-$O303,0),IF(OR(AND($K302=BT$3,OR($C301="W",$C301="1/2W")),AND($K302=BT$3,OR($C302="W",$C302="1/2W")),AND($K302=BT$3,OR($C303="W",$C303="1/2W"))),$S301,0))</f>
        <v>0</v>
      </c>
      <c r="BU301" s="462">
        <f>IF($B301="LOSS",IF(AND($K301=BU$3,$C301="L"),-$O301,0)+IF(AND($K302=BU$3,$C302="L"),-$O302,0)+IF(AND($K302=BU$3,$C303="L"),-$O303,0),IF(OR(AND($K302=BU$3,OR($C301="W",$C301="1/2W")),AND($K302=BU$3,OR($C302="W",$C302="1/2W")),AND($K302=BU$3,OR($C303="W",$C303="1/2W"))),$S301,0))</f>
        <v>0</v>
      </c>
      <c r="BV301" s="462">
        <f t="shared" ref="BV301:CE301" si="607">IF($B301="LOSS",IF(AND($K301=BV$3,$C301="L"),-$O301,0)+IF(AND($K302=BV$3,$C302="L"),-$O302,0)+IF(AND($K303=BV$3,$C303="L"),-$O303,0),IF(OR(AND($K301=BV$3,OR($C301="W",$C301="1/2W")),AND($K302=BV$3,OR($C302="W",$C302="1/2W")),AND($K303=BV$3,OR($C303="W",$C303="1/2W"))),$S301,0))</f>
        <v>0</v>
      </c>
      <c r="BW301" s="462">
        <f t="shared" si="607"/>
        <v>19.05</v>
      </c>
      <c r="BX301" s="462">
        <f t="shared" si="607"/>
        <v>0</v>
      </c>
      <c r="BY301" s="462">
        <f t="shared" si="607"/>
        <v>0</v>
      </c>
      <c r="BZ301" s="460">
        <f t="shared" si="607"/>
        <v>0</v>
      </c>
      <c r="CA301" s="460">
        <f t="shared" si="607"/>
        <v>0</v>
      </c>
      <c r="CB301" s="460">
        <f t="shared" si="607"/>
        <v>0</v>
      </c>
      <c r="CC301" s="460">
        <f t="shared" si="607"/>
        <v>0</v>
      </c>
      <c r="CD301" s="473">
        <f t="shared" si="607"/>
        <v>0</v>
      </c>
      <c r="CE301" s="479">
        <f t="shared" si="607"/>
        <v>0</v>
      </c>
      <c r="CF301" s="113">
        <f t="shared" si="515"/>
        <v>0</v>
      </c>
      <c r="CG301" s="114">
        <f t="shared" si="516"/>
        <v>0</v>
      </c>
      <c r="CH301" s="114">
        <f t="shared" si="517"/>
        <v>0</v>
      </c>
      <c r="CI301" s="114">
        <f t="shared" si="518"/>
        <v>0</v>
      </c>
      <c r="CJ301" s="114">
        <f t="shared" si="519"/>
        <v>0</v>
      </c>
      <c r="CK301" s="114">
        <f t="shared" si="520"/>
        <v>0</v>
      </c>
      <c r="CL301" s="114">
        <f t="shared" si="521"/>
        <v>0</v>
      </c>
      <c r="CM301" s="114">
        <f t="shared" si="522"/>
        <v>0</v>
      </c>
      <c r="CN301" s="114">
        <f t="shared" si="523"/>
        <v>0</v>
      </c>
      <c r="CO301" s="114">
        <f t="shared" si="524"/>
        <v>0</v>
      </c>
      <c r="CP301" s="114">
        <f t="shared" si="525"/>
        <v>0</v>
      </c>
      <c r="CQ301" s="114">
        <f t="shared" si="526"/>
        <v>0</v>
      </c>
      <c r="CR301" s="114">
        <f t="shared" si="527"/>
        <v>0</v>
      </c>
      <c r="CS301" s="114">
        <f t="shared" si="528"/>
        <v>0</v>
      </c>
      <c r="CT301" s="115">
        <f t="shared" si="529"/>
        <v>0</v>
      </c>
      <c r="CU301" s="116">
        <f t="shared" si="530"/>
        <v>0</v>
      </c>
      <c r="CV301" s="116">
        <f t="shared" si="531"/>
        <v>0</v>
      </c>
      <c r="CW301" s="116">
        <f t="shared" si="532"/>
        <v>0</v>
      </c>
      <c r="CX301" s="116">
        <f t="shared" si="533"/>
        <v>0</v>
      </c>
      <c r="CY301" s="116">
        <f t="shared" si="534"/>
        <v>0</v>
      </c>
      <c r="CZ301" s="116">
        <f t="shared" si="535"/>
        <v>0</v>
      </c>
      <c r="DA301" s="116">
        <f t="shared" si="536"/>
        <v>0</v>
      </c>
      <c r="DB301" s="116">
        <f t="shared" si="537"/>
        <v>0</v>
      </c>
      <c r="DC301" s="116">
        <f t="shared" si="538"/>
        <v>1</v>
      </c>
      <c r="DD301" s="116">
        <f t="shared" si="539"/>
        <v>0</v>
      </c>
      <c r="DE301" s="117">
        <f t="shared" si="540"/>
        <v>0</v>
      </c>
      <c r="DF301" s="118">
        <f t="shared" si="542"/>
        <v>21</v>
      </c>
      <c r="DG301" s="106">
        <f t="shared" si="543"/>
        <v>27.24</v>
      </c>
      <c r="DH301" s="116">
        <f t="shared" si="544"/>
        <v>8</v>
      </c>
      <c r="DI301" s="106">
        <f t="shared" si="545"/>
        <v>33.049999999999997</v>
      </c>
      <c r="DJ301" s="201" t="str">
        <f>IF($D301="","",$D301)</f>
        <v>9</v>
      </c>
      <c r="DK301" s="465">
        <f>IF(AND($B301=" ",$D301&lt;&gt;""),1,0)</f>
        <v>0</v>
      </c>
    </row>
    <row r="302" spans="1:115" ht="14.5" customHeight="1" x14ac:dyDescent="0.2">
      <c r="A302" s="389"/>
      <c r="B302" s="456"/>
      <c r="C302" s="120" t="s">
        <v>54</v>
      </c>
      <c r="D302" s="374"/>
      <c r="E302" s="386"/>
      <c r="F302" s="377"/>
      <c r="G302" s="483"/>
      <c r="H302" s="476"/>
      <c r="I302" s="178">
        <v>2</v>
      </c>
      <c r="J302" s="179" t="str">
        <f>IF(OR(I301="TO",I301="TU",I301="TO1",I301="TU1",I301="TO2",I301="TU2"),J301,IF(OR(I301="AH1",I301="AH2"),IF(OR(I302="AH1",I302="AH2"),-J301,IF(OR(I302="EH1",I302="EH2"),-J301+0.5,"")),IF(OR(I301="EH1",I301="EH2"),IF(OR(I302="AH1",I302="AH2"),-J301+0.5,IF(OR(I302="EH1",I302="EH2"),-J301+1,"")),IF(AND(OR(I301="DNB1",I301="DNB2"),OR(I302="AH1",I302="AH2")),0,IF(AND(I301="Not ScoreBoth",OR(I302="TO1",I302="TO2")),0.5,"")))))</f>
        <v/>
      </c>
      <c r="K302" s="123" t="s">
        <v>40</v>
      </c>
      <c r="L302" s="124">
        <v>3.05</v>
      </c>
      <c r="M302" s="125">
        <v>136.12</v>
      </c>
      <c r="N302" s="406"/>
      <c r="O302" s="126">
        <f>IF(OR(AE301="",AE302=""),"",ROUND(IF(L303&gt;0,IF(M302&gt;0,M302,IF(M301&gt;0,IF(N301=TRUE,ROUND((M301*AE302)/AE301,0),(M301*AE302)/AE301),IF(M302&gt;0,ROUND(M302,IF(N301=0,2,IF(N301=0.1,1,0))),IF(M303&gt;0,ROUND(O303*AE302/AE303,IF(N301=0,2,IF(N301=0.1,1,0))),0)))),IF(M302&gt;0,M302,ROUND((M301*AE302)/AE301,IF(N301=0,2,IF(N301=0.1,1,0))))),2))</f>
        <v>136.12</v>
      </c>
      <c r="P302" s="127">
        <f>IF(OR(L302="",O302=""),"",IF($C302="1/2W",O302/2+O302/2*L302,IF($C302="1/2L",O302/2,IF(I302="Lay",((O302*(L302/(L302-1)))-O302)*(1-_xlfn.XLOOKUP(K302,'Fevereiro 2023 - Valor Real'!A3:A15,'Fevereiro 2023 - Valor Real'!C3:C15,0))+O302,(O302*L302-O302)*(1-_xlfn.XLOOKUP(K302,'Fevereiro 2023 - Valor Real'!A3:A15,'Fevereiro 2023 - Valor Real'!C3:C15,0))+O302))))</f>
        <v>415.166</v>
      </c>
      <c r="Q302" s="128">
        <f>IF(K302="","",IF(_xlfn.XLOOKUP(K302,K$7:K296,$DJ$7:DJ296,0,,-1)=DJ302,_xlfn.XLOOKUP(K302,K$7:K296,Q$7:Q296,1,,-1)+1,1))</f>
        <v>3</v>
      </c>
      <c r="R302" s="129">
        <f>IF(K302="","",_xlfn.XLOOKUP(K302,K$7:K296,R$7:R296,0,,-1)+IF($C302=" ",1,0))</f>
        <v>0</v>
      </c>
      <c r="S302" s="403"/>
      <c r="T302" s="380"/>
      <c r="U302" s="380"/>
      <c r="V302" s="481"/>
      <c r="W302" s="380"/>
      <c r="X302" s="452"/>
      <c r="Y302" s="383"/>
      <c r="Z302" s="384"/>
      <c r="AA302" s="384"/>
      <c r="AB302" s="384"/>
      <c r="AC302" s="384"/>
      <c r="AD302" s="130">
        <f>(((L302/(L302-1)-1)*(1-_xlfn.XLOOKUP(K302,'Fevereiro 2023 - Valor Real'!A3:A15,'Fevereiro 2023 - Valor Real'!C3:C15,0))+1))</f>
        <v>1.4878048780487805</v>
      </c>
      <c r="AE302" s="131">
        <f>IF(L302="","",IF(L303&gt;0,(SUM(((L301-1)*(1-_xlfn.XLOOKUP(K301,'Fevereiro 2023 - Valor Real'!A3:A15,'Fevereiro 2023 - Valor Real'!C3:C15,0))+1),((L302-1)*(1-_xlfn.XLOOKUP(K302,'Fevereiro 2023 - Valor Real'!A3:A15,'Fevereiro 2023 - Valor Real'!C3:C15,0))+1),((L303-1)*(1-_xlfn.XLOOKUP(K303,'Fevereiro 2023 - Valor Real'!A3:A15,'Fevereiro 2023 - Valor Real'!C3:C15,0))+1))/((L302-1)*(1-_xlfn.XLOOKUP(K302,'Fevereiro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Real'!C3:C15,0))+1))/((L301-1)*(1-_xlfn.XLOOKUP(K301,'Fevereiro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Real'!C3:C15,0))+1))/((L302-1)*(1-_xlfn.XLOOKUP(K302,'Fevereiro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Real'!C3:C15,0))+1))/((L303-1)*(1-_xlfn.XLOOKUP(K303,'Fevereiro 2023 - Valor Real'!A3:A15,'Fevereiro 2023 - Valor Real'!C3:C15,0))+1)),IF(I302="Lay",IF(I301="Lay",((L301/(L301-1)-1)*(1-_xlfn.XLOOKUP(K301,'Fevereiro 2023 - Valor Real'!A3:A15,'Fevereiro 2023 - Valor Real'!C3:C15,0))+1)/(((L301/(L301-1)-1)*(1-_xlfn.XLOOKUP(K301,'Fevereiro 2023 - Valor Real'!A3:A15,'Fevereiro 2023 - Valor Real'!C3:C15,0))+1)+((L302/(L302-1)-1)*(1-_xlfn.XLOOKUP(K302,'Fevereiro 2023 - Valor Real'!A3:A15,'Fevereiro 2023 - Valor Real'!C3:C15,0))+1)),((L301-1)*(1-_xlfn.XLOOKUP(K301,'Fevereiro 2023 - Valor Real'!A3:A15,'Fevereiro 2023 - Valor Real'!C3:C15,0))+1)/(((L301-1)*(1-_xlfn.XLOOKUP(K301,'Fevereiro 2023 - Valor Real'!A3:A15,'Fevereiro 2023 - Valor Real'!C3:C15,0))+1)+((L302/(L302-1)-1)*(1-_xlfn.XLOOKUP(K302,'Fevereiro 2023 - Valor Real'!A3:A15,'Fevereiro 2023 - Valor Real'!C3:C15,0))+1))),IF(I301="Lay",((L301/(L301-1)-1)*(1-_xlfn.XLOOKUP(K301,'Fevereiro 2023 - Valor Real'!A3:A15,'Fevereiro 2023 - Valor Real'!C3:C15,0))+1)/((((L301/(L301-1)-1)*(1-_xlfn.XLOOKUP(K301,'Fevereiro 2023 - Valor Real'!A3:A15,'Fevereiro 2023 - Valor Real'!C3:C15,0))+1))+((L302-1)*(1-_xlfn.XLOOKUP(K302,'Fevereiro 2023 - Valor Real'!A3:A15,'Fevereiro 2023 - Valor Real'!C3:C15,0))+1)),((L301-1)*(1-_xlfn.XLOOKUP(K301,'Fevereiro 2023 - Valor Real'!A3:A15,'Fevereiro 2023 - Valor Real'!C3:C15,0))+1)/(((L301-1)*(1-_xlfn.XLOOKUP(K301,'Fevereiro 2023 - Valor Real'!A3:A15,'Fevereiro 2023 - Valor Real'!C3:C15,0))+1)+((L302-1)*(1-_xlfn.XLOOKUP(K302,'Fevereiro 2023 - Valor Real'!A3:A15,'Fevereiro 2023 - Valor Real'!C3:C15,0))+1))))))</f>
        <v>0.34408602150537632</v>
      </c>
      <c r="AF302" s="105">
        <f t="shared" si="595"/>
        <v>0</v>
      </c>
      <c r="AG302" s="106">
        <f t="shared" si="595"/>
        <v>0</v>
      </c>
      <c r="AH302" s="106">
        <f t="shared" si="595"/>
        <v>0</v>
      </c>
      <c r="AI302" s="106">
        <f t="shared" si="595"/>
        <v>0</v>
      </c>
      <c r="AJ302" s="106">
        <f t="shared" si="595"/>
        <v>279.05</v>
      </c>
      <c r="AK302" s="106">
        <f t="shared" si="595"/>
        <v>0</v>
      </c>
      <c r="AL302" s="106">
        <f t="shared" si="595"/>
        <v>0</v>
      </c>
      <c r="AM302" s="106">
        <f t="shared" si="595"/>
        <v>0</v>
      </c>
      <c r="AN302" s="106">
        <f t="shared" si="595"/>
        <v>0</v>
      </c>
      <c r="AO302" s="106">
        <f t="shared" si="595"/>
        <v>0</v>
      </c>
      <c r="AP302" s="106">
        <f t="shared" si="595"/>
        <v>0</v>
      </c>
      <c r="AQ302" s="106">
        <f t="shared" si="595"/>
        <v>0</v>
      </c>
      <c r="AR302" s="107">
        <f t="shared" si="595"/>
        <v>0</v>
      </c>
      <c r="AS302" s="105">
        <f>IF(AND($B301=" ",$K302=AS$3),$O302,0)</f>
        <v>0</v>
      </c>
      <c r="AT302" s="106">
        <f>IF(AND($B301=" ",K302=AT$3),$O302,0)</f>
        <v>0</v>
      </c>
      <c r="AU302" s="106">
        <f t="shared" ref="AU302:BE302" si="608">IF(AND($B301=" ",$K302=AU$3),$O302,0)</f>
        <v>0</v>
      </c>
      <c r="AV302" s="106">
        <f t="shared" si="608"/>
        <v>0</v>
      </c>
      <c r="AW302" s="106">
        <f t="shared" si="608"/>
        <v>0</v>
      </c>
      <c r="AX302" s="106">
        <f t="shared" si="608"/>
        <v>0</v>
      </c>
      <c r="AY302" s="108">
        <f t="shared" si="608"/>
        <v>0</v>
      </c>
      <c r="AZ302" s="109">
        <f t="shared" si="608"/>
        <v>0</v>
      </c>
      <c r="BA302" s="109">
        <f t="shared" si="608"/>
        <v>0</v>
      </c>
      <c r="BB302" s="109">
        <f t="shared" si="608"/>
        <v>0</v>
      </c>
      <c r="BC302" s="110">
        <f t="shared" si="608"/>
        <v>0</v>
      </c>
      <c r="BD302" s="106">
        <f t="shared" si="608"/>
        <v>0</v>
      </c>
      <c r="BE302" s="107">
        <f t="shared" si="608"/>
        <v>0</v>
      </c>
      <c r="BF302" s="105">
        <f t="shared" si="597"/>
        <v>0</v>
      </c>
      <c r="BG302" s="106">
        <f t="shared" si="597"/>
        <v>0</v>
      </c>
      <c r="BH302" s="106">
        <f t="shared" si="597"/>
        <v>0</v>
      </c>
      <c r="BI302" s="106">
        <f t="shared" si="597"/>
        <v>0</v>
      </c>
      <c r="BJ302" s="106">
        <f t="shared" si="597"/>
        <v>136.12</v>
      </c>
      <c r="BK302" s="106">
        <f t="shared" si="597"/>
        <v>0</v>
      </c>
      <c r="BL302" s="106">
        <f t="shared" si="597"/>
        <v>0</v>
      </c>
      <c r="BM302" s="132">
        <f t="shared" si="597"/>
        <v>0</v>
      </c>
      <c r="BN302" s="112">
        <f t="shared" si="597"/>
        <v>0</v>
      </c>
      <c r="BO302" s="112">
        <f t="shared" si="597"/>
        <v>0</v>
      </c>
      <c r="BP302" s="112">
        <f t="shared" si="597"/>
        <v>0</v>
      </c>
      <c r="BQ302" s="110">
        <f t="shared" si="597"/>
        <v>0</v>
      </c>
      <c r="BR302" s="107">
        <f t="shared" si="597"/>
        <v>0</v>
      </c>
      <c r="BS302" s="464"/>
      <c r="BT302" s="461"/>
      <c r="BU302" s="392"/>
      <c r="BV302" s="461"/>
      <c r="BW302" s="392"/>
      <c r="BX302" s="392"/>
      <c r="BY302" s="392"/>
      <c r="BZ302" s="461"/>
      <c r="CA302" s="392"/>
      <c r="CB302" s="392"/>
      <c r="CC302" s="392"/>
      <c r="CD302" s="401"/>
      <c r="CE302" s="409"/>
      <c r="CF302" s="133">
        <f t="shared" si="515"/>
        <v>0</v>
      </c>
      <c r="CG302" s="134">
        <f t="shared" si="516"/>
        <v>0</v>
      </c>
      <c r="CH302" s="134">
        <f t="shared" si="517"/>
        <v>0</v>
      </c>
      <c r="CI302" s="134">
        <f t="shared" si="518"/>
        <v>0</v>
      </c>
      <c r="CJ302" s="134">
        <f t="shared" si="519"/>
        <v>0</v>
      </c>
      <c r="CK302" s="134">
        <f t="shared" si="520"/>
        <v>0</v>
      </c>
      <c r="CL302" s="134">
        <f t="shared" si="521"/>
        <v>0</v>
      </c>
      <c r="CM302" s="134">
        <f t="shared" si="522"/>
        <v>0</v>
      </c>
      <c r="CN302" s="134">
        <f t="shared" si="523"/>
        <v>1</v>
      </c>
      <c r="CO302" s="134">
        <f t="shared" si="524"/>
        <v>0</v>
      </c>
      <c r="CP302" s="134">
        <f t="shared" si="525"/>
        <v>0</v>
      </c>
      <c r="CQ302" s="134">
        <f t="shared" si="526"/>
        <v>0</v>
      </c>
      <c r="CR302" s="134">
        <f t="shared" si="527"/>
        <v>0</v>
      </c>
      <c r="CS302" s="134">
        <f t="shared" si="528"/>
        <v>0</v>
      </c>
      <c r="CT302" s="115">
        <f t="shared" si="529"/>
        <v>0</v>
      </c>
      <c r="CU302" s="116">
        <f t="shared" si="530"/>
        <v>0</v>
      </c>
      <c r="CV302" s="116">
        <f t="shared" si="531"/>
        <v>0</v>
      </c>
      <c r="CW302" s="116">
        <f t="shared" si="532"/>
        <v>0</v>
      </c>
      <c r="CX302" s="116">
        <f t="shared" si="533"/>
        <v>0</v>
      </c>
      <c r="CY302" s="116">
        <f t="shared" si="534"/>
        <v>0</v>
      </c>
      <c r="CZ302" s="116">
        <f t="shared" si="535"/>
        <v>0</v>
      </c>
      <c r="DA302" s="116">
        <f t="shared" si="536"/>
        <v>0</v>
      </c>
      <c r="DB302" s="116">
        <f t="shared" si="537"/>
        <v>0</v>
      </c>
      <c r="DC302" s="116">
        <f t="shared" si="538"/>
        <v>0</v>
      </c>
      <c r="DD302" s="116">
        <f t="shared" si="539"/>
        <v>0</v>
      </c>
      <c r="DE302" s="117">
        <f t="shared" si="540"/>
        <v>0</v>
      </c>
      <c r="DF302" s="118">
        <f t="shared" si="542"/>
        <v>21</v>
      </c>
      <c r="DG302" s="106">
        <f t="shared" si="543"/>
        <v>27.24</v>
      </c>
      <c r="DH302" s="116">
        <f t="shared" si="544"/>
        <v>8</v>
      </c>
      <c r="DI302" s="106">
        <f t="shared" si="545"/>
        <v>33.049999999999997</v>
      </c>
      <c r="DJ302" s="201" t="str">
        <f>IF($D301="","",$D301)</f>
        <v>9</v>
      </c>
      <c r="DK302" s="466"/>
    </row>
    <row r="303" spans="1:115" ht="14.5" customHeight="1" x14ac:dyDescent="0.2">
      <c r="A303" s="390"/>
      <c r="B303" s="457"/>
      <c r="C303" s="135" t="s">
        <v>53</v>
      </c>
      <c r="D303" s="375"/>
      <c r="E303" s="387"/>
      <c r="F303" s="378"/>
      <c r="G303" s="484"/>
      <c r="H303" s="477"/>
      <c r="I303" s="136"/>
      <c r="J303" s="137"/>
      <c r="K303" s="138"/>
      <c r="L303" s="139"/>
      <c r="M303" s="140"/>
      <c r="N303" s="407"/>
      <c r="O303" s="141" t="str">
        <f>IF(OR(AE301="",AE302=""),"",IF(L303&gt;0,ROUND(IF(M303&gt;0,M303,IF(M301&gt;0,ROUND((M301*AE303)/AE301,IF(N301=0,2,IF(N301=0.1,1,0))),IF(M302&gt;0,ROUND((M302*AE303)/AE302,IF(N301=0,2,IF(N301=0.1,1,0))),IF(M303&gt;0,M303,0)))),2),""))</f>
        <v/>
      </c>
      <c r="P303" s="142" t="str">
        <f>IF(I302="Lay",O302*(L302/(L302-1))-O302,IF(I301="Lay",O301*(L301/(L301-1))-O301,IF(OR(L303="",O303=""),"",IF($C303="1/2W",O303/2+O303/2*L303,IF($C303="1/2L",O303/2,(O303*L303-O303)*(1-_xlfn.XLOOKUP(K303,'Fevereiro 2023 - Valor Real'!A3:A15,'Fevereiro 2023 - Valor Real'!C3:C15,0))+O303)))))</f>
        <v/>
      </c>
      <c r="Q303" s="143" t="str">
        <f>IF(K303="","",IF(_xlfn.XLOOKUP(K303,K$8:K296,$DJ$8:DJ296,0,,-1)=DJ303,_xlfn.XLOOKUP(K303,K$8:K296,Q$8:Q296,1,,-1)+1,1))</f>
        <v/>
      </c>
      <c r="R303" s="144" t="str">
        <f>IF(K303="","",_xlfn.XLOOKUP(K303,K$8:K296,R$8:R296,0,,-1)+IF($C303=" ",1,0))</f>
        <v/>
      </c>
      <c r="S303" s="404"/>
      <c r="T303" s="378"/>
      <c r="U303" s="378"/>
      <c r="V303" s="404"/>
      <c r="W303" s="378"/>
      <c r="X303" s="453"/>
      <c r="Y303" s="383"/>
      <c r="Z303" s="384"/>
      <c r="AA303" s="384"/>
      <c r="AB303" s="384"/>
      <c r="AC303" s="384"/>
      <c r="AD303" s="145">
        <f>((L302/(L302-1)-1))</f>
        <v>0.48780487804878048</v>
      </c>
      <c r="AE303" s="146" t="str">
        <f>IF(L303="","",(SUM(((L301-1)*(1-_xlfn.XLOOKUP(K301,'Fevereiro 2023 - Valor Real'!A3:A15,'Fevereiro 2023 - Valor Real'!C3:C15,0))+1),((L302-1)*(1-_xlfn.XLOOKUP(K302,'Fevereiro 2023 - Valor Real'!A3:A15,'Fevereiro 2023 - Valor Real'!C3:C15,0))+1),((L303-1)*(1-_xlfn.XLOOKUP(K303,'Fevereiro 2023 - Valor Real'!A3:A15,'Fevereiro 2023 - Valor Real'!C3:C15,0))+1))/((L303-1)*(1-_xlfn.XLOOKUP(K303,'Fevereiro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Real'!C3:C15,0))+1))/((L301-1)*(1-_xlfn.XLOOKUP(K301,'Fevereiro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Real'!C3:C15,0))+1))/((L302-1)*(1-_xlfn.XLOOKUP(K302,'Fevereiro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Real'!C3:C15,0))+1))/((L303-1)*(1-_xlfn.XLOOKUP(K303,'Fevereiro 2023 - Valor Real'!A3:A15,'Fevereiro 2023 - Valor Real'!C3:C15,0))+1)))</f>
        <v/>
      </c>
      <c r="AF303" s="105">
        <f t="shared" si="595"/>
        <v>0</v>
      </c>
      <c r="AG303" s="106">
        <f t="shared" si="595"/>
        <v>0</v>
      </c>
      <c r="AH303" s="106">
        <f t="shared" si="595"/>
        <v>0</v>
      </c>
      <c r="AI303" s="106">
        <f t="shared" si="595"/>
        <v>0</v>
      </c>
      <c r="AJ303" s="106">
        <f t="shared" si="595"/>
        <v>0</v>
      </c>
      <c r="AK303" s="106">
        <f t="shared" si="595"/>
        <v>0</v>
      </c>
      <c r="AL303" s="106">
        <f t="shared" si="595"/>
        <v>0</v>
      </c>
      <c r="AM303" s="106">
        <f t="shared" si="595"/>
        <v>0</v>
      </c>
      <c r="AN303" s="106">
        <f t="shared" si="595"/>
        <v>0</v>
      </c>
      <c r="AO303" s="106">
        <f t="shared" si="595"/>
        <v>0</v>
      </c>
      <c r="AP303" s="106">
        <f t="shared" si="595"/>
        <v>0</v>
      </c>
      <c r="AQ303" s="106">
        <f t="shared" si="595"/>
        <v>0</v>
      </c>
      <c r="AR303" s="107">
        <f t="shared" si="595"/>
        <v>0</v>
      </c>
      <c r="AS303" s="105">
        <f>IF(AND($B301=" ",$K303=AS$3),$O303,0)</f>
        <v>0</v>
      </c>
      <c r="AT303" s="106">
        <f>IF(AND($B301=" ",K303=AT$3),$O303,0)</f>
        <v>0</v>
      </c>
      <c r="AU303" s="106">
        <f t="shared" ref="AU303:BE303" si="609">IF(AND($B301=" ",$K303=AU$3),$O303,0)</f>
        <v>0</v>
      </c>
      <c r="AV303" s="106">
        <f t="shared" si="609"/>
        <v>0</v>
      </c>
      <c r="AW303" s="106">
        <f t="shared" si="609"/>
        <v>0</v>
      </c>
      <c r="AX303" s="106">
        <f t="shared" si="609"/>
        <v>0</v>
      </c>
      <c r="AY303" s="108">
        <f t="shared" si="609"/>
        <v>0</v>
      </c>
      <c r="AZ303" s="109">
        <f t="shared" si="609"/>
        <v>0</v>
      </c>
      <c r="BA303" s="109">
        <f t="shared" si="609"/>
        <v>0</v>
      </c>
      <c r="BB303" s="109">
        <f t="shared" si="609"/>
        <v>0</v>
      </c>
      <c r="BC303" s="110">
        <f t="shared" si="609"/>
        <v>0</v>
      </c>
      <c r="BD303" s="106">
        <f t="shared" si="609"/>
        <v>0</v>
      </c>
      <c r="BE303" s="107">
        <f t="shared" si="609"/>
        <v>0</v>
      </c>
      <c r="BF303" s="105">
        <f t="shared" si="597"/>
        <v>0</v>
      </c>
      <c r="BG303" s="106">
        <f t="shared" si="597"/>
        <v>0</v>
      </c>
      <c r="BH303" s="106">
        <f t="shared" si="597"/>
        <v>0</v>
      </c>
      <c r="BI303" s="106">
        <f t="shared" si="597"/>
        <v>0</v>
      </c>
      <c r="BJ303" s="106">
        <f t="shared" si="597"/>
        <v>0</v>
      </c>
      <c r="BK303" s="106">
        <f t="shared" si="597"/>
        <v>0</v>
      </c>
      <c r="BL303" s="106">
        <f t="shared" si="597"/>
        <v>0</v>
      </c>
      <c r="BM303" s="108">
        <f t="shared" si="597"/>
        <v>0</v>
      </c>
      <c r="BN303" s="109">
        <f t="shared" si="597"/>
        <v>0</v>
      </c>
      <c r="BO303" s="109">
        <f t="shared" si="597"/>
        <v>0</v>
      </c>
      <c r="BP303" s="109">
        <f t="shared" si="597"/>
        <v>0</v>
      </c>
      <c r="BQ303" s="110">
        <f t="shared" si="597"/>
        <v>0</v>
      </c>
      <c r="BR303" s="107">
        <f t="shared" si="597"/>
        <v>0</v>
      </c>
      <c r="BS303" s="464"/>
      <c r="BT303" s="461"/>
      <c r="BU303" s="392"/>
      <c r="BV303" s="461"/>
      <c r="BW303" s="392"/>
      <c r="BX303" s="392"/>
      <c r="BY303" s="392"/>
      <c r="BZ303" s="461"/>
      <c r="CA303" s="392"/>
      <c r="CB303" s="392"/>
      <c r="CC303" s="392"/>
      <c r="CD303" s="401"/>
      <c r="CE303" s="409"/>
      <c r="CF303" s="133">
        <f t="shared" si="515"/>
        <v>0</v>
      </c>
      <c r="CG303" s="134">
        <f t="shared" si="516"/>
        <v>0</v>
      </c>
      <c r="CH303" s="134">
        <f t="shared" si="517"/>
        <v>0</v>
      </c>
      <c r="CI303" s="134">
        <f t="shared" si="518"/>
        <v>0</v>
      </c>
      <c r="CJ303" s="134">
        <f t="shared" si="519"/>
        <v>0</v>
      </c>
      <c r="CK303" s="134">
        <f t="shared" si="520"/>
        <v>0</v>
      </c>
      <c r="CL303" s="134">
        <f t="shared" si="521"/>
        <v>0</v>
      </c>
      <c r="CM303" s="134">
        <f t="shared" si="522"/>
        <v>0</v>
      </c>
      <c r="CN303" s="134">
        <f t="shared" si="523"/>
        <v>0</v>
      </c>
      <c r="CO303" s="134">
        <f t="shared" si="524"/>
        <v>0</v>
      </c>
      <c r="CP303" s="134">
        <f t="shared" si="525"/>
        <v>0</v>
      </c>
      <c r="CQ303" s="134">
        <f t="shared" si="526"/>
        <v>0</v>
      </c>
      <c r="CR303" s="134">
        <f t="shared" si="527"/>
        <v>0</v>
      </c>
      <c r="CS303" s="134">
        <f t="shared" si="528"/>
        <v>0</v>
      </c>
      <c r="CT303" s="115">
        <f t="shared" si="529"/>
        <v>0</v>
      </c>
      <c r="CU303" s="116">
        <f t="shared" si="530"/>
        <v>0</v>
      </c>
      <c r="CV303" s="116">
        <f t="shared" si="531"/>
        <v>0</v>
      </c>
      <c r="CW303" s="116">
        <f t="shared" si="532"/>
        <v>0</v>
      </c>
      <c r="CX303" s="116">
        <f t="shared" si="533"/>
        <v>0</v>
      </c>
      <c r="CY303" s="116">
        <f t="shared" si="534"/>
        <v>0</v>
      </c>
      <c r="CZ303" s="116">
        <f t="shared" si="535"/>
        <v>0</v>
      </c>
      <c r="DA303" s="116">
        <f t="shared" si="536"/>
        <v>0</v>
      </c>
      <c r="DB303" s="116">
        <f t="shared" si="537"/>
        <v>0</v>
      </c>
      <c r="DC303" s="116">
        <f t="shared" si="538"/>
        <v>0</v>
      </c>
      <c r="DD303" s="116">
        <f t="shared" si="539"/>
        <v>0</v>
      </c>
      <c r="DE303" s="117">
        <f t="shared" si="540"/>
        <v>0</v>
      </c>
      <c r="DF303" s="118">
        <f t="shared" si="542"/>
        <v>21</v>
      </c>
      <c r="DG303" s="106">
        <f t="shared" si="543"/>
        <v>27.24</v>
      </c>
      <c r="DH303" s="116">
        <f t="shared" si="544"/>
        <v>8</v>
      </c>
      <c r="DI303" s="106">
        <f t="shared" si="545"/>
        <v>33.049999999999997</v>
      </c>
      <c r="DJ303" s="201" t="str">
        <f>IF($D301="","",$D301)</f>
        <v>9</v>
      </c>
      <c r="DK303" s="466"/>
    </row>
    <row r="304" spans="1:115" ht="14.5" customHeight="1" x14ac:dyDescent="0.2">
      <c r="A304" s="487">
        <f>$A301+1</f>
        <v>101</v>
      </c>
      <c r="B304" s="506" t="str">
        <f>IF(OR(C304="W",C305="W",C306="W",C304="1/2W",C305="1/2W",C306="1/2W",C304="1/2L",C305="1/2L",C306="1/2L"),"OK",IF(OR(C304="L",C305="L",C306="L"),"LOSS",IF(OR(C304="X",C305="X",C306="X"),"Anulado"," ")))</f>
        <v>OK</v>
      </c>
      <c r="C304" s="147" t="s">
        <v>54</v>
      </c>
      <c r="D304" s="494" t="str">
        <f>IF(G304="","",$D301)</f>
        <v>9</v>
      </c>
      <c r="E304" s="511" t="str">
        <f>IF(G304=""," ","– "&amp;COUNTIF(D$4:D306,$D304))</f>
        <v>– 9</v>
      </c>
      <c r="F304" s="510" t="str">
        <f ca="1">IF(G304="","",IF(OR(AND($C304&lt;&gt;" ",$C305=" "),AND($C305&lt;&gt;" ",$C304=" "),AND(L306&gt;0,OR(AND($C306&lt;&gt;" ",OR($C304=" ",$C305=" ")),AND($C306=" ",OR($C304&lt;&gt;" ",$C305&lt;&gt;" "))))),IF(SUM(F$9:F296)=0,1,LARGE(F$9:F296,1)+1),IF(MONTH(G304)=MONTH(TODAY()),IF(AND(DAY(G304)&lt;DAY(TODAY()),$B304=" "),IF(SUM(F$9:F296)=0,1,LARGE(F$9:F296,1)+1),IF($B304=" ",IF(AND(DAY(G304)=DAY(TODAY()),HOUR(G304)&lt;=HOUR(NOW())+1),IF(AND(HOUR(G304)+2&lt;=HOUR(NOW()),DAY(G304)&lt;=DAY(TODAY()),MINUTE(G304)&lt;=MINUTE(NOW())),IF(SUM(F$9:F296)=0,1,LARGE(F$9:F296,1)+1),IF(OR(MINUTE(G304)&lt;=MINUTE(NOW()),HOUR(G304)&lt;=HOUR(NOW())),"!!!","")),""),"")),"")))</f>
        <v/>
      </c>
      <c r="G304" s="508">
        <v>44994.697916666664</v>
      </c>
      <c r="H304" s="502" t="s">
        <v>145</v>
      </c>
      <c r="I304" s="148">
        <v>1</v>
      </c>
      <c r="J304" s="149"/>
      <c r="K304" s="150" t="s">
        <v>40</v>
      </c>
      <c r="L304" s="151">
        <v>1.47</v>
      </c>
      <c r="M304" s="152">
        <v>23.94</v>
      </c>
      <c r="N304" s="503">
        <v>0</v>
      </c>
      <c r="O304" s="153">
        <f>IF(OR(AE304="",AE305=""),"",ROUND(IF(L306&gt;0,IF(M304&gt;0,M304,IF(M305&gt;0,ROUND((M305*AE304)/AE305,IF(N304=0,2,IF(N304=0.1,1,0))),ROUND((M306*AE304)/AE306,IF(N304=0,2,IF(N304=0.1,1,0))))),IF(M304&gt;0,M304,ROUND((M305*AE304)/AE305,IF(N304=0,2,IF(N304=0.1,1,0))))),2))</f>
        <v>23.94</v>
      </c>
      <c r="P304" s="154">
        <f>IF(OR(L304="",O304=""),"",IF($C304="1/2W",O304/2+O304/2*L304,IF($C304="1/2L",O304/2,IF(I304="Lay",(O304*(L304/(L304-1))-O304)*(1-_xlfn.XLOOKUP(K304,'Fevereiro 2023 - Valor Real'!A3:A15,'Fevereiro 2023 - Valor Real'!C3:C15,0))+O304,(O304*L304-O304)*(1-_xlfn.XLOOKUP(K304,'Fevereiro 2023 - Valor Real'!A3:A15,'Fevereiro 2023 - Valor Real'!C3:C15,0))+O304))))</f>
        <v>35.191800000000001</v>
      </c>
      <c r="Q304" s="155">
        <f>IF(K304="","",IF(_xlfn.XLOOKUP(K304,K$9:K296,$DJ$9:DJ296,0,,-1)=DJ304,_xlfn.XLOOKUP(K304,K$9:K296,Q$9:Q296,1,,-1)+1,1))</f>
        <v>3</v>
      </c>
      <c r="R304" s="156">
        <f>IF(K304="","",_xlfn.XLOOKUP(K304,K$9:K296,R$9:R296,0,,-1)+IF($C304=" ",1,0))</f>
        <v>0</v>
      </c>
      <c r="S304" s="501">
        <f>IF($B304="Anulado",0,ROUND(IF(OR($B304="LOSS",$B304="OK"),IF(OR($C304="W",$C304="1/2W",$C304="1/2L"),P304-O304,IF($C304="L",-O304,0))+IF(OR($C305="W",$C305="1/2W",$C305="1/2L"),P305-O305,IF($C305="L",-O305,0))+IF(OR($C306="W",$C306="1/2W",$C306="1/2L"),P306-O306,IF($C306="L",-O306,0)),IF(AND(OR($C304="W",$C304="1/2W",$C304="1/2L"),C305="W"),P304+P305-SUM(O304:O306)+_xlfn.XLOOKUP("X",C304:C306,O304:O306,0),IF(AND(C304=TRUE,C306="W"),P304+P306-SUM(O304:O306),IF(AND(C305="W",C306="W"),P305+P306-SUM(O304:O306)+_xlfn.XLOOKUP("X",C304:C306,O304:O306,0),IF(L306&gt;0,IF(OR($C304="W",$C304="1/2W",$C304="1/2L"),P304-SUM(O304:O306)+_xlfn.XLOOKUP("X",C304:C306,O304:O306,0),IF(OR($C304="W",$C304="1/2W",$C304="1/2L"),P305-SUM(O304:O306)+_xlfn.XLOOKUP("X",C304:C306,O304:O306,0),IF(OR($C304="W",$C304="1/2W",$C304="1/2L"),P306-SUM(O304:O306)+_xlfn.XLOOKUP("X",C304:C306,O304:O306,0),IF(SUM(P304:P306)/3-SUM(O304:O306)+_xlfn.XLOOKUP("X",C304:C306,O304:O306,0)&gt;0,SUM(P304:P306)/3-SUM(O304:O306)+_xlfn.XLOOKUP("X",C304:C306,O304:O306,0),LARGE(P304:P306,1)-SUM(O304:O306))))),IF(OR($C304="W",$C304="1/2W",$C304="1/2L"),P304-SUM(O304:O305)+_xlfn.XLOOKUP("X",C304:C306,O304:O306,0),IF(OR($C304="W",$C304="1/2W",$C304="1/2L"),P305-SUM(O304:O305)+_xlfn.XLOOKUP("X",C304:C306,O304:O306,0),SUM(P304:P305)/2-SUM(O304:O305)+_xlfn.XLOOKUP("X",C304:C306,O304:O306,0)))))))),2))</f>
        <v>1.62</v>
      </c>
      <c r="T304" s="486">
        <f>IF(S304=0,0,S304/SUM(O304:O306))</f>
        <v>4.82573726541555E-2</v>
      </c>
      <c r="U304" s="496">
        <f>IF($D304=$D301,IF(OR($B304="LOSS",$B304="OK",$B304="Anulada"),S304,0)+U301,IF(OR($B304="LOSS",$B304="OK",$B304="Anulada"),S304,0))</f>
        <v>30.150000000000002</v>
      </c>
      <c r="V304" s="496">
        <f>IF($D304="",0,IF($D304=$D301,IF($B304=" ",IF(I306="",IF(OR(AND(I304="DNB1",I305="DNB2"),AND(OR(I304="DNB1",I304="DNB2"),J305=0),AND(OR(I305="DNB1",I305="DNB2"),J304=0),AND(I304="DNB2",I305="DNB1"),AND(IF(J304=0,(J304+1)/ROUND(J304+1,0),J304/ROUND(J304,0))=1,IF(J305=0,(J305+1)/ROUND(IF(J305="",0,J305)+1,0),IF(J305="",0,J305)/ROUND(IF(J305="",1,J305),0))=1,OR(J304&lt;&gt;""),J305&lt;&gt;"")),0,IF(S304&lt;0,IF(I306="",SMALL(P304:P305,1)-SUM(O304:O305),0),SMALL(P304:P305,1)-SUM(O304:O305))),IF(S304&lt;0,IF(I306="",SMALL(P304:P306,1)-SUM(O304:O306),0),LARGE(P304:P306,1)-SUM(O304:O306))),S304)+V301,IF(I306="",IF(OR(AND(I304="DNB1",I305="DNB2"),AND(OR(I304="DNB1",I304="DNB2"),J305=0),AND(OR(I305="DNB1",I305="DNB2"),J304=0),AND(I304="DNB2",I305="DNB1"),AND(IF(J304=0,(J304+1)/ROUND(J304+1,0),J304/ROUND(J304,0))=1,IF(J305=0,(IF(J305="",0,J305)+1)/ROUND(IF(J305="",0,J305)+1,0),IF(J305="",0,J305)/ROUND(IF(J305="",0,J305)+1,0))=1,OR(J304&lt;&gt;""),J305&lt;&gt;"")),0,IF(S304&lt;0,IF(I306="",SMALL(P304:P305,1)-SUM(O304:O305),0),SMALL(P304:P306,1)-SUM(O304:O306))),IF(S304&lt;0,IF(I306="",SMALL(P304:P306,1)-SUM(O304:O306),0),LARGE(P304:P306,1)-SUM(O304:O306)))))</f>
        <v>30.150400000000005</v>
      </c>
      <c r="W304" s="496">
        <f>IF($D304=$D301,IF(S304&lt;0,IF(I306="",S304,0),S304)+W301,S304)</f>
        <v>30.150000000000002</v>
      </c>
      <c r="X304" s="505" t="str">
        <f>IF(OR(SUM(R304:R306)=0,V304=W304),ROUND(IF(W304=0,0,W304/Y304)*100,2)&amp;"%",ROUND(IF(V304=0,0,V304/Y304)*100,2)&amp;"% a "&amp;ROUND(IF(W304=0,0,W304/Y304)*100,2)&amp;"%")</f>
        <v>5,35%</v>
      </c>
      <c r="Y304" s="497">
        <f>IF($D304=$D301,Y301+SUM(O304:O306),SUM(O304:O306))</f>
        <v>563.64</v>
      </c>
      <c r="Z304" s="496">
        <f>IF($B304=" ",SUM(O304:O306),0)+Z301</f>
        <v>0</v>
      </c>
      <c r="AA304" s="496">
        <f>IF(G304="","",IF($B304="Anulado",LARGE(P304:P306,1)-SUM(O304:O306)+AA301,AA301))</f>
        <v>1.4607999999999972</v>
      </c>
      <c r="AB304" s="496">
        <f>IF($D304="","",AB301+S304)</f>
        <v>471.01000000000005</v>
      </c>
      <c r="AC304" s="499">
        <f ca="1">IF($D304="","",IF($B304=" ",IF(DAY(G304)=DAY(TODAY()),1+AC301,0+AC301),0+AC301))</f>
        <v>0</v>
      </c>
      <c r="AD304" s="157">
        <f>(1-_xlfn.XLOOKUP(K302,'Fevereiro 2023 - Valor Real'!A3:A15,'Fevereiro 2023 - Valor Real'!C3:C15,0))+1</f>
        <v>2</v>
      </c>
      <c r="AE304" s="158">
        <f>IF(L304="","",IF(L306&gt;0,(SUM(((L304-1)*(1-_xlfn.XLOOKUP(K304,'Fevereiro 2023 - Valor Real'!A3:A15,'Fevereiro 2023 - Valor Real'!C3:C15,0))+1),((L305-1)*(1-_xlfn.XLOOKUP(K305,'Fevereiro 2023 - Valor Real'!A3:A15,'Fevereiro 2023 - Valor Real'!C3:C15,0))+1),((L306-1)*(1-_xlfn.XLOOKUP(K306,'Fevereiro 2023 - Valor Real'!A3:A15,'Fevereiro 2023 - Valor Real'!C3:C15,0))+1))/((L304-1)*(1-_xlfn.XLOOKUP(K304,'Fevereiro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Real'!C3:C15,0))+1))/((L304-1)*(1-_xlfn.XLOOKUP(K304,'Fevereiro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Real'!C3:C15,0))+1))/((L305-1)*(1-_xlfn.XLOOKUP(K305,'Fevereiro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Real'!C3:C15,0))+1))/((L306-1)*(1-_xlfn.XLOOKUP(K306,'Fevereiro 2023 - Valor Real'!A3:A15,'Fevereiro 2023 - Valor Real'!C3:C15,0))+1)),IF(I304="Lay",IF(I305="Lay",((L305/(L305-1)-1)*(1-_xlfn.XLOOKUP(K305,'Fevereiro 2023 - Valor Real'!A3:A15,'Fevereiro 2023 - Valor Real'!C3:C15,0))+1)/(((L305/(L305-1)-1)*(1-_xlfn.XLOOKUP(K305,'Fevereiro 2023 - Valor Real'!A3:A15,'Fevereiro 2023 - Valor Real'!C3:C15,0))+1)+((L304/(L304-1)-1)*(1-_xlfn.XLOOKUP(K304,'Fevereiro 2023 - Valor Real'!A3:A15,'Fevereiro 2023 - Valor Real'!C3:C15,0))+1)),((L305-1)*(1-_xlfn.XLOOKUP(K305,'Fevereiro 2023 - Valor Real'!A3:A15,'Fevereiro 2023 - Valor Real'!C3:C15,0))+1)/(((L305-1)*(1-_xlfn.XLOOKUP(K305,'Fevereiro 2023 - Valor Real'!A3:A15,'Fevereiro 2023 - Valor Real'!C3:C15,0))+1)+((L304/(L304-1)-1)*(1-_xlfn.XLOOKUP(K304,'Fevereiro 2023 - Valor Real'!A3:A15,'Fevereiro 2023 - Valor Real'!C3:C15,0))+1))),IF(I305="Lay",(((L305/(L305-1)-1)*(1-_xlfn.XLOOKUP(K305,'Fevereiro 2023 - Valor Real'!A3:A15,'Fevereiro 2023 - Valor Real'!C3:C15,0))+1))/(((L304-1)*(1-_xlfn.XLOOKUP(K304,'Fevereiro 2023 - Valor Real'!A3:A15,'Fevereiro 2023 - Valor Real'!C3:C15,0))+1)+((L305/(L305-1)-1)*(1-_xlfn.XLOOKUP(K305,'Fevereiro 2023 - Valor Real'!A3:A15,'Fevereiro 2023 - Valor Real'!C3:C15,0))+1)),((L305-1)*(1-_xlfn.XLOOKUP(K305,'Fevereiro 2023 - Valor Real'!A3:A15,'Fevereiro 2023 - Valor Real'!C3:C15,0))+1)/(((L305-1)*(1-_xlfn.XLOOKUP(K305,'Fevereiro 2023 - Valor Real'!A3:A15,'Fevereiro 2023 - Valor Real'!C3:C15,0))+1)+((L304-1)*(1-_xlfn.XLOOKUP(K304,'Fevereiro 2023 - Valor Real'!A3:A15,'Fevereiro 2023 - Valor Real'!C3:C15,0))+1))))))</f>
        <v>0.69634944081029748</v>
      </c>
      <c r="AF304" s="66">
        <f t="shared" ref="AF304:AR313" si="610">IF($K304=AF$3,ROUND(IF(OR($C304="W",$C304="1/2W",$C304="1/2L"),$P304-$O304,IF($C304="X",0,-$O304)),2),0)</f>
        <v>0</v>
      </c>
      <c r="AG304" s="67">
        <f t="shared" si="610"/>
        <v>0</v>
      </c>
      <c r="AH304" s="67">
        <f t="shared" si="610"/>
        <v>0</v>
      </c>
      <c r="AI304" s="67">
        <f t="shared" si="610"/>
        <v>0</v>
      </c>
      <c r="AJ304" s="67">
        <f t="shared" si="610"/>
        <v>11.25</v>
      </c>
      <c r="AK304" s="67">
        <f t="shared" si="610"/>
        <v>0</v>
      </c>
      <c r="AL304" s="67">
        <f t="shared" si="610"/>
        <v>0</v>
      </c>
      <c r="AM304" s="67">
        <f t="shared" si="610"/>
        <v>0</v>
      </c>
      <c r="AN304" s="67">
        <f t="shared" si="610"/>
        <v>0</v>
      </c>
      <c r="AO304" s="67">
        <f t="shared" si="610"/>
        <v>0</v>
      </c>
      <c r="AP304" s="67">
        <f t="shared" si="610"/>
        <v>0</v>
      </c>
      <c r="AQ304" s="67">
        <f t="shared" si="610"/>
        <v>0</v>
      </c>
      <c r="AR304" s="68">
        <f t="shared" si="610"/>
        <v>0</v>
      </c>
      <c r="AS304" s="66">
        <f t="shared" ref="AS304:BE304" si="611">IF(AND($B304=" ",$K304=AS$3),$O304,0)</f>
        <v>0</v>
      </c>
      <c r="AT304" s="67">
        <f t="shared" si="611"/>
        <v>0</v>
      </c>
      <c r="AU304" s="67">
        <f t="shared" si="611"/>
        <v>0</v>
      </c>
      <c r="AV304" s="67">
        <f t="shared" si="611"/>
        <v>0</v>
      </c>
      <c r="AW304" s="67">
        <f t="shared" si="611"/>
        <v>0</v>
      </c>
      <c r="AX304" s="67">
        <f t="shared" si="611"/>
        <v>0</v>
      </c>
      <c r="AY304" s="69">
        <f t="shared" si="611"/>
        <v>0</v>
      </c>
      <c r="AZ304" s="70">
        <f t="shared" si="611"/>
        <v>0</v>
      </c>
      <c r="BA304" s="70">
        <f t="shared" si="611"/>
        <v>0</v>
      </c>
      <c r="BB304" s="70">
        <f t="shared" si="611"/>
        <v>0</v>
      </c>
      <c r="BC304" s="71">
        <f t="shared" si="611"/>
        <v>0</v>
      </c>
      <c r="BD304" s="67">
        <f t="shared" si="611"/>
        <v>0</v>
      </c>
      <c r="BE304" s="68">
        <f t="shared" si="611"/>
        <v>0</v>
      </c>
      <c r="BF304" s="66">
        <f t="shared" ref="BF304:BR313" si="612">IF($K304=BF$3,IF($C304="X",0,$O304),0)</f>
        <v>0</v>
      </c>
      <c r="BG304" s="67">
        <f t="shared" si="612"/>
        <v>0</v>
      </c>
      <c r="BH304" s="67">
        <f t="shared" si="612"/>
        <v>0</v>
      </c>
      <c r="BI304" s="67">
        <f t="shared" si="612"/>
        <v>0</v>
      </c>
      <c r="BJ304" s="67">
        <f t="shared" si="612"/>
        <v>23.94</v>
      </c>
      <c r="BK304" s="67">
        <f t="shared" si="612"/>
        <v>0</v>
      </c>
      <c r="BL304" s="67">
        <f t="shared" si="612"/>
        <v>0</v>
      </c>
      <c r="BM304" s="69">
        <f t="shared" si="612"/>
        <v>0</v>
      </c>
      <c r="BN304" s="70">
        <f t="shared" si="612"/>
        <v>0</v>
      </c>
      <c r="BO304" s="70">
        <f t="shared" si="612"/>
        <v>0</v>
      </c>
      <c r="BP304" s="70">
        <f t="shared" si="612"/>
        <v>0</v>
      </c>
      <c r="BQ304" s="71">
        <f t="shared" si="612"/>
        <v>0</v>
      </c>
      <c r="BR304" s="68">
        <f t="shared" si="612"/>
        <v>0</v>
      </c>
      <c r="BS304" s="490">
        <f>IF($B304="LOSS",IF(AND($K304=BS$3,$C304="L"),-$O304,0)+IF(AND($K305=BS$3,$C305="L"),-$O305,0)+IF(AND($K306=BS$3,$C306="L"),-$O306,0),IF(OR(AND($K304=BS$3,OR($C304="W",$C304="1/2W")),AND($K305=BS$3,OR($C305="W",$C305="1/2W")),AND($K306=BS$3,OR($C306="W",$C306="1/2W"))),$S304,0))</f>
        <v>0</v>
      </c>
      <c r="BT304" s="498">
        <f>IF($B304="LOSS",IF(AND($K304=BT$3,$C304="L"),-$O304,0)+IF(AND($K305=BT$3,$C305="L"),-$O305,0)+IF(AND($K305=BT$3,$C306="L"),-$O306,0),IF(OR(AND($K305=BT$3,OR($C304="W",$C304="1/2W")),AND($K305=BT$3,OR($C305="W",$C305="1/2W")),AND($K305=BT$3,OR($C306="W",$C306="1/2W"))),$S304,0))</f>
        <v>0</v>
      </c>
      <c r="BU304" s="488">
        <f>IF($B304="LOSS",IF(AND($K304=BU$3,$C304="L"),-$O304,0)+IF(AND($K305=BU$3,$C305="L"),-$O305,0)+IF(AND($K305=BU$3,$C306="L"),-$O306,0),IF(OR(AND($K305=BU$3,OR($C304="W",$C304="1/2W")),AND($K305=BU$3,OR($C305="W",$C305="1/2W")),AND($K305=BU$3,OR($C306="W",$C306="1/2W"))),$S304,0))</f>
        <v>0</v>
      </c>
      <c r="BV304" s="488">
        <f t="shared" ref="BV304:CE304" si="613">IF($B304="LOSS",IF(AND($K304=BV$3,$C304="L"),-$O304,0)+IF(AND($K305=BV$3,$C305="L"),-$O305,0)+IF(AND($K306=BV$3,$C306="L"),-$O306,0),IF(OR(AND($K304=BV$3,OR($C304="W",$C304="1/2W")),AND($K305=BV$3,OR($C305="W",$C305="1/2W")),AND($K306=BV$3,OR($C306="W",$C306="1/2W"))),$S304,0))</f>
        <v>0</v>
      </c>
      <c r="BW304" s="488">
        <f t="shared" si="613"/>
        <v>1.62</v>
      </c>
      <c r="BX304" s="488">
        <f t="shared" si="613"/>
        <v>0</v>
      </c>
      <c r="BY304" s="488">
        <f t="shared" si="613"/>
        <v>0</v>
      </c>
      <c r="BZ304" s="488">
        <f t="shared" si="613"/>
        <v>0</v>
      </c>
      <c r="CA304" s="488">
        <f t="shared" si="613"/>
        <v>0</v>
      </c>
      <c r="CB304" s="488">
        <f t="shared" si="613"/>
        <v>0</v>
      </c>
      <c r="CC304" s="488">
        <f t="shared" si="613"/>
        <v>0</v>
      </c>
      <c r="CD304" s="500">
        <f t="shared" si="613"/>
        <v>0</v>
      </c>
      <c r="CE304" s="504">
        <f t="shared" si="613"/>
        <v>0</v>
      </c>
      <c r="CF304" s="160">
        <f t="shared" si="515"/>
        <v>0</v>
      </c>
      <c r="CG304" s="161">
        <f t="shared" si="516"/>
        <v>0</v>
      </c>
      <c r="CH304" s="161">
        <f t="shared" si="517"/>
        <v>0</v>
      </c>
      <c r="CI304" s="161">
        <f t="shared" si="518"/>
        <v>0</v>
      </c>
      <c r="CJ304" s="161">
        <f t="shared" si="519"/>
        <v>0</v>
      </c>
      <c r="CK304" s="161">
        <f t="shared" si="520"/>
        <v>0</v>
      </c>
      <c r="CL304" s="161">
        <f t="shared" si="521"/>
        <v>0</v>
      </c>
      <c r="CM304" s="161">
        <f t="shared" si="522"/>
        <v>0</v>
      </c>
      <c r="CN304" s="161">
        <f t="shared" si="523"/>
        <v>1</v>
      </c>
      <c r="CO304" s="161">
        <f t="shared" si="524"/>
        <v>0</v>
      </c>
      <c r="CP304" s="161">
        <f t="shared" si="525"/>
        <v>0</v>
      </c>
      <c r="CQ304" s="161">
        <f t="shared" si="526"/>
        <v>0</v>
      </c>
      <c r="CR304" s="161">
        <f t="shared" si="527"/>
        <v>0</v>
      </c>
      <c r="CS304" s="161">
        <f t="shared" si="528"/>
        <v>0</v>
      </c>
      <c r="CT304" s="75">
        <f t="shared" si="529"/>
        <v>0</v>
      </c>
      <c r="CU304" s="76">
        <f t="shared" si="530"/>
        <v>0</v>
      </c>
      <c r="CV304" s="76">
        <f t="shared" si="531"/>
        <v>0</v>
      </c>
      <c r="CW304" s="76">
        <f t="shared" si="532"/>
        <v>0</v>
      </c>
      <c r="CX304" s="76">
        <f t="shared" si="533"/>
        <v>0</v>
      </c>
      <c r="CY304" s="76">
        <f t="shared" si="534"/>
        <v>0</v>
      </c>
      <c r="CZ304" s="76">
        <f t="shared" si="535"/>
        <v>0</v>
      </c>
      <c r="DA304" s="76">
        <f t="shared" si="536"/>
        <v>0</v>
      </c>
      <c r="DB304" s="76">
        <f t="shared" si="537"/>
        <v>0</v>
      </c>
      <c r="DC304" s="76">
        <f t="shared" si="538"/>
        <v>0</v>
      </c>
      <c r="DD304" s="76">
        <f t="shared" si="539"/>
        <v>0</v>
      </c>
      <c r="DE304" s="77">
        <f t="shared" si="540"/>
        <v>0</v>
      </c>
      <c r="DF304" s="73">
        <f t="shared" si="542"/>
        <v>22</v>
      </c>
      <c r="DG304" s="67">
        <f t="shared" si="543"/>
        <v>28.709999999999997</v>
      </c>
      <c r="DH304" s="76">
        <f t="shared" si="544"/>
        <v>8</v>
      </c>
      <c r="DI304" s="67">
        <f t="shared" si="545"/>
        <v>33.049999999999997</v>
      </c>
      <c r="DJ304" s="202" t="str">
        <f>IF($D304="","",$D304)</f>
        <v>9</v>
      </c>
      <c r="DK304" s="492">
        <f>IF(AND($B304=" ",$D304&lt;&gt;""),1,0)</f>
        <v>0</v>
      </c>
    </row>
    <row r="305" spans="1:115" ht="14.5" customHeight="1" x14ac:dyDescent="0.2">
      <c r="A305" s="389"/>
      <c r="B305" s="456"/>
      <c r="C305" s="53" t="s">
        <v>55</v>
      </c>
      <c r="D305" s="374"/>
      <c r="E305" s="386"/>
      <c r="F305" s="377"/>
      <c r="G305" s="508"/>
      <c r="H305" s="476"/>
      <c r="I305" s="182" t="s">
        <v>49</v>
      </c>
      <c r="J305" s="163" t="str">
        <f>IF(OR(I304="TO",I304="TU",I304="TO1",I304="TU1",I304="TO2",I304="TU2"),J304,IF(OR(I304="AH1",I304="AH2"),IF(OR(I305="AH1",I305="AH2"),-J304,IF(OR(I305="EH1",I305="EH2"),-J304+0.5,"")),IF(OR(I304="EH1",I304="EH2"),IF(OR(I305="AH1",I305="AH2"),-J304+0.5,IF(OR(I305="EH1",I305="EH2"),-J304+1,"")),IF(AND(OR(I304="DNB1",I304="DNB2"),OR(I305="AH1",I305="AH2")),0,IF(AND(I304="Not ScoreBoth",OR(I305="TO1",I305="TO2")),0.5,"")))))</f>
        <v/>
      </c>
      <c r="K305" s="57" t="s">
        <v>39</v>
      </c>
      <c r="L305" s="164">
        <v>9</v>
      </c>
      <c r="M305" s="165">
        <v>3.1</v>
      </c>
      <c r="N305" s="406"/>
      <c r="O305" s="60">
        <f>IF(OR(AE304="",AE305=""),"",ROUND(IF(L306&gt;0,IF(M305&gt;0,M305,IF(M304&gt;0,IF(N304=TRUE,ROUND((M304*AE305)/AE304,0),(M304*AE305)/AE304),IF(M305&gt;0,ROUND(M305,IF(N304=0,2,IF(N304=0.1,1,0))),IF(M306&gt;0,ROUND(O306*AE305/AE306,IF(N304=0,2,IF(N304=0.1,1,0))),0)))),IF(M305&gt;0,M305,ROUND((M304*AE305)/AE304,IF(N304=0,2,IF(N304=0.1,1,0))))),2))</f>
        <v>3.1</v>
      </c>
      <c r="P305" s="61">
        <f>IF(OR(L305="",O305=""),"",IF($C305="1/2W",O305/2+O305/2*L305,IF($C305="1/2L",O305/2,IF(I305="Lay",((O305*(L305/(L305-1)))-O305)*(1-_xlfn.XLOOKUP(K305,'Fevereiro 2023 - Valor Real'!A3:A15,'Fevereiro 2023 - Valor Real'!C3:C15,0))+O305,(O305*L305-O305)*(1-_xlfn.XLOOKUP(K305,'Fevereiro 2023 - Valor Real'!A3:A15,'Fevereiro 2023 - Valor Real'!C3:C15,0))+O305))))</f>
        <v>27.900000000000002</v>
      </c>
      <c r="Q305" s="166">
        <f>IF(K305="","",IF(_xlfn.XLOOKUP(K305,K$10:K296,$DJ$10:DJ296,0,,-1)=DJ305,_xlfn.XLOOKUP(K305,K$10:K296,Q$10:Q296,1,,-1)+1,1))</f>
        <v>2</v>
      </c>
      <c r="R305" s="167">
        <f>IF(K305="","",_xlfn.XLOOKUP(K305,K$10:K296,R$10:R296,0,,-1)+IF($C305=" ",1,0))</f>
        <v>0</v>
      </c>
      <c r="S305" s="403"/>
      <c r="T305" s="380"/>
      <c r="U305" s="380"/>
      <c r="V305" s="481"/>
      <c r="W305" s="380"/>
      <c r="X305" s="452"/>
      <c r="Y305" s="383"/>
      <c r="Z305" s="384"/>
      <c r="AA305" s="384"/>
      <c r="AB305" s="384"/>
      <c r="AC305" s="384"/>
      <c r="AD305" s="64"/>
      <c r="AE305" s="65">
        <f>IF(L305="","",IF(L306&gt;0,(SUM(((L304-1)*(1-_xlfn.XLOOKUP(K304,'Fevereiro 2023 - Valor Real'!A3:A15,'Fevereiro 2023 - Valor Real'!C3:C15,0))+1),((L305-1)*(1-_xlfn.XLOOKUP(K305,'Fevereiro 2023 - Valor Real'!A3:A15,'Fevereiro 2023 - Valor Real'!C3:C15,0))+1),((L306-1)*(1-_xlfn.XLOOKUP(K306,'Fevereiro 2023 - Valor Real'!A3:A15,'Fevereiro 2023 - Valor Real'!C3:C15,0))+1))/((L305-1)*(1-_xlfn.XLOOKUP(K305,'Fevereiro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Real'!C3:C15,0))+1))/((L304-1)*(1-_xlfn.XLOOKUP(K304,'Fevereiro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Real'!C3:C15,0))+1))/((L305-1)*(1-_xlfn.XLOOKUP(K305,'Fevereiro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Real'!C3:C15,0))+1))/((L306-1)*(1-_xlfn.XLOOKUP(K306,'Fevereiro 2023 - Valor Real'!A3:A15,'Fevereiro 2023 - Valor Real'!C3:C15,0))+1)),IF(I305="Lay",IF(I304="Lay",((L304/(L304-1)-1)*(1-_xlfn.XLOOKUP(K304,'Fevereiro 2023 - Valor Real'!A3:A15,'Fevereiro 2023 - Valor Real'!C3:C15,0))+1)/(((L304/(L304-1)-1)*(1-_xlfn.XLOOKUP(K304,'Fevereiro 2023 - Valor Real'!A3:A15,'Fevereiro 2023 - Valor Real'!C3:C15,0))+1)+((L305/(L305-1)-1)*(1-_xlfn.XLOOKUP(K305,'Fevereiro 2023 - Valor Real'!A3:A15,'Fevereiro 2023 - Valor Real'!C3:C15,0))+1)),((L304-1)*(1-_xlfn.XLOOKUP(K304,'Fevereiro 2023 - Valor Real'!A3:A15,'Fevereiro 2023 - Valor Real'!C3:C15,0))+1)/(((L304-1)*(1-_xlfn.XLOOKUP(K304,'Fevereiro 2023 - Valor Real'!A3:A15,'Fevereiro 2023 - Valor Real'!C3:C15,0))+1)+((L305/(L305-1)-1)*(1-_xlfn.XLOOKUP(K305,'Fevereiro 2023 - Valor Real'!A3:A15,'Fevereiro 2023 - Valor Real'!C3:C15,0))+1))),IF(I304="Lay",((L304/(L304-1)-1)*(1-_xlfn.XLOOKUP(K304,'Fevereiro 2023 - Valor Real'!A3:A15,'Fevereiro 2023 - Valor Real'!C3:C15,0))+1)/((((L304/(L304-1)-1)*(1-_xlfn.XLOOKUP(K304,'Fevereiro 2023 - Valor Real'!A3:A15,'Fevereiro 2023 - Valor Real'!C3:C15,0))+1))+((L305-1)*(1-_xlfn.XLOOKUP(K305,'Fevereiro 2023 - Valor Real'!A3:A15,'Fevereiro 2023 - Valor Real'!C3:C15,0))+1)),((L304-1)*(1-_xlfn.XLOOKUP(K304,'Fevereiro 2023 - Valor Real'!A3:A15,'Fevereiro 2023 - Valor Real'!C3:C15,0))+1)/(((L304-1)*(1-_xlfn.XLOOKUP(K304,'Fevereiro 2023 - Valor Real'!A3:A15,'Fevereiro 2023 - Valor Real'!C3:C15,0))+1)+((L305-1)*(1-_xlfn.XLOOKUP(K305,'Fevereiro 2023 - Valor Real'!A3:A15,'Fevereiro 2023 - Valor Real'!C3:C15,0))+1))))))</f>
        <v>0.11373707533234859</v>
      </c>
      <c r="AF305" s="66">
        <f t="shared" si="610"/>
        <v>0</v>
      </c>
      <c r="AG305" s="67">
        <f t="shared" si="610"/>
        <v>0</v>
      </c>
      <c r="AH305" s="67">
        <f t="shared" si="610"/>
        <v>0</v>
      </c>
      <c r="AI305" s="67">
        <f t="shared" si="610"/>
        <v>-3.1</v>
      </c>
      <c r="AJ305" s="67">
        <f t="shared" si="610"/>
        <v>0</v>
      </c>
      <c r="AK305" s="67">
        <f t="shared" si="610"/>
        <v>0</v>
      </c>
      <c r="AL305" s="67">
        <f t="shared" si="610"/>
        <v>0</v>
      </c>
      <c r="AM305" s="67">
        <f t="shared" si="610"/>
        <v>0</v>
      </c>
      <c r="AN305" s="67">
        <f t="shared" si="610"/>
        <v>0</v>
      </c>
      <c r="AO305" s="67">
        <f t="shared" si="610"/>
        <v>0</v>
      </c>
      <c r="AP305" s="67">
        <f t="shared" si="610"/>
        <v>0</v>
      </c>
      <c r="AQ305" s="67">
        <f t="shared" si="610"/>
        <v>0</v>
      </c>
      <c r="AR305" s="68">
        <f t="shared" si="610"/>
        <v>0</v>
      </c>
      <c r="AS305" s="66">
        <f>IF(AND($B304=" ",$K305=AS$3),$O305,0)</f>
        <v>0</v>
      </c>
      <c r="AT305" s="67">
        <f>IF(AND($B304=" ",K305=AT$3),$O305,0)</f>
        <v>0</v>
      </c>
      <c r="AU305" s="67">
        <f t="shared" ref="AU305:BE305" si="614">IF(AND($B304=" ",$K305=AU$3),$O305,0)</f>
        <v>0</v>
      </c>
      <c r="AV305" s="67">
        <f t="shared" si="614"/>
        <v>0</v>
      </c>
      <c r="AW305" s="67">
        <f t="shared" si="614"/>
        <v>0</v>
      </c>
      <c r="AX305" s="67">
        <f t="shared" si="614"/>
        <v>0</v>
      </c>
      <c r="AY305" s="69">
        <f t="shared" si="614"/>
        <v>0</v>
      </c>
      <c r="AZ305" s="70">
        <f t="shared" si="614"/>
        <v>0</v>
      </c>
      <c r="BA305" s="70">
        <f t="shared" si="614"/>
        <v>0</v>
      </c>
      <c r="BB305" s="70">
        <f t="shared" si="614"/>
        <v>0</v>
      </c>
      <c r="BC305" s="71">
        <f t="shared" si="614"/>
        <v>0</v>
      </c>
      <c r="BD305" s="67">
        <f t="shared" si="614"/>
        <v>0</v>
      </c>
      <c r="BE305" s="68">
        <f t="shared" si="614"/>
        <v>0</v>
      </c>
      <c r="BF305" s="66">
        <f t="shared" si="612"/>
        <v>0</v>
      </c>
      <c r="BG305" s="168">
        <f t="shared" si="612"/>
        <v>0</v>
      </c>
      <c r="BH305" s="67">
        <f t="shared" si="612"/>
        <v>0</v>
      </c>
      <c r="BI305" s="67">
        <f t="shared" si="612"/>
        <v>3.1</v>
      </c>
      <c r="BJ305" s="67">
        <f t="shared" si="612"/>
        <v>0</v>
      </c>
      <c r="BK305" s="67">
        <f t="shared" si="612"/>
        <v>0</v>
      </c>
      <c r="BL305" s="67">
        <f t="shared" si="612"/>
        <v>0</v>
      </c>
      <c r="BM305" s="69">
        <f t="shared" si="612"/>
        <v>0</v>
      </c>
      <c r="BN305" s="70">
        <f t="shared" si="612"/>
        <v>0</v>
      </c>
      <c r="BO305" s="70">
        <f t="shared" si="612"/>
        <v>0</v>
      </c>
      <c r="BP305" s="70">
        <f t="shared" si="612"/>
        <v>0</v>
      </c>
      <c r="BQ305" s="71">
        <f t="shared" si="612"/>
        <v>0</v>
      </c>
      <c r="BR305" s="68">
        <f t="shared" si="612"/>
        <v>0</v>
      </c>
      <c r="BS305" s="491"/>
      <c r="BT305" s="489"/>
      <c r="BU305" s="392"/>
      <c r="BV305" s="489"/>
      <c r="BW305" s="392"/>
      <c r="BX305" s="392"/>
      <c r="BY305" s="392"/>
      <c r="BZ305" s="489"/>
      <c r="CA305" s="392"/>
      <c r="CB305" s="392"/>
      <c r="CC305" s="392"/>
      <c r="CD305" s="401"/>
      <c r="CE305" s="409"/>
      <c r="CF305" s="169">
        <f t="shared" si="515"/>
        <v>0</v>
      </c>
      <c r="CG305" s="170">
        <f t="shared" si="516"/>
        <v>0</v>
      </c>
      <c r="CH305" s="170">
        <f t="shared" si="517"/>
        <v>0</v>
      </c>
      <c r="CI305" s="170">
        <f t="shared" si="518"/>
        <v>0</v>
      </c>
      <c r="CJ305" s="170">
        <f t="shared" si="519"/>
        <v>0</v>
      </c>
      <c r="CK305" s="170">
        <f t="shared" si="520"/>
        <v>0</v>
      </c>
      <c r="CL305" s="170">
        <f t="shared" si="521"/>
        <v>0</v>
      </c>
      <c r="CM305" s="170">
        <f t="shared" si="522"/>
        <v>1</v>
      </c>
      <c r="CN305" s="170">
        <f t="shared" si="523"/>
        <v>0</v>
      </c>
      <c r="CO305" s="170">
        <f t="shared" si="524"/>
        <v>0</v>
      </c>
      <c r="CP305" s="170">
        <f t="shared" si="525"/>
        <v>0</v>
      </c>
      <c r="CQ305" s="170">
        <f t="shared" si="526"/>
        <v>0</v>
      </c>
      <c r="CR305" s="170">
        <f t="shared" si="527"/>
        <v>0</v>
      </c>
      <c r="CS305" s="170">
        <f t="shared" si="528"/>
        <v>0</v>
      </c>
      <c r="CT305" s="75">
        <f t="shared" si="529"/>
        <v>0</v>
      </c>
      <c r="CU305" s="76">
        <f t="shared" si="530"/>
        <v>0</v>
      </c>
      <c r="CV305" s="76">
        <f t="shared" si="531"/>
        <v>0</v>
      </c>
      <c r="CW305" s="76">
        <f t="shared" si="532"/>
        <v>0</v>
      </c>
      <c r="CX305" s="76">
        <f t="shared" si="533"/>
        <v>0</v>
      </c>
      <c r="CY305" s="76">
        <f t="shared" si="534"/>
        <v>0</v>
      </c>
      <c r="CZ305" s="76">
        <f t="shared" si="535"/>
        <v>0</v>
      </c>
      <c r="DA305" s="76">
        <f t="shared" si="536"/>
        <v>0</v>
      </c>
      <c r="DB305" s="76">
        <f t="shared" si="537"/>
        <v>0</v>
      </c>
      <c r="DC305" s="76">
        <f t="shared" si="538"/>
        <v>0</v>
      </c>
      <c r="DD305" s="76">
        <f t="shared" si="539"/>
        <v>0</v>
      </c>
      <c r="DE305" s="77">
        <f t="shared" si="540"/>
        <v>0</v>
      </c>
      <c r="DF305" s="73">
        <f t="shared" si="542"/>
        <v>22</v>
      </c>
      <c r="DG305" s="67">
        <f t="shared" si="543"/>
        <v>28.709999999999997</v>
      </c>
      <c r="DH305" s="76">
        <f t="shared" si="544"/>
        <v>8</v>
      </c>
      <c r="DI305" s="67">
        <f t="shared" si="545"/>
        <v>33.049999999999997</v>
      </c>
      <c r="DJ305" s="202" t="str">
        <f>IF($D304="","",$D304)</f>
        <v>9</v>
      </c>
      <c r="DK305" s="493"/>
    </row>
    <row r="306" spans="1:115" ht="14.5" customHeight="1" x14ac:dyDescent="0.2">
      <c r="A306" s="390"/>
      <c r="B306" s="457"/>
      <c r="C306" s="79" t="s">
        <v>55</v>
      </c>
      <c r="D306" s="375"/>
      <c r="E306" s="387"/>
      <c r="F306" s="378"/>
      <c r="G306" s="508"/>
      <c r="H306" s="477"/>
      <c r="I306" s="183" t="s">
        <v>61</v>
      </c>
      <c r="J306" s="172"/>
      <c r="K306" s="185" t="s">
        <v>43</v>
      </c>
      <c r="L306" s="186">
        <v>5.39</v>
      </c>
      <c r="M306" s="174">
        <v>6.53</v>
      </c>
      <c r="N306" s="407"/>
      <c r="O306" s="187">
        <f>IF(OR(AE304="",AE305=""),"",IF(L306&gt;0,ROUND(IF(M306&gt;0,M306,IF(M304&gt;0,ROUND((M304*AE306)/AE304,IF(N304=0,2,IF(N304=0.1,1,0))),IF(M305&gt;0,ROUND((M305*AE306)/AE305,IF(N304=0,2,IF(N304=0.1,1,0))),IF(M306&gt;0,M306,0)))),2),""))</f>
        <v>6.53</v>
      </c>
      <c r="P306" s="188">
        <f>IF(I305="Lay",O305*(L305/(L305-1))-O305,IF(I304="Lay",O304*(L304/(L304-1))-O304,IF(OR(L306="",O306=""),"",IF($C306="1/2W",O306/2+O306/2*L306,IF($C306="1/2L",O306/2,(O306*L306-O306)*(1-_xlfn.XLOOKUP(K306,'Fevereiro 2023 - Valor Real'!A3:A15,'Fevereiro 2023 - Valor Real'!C3:C15,0))+O306)))))</f>
        <v>35.1967</v>
      </c>
      <c r="Q306" s="166">
        <f>IF(K306="","",IF(_xlfn.XLOOKUP(K306,K$11:K296,$DJ$11:DJ296,0,,-1)=DJ306,_xlfn.XLOOKUP(K306,K$11:K296,Q$11:Q296,1,,-1)+1,1))</f>
        <v>1</v>
      </c>
      <c r="R306" s="189">
        <f>IF(K306="","",_xlfn.XLOOKUP(K306,K$11:K296,R$11:R296,0,,-1)+IF($C306=" ",1,0))</f>
        <v>0</v>
      </c>
      <c r="S306" s="404"/>
      <c r="T306" s="378"/>
      <c r="U306" s="378"/>
      <c r="V306" s="404"/>
      <c r="W306" s="378"/>
      <c r="X306" s="453"/>
      <c r="Y306" s="383"/>
      <c r="Z306" s="384"/>
      <c r="AA306" s="384"/>
      <c r="AB306" s="384"/>
      <c r="AC306" s="384"/>
      <c r="AD306" s="90"/>
      <c r="AE306" s="190">
        <f>IF(L306="","",(SUM(((L304-1)*(1-_xlfn.XLOOKUP(K304,'Fevereiro 2023 - Valor Real'!A3:A15,'Fevereiro 2023 - Valor Real'!C3:C15,0))+1),((L305-1)*(1-_xlfn.XLOOKUP(K305,'Fevereiro 2023 - Valor Real'!A3:A15,'Fevereiro 2023 - Valor Real'!C3:C15,0))+1),((L306-1)*(1-_xlfn.XLOOKUP(K306,'Fevereiro 2023 - Valor Real'!A3:A15,'Fevereiro 2023 - Valor Real'!C3:C15,0))+1))/((L306-1)*(1-_xlfn.XLOOKUP(K306,'Fevereiro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Real'!C3:C15,0))+1))/((L304-1)*(1-_xlfn.XLOOKUP(K304,'Fevereiro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Real'!C3:C15,0))+1))/((L305-1)*(1-_xlfn.XLOOKUP(K305,'Fevereiro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Real'!C3:C15,0))+1))/((L306-1)*(1-_xlfn.XLOOKUP(K306,'Fevereiro 2023 - Valor Real'!A3:A15,'Fevereiro 2023 - Valor Real'!C3:C15,0))+1)))</f>
        <v>0.18991348385735388</v>
      </c>
      <c r="AF306" s="66">
        <f t="shared" si="610"/>
        <v>0</v>
      </c>
      <c r="AG306" s="67">
        <f t="shared" si="610"/>
        <v>0</v>
      </c>
      <c r="AH306" s="67">
        <f t="shared" si="610"/>
        <v>0</v>
      </c>
      <c r="AI306" s="67">
        <f t="shared" si="610"/>
        <v>0</v>
      </c>
      <c r="AJ306" s="67">
        <f t="shared" si="610"/>
        <v>0</v>
      </c>
      <c r="AK306" s="67">
        <f t="shared" si="610"/>
        <v>0</v>
      </c>
      <c r="AL306" s="67">
        <f t="shared" si="610"/>
        <v>0</v>
      </c>
      <c r="AM306" s="67">
        <f t="shared" si="610"/>
        <v>-6.53</v>
      </c>
      <c r="AN306" s="67">
        <f t="shared" si="610"/>
        <v>0</v>
      </c>
      <c r="AO306" s="67">
        <f t="shared" si="610"/>
        <v>0</v>
      </c>
      <c r="AP306" s="67">
        <f t="shared" si="610"/>
        <v>0</v>
      </c>
      <c r="AQ306" s="67">
        <f t="shared" si="610"/>
        <v>0</v>
      </c>
      <c r="AR306" s="68">
        <f t="shared" si="610"/>
        <v>0</v>
      </c>
      <c r="AS306" s="66">
        <f>IF(AND($B304=" ",$K306=AS$3),$O306,0)</f>
        <v>0</v>
      </c>
      <c r="AT306" s="67">
        <f>IF(AND($B304=" ",K306=AT$3),$O306,0)</f>
        <v>0</v>
      </c>
      <c r="AU306" s="67">
        <f t="shared" ref="AU306:BE306" si="615">IF(AND($B304=" ",$K306=AU$3),$O306,0)</f>
        <v>0</v>
      </c>
      <c r="AV306" s="67">
        <f t="shared" si="615"/>
        <v>0</v>
      </c>
      <c r="AW306" s="67">
        <f t="shared" si="615"/>
        <v>0</v>
      </c>
      <c r="AX306" s="67">
        <f t="shared" si="615"/>
        <v>0</v>
      </c>
      <c r="AY306" s="69">
        <f t="shared" si="615"/>
        <v>0</v>
      </c>
      <c r="AZ306" s="70">
        <f t="shared" si="615"/>
        <v>0</v>
      </c>
      <c r="BA306" s="70">
        <f t="shared" si="615"/>
        <v>0</v>
      </c>
      <c r="BB306" s="70">
        <f t="shared" si="615"/>
        <v>0</v>
      </c>
      <c r="BC306" s="71">
        <f t="shared" si="615"/>
        <v>0</v>
      </c>
      <c r="BD306" s="67">
        <f t="shared" si="615"/>
        <v>0</v>
      </c>
      <c r="BE306" s="68">
        <f t="shared" si="615"/>
        <v>0</v>
      </c>
      <c r="BF306" s="66">
        <f t="shared" si="612"/>
        <v>0</v>
      </c>
      <c r="BG306" s="168">
        <f t="shared" si="612"/>
        <v>0</v>
      </c>
      <c r="BH306" s="67">
        <f t="shared" si="612"/>
        <v>0</v>
      </c>
      <c r="BI306" s="67">
        <f t="shared" si="612"/>
        <v>0</v>
      </c>
      <c r="BJ306" s="67">
        <f t="shared" si="612"/>
        <v>0</v>
      </c>
      <c r="BK306" s="67">
        <f t="shared" si="612"/>
        <v>0</v>
      </c>
      <c r="BL306" s="67">
        <f t="shared" si="612"/>
        <v>0</v>
      </c>
      <c r="BM306" s="69">
        <f t="shared" si="612"/>
        <v>6.53</v>
      </c>
      <c r="BN306" s="70">
        <f t="shared" si="612"/>
        <v>0</v>
      </c>
      <c r="BO306" s="70">
        <f t="shared" si="612"/>
        <v>0</v>
      </c>
      <c r="BP306" s="70">
        <f t="shared" si="612"/>
        <v>0</v>
      </c>
      <c r="BQ306" s="71">
        <f t="shared" si="612"/>
        <v>0</v>
      </c>
      <c r="BR306" s="68">
        <f t="shared" si="612"/>
        <v>0</v>
      </c>
      <c r="BS306" s="491"/>
      <c r="BT306" s="489"/>
      <c r="BU306" s="392"/>
      <c r="BV306" s="489"/>
      <c r="BW306" s="392"/>
      <c r="BX306" s="392"/>
      <c r="BY306" s="392"/>
      <c r="BZ306" s="489"/>
      <c r="CA306" s="392"/>
      <c r="CB306" s="392"/>
      <c r="CC306" s="392"/>
      <c r="CD306" s="401"/>
      <c r="CE306" s="409"/>
      <c r="CF306" s="169">
        <f t="shared" si="515"/>
        <v>0</v>
      </c>
      <c r="CG306" s="170">
        <f t="shared" si="516"/>
        <v>0</v>
      </c>
      <c r="CH306" s="170">
        <f t="shared" si="517"/>
        <v>0</v>
      </c>
      <c r="CI306" s="170">
        <f t="shared" si="518"/>
        <v>0</v>
      </c>
      <c r="CJ306" s="170">
        <f t="shared" si="519"/>
        <v>0</v>
      </c>
      <c r="CK306" s="170">
        <f t="shared" si="520"/>
        <v>0</v>
      </c>
      <c r="CL306" s="170">
        <f t="shared" si="521"/>
        <v>0</v>
      </c>
      <c r="CM306" s="170">
        <f t="shared" si="522"/>
        <v>0</v>
      </c>
      <c r="CN306" s="170">
        <f t="shared" si="523"/>
        <v>0</v>
      </c>
      <c r="CO306" s="170">
        <f t="shared" si="524"/>
        <v>0</v>
      </c>
      <c r="CP306" s="170">
        <f t="shared" si="525"/>
        <v>0</v>
      </c>
      <c r="CQ306" s="170">
        <f t="shared" si="526"/>
        <v>0</v>
      </c>
      <c r="CR306" s="170">
        <f t="shared" si="527"/>
        <v>0</v>
      </c>
      <c r="CS306" s="170">
        <f t="shared" si="528"/>
        <v>0</v>
      </c>
      <c r="CT306" s="75">
        <f t="shared" si="529"/>
        <v>0</v>
      </c>
      <c r="CU306" s="76">
        <f t="shared" si="530"/>
        <v>1</v>
      </c>
      <c r="CV306" s="76">
        <f t="shared" si="531"/>
        <v>0</v>
      </c>
      <c r="CW306" s="76">
        <f t="shared" si="532"/>
        <v>0</v>
      </c>
      <c r="CX306" s="76">
        <f t="shared" si="533"/>
        <v>0</v>
      </c>
      <c r="CY306" s="76">
        <f t="shared" si="534"/>
        <v>0</v>
      </c>
      <c r="CZ306" s="76">
        <f t="shared" si="535"/>
        <v>0</v>
      </c>
      <c r="DA306" s="76">
        <f t="shared" si="536"/>
        <v>0</v>
      </c>
      <c r="DB306" s="76">
        <f t="shared" si="537"/>
        <v>0</v>
      </c>
      <c r="DC306" s="76">
        <f t="shared" si="538"/>
        <v>0</v>
      </c>
      <c r="DD306" s="76">
        <f t="shared" si="539"/>
        <v>0</v>
      </c>
      <c r="DE306" s="77">
        <f t="shared" si="540"/>
        <v>0</v>
      </c>
      <c r="DF306" s="73">
        <f t="shared" si="542"/>
        <v>22</v>
      </c>
      <c r="DG306" s="67">
        <f t="shared" si="543"/>
        <v>28.709999999999997</v>
      </c>
      <c r="DH306" s="76">
        <f t="shared" si="544"/>
        <v>8</v>
      </c>
      <c r="DI306" s="67">
        <f t="shared" si="545"/>
        <v>33.049999999999997</v>
      </c>
      <c r="DJ306" s="202" t="str">
        <f>IF($D304="","",$D304)</f>
        <v>9</v>
      </c>
      <c r="DK306" s="493"/>
    </row>
    <row r="307" spans="1:115" ht="14.5" customHeight="1" x14ac:dyDescent="0.2">
      <c r="A307" s="459">
        <f>$A304+1</f>
        <v>102</v>
      </c>
      <c r="B307" s="507" t="str">
        <f>IF(OR(C307="W",C308="W",C309="W",C307="1/2W",C308="1/2W",C309="1/2W",C307="1/2L",C308="1/2L",C309="1/2L"),"OK",IF(OR(C307="L",C308="L",C309="L"),"LOSS",IF(OR(C307="X",C308="X",C309="X"),"Anulado"," ")))</f>
        <v>OK</v>
      </c>
      <c r="C307" s="93" t="s">
        <v>55</v>
      </c>
      <c r="D307" s="468" t="str">
        <f>IF(G307="","",$D304)</f>
        <v>9</v>
      </c>
      <c r="E307" s="485" t="str">
        <f>IF(G307=""," ","– "&amp;COUNTIF(D$4:D309,$D307))</f>
        <v>– 10</v>
      </c>
      <c r="F307" s="509" t="str">
        <f ca="1">IF(G307="","",IF(OR(AND($C307&lt;&gt;" ",$C308=" "),AND($C308&lt;&gt;" ",$C307=" "),AND(L309&gt;0,OR(AND($C309&lt;&gt;" ",OR($C307=" ",$C308=" ")),AND($C309=" ",OR($C307&lt;&gt;" ",$C308&lt;&gt;" "))))),IF(SUM(F$4:F306)=0,1,LARGE(F$4:F306,1)+1),IF(MONTH(G307)=MONTH(TODAY()),IF(AND(DAY(G307)&lt;DAY(TODAY()),$B307=" "),IF(SUM(F$4:F306)=0,1,LARGE(F$4:F306,1)+1),IF($B307=" ",IF(AND(DAY(G307)=DAY(TODAY()),HOUR(G307)&lt;=HOUR(NOW())+1),IF(AND(HOUR(G307)+2&lt;=HOUR(NOW()),DAY(G307)&lt;=DAY(TODAY()),MINUTE(G307)&lt;=MINUTE(NOW())),IF(SUM(F$4:F306)=0,1,LARGE(F$4:F306,1)+1),IF(OR(MINUTE(G307)&lt;=MINUTE(NOW()),HOUR(G307)&lt;=HOUR(NOW())),"!!!","")),""),"")),"")))</f>
        <v/>
      </c>
      <c r="G307" s="482">
        <f>IF(H307="","",_xlfn.XLOOKUP(H307,$H$4:H306,$G$4:G306,""))</f>
        <v>44994.625</v>
      </c>
      <c r="H307" s="475" t="s">
        <v>142</v>
      </c>
      <c r="I307" s="94" t="s">
        <v>63</v>
      </c>
      <c r="J307" s="176"/>
      <c r="K307" s="96" t="s">
        <v>43</v>
      </c>
      <c r="L307" s="97">
        <v>7.06</v>
      </c>
      <c r="M307" s="98">
        <v>9.06</v>
      </c>
      <c r="N307" s="478">
        <v>0</v>
      </c>
      <c r="O307" s="99">
        <f>IF(OR(AE307="",AE308=""),"",ROUND(IF(L309&gt;0,IF(M307&gt;0,M307,IF(M308&gt;0,ROUND((M308*AE307)/AE308,IF(N307=0,2,IF(N307=0.1,1,0))),ROUND((M309*AE307)/AE309,IF(N307=0,2,IF(N307=0.1,1,0))))),IF(M307&gt;0,M307,ROUND((M308*AE307)/AE308,IF(N307=0,2,IF(N307=0.1,1,0))))),2))</f>
        <v>9.06</v>
      </c>
      <c r="P307" s="100">
        <f>IF(OR(L307="",O307=""),"",IF($C307="1/2W",O307/2+O307/2*L307,IF($C307="1/2L",O307/2,IF(I307="Lay",(O307*(L307/(L307-1))-O307)*(1-_xlfn.XLOOKUP(K307,'Fevereiro 2023 - Valor Real'!A3:A15,'Fevereiro 2023 - Valor Real'!C3:C15,0))+O307,(O307*L307-O307)*(1-_xlfn.XLOOKUP(K307,'Fevereiro 2023 - Valor Real'!A3:A15,'Fevereiro 2023 - Valor Real'!C3:C15,0))+O307))))</f>
        <v>63.9636</v>
      </c>
      <c r="Q307" s="101">
        <f>IF(K307="","",IF(_xlfn.XLOOKUP(K307,K$6:K302,$DJ$6:DJ302,0,,-1)=DJ307,_xlfn.XLOOKUP(K307,K$6:K302,Q$6:Q302,1,,-1)+1,1))</f>
        <v>1</v>
      </c>
      <c r="R307" s="102">
        <f>IF(K307="","",_xlfn.XLOOKUP(K307,K$6:K302,R$6:R302,0,,-1)+IF($C307=" ",1,0))</f>
        <v>0</v>
      </c>
      <c r="S307" s="474">
        <f>IF($B307="Anulado",0,ROUND(IF(OR($B307="LOSS",$B307="OK"),IF(OR($C307="W",$C307="1/2W",$C307="1/2L"),P307-O307,IF($C307="L",-O307,0))+IF(OR($C308="W",$C308="1/2W",$C308="1/2L"),P308-O308,IF($C308="L",-O308,0))+IF(OR($C309="W",$C309="1/2W",$C309="1/2L"),P309-O309,IF($C309="L",-O309,0)),IF(AND(OR($C307="W",$C307="1/2W",$C307="1/2L"),C308="W"),P307+P308-SUM(O307:O309)+_xlfn.XLOOKUP("X",C307:C309,O307:O309,0),IF(AND(C307=TRUE,C309="W"),P307+P309-SUM(O307:O309),IF(AND(C308="W",C309="W"),P308+P309-SUM(O307:O309)+_xlfn.XLOOKUP("X",C307:C309,O307:O309,0),IF(L309&gt;0,IF(OR($C307="W",$C307="1/2W",$C307="1/2L"),P307-SUM(O307:O309)+_xlfn.XLOOKUP("X",C307:C309,O307:O309,0),IF(OR($C307="W",$C307="1/2W",$C307="1/2L"),P308-SUM(O307:O309)+_xlfn.XLOOKUP("X",C307:C309,O307:O309,0),IF(OR($C307="W",$C307="1/2W",$C307="1/2L"),P309-SUM(O307:O309)+_xlfn.XLOOKUP("X",C307:C309,O307:O309,0),IF(SUM(P307:P309)/3-SUM(O307:O309)+_xlfn.XLOOKUP("X",C307:C309,O307:O309,0)&gt;0,SUM(P307:P309)/3-SUM(O307:O309)+_xlfn.XLOOKUP("X",C307:C309,O307:O309,0),LARGE(P307:P309,1)-SUM(O307:O309))))),IF(OR($C307="W",$C307="1/2W",$C307="1/2L"),P307-SUM(O307:O308)+_xlfn.XLOOKUP("X",C307:C309,O307:O309,0),IF(OR($C307="W",$C307="1/2W",$C307="1/2L"),P308-SUM(O307:O308)+_xlfn.XLOOKUP("X",C307:C309,O307:O309,0),SUM(P307:P308)/2-SUM(O307:O308)+_xlfn.XLOOKUP("X",C307:C309,O307:O309,0)))))))),2))</f>
        <v>3.35</v>
      </c>
      <c r="T307" s="458">
        <f>IF(S307=0,0,S307/SUM(O307:O309))</f>
        <v>5.5225848994394984E-2</v>
      </c>
      <c r="U307" s="470">
        <f>IF($D307=$D304,IF(OR($B307="LOSS",$B307="OK",$B307="Anulada"),S307,0)+U304,IF(OR($B307="LOSS",$B307="OK",$B307="Anulada"),S307,0))</f>
        <v>33.5</v>
      </c>
      <c r="V307" s="470">
        <f>IF($D307="",0,IF($D307=$D304,IF($B307=" ",IF(I309="",IF(OR(AND(I307="DNB1",I308="DNB2"),AND(OR(I307="DNB1",I307="DNB2"),J308=0),AND(OR(I308="DNB1",I308="DNB2"),J307=0),AND(I307="DNB2",I308="DNB1"),AND(IF(J307=0,(J307+1)/ROUND(J307+1,0),J307/ROUND(J307,0))=1,IF(J308=0,(J308+1)/ROUND(IF(J308="",0,J308)+1,0),IF(J308="",0,J308)/ROUND(IF(J308="",1,J308),0))=1,OR(J307&lt;&gt;""),J308&lt;&gt;"")),0,IF(S307&lt;0,IF(I309="",SMALL(P307:P308,1)-SUM(O307:O308),0),SMALL(P307:P308,1)-SUM(O307:O308))),IF(S307&lt;0,IF(I309="",SMALL(P307:P309,1)-SUM(O307:O309),0),LARGE(P307:P309,1)-SUM(O307:O309))),S307)+V304,IF(I309="",IF(OR(AND(I307="DNB1",I308="DNB2"),AND(OR(I307="DNB1",I307="DNB2"),J308=0),AND(OR(I308="DNB1",I308="DNB2"),J307=0),AND(I307="DNB2",I308="DNB1"),AND(IF(J307=0,(J307+1)/ROUND(J307+1,0),J307/ROUND(J307,0))=1,IF(J308=0,(IF(J308="",0,J308)+1)/ROUND(IF(J308="",0,J308)+1,0),IF(J308="",0,J308)/ROUND(IF(J308="",0,J308)+1,0))=1,OR(J307&lt;&gt;""),J308&lt;&gt;"")),0,IF(S307&lt;0,IF(I309="",SMALL(P307:P308,1)-SUM(O307:O308),0),SMALL(P307:P309,1)-SUM(O307:O309))),IF(S307&lt;0,IF(I309="",SMALL(P307:P309,1)-SUM(O307:O309),0),LARGE(P307:P309,1)-SUM(O307:O309)))))</f>
        <v>33.500400000000006</v>
      </c>
      <c r="W307" s="470">
        <f>IF($D307=$D304,IF(S307&lt;0,IF(I309="",S307,0),S307)+W304,S307)</f>
        <v>33.5</v>
      </c>
      <c r="X307" s="480" t="str">
        <f>IF(OR(SUM(R307:R309)=0,V307=W307),ROUND(IF(W307=0,0,W307/Y307)*100,2)&amp;"%",ROUND(IF(V307=0,0,V307/Y307)*100,2)&amp;"% a "&amp;ROUND(IF(W307=0,0,W307/Y307)*100,2)&amp;"%")</f>
        <v>5,37%</v>
      </c>
      <c r="Y307" s="471">
        <f>IF($D307=$D304,Y304+SUM(O307:O309),SUM(O307:O309))</f>
        <v>624.29999999999995</v>
      </c>
      <c r="Z307" s="470">
        <f>IF($B307=" ",SUM(O307:O309),0)+Z304</f>
        <v>0</v>
      </c>
      <c r="AA307" s="470">
        <f>IF(G307="","",IF($B307="Anulado",LARGE(P307:P309,1)-SUM(O307:O309)+AA304,AA304))</f>
        <v>1.4607999999999972</v>
      </c>
      <c r="AB307" s="470">
        <f>IF($D307="","",AB304+S307)</f>
        <v>474.36000000000007</v>
      </c>
      <c r="AC307" s="472">
        <f ca="1">IF($D307="","",IF($B307=" ",IF(DAY(G307)=DAY(TODAY()),1+AC304,0+AC304),0+AC304))</f>
        <v>0</v>
      </c>
      <c r="AD307" s="103">
        <f>(((L308/(L308-1)-1)*(1-_xlfn.XLOOKUP(K308,'Fevereiro 2023 - Valor Real'!A3:A15,'Fevereiro 2023 - Valor Real'!C3:C15,0))+1))/(((L307-1)*(1-_xlfn.XLOOKUP(K307,'Fevereiro 2023 - Valor Real'!A3:A15,'Fevereiro 2023 - Valor Real'!C3:C15,0))+1)+((L308/(L308-1)-1)*(1-_xlfn.XLOOKUP(K308,'Fevereiro 2023 - Valor Real'!A3:A15,'Fevereiro 2023 - Valor Real'!C3:C15,0))+1))</f>
        <v>0.43992499639405747</v>
      </c>
      <c r="AE307" s="104">
        <f>IF(L307="","",IF(L309&gt;0,(SUM(((L307-1)*(1-_xlfn.XLOOKUP(K307,'Fevereiro 2023 - Valor Real'!A3:A15,'Fevereiro 2023 - Valor Real'!C3:C15,0))+1),((L308-1)*(1-_xlfn.XLOOKUP(K308,'Fevereiro 2023 - Valor Real'!A3:A15,'Fevereiro 2023 - Valor Real'!C3:C15,0))+1),((L309-1)*(1-_xlfn.XLOOKUP(K309,'Fevereiro 2023 - Valor Real'!A3:A15,'Fevereiro 2023 - Valor Real'!C3:C15,0))+1))/((L307-1)*(1-_xlfn.XLOOKUP(K307,'Fevereiro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Real'!C3:C15,0))+1))/((L307-1)*(1-_xlfn.XLOOKUP(K307,'Fevereiro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Real'!C3:C15,0))+1))/((L308-1)*(1-_xlfn.XLOOKUP(K308,'Fevereiro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Real'!C3:C15,0))+1))/((L309-1)*(1-_xlfn.XLOOKUP(K309,'Fevereiro 2023 - Valor Real'!A3:A15,'Fevereiro 2023 - Valor Real'!C3:C15,0))+1)),IF(I307="Lay",IF(I308="Lay",((L308/(L308-1)-1)*(1-_xlfn.XLOOKUP(K308,'Fevereiro 2023 - Valor Real'!A3:A15,'Fevereiro 2023 - Valor Real'!C3:C15,0))+1)/(((L308/(L308-1)-1)*(1-_xlfn.XLOOKUP(K308,'Fevereiro 2023 - Valor Real'!A3:A15,'Fevereiro 2023 - Valor Real'!C3:C15,0))+1)+((L307/(L307-1)-1)*(1-_xlfn.XLOOKUP(K307,'Fevereiro 2023 - Valor Real'!A3:A15,'Fevereiro 2023 - Valor Real'!C3:C15,0))+1)),((L308-1)*(1-_xlfn.XLOOKUP(K308,'Fevereiro 2023 - Valor Real'!A3:A15,'Fevereiro 2023 - Valor Real'!C3:C15,0))+1)/(((L308-1)*(1-_xlfn.XLOOKUP(K308,'Fevereiro 2023 - Valor Real'!A3:A15,'Fevereiro 2023 - Valor Real'!C3:C15,0))+1)+((L307/(L307-1)-1)*(1-_xlfn.XLOOKUP(K307,'Fevereiro 2023 - Valor Real'!A3:A15,'Fevereiro 2023 - Valor Real'!C3:C15,0))+1))),IF(I308="Lay",(((L308/(L308-1)-1)*(1-_xlfn.XLOOKUP(K308,'Fevereiro 2023 - Valor Real'!A3:A15,'Fevereiro 2023 - Valor Real'!C3:C15,0))+1))/(((L307-1)*(1-_xlfn.XLOOKUP(K307,'Fevereiro 2023 - Valor Real'!A3:A15,'Fevereiro 2023 - Valor Real'!C3:C15,0))+1)+((L308/(L308-1)-1)*(1-_xlfn.XLOOKUP(K308,'Fevereiro 2023 - Valor Real'!A3:A15,'Fevereiro 2023 - Valor Real'!C3:C15,0))+1)),((L308-1)*(1-_xlfn.XLOOKUP(K308,'Fevereiro 2023 - Valor Real'!A3:A15,'Fevereiro 2023 - Valor Real'!C3:C15,0))+1)/(((L308-1)*(1-_xlfn.XLOOKUP(K308,'Fevereiro 2023 - Valor Real'!A3:A15,'Fevereiro 2023 - Valor Real'!C3:C15,0))+1)+((L307-1)*(1-_xlfn.XLOOKUP(K307,'Fevereiro 2023 - Valor Real'!A3:A15,'Fevereiro 2023 - Valor Real'!C3:C15,0))+1))))))</f>
        <v>8.4013652967125083E-2</v>
      </c>
      <c r="AF307" s="105">
        <f t="shared" si="610"/>
        <v>0</v>
      </c>
      <c r="AG307" s="106">
        <f t="shared" si="610"/>
        <v>0</v>
      </c>
      <c r="AH307" s="106">
        <f t="shared" si="610"/>
        <v>0</v>
      </c>
      <c r="AI307" s="106">
        <f t="shared" si="610"/>
        <v>0</v>
      </c>
      <c r="AJ307" s="106">
        <f t="shared" si="610"/>
        <v>0</v>
      </c>
      <c r="AK307" s="106">
        <f t="shared" si="610"/>
        <v>0</v>
      </c>
      <c r="AL307" s="106">
        <f t="shared" si="610"/>
        <v>0</v>
      </c>
      <c r="AM307" s="106">
        <f t="shared" si="610"/>
        <v>-9.06</v>
      </c>
      <c r="AN307" s="106">
        <f t="shared" si="610"/>
        <v>0</v>
      </c>
      <c r="AO307" s="106">
        <f t="shared" si="610"/>
        <v>0</v>
      </c>
      <c r="AP307" s="106">
        <f t="shared" si="610"/>
        <v>0</v>
      </c>
      <c r="AQ307" s="106">
        <f t="shared" si="610"/>
        <v>0</v>
      </c>
      <c r="AR307" s="107">
        <f t="shared" si="610"/>
        <v>0</v>
      </c>
      <c r="AS307" s="105">
        <f t="shared" ref="AS307:BE307" si="616">IF(AND($B307=" ",$K307=AS$3),$O307,0)</f>
        <v>0</v>
      </c>
      <c r="AT307" s="106">
        <f t="shared" si="616"/>
        <v>0</v>
      </c>
      <c r="AU307" s="106">
        <f t="shared" si="616"/>
        <v>0</v>
      </c>
      <c r="AV307" s="106">
        <f t="shared" si="616"/>
        <v>0</v>
      </c>
      <c r="AW307" s="106">
        <f t="shared" si="616"/>
        <v>0</v>
      </c>
      <c r="AX307" s="106">
        <f t="shared" si="616"/>
        <v>0</v>
      </c>
      <c r="AY307" s="108">
        <f t="shared" si="616"/>
        <v>0</v>
      </c>
      <c r="AZ307" s="109">
        <f t="shared" si="616"/>
        <v>0</v>
      </c>
      <c r="BA307" s="109">
        <f t="shared" si="616"/>
        <v>0</v>
      </c>
      <c r="BB307" s="109">
        <f t="shared" si="616"/>
        <v>0</v>
      </c>
      <c r="BC307" s="110">
        <f t="shared" si="616"/>
        <v>0</v>
      </c>
      <c r="BD307" s="106">
        <f t="shared" si="616"/>
        <v>0</v>
      </c>
      <c r="BE307" s="107">
        <f t="shared" si="616"/>
        <v>0</v>
      </c>
      <c r="BF307" s="111">
        <f t="shared" si="612"/>
        <v>0</v>
      </c>
      <c r="BG307" s="106">
        <f t="shared" si="612"/>
        <v>0</v>
      </c>
      <c r="BH307" s="106">
        <f t="shared" si="612"/>
        <v>0</v>
      </c>
      <c r="BI307" s="106">
        <f t="shared" si="612"/>
        <v>0</v>
      </c>
      <c r="BJ307" s="106">
        <f t="shared" si="612"/>
        <v>0</v>
      </c>
      <c r="BK307" s="106">
        <f t="shared" si="612"/>
        <v>0</v>
      </c>
      <c r="BL307" s="106">
        <f t="shared" si="612"/>
        <v>0</v>
      </c>
      <c r="BM307" s="108">
        <f t="shared" si="612"/>
        <v>9.06</v>
      </c>
      <c r="BN307" s="109">
        <f t="shared" si="612"/>
        <v>0</v>
      </c>
      <c r="BO307" s="109">
        <f t="shared" si="612"/>
        <v>0</v>
      </c>
      <c r="BP307" s="109">
        <f t="shared" si="612"/>
        <v>0</v>
      </c>
      <c r="BQ307" s="110">
        <f t="shared" si="612"/>
        <v>0</v>
      </c>
      <c r="BR307" s="107">
        <f t="shared" si="612"/>
        <v>0</v>
      </c>
      <c r="BS307" s="463">
        <f>IF($B307="LOSS",IF(AND($K307=BS$3,$C307="L"),-$O307,0)+IF(AND($K308=BS$3,$C308="L"),-$O308,0)+IF(AND($K309=BS$3,$C309="L"),-$O309,0),IF(OR(AND($K307=BS$3,OR($C307="W",$C307="1/2W")),AND($K308=BS$3,OR($C308="W",$C308="1/2W")),AND($K309=BS$3,OR($C309="W",$C309="1/2W"))),$S307,0))</f>
        <v>0</v>
      </c>
      <c r="BT307" s="462">
        <f>IF($B307="LOSS",IF(AND($K307=BT$3,$C307="L"),-$O307,0)+IF(AND($K308=BT$3,$C308="L"),-$O308,0)+IF(AND($K308=BT$3,$C309="L"),-$O309,0),IF(OR(AND($K308=BT$3,OR($C307="W",$C307="1/2W")),AND($K308=BT$3,OR($C308="W",$C308="1/2W")),AND($K308=BT$3,OR($C309="W",$C309="1/2W"))),$S307,0))</f>
        <v>0</v>
      </c>
      <c r="BU307" s="462">
        <f>IF($B307="LOSS",IF(AND($K307=BU$3,$C307="L"),-$O307,0)+IF(AND($K308=BU$3,$C308="L"),-$O308,0)+IF(AND($K308=BU$3,$C309="L"),-$O309,0),IF(OR(AND($K308=BU$3,OR($C307="W",$C307="1/2W")),AND($K308=BU$3,OR($C308="W",$C308="1/2W")),AND($K308=BU$3,OR($C309="W",$C309="1/2W"))),$S307,0))</f>
        <v>0</v>
      </c>
      <c r="BV307" s="462">
        <f t="shared" ref="BV307:CE307" si="617">IF($B307="LOSS",IF(AND($K307=BV$3,$C307="L"),-$O307,0)+IF(AND($K308=BV$3,$C308="L"),-$O308,0)+IF(AND($K309=BV$3,$C309="L"),-$O309,0),IF(OR(AND($K307=BV$3,OR($C307="W",$C307="1/2W")),AND($K308=BV$3,OR($C308="W",$C308="1/2W")),AND($K309=BV$3,OR($C309="W",$C309="1/2W"))),$S307,0))</f>
        <v>0</v>
      </c>
      <c r="BW307" s="462">
        <f t="shared" si="617"/>
        <v>3.35</v>
      </c>
      <c r="BX307" s="462">
        <f t="shared" si="617"/>
        <v>0</v>
      </c>
      <c r="BY307" s="462">
        <f t="shared" si="617"/>
        <v>0</v>
      </c>
      <c r="BZ307" s="460">
        <f t="shared" si="617"/>
        <v>0</v>
      </c>
      <c r="CA307" s="460">
        <f t="shared" si="617"/>
        <v>0</v>
      </c>
      <c r="CB307" s="460">
        <f t="shared" si="617"/>
        <v>0</v>
      </c>
      <c r="CC307" s="460">
        <f t="shared" si="617"/>
        <v>0</v>
      </c>
      <c r="CD307" s="473">
        <f t="shared" si="617"/>
        <v>0</v>
      </c>
      <c r="CE307" s="479">
        <f t="shared" si="617"/>
        <v>0</v>
      </c>
      <c r="CF307" s="113">
        <f t="shared" si="515"/>
        <v>0</v>
      </c>
      <c r="CG307" s="114">
        <f t="shared" si="516"/>
        <v>0</v>
      </c>
      <c r="CH307" s="114">
        <f t="shared" si="517"/>
        <v>0</v>
      </c>
      <c r="CI307" s="114">
        <f t="shared" si="518"/>
        <v>0</v>
      </c>
      <c r="CJ307" s="114">
        <f t="shared" si="519"/>
        <v>0</v>
      </c>
      <c r="CK307" s="114">
        <f t="shared" si="520"/>
        <v>0</v>
      </c>
      <c r="CL307" s="114">
        <f t="shared" si="521"/>
        <v>0</v>
      </c>
      <c r="CM307" s="114">
        <f t="shared" si="522"/>
        <v>0</v>
      </c>
      <c r="CN307" s="114">
        <f t="shared" si="523"/>
        <v>0</v>
      </c>
      <c r="CO307" s="114">
        <f t="shared" si="524"/>
        <v>0</v>
      </c>
      <c r="CP307" s="114">
        <f t="shared" si="525"/>
        <v>0</v>
      </c>
      <c r="CQ307" s="114">
        <f t="shared" si="526"/>
        <v>0</v>
      </c>
      <c r="CR307" s="114">
        <f t="shared" si="527"/>
        <v>0</v>
      </c>
      <c r="CS307" s="114">
        <f t="shared" si="528"/>
        <v>0</v>
      </c>
      <c r="CT307" s="115">
        <f t="shared" si="529"/>
        <v>0</v>
      </c>
      <c r="CU307" s="116">
        <f t="shared" si="530"/>
        <v>1</v>
      </c>
      <c r="CV307" s="116">
        <f t="shared" si="531"/>
        <v>0</v>
      </c>
      <c r="CW307" s="116">
        <f t="shared" si="532"/>
        <v>0</v>
      </c>
      <c r="CX307" s="116">
        <f t="shared" si="533"/>
        <v>0</v>
      </c>
      <c r="CY307" s="116">
        <f t="shared" si="534"/>
        <v>0</v>
      </c>
      <c r="CZ307" s="116">
        <f t="shared" si="535"/>
        <v>0</v>
      </c>
      <c r="DA307" s="116">
        <f t="shared" si="536"/>
        <v>0</v>
      </c>
      <c r="DB307" s="116">
        <f t="shared" si="537"/>
        <v>0</v>
      </c>
      <c r="DC307" s="116">
        <f t="shared" si="538"/>
        <v>0</v>
      </c>
      <c r="DD307" s="116">
        <f t="shared" si="539"/>
        <v>0</v>
      </c>
      <c r="DE307" s="117">
        <f t="shared" si="540"/>
        <v>0</v>
      </c>
      <c r="DF307" s="118">
        <f t="shared" si="542"/>
        <v>22</v>
      </c>
      <c r="DG307" s="106">
        <f t="shared" si="543"/>
        <v>28.709999999999997</v>
      </c>
      <c r="DH307" s="116">
        <f t="shared" si="544"/>
        <v>8</v>
      </c>
      <c r="DI307" s="106">
        <f t="shared" si="545"/>
        <v>33.049999999999997</v>
      </c>
      <c r="DJ307" s="201" t="str">
        <f>IF($D307="","",$D307)</f>
        <v>9</v>
      </c>
      <c r="DK307" s="465">
        <f>IF(AND($B307=" ",$D307&lt;&gt;""),1,0)</f>
        <v>0</v>
      </c>
    </row>
    <row r="308" spans="1:115" ht="14.5" customHeight="1" x14ac:dyDescent="0.2">
      <c r="A308" s="389"/>
      <c r="B308" s="456"/>
      <c r="C308" s="120" t="s">
        <v>54</v>
      </c>
      <c r="D308" s="374"/>
      <c r="E308" s="386"/>
      <c r="F308" s="377"/>
      <c r="G308" s="483"/>
      <c r="H308" s="476"/>
      <c r="I308" s="121" t="s">
        <v>64</v>
      </c>
      <c r="J308" s="179" t="str">
        <f>IF(OR(I307="TO",I307="TU",I307="TO1",I307="TU1",I307="TO2",I307="TU2"),J307,IF(OR(I307="AH1",I307="AH2"),IF(OR(I308="AH1",I308="AH2"),-J307,IF(OR(I308="EH1",I308="EH2"),-J307+0.5,"")),IF(OR(I307="EH1",I307="EH2"),IF(OR(I308="AH1",I308="AH2"),-J307+0.5,IF(OR(I308="EH1",I308="EH2"),-J307+1,"")),IF(AND(OR(I307="DNB1",I307="DNB2"),OR(I308="AH1",I308="AH2")),0,IF(AND(I307="Not ScoreBoth",OR(I308="TO1",I308="TO2")),0.5,"")))))</f>
        <v/>
      </c>
      <c r="K308" s="123" t="s">
        <v>40</v>
      </c>
      <c r="L308" s="124">
        <v>1.22</v>
      </c>
      <c r="M308" s="125">
        <v>45</v>
      </c>
      <c r="N308" s="406"/>
      <c r="O308" s="126">
        <f>IF(OR(AE307="",AE308=""),"",ROUND(IF(L309&gt;0,IF(M308&gt;0,M308,IF(M307&gt;0,IF(N307=TRUE,ROUND((M307*AE308)/AE307,0),(M307*AE308)/AE307),IF(M308&gt;0,ROUND(M308,IF(N307=0,2,IF(N307=0.1,1,0))),IF(M309&gt;0,ROUND(O309*AE308/AE309,IF(N307=0,2,IF(N307=0.1,1,0))),0)))),IF(M308&gt;0,M308,ROUND((M307*AE308)/AE307,IF(N307=0,2,IF(N307=0.1,1,0))))),2))</f>
        <v>45</v>
      </c>
      <c r="P308" s="127">
        <f>IF(OR(L308="",O308=""),"",IF($C308="1/2W",O308/2+O308/2*L308,IF($C308="1/2L",O308/2,IF(I308="Lay",((O308*(L308/(L308-1)))-O308)*(1-_xlfn.XLOOKUP(K308,'Fevereiro 2023 - Valor Real'!A3:A15,'Fevereiro 2023 - Valor Real'!C3:C15,0))+O308,(O308*L308-O308)*(1-_xlfn.XLOOKUP(K308,'Fevereiro 2023 - Valor Real'!A3:A15,'Fevereiro 2023 - Valor Real'!C3:C15,0))+O308))))</f>
        <v>54.9</v>
      </c>
      <c r="Q308" s="128">
        <f>IF(K308="","",IF(_xlfn.XLOOKUP(K308,K$7:K302,$DJ$7:DJ302,0,,-1)=DJ308,_xlfn.XLOOKUP(K308,K$7:K302,Q$7:Q302,1,,-1)+1,1))</f>
        <v>4</v>
      </c>
      <c r="R308" s="129">
        <f>IF(K308="","",_xlfn.XLOOKUP(K308,K$7:K302,R$7:R302,0,,-1)+IF($C308=" ",1,0))</f>
        <v>0</v>
      </c>
      <c r="S308" s="403"/>
      <c r="T308" s="380"/>
      <c r="U308" s="380"/>
      <c r="V308" s="481"/>
      <c r="W308" s="380"/>
      <c r="X308" s="452"/>
      <c r="Y308" s="383"/>
      <c r="Z308" s="384"/>
      <c r="AA308" s="384"/>
      <c r="AB308" s="384"/>
      <c r="AC308" s="384"/>
      <c r="AD308" s="130">
        <f>(((L308/(L308-1)-1)*(1-_xlfn.XLOOKUP(K308,'Fevereiro 2023 - Valor Real'!A3:A15,'Fevereiro 2023 - Valor Real'!C3:C15,0))+1))</f>
        <v>5.5454545454545459</v>
      </c>
      <c r="AE308" s="131">
        <f>IF(L308="","",IF(L309&gt;0,(SUM(((L307-1)*(1-_xlfn.XLOOKUP(K307,'Fevereiro 2023 - Valor Real'!A3:A15,'Fevereiro 2023 - Valor Real'!C3:C15,0))+1),((L308-1)*(1-_xlfn.XLOOKUP(K308,'Fevereiro 2023 - Valor Real'!A3:A15,'Fevereiro 2023 - Valor Real'!C3:C15,0))+1),((L309-1)*(1-_xlfn.XLOOKUP(K309,'Fevereiro 2023 - Valor Real'!A3:A15,'Fevereiro 2023 - Valor Real'!C3:C15,0))+1))/((L308-1)*(1-_xlfn.XLOOKUP(K308,'Fevereiro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Real'!C3:C15,0))+1))/((L307-1)*(1-_xlfn.XLOOKUP(K307,'Fevereiro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Real'!C3:C15,0))+1))/((L308-1)*(1-_xlfn.XLOOKUP(K308,'Fevereiro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Real'!C3:C15,0))+1))/((L309-1)*(1-_xlfn.XLOOKUP(K309,'Fevereiro 2023 - Valor Real'!A3:A15,'Fevereiro 2023 - Valor Real'!C3:C15,0))+1)),IF(I308="Lay",IF(I307="Lay",((L307/(L307-1)-1)*(1-_xlfn.XLOOKUP(K307,'Fevereiro 2023 - Valor Real'!A3:A15,'Fevereiro 2023 - Valor Real'!C3:C15,0))+1)/(((L307/(L307-1)-1)*(1-_xlfn.XLOOKUP(K307,'Fevereiro 2023 - Valor Real'!A3:A15,'Fevereiro 2023 - Valor Real'!C3:C15,0))+1)+((L308/(L308-1)-1)*(1-_xlfn.XLOOKUP(K308,'Fevereiro 2023 - Valor Real'!A3:A15,'Fevereiro 2023 - Valor Real'!C3:C15,0))+1)),((L307-1)*(1-_xlfn.XLOOKUP(K307,'Fevereiro 2023 - Valor Real'!A3:A15,'Fevereiro 2023 - Valor Real'!C3:C15,0))+1)/(((L307-1)*(1-_xlfn.XLOOKUP(K307,'Fevereiro 2023 - Valor Real'!A3:A15,'Fevereiro 2023 - Valor Real'!C3:C15,0))+1)+((L308/(L308-1)-1)*(1-_xlfn.XLOOKUP(K308,'Fevereiro 2023 - Valor Real'!A3:A15,'Fevereiro 2023 - Valor Real'!C3:C15,0))+1))),IF(I307="Lay",((L307/(L307-1)-1)*(1-_xlfn.XLOOKUP(K307,'Fevereiro 2023 - Valor Real'!A3:A15,'Fevereiro 2023 - Valor Real'!C3:C15,0))+1)/((((L307/(L307-1)-1)*(1-_xlfn.XLOOKUP(K307,'Fevereiro 2023 - Valor Real'!A3:A15,'Fevereiro 2023 - Valor Real'!C3:C15,0))+1))+((L308-1)*(1-_xlfn.XLOOKUP(K308,'Fevereiro 2023 - Valor Real'!A3:A15,'Fevereiro 2023 - Valor Real'!C3:C15,0))+1)),((L307-1)*(1-_xlfn.XLOOKUP(K307,'Fevereiro 2023 - Valor Real'!A3:A15,'Fevereiro 2023 - Valor Real'!C3:C15,0))+1)/(((L307-1)*(1-_xlfn.XLOOKUP(K307,'Fevereiro 2023 - Valor Real'!A3:A15,'Fevereiro 2023 - Valor Real'!C3:C15,0))+1)+((L308-1)*(1-_xlfn.XLOOKUP(K308,'Fevereiro 2023 - Valor Real'!A3:A15,'Fevereiro 2023 - Valor Real'!C3:C15,0))+1))))))</f>
        <v>0.48617736880975659</v>
      </c>
      <c r="AF308" s="105">
        <f t="shared" si="610"/>
        <v>0</v>
      </c>
      <c r="AG308" s="106">
        <f t="shared" si="610"/>
        <v>0</v>
      </c>
      <c r="AH308" s="106">
        <f t="shared" si="610"/>
        <v>0</v>
      </c>
      <c r="AI308" s="106">
        <f t="shared" si="610"/>
        <v>0</v>
      </c>
      <c r="AJ308" s="106">
        <f t="shared" si="610"/>
        <v>9.9</v>
      </c>
      <c r="AK308" s="106">
        <f t="shared" si="610"/>
        <v>0</v>
      </c>
      <c r="AL308" s="106">
        <f t="shared" si="610"/>
        <v>0</v>
      </c>
      <c r="AM308" s="106">
        <f t="shared" si="610"/>
        <v>0</v>
      </c>
      <c r="AN308" s="106">
        <f t="shared" si="610"/>
        <v>0</v>
      </c>
      <c r="AO308" s="106">
        <f t="shared" si="610"/>
        <v>0</v>
      </c>
      <c r="AP308" s="106">
        <f t="shared" si="610"/>
        <v>0</v>
      </c>
      <c r="AQ308" s="106">
        <f t="shared" si="610"/>
        <v>0</v>
      </c>
      <c r="AR308" s="107">
        <f t="shared" si="610"/>
        <v>0</v>
      </c>
      <c r="AS308" s="105">
        <f>IF(AND($B307=" ",$K308=AS$3),$O308,0)</f>
        <v>0</v>
      </c>
      <c r="AT308" s="106">
        <f>IF(AND($B307=" ",K308=AT$3),$O308,0)</f>
        <v>0</v>
      </c>
      <c r="AU308" s="106">
        <f t="shared" ref="AU308:BE308" si="618">IF(AND($B307=" ",$K308=AU$3),$O308,0)</f>
        <v>0</v>
      </c>
      <c r="AV308" s="106">
        <f t="shared" si="618"/>
        <v>0</v>
      </c>
      <c r="AW308" s="106">
        <f t="shared" si="618"/>
        <v>0</v>
      </c>
      <c r="AX308" s="106">
        <f t="shared" si="618"/>
        <v>0</v>
      </c>
      <c r="AY308" s="108">
        <f t="shared" si="618"/>
        <v>0</v>
      </c>
      <c r="AZ308" s="109">
        <f t="shared" si="618"/>
        <v>0</v>
      </c>
      <c r="BA308" s="109">
        <f t="shared" si="618"/>
        <v>0</v>
      </c>
      <c r="BB308" s="109">
        <f t="shared" si="618"/>
        <v>0</v>
      </c>
      <c r="BC308" s="110">
        <f t="shared" si="618"/>
        <v>0</v>
      </c>
      <c r="BD308" s="106">
        <f t="shared" si="618"/>
        <v>0</v>
      </c>
      <c r="BE308" s="107">
        <f t="shared" si="618"/>
        <v>0</v>
      </c>
      <c r="BF308" s="105">
        <f t="shared" si="612"/>
        <v>0</v>
      </c>
      <c r="BG308" s="106">
        <f t="shared" si="612"/>
        <v>0</v>
      </c>
      <c r="BH308" s="106">
        <f t="shared" si="612"/>
        <v>0</v>
      </c>
      <c r="BI308" s="106">
        <f t="shared" si="612"/>
        <v>0</v>
      </c>
      <c r="BJ308" s="106">
        <f t="shared" si="612"/>
        <v>45</v>
      </c>
      <c r="BK308" s="106">
        <f t="shared" si="612"/>
        <v>0</v>
      </c>
      <c r="BL308" s="106">
        <f t="shared" si="612"/>
        <v>0</v>
      </c>
      <c r="BM308" s="132">
        <f t="shared" si="612"/>
        <v>0</v>
      </c>
      <c r="BN308" s="112">
        <f t="shared" si="612"/>
        <v>0</v>
      </c>
      <c r="BO308" s="112">
        <f t="shared" si="612"/>
        <v>0</v>
      </c>
      <c r="BP308" s="112">
        <f t="shared" si="612"/>
        <v>0</v>
      </c>
      <c r="BQ308" s="110">
        <f t="shared" si="612"/>
        <v>0</v>
      </c>
      <c r="BR308" s="107">
        <f t="shared" si="612"/>
        <v>0</v>
      </c>
      <c r="BS308" s="464"/>
      <c r="BT308" s="461"/>
      <c r="BU308" s="392"/>
      <c r="BV308" s="461"/>
      <c r="BW308" s="392"/>
      <c r="BX308" s="392"/>
      <c r="BY308" s="392"/>
      <c r="BZ308" s="461"/>
      <c r="CA308" s="392"/>
      <c r="CB308" s="392"/>
      <c r="CC308" s="392"/>
      <c r="CD308" s="401"/>
      <c r="CE308" s="409"/>
      <c r="CF308" s="133">
        <f t="shared" si="515"/>
        <v>0</v>
      </c>
      <c r="CG308" s="134">
        <f t="shared" si="516"/>
        <v>0</v>
      </c>
      <c r="CH308" s="134">
        <f t="shared" si="517"/>
        <v>0</v>
      </c>
      <c r="CI308" s="134">
        <f t="shared" si="518"/>
        <v>0</v>
      </c>
      <c r="CJ308" s="134">
        <f t="shared" si="519"/>
        <v>0</v>
      </c>
      <c r="CK308" s="134">
        <f t="shared" si="520"/>
        <v>0</v>
      </c>
      <c r="CL308" s="134">
        <f t="shared" si="521"/>
        <v>0</v>
      </c>
      <c r="CM308" s="134">
        <f t="shared" si="522"/>
        <v>0</v>
      </c>
      <c r="CN308" s="134">
        <f t="shared" si="523"/>
        <v>1</v>
      </c>
      <c r="CO308" s="134">
        <f t="shared" si="524"/>
        <v>0</v>
      </c>
      <c r="CP308" s="134">
        <f t="shared" si="525"/>
        <v>0</v>
      </c>
      <c r="CQ308" s="134">
        <f t="shared" si="526"/>
        <v>0</v>
      </c>
      <c r="CR308" s="134">
        <f t="shared" si="527"/>
        <v>0</v>
      </c>
      <c r="CS308" s="134">
        <f t="shared" si="528"/>
        <v>0</v>
      </c>
      <c r="CT308" s="115">
        <f t="shared" si="529"/>
        <v>0</v>
      </c>
      <c r="CU308" s="116">
        <f t="shared" si="530"/>
        <v>0</v>
      </c>
      <c r="CV308" s="116">
        <f t="shared" si="531"/>
        <v>0</v>
      </c>
      <c r="CW308" s="116">
        <f t="shared" si="532"/>
        <v>0</v>
      </c>
      <c r="CX308" s="116">
        <f t="shared" si="533"/>
        <v>0</v>
      </c>
      <c r="CY308" s="116">
        <f t="shared" si="534"/>
        <v>0</v>
      </c>
      <c r="CZ308" s="116">
        <f t="shared" si="535"/>
        <v>0</v>
      </c>
      <c r="DA308" s="116">
        <f t="shared" si="536"/>
        <v>0</v>
      </c>
      <c r="DB308" s="116">
        <f t="shared" si="537"/>
        <v>0</v>
      </c>
      <c r="DC308" s="116">
        <f t="shared" si="538"/>
        <v>0</v>
      </c>
      <c r="DD308" s="116">
        <f t="shared" si="539"/>
        <v>0</v>
      </c>
      <c r="DE308" s="117">
        <f t="shared" si="540"/>
        <v>0</v>
      </c>
      <c r="DF308" s="118">
        <f t="shared" si="542"/>
        <v>23</v>
      </c>
      <c r="DG308" s="106">
        <f t="shared" si="543"/>
        <v>29.929999999999996</v>
      </c>
      <c r="DH308" s="116">
        <f t="shared" si="544"/>
        <v>8</v>
      </c>
      <c r="DI308" s="106">
        <f t="shared" si="545"/>
        <v>33.049999999999997</v>
      </c>
      <c r="DJ308" s="201" t="str">
        <f>IF($D307="","",$D307)</f>
        <v>9</v>
      </c>
      <c r="DK308" s="466"/>
    </row>
    <row r="309" spans="1:115" ht="14.5" customHeight="1" x14ac:dyDescent="0.2">
      <c r="A309" s="390"/>
      <c r="B309" s="457"/>
      <c r="C309" s="135" t="s">
        <v>54</v>
      </c>
      <c r="D309" s="375"/>
      <c r="E309" s="387"/>
      <c r="F309" s="378"/>
      <c r="G309" s="484"/>
      <c r="H309" s="477"/>
      <c r="I309" s="192">
        <v>2</v>
      </c>
      <c r="J309" s="137"/>
      <c r="K309" s="193" t="s">
        <v>40</v>
      </c>
      <c r="L309" s="194">
        <v>1.38</v>
      </c>
      <c r="M309" s="140">
        <v>6.6</v>
      </c>
      <c r="N309" s="407"/>
      <c r="O309" s="195">
        <f>IF(OR(AE307="",AE308=""),"",IF(L309&gt;0,ROUND(IF(M309&gt;0,M309,IF(M307&gt;0,ROUND((M307*AE309)/AE307,IF(N307=0,2,IF(N307=0.1,1,0))),IF(M308&gt;0,ROUND((M308*AE309)/AE308,IF(N307=0,2,IF(N307=0.1,1,0))),IF(M309&gt;0,M309,0)))),2),""))</f>
        <v>6.6</v>
      </c>
      <c r="P309" s="196">
        <f>IF(I308="Lay",O308*(L308/(L308-1))-O308,IF(I307="Lay",O307*(L307/(L307-1))-O307,IF(OR(L309="",O309=""),"",IF($C309="1/2W",O309/2+O309/2*L309,IF($C309="1/2L",O309/2,(O309*L309-O309)*(1-_xlfn.XLOOKUP(K309,'Fevereiro 2023 - Valor Real'!A3:A15,'Fevereiro 2023 - Valor Real'!C3:C15,0))+O309)))))</f>
        <v>9.1079999999999988</v>
      </c>
      <c r="Q309" s="197">
        <f>IF(K309="","",IF(_xlfn.XLOOKUP(K309,K$8:K302,$DJ$8:DJ302,0,,-1)=DJ309,_xlfn.XLOOKUP(K309,K$8:K302,Q$8:Q302,1,,-1)+1,1))</f>
        <v>4</v>
      </c>
      <c r="R309" s="198">
        <f>IF(K309="","",_xlfn.XLOOKUP(K309,K$8:K302,R$8:R302,0,,-1)+IF($C309=" ",1,0))</f>
        <v>0</v>
      </c>
      <c r="S309" s="404"/>
      <c r="T309" s="378"/>
      <c r="U309" s="378"/>
      <c r="V309" s="404"/>
      <c r="W309" s="378"/>
      <c r="X309" s="453"/>
      <c r="Y309" s="383"/>
      <c r="Z309" s="384"/>
      <c r="AA309" s="384"/>
      <c r="AB309" s="384"/>
      <c r="AC309" s="384"/>
      <c r="AD309" s="145">
        <f>((L308/(L308-1)-1))</f>
        <v>4.5454545454545459</v>
      </c>
      <c r="AE309" s="199">
        <f>IF(L309="","",(SUM(((L307-1)*(1-_xlfn.XLOOKUP(K307,'Fevereiro 2023 - Valor Real'!A3:A15,'Fevereiro 2023 - Valor Real'!C3:C15,0))+1),((L308-1)*(1-_xlfn.XLOOKUP(K308,'Fevereiro 2023 - Valor Real'!A3:A15,'Fevereiro 2023 - Valor Real'!C3:C15,0))+1),((L309-1)*(1-_xlfn.XLOOKUP(K309,'Fevereiro 2023 - Valor Real'!A3:A15,'Fevereiro 2023 - Valor Real'!C3:C15,0))+1))/((L309-1)*(1-_xlfn.XLOOKUP(K309,'Fevereiro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Real'!C3:C15,0))+1))/((L307-1)*(1-_xlfn.XLOOKUP(K307,'Fevereiro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Real'!C3:C15,0))+1))/((L308-1)*(1-_xlfn.XLOOKUP(K308,'Fevereiro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Real'!C3:C15,0))+1))/((L309-1)*(1-_xlfn.XLOOKUP(K309,'Fevereiro 2023 - Valor Real'!A3:A15,'Fevereiro 2023 - Valor Real'!C3:C15,0))+1)))</f>
        <v>0.4298089782231182</v>
      </c>
      <c r="AF309" s="105">
        <f t="shared" si="610"/>
        <v>0</v>
      </c>
      <c r="AG309" s="106">
        <f t="shared" si="610"/>
        <v>0</v>
      </c>
      <c r="AH309" s="106">
        <f t="shared" si="610"/>
        <v>0</v>
      </c>
      <c r="AI309" s="106">
        <f t="shared" si="610"/>
        <v>0</v>
      </c>
      <c r="AJ309" s="106">
        <f t="shared" si="610"/>
        <v>2.5099999999999998</v>
      </c>
      <c r="AK309" s="106">
        <f t="shared" si="610"/>
        <v>0</v>
      </c>
      <c r="AL309" s="106">
        <f t="shared" si="610"/>
        <v>0</v>
      </c>
      <c r="AM309" s="106">
        <f t="shared" si="610"/>
        <v>0</v>
      </c>
      <c r="AN309" s="106">
        <f t="shared" si="610"/>
        <v>0</v>
      </c>
      <c r="AO309" s="106">
        <f t="shared" si="610"/>
        <v>0</v>
      </c>
      <c r="AP309" s="106">
        <f t="shared" si="610"/>
        <v>0</v>
      </c>
      <c r="AQ309" s="106">
        <f t="shared" si="610"/>
        <v>0</v>
      </c>
      <c r="AR309" s="107">
        <f t="shared" si="610"/>
        <v>0</v>
      </c>
      <c r="AS309" s="105">
        <f>IF(AND($B307=" ",$K309=AS$3),$O309,0)</f>
        <v>0</v>
      </c>
      <c r="AT309" s="106">
        <f>IF(AND($B307=" ",K309=AT$3),$O309,0)</f>
        <v>0</v>
      </c>
      <c r="AU309" s="106">
        <f t="shared" ref="AU309:BE309" si="619">IF(AND($B307=" ",$K309=AU$3),$O309,0)</f>
        <v>0</v>
      </c>
      <c r="AV309" s="106">
        <f t="shared" si="619"/>
        <v>0</v>
      </c>
      <c r="AW309" s="106">
        <f t="shared" si="619"/>
        <v>0</v>
      </c>
      <c r="AX309" s="106">
        <f t="shared" si="619"/>
        <v>0</v>
      </c>
      <c r="AY309" s="108">
        <f t="shared" si="619"/>
        <v>0</v>
      </c>
      <c r="AZ309" s="109">
        <f t="shared" si="619"/>
        <v>0</v>
      </c>
      <c r="BA309" s="109">
        <f t="shared" si="619"/>
        <v>0</v>
      </c>
      <c r="BB309" s="109">
        <f t="shared" si="619"/>
        <v>0</v>
      </c>
      <c r="BC309" s="110">
        <f t="shared" si="619"/>
        <v>0</v>
      </c>
      <c r="BD309" s="106">
        <f t="shared" si="619"/>
        <v>0</v>
      </c>
      <c r="BE309" s="107">
        <f t="shared" si="619"/>
        <v>0</v>
      </c>
      <c r="BF309" s="105">
        <f t="shared" si="612"/>
        <v>0</v>
      </c>
      <c r="BG309" s="106">
        <f t="shared" si="612"/>
        <v>0</v>
      </c>
      <c r="BH309" s="106">
        <f t="shared" si="612"/>
        <v>0</v>
      </c>
      <c r="BI309" s="106">
        <f t="shared" si="612"/>
        <v>0</v>
      </c>
      <c r="BJ309" s="106">
        <f t="shared" si="612"/>
        <v>6.6</v>
      </c>
      <c r="BK309" s="106">
        <f t="shared" si="612"/>
        <v>0</v>
      </c>
      <c r="BL309" s="106">
        <f t="shared" si="612"/>
        <v>0</v>
      </c>
      <c r="BM309" s="108">
        <f t="shared" si="612"/>
        <v>0</v>
      </c>
      <c r="BN309" s="109">
        <f t="shared" si="612"/>
        <v>0</v>
      </c>
      <c r="BO309" s="109">
        <f t="shared" si="612"/>
        <v>0</v>
      </c>
      <c r="BP309" s="109">
        <f t="shared" si="612"/>
        <v>0</v>
      </c>
      <c r="BQ309" s="110">
        <f t="shared" si="612"/>
        <v>0</v>
      </c>
      <c r="BR309" s="107">
        <f t="shared" si="612"/>
        <v>0</v>
      </c>
      <c r="BS309" s="464"/>
      <c r="BT309" s="461"/>
      <c r="BU309" s="392"/>
      <c r="BV309" s="461"/>
      <c r="BW309" s="392"/>
      <c r="BX309" s="392"/>
      <c r="BY309" s="392"/>
      <c r="BZ309" s="461"/>
      <c r="CA309" s="392"/>
      <c r="CB309" s="392"/>
      <c r="CC309" s="392"/>
      <c r="CD309" s="401"/>
      <c r="CE309" s="409"/>
      <c r="CF309" s="133">
        <f t="shared" si="515"/>
        <v>0</v>
      </c>
      <c r="CG309" s="134">
        <f t="shared" si="516"/>
        <v>0</v>
      </c>
      <c r="CH309" s="134">
        <f t="shared" si="517"/>
        <v>0</v>
      </c>
      <c r="CI309" s="134">
        <f t="shared" si="518"/>
        <v>0</v>
      </c>
      <c r="CJ309" s="134">
        <f t="shared" si="519"/>
        <v>0</v>
      </c>
      <c r="CK309" s="134">
        <f t="shared" si="520"/>
        <v>0</v>
      </c>
      <c r="CL309" s="134">
        <f t="shared" si="521"/>
        <v>0</v>
      </c>
      <c r="CM309" s="134">
        <f t="shared" si="522"/>
        <v>0</v>
      </c>
      <c r="CN309" s="134">
        <f t="shared" si="523"/>
        <v>1</v>
      </c>
      <c r="CO309" s="134">
        <f t="shared" si="524"/>
        <v>0</v>
      </c>
      <c r="CP309" s="134">
        <f t="shared" si="525"/>
        <v>0</v>
      </c>
      <c r="CQ309" s="134">
        <f t="shared" si="526"/>
        <v>0</v>
      </c>
      <c r="CR309" s="134">
        <f t="shared" si="527"/>
        <v>0</v>
      </c>
      <c r="CS309" s="134">
        <f t="shared" si="528"/>
        <v>0</v>
      </c>
      <c r="CT309" s="115">
        <f t="shared" si="529"/>
        <v>0</v>
      </c>
      <c r="CU309" s="116">
        <f t="shared" si="530"/>
        <v>0</v>
      </c>
      <c r="CV309" s="116">
        <f t="shared" si="531"/>
        <v>0</v>
      </c>
      <c r="CW309" s="116">
        <f t="shared" si="532"/>
        <v>0</v>
      </c>
      <c r="CX309" s="116">
        <f t="shared" si="533"/>
        <v>0</v>
      </c>
      <c r="CY309" s="116">
        <f t="shared" si="534"/>
        <v>0</v>
      </c>
      <c r="CZ309" s="116">
        <f t="shared" si="535"/>
        <v>0</v>
      </c>
      <c r="DA309" s="116">
        <f t="shared" si="536"/>
        <v>0</v>
      </c>
      <c r="DB309" s="116">
        <f t="shared" si="537"/>
        <v>0</v>
      </c>
      <c r="DC309" s="116">
        <f t="shared" si="538"/>
        <v>0</v>
      </c>
      <c r="DD309" s="116">
        <f t="shared" si="539"/>
        <v>0</v>
      </c>
      <c r="DE309" s="117">
        <f t="shared" si="540"/>
        <v>0</v>
      </c>
      <c r="DF309" s="118">
        <f t="shared" si="542"/>
        <v>24</v>
      </c>
      <c r="DG309" s="106">
        <f t="shared" si="543"/>
        <v>31.309999999999995</v>
      </c>
      <c r="DH309" s="116">
        <f t="shared" si="544"/>
        <v>8</v>
      </c>
      <c r="DI309" s="106">
        <f t="shared" si="545"/>
        <v>33.049999999999997</v>
      </c>
      <c r="DJ309" s="201" t="str">
        <f>IF($D307="","",$D307)</f>
        <v>9</v>
      </c>
      <c r="DK309" s="466"/>
    </row>
    <row r="310" spans="1:115" ht="14.5" customHeight="1" x14ac:dyDescent="0.2">
      <c r="A310" s="487">
        <f>$A307+1</f>
        <v>103</v>
      </c>
      <c r="B310" s="506" t="str">
        <f>IF(OR(C310="W",C311="W",C312="W",C310="1/2W",C311="1/2W",C312="1/2W",C310="1/2L",C311="1/2L",C312="1/2L"),"OK",IF(OR(C310="L",C311="L",C312="L"),"LOSS",IF(OR(C310="X",C311="X",C312="X"),"Anulado"," ")))</f>
        <v>Anulado</v>
      </c>
      <c r="C310" s="147" t="s">
        <v>49</v>
      </c>
      <c r="D310" s="494" t="str">
        <f>IF(G310="","",$D307)</f>
        <v>9</v>
      </c>
      <c r="E310" s="511" t="str">
        <f>IF(G310=""," ","– "&amp;COUNTIF(D$4:D312,$D310))</f>
        <v>– 11</v>
      </c>
      <c r="F310" s="510" t="str">
        <f ca="1">IF(G310="","",IF(OR(AND($C310&lt;&gt;" ",$C311=" "),AND($C311&lt;&gt;" ",$C310=" "),AND(L312&gt;0,OR(AND($C312&lt;&gt;" ",OR($C310=" ",$C311=" ")),AND($C312=" ",OR($C310&lt;&gt;" ",$C311&lt;&gt;" "))))),IF(SUM(F$4:F309)=0,1,LARGE(F$4:F309,1)+1),IF(MONTH(G310)=MONTH(TODAY()),IF(AND(DAY(G310)&lt;DAY(TODAY()),$B310=" "),IF(SUM(F$4:F309)=0,1,LARGE(F$4:F309,1)+1),IF($B310=" ",IF(AND(DAY(G310)=DAY(TODAY()),HOUR(G310)&lt;=HOUR(NOW())+1),IF(AND(HOUR(G310)+2&lt;=HOUR(NOW()),DAY(G310)&lt;=DAY(TODAY()),MINUTE(G310)&lt;=MINUTE(NOW())),IF(SUM(F$4:F309)=0,1,LARGE(F$4:F309,1)+1),IF(OR(MINUTE(G310)&lt;=MINUTE(NOW()),HOUR(G310)&lt;=HOUR(NOW())),"!!!","")),""),"")),"")))</f>
        <v/>
      </c>
      <c r="G310" s="508">
        <v>44996.5</v>
      </c>
      <c r="H310" s="502" t="s">
        <v>146</v>
      </c>
      <c r="I310" s="180" t="s">
        <v>66</v>
      </c>
      <c r="J310" s="181">
        <v>-1</v>
      </c>
      <c r="K310" s="150" t="s">
        <v>40</v>
      </c>
      <c r="L310" s="151">
        <v>2.11</v>
      </c>
      <c r="M310" s="152">
        <v>10.14</v>
      </c>
      <c r="N310" s="503">
        <v>0</v>
      </c>
      <c r="O310" s="153">
        <f>IF(OR(AE310="",AE311=""),"",ROUND(IF(L312&gt;0,IF(M310&gt;0,M310,IF(M311&gt;0,ROUND((M311*AE310)/AE311,IF(N310=0,2,IF(N310=0.1,1,0))),ROUND((M312*AE310)/AE312,IF(N310=0,2,IF(N310=0.1,1,0))))),IF(M310&gt;0,M310,ROUND((M311*AE310)/AE311,IF(N310=0,2,IF(N310=0.1,1,0))))),2))</f>
        <v>10.14</v>
      </c>
      <c r="P310" s="154">
        <f>IF(OR(L310="",O310=""),"",IF($C310="1/2W",O310/2+O310/2*L310,IF($C310="1/2L",O310/2,IF(I310="Lay",(O310*(L310/(L310-1))-O310)*(1-_xlfn.XLOOKUP(K310,'Fevereiro 2023 - Valor Real'!A3:A15,'Fevereiro 2023 - Valor Real'!C3:C15,0))+O310,(O310*L310-O310)*(1-_xlfn.XLOOKUP(K310,'Fevereiro 2023 - Valor Real'!A3:A15,'Fevereiro 2023 - Valor Real'!C3:C15,0))+O310))))</f>
        <v>21.395399999999999</v>
      </c>
      <c r="Q310" s="155">
        <f>IF(K310="","",IF(_xlfn.XLOOKUP(K310,K$9:K302,$DJ$9:DJ302,0,,-1)=DJ310,_xlfn.XLOOKUP(K310,K$9:K302,Q$9:Q302,1,,-1)+1,1))</f>
        <v>4</v>
      </c>
      <c r="R310" s="156">
        <f>IF(K310="","",_xlfn.XLOOKUP(K310,K$9:K302,R$9:R302,0,,-1)+IF($C310=" ",1,0))</f>
        <v>0</v>
      </c>
      <c r="S310" s="501">
        <f>IF($B310="Anulado",0,ROUND(IF(OR($B310="LOSS",$B310="OK"),IF(OR($C310="W",$C310="1/2W",$C310="1/2L"),P310-O310,IF($C310="L",-O310,0))+IF(OR($C311="W",$C311="1/2W",$C311="1/2L"),P311-O311,IF($C311="L",-O311,0))+IF(OR($C312="W",$C312="1/2W",$C312="1/2L"),P312-O312,IF($C312="L",-O312,0)),IF(AND(OR($C310="W",$C310="1/2W",$C310="1/2L"),C311="W"),P310+P311-SUM(O310:O312)+_xlfn.XLOOKUP("X",C310:C312,O310:O312,0),IF(AND(C310=TRUE,C312="W"),P310+P312-SUM(O310:O312),IF(AND(C311="W",C312="W"),P311+P312-SUM(O310:O312)+_xlfn.XLOOKUP("X",C310:C312,O310:O312,0),IF(L312&gt;0,IF(OR($C310="W",$C310="1/2W",$C310="1/2L"),P310-SUM(O310:O312)+_xlfn.XLOOKUP("X",C310:C312,O310:O312,0),IF(OR($C310="W",$C310="1/2W",$C310="1/2L"),P311-SUM(O310:O312)+_xlfn.XLOOKUP("X",C310:C312,O310:O312,0),IF(OR($C310="W",$C310="1/2W",$C310="1/2L"),P312-SUM(O310:O312)+_xlfn.XLOOKUP("X",C310:C312,O310:O312,0),IF(SUM(P310:P312)/3-SUM(O310:O312)+_xlfn.XLOOKUP("X",C310:C312,O310:O312,0)&gt;0,SUM(P310:P312)/3-SUM(O310:O312)+_xlfn.XLOOKUP("X",C310:C312,O310:O312,0),LARGE(P310:P312,1)-SUM(O310:O312))))),IF(OR($C310="W",$C310="1/2W",$C310="1/2L"),P310-SUM(O310:O311)+_xlfn.XLOOKUP("X",C310:C312,O310:O312,0),IF(OR($C310="W",$C310="1/2W",$C310="1/2L"),P311-SUM(O310:O311)+_xlfn.XLOOKUP("X",C310:C312,O310:O312,0),SUM(P310:P311)/2-SUM(O310:O311)+_xlfn.XLOOKUP("X",C310:C312,O310:O312,0)))))))),2))</f>
        <v>0</v>
      </c>
      <c r="T310" s="486">
        <f>IF(S310=0,0,S310/SUM(O310:O312))</f>
        <v>0</v>
      </c>
      <c r="U310" s="496">
        <f>IF($D310=$D307,IF(OR($B310="LOSS",$B310="OK",$B310="Anulada"),S310,0)+U307,IF(OR($B310="LOSS",$B310="OK",$B310="Anulada"),S310,0))</f>
        <v>33.5</v>
      </c>
      <c r="V310" s="496">
        <f>IF($D310="",0,IF($D310=$D307,IF($B310=" ",IF(I312="",IF(OR(AND(I310="DNB1",I311="DNB2"),AND(OR(I310="DNB1",I310="DNB2"),J311=0),AND(OR(I311="DNB1",I311="DNB2"),J310=0),AND(I310="DNB2",I311="DNB1"),AND(IF(J310=0,(J310+1)/ROUND(J310+1,0),J310/ROUND(J310,0))=1,IF(J311=0,(J311+1)/ROUND(IF(J311="",0,J311)+1,0),IF(J311="",0,J311)/ROUND(IF(J311="",1,J311),0))=1,OR(J310&lt;&gt;""),J311&lt;&gt;"")),0,IF(S310&lt;0,IF(I312="",SMALL(P310:P311,1)-SUM(O310:O311),0),SMALL(P310:P311,1)-SUM(O310:O311))),IF(S310&lt;0,IF(I312="",SMALL(P310:P312,1)-SUM(O310:O312),0),LARGE(P310:P312,1)-SUM(O310:O312))),S310)+V307,IF(I312="",IF(OR(AND(I310="DNB1",I311="DNB2"),AND(OR(I310="DNB1",I310="DNB2"),J311=0),AND(OR(I311="DNB1",I311="DNB2"),J310=0),AND(I310="DNB2",I311="DNB1"),AND(IF(J310=0,(J310+1)/ROUND(J310+1,0),J310/ROUND(J310,0))=1,IF(J311=0,(IF(J311="",0,J311)+1)/ROUND(IF(J311="",0,J311)+1,0),IF(J311="",0,J311)/ROUND(IF(J311="",0,J311)+1,0))=1,OR(J310&lt;&gt;""),J311&lt;&gt;"")),0,IF(S310&lt;0,IF(I312="",SMALL(P310:P311,1)-SUM(O310:O311),0),SMALL(P310:P312,1)-SUM(O310:O312))),IF(S310&lt;0,IF(I312="",SMALL(P310:P312,1)-SUM(O310:O312),0),LARGE(P310:P312,1)-SUM(O310:O312)))))</f>
        <v>33.500400000000006</v>
      </c>
      <c r="W310" s="496">
        <f>IF($D310=$D307,IF(S310&lt;0,IF(I312="",S310,0),S310)+W307,S310)</f>
        <v>33.5</v>
      </c>
      <c r="X310" s="505" t="str">
        <f>IF(OR(SUM(R310:R312)=0,V310=W310),ROUND(IF(W310=0,0,W310/Y310)*100,2)&amp;"%",ROUND(IF(V310=0,0,V310/Y310)*100,2)&amp;"% a "&amp;ROUND(IF(W310=0,0,W310/Y310)*100,2)&amp;"%")</f>
        <v>5,2%</v>
      </c>
      <c r="Y310" s="497">
        <f>IF($D310=$D307,Y307+SUM(O310:O312),SUM(O310:O312))</f>
        <v>644.53</v>
      </c>
      <c r="Z310" s="496">
        <f>IF($B310=" ",SUM(O310:O312),0)+Z307</f>
        <v>0</v>
      </c>
      <c r="AA310" s="496">
        <f>IF(G310="","",IF($B310="Anulado",LARGE(P310:P312,1)-SUM(O310:O312)+AA307,AA307))</f>
        <v>2.6261999999999954</v>
      </c>
      <c r="AB310" s="496">
        <f>IF($D310="","",AB307+S310)</f>
        <v>474.36000000000007</v>
      </c>
      <c r="AC310" s="499">
        <f ca="1">IF($D310="","",IF($B310=" ",IF(DAY(G310)=DAY(TODAY()),1+AC307,0+AC307),0+AC307))</f>
        <v>0</v>
      </c>
      <c r="AD310" s="157">
        <f>(1-_xlfn.XLOOKUP(K308,'Fevereiro 2023 - Valor Real'!A3:A15,'Fevereiro 2023 - Valor Real'!C3:C15,0))+1</f>
        <v>2</v>
      </c>
      <c r="AE310" s="158">
        <f>IF(L310="","",IF(L312&gt;0,(SUM(((L310-1)*(1-_xlfn.XLOOKUP(K310,'Fevereiro 2023 - Valor Real'!A3:A15,'Fevereiro 2023 - Valor Real'!C3:C15,0))+1),((L311-1)*(1-_xlfn.XLOOKUP(K311,'Fevereiro 2023 - Valor Real'!A3:A15,'Fevereiro 2023 - Valor Real'!C3:C15,0))+1),((L312-1)*(1-_xlfn.XLOOKUP(K312,'Fevereiro 2023 - Valor Real'!A3:A15,'Fevereiro 2023 - Valor Real'!C3:C15,0))+1))/((L310-1)*(1-_xlfn.XLOOKUP(K310,'Fevereiro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Real'!C3:C15,0))+1))/((L310-1)*(1-_xlfn.XLOOKUP(K310,'Fevereiro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Real'!C3:C15,0))+1))/((L311-1)*(1-_xlfn.XLOOKUP(K311,'Fevereiro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Real'!C3:C15,0))+1))/((L312-1)*(1-_xlfn.XLOOKUP(K312,'Fevereiro 2023 - Valor Real'!A3:A15,'Fevereiro 2023 - Valor Real'!C3:C15,0))+1)),IF(I310="Lay",IF(I311="Lay",((L311/(L311-1)-1)*(1-_xlfn.XLOOKUP(K311,'Fevereiro 2023 - Valor Real'!A3:A15,'Fevereiro 2023 - Valor Real'!C3:C15,0))+1)/(((L311/(L311-1)-1)*(1-_xlfn.XLOOKUP(K311,'Fevereiro 2023 - Valor Real'!A3:A15,'Fevereiro 2023 - Valor Real'!C3:C15,0))+1)+((L310/(L310-1)-1)*(1-_xlfn.XLOOKUP(K310,'Fevereiro 2023 - Valor Real'!A3:A15,'Fevereiro 2023 - Valor Real'!C3:C15,0))+1)),((L311-1)*(1-_xlfn.XLOOKUP(K311,'Fevereiro 2023 - Valor Real'!A3:A15,'Fevereiro 2023 - Valor Real'!C3:C15,0))+1)/(((L311-1)*(1-_xlfn.XLOOKUP(K311,'Fevereiro 2023 - Valor Real'!A3:A15,'Fevereiro 2023 - Valor Real'!C3:C15,0))+1)+((L310/(L310-1)-1)*(1-_xlfn.XLOOKUP(K310,'Fevereiro 2023 - Valor Real'!A3:A15,'Fevereiro 2023 - Valor Real'!C3:C15,0))+1))),IF(I311="Lay",(((L311/(L311-1)-1)*(1-_xlfn.XLOOKUP(K311,'Fevereiro 2023 - Valor Real'!A3:A15,'Fevereiro 2023 - Valor Real'!C3:C15,0))+1))/(((L310-1)*(1-_xlfn.XLOOKUP(K310,'Fevereiro 2023 - Valor Real'!A3:A15,'Fevereiro 2023 - Valor Real'!C3:C15,0))+1)+((L311/(L311-1)-1)*(1-_xlfn.XLOOKUP(K311,'Fevereiro 2023 - Valor Real'!A3:A15,'Fevereiro 2023 - Valor Real'!C3:C15,0))+1)),((L311-1)*(1-_xlfn.XLOOKUP(K311,'Fevereiro 2023 - Valor Real'!A3:A15,'Fevereiro 2023 - Valor Real'!C3:C15,0))+1)/(((L311-1)*(1-_xlfn.XLOOKUP(K311,'Fevereiro 2023 - Valor Real'!A3:A15,'Fevereiro 2023 - Valor Real'!C3:C15,0))+1)+((L310-1)*(1-_xlfn.XLOOKUP(K310,'Fevereiro 2023 - Valor Real'!A3:A15,'Fevereiro 2023 - Valor Real'!C3:C15,0))+1))))))</f>
        <v>0.50118203309692666</v>
      </c>
      <c r="AF310" s="66">
        <f t="shared" si="610"/>
        <v>0</v>
      </c>
      <c r="AG310" s="67">
        <f t="shared" si="610"/>
        <v>0</v>
      </c>
      <c r="AH310" s="67">
        <f t="shared" si="610"/>
        <v>0</v>
      </c>
      <c r="AI310" s="67">
        <f t="shared" si="610"/>
        <v>0</v>
      </c>
      <c r="AJ310" s="67">
        <f t="shared" si="610"/>
        <v>0</v>
      </c>
      <c r="AK310" s="67">
        <f t="shared" si="610"/>
        <v>0</v>
      </c>
      <c r="AL310" s="67">
        <f t="shared" si="610"/>
        <v>0</v>
      </c>
      <c r="AM310" s="67">
        <f t="shared" si="610"/>
        <v>0</v>
      </c>
      <c r="AN310" s="67">
        <f t="shared" si="610"/>
        <v>0</v>
      </c>
      <c r="AO310" s="67">
        <f t="shared" si="610"/>
        <v>0</v>
      </c>
      <c r="AP310" s="67">
        <f t="shared" si="610"/>
        <v>0</v>
      </c>
      <c r="AQ310" s="67">
        <f t="shared" si="610"/>
        <v>0</v>
      </c>
      <c r="AR310" s="68">
        <f t="shared" si="610"/>
        <v>0</v>
      </c>
      <c r="AS310" s="66">
        <f t="shared" ref="AS310:BE310" si="620">IF(AND($B310=" ",$K310=AS$3),$O310,0)</f>
        <v>0</v>
      </c>
      <c r="AT310" s="67">
        <f t="shared" si="620"/>
        <v>0</v>
      </c>
      <c r="AU310" s="67">
        <f t="shared" si="620"/>
        <v>0</v>
      </c>
      <c r="AV310" s="67">
        <f t="shared" si="620"/>
        <v>0</v>
      </c>
      <c r="AW310" s="67">
        <f t="shared" si="620"/>
        <v>0</v>
      </c>
      <c r="AX310" s="67">
        <f t="shared" si="620"/>
        <v>0</v>
      </c>
      <c r="AY310" s="69">
        <f t="shared" si="620"/>
        <v>0</v>
      </c>
      <c r="AZ310" s="70">
        <f t="shared" si="620"/>
        <v>0</v>
      </c>
      <c r="BA310" s="70">
        <f t="shared" si="620"/>
        <v>0</v>
      </c>
      <c r="BB310" s="70">
        <f t="shared" si="620"/>
        <v>0</v>
      </c>
      <c r="BC310" s="71">
        <f t="shared" si="620"/>
        <v>0</v>
      </c>
      <c r="BD310" s="67">
        <f t="shared" si="620"/>
        <v>0</v>
      </c>
      <c r="BE310" s="68">
        <f t="shared" si="620"/>
        <v>0</v>
      </c>
      <c r="BF310" s="66">
        <f t="shared" si="612"/>
        <v>0</v>
      </c>
      <c r="BG310" s="67">
        <f t="shared" si="612"/>
        <v>0</v>
      </c>
      <c r="BH310" s="67">
        <f t="shared" si="612"/>
        <v>0</v>
      </c>
      <c r="BI310" s="67">
        <f t="shared" si="612"/>
        <v>0</v>
      </c>
      <c r="BJ310" s="67">
        <f t="shared" si="612"/>
        <v>0</v>
      </c>
      <c r="BK310" s="67">
        <f t="shared" si="612"/>
        <v>0</v>
      </c>
      <c r="BL310" s="67">
        <f t="shared" si="612"/>
        <v>0</v>
      </c>
      <c r="BM310" s="69">
        <f t="shared" si="612"/>
        <v>0</v>
      </c>
      <c r="BN310" s="70">
        <f t="shared" si="612"/>
        <v>0</v>
      </c>
      <c r="BO310" s="70">
        <f t="shared" si="612"/>
        <v>0</v>
      </c>
      <c r="BP310" s="70">
        <f t="shared" si="612"/>
        <v>0</v>
      </c>
      <c r="BQ310" s="71">
        <f t="shared" si="612"/>
        <v>0</v>
      </c>
      <c r="BR310" s="68">
        <f t="shared" si="612"/>
        <v>0</v>
      </c>
      <c r="BS310" s="490">
        <f>IF($B310="LOSS",IF(AND($K310=BS$3,$C310="L"),-$O310,0)+IF(AND($K311=BS$3,$C311="L"),-$O311,0)+IF(AND($K312=BS$3,$C312="L"),-$O312,0),IF(OR(AND($K310=BS$3,OR($C310="W",$C310="1/2W")),AND($K311=BS$3,OR($C311="W",$C311="1/2W")),AND($K312=BS$3,OR($C312="W",$C312="1/2W"))),$S310,0))</f>
        <v>0</v>
      </c>
      <c r="BT310" s="498">
        <f>IF($B310="LOSS",IF(AND($K310=BT$3,$C310="L"),-$O310,0)+IF(AND($K311=BT$3,$C311="L"),-$O311,0)+IF(AND($K311=BT$3,$C312="L"),-$O312,0),IF(OR(AND($K311=BT$3,OR($C310="W",$C310="1/2W")),AND($K311=BT$3,OR($C311="W",$C311="1/2W")),AND($K311=BT$3,OR($C312="W",$C312="1/2W"))),$S310,0))</f>
        <v>0</v>
      </c>
      <c r="BU310" s="488">
        <f>IF($B310="LOSS",IF(AND($K310=BU$3,$C310="L"),-$O310,0)+IF(AND($K311=BU$3,$C311="L"),-$O311,0)+IF(AND($K311=BU$3,$C312="L"),-$O312,0),IF(OR(AND($K311=BU$3,OR($C310="W",$C310="1/2W")),AND($K311=BU$3,OR($C311="W",$C311="1/2W")),AND($K311=BU$3,OR($C312="W",$C312="1/2W"))),$S310,0))</f>
        <v>0</v>
      </c>
      <c r="BV310" s="488">
        <f t="shared" ref="BV310:CE310" si="621">IF($B310="LOSS",IF(AND($K310=BV$3,$C310="L"),-$O310,0)+IF(AND($K311=BV$3,$C311="L"),-$O311,0)+IF(AND($K312=BV$3,$C312="L"),-$O312,0),IF(OR(AND($K310=BV$3,OR($C310="W",$C310="1/2W")),AND($K311=BV$3,OR($C311="W",$C311="1/2W")),AND($K312=BV$3,OR($C312="W",$C312="1/2W"))),$S310,0))</f>
        <v>0</v>
      </c>
      <c r="BW310" s="488">
        <f t="shared" si="621"/>
        <v>0</v>
      </c>
      <c r="BX310" s="488">
        <f t="shared" si="621"/>
        <v>0</v>
      </c>
      <c r="BY310" s="488">
        <f t="shared" si="621"/>
        <v>0</v>
      </c>
      <c r="BZ310" s="488">
        <f t="shared" si="621"/>
        <v>0</v>
      </c>
      <c r="CA310" s="488">
        <f t="shared" si="621"/>
        <v>0</v>
      </c>
      <c r="CB310" s="488">
        <f t="shared" si="621"/>
        <v>0</v>
      </c>
      <c r="CC310" s="488">
        <f t="shared" si="621"/>
        <v>0</v>
      </c>
      <c r="CD310" s="500">
        <f t="shared" si="621"/>
        <v>0</v>
      </c>
      <c r="CE310" s="504">
        <f t="shared" si="621"/>
        <v>0</v>
      </c>
      <c r="CF310" s="160">
        <f t="shared" si="515"/>
        <v>0</v>
      </c>
      <c r="CG310" s="161">
        <f t="shared" si="516"/>
        <v>0</v>
      </c>
      <c r="CH310" s="161">
        <f t="shared" si="517"/>
        <v>0</v>
      </c>
      <c r="CI310" s="161">
        <f t="shared" si="518"/>
        <v>0</v>
      </c>
      <c r="CJ310" s="161">
        <f t="shared" si="519"/>
        <v>0</v>
      </c>
      <c r="CK310" s="161">
        <f t="shared" si="520"/>
        <v>0</v>
      </c>
      <c r="CL310" s="161">
        <f t="shared" si="521"/>
        <v>0</v>
      </c>
      <c r="CM310" s="161">
        <f t="shared" si="522"/>
        <v>0</v>
      </c>
      <c r="CN310" s="161">
        <f t="shared" si="523"/>
        <v>0</v>
      </c>
      <c r="CO310" s="161">
        <f t="shared" si="524"/>
        <v>0</v>
      </c>
      <c r="CP310" s="161">
        <f t="shared" si="525"/>
        <v>0</v>
      </c>
      <c r="CQ310" s="161">
        <f t="shared" si="526"/>
        <v>0</v>
      </c>
      <c r="CR310" s="161">
        <f t="shared" si="527"/>
        <v>0</v>
      </c>
      <c r="CS310" s="161">
        <f t="shared" si="528"/>
        <v>0</v>
      </c>
      <c r="CT310" s="75">
        <f t="shared" si="529"/>
        <v>0</v>
      </c>
      <c r="CU310" s="76">
        <f t="shared" si="530"/>
        <v>0</v>
      </c>
      <c r="CV310" s="76">
        <f t="shared" si="531"/>
        <v>0</v>
      </c>
      <c r="CW310" s="76">
        <f t="shared" si="532"/>
        <v>0</v>
      </c>
      <c r="CX310" s="76">
        <f t="shared" si="533"/>
        <v>0</v>
      </c>
      <c r="CY310" s="76">
        <f t="shared" si="534"/>
        <v>0</v>
      </c>
      <c r="CZ310" s="76">
        <f t="shared" si="535"/>
        <v>0</v>
      </c>
      <c r="DA310" s="76">
        <f t="shared" si="536"/>
        <v>0</v>
      </c>
      <c r="DB310" s="76">
        <f t="shared" si="537"/>
        <v>0</v>
      </c>
      <c r="DC310" s="76">
        <f t="shared" si="538"/>
        <v>0</v>
      </c>
      <c r="DD310" s="76">
        <f t="shared" si="539"/>
        <v>0</v>
      </c>
      <c r="DE310" s="77">
        <f t="shared" si="540"/>
        <v>0</v>
      </c>
      <c r="DF310" s="73">
        <f t="shared" si="542"/>
        <v>24</v>
      </c>
      <c r="DG310" s="67">
        <f t="shared" si="543"/>
        <v>31.309999999999995</v>
      </c>
      <c r="DH310" s="76">
        <f t="shared" si="544"/>
        <v>8</v>
      </c>
      <c r="DI310" s="67">
        <f t="shared" si="545"/>
        <v>33.049999999999997</v>
      </c>
      <c r="DJ310" s="202" t="str">
        <f>IF($D310="","",$D310)</f>
        <v>9</v>
      </c>
      <c r="DK310" s="492">
        <f>IF(AND($B310=" ",$D310&lt;&gt;""),1,0)</f>
        <v>0</v>
      </c>
    </row>
    <row r="311" spans="1:115" ht="14.5" customHeight="1" x14ac:dyDescent="0.2">
      <c r="A311" s="389"/>
      <c r="B311" s="456"/>
      <c r="C311" s="53" t="s">
        <v>49</v>
      </c>
      <c r="D311" s="374"/>
      <c r="E311" s="386"/>
      <c r="F311" s="377"/>
      <c r="G311" s="508"/>
      <c r="H311" s="476"/>
      <c r="I311" s="182" t="s">
        <v>76</v>
      </c>
      <c r="J311" s="56">
        <f>IF(OR(I310="TO",I310="TU",I310="TO1",I310="TU1",I310="TO2",I310="TU2"),J310,IF(OR(I310="AH1",I310="AH2"),IF(OR(I311="AH1",I311="AH2"),-J310,IF(OR(I311="EH1",I311="EH2"),-J310+0.5,"")),IF(OR(I310="EH1",I310="EH2"),IF(OR(I311="AH1",I311="AH2"),-J310+0.5,IF(OR(I311="EH1",I311="EH2"),-J310+1,"")),IF(AND(OR(I310="DNB1",I310="DNB2"),OR(I311="AH1",I311="AH2")),0,IF(AND(I310="Not ScoreBoth",OR(I311="TO1",I311="TO2")),0.5,"")))))</f>
        <v>1</v>
      </c>
      <c r="K311" s="57" t="s">
        <v>43</v>
      </c>
      <c r="L311" s="164">
        <v>2.12</v>
      </c>
      <c r="M311" s="165"/>
      <c r="N311" s="406"/>
      <c r="O311" s="60">
        <f>IF(OR(AE310="",AE311=""),"",ROUND(IF(L312&gt;0,IF(M311&gt;0,M311,IF(M310&gt;0,IF(N310=TRUE,ROUND((M310*AE311)/AE310,0),(M310*AE311)/AE310),IF(M311&gt;0,ROUND(M311,IF(N310=0,2,IF(N310=0.1,1,0))),IF(M312&gt;0,ROUND(O312*AE311/AE312,IF(N310=0,2,IF(N310=0.1,1,0))),0)))),IF(M311&gt;0,M311,ROUND((M310*AE311)/AE310,IF(N310=0,2,IF(N310=0.1,1,0))))),2))</f>
        <v>10.09</v>
      </c>
      <c r="P311" s="61">
        <f>IF(OR(L311="",O311=""),"",IF($C311="1/2W",O311/2+O311/2*L311,IF($C311="1/2L",O311/2,IF(I311="Lay",((O311*(L311/(L311-1)))-O311)*(1-_xlfn.XLOOKUP(K311,'Fevereiro 2023 - Valor Real'!A3:A15,'Fevereiro 2023 - Valor Real'!C3:C15,0))+O311,(O311*L311-O311)*(1-_xlfn.XLOOKUP(K311,'Fevereiro 2023 - Valor Real'!A3:A15,'Fevereiro 2023 - Valor Real'!C3:C15,0))+O311))))</f>
        <v>21.390800000000002</v>
      </c>
      <c r="Q311" s="166">
        <f>IF(K311="","",IF(_xlfn.XLOOKUP(K311,K$10:K302,$DJ$10:DJ302,0,,-1)=DJ311,_xlfn.XLOOKUP(K311,K$10:K302,Q$10:Q302,1,,-1)+1,1))</f>
        <v>1</v>
      </c>
      <c r="R311" s="167">
        <f>IF(K311="","",_xlfn.XLOOKUP(K311,K$10:K302,R$10:R302,0,,-1)+IF($C311=" ",1,0))</f>
        <v>0</v>
      </c>
      <c r="S311" s="403"/>
      <c r="T311" s="380"/>
      <c r="U311" s="380"/>
      <c r="V311" s="481"/>
      <c r="W311" s="380"/>
      <c r="X311" s="452"/>
      <c r="Y311" s="383"/>
      <c r="Z311" s="384"/>
      <c r="AA311" s="384"/>
      <c r="AB311" s="384"/>
      <c r="AC311" s="384"/>
      <c r="AD311" s="64"/>
      <c r="AE311" s="65">
        <f>IF(L311="","",IF(L312&gt;0,(SUM(((L310-1)*(1-_xlfn.XLOOKUP(K310,'Fevereiro 2023 - Valor Real'!A3:A15,'Fevereiro 2023 - Valor Real'!C3:C15,0))+1),((L311-1)*(1-_xlfn.XLOOKUP(K311,'Fevereiro 2023 - Valor Real'!A3:A15,'Fevereiro 2023 - Valor Real'!C3:C15,0))+1),((L312-1)*(1-_xlfn.XLOOKUP(K312,'Fevereiro 2023 - Valor Real'!A3:A15,'Fevereiro 2023 - Valor Real'!C3:C15,0))+1))/((L311-1)*(1-_xlfn.XLOOKUP(K311,'Fevereiro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Real'!C3:C15,0))+1))/((L310-1)*(1-_xlfn.XLOOKUP(K310,'Fevereiro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Real'!C3:C15,0))+1))/((L311-1)*(1-_xlfn.XLOOKUP(K311,'Fevereiro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Real'!C3:C15,0))+1))/((L312-1)*(1-_xlfn.XLOOKUP(K312,'Fevereiro 2023 - Valor Real'!A3:A15,'Fevereiro 2023 - Valor Real'!C3:C15,0))+1)),IF(I311="Lay",IF(I310="Lay",((L310/(L310-1)-1)*(1-_xlfn.XLOOKUP(K310,'Fevereiro 2023 - Valor Real'!A3:A15,'Fevereiro 2023 - Valor Real'!C3:C15,0))+1)/(((L310/(L310-1)-1)*(1-_xlfn.XLOOKUP(K310,'Fevereiro 2023 - Valor Real'!A3:A15,'Fevereiro 2023 - Valor Real'!C3:C15,0))+1)+((L311/(L311-1)-1)*(1-_xlfn.XLOOKUP(K311,'Fevereiro 2023 - Valor Real'!A3:A15,'Fevereiro 2023 - Valor Real'!C3:C15,0))+1)),((L310-1)*(1-_xlfn.XLOOKUP(K310,'Fevereiro 2023 - Valor Real'!A3:A15,'Fevereiro 2023 - Valor Real'!C3:C15,0))+1)/(((L310-1)*(1-_xlfn.XLOOKUP(K310,'Fevereiro 2023 - Valor Real'!A3:A15,'Fevereiro 2023 - Valor Real'!C3:C15,0))+1)+((L311/(L311-1)-1)*(1-_xlfn.XLOOKUP(K311,'Fevereiro 2023 - Valor Real'!A3:A15,'Fevereiro 2023 - Valor Real'!C3:C15,0))+1))),IF(I310="Lay",((L310/(L310-1)-1)*(1-_xlfn.XLOOKUP(K310,'Fevereiro 2023 - Valor Real'!A3:A15,'Fevereiro 2023 - Valor Real'!C3:C15,0))+1)/((((L310/(L310-1)-1)*(1-_xlfn.XLOOKUP(K310,'Fevereiro 2023 - Valor Real'!A3:A15,'Fevereiro 2023 - Valor Real'!C3:C15,0))+1))+((L311-1)*(1-_xlfn.XLOOKUP(K311,'Fevereiro 2023 - Valor Real'!A3:A15,'Fevereiro 2023 - Valor Real'!C3:C15,0))+1)),((L310-1)*(1-_xlfn.XLOOKUP(K310,'Fevereiro 2023 - Valor Real'!A3:A15,'Fevereiro 2023 - Valor Real'!C3:C15,0))+1)/(((L310-1)*(1-_xlfn.XLOOKUP(K310,'Fevereiro 2023 - Valor Real'!A3:A15,'Fevereiro 2023 - Valor Real'!C3:C15,0))+1)+((L311-1)*(1-_xlfn.XLOOKUP(K311,'Fevereiro 2023 - Valor Real'!A3:A15,'Fevereiro 2023 - Valor Real'!C3:C15,0))+1))))))</f>
        <v>0.49881796690307323</v>
      </c>
      <c r="AF311" s="66">
        <f t="shared" si="610"/>
        <v>0</v>
      </c>
      <c r="AG311" s="67">
        <f t="shared" si="610"/>
        <v>0</v>
      </c>
      <c r="AH311" s="67">
        <f t="shared" si="610"/>
        <v>0</v>
      </c>
      <c r="AI311" s="67">
        <f t="shared" si="610"/>
        <v>0</v>
      </c>
      <c r="AJ311" s="67">
        <f t="shared" si="610"/>
        <v>0</v>
      </c>
      <c r="AK311" s="67">
        <f t="shared" si="610"/>
        <v>0</v>
      </c>
      <c r="AL311" s="67">
        <f t="shared" si="610"/>
        <v>0</v>
      </c>
      <c r="AM311" s="67">
        <f t="shared" si="610"/>
        <v>0</v>
      </c>
      <c r="AN311" s="67">
        <f t="shared" si="610"/>
        <v>0</v>
      </c>
      <c r="AO311" s="67">
        <f t="shared" si="610"/>
        <v>0</v>
      </c>
      <c r="AP311" s="67">
        <f t="shared" si="610"/>
        <v>0</v>
      </c>
      <c r="AQ311" s="67">
        <f t="shared" si="610"/>
        <v>0</v>
      </c>
      <c r="AR311" s="68">
        <f t="shared" si="610"/>
        <v>0</v>
      </c>
      <c r="AS311" s="66">
        <f>IF(AND($B310=" ",$K311=AS$3),$O311,0)</f>
        <v>0</v>
      </c>
      <c r="AT311" s="67">
        <f>IF(AND($B310=" ",K311=AT$3),$O311,0)</f>
        <v>0</v>
      </c>
      <c r="AU311" s="67">
        <f t="shared" ref="AU311:BE311" si="622">IF(AND($B310=" ",$K311=AU$3),$O311,0)</f>
        <v>0</v>
      </c>
      <c r="AV311" s="67">
        <f t="shared" si="622"/>
        <v>0</v>
      </c>
      <c r="AW311" s="67">
        <f t="shared" si="622"/>
        <v>0</v>
      </c>
      <c r="AX311" s="67">
        <f t="shared" si="622"/>
        <v>0</v>
      </c>
      <c r="AY311" s="69">
        <f t="shared" si="622"/>
        <v>0</v>
      </c>
      <c r="AZ311" s="70">
        <f t="shared" si="622"/>
        <v>0</v>
      </c>
      <c r="BA311" s="70">
        <f t="shared" si="622"/>
        <v>0</v>
      </c>
      <c r="BB311" s="70">
        <f t="shared" si="622"/>
        <v>0</v>
      </c>
      <c r="BC311" s="71">
        <f t="shared" si="622"/>
        <v>0</v>
      </c>
      <c r="BD311" s="67">
        <f t="shared" si="622"/>
        <v>0</v>
      </c>
      <c r="BE311" s="68">
        <f t="shared" si="622"/>
        <v>0</v>
      </c>
      <c r="BF311" s="66">
        <f t="shared" si="612"/>
        <v>0</v>
      </c>
      <c r="BG311" s="168">
        <f t="shared" si="612"/>
        <v>0</v>
      </c>
      <c r="BH311" s="67">
        <f t="shared" si="612"/>
        <v>0</v>
      </c>
      <c r="BI311" s="67">
        <f t="shared" si="612"/>
        <v>0</v>
      </c>
      <c r="BJ311" s="67">
        <f t="shared" si="612"/>
        <v>0</v>
      </c>
      <c r="BK311" s="67">
        <f t="shared" si="612"/>
        <v>0</v>
      </c>
      <c r="BL311" s="67">
        <f t="shared" si="612"/>
        <v>0</v>
      </c>
      <c r="BM311" s="69">
        <f t="shared" si="612"/>
        <v>0</v>
      </c>
      <c r="BN311" s="70">
        <f t="shared" si="612"/>
        <v>0</v>
      </c>
      <c r="BO311" s="70">
        <f t="shared" si="612"/>
        <v>0</v>
      </c>
      <c r="BP311" s="70">
        <f t="shared" si="612"/>
        <v>0</v>
      </c>
      <c r="BQ311" s="71">
        <f t="shared" si="612"/>
        <v>0</v>
      </c>
      <c r="BR311" s="68">
        <f t="shared" si="612"/>
        <v>0</v>
      </c>
      <c r="BS311" s="491"/>
      <c r="BT311" s="489"/>
      <c r="BU311" s="392"/>
      <c r="BV311" s="489"/>
      <c r="BW311" s="392"/>
      <c r="BX311" s="392"/>
      <c r="BY311" s="392"/>
      <c r="BZ311" s="489"/>
      <c r="CA311" s="392"/>
      <c r="CB311" s="392"/>
      <c r="CC311" s="392"/>
      <c r="CD311" s="401"/>
      <c r="CE311" s="409"/>
      <c r="CF311" s="169">
        <f t="shared" si="515"/>
        <v>0</v>
      </c>
      <c r="CG311" s="170">
        <f t="shared" si="516"/>
        <v>0</v>
      </c>
      <c r="CH311" s="170">
        <f t="shared" si="517"/>
        <v>0</v>
      </c>
      <c r="CI311" s="170">
        <f t="shared" si="518"/>
        <v>0</v>
      </c>
      <c r="CJ311" s="170">
        <f t="shared" si="519"/>
        <v>0</v>
      </c>
      <c r="CK311" s="170">
        <f t="shared" si="520"/>
        <v>0</v>
      </c>
      <c r="CL311" s="170">
        <f t="shared" si="521"/>
        <v>0</v>
      </c>
      <c r="CM311" s="170">
        <f t="shared" si="522"/>
        <v>0</v>
      </c>
      <c r="CN311" s="170">
        <f t="shared" si="523"/>
        <v>0</v>
      </c>
      <c r="CO311" s="170">
        <f t="shared" si="524"/>
        <v>0</v>
      </c>
      <c r="CP311" s="170">
        <f t="shared" si="525"/>
        <v>0</v>
      </c>
      <c r="CQ311" s="170">
        <f t="shared" si="526"/>
        <v>0</v>
      </c>
      <c r="CR311" s="170">
        <f t="shared" si="527"/>
        <v>0</v>
      </c>
      <c r="CS311" s="170">
        <f t="shared" si="528"/>
        <v>0</v>
      </c>
      <c r="CT311" s="75">
        <f t="shared" si="529"/>
        <v>0</v>
      </c>
      <c r="CU311" s="76">
        <f t="shared" si="530"/>
        <v>0</v>
      </c>
      <c r="CV311" s="76">
        <f t="shared" si="531"/>
        <v>0</v>
      </c>
      <c r="CW311" s="76">
        <f t="shared" si="532"/>
        <v>0</v>
      </c>
      <c r="CX311" s="76">
        <f t="shared" si="533"/>
        <v>0</v>
      </c>
      <c r="CY311" s="76">
        <f t="shared" si="534"/>
        <v>0</v>
      </c>
      <c r="CZ311" s="76">
        <f t="shared" si="535"/>
        <v>0</v>
      </c>
      <c r="DA311" s="76">
        <f t="shared" si="536"/>
        <v>0</v>
      </c>
      <c r="DB311" s="76">
        <f t="shared" si="537"/>
        <v>0</v>
      </c>
      <c r="DC311" s="76">
        <f t="shared" si="538"/>
        <v>0</v>
      </c>
      <c r="DD311" s="76">
        <f t="shared" si="539"/>
        <v>0</v>
      </c>
      <c r="DE311" s="77">
        <f t="shared" si="540"/>
        <v>0</v>
      </c>
      <c r="DF311" s="73">
        <f t="shared" si="542"/>
        <v>24</v>
      </c>
      <c r="DG311" s="67">
        <f t="shared" si="543"/>
        <v>31.309999999999995</v>
      </c>
      <c r="DH311" s="76">
        <f t="shared" si="544"/>
        <v>8</v>
      </c>
      <c r="DI311" s="67">
        <f t="shared" si="545"/>
        <v>33.049999999999997</v>
      </c>
      <c r="DJ311" s="202" t="str">
        <f>IF($D310="","",$D310)</f>
        <v>9</v>
      </c>
      <c r="DK311" s="493"/>
    </row>
    <row r="312" spans="1:115" ht="14.5" customHeight="1" x14ac:dyDescent="0.2">
      <c r="A312" s="390"/>
      <c r="B312" s="457"/>
      <c r="C312" s="79" t="s">
        <v>53</v>
      </c>
      <c r="D312" s="375"/>
      <c r="E312" s="387"/>
      <c r="F312" s="378"/>
      <c r="G312" s="508"/>
      <c r="H312" s="477"/>
      <c r="I312" s="171"/>
      <c r="J312" s="172"/>
      <c r="K312" s="81"/>
      <c r="L312" s="173"/>
      <c r="M312" s="174"/>
      <c r="N312" s="407"/>
      <c r="O312" s="86" t="str">
        <f>IF(OR(AE310="",AE311=""),"",IF(L312&gt;0,ROUND(IF(M312&gt;0,M312,IF(M310&gt;0,ROUND((M310*AE312)/AE310,IF(N310=0,2,IF(N310=0.1,1,0))),IF(M311&gt;0,ROUND((M311*AE312)/AE311,IF(N310=0,2,IF(N310=0.1,1,0))),IF(M312&gt;0,M312,0)))),2),""))</f>
        <v/>
      </c>
      <c r="P312" s="87" t="str">
        <f>IF(I311="Lay",O311*(L311/(L311-1))-O311,IF(I310="Lay",O310*(L310/(L310-1))-O310,IF(OR(L312="",O312=""),"",IF($C312="1/2W",O312/2+O312/2*L312,IF($C312="1/2L",O312/2,(O312*L312-O312)*(1-_xlfn.XLOOKUP(K312,'Fevereiro 2023 - Valor Real'!A3:A15,'Fevereiro 2023 - Valor Real'!C3:C15,0))+O312)))))</f>
        <v/>
      </c>
      <c r="Q312" s="54" t="str">
        <f>IF(K312="","",IF(_xlfn.XLOOKUP(K312,K$11:K302,$DJ$11:DJ302,0,,-1)=DJ312,_xlfn.XLOOKUP(K312,K$11:K302,Q$11:Q302,1,,-1)+1,1))</f>
        <v/>
      </c>
      <c r="R312" s="87" t="str">
        <f>IF(K312="","",_xlfn.XLOOKUP(K312,K$11:K302,R$11:R302,0,,-1)+IF($C312=" ",1,0))</f>
        <v/>
      </c>
      <c r="S312" s="404"/>
      <c r="T312" s="378"/>
      <c r="U312" s="378"/>
      <c r="V312" s="404"/>
      <c r="W312" s="378"/>
      <c r="X312" s="453"/>
      <c r="Y312" s="383"/>
      <c r="Z312" s="384"/>
      <c r="AA312" s="384"/>
      <c r="AB312" s="384"/>
      <c r="AC312" s="384"/>
      <c r="AD312" s="90"/>
      <c r="AE312" s="91" t="str">
        <f>IF(L312="","",(SUM(((L310-1)*(1-_xlfn.XLOOKUP(K310,'Fevereiro 2023 - Valor Real'!A3:A15,'Fevereiro 2023 - Valor Real'!C3:C15,0))+1),((L311-1)*(1-_xlfn.XLOOKUP(K311,'Fevereiro 2023 - Valor Real'!A3:A15,'Fevereiro 2023 - Valor Real'!C3:C15,0))+1),((L312-1)*(1-_xlfn.XLOOKUP(K312,'Fevereiro 2023 - Valor Real'!A3:A15,'Fevereiro 2023 - Valor Real'!C3:C15,0))+1))/((L312-1)*(1-_xlfn.XLOOKUP(K312,'Fevereiro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Real'!C3:C15,0))+1))/((L310-1)*(1-_xlfn.XLOOKUP(K310,'Fevereiro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Real'!C3:C15,0))+1))/((L311-1)*(1-_xlfn.XLOOKUP(K311,'Fevereiro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Real'!C3:C15,0))+1))/((L312-1)*(1-_xlfn.XLOOKUP(K312,'Fevereiro 2023 - Valor Real'!A3:A15,'Fevereiro 2023 - Valor Real'!C3:C15,0))+1)))</f>
        <v/>
      </c>
      <c r="AF312" s="66">
        <f t="shared" si="610"/>
        <v>0</v>
      </c>
      <c r="AG312" s="67">
        <f t="shared" si="610"/>
        <v>0</v>
      </c>
      <c r="AH312" s="67">
        <f t="shared" si="610"/>
        <v>0</v>
      </c>
      <c r="AI312" s="67">
        <f t="shared" si="610"/>
        <v>0</v>
      </c>
      <c r="AJ312" s="67">
        <f t="shared" si="610"/>
        <v>0</v>
      </c>
      <c r="AK312" s="67">
        <f t="shared" si="610"/>
        <v>0</v>
      </c>
      <c r="AL312" s="67">
        <f t="shared" si="610"/>
        <v>0</v>
      </c>
      <c r="AM312" s="67">
        <f t="shared" si="610"/>
        <v>0</v>
      </c>
      <c r="AN312" s="67">
        <f t="shared" si="610"/>
        <v>0</v>
      </c>
      <c r="AO312" s="67">
        <f t="shared" si="610"/>
        <v>0</v>
      </c>
      <c r="AP312" s="67">
        <f t="shared" si="610"/>
        <v>0</v>
      </c>
      <c r="AQ312" s="67">
        <f t="shared" si="610"/>
        <v>0</v>
      </c>
      <c r="AR312" s="68">
        <f t="shared" si="610"/>
        <v>0</v>
      </c>
      <c r="AS312" s="66">
        <f>IF(AND($B310=" ",$K312=AS$3),$O312,0)</f>
        <v>0</v>
      </c>
      <c r="AT312" s="67">
        <f>IF(AND($B310=" ",K312=AT$3),$O312,0)</f>
        <v>0</v>
      </c>
      <c r="AU312" s="67">
        <f t="shared" ref="AU312:BE312" si="623">IF(AND($B310=" ",$K312=AU$3),$O312,0)</f>
        <v>0</v>
      </c>
      <c r="AV312" s="67">
        <f t="shared" si="623"/>
        <v>0</v>
      </c>
      <c r="AW312" s="67">
        <f t="shared" si="623"/>
        <v>0</v>
      </c>
      <c r="AX312" s="67">
        <f t="shared" si="623"/>
        <v>0</v>
      </c>
      <c r="AY312" s="69">
        <f t="shared" si="623"/>
        <v>0</v>
      </c>
      <c r="AZ312" s="70">
        <f t="shared" si="623"/>
        <v>0</v>
      </c>
      <c r="BA312" s="70">
        <f t="shared" si="623"/>
        <v>0</v>
      </c>
      <c r="BB312" s="70">
        <f t="shared" si="623"/>
        <v>0</v>
      </c>
      <c r="BC312" s="71">
        <f t="shared" si="623"/>
        <v>0</v>
      </c>
      <c r="BD312" s="67">
        <f t="shared" si="623"/>
        <v>0</v>
      </c>
      <c r="BE312" s="68">
        <f t="shared" si="623"/>
        <v>0</v>
      </c>
      <c r="BF312" s="66">
        <f t="shared" si="612"/>
        <v>0</v>
      </c>
      <c r="BG312" s="168">
        <f t="shared" si="612"/>
        <v>0</v>
      </c>
      <c r="BH312" s="67">
        <f t="shared" si="612"/>
        <v>0</v>
      </c>
      <c r="BI312" s="67">
        <f t="shared" si="612"/>
        <v>0</v>
      </c>
      <c r="BJ312" s="67">
        <f t="shared" si="612"/>
        <v>0</v>
      </c>
      <c r="BK312" s="67">
        <f t="shared" si="612"/>
        <v>0</v>
      </c>
      <c r="BL312" s="67">
        <f t="shared" si="612"/>
        <v>0</v>
      </c>
      <c r="BM312" s="69">
        <f t="shared" si="612"/>
        <v>0</v>
      </c>
      <c r="BN312" s="70">
        <f t="shared" si="612"/>
        <v>0</v>
      </c>
      <c r="BO312" s="70">
        <f t="shared" si="612"/>
        <v>0</v>
      </c>
      <c r="BP312" s="70">
        <f t="shared" si="612"/>
        <v>0</v>
      </c>
      <c r="BQ312" s="71">
        <f t="shared" si="612"/>
        <v>0</v>
      </c>
      <c r="BR312" s="68">
        <f t="shared" si="612"/>
        <v>0</v>
      </c>
      <c r="BS312" s="491"/>
      <c r="BT312" s="489"/>
      <c r="BU312" s="392"/>
      <c r="BV312" s="489"/>
      <c r="BW312" s="392"/>
      <c r="BX312" s="392"/>
      <c r="BY312" s="392"/>
      <c r="BZ312" s="489"/>
      <c r="CA312" s="392"/>
      <c r="CB312" s="392"/>
      <c r="CC312" s="392"/>
      <c r="CD312" s="401"/>
      <c r="CE312" s="409"/>
      <c r="CF312" s="169">
        <f t="shared" si="515"/>
        <v>0</v>
      </c>
      <c r="CG312" s="170">
        <f t="shared" si="516"/>
        <v>0</v>
      </c>
      <c r="CH312" s="170">
        <f t="shared" si="517"/>
        <v>0</v>
      </c>
      <c r="CI312" s="170">
        <f t="shared" si="518"/>
        <v>0</v>
      </c>
      <c r="CJ312" s="170">
        <f t="shared" si="519"/>
        <v>0</v>
      </c>
      <c r="CK312" s="170">
        <f t="shared" si="520"/>
        <v>0</v>
      </c>
      <c r="CL312" s="170">
        <f t="shared" si="521"/>
        <v>0</v>
      </c>
      <c r="CM312" s="170">
        <f t="shared" si="522"/>
        <v>0</v>
      </c>
      <c r="CN312" s="170">
        <f t="shared" si="523"/>
        <v>0</v>
      </c>
      <c r="CO312" s="170">
        <f t="shared" si="524"/>
        <v>0</v>
      </c>
      <c r="CP312" s="170">
        <f t="shared" si="525"/>
        <v>0</v>
      </c>
      <c r="CQ312" s="170">
        <f t="shared" si="526"/>
        <v>0</v>
      </c>
      <c r="CR312" s="170">
        <f t="shared" si="527"/>
        <v>0</v>
      </c>
      <c r="CS312" s="170">
        <f t="shared" si="528"/>
        <v>0</v>
      </c>
      <c r="CT312" s="75">
        <f t="shared" si="529"/>
        <v>0</v>
      </c>
      <c r="CU312" s="76">
        <f t="shared" si="530"/>
        <v>0</v>
      </c>
      <c r="CV312" s="76">
        <f t="shared" si="531"/>
        <v>0</v>
      </c>
      <c r="CW312" s="76">
        <f t="shared" si="532"/>
        <v>0</v>
      </c>
      <c r="CX312" s="76">
        <f t="shared" si="533"/>
        <v>0</v>
      </c>
      <c r="CY312" s="76">
        <f t="shared" si="534"/>
        <v>0</v>
      </c>
      <c r="CZ312" s="76">
        <f t="shared" si="535"/>
        <v>0</v>
      </c>
      <c r="DA312" s="76">
        <f t="shared" si="536"/>
        <v>0</v>
      </c>
      <c r="DB312" s="76">
        <f t="shared" si="537"/>
        <v>0</v>
      </c>
      <c r="DC312" s="76">
        <f t="shared" si="538"/>
        <v>0</v>
      </c>
      <c r="DD312" s="76">
        <f t="shared" si="539"/>
        <v>0</v>
      </c>
      <c r="DE312" s="77">
        <f t="shared" si="540"/>
        <v>0</v>
      </c>
      <c r="DF312" s="73">
        <f t="shared" si="542"/>
        <v>24</v>
      </c>
      <c r="DG312" s="67">
        <f t="shared" si="543"/>
        <v>31.309999999999995</v>
      </c>
      <c r="DH312" s="76">
        <f t="shared" si="544"/>
        <v>8</v>
      </c>
      <c r="DI312" s="67">
        <f t="shared" si="545"/>
        <v>33.049999999999997</v>
      </c>
      <c r="DJ312" s="202" t="str">
        <f>IF($D310="","",$D310)</f>
        <v>9</v>
      </c>
      <c r="DK312" s="493"/>
    </row>
    <row r="313" spans="1:115" ht="14.5" customHeight="1" x14ac:dyDescent="0.2">
      <c r="A313" s="459">
        <f>$A310+1</f>
        <v>104</v>
      </c>
      <c r="B313" s="507" t="str">
        <f>IF(OR(C313="W",C314="W",C315="W",C313="1/2W",C314="1/2W",C315="1/2W",C313="1/2L",C314="1/2L",C315="1/2L"),"OK",IF(OR(C313="L",C314="L",C315="L"),"LOSS",IF(OR(C313="X",C314="X",C315="X"),"Anulado"," ")))</f>
        <v>OK</v>
      </c>
      <c r="C313" s="93" t="s">
        <v>54</v>
      </c>
      <c r="D313" s="468" t="str">
        <f>IF(G313="","",$D310)</f>
        <v>9</v>
      </c>
      <c r="E313" s="485" t="str">
        <f>IF(G313=""," ","– "&amp;COUNTIF(D$4:D315,$D313))</f>
        <v>– 12</v>
      </c>
      <c r="F313" s="509" t="str">
        <f ca="1">IF(G313="","",IF(OR(AND($C313&lt;&gt;" ",$C314=" "),AND($C314&lt;&gt;" ",$C313=" "),AND(L315&gt;0,OR(AND($C315&lt;&gt;" ",OR($C313=" ",$C314=" ")),AND($C315=" ",OR($C313&lt;&gt;" ",$C314&lt;&gt;" "))))),IF(SUM(F$4:F312)=0,1,LARGE(F$4:F312,1)+1),IF(MONTH(G313)=MONTH(TODAY()),IF(AND(DAY(G313)&lt;DAY(TODAY()),$B313=" "),IF(SUM(F$4:F312)=0,1,LARGE(F$4:F312,1)+1),IF($B313=" ",IF(AND(DAY(G313)=DAY(TODAY()),HOUR(G313)&lt;=HOUR(NOW())+1),IF(AND(HOUR(G313)+2&lt;=HOUR(NOW()),DAY(G313)&lt;=DAY(TODAY()),MINUTE(G313)&lt;=MINUTE(NOW())),IF(SUM(F$4:F312)=0,1,LARGE(F$4:F312,1)+1),IF(OR(MINUTE(G313)&lt;=MINUTE(NOW()),HOUR(G313)&lt;=HOUR(NOW())),"!!!","")),""),"")),"")))</f>
        <v/>
      </c>
      <c r="G313" s="482">
        <v>44995.291666666664</v>
      </c>
      <c r="H313" s="475" t="s">
        <v>147</v>
      </c>
      <c r="I313" s="94" t="s">
        <v>76</v>
      </c>
      <c r="J313" s="95">
        <v>0</v>
      </c>
      <c r="K313" s="96" t="s">
        <v>43</v>
      </c>
      <c r="L313" s="97">
        <v>1.98</v>
      </c>
      <c r="M313" s="98"/>
      <c r="N313" s="478">
        <v>0</v>
      </c>
      <c r="O313" s="99">
        <f>IF(OR(AE313="",AE314=""),"",ROUND(IF(L315&gt;0,IF(M313&gt;0,M313,IF(M314&gt;0,ROUND((M314*AE313)/AE314,IF(N313=0,2,IF(N313=0.1,1,0))),ROUND((M315*AE313)/AE315,IF(N313=0,2,IF(N313=0.1,1,0))))),IF(M313&gt;0,M313,ROUND((M314*AE313)/AE314,IF(N313=0,2,IF(N313=0.1,1,0))))),2))</f>
        <v>21.08</v>
      </c>
      <c r="P313" s="100">
        <f>IF(OR(L313="",O313=""),"",IF($C313="1/2W",O313/2+O313/2*L313,IF($C313="1/2L",O313/2,IF(I313="Lay",(O313*(L313/(L313-1))-O313)*(1-_xlfn.XLOOKUP(K313,'Fevereiro 2023 - Valor Real'!A3:A15,'Fevereiro 2023 - Valor Real'!C3:C15,0))+O313,(O313*L313-O313)*(1-_xlfn.XLOOKUP(K313,'Fevereiro 2023 - Valor Real'!A3:A15,'Fevereiro 2023 - Valor Real'!C3:C15,0))+O313))))</f>
        <v>41.738399999999999</v>
      </c>
      <c r="Q313" s="101">
        <f>IF(K313="","",IF(_xlfn.XLOOKUP(K313,K$6:K308,$DJ$6:DJ308,0,,-1)=DJ313,_xlfn.XLOOKUP(K313,K$6:K308,Q$6:Q308,1,,-1)+1,1))</f>
        <v>2</v>
      </c>
      <c r="R313" s="102">
        <f>IF(K313="","",_xlfn.XLOOKUP(K313,K$6:K308,R$6:R308,0,,-1)+IF($C313=" ",1,0))</f>
        <v>0</v>
      </c>
      <c r="S313" s="474">
        <f>IF($B313="Anulado",0,ROUND(IF(OR($B313="LOSS",$B313="OK"),IF(OR($C313="W",$C313="1/2W",$C313="1/2L"),P313-O313,IF($C313="L",-O313,0))+IF(OR($C314="W",$C314="1/2W",$C314="1/2L"),P314-O314,IF($C314="L",-O314,0))+IF(OR($C315="W",$C315="1/2W",$C315="1/2L"),P315-O315,IF($C315="L",-O315,0)),IF(AND(OR($C313="W",$C313="1/2W",$C313="1/2L"),C314="W"),P313+P314-SUM(O313:O315)+_xlfn.XLOOKUP("X",C313:C315,O313:O315,0),IF(AND(C313=TRUE,C315="W"),P313+P315-SUM(O313:O315),IF(AND(C314="W",C315="W"),P314+P315-SUM(O313:O315)+_xlfn.XLOOKUP("X",C313:C315,O313:O315,0),IF(L315&gt;0,IF(OR($C313="W",$C313="1/2W",$C313="1/2L"),P313-SUM(O313:O315)+_xlfn.XLOOKUP("X",C313:C315,O313:O315,0),IF(OR($C313="W",$C313="1/2W",$C313="1/2L"),P314-SUM(O313:O315)+_xlfn.XLOOKUP("X",C313:C315,O313:O315,0),IF(OR($C313="W",$C313="1/2W",$C313="1/2L"),P315-SUM(O313:O315)+_xlfn.XLOOKUP("X",C313:C315,O313:O315,0),IF(SUM(P313:P315)/3-SUM(O313:O315)+_xlfn.XLOOKUP("X",C313:C315,O313:O315,0)&gt;0,SUM(P313:P315)/3-SUM(O313:O315)+_xlfn.XLOOKUP("X",C313:C315,O313:O315,0),LARGE(P313:P315,1)-SUM(O313:O315))))),IF(OR($C313="W",$C313="1/2W",$C313="1/2L"),P313-SUM(O313:O314)+_xlfn.XLOOKUP("X",C313:C315,O313:O315,0),IF(OR($C313="W",$C313="1/2W",$C313="1/2L"),P314-SUM(O313:O314)+_xlfn.XLOOKUP("X",C313:C315,O313:O315,0),SUM(P313:P314)/2-SUM(O313:O314)+_xlfn.XLOOKUP("X",C313:C315,O313:O315,0)))))))),2))</f>
        <v>1.43</v>
      </c>
      <c r="T313" s="458">
        <f>IF(S313=0,0,S313/SUM(O313:O315))</f>
        <v>3.5475068221285037E-2</v>
      </c>
      <c r="U313" s="470">
        <f>IF($D313=$D310,IF(OR($B313="LOSS",$B313="OK",$B313="Anulada"),S313,0)+U310,IF(OR($B313="LOSS",$B313="OK",$B313="Anulada"),S313,0))</f>
        <v>34.93</v>
      </c>
      <c r="V313" s="470">
        <f>IF($D313="",0,IF($D313=$D310,IF($B313=" ",IF(I315="",IF(OR(AND(I313="DNB1",I314="DNB2"),AND(OR(I313="DNB1",I313="DNB2"),J314=0),AND(OR(I314="DNB1",I314="DNB2"),J313=0),AND(I313="DNB2",I314="DNB1"),AND(IF(J313=0,(J313+1)/ROUND(J313+1,0),J313/ROUND(J313,0))=1,IF(J314=0,(J314+1)/ROUND(IF(J314="",0,J314)+1,0),IF(J314="",0,J314)/ROUND(IF(J314="",1,J314),0))=1,OR(J313&lt;&gt;""),J314&lt;&gt;"")),0,IF(S313&lt;0,IF(I315="",SMALL(P313:P314,1)-SUM(O313:O314),0),SMALL(P313:P314,1)-SUM(O313:O314))),IF(S313&lt;0,IF(I315="",SMALL(P313:P315,1)-SUM(O313:O315),0),LARGE(P313:P315,1)-SUM(O313:O315))),S313)+V310,IF(I315="",IF(OR(AND(I313="DNB1",I314="DNB2"),AND(OR(I313="DNB1",I313="DNB2"),J314=0),AND(OR(I314="DNB1",I314="DNB2"),J313=0),AND(I313="DNB2",I314="DNB1"),AND(IF(J313=0,(J313+1)/ROUND(J313+1,0),J313/ROUND(J313,0))=1,IF(J314=0,(IF(J314="",0,J314)+1)/ROUND(IF(J314="",0,J314)+1,0),IF(J314="",0,J314)/ROUND(IF(J314="",0,J314)+1,0))=1,OR(J313&lt;&gt;""),J314&lt;&gt;"")),0,IF(S313&lt;0,IF(I315="",SMALL(P313:P314,1)-SUM(O313:O314),0),SMALL(P313:P315,1)-SUM(O313:O315))),IF(S313&lt;0,IF(I315="",SMALL(P313:P315,1)-SUM(O313:O315),0),LARGE(P313:P315,1)-SUM(O313:O315)))))</f>
        <v>34.930400000000006</v>
      </c>
      <c r="W313" s="470">
        <f>IF($D313=$D310,IF(S313&lt;0,IF(I315="",S313,0),S313)+W310,S313)</f>
        <v>34.93</v>
      </c>
      <c r="X313" s="480" t="str">
        <f>IF(OR(SUM(R313:R315)=0,V313=W313),ROUND(IF(W313=0,0,W313/Y313)*100,2)&amp;"%",ROUND(IF(V313=0,0,V313/Y313)*100,2)&amp;"% a "&amp;ROUND(IF(W313=0,0,W313/Y313)*100,2)&amp;"%")</f>
        <v>5,1%</v>
      </c>
      <c r="Y313" s="471">
        <f>IF($D313=$D310,Y310+SUM(O313:O315),SUM(O313:O315))</f>
        <v>684.83999999999992</v>
      </c>
      <c r="Z313" s="470">
        <f>IF($B313=" ",SUM(O313:O315),0)+Z310</f>
        <v>0</v>
      </c>
      <c r="AA313" s="470">
        <f>IF(G313="","",IF($B313="Anulado",LARGE(P313:P315,1)-SUM(O313:O315)+AA310,AA310))</f>
        <v>2.6261999999999954</v>
      </c>
      <c r="AB313" s="470">
        <f>IF($D313="","",AB310+S313)</f>
        <v>475.79000000000008</v>
      </c>
      <c r="AC313" s="472">
        <f ca="1">IF($D313="","",IF($B313=" ",IF(DAY(G313)=DAY(TODAY()),1+AC310,0+AC310),0+AC310))</f>
        <v>0</v>
      </c>
      <c r="AD313" s="103">
        <f>(((L314/(L314-1)-1)*(1-_xlfn.XLOOKUP(K314,'Fevereiro 2023 - Valor Real'!A3:A15,'Fevereiro 2023 - Valor Real'!C3:C15,0))+1))/(((L313-1)*(1-_xlfn.XLOOKUP(K313,'Fevereiro 2023 - Valor Real'!A3:A15,'Fevereiro 2023 - Valor Real'!C3:C15,0))+1)+((L314/(L314-1)-1)*(1-_xlfn.XLOOKUP(K314,'Fevereiro 2023 - Valor Real'!A3:A15,'Fevereiro 2023 - Valor Real'!C3:C15,0))+1))</f>
        <v>0.48366246155217762</v>
      </c>
      <c r="AE313" s="104">
        <f>IF(L313="","",IF(L315&gt;0,(SUM(((L313-1)*(1-_xlfn.XLOOKUP(K313,'Fevereiro 2023 - Valor Real'!A3:A15,'Fevereiro 2023 - Valor Real'!C3:C15,0))+1),((L314-1)*(1-_xlfn.XLOOKUP(K314,'Fevereiro 2023 - Valor Real'!A3:A15,'Fevereiro 2023 - Valor Real'!C3:C15,0))+1),((L315-1)*(1-_xlfn.XLOOKUP(K315,'Fevereiro 2023 - Valor Real'!A3:A15,'Fevereiro 2023 - Valor Real'!C3:C15,0))+1))/((L313-1)*(1-_xlfn.XLOOKUP(K313,'Fevereiro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Real'!C3:C15,0))+1))/((L313-1)*(1-_xlfn.XLOOKUP(K313,'Fevereiro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Real'!C3:C15,0))+1))/((L314-1)*(1-_xlfn.XLOOKUP(K314,'Fevereiro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Real'!C3:C15,0))+1))/((L315-1)*(1-_xlfn.XLOOKUP(K315,'Fevereiro 2023 - Valor Real'!A3:A15,'Fevereiro 2023 - Valor Real'!C3:C15,0))+1)),IF(I313="Lay",IF(I314="Lay",((L314/(L314-1)-1)*(1-_xlfn.XLOOKUP(K314,'Fevereiro 2023 - Valor Real'!A3:A15,'Fevereiro 2023 - Valor Real'!C3:C15,0))+1)/(((L314/(L314-1)-1)*(1-_xlfn.XLOOKUP(K314,'Fevereiro 2023 - Valor Real'!A3:A15,'Fevereiro 2023 - Valor Real'!C3:C15,0))+1)+((L313/(L313-1)-1)*(1-_xlfn.XLOOKUP(K313,'Fevereiro 2023 - Valor Real'!A3:A15,'Fevereiro 2023 - Valor Real'!C3:C15,0))+1)),((L314-1)*(1-_xlfn.XLOOKUP(K314,'Fevereiro 2023 - Valor Real'!A3:A15,'Fevereiro 2023 - Valor Real'!C3:C15,0))+1)/(((L314-1)*(1-_xlfn.XLOOKUP(K314,'Fevereiro 2023 - Valor Real'!A3:A15,'Fevereiro 2023 - Valor Real'!C3:C15,0))+1)+((L313/(L313-1)-1)*(1-_xlfn.XLOOKUP(K313,'Fevereiro 2023 - Valor Real'!A3:A15,'Fevereiro 2023 - Valor Real'!C3:C15,0))+1))),IF(I314="Lay",(((L314/(L314-1)-1)*(1-_xlfn.XLOOKUP(K314,'Fevereiro 2023 - Valor Real'!A3:A15,'Fevereiro 2023 - Valor Real'!C3:C15,0))+1))/(((L313-1)*(1-_xlfn.XLOOKUP(K313,'Fevereiro 2023 - Valor Real'!A3:A15,'Fevereiro 2023 - Valor Real'!C3:C15,0))+1)+((L314/(L314-1)-1)*(1-_xlfn.XLOOKUP(K314,'Fevereiro 2023 - Valor Real'!A3:A15,'Fevereiro 2023 - Valor Real'!C3:C15,0))+1)),((L314-1)*(1-_xlfn.XLOOKUP(K314,'Fevereiro 2023 - Valor Real'!A3:A15,'Fevereiro 2023 - Valor Real'!C3:C15,0))+1)/(((L314-1)*(1-_xlfn.XLOOKUP(K314,'Fevereiro 2023 - Valor Real'!A3:A15,'Fevereiro 2023 - Valor Real'!C3:C15,0))+1)+((L313-1)*(1-_xlfn.XLOOKUP(K313,'Fevereiro 2023 - Valor Real'!A3:A15,'Fevereiro 2023 - Valor Real'!C3:C15,0))+1))))))</f>
        <v>0.52289156626506017</v>
      </c>
      <c r="AF313" s="105">
        <f t="shared" si="610"/>
        <v>0</v>
      </c>
      <c r="AG313" s="106">
        <f t="shared" si="610"/>
        <v>0</v>
      </c>
      <c r="AH313" s="106">
        <f t="shared" si="610"/>
        <v>0</v>
      </c>
      <c r="AI313" s="106">
        <f t="shared" si="610"/>
        <v>0</v>
      </c>
      <c r="AJ313" s="106">
        <f t="shared" si="610"/>
        <v>0</v>
      </c>
      <c r="AK313" s="106">
        <f t="shared" si="610"/>
        <v>0</v>
      </c>
      <c r="AL313" s="106">
        <f t="shared" si="610"/>
        <v>0</v>
      </c>
      <c r="AM313" s="106">
        <f t="shared" si="610"/>
        <v>20.66</v>
      </c>
      <c r="AN313" s="106">
        <f t="shared" si="610"/>
        <v>0</v>
      </c>
      <c r="AO313" s="106">
        <f t="shared" si="610"/>
        <v>0</v>
      </c>
      <c r="AP313" s="106">
        <f t="shared" si="610"/>
        <v>0</v>
      </c>
      <c r="AQ313" s="106">
        <f t="shared" si="610"/>
        <v>0</v>
      </c>
      <c r="AR313" s="107">
        <f t="shared" si="610"/>
        <v>0</v>
      </c>
      <c r="AS313" s="105">
        <f t="shared" ref="AS313:BE313" si="624">IF(AND($B313=" ",$K313=AS$3),$O313,0)</f>
        <v>0</v>
      </c>
      <c r="AT313" s="106">
        <f t="shared" si="624"/>
        <v>0</v>
      </c>
      <c r="AU313" s="106">
        <f t="shared" si="624"/>
        <v>0</v>
      </c>
      <c r="AV313" s="106">
        <f t="shared" si="624"/>
        <v>0</v>
      </c>
      <c r="AW313" s="106">
        <f t="shared" si="624"/>
        <v>0</v>
      </c>
      <c r="AX313" s="106">
        <f t="shared" si="624"/>
        <v>0</v>
      </c>
      <c r="AY313" s="108">
        <f t="shared" si="624"/>
        <v>0</v>
      </c>
      <c r="AZ313" s="109">
        <f t="shared" si="624"/>
        <v>0</v>
      </c>
      <c r="BA313" s="109">
        <f t="shared" si="624"/>
        <v>0</v>
      </c>
      <c r="BB313" s="109">
        <f t="shared" si="624"/>
        <v>0</v>
      </c>
      <c r="BC313" s="110">
        <f t="shared" si="624"/>
        <v>0</v>
      </c>
      <c r="BD313" s="106">
        <f t="shared" si="624"/>
        <v>0</v>
      </c>
      <c r="BE313" s="107">
        <f t="shared" si="624"/>
        <v>0</v>
      </c>
      <c r="BF313" s="111">
        <f t="shared" si="612"/>
        <v>0</v>
      </c>
      <c r="BG313" s="106">
        <f t="shared" si="612"/>
        <v>0</v>
      </c>
      <c r="BH313" s="106">
        <f t="shared" si="612"/>
        <v>0</v>
      </c>
      <c r="BI313" s="106">
        <f t="shared" si="612"/>
        <v>0</v>
      </c>
      <c r="BJ313" s="106">
        <f t="shared" si="612"/>
        <v>0</v>
      </c>
      <c r="BK313" s="106">
        <f t="shared" si="612"/>
        <v>0</v>
      </c>
      <c r="BL313" s="106">
        <f t="shared" si="612"/>
        <v>0</v>
      </c>
      <c r="BM313" s="108">
        <f t="shared" si="612"/>
        <v>21.08</v>
      </c>
      <c r="BN313" s="109">
        <f t="shared" si="612"/>
        <v>0</v>
      </c>
      <c r="BO313" s="109">
        <f t="shared" si="612"/>
        <v>0</v>
      </c>
      <c r="BP313" s="109">
        <f t="shared" si="612"/>
        <v>0</v>
      </c>
      <c r="BQ313" s="110">
        <f t="shared" si="612"/>
        <v>0</v>
      </c>
      <c r="BR313" s="107">
        <f t="shared" si="612"/>
        <v>0</v>
      </c>
      <c r="BS313" s="463">
        <f>IF($B313="LOSS",IF(AND($K313=BS$3,$C313="L"),-$O313,0)+IF(AND($K314=BS$3,$C314="L"),-$O314,0)+IF(AND($K315=BS$3,$C315="L"),-$O315,0),IF(OR(AND($K313=BS$3,OR($C313="W",$C313="1/2W")),AND($K314=BS$3,OR($C314="W",$C314="1/2W")),AND($K315=BS$3,OR($C315="W",$C315="1/2W"))),$S313,0))</f>
        <v>0</v>
      </c>
      <c r="BT313" s="462">
        <f>IF($B313="LOSS",IF(AND($K313=BT$3,$C313="L"),-$O313,0)+IF(AND($K314=BT$3,$C314="L"),-$O314,0)+IF(AND($K314=BT$3,$C315="L"),-$O315,0),IF(OR(AND($K314=BT$3,OR($C313="W",$C313="1/2W")),AND($K314=BT$3,OR($C314="W",$C314="1/2W")),AND($K314=BT$3,OR($C315="W",$C315="1/2W"))),$S313,0))</f>
        <v>0</v>
      </c>
      <c r="BU313" s="462">
        <f>IF($B313="LOSS",IF(AND($K313=BU$3,$C313="L"),-$O313,0)+IF(AND($K314=BU$3,$C314="L"),-$O314,0)+IF(AND($K314=BU$3,$C315="L"),-$O315,0),IF(OR(AND($K314=BU$3,OR($C313="W",$C313="1/2W")),AND($K314=BU$3,OR($C314="W",$C314="1/2W")),AND($K314=BU$3,OR($C315="W",$C315="1/2W"))),$S313,0))</f>
        <v>0</v>
      </c>
      <c r="BV313" s="462">
        <f t="shared" ref="BV313:CE313" si="625">IF($B313="LOSS",IF(AND($K313=BV$3,$C313="L"),-$O313,0)+IF(AND($K314=BV$3,$C314="L"),-$O314,0)+IF(AND($K315=BV$3,$C315="L"),-$O315,0),IF(OR(AND($K313=BV$3,OR($C313="W",$C313="1/2W")),AND($K314=BV$3,OR($C314="W",$C314="1/2W")),AND($K315=BV$3,OR($C315="W",$C315="1/2W"))),$S313,0))</f>
        <v>0</v>
      </c>
      <c r="BW313" s="462">
        <f t="shared" si="625"/>
        <v>0</v>
      </c>
      <c r="BX313" s="462">
        <f t="shared" si="625"/>
        <v>0</v>
      </c>
      <c r="BY313" s="462">
        <f t="shared" si="625"/>
        <v>0</v>
      </c>
      <c r="BZ313" s="460">
        <f t="shared" si="625"/>
        <v>1.43</v>
      </c>
      <c r="CA313" s="460">
        <f t="shared" si="625"/>
        <v>0</v>
      </c>
      <c r="CB313" s="460">
        <f t="shared" si="625"/>
        <v>0</v>
      </c>
      <c r="CC313" s="460">
        <f t="shared" si="625"/>
        <v>0</v>
      </c>
      <c r="CD313" s="473">
        <f t="shared" si="625"/>
        <v>0</v>
      </c>
      <c r="CE313" s="479">
        <f t="shared" si="625"/>
        <v>0</v>
      </c>
      <c r="CF313" s="113">
        <f t="shared" si="515"/>
        <v>0</v>
      </c>
      <c r="CG313" s="114">
        <f t="shared" si="516"/>
        <v>0</v>
      </c>
      <c r="CH313" s="114">
        <f t="shared" si="517"/>
        <v>0</v>
      </c>
      <c r="CI313" s="114">
        <f t="shared" si="518"/>
        <v>0</v>
      </c>
      <c r="CJ313" s="114">
        <f t="shared" si="519"/>
        <v>0</v>
      </c>
      <c r="CK313" s="114">
        <f t="shared" si="520"/>
        <v>0</v>
      </c>
      <c r="CL313" s="114">
        <f t="shared" si="521"/>
        <v>0</v>
      </c>
      <c r="CM313" s="114">
        <f t="shared" si="522"/>
        <v>0</v>
      </c>
      <c r="CN313" s="114">
        <f t="shared" si="523"/>
        <v>0</v>
      </c>
      <c r="CO313" s="114">
        <f t="shared" si="524"/>
        <v>0</v>
      </c>
      <c r="CP313" s="114">
        <f t="shared" si="525"/>
        <v>0</v>
      </c>
      <c r="CQ313" s="114">
        <f t="shared" si="526"/>
        <v>0</v>
      </c>
      <c r="CR313" s="114">
        <f t="shared" si="527"/>
        <v>0</v>
      </c>
      <c r="CS313" s="114">
        <f t="shared" si="528"/>
        <v>0</v>
      </c>
      <c r="CT313" s="115">
        <f t="shared" si="529"/>
        <v>1</v>
      </c>
      <c r="CU313" s="116">
        <f t="shared" si="530"/>
        <v>0</v>
      </c>
      <c r="CV313" s="116">
        <f t="shared" si="531"/>
        <v>0</v>
      </c>
      <c r="CW313" s="116">
        <f t="shared" si="532"/>
        <v>0</v>
      </c>
      <c r="CX313" s="116">
        <f t="shared" si="533"/>
        <v>0</v>
      </c>
      <c r="CY313" s="116">
        <f t="shared" si="534"/>
        <v>0</v>
      </c>
      <c r="CZ313" s="116">
        <f t="shared" si="535"/>
        <v>0</v>
      </c>
      <c r="DA313" s="116">
        <f t="shared" si="536"/>
        <v>0</v>
      </c>
      <c r="DB313" s="116">
        <f t="shared" si="537"/>
        <v>0</v>
      </c>
      <c r="DC313" s="116">
        <f t="shared" si="538"/>
        <v>0</v>
      </c>
      <c r="DD313" s="116">
        <f t="shared" si="539"/>
        <v>0</v>
      </c>
      <c r="DE313" s="117">
        <f t="shared" si="540"/>
        <v>0</v>
      </c>
      <c r="DF313" s="118">
        <f t="shared" si="542"/>
        <v>24</v>
      </c>
      <c r="DG313" s="106">
        <f t="shared" si="543"/>
        <v>31.309999999999995</v>
      </c>
      <c r="DH313" s="116">
        <f t="shared" si="544"/>
        <v>8</v>
      </c>
      <c r="DI313" s="106">
        <f t="shared" si="545"/>
        <v>33.049999999999997</v>
      </c>
      <c r="DJ313" s="201" t="str">
        <f>IF($D313="","",$D313)</f>
        <v>9</v>
      </c>
      <c r="DK313" s="465">
        <f>IF(AND($B313=" ",$D313&lt;&gt;""),1,0)</f>
        <v>0</v>
      </c>
    </row>
    <row r="314" spans="1:115" ht="14.5" customHeight="1" x14ac:dyDescent="0.2">
      <c r="A314" s="389"/>
      <c r="B314" s="456"/>
      <c r="C314" s="120" t="s">
        <v>55</v>
      </c>
      <c r="D314" s="374"/>
      <c r="E314" s="386"/>
      <c r="F314" s="377"/>
      <c r="G314" s="483"/>
      <c r="H314" s="476"/>
      <c r="I314" s="121" t="s">
        <v>66</v>
      </c>
      <c r="J314" s="122">
        <f>IF(OR(I313="TO",I313="TU",I313="TO1",I313="TU1",I313="TO2",I313="TU2"),J313,IF(OR(I313="AH1",I313="AH2"),IF(OR(I314="AH1",I314="AH2"),-J313,IF(OR(I314="EH1",I314="EH2"),-J313+0.5,"")),IF(OR(I313="EH1",I313="EH2"),IF(OR(I314="AH1",I314="AH2"),-J313+0.5,IF(OR(I314="EH1",I314="EH2"),-J313+1,"")),IF(AND(OR(I313="DNB1",I313="DNB2"),OR(I314="AH1",I314="AH2")),0,IF(AND(I313="Not ScoreBoth",OR(I314="TO1",I314="TO2")),0.5,"")))))</f>
        <v>0</v>
      </c>
      <c r="K314" s="123" t="s">
        <v>40</v>
      </c>
      <c r="L314" s="124">
        <v>2.17</v>
      </c>
      <c r="M314" s="125">
        <v>19.23</v>
      </c>
      <c r="N314" s="406"/>
      <c r="O314" s="126">
        <f>IF(OR(AE313="",AE314=""),"",ROUND(IF(L315&gt;0,IF(M314&gt;0,M314,IF(M313&gt;0,IF(N313=TRUE,ROUND((M313*AE314)/AE313,0),(M313*AE314)/AE313),IF(M314&gt;0,ROUND(M314,IF(N313=0,2,IF(N313=0.1,1,0))),IF(M315&gt;0,ROUND(O315*AE314/AE315,IF(N313=0,2,IF(N313=0.1,1,0))),0)))),IF(M314&gt;0,M314,ROUND((M313*AE314)/AE313,IF(N313=0,2,IF(N313=0.1,1,0))))),2))</f>
        <v>19.23</v>
      </c>
      <c r="P314" s="127">
        <f>IF(OR(L314="",O314=""),"",IF($C314="1/2W",O314/2+O314/2*L314,IF($C314="1/2L",O314/2,IF(I314="Lay",((O314*(L314/(L314-1)))-O314)*(1-_xlfn.XLOOKUP(K314,'Fevereiro 2023 - Valor Real'!A3:A15,'Fevereiro 2023 - Valor Real'!C3:C15,0))+O314,(O314*L314-O314)*(1-_xlfn.XLOOKUP(K314,'Fevereiro 2023 - Valor Real'!A3:A15,'Fevereiro 2023 - Valor Real'!C3:C15,0))+O314))))</f>
        <v>41.729100000000003</v>
      </c>
      <c r="Q314" s="128">
        <f>IF(K314="","",IF(_xlfn.XLOOKUP(K314,K$7:K308,$DJ$7:DJ308,0,,-1)=DJ314,_xlfn.XLOOKUP(K314,K$7:K308,Q$7:Q308,1,,-1)+1,1))</f>
        <v>5</v>
      </c>
      <c r="R314" s="129">
        <f>IF(K314="","",_xlfn.XLOOKUP(K314,K$7:K308,R$7:R308,0,,-1)+IF($C314=" ",1,0))</f>
        <v>0</v>
      </c>
      <c r="S314" s="403"/>
      <c r="T314" s="380"/>
      <c r="U314" s="380"/>
      <c r="V314" s="481"/>
      <c r="W314" s="380"/>
      <c r="X314" s="452"/>
      <c r="Y314" s="383"/>
      <c r="Z314" s="384"/>
      <c r="AA314" s="384"/>
      <c r="AB314" s="384"/>
      <c r="AC314" s="384"/>
      <c r="AD314" s="130">
        <f>(((L314/(L314-1)-1)*(1-_xlfn.XLOOKUP(K314,'Fevereiro 2023 - Valor Real'!A3:A15,'Fevereiro 2023 - Valor Real'!C3:C15,0))+1))</f>
        <v>1.8547008547008548</v>
      </c>
      <c r="AE314" s="131">
        <f>IF(L314="","",IF(L315&gt;0,(SUM(((L313-1)*(1-_xlfn.XLOOKUP(K313,'Fevereiro 2023 - Valor Real'!A3:A15,'Fevereiro 2023 - Valor Real'!C3:C15,0))+1),((L314-1)*(1-_xlfn.XLOOKUP(K314,'Fevereiro 2023 - Valor Real'!A3:A15,'Fevereiro 2023 - Valor Real'!C3:C15,0))+1),((L315-1)*(1-_xlfn.XLOOKUP(K315,'Fevereiro 2023 - Valor Real'!A3:A15,'Fevereiro 2023 - Valor Real'!C3:C15,0))+1))/((L314-1)*(1-_xlfn.XLOOKUP(K314,'Fevereiro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Real'!C3:C15,0))+1))/((L313-1)*(1-_xlfn.XLOOKUP(K313,'Fevereiro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Real'!C3:C15,0))+1))/((L314-1)*(1-_xlfn.XLOOKUP(K314,'Fevereiro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Real'!C3:C15,0))+1))/((L315-1)*(1-_xlfn.XLOOKUP(K315,'Fevereiro 2023 - Valor Real'!A3:A15,'Fevereiro 2023 - Valor Real'!C3:C15,0))+1)),IF(I314="Lay",IF(I313="Lay",((L313/(L313-1)-1)*(1-_xlfn.XLOOKUP(K313,'Fevereiro 2023 - Valor Real'!A3:A15,'Fevereiro 2023 - Valor Real'!C3:C15,0))+1)/(((L313/(L313-1)-1)*(1-_xlfn.XLOOKUP(K313,'Fevereiro 2023 - Valor Real'!A3:A15,'Fevereiro 2023 - Valor Real'!C3:C15,0))+1)+((L314/(L314-1)-1)*(1-_xlfn.XLOOKUP(K314,'Fevereiro 2023 - Valor Real'!A3:A15,'Fevereiro 2023 - Valor Real'!C3:C15,0))+1)),((L313-1)*(1-_xlfn.XLOOKUP(K313,'Fevereiro 2023 - Valor Real'!A3:A15,'Fevereiro 2023 - Valor Real'!C3:C15,0))+1)/(((L313-1)*(1-_xlfn.XLOOKUP(K313,'Fevereiro 2023 - Valor Real'!A3:A15,'Fevereiro 2023 - Valor Real'!C3:C15,0))+1)+((L314/(L314-1)-1)*(1-_xlfn.XLOOKUP(K314,'Fevereiro 2023 - Valor Real'!A3:A15,'Fevereiro 2023 - Valor Real'!C3:C15,0))+1))),IF(I313="Lay",((L313/(L313-1)-1)*(1-_xlfn.XLOOKUP(K313,'Fevereiro 2023 - Valor Real'!A3:A15,'Fevereiro 2023 - Valor Real'!C3:C15,0))+1)/((((L313/(L313-1)-1)*(1-_xlfn.XLOOKUP(K313,'Fevereiro 2023 - Valor Real'!A3:A15,'Fevereiro 2023 - Valor Real'!C3:C15,0))+1))+((L314-1)*(1-_xlfn.XLOOKUP(K314,'Fevereiro 2023 - Valor Real'!A3:A15,'Fevereiro 2023 - Valor Real'!C3:C15,0))+1)),((L313-1)*(1-_xlfn.XLOOKUP(K313,'Fevereiro 2023 - Valor Real'!A3:A15,'Fevereiro 2023 - Valor Real'!C3:C15,0))+1)/(((L313-1)*(1-_xlfn.XLOOKUP(K313,'Fevereiro 2023 - Valor Real'!A3:A15,'Fevereiro 2023 - Valor Real'!C3:C15,0))+1)+((L314-1)*(1-_xlfn.XLOOKUP(K314,'Fevereiro 2023 - Valor Real'!A3:A15,'Fevereiro 2023 - Valor Real'!C3:C15,0))+1))))))</f>
        <v>0.47710843373493972</v>
      </c>
      <c r="AF314" s="105">
        <f t="shared" ref="AF314:AR323" si="626">IF($K314=AF$3,ROUND(IF(OR($C314="W",$C314="1/2W",$C314="1/2L"),$P314-$O314,IF($C314="X",0,-$O314)),2),0)</f>
        <v>0</v>
      </c>
      <c r="AG314" s="106">
        <f t="shared" si="626"/>
        <v>0</v>
      </c>
      <c r="AH314" s="106">
        <f t="shared" si="626"/>
        <v>0</v>
      </c>
      <c r="AI314" s="106">
        <f t="shared" si="626"/>
        <v>0</v>
      </c>
      <c r="AJ314" s="106">
        <f t="shared" si="626"/>
        <v>-19.23</v>
      </c>
      <c r="AK314" s="106">
        <f t="shared" si="626"/>
        <v>0</v>
      </c>
      <c r="AL314" s="106">
        <f t="shared" si="626"/>
        <v>0</v>
      </c>
      <c r="AM314" s="106">
        <f t="shared" si="626"/>
        <v>0</v>
      </c>
      <c r="AN314" s="106">
        <f t="shared" si="626"/>
        <v>0</v>
      </c>
      <c r="AO314" s="106">
        <f t="shared" si="626"/>
        <v>0</v>
      </c>
      <c r="AP314" s="106">
        <f t="shared" si="626"/>
        <v>0</v>
      </c>
      <c r="AQ314" s="106">
        <f t="shared" si="626"/>
        <v>0</v>
      </c>
      <c r="AR314" s="107">
        <f t="shared" si="626"/>
        <v>0</v>
      </c>
      <c r="AS314" s="105">
        <f>IF(AND($B313=" ",$K314=AS$3),$O314,0)</f>
        <v>0</v>
      </c>
      <c r="AT314" s="106">
        <f>IF(AND($B313=" ",K314=AT$3),$O314,0)</f>
        <v>0</v>
      </c>
      <c r="AU314" s="106">
        <f t="shared" ref="AU314:BE314" si="627">IF(AND($B313=" ",$K314=AU$3),$O314,0)</f>
        <v>0</v>
      </c>
      <c r="AV314" s="106">
        <f t="shared" si="627"/>
        <v>0</v>
      </c>
      <c r="AW314" s="106">
        <f t="shared" si="627"/>
        <v>0</v>
      </c>
      <c r="AX314" s="106">
        <f t="shared" si="627"/>
        <v>0</v>
      </c>
      <c r="AY314" s="108">
        <f t="shared" si="627"/>
        <v>0</v>
      </c>
      <c r="AZ314" s="109">
        <f t="shared" si="627"/>
        <v>0</v>
      </c>
      <c r="BA314" s="109">
        <f t="shared" si="627"/>
        <v>0</v>
      </c>
      <c r="BB314" s="109">
        <f t="shared" si="627"/>
        <v>0</v>
      </c>
      <c r="BC314" s="110">
        <f t="shared" si="627"/>
        <v>0</v>
      </c>
      <c r="BD314" s="106">
        <f t="shared" si="627"/>
        <v>0</v>
      </c>
      <c r="BE314" s="107">
        <f t="shared" si="627"/>
        <v>0</v>
      </c>
      <c r="BF314" s="105">
        <f t="shared" ref="BF314:BR323" si="628">IF($K314=BF$3,IF($C314="X",0,$O314),0)</f>
        <v>0</v>
      </c>
      <c r="BG314" s="106">
        <f t="shared" si="628"/>
        <v>0</v>
      </c>
      <c r="BH314" s="106">
        <f t="shared" si="628"/>
        <v>0</v>
      </c>
      <c r="BI314" s="106">
        <f t="shared" si="628"/>
        <v>0</v>
      </c>
      <c r="BJ314" s="106">
        <f t="shared" si="628"/>
        <v>19.23</v>
      </c>
      <c r="BK314" s="106">
        <f t="shared" si="628"/>
        <v>0</v>
      </c>
      <c r="BL314" s="106">
        <f t="shared" si="628"/>
        <v>0</v>
      </c>
      <c r="BM314" s="132">
        <f t="shared" si="628"/>
        <v>0</v>
      </c>
      <c r="BN314" s="112">
        <f t="shared" si="628"/>
        <v>0</v>
      </c>
      <c r="BO314" s="112">
        <f t="shared" si="628"/>
        <v>0</v>
      </c>
      <c r="BP314" s="112">
        <f t="shared" si="628"/>
        <v>0</v>
      </c>
      <c r="BQ314" s="110">
        <f t="shared" si="628"/>
        <v>0</v>
      </c>
      <c r="BR314" s="107">
        <f t="shared" si="628"/>
        <v>0</v>
      </c>
      <c r="BS314" s="464"/>
      <c r="BT314" s="461"/>
      <c r="BU314" s="392"/>
      <c r="BV314" s="461"/>
      <c r="BW314" s="392"/>
      <c r="BX314" s="392"/>
      <c r="BY314" s="392"/>
      <c r="BZ314" s="461"/>
      <c r="CA314" s="392"/>
      <c r="CB314" s="392"/>
      <c r="CC314" s="392"/>
      <c r="CD314" s="401"/>
      <c r="CE314" s="409"/>
      <c r="CF314" s="133">
        <f t="shared" si="515"/>
        <v>0</v>
      </c>
      <c r="CG314" s="134">
        <f t="shared" si="516"/>
        <v>0</v>
      </c>
      <c r="CH314" s="134">
        <f t="shared" si="517"/>
        <v>0</v>
      </c>
      <c r="CI314" s="134">
        <f t="shared" si="518"/>
        <v>0</v>
      </c>
      <c r="CJ314" s="134">
        <f t="shared" si="519"/>
        <v>0</v>
      </c>
      <c r="CK314" s="134">
        <f t="shared" si="520"/>
        <v>0</v>
      </c>
      <c r="CL314" s="134">
        <f t="shared" si="521"/>
        <v>0</v>
      </c>
      <c r="CM314" s="134">
        <f t="shared" si="522"/>
        <v>0</v>
      </c>
      <c r="CN314" s="134">
        <f t="shared" si="523"/>
        <v>0</v>
      </c>
      <c r="CO314" s="134">
        <f t="shared" si="524"/>
        <v>1</v>
      </c>
      <c r="CP314" s="134">
        <f t="shared" si="525"/>
        <v>0</v>
      </c>
      <c r="CQ314" s="134">
        <f t="shared" si="526"/>
        <v>0</v>
      </c>
      <c r="CR314" s="134">
        <f t="shared" si="527"/>
        <v>0</v>
      </c>
      <c r="CS314" s="134">
        <f t="shared" si="528"/>
        <v>0</v>
      </c>
      <c r="CT314" s="115">
        <f t="shared" si="529"/>
        <v>0</v>
      </c>
      <c r="CU314" s="116">
        <f t="shared" si="530"/>
        <v>0</v>
      </c>
      <c r="CV314" s="116">
        <f t="shared" si="531"/>
        <v>0</v>
      </c>
      <c r="CW314" s="116">
        <f t="shared" si="532"/>
        <v>0</v>
      </c>
      <c r="CX314" s="116">
        <f t="shared" si="533"/>
        <v>0</v>
      </c>
      <c r="CY314" s="116">
        <f t="shared" si="534"/>
        <v>0</v>
      </c>
      <c r="CZ314" s="116">
        <f t="shared" si="535"/>
        <v>0</v>
      </c>
      <c r="DA314" s="116">
        <f t="shared" si="536"/>
        <v>0</v>
      </c>
      <c r="DB314" s="116">
        <f t="shared" si="537"/>
        <v>0</v>
      </c>
      <c r="DC314" s="116">
        <f t="shared" si="538"/>
        <v>0</v>
      </c>
      <c r="DD314" s="116">
        <f t="shared" si="539"/>
        <v>0</v>
      </c>
      <c r="DE314" s="117">
        <f t="shared" si="540"/>
        <v>0</v>
      </c>
      <c r="DF314" s="118">
        <f t="shared" si="542"/>
        <v>24</v>
      </c>
      <c r="DG314" s="106">
        <f t="shared" si="543"/>
        <v>31.309999999999995</v>
      </c>
      <c r="DH314" s="116">
        <f t="shared" si="544"/>
        <v>8</v>
      </c>
      <c r="DI314" s="106">
        <f t="shared" si="545"/>
        <v>33.049999999999997</v>
      </c>
      <c r="DJ314" s="201" t="str">
        <f>IF($D313="","",$D313)</f>
        <v>9</v>
      </c>
      <c r="DK314" s="466"/>
    </row>
    <row r="315" spans="1:115" ht="14.5" customHeight="1" x14ac:dyDescent="0.2">
      <c r="A315" s="390"/>
      <c r="B315" s="457"/>
      <c r="C315" s="135" t="s">
        <v>53</v>
      </c>
      <c r="D315" s="375"/>
      <c r="E315" s="387"/>
      <c r="F315" s="378"/>
      <c r="G315" s="484"/>
      <c r="H315" s="477"/>
      <c r="I315" s="136"/>
      <c r="J315" s="137"/>
      <c r="K315" s="138"/>
      <c r="L315" s="139"/>
      <c r="M315" s="140"/>
      <c r="N315" s="407"/>
      <c r="O315" s="141" t="str">
        <f>IF(OR(AE313="",AE314=""),"",IF(L315&gt;0,ROUND(IF(M315&gt;0,M315,IF(M313&gt;0,ROUND((M313*AE315)/AE313,IF(N313=0,2,IF(N313=0.1,1,0))),IF(M314&gt;0,ROUND((M314*AE315)/AE314,IF(N313=0,2,IF(N313=0.1,1,0))),IF(M315&gt;0,M315,0)))),2),""))</f>
        <v/>
      </c>
      <c r="P315" s="142" t="str">
        <f>IF(I314="Lay",O314*(L314/(L314-1))-O314,IF(I313="Lay",O313*(L313/(L313-1))-O313,IF(OR(L315="",O315=""),"",IF($C315="1/2W",O315/2+O315/2*L315,IF($C315="1/2L",O315/2,(O315*L315-O315)*(1-_xlfn.XLOOKUP(K315,'Fevereiro 2023 - Valor Real'!A3:A15,'Fevereiro 2023 - Valor Real'!C3:C15,0))+O315)))))</f>
        <v/>
      </c>
      <c r="Q315" s="143" t="str">
        <f>IF(K315="","",IF(_xlfn.XLOOKUP(K315,K$8:K308,$DJ$8:DJ308,0,,-1)=DJ315,_xlfn.XLOOKUP(K315,K$8:K308,Q$8:Q308,1,,-1)+1,1))</f>
        <v/>
      </c>
      <c r="R315" s="144" t="str">
        <f>IF(K315="","",_xlfn.XLOOKUP(K315,K$8:K308,R$8:R308,0,,-1)+IF($C315=" ",1,0))</f>
        <v/>
      </c>
      <c r="S315" s="404"/>
      <c r="T315" s="378"/>
      <c r="U315" s="378"/>
      <c r="V315" s="404"/>
      <c r="W315" s="378"/>
      <c r="X315" s="453"/>
      <c r="Y315" s="383"/>
      <c r="Z315" s="384"/>
      <c r="AA315" s="384"/>
      <c r="AB315" s="384"/>
      <c r="AC315" s="384"/>
      <c r="AD315" s="145">
        <f>((L314/(L314-1)-1))</f>
        <v>0.85470085470085477</v>
      </c>
      <c r="AE315" s="146" t="str">
        <f>IF(L315="","",(SUM(((L313-1)*(1-_xlfn.XLOOKUP(K313,'Fevereiro 2023 - Valor Real'!A3:A15,'Fevereiro 2023 - Valor Real'!C3:C15,0))+1),((L314-1)*(1-_xlfn.XLOOKUP(K314,'Fevereiro 2023 - Valor Real'!A3:A15,'Fevereiro 2023 - Valor Real'!C3:C15,0))+1),((L315-1)*(1-_xlfn.XLOOKUP(K315,'Fevereiro 2023 - Valor Real'!A3:A15,'Fevereiro 2023 - Valor Real'!C3:C15,0))+1))/((L315-1)*(1-_xlfn.XLOOKUP(K315,'Fevereiro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Real'!C3:C15,0))+1))/((L313-1)*(1-_xlfn.XLOOKUP(K313,'Fevereiro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Real'!C3:C15,0))+1))/((L314-1)*(1-_xlfn.XLOOKUP(K314,'Fevereiro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Real'!C3:C15,0))+1))/((L315-1)*(1-_xlfn.XLOOKUP(K315,'Fevereiro 2023 - Valor Real'!A3:A15,'Fevereiro 2023 - Valor Real'!C3:C15,0))+1)))</f>
        <v/>
      </c>
      <c r="AF315" s="105">
        <f t="shared" si="626"/>
        <v>0</v>
      </c>
      <c r="AG315" s="106">
        <f t="shared" si="626"/>
        <v>0</v>
      </c>
      <c r="AH315" s="106">
        <f t="shared" si="626"/>
        <v>0</v>
      </c>
      <c r="AI315" s="106">
        <f t="shared" si="626"/>
        <v>0</v>
      </c>
      <c r="AJ315" s="106">
        <f t="shared" si="626"/>
        <v>0</v>
      </c>
      <c r="AK315" s="106">
        <f t="shared" si="626"/>
        <v>0</v>
      </c>
      <c r="AL315" s="106">
        <f t="shared" si="626"/>
        <v>0</v>
      </c>
      <c r="AM315" s="106">
        <f t="shared" si="626"/>
        <v>0</v>
      </c>
      <c r="AN315" s="106">
        <f t="shared" si="626"/>
        <v>0</v>
      </c>
      <c r="AO315" s="106">
        <f t="shared" si="626"/>
        <v>0</v>
      </c>
      <c r="AP315" s="106">
        <f t="shared" si="626"/>
        <v>0</v>
      </c>
      <c r="AQ315" s="106">
        <f t="shared" si="626"/>
        <v>0</v>
      </c>
      <c r="AR315" s="107">
        <f t="shared" si="626"/>
        <v>0</v>
      </c>
      <c r="AS315" s="105">
        <f>IF(AND($B313=" ",$K315=AS$3),$O315,0)</f>
        <v>0</v>
      </c>
      <c r="AT315" s="106">
        <f>IF(AND($B313=" ",K315=AT$3),$O315,0)</f>
        <v>0</v>
      </c>
      <c r="AU315" s="106">
        <f t="shared" ref="AU315:BE315" si="629">IF(AND($B313=" ",$K315=AU$3),$O315,0)</f>
        <v>0</v>
      </c>
      <c r="AV315" s="106">
        <f t="shared" si="629"/>
        <v>0</v>
      </c>
      <c r="AW315" s="106">
        <f t="shared" si="629"/>
        <v>0</v>
      </c>
      <c r="AX315" s="106">
        <f t="shared" si="629"/>
        <v>0</v>
      </c>
      <c r="AY315" s="108">
        <f t="shared" si="629"/>
        <v>0</v>
      </c>
      <c r="AZ315" s="109">
        <f t="shared" si="629"/>
        <v>0</v>
      </c>
      <c r="BA315" s="109">
        <f t="shared" si="629"/>
        <v>0</v>
      </c>
      <c r="BB315" s="109">
        <f t="shared" si="629"/>
        <v>0</v>
      </c>
      <c r="BC315" s="110">
        <f t="shared" si="629"/>
        <v>0</v>
      </c>
      <c r="BD315" s="106">
        <f t="shared" si="629"/>
        <v>0</v>
      </c>
      <c r="BE315" s="107">
        <f t="shared" si="629"/>
        <v>0</v>
      </c>
      <c r="BF315" s="105">
        <f t="shared" si="628"/>
        <v>0</v>
      </c>
      <c r="BG315" s="106">
        <f t="shared" si="628"/>
        <v>0</v>
      </c>
      <c r="BH315" s="106">
        <f t="shared" si="628"/>
        <v>0</v>
      </c>
      <c r="BI315" s="106">
        <f t="shared" si="628"/>
        <v>0</v>
      </c>
      <c r="BJ315" s="106">
        <f t="shared" si="628"/>
        <v>0</v>
      </c>
      <c r="BK315" s="106">
        <f t="shared" si="628"/>
        <v>0</v>
      </c>
      <c r="BL315" s="106">
        <f t="shared" si="628"/>
        <v>0</v>
      </c>
      <c r="BM315" s="108">
        <f t="shared" si="628"/>
        <v>0</v>
      </c>
      <c r="BN315" s="109">
        <f t="shared" si="628"/>
        <v>0</v>
      </c>
      <c r="BO315" s="109">
        <f t="shared" si="628"/>
        <v>0</v>
      </c>
      <c r="BP315" s="109">
        <f t="shared" si="628"/>
        <v>0</v>
      </c>
      <c r="BQ315" s="110">
        <f t="shared" si="628"/>
        <v>0</v>
      </c>
      <c r="BR315" s="107">
        <f t="shared" si="628"/>
        <v>0</v>
      </c>
      <c r="BS315" s="464"/>
      <c r="BT315" s="461"/>
      <c r="BU315" s="392"/>
      <c r="BV315" s="461"/>
      <c r="BW315" s="392"/>
      <c r="BX315" s="392"/>
      <c r="BY315" s="392"/>
      <c r="BZ315" s="461"/>
      <c r="CA315" s="392"/>
      <c r="CB315" s="392"/>
      <c r="CC315" s="392"/>
      <c r="CD315" s="401"/>
      <c r="CE315" s="409"/>
      <c r="CF315" s="133">
        <f t="shared" si="515"/>
        <v>0</v>
      </c>
      <c r="CG315" s="134">
        <f t="shared" si="516"/>
        <v>0</v>
      </c>
      <c r="CH315" s="134">
        <f t="shared" si="517"/>
        <v>0</v>
      </c>
      <c r="CI315" s="134">
        <f t="shared" si="518"/>
        <v>0</v>
      </c>
      <c r="CJ315" s="134">
        <f t="shared" si="519"/>
        <v>0</v>
      </c>
      <c r="CK315" s="134">
        <f t="shared" si="520"/>
        <v>0</v>
      </c>
      <c r="CL315" s="134">
        <f t="shared" si="521"/>
        <v>0</v>
      </c>
      <c r="CM315" s="134">
        <f t="shared" si="522"/>
        <v>0</v>
      </c>
      <c r="CN315" s="134">
        <f t="shared" si="523"/>
        <v>0</v>
      </c>
      <c r="CO315" s="134">
        <f t="shared" si="524"/>
        <v>0</v>
      </c>
      <c r="CP315" s="134">
        <f t="shared" si="525"/>
        <v>0</v>
      </c>
      <c r="CQ315" s="134">
        <f t="shared" si="526"/>
        <v>0</v>
      </c>
      <c r="CR315" s="134">
        <f t="shared" si="527"/>
        <v>0</v>
      </c>
      <c r="CS315" s="134">
        <f t="shared" si="528"/>
        <v>0</v>
      </c>
      <c r="CT315" s="115">
        <f t="shared" si="529"/>
        <v>0</v>
      </c>
      <c r="CU315" s="116">
        <f t="shared" si="530"/>
        <v>0</v>
      </c>
      <c r="CV315" s="116">
        <f t="shared" si="531"/>
        <v>0</v>
      </c>
      <c r="CW315" s="116">
        <f t="shared" si="532"/>
        <v>0</v>
      </c>
      <c r="CX315" s="116">
        <f t="shared" si="533"/>
        <v>0</v>
      </c>
      <c r="CY315" s="116">
        <f t="shared" si="534"/>
        <v>0</v>
      </c>
      <c r="CZ315" s="116">
        <f t="shared" si="535"/>
        <v>0</v>
      </c>
      <c r="DA315" s="116">
        <f t="shared" si="536"/>
        <v>0</v>
      </c>
      <c r="DB315" s="116">
        <f t="shared" si="537"/>
        <v>0</v>
      </c>
      <c r="DC315" s="116">
        <f t="shared" si="538"/>
        <v>0</v>
      </c>
      <c r="DD315" s="116">
        <f t="shared" si="539"/>
        <v>0</v>
      </c>
      <c r="DE315" s="117">
        <f t="shared" si="540"/>
        <v>0</v>
      </c>
      <c r="DF315" s="118">
        <f t="shared" si="542"/>
        <v>24</v>
      </c>
      <c r="DG315" s="106">
        <f t="shared" si="543"/>
        <v>31.309999999999995</v>
      </c>
      <c r="DH315" s="116">
        <f t="shared" si="544"/>
        <v>8</v>
      </c>
      <c r="DI315" s="106">
        <f t="shared" si="545"/>
        <v>33.049999999999997</v>
      </c>
      <c r="DJ315" s="201" t="str">
        <f>IF($D313="","",$D313)</f>
        <v>9</v>
      </c>
      <c r="DK315" s="466"/>
    </row>
    <row r="316" spans="1:115" ht="14.5" customHeight="1" x14ac:dyDescent="0.2">
      <c r="A316" s="487">
        <f>$A313+1</f>
        <v>105</v>
      </c>
      <c r="B316" s="506" t="str">
        <f>IF(OR(C316="W",C317="W",C318="W",C316="1/2W",C317="1/2W",C318="1/2W",C316="1/2L",C317="1/2L",C318="1/2L"),"OK",IF(OR(C316="L",C317="L",C318="L"),"LOSS",IF(OR(C316="X",C317="X",C318="X"),"Anulado"," ")))</f>
        <v>OK</v>
      </c>
      <c r="C316" s="147" t="s">
        <v>55</v>
      </c>
      <c r="D316" s="494" t="str">
        <f>IF(G316="","",$D313)</f>
        <v>9</v>
      </c>
      <c r="E316" s="511" t="str">
        <f>IF(G316=""," ","– "&amp;COUNTIF(D$4:D318,$D316))</f>
        <v>– 13</v>
      </c>
      <c r="F316" s="510" t="str">
        <f ca="1">IF(G316="","",IF(OR(AND($C316&lt;&gt;" ",$C317=" "),AND($C317&lt;&gt;" ",$C316=" "),AND(L318&gt;0,OR(AND($C318&lt;&gt;" ",OR($C316=" ",$C317=" ")),AND($C318=" ",OR($C316&lt;&gt;" ",$C317&lt;&gt;" "))))),IF(SUM(F$4:F315)=0,1,LARGE(F$4:F315,1)+1),IF(MONTH(G316)=MONTH(TODAY()),IF(AND(DAY(G316)&lt;DAY(TODAY()),$B316=" "),IF(SUM(F$4:F315)=0,1,LARGE(F$4:F315,1)+1),IF($B316=" ",IF(AND(DAY(G316)=DAY(TODAY()),HOUR(G316)&lt;=HOUR(NOW())+1),IF(AND(HOUR(G316)+2&lt;=HOUR(NOW()),DAY(G316)&lt;=DAY(TODAY()),MINUTE(G316)&lt;=MINUTE(NOW())),IF(SUM(F$4:F315)=0,1,LARGE(F$4:F315,1)+1),IF(OR(MINUTE(G316)&lt;=MINUTE(NOW()),HOUR(G316)&lt;=HOUR(NOW())),"!!!","")),""),"")),"")))</f>
        <v/>
      </c>
      <c r="G316" s="508">
        <v>44994.645833333336</v>
      </c>
      <c r="H316" s="502" t="s">
        <v>148</v>
      </c>
      <c r="I316" s="180" t="s">
        <v>51</v>
      </c>
      <c r="J316" s="181">
        <v>9</v>
      </c>
      <c r="K316" s="150" t="s">
        <v>43</v>
      </c>
      <c r="L316" s="151">
        <v>1.7290000000000001</v>
      </c>
      <c r="M316" s="152">
        <v>11.89</v>
      </c>
      <c r="N316" s="503">
        <v>0</v>
      </c>
      <c r="O316" s="153">
        <f>IF(OR(AE316="",AE317=""),"",ROUND(IF(L318&gt;0,IF(M316&gt;0,M316,IF(M317&gt;0,ROUND((M317*AE316)/AE317,IF(N316=0,2,IF(N316=0.1,1,0))),ROUND((M318*AE316)/AE318,IF(N316=0,2,IF(N316=0.1,1,0))))),IF(M316&gt;0,M316,ROUND((M317*AE316)/AE317,IF(N316=0,2,IF(N316=0.1,1,0))))),2))</f>
        <v>11.89</v>
      </c>
      <c r="P316" s="154">
        <f>IF(OR(L316="",O316=""),"",IF($C316="1/2W",O316/2+O316/2*L316,IF($C316="1/2L",O316/2,IF(I316="Lay",(O316*(L316/(L316-1))-O316)*(1-_xlfn.XLOOKUP(K316,'Fevereiro 2023 - Valor Real'!A3:A15,'Fevereiro 2023 - Valor Real'!C3:C15,0))+O316,(O316*L316-O316)*(1-_xlfn.XLOOKUP(K316,'Fevereiro 2023 - Valor Real'!A3:A15,'Fevereiro 2023 - Valor Real'!C3:C15,0))+O316))))</f>
        <v>20.557810000000003</v>
      </c>
      <c r="Q316" s="155">
        <f>IF(K316="","",IF(_xlfn.XLOOKUP(K316,K$9:K308,$DJ$9:DJ308,0,,-1)=DJ316,_xlfn.XLOOKUP(K316,K$9:K308,Q$9:Q308,1,,-1)+1,1))</f>
        <v>2</v>
      </c>
      <c r="R316" s="156">
        <f>IF(K316="","",_xlfn.XLOOKUP(K316,K$9:K308,R$9:R308,0,,-1)+IF($C316=" ",1,0))</f>
        <v>0</v>
      </c>
      <c r="S316" s="501">
        <f>IF($B316="Anulado",0,ROUND(IF(OR($B316="LOSS",$B316="OK"),IF(OR($C316="W",$C316="1/2W",$C316="1/2L"),P316-O316,IF($C316="L",-O316,0))+IF(OR($C317="W",$C317="1/2W",$C317="1/2L"),P317-O317,IF($C317="L",-O317,0))+IF(OR($C318="W",$C318="1/2W",$C318="1/2L"),P318-O318,IF($C318="L",-O318,0)),IF(AND(OR($C316="W",$C316="1/2W",$C316="1/2L"),C317="W"),P316+P317-SUM(O316:O318)+_xlfn.XLOOKUP("X",C316:C318,O316:O318,0),IF(AND(C316=TRUE,C318="W"),P316+P318-SUM(O316:O318),IF(AND(C317="W",C318="W"),P317+P318-SUM(O316:O318)+_xlfn.XLOOKUP("X",C316:C318,O316:O318,0),IF(L318&gt;0,IF(OR($C316="W",$C316="1/2W",$C316="1/2L"),P316-SUM(O316:O318)+_xlfn.XLOOKUP("X",C316:C318,O316:O318,0),IF(OR($C316="W",$C316="1/2W",$C316="1/2L"),P317-SUM(O316:O318)+_xlfn.XLOOKUP("X",C316:C318,O316:O318,0),IF(OR($C316="W",$C316="1/2W",$C316="1/2L"),P318-SUM(O316:O318)+_xlfn.XLOOKUP("X",C316:C318,O316:O318,0),IF(SUM(P316:P318)/3-SUM(O316:O318)+_xlfn.XLOOKUP("X",C316:C318,O316:O318,0)&gt;0,SUM(P316:P318)/3-SUM(O316:O318)+_xlfn.XLOOKUP("X",C316:C318,O316:O318,0),LARGE(P316:P318,1)-SUM(O316:O318))))),IF(OR($C316="W",$C316="1/2W",$C316="1/2L"),P316-SUM(O316:O317)+_xlfn.XLOOKUP("X",C316:C318,O316:O318,0),IF(OR($C316="W",$C316="1/2W",$C316="1/2L"),P317-SUM(O316:O317)+_xlfn.XLOOKUP("X",C316:C318,O316:O318,0),SUM(P316:P317)/2-SUM(O316:O317)+_xlfn.XLOOKUP("X",C316:C318,O316:O318,0)))))))),2))</f>
        <v>2.33</v>
      </c>
      <c r="T316" s="486">
        <f>IF(S316=0,0,S316/SUM(O316:O318))</f>
        <v>0.12781130005485464</v>
      </c>
      <c r="U316" s="496">
        <f>IF($D316=$D313,IF(OR($B316="LOSS",$B316="OK",$B316="Anulada"),S316,0)+U313,IF(OR($B316="LOSS",$B316="OK",$B316="Anulada"),S316,0))</f>
        <v>37.26</v>
      </c>
      <c r="V316" s="496">
        <f>IF($D316="",0,IF($D316=$D313,IF($B316=" ",IF(I318="",IF(OR(AND(I316="DNB1",I317="DNB2"),AND(OR(I316="DNB1",I316="DNB2"),J317=0),AND(OR(I317="DNB1",I317="DNB2"),J316=0),AND(I316="DNB2",I317="DNB1"),AND(IF(J316=0,(J316+1)/ROUND(J316+1,0),J316/ROUND(J316,0))=1,IF(J317=0,(J317+1)/ROUND(IF(J317="",0,J317)+1,0),IF(J317="",0,J317)/ROUND(IF(J317="",1,J317),0))=1,OR(J316&lt;&gt;""),J317&lt;&gt;"")),0,IF(S316&lt;0,IF(I318="",SMALL(P316:P317,1)-SUM(O316:O317),0),SMALL(P316:P317,1)-SUM(O316:O317))),IF(S316&lt;0,IF(I318="",SMALL(P316:P318,1)-SUM(O316:O318),0),LARGE(P316:P318,1)-SUM(O316:O318))),S316)+V313,IF(I318="",IF(OR(AND(I316="DNB1",I317="DNB2"),AND(OR(I316="DNB1",I316="DNB2"),J317=0),AND(OR(I317="DNB1",I317="DNB2"),J316=0),AND(I316="DNB2",I317="DNB1"),AND(IF(J316=0,(J316+1)/ROUND(J316+1,0),J316/ROUND(J316,0))=1,IF(J317=0,(IF(J317="",0,J317)+1)/ROUND(IF(J317="",0,J317)+1,0),IF(J317="",0,J317)/ROUND(IF(J317="",0,J317)+1,0))=1,OR(J316&lt;&gt;""),J317&lt;&gt;"")),0,IF(S316&lt;0,IF(I318="",SMALL(P316:P317,1)-SUM(O316:O317),0),SMALL(P316:P318,1)-SUM(O316:O318))),IF(S316&lt;0,IF(I318="",SMALL(P316:P318,1)-SUM(O316:O318),0),LARGE(P316:P318,1)-SUM(O316:O318)))))</f>
        <v>37.260400000000004</v>
      </c>
      <c r="W316" s="496">
        <f>IF($D316=$D313,IF(S316&lt;0,IF(I318="",S316,0),S316)+W313,S316)</f>
        <v>37.26</v>
      </c>
      <c r="X316" s="505" t="str">
        <f>IF(OR(SUM(R316:R318)=0,V316=W316),ROUND(IF(W316=0,0,W316/Y316)*100,2)&amp;"%",ROUND(IF(V316=0,0,V316/Y316)*100,2)&amp;"% a "&amp;ROUND(IF(W316=0,0,W316/Y316)*100,2)&amp;"%")</f>
        <v>5,3%</v>
      </c>
      <c r="Y316" s="497">
        <f>IF($D316=$D313,Y313+SUM(O316:O318),SUM(O316:O318))</f>
        <v>703.06999999999994</v>
      </c>
      <c r="Z316" s="496">
        <f>IF($B316=" ",SUM(O316:O318),0)+Z313</f>
        <v>0</v>
      </c>
      <c r="AA316" s="496">
        <f>IF(G316="","",IF($B316="Anulado",LARGE(P316:P318,1)-SUM(O316:O318)+AA313,AA313))</f>
        <v>2.6261999999999954</v>
      </c>
      <c r="AB316" s="496">
        <f>IF($D316="","",AB313+S316)</f>
        <v>478.12000000000006</v>
      </c>
      <c r="AC316" s="499">
        <f ca="1">IF($D316="","",IF($B316=" ",IF(DAY(G316)=DAY(TODAY()),1+AC313,0+AC313),0+AC313))</f>
        <v>0</v>
      </c>
      <c r="AD316" s="157">
        <f>(1-_xlfn.XLOOKUP(K314,'Fevereiro 2023 - Valor Real'!A3:A15,'Fevereiro 2023 - Valor Real'!C3:C15,0))+1</f>
        <v>2</v>
      </c>
      <c r="AE316" s="158">
        <f>IF(L316="","",IF(L318&gt;0,(SUM(((L316-1)*(1-_xlfn.XLOOKUP(K316,'Fevereiro 2023 - Valor Real'!A3:A15,'Fevereiro 2023 - Valor Real'!C3:C15,0))+1),((L317-1)*(1-_xlfn.XLOOKUP(K317,'Fevereiro 2023 - Valor Real'!A3:A15,'Fevereiro 2023 - Valor Real'!C3:C15,0))+1),((L318-1)*(1-_xlfn.XLOOKUP(K318,'Fevereiro 2023 - Valor Real'!A3:A15,'Fevereiro 2023 - Valor Real'!C3:C15,0))+1))/((L316-1)*(1-_xlfn.XLOOKUP(K316,'Fevereiro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Real'!C3:C15,0))+1))/((L316-1)*(1-_xlfn.XLOOKUP(K316,'Fevereiro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Real'!C3:C15,0))+1))/((L317-1)*(1-_xlfn.XLOOKUP(K317,'Fevereiro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Real'!C3:C15,0))+1))/((L318-1)*(1-_xlfn.XLOOKUP(K318,'Fevereiro 2023 - Valor Real'!A3:A15,'Fevereiro 2023 - Valor Real'!C3:C15,0))+1)),IF(I316="Lay",IF(I317="Lay",((L317/(L317-1)-1)*(1-_xlfn.XLOOKUP(K317,'Fevereiro 2023 - Valor Real'!A3:A15,'Fevereiro 2023 - Valor Real'!C3:C15,0))+1)/(((L317/(L317-1)-1)*(1-_xlfn.XLOOKUP(K317,'Fevereiro 2023 - Valor Real'!A3:A15,'Fevereiro 2023 - Valor Real'!C3:C15,0))+1)+((L316/(L316-1)-1)*(1-_xlfn.XLOOKUP(K316,'Fevereiro 2023 - Valor Real'!A3:A15,'Fevereiro 2023 - Valor Real'!C3:C15,0))+1)),((L317-1)*(1-_xlfn.XLOOKUP(K317,'Fevereiro 2023 - Valor Real'!A3:A15,'Fevereiro 2023 - Valor Real'!C3:C15,0))+1)/(((L317-1)*(1-_xlfn.XLOOKUP(K317,'Fevereiro 2023 - Valor Real'!A3:A15,'Fevereiro 2023 - Valor Real'!C3:C15,0))+1)+((L316/(L316-1)-1)*(1-_xlfn.XLOOKUP(K316,'Fevereiro 2023 - Valor Real'!A3:A15,'Fevereiro 2023 - Valor Real'!C3:C15,0))+1))),IF(I317="Lay",(((L317/(L317-1)-1)*(1-_xlfn.XLOOKUP(K317,'Fevereiro 2023 - Valor Real'!A3:A15,'Fevereiro 2023 - Valor Real'!C3:C15,0))+1))/(((L316-1)*(1-_xlfn.XLOOKUP(K316,'Fevereiro 2023 - Valor Real'!A3:A15,'Fevereiro 2023 - Valor Real'!C3:C15,0))+1)+((L317/(L317-1)-1)*(1-_xlfn.XLOOKUP(K317,'Fevereiro 2023 - Valor Real'!A3:A15,'Fevereiro 2023 - Valor Real'!C3:C15,0))+1)),((L317-1)*(1-_xlfn.XLOOKUP(K317,'Fevereiro 2023 - Valor Real'!A3:A15,'Fevereiro 2023 - Valor Real'!C3:C15,0))+1)/(((L317-1)*(1-_xlfn.XLOOKUP(K317,'Fevereiro 2023 - Valor Real'!A3:A15,'Fevereiro 2023 - Valor Real'!C3:C15,0))+1)+((L316-1)*(1-_xlfn.XLOOKUP(K316,'Fevereiro 2023 - Valor Real'!A3:A15,'Fevereiro 2023 - Valor Real'!C3:C15,0))+1))))))</f>
        <v>0.47724259832081301</v>
      </c>
      <c r="AF316" s="66">
        <f t="shared" si="626"/>
        <v>0</v>
      </c>
      <c r="AG316" s="67">
        <f t="shared" si="626"/>
        <v>0</v>
      </c>
      <c r="AH316" s="67">
        <f t="shared" si="626"/>
        <v>0</v>
      </c>
      <c r="AI316" s="67">
        <f t="shared" si="626"/>
        <v>0</v>
      </c>
      <c r="AJ316" s="67">
        <f t="shared" si="626"/>
        <v>0</v>
      </c>
      <c r="AK316" s="67">
        <f t="shared" si="626"/>
        <v>0</v>
      </c>
      <c r="AL316" s="67">
        <f t="shared" si="626"/>
        <v>0</v>
      </c>
      <c r="AM316" s="67">
        <f t="shared" si="626"/>
        <v>-11.89</v>
      </c>
      <c r="AN316" s="67">
        <f t="shared" si="626"/>
        <v>0</v>
      </c>
      <c r="AO316" s="67">
        <f t="shared" si="626"/>
        <v>0</v>
      </c>
      <c r="AP316" s="67">
        <f t="shared" si="626"/>
        <v>0</v>
      </c>
      <c r="AQ316" s="67">
        <f t="shared" si="626"/>
        <v>0</v>
      </c>
      <c r="AR316" s="68">
        <f t="shared" si="626"/>
        <v>0</v>
      </c>
      <c r="AS316" s="66">
        <f t="shared" ref="AS316:BE316" si="630">IF(AND($B316=" ",$K316=AS$3),$O316,0)</f>
        <v>0</v>
      </c>
      <c r="AT316" s="67">
        <f t="shared" si="630"/>
        <v>0</v>
      </c>
      <c r="AU316" s="67">
        <f t="shared" si="630"/>
        <v>0</v>
      </c>
      <c r="AV316" s="67">
        <f t="shared" si="630"/>
        <v>0</v>
      </c>
      <c r="AW316" s="67">
        <f t="shared" si="630"/>
        <v>0</v>
      </c>
      <c r="AX316" s="67">
        <f t="shared" si="630"/>
        <v>0</v>
      </c>
      <c r="AY316" s="69">
        <f t="shared" si="630"/>
        <v>0</v>
      </c>
      <c r="AZ316" s="70">
        <f t="shared" si="630"/>
        <v>0</v>
      </c>
      <c r="BA316" s="70">
        <f t="shared" si="630"/>
        <v>0</v>
      </c>
      <c r="BB316" s="70">
        <f t="shared" si="630"/>
        <v>0</v>
      </c>
      <c r="BC316" s="71">
        <f t="shared" si="630"/>
        <v>0</v>
      </c>
      <c r="BD316" s="67">
        <f t="shared" si="630"/>
        <v>0</v>
      </c>
      <c r="BE316" s="68">
        <f t="shared" si="630"/>
        <v>0</v>
      </c>
      <c r="BF316" s="66">
        <f t="shared" si="628"/>
        <v>0</v>
      </c>
      <c r="BG316" s="67">
        <f t="shared" si="628"/>
        <v>0</v>
      </c>
      <c r="BH316" s="67">
        <f t="shared" si="628"/>
        <v>0</v>
      </c>
      <c r="BI316" s="67">
        <f t="shared" si="628"/>
        <v>0</v>
      </c>
      <c r="BJ316" s="67">
        <f t="shared" si="628"/>
        <v>0</v>
      </c>
      <c r="BK316" s="67">
        <f t="shared" si="628"/>
        <v>0</v>
      </c>
      <c r="BL316" s="67">
        <f t="shared" si="628"/>
        <v>0</v>
      </c>
      <c r="BM316" s="69">
        <f t="shared" si="628"/>
        <v>11.89</v>
      </c>
      <c r="BN316" s="70">
        <f t="shared" si="628"/>
        <v>0</v>
      </c>
      <c r="BO316" s="70">
        <f t="shared" si="628"/>
        <v>0</v>
      </c>
      <c r="BP316" s="70">
        <f t="shared" si="628"/>
        <v>0</v>
      </c>
      <c r="BQ316" s="71">
        <f t="shared" si="628"/>
        <v>0</v>
      </c>
      <c r="BR316" s="68">
        <f t="shared" si="628"/>
        <v>0</v>
      </c>
      <c r="BS316" s="490">
        <f>IF($B316="LOSS",IF(AND($K316=BS$3,$C316="L"),-$O316,0)+IF(AND($K317=BS$3,$C317="L"),-$O317,0)+IF(AND($K318=BS$3,$C318="L"),-$O318,0),IF(OR(AND($K316=BS$3,OR($C316="W",$C316="1/2W")),AND($K317=BS$3,OR($C317="W",$C317="1/2W")),AND($K318=BS$3,OR($C318="W",$C318="1/2W"))),$S316,0))</f>
        <v>0</v>
      </c>
      <c r="BT316" s="498">
        <f>IF($B316="LOSS",IF(AND($K316=BT$3,$C316="L"),-$O316,0)+IF(AND($K317=BT$3,$C317="L"),-$O317,0)+IF(AND($K317=BT$3,$C318="L"),-$O318,0),IF(OR(AND($K317=BT$3,OR($C316="W",$C316="1/2W")),AND($K317=BT$3,OR($C317="W",$C317="1/2W")),AND($K317=BT$3,OR($C318="W",$C318="1/2W"))),$S316,0))</f>
        <v>2.33</v>
      </c>
      <c r="BU316" s="488">
        <f>IF($B316="LOSS",IF(AND($K316=BU$3,$C316="L"),-$O316,0)+IF(AND($K317=BU$3,$C317="L"),-$O317,0)+IF(AND($K317=BU$3,$C318="L"),-$O318,0),IF(OR(AND($K317=BU$3,OR($C316="W",$C316="1/2W")),AND($K317=BU$3,OR($C317="W",$C317="1/2W")),AND($K317=BU$3,OR($C318="W",$C318="1/2W"))),$S316,0))</f>
        <v>0</v>
      </c>
      <c r="BV316" s="488">
        <f t="shared" ref="BV316:CE316" si="631">IF($B316="LOSS",IF(AND($K316=BV$3,$C316="L"),-$O316,0)+IF(AND($K317=BV$3,$C317="L"),-$O317,0)+IF(AND($K318=BV$3,$C318="L"),-$O318,0),IF(OR(AND($K316=BV$3,OR($C316="W",$C316="1/2W")),AND($K317=BV$3,OR($C317="W",$C317="1/2W")),AND($K318=BV$3,OR($C318="W",$C318="1/2W"))),$S316,0))</f>
        <v>0</v>
      </c>
      <c r="BW316" s="488">
        <f t="shared" si="631"/>
        <v>0</v>
      </c>
      <c r="BX316" s="488">
        <f t="shared" si="631"/>
        <v>0</v>
      </c>
      <c r="BY316" s="488">
        <f t="shared" si="631"/>
        <v>0</v>
      </c>
      <c r="BZ316" s="488">
        <f t="shared" si="631"/>
        <v>0</v>
      </c>
      <c r="CA316" s="488">
        <f t="shared" si="631"/>
        <v>0</v>
      </c>
      <c r="CB316" s="488">
        <f t="shared" si="631"/>
        <v>0</v>
      </c>
      <c r="CC316" s="488">
        <f t="shared" si="631"/>
        <v>0</v>
      </c>
      <c r="CD316" s="500">
        <f t="shared" si="631"/>
        <v>0</v>
      </c>
      <c r="CE316" s="504">
        <f t="shared" si="631"/>
        <v>0</v>
      </c>
      <c r="CF316" s="160">
        <f t="shared" si="515"/>
        <v>0</v>
      </c>
      <c r="CG316" s="161">
        <f t="shared" si="516"/>
        <v>0</v>
      </c>
      <c r="CH316" s="161">
        <f t="shared" si="517"/>
        <v>0</v>
      </c>
      <c r="CI316" s="161">
        <f t="shared" si="518"/>
        <v>0</v>
      </c>
      <c r="CJ316" s="161">
        <f t="shared" si="519"/>
        <v>0</v>
      </c>
      <c r="CK316" s="161">
        <f t="shared" si="520"/>
        <v>0</v>
      </c>
      <c r="CL316" s="161">
        <f t="shared" si="521"/>
        <v>0</v>
      </c>
      <c r="CM316" s="161">
        <f t="shared" si="522"/>
        <v>0</v>
      </c>
      <c r="CN316" s="161">
        <f t="shared" si="523"/>
        <v>0</v>
      </c>
      <c r="CO316" s="161">
        <f t="shared" si="524"/>
        <v>0</v>
      </c>
      <c r="CP316" s="161">
        <f t="shared" si="525"/>
        <v>0</v>
      </c>
      <c r="CQ316" s="161">
        <f t="shared" si="526"/>
        <v>0</v>
      </c>
      <c r="CR316" s="161">
        <f t="shared" si="527"/>
        <v>0</v>
      </c>
      <c r="CS316" s="161">
        <f t="shared" si="528"/>
        <v>0</v>
      </c>
      <c r="CT316" s="75">
        <f t="shared" si="529"/>
        <v>0</v>
      </c>
      <c r="CU316" s="76">
        <f t="shared" si="530"/>
        <v>1</v>
      </c>
      <c r="CV316" s="76">
        <f t="shared" si="531"/>
        <v>0</v>
      </c>
      <c r="CW316" s="76">
        <f t="shared" si="532"/>
        <v>0</v>
      </c>
      <c r="CX316" s="76">
        <f t="shared" si="533"/>
        <v>0</v>
      </c>
      <c r="CY316" s="76">
        <f t="shared" si="534"/>
        <v>0</v>
      </c>
      <c r="CZ316" s="76">
        <f t="shared" si="535"/>
        <v>0</v>
      </c>
      <c r="DA316" s="76">
        <f t="shared" si="536"/>
        <v>0</v>
      </c>
      <c r="DB316" s="76">
        <f t="shared" si="537"/>
        <v>0</v>
      </c>
      <c r="DC316" s="76">
        <f t="shared" si="538"/>
        <v>0</v>
      </c>
      <c r="DD316" s="76">
        <f t="shared" si="539"/>
        <v>0</v>
      </c>
      <c r="DE316" s="77">
        <f t="shared" si="540"/>
        <v>0</v>
      </c>
      <c r="DF316" s="73">
        <f t="shared" si="542"/>
        <v>24</v>
      </c>
      <c r="DG316" s="67">
        <f t="shared" si="543"/>
        <v>31.309999999999995</v>
      </c>
      <c r="DH316" s="76">
        <f t="shared" si="544"/>
        <v>8</v>
      </c>
      <c r="DI316" s="67">
        <f t="shared" si="545"/>
        <v>33.049999999999997</v>
      </c>
      <c r="DJ316" s="202" t="str">
        <f>IF($D316="","",$D316)</f>
        <v>9</v>
      </c>
      <c r="DK316" s="492">
        <f>IF(AND($B316=" ",$D316&lt;&gt;""),1,0)</f>
        <v>0</v>
      </c>
    </row>
    <row r="317" spans="1:115" ht="14.5" customHeight="1" x14ac:dyDescent="0.2">
      <c r="A317" s="389"/>
      <c r="B317" s="456"/>
      <c r="C317" s="53" t="s">
        <v>54</v>
      </c>
      <c r="D317" s="374"/>
      <c r="E317" s="386"/>
      <c r="F317" s="377"/>
      <c r="G317" s="508"/>
      <c r="H317" s="476"/>
      <c r="I317" s="182" t="s">
        <v>52</v>
      </c>
      <c r="J317" s="56">
        <v>9.5</v>
      </c>
      <c r="K317" s="57" t="s">
        <v>37</v>
      </c>
      <c r="L317" s="164">
        <v>2.7</v>
      </c>
      <c r="M317" s="165">
        <v>3.21</v>
      </c>
      <c r="N317" s="406"/>
      <c r="O317" s="60">
        <f>IF(OR(AE316="",AE317=""),"",ROUND(IF(L318&gt;0,IF(M317&gt;0,M317,IF(M316&gt;0,IF(N316=TRUE,ROUND((M316*AE317)/AE316,0),(M316*AE317)/AE316),IF(M317&gt;0,ROUND(M317,IF(N316=0,2,IF(N316=0.1,1,0))),IF(M318&gt;0,ROUND(O318*AE317/AE318,IF(N316=0,2,IF(N316=0.1,1,0))),0)))),IF(M317&gt;0,M317,ROUND((M316*AE317)/AE316,IF(N316=0,2,IF(N316=0.1,1,0))))),2))</f>
        <v>3.21</v>
      </c>
      <c r="P317" s="61">
        <f>IF(OR(L317="",O317=""),"",IF($C317="1/2W",O317/2+O317/2*L317,IF($C317="1/2L",O317/2,IF(I317="Lay",((O317*(L317/(L317-1)))-O317)*(1-_xlfn.XLOOKUP(K317,'Fevereiro 2023 - Valor Real'!A3:A15,'Fevereiro 2023 - Valor Real'!C3:C15,0))+O317,(O317*L317-O317)*(1-_xlfn.XLOOKUP(K317,'Fevereiro 2023 - Valor Real'!A3:A15,'Fevereiro 2023 - Valor Real'!C3:C15,0))+O317))))</f>
        <v>8.6669999999999998</v>
      </c>
      <c r="Q317" s="166">
        <f>IF(K317="","",IF(_xlfn.XLOOKUP(K317,K$10:K308,$DJ$10:DJ308,0,,-1)=DJ317,_xlfn.XLOOKUP(K317,K$10:K308,Q$10:Q308,1,,-1)+1,1))</f>
        <v>2</v>
      </c>
      <c r="R317" s="167">
        <f>IF(K317="","",_xlfn.XLOOKUP(K317,K$10:K308,R$10:R308,0,,-1)+IF($C317=" ",1,0))</f>
        <v>0</v>
      </c>
      <c r="S317" s="403"/>
      <c r="T317" s="380"/>
      <c r="U317" s="380"/>
      <c r="V317" s="481"/>
      <c r="W317" s="380"/>
      <c r="X317" s="452"/>
      <c r="Y317" s="383"/>
      <c r="Z317" s="384"/>
      <c r="AA317" s="384"/>
      <c r="AB317" s="384"/>
      <c r="AC317" s="384"/>
      <c r="AD317" s="64"/>
      <c r="AE317" s="65">
        <f>IF(L317="","",IF(L318&gt;0,(SUM(((L316-1)*(1-_xlfn.XLOOKUP(K316,'Fevereiro 2023 - Valor Real'!A3:A15,'Fevereiro 2023 - Valor Real'!C3:C15,0))+1),((L317-1)*(1-_xlfn.XLOOKUP(K317,'Fevereiro 2023 - Valor Real'!A3:A15,'Fevereiro 2023 - Valor Real'!C3:C15,0))+1),((L318-1)*(1-_xlfn.XLOOKUP(K318,'Fevereiro 2023 - Valor Real'!A3:A15,'Fevereiro 2023 - Valor Real'!C3:C15,0))+1))/((L317-1)*(1-_xlfn.XLOOKUP(K317,'Fevereiro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Real'!C3:C15,0))+1))/((L316-1)*(1-_xlfn.XLOOKUP(K316,'Fevereiro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Real'!C3:C15,0))+1))/((L317-1)*(1-_xlfn.XLOOKUP(K317,'Fevereiro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Real'!C3:C15,0))+1))/((L318-1)*(1-_xlfn.XLOOKUP(K318,'Fevereiro 2023 - Valor Real'!A3:A15,'Fevereiro 2023 - Valor Real'!C3:C15,0))+1)),IF(I317="Lay",IF(I316="Lay",((L316/(L316-1)-1)*(1-_xlfn.XLOOKUP(K316,'Fevereiro 2023 - Valor Real'!A3:A15,'Fevereiro 2023 - Valor Real'!C3:C15,0))+1)/(((L316/(L316-1)-1)*(1-_xlfn.XLOOKUP(K316,'Fevereiro 2023 - Valor Real'!A3:A15,'Fevereiro 2023 - Valor Real'!C3:C15,0))+1)+((L317/(L317-1)-1)*(1-_xlfn.XLOOKUP(K317,'Fevereiro 2023 - Valor Real'!A3:A15,'Fevereiro 2023 - Valor Real'!C3:C15,0))+1)),((L316-1)*(1-_xlfn.XLOOKUP(K316,'Fevereiro 2023 - Valor Real'!A3:A15,'Fevereiro 2023 - Valor Real'!C3:C15,0))+1)/(((L316-1)*(1-_xlfn.XLOOKUP(K316,'Fevereiro 2023 - Valor Real'!A3:A15,'Fevereiro 2023 - Valor Real'!C3:C15,0))+1)+((L317/(L317-1)-1)*(1-_xlfn.XLOOKUP(K317,'Fevereiro 2023 - Valor Real'!A3:A15,'Fevereiro 2023 - Valor Real'!C3:C15,0))+1))),IF(I316="Lay",((L316/(L316-1)-1)*(1-_xlfn.XLOOKUP(K316,'Fevereiro 2023 - Valor Real'!A3:A15,'Fevereiro 2023 - Valor Real'!C3:C15,0))+1)/((((L316/(L316-1)-1)*(1-_xlfn.XLOOKUP(K316,'Fevereiro 2023 - Valor Real'!A3:A15,'Fevereiro 2023 - Valor Real'!C3:C15,0))+1))+((L317-1)*(1-_xlfn.XLOOKUP(K317,'Fevereiro 2023 - Valor Real'!A3:A15,'Fevereiro 2023 - Valor Real'!C3:C15,0))+1)),((L316-1)*(1-_xlfn.XLOOKUP(K316,'Fevereiro 2023 - Valor Real'!A3:A15,'Fevereiro 2023 - Valor Real'!C3:C15,0))+1)/(((L316-1)*(1-_xlfn.XLOOKUP(K316,'Fevereiro 2023 - Valor Real'!A3:A15,'Fevereiro 2023 - Valor Real'!C3:C15,0))+1)+((L317-1)*(1-_xlfn.XLOOKUP(K317,'Fevereiro 2023 - Valor Real'!A3:A15,'Fevereiro 2023 - Valor Real'!C3:C15,0))+1))))))</f>
        <v>0.30561201944321692</v>
      </c>
      <c r="AF317" s="66">
        <f t="shared" si="626"/>
        <v>0</v>
      </c>
      <c r="AG317" s="67">
        <f t="shared" si="626"/>
        <v>5.46</v>
      </c>
      <c r="AH317" s="67">
        <f t="shared" si="626"/>
        <v>0</v>
      </c>
      <c r="AI317" s="67">
        <f t="shared" si="626"/>
        <v>0</v>
      </c>
      <c r="AJ317" s="67">
        <f t="shared" si="626"/>
        <v>0</v>
      </c>
      <c r="AK317" s="67">
        <f t="shared" si="626"/>
        <v>0</v>
      </c>
      <c r="AL317" s="67">
        <f t="shared" si="626"/>
        <v>0</v>
      </c>
      <c r="AM317" s="67">
        <f t="shared" si="626"/>
        <v>0</v>
      </c>
      <c r="AN317" s="67">
        <f t="shared" si="626"/>
        <v>0</v>
      </c>
      <c r="AO317" s="67">
        <f t="shared" si="626"/>
        <v>0</v>
      </c>
      <c r="AP317" s="67">
        <f t="shared" si="626"/>
        <v>0</v>
      </c>
      <c r="AQ317" s="67">
        <f t="shared" si="626"/>
        <v>0</v>
      </c>
      <c r="AR317" s="68">
        <f t="shared" si="626"/>
        <v>0</v>
      </c>
      <c r="AS317" s="66">
        <f>IF(AND($B316=" ",$K317=AS$3),$O317,0)</f>
        <v>0</v>
      </c>
      <c r="AT317" s="67">
        <f>IF(AND($B316=" ",K317=AT$3),$O317,0)</f>
        <v>0</v>
      </c>
      <c r="AU317" s="67">
        <f t="shared" ref="AU317:BE317" si="632">IF(AND($B316=" ",$K317=AU$3),$O317,0)</f>
        <v>0</v>
      </c>
      <c r="AV317" s="67">
        <f t="shared" si="632"/>
        <v>0</v>
      </c>
      <c r="AW317" s="67">
        <f t="shared" si="632"/>
        <v>0</v>
      </c>
      <c r="AX317" s="67">
        <f t="shared" si="632"/>
        <v>0</v>
      </c>
      <c r="AY317" s="69">
        <f t="shared" si="632"/>
        <v>0</v>
      </c>
      <c r="AZ317" s="70">
        <f t="shared" si="632"/>
        <v>0</v>
      </c>
      <c r="BA317" s="70">
        <f t="shared" si="632"/>
        <v>0</v>
      </c>
      <c r="BB317" s="70">
        <f t="shared" si="632"/>
        <v>0</v>
      </c>
      <c r="BC317" s="71">
        <f t="shared" si="632"/>
        <v>0</v>
      </c>
      <c r="BD317" s="67">
        <f t="shared" si="632"/>
        <v>0</v>
      </c>
      <c r="BE317" s="68">
        <f t="shared" si="632"/>
        <v>0</v>
      </c>
      <c r="BF317" s="66">
        <f t="shared" si="628"/>
        <v>0</v>
      </c>
      <c r="BG317" s="168">
        <f t="shared" si="628"/>
        <v>3.21</v>
      </c>
      <c r="BH317" s="67">
        <f t="shared" si="628"/>
        <v>0</v>
      </c>
      <c r="BI317" s="67">
        <f t="shared" si="628"/>
        <v>0</v>
      </c>
      <c r="BJ317" s="67">
        <f t="shared" si="628"/>
        <v>0</v>
      </c>
      <c r="BK317" s="67">
        <f t="shared" si="628"/>
        <v>0</v>
      </c>
      <c r="BL317" s="67">
        <f t="shared" si="628"/>
        <v>0</v>
      </c>
      <c r="BM317" s="69">
        <f t="shared" si="628"/>
        <v>0</v>
      </c>
      <c r="BN317" s="70">
        <f t="shared" si="628"/>
        <v>0</v>
      </c>
      <c r="BO317" s="70">
        <f t="shared" si="628"/>
        <v>0</v>
      </c>
      <c r="BP317" s="70">
        <f t="shared" si="628"/>
        <v>0</v>
      </c>
      <c r="BQ317" s="71">
        <f t="shared" si="628"/>
        <v>0</v>
      </c>
      <c r="BR317" s="68">
        <f t="shared" si="628"/>
        <v>0</v>
      </c>
      <c r="BS317" s="491"/>
      <c r="BT317" s="489"/>
      <c r="BU317" s="392"/>
      <c r="BV317" s="489"/>
      <c r="BW317" s="392"/>
      <c r="BX317" s="392"/>
      <c r="BY317" s="392"/>
      <c r="BZ317" s="489"/>
      <c r="CA317" s="392"/>
      <c r="CB317" s="392"/>
      <c r="CC317" s="392"/>
      <c r="CD317" s="401"/>
      <c r="CE317" s="409"/>
      <c r="CF317" s="169">
        <f t="shared" si="515"/>
        <v>0</v>
      </c>
      <c r="CG317" s="170">
        <f t="shared" si="516"/>
        <v>0</v>
      </c>
      <c r="CH317" s="170">
        <f t="shared" si="517"/>
        <v>1</v>
      </c>
      <c r="CI317" s="170">
        <f t="shared" si="518"/>
        <v>0</v>
      </c>
      <c r="CJ317" s="170">
        <f t="shared" si="519"/>
        <v>0</v>
      </c>
      <c r="CK317" s="170">
        <f t="shared" si="520"/>
        <v>0</v>
      </c>
      <c r="CL317" s="170">
        <f t="shared" si="521"/>
        <v>0</v>
      </c>
      <c r="CM317" s="170">
        <f t="shared" si="522"/>
        <v>0</v>
      </c>
      <c r="CN317" s="170">
        <f t="shared" si="523"/>
        <v>0</v>
      </c>
      <c r="CO317" s="170">
        <f t="shared" si="524"/>
        <v>0</v>
      </c>
      <c r="CP317" s="170">
        <f t="shared" si="525"/>
        <v>0</v>
      </c>
      <c r="CQ317" s="170">
        <f t="shared" si="526"/>
        <v>0</v>
      </c>
      <c r="CR317" s="170">
        <f t="shared" si="527"/>
        <v>0</v>
      </c>
      <c r="CS317" s="170">
        <f t="shared" si="528"/>
        <v>0</v>
      </c>
      <c r="CT317" s="75">
        <f t="shared" si="529"/>
        <v>0</v>
      </c>
      <c r="CU317" s="76">
        <f t="shared" si="530"/>
        <v>0</v>
      </c>
      <c r="CV317" s="76">
        <f t="shared" si="531"/>
        <v>0</v>
      </c>
      <c r="CW317" s="76">
        <f t="shared" si="532"/>
        <v>0</v>
      </c>
      <c r="CX317" s="76">
        <f t="shared" si="533"/>
        <v>0</v>
      </c>
      <c r="CY317" s="76">
        <f t="shared" si="534"/>
        <v>0</v>
      </c>
      <c r="CZ317" s="76">
        <f t="shared" si="535"/>
        <v>0</v>
      </c>
      <c r="DA317" s="76">
        <f t="shared" si="536"/>
        <v>0</v>
      </c>
      <c r="DB317" s="76">
        <f t="shared" si="537"/>
        <v>0</v>
      </c>
      <c r="DC317" s="76">
        <f t="shared" si="538"/>
        <v>0</v>
      </c>
      <c r="DD317" s="76">
        <f t="shared" si="539"/>
        <v>0</v>
      </c>
      <c r="DE317" s="77">
        <f t="shared" si="540"/>
        <v>0</v>
      </c>
      <c r="DF317" s="73">
        <f t="shared" si="542"/>
        <v>24</v>
      </c>
      <c r="DG317" s="67">
        <f t="shared" si="543"/>
        <v>31.309999999999995</v>
      </c>
      <c r="DH317" s="76">
        <f t="shared" si="544"/>
        <v>8</v>
      </c>
      <c r="DI317" s="67">
        <f t="shared" si="545"/>
        <v>33.049999999999997</v>
      </c>
      <c r="DJ317" s="202" t="str">
        <f>IF($D316="","",$D316)</f>
        <v>9</v>
      </c>
      <c r="DK317" s="493"/>
    </row>
    <row r="318" spans="1:115" ht="14.5" customHeight="1" x14ac:dyDescent="0.2">
      <c r="A318" s="390"/>
      <c r="B318" s="457"/>
      <c r="C318" s="79" t="s">
        <v>54</v>
      </c>
      <c r="D318" s="375"/>
      <c r="E318" s="387"/>
      <c r="F318" s="378"/>
      <c r="G318" s="508"/>
      <c r="H318" s="477"/>
      <c r="I318" s="183" t="s">
        <v>52</v>
      </c>
      <c r="J318" s="184">
        <v>8.5</v>
      </c>
      <c r="K318" s="185" t="s">
        <v>37</v>
      </c>
      <c r="L318" s="186">
        <v>3.8</v>
      </c>
      <c r="M318" s="174">
        <v>3.13</v>
      </c>
      <c r="N318" s="407"/>
      <c r="O318" s="187">
        <f>IF(OR(AE316="",AE317=""),"",IF(L318&gt;0,ROUND(IF(M318&gt;0,M318,IF(M316&gt;0,ROUND((M316*AE318)/AE316,IF(N316=0,2,IF(N316=0.1,1,0))),IF(M317&gt;0,ROUND((M317*AE318)/AE317,IF(N316=0,2,IF(N316=0.1,1,0))),IF(M318&gt;0,M318,0)))),2),""))</f>
        <v>3.13</v>
      </c>
      <c r="P318" s="188">
        <f>IF(I317="Lay",O317*(L317/(L317-1))-O317,IF(I316="Lay",O316*(L316/(L316-1))-O316,IF(OR(L318="",O318=""),"",IF($C318="1/2W",O318/2+O318/2*L318,IF($C318="1/2L",O318/2,(O318*L318-O318)*(1-_xlfn.XLOOKUP(K318,'Fevereiro 2023 - Valor Real'!A3:A15,'Fevereiro 2023 - Valor Real'!C3:C15,0))+O318)))))</f>
        <v>11.893999999999998</v>
      </c>
      <c r="Q318" s="166">
        <f>IF(K318="","",IF(_xlfn.XLOOKUP(K318,K$11:K308,$DJ$11:DJ308,0,,-1)=DJ318,_xlfn.XLOOKUP(K318,K$11:K308,Q$11:Q308,1,,-1)+1,1))</f>
        <v>2</v>
      </c>
      <c r="R318" s="189">
        <f>IF(K318="","",_xlfn.XLOOKUP(K318,K$11:K308,R$11:R308,0,,-1)+IF($C318=" ",1,0))</f>
        <v>0</v>
      </c>
      <c r="S318" s="404"/>
      <c r="T318" s="378"/>
      <c r="U318" s="378"/>
      <c r="V318" s="404"/>
      <c r="W318" s="378"/>
      <c r="X318" s="453"/>
      <c r="Y318" s="383"/>
      <c r="Z318" s="384"/>
      <c r="AA318" s="384"/>
      <c r="AB318" s="384"/>
      <c r="AC318" s="384"/>
      <c r="AD318" s="90"/>
      <c r="AE318" s="190">
        <f>IF(L318="","",(SUM(((L316-1)*(1-_xlfn.XLOOKUP(K316,'Fevereiro 2023 - Valor Real'!A3:A15,'Fevereiro 2023 - Valor Real'!C3:C15,0))+1),((L317-1)*(1-_xlfn.XLOOKUP(K317,'Fevereiro 2023 - Valor Real'!A3:A15,'Fevereiro 2023 - Valor Real'!C3:C15,0))+1),((L318-1)*(1-_xlfn.XLOOKUP(K318,'Fevereiro 2023 - Valor Real'!A3:A15,'Fevereiro 2023 - Valor Real'!C3:C15,0))+1))/((L318-1)*(1-_xlfn.XLOOKUP(K318,'Fevereiro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Real'!C3:C15,0))+1))/((L316-1)*(1-_xlfn.XLOOKUP(K316,'Fevereiro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Real'!C3:C15,0))+1))/((L317-1)*(1-_xlfn.XLOOKUP(K317,'Fevereiro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Real'!C3:C15,0))+1))/((L318-1)*(1-_xlfn.XLOOKUP(K318,'Fevereiro 2023 - Valor Real'!A3:A15,'Fevereiro 2023 - Valor Real'!C3:C15,0))+1)))</f>
        <v>0.21714538223596994</v>
      </c>
      <c r="AF318" s="66">
        <f t="shared" si="626"/>
        <v>0</v>
      </c>
      <c r="AG318" s="67">
        <f t="shared" si="626"/>
        <v>8.76</v>
      </c>
      <c r="AH318" s="67">
        <f t="shared" si="626"/>
        <v>0</v>
      </c>
      <c r="AI318" s="67">
        <f t="shared" si="626"/>
        <v>0</v>
      </c>
      <c r="AJ318" s="67">
        <f t="shared" si="626"/>
        <v>0</v>
      </c>
      <c r="AK318" s="67">
        <f t="shared" si="626"/>
        <v>0</v>
      </c>
      <c r="AL318" s="67">
        <f t="shared" si="626"/>
        <v>0</v>
      </c>
      <c r="AM318" s="67">
        <f t="shared" si="626"/>
        <v>0</v>
      </c>
      <c r="AN318" s="67">
        <f t="shared" si="626"/>
        <v>0</v>
      </c>
      <c r="AO318" s="67">
        <f t="shared" si="626"/>
        <v>0</v>
      </c>
      <c r="AP318" s="67">
        <f t="shared" si="626"/>
        <v>0</v>
      </c>
      <c r="AQ318" s="67">
        <f t="shared" si="626"/>
        <v>0</v>
      </c>
      <c r="AR318" s="68">
        <f t="shared" si="626"/>
        <v>0</v>
      </c>
      <c r="AS318" s="66">
        <f>IF(AND($B316=" ",$K318=AS$3),$O318,0)</f>
        <v>0</v>
      </c>
      <c r="AT318" s="67">
        <f>IF(AND($B316=" ",K318=AT$3),$O318,0)</f>
        <v>0</v>
      </c>
      <c r="AU318" s="67">
        <f t="shared" ref="AU318:BE318" si="633">IF(AND($B316=" ",$K318=AU$3),$O318,0)</f>
        <v>0</v>
      </c>
      <c r="AV318" s="67">
        <f t="shared" si="633"/>
        <v>0</v>
      </c>
      <c r="AW318" s="67">
        <f t="shared" si="633"/>
        <v>0</v>
      </c>
      <c r="AX318" s="67">
        <f t="shared" si="633"/>
        <v>0</v>
      </c>
      <c r="AY318" s="69">
        <f t="shared" si="633"/>
        <v>0</v>
      </c>
      <c r="AZ318" s="70">
        <f t="shared" si="633"/>
        <v>0</v>
      </c>
      <c r="BA318" s="70">
        <f t="shared" si="633"/>
        <v>0</v>
      </c>
      <c r="BB318" s="70">
        <f t="shared" si="633"/>
        <v>0</v>
      </c>
      <c r="BC318" s="71">
        <f t="shared" si="633"/>
        <v>0</v>
      </c>
      <c r="BD318" s="67">
        <f t="shared" si="633"/>
        <v>0</v>
      </c>
      <c r="BE318" s="68">
        <f t="shared" si="633"/>
        <v>0</v>
      </c>
      <c r="BF318" s="66">
        <f t="shared" si="628"/>
        <v>0</v>
      </c>
      <c r="BG318" s="168">
        <f t="shared" si="628"/>
        <v>3.13</v>
      </c>
      <c r="BH318" s="67">
        <f t="shared" si="628"/>
        <v>0</v>
      </c>
      <c r="BI318" s="67">
        <f t="shared" si="628"/>
        <v>0</v>
      </c>
      <c r="BJ318" s="67">
        <f t="shared" si="628"/>
        <v>0</v>
      </c>
      <c r="BK318" s="67">
        <f t="shared" si="628"/>
        <v>0</v>
      </c>
      <c r="BL318" s="67">
        <f t="shared" si="628"/>
        <v>0</v>
      </c>
      <c r="BM318" s="69">
        <f t="shared" si="628"/>
        <v>0</v>
      </c>
      <c r="BN318" s="70">
        <f t="shared" si="628"/>
        <v>0</v>
      </c>
      <c r="BO318" s="70">
        <f t="shared" si="628"/>
        <v>0</v>
      </c>
      <c r="BP318" s="70">
        <f t="shared" si="628"/>
        <v>0</v>
      </c>
      <c r="BQ318" s="71">
        <f t="shared" si="628"/>
        <v>0</v>
      </c>
      <c r="BR318" s="68">
        <f t="shared" si="628"/>
        <v>0</v>
      </c>
      <c r="BS318" s="491"/>
      <c r="BT318" s="489"/>
      <c r="BU318" s="392"/>
      <c r="BV318" s="489"/>
      <c r="BW318" s="392"/>
      <c r="BX318" s="392"/>
      <c r="BY318" s="392"/>
      <c r="BZ318" s="489"/>
      <c r="CA318" s="392"/>
      <c r="CB318" s="392"/>
      <c r="CC318" s="392"/>
      <c r="CD318" s="401"/>
      <c r="CE318" s="409"/>
      <c r="CF318" s="169">
        <f t="shared" si="515"/>
        <v>0</v>
      </c>
      <c r="CG318" s="170">
        <f t="shared" si="516"/>
        <v>0</v>
      </c>
      <c r="CH318" s="170">
        <f t="shared" si="517"/>
        <v>1</v>
      </c>
      <c r="CI318" s="170">
        <f t="shared" si="518"/>
        <v>0</v>
      </c>
      <c r="CJ318" s="170">
        <f t="shared" si="519"/>
        <v>0</v>
      </c>
      <c r="CK318" s="170">
        <f t="shared" si="520"/>
        <v>0</v>
      </c>
      <c r="CL318" s="170">
        <f t="shared" si="521"/>
        <v>0</v>
      </c>
      <c r="CM318" s="170">
        <f t="shared" si="522"/>
        <v>0</v>
      </c>
      <c r="CN318" s="170">
        <f t="shared" si="523"/>
        <v>0</v>
      </c>
      <c r="CO318" s="170">
        <f t="shared" si="524"/>
        <v>0</v>
      </c>
      <c r="CP318" s="170">
        <f t="shared" si="525"/>
        <v>0</v>
      </c>
      <c r="CQ318" s="170">
        <f t="shared" si="526"/>
        <v>0</v>
      </c>
      <c r="CR318" s="170">
        <f t="shared" si="527"/>
        <v>0</v>
      </c>
      <c r="CS318" s="170">
        <f t="shared" si="528"/>
        <v>0</v>
      </c>
      <c r="CT318" s="75">
        <f t="shared" si="529"/>
        <v>0</v>
      </c>
      <c r="CU318" s="76">
        <f t="shared" si="530"/>
        <v>0</v>
      </c>
      <c r="CV318" s="76">
        <f t="shared" si="531"/>
        <v>0</v>
      </c>
      <c r="CW318" s="76">
        <f t="shared" si="532"/>
        <v>0</v>
      </c>
      <c r="CX318" s="76">
        <f t="shared" si="533"/>
        <v>0</v>
      </c>
      <c r="CY318" s="76">
        <f t="shared" si="534"/>
        <v>0</v>
      </c>
      <c r="CZ318" s="76">
        <f t="shared" si="535"/>
        <v>0</v>
      </c>
      <c r="DA318" s="76">
        <f t="shared" si="536"/>
        <v>0</v>
      </c>
      <c r="DB318" s="76">
        <f t="shared" si="537"/>
        <v>0</v>
      </c>
      <c r="DC318" s="76">
        <f t="shared" si="538"/>
        <v>0</v>
      </c>
      <c r="DD318" s="76">
        <f t="shared" si="539"/>
        <v>0</v>
      </c>
      <c r="DE318" s="77">
        <f t="shared" si="540"/>
        <v>0</v>
      </c>
      <c r="DF318" s="73">
        <f t="shared" si="542"/>
        <v>24</v>
      </c>
      <c r="DG318" s="67">
        <f t="shared" si="543"/>
        <v>31.309999999999995</v>
      </c>
      <c r="DH318" s="76">
        <f t="shared" si="544"/>
        <v>9</v>
      </c>
      <c r="DI318" s="67">
        <f t="shared" si="545"/>
        <v>36.849999999999994</v>
      </c>
      <c r="DJ318" s="202" t="str">
        <f>IF($D316="","",$D316)</f>
        <v>9</v>
      </c>
      <c r="DK318" s="493"/>
    </row>
    <row r="319" spans="1:115" ht="14.5" customHeight="1" x14ac:dyDescent="0.2">
      <c r="A319" s="459">
        <f>$A316+1</f>
        <v>106</v>
      </c>
      <c r="B319" s="507" t="str">
        <f>IF(OR(C319="W",C320="W",C321="W",C319="1/2W",C320="1/2W",C321="1/2W",C319="1/2L",C320="1/2L",C321="1/2L"),"OK",IF(OR(C319="L",C320="L",C321="L"),"LOSS",IF(OR(C319="X",C320="X",C321="X"),"Anulado"," ")))</f>
        <v>OK</v>
      </c>
      <c r="C319" s="93" t="s">
        <v>55</v>
      </c>
      <c r="D319" s="468" t="str">
        <f>IF(G319="","",$D316)</f>
        <v>9</v>
      </c>
      <c r="E319" s="485" t="str">
        <f>IF(G319=""," ","– "&amp;COUNTIF(D$4:D321,$D319))</f>
        <v>– 14</v>
      </c>
      <c r="F319" s="509" t="str">
        <f ca="1">IF(G319="","",IF(OR(AND($C319&lt;&gt;" ",$C320=" "),AND($C320&lt;&gt;" ",$C319=" "),AND(L321&gt;0,OR(AND($C321&lt;&gt;" ",OR($C319=" ",$C320=" ")),AND($C321=" ",OR($C319&lt;&gt;" ",$C320&lt;&gt;" "))))),IF(SUM(F$4:F318)=0,1,LARGE(F$4:F318,1)+1),IF(MONTH(G319)=MONTH(TODAY()),IF(AND(DAY(G319)&lt;DAY(TODAY()),$B319=" "),IF(SUM(F$4:F318)=0,1,LARGE(F$4:F318,1)+1),IF($B319=" ",IF(AND(DAY(G319)=DAY(TODAY()),HOUR(G319)&lt;=HOUR(NOW())+1),IF(AND(HOUR(G319)+2&lt;=HOUR(NOW()),DAY(G319)&lt;=DAY(TODAY()),MINUTE(G319)&lt;=MINUTE(NOW())),IF(SUM(F$4:F318)=0,1,LARGE(F$4:F318,1)+1),IF(OR(MINUTE(G319)&lt;=MINUTE(NOW()),HOUR(G319)&lt;=HOUR(NOW())),"!!!","")),""),"")),"")))</f>
        <v/>
      </c>
      <c r="G319" s="482">
        <v>44995.604166666664</v>
      </c>
      <c r="H319" s="475" t="s">
        <v>149</v>
      </c>
      <c r="I319" s="94" t="s">
        <v>76</v>
      </c>
      <c r="J319" s="95">
        <v>-33</v>
      </c>
      <c r="K319" s="96" t="s">
        <v>43</v>
      </c>
      <c r="L319" s="97">
        <v>2.12</v>
      </c>
      <c r="M319" s="98"/>
      <c r="N319" s="478">
        <v>0</v>
      </c>
      <c r="O319" s="99">
        <f>IF(OR(AE319="",AE320=""),"",ROUND(IF(L321&gt;0,IF(M319&gt;0,M319,IF(M320&gt;0,ROUND((M320*AE319)/AE320,IF(N319=0,2,IF(N319=0.1,1,0))),ROUND((M321*AE319)/AE321,IF(N319=0,2,IF(N319=0.1,1,0))))),IF(M319&gt;0,M319,ROUND((M320*AE319)/AE320,IF(N319=0,2,IF(N319=0.1,1,0))))),2))</f>
        <v>11.43</v>
      </c>
      <c r="P319" s="100">
        <f>IF(OR(L319="",O319=""),"",IF($C319="1/2W",O319/2+O319/2*L319,IF($C319="1/2L",O319/2,IF(I319="Lay",(O319*(L319/(L319-1))-O319)*(1-_xlfn.XLOOKUP(K319,'Fevereiro 2023 - Valor Real'!A3:A15,'Fevereiro 2023 - Valor Real'!C3:C15,0))+O319,(O319*L319-O319)*(1-_xlfn.XLOOKUP(K319,'Fevereiro 2023 - Valor Real'!A3:A15,'Fevereiro 2023 - Valor Real'!C3:C15,0))+O319))))</f>
        <v>24.2316</v>
      </c>
      <c r="Q319" s="101">
        <f>IF(K319="","",IF(_xlfn.XLOOKUP(K319,K$4:K318,$DJ$4:DJ318,0,,-1)=DJ319,_xlfn.XLOOKUP(K319,K$4:K318,Q$4:Q318,1,,-1)+1,1))</f>
        <v>3</v>
      </c>
      <c r="R319" s="102">
        <f>IF(K319="","",_xlfn.XLOOKUP(K319,K$4:K318,R$4:R318,0,,-1)+IF($C319=" ",1,0))</f>
        <v>0</v>
      </c>
      <c r="S319" s="474">
        <f>IF($B319="Anulado",0,ROUND(IF(OR($B319="LOSS",$B319="OK"),IF(OR($C319="W",$C319="1/2W",$C319="1/2L"),P319-O319,IF($C319="L",-O319,0))+IF(OR($C320="W",$C320="1/2W",$C320="1/2L"),P320-O320,IF($C320="L",-O320,0))+IF(OR($C321="W",$C321="1/2W",$C321="1/2L"),P321-O321,IF($C321="L",-O321,0)),IF(AND(OR($C319="W",$C319="1/2W",$C319="1/2L"),C320="W"),P319+P320-SUM(O319:O321)+_xlfn.XLOOKUP("X",C319:C321,O319:O321,0),IF(AND(C319=TRUE,C321="W"),P319+P321-SUM(O319:O321),IF(AND(C320="W",C321="W"),P320+P321-SUM(O319:O321)+_xlfn.XLOOKUP("X",C319:C321,O319:O321,0),IF(L321&gt;0,IF(OR($C319="W",$C319="1/2W",$C319="1/2L"),P319-SUM(O319:O321)+_xlfn.XLOOKUP("X",C319:C321,O319:O321,0),IF(OR($C319="W",$C319="1/2W",$C319="1/2L"),P320-SUM(O319:O321)+_xlfn.XLOOKUP("X",C319:C321,O319:O321,0),IF(OR($C319="W",$C319="1/2W",$C319="1/2L"),P321-SUM(O319:O321)+_xlfn.XLOOKUP("X",C319:C321,O319:O321,0),IF(SUM(P319:P321)/3-SUM(O319:O321)+_xlfn.XLOOKUP("X",C319:C321,O319:O321,0)&gt;0,SUM(P319:P321)/3-SUM(O319:O321)+_xlfn.XLOOKUP("X",C319:C321,O319:O321,0),LARGE(P319:P321,1)-SUM(O319:O321))))),IF(OR($C319="W",$C319="1/2W",$C319="1/2L"),P319-SUM(O319:O320)+_xlfn.XLOOKUP("X",C319:C321,O319:O321,0),IF(OR($C319="W",$C319="1/2W",$C319="1/2L"),P320-SUM(O319:O320)+_xlfn.XLOOKUP("X",C319:C321,O319:O321,0),SUM(P319:P320)/2-SUM(O319:O320)+_xlfn.XLOOKUP("X",C319:C321,O319:O321,0)))))))),2))</f>
        <v>1.64</v>
      </c>
      <c r="T319" s="458">
        <f>IF(S319=0,0,S319/SUM(O319:O321))</f>
        <v>7.2566371681415914E-2</v>
      </c>
      <c r="U319" s="470">
        <f>IF($D319=$D316,IF(OR($B319="LOSS",$B319="OK",$B319="Anulada"),S319,0)+U316,IF(OR($B319="LOSS",$B319="OK",$B319="Anulada"),S319,0))</f>
        <v>38.9</v>
      </c>
      <c r="V319" s="470">
        <f>IF($D319="",0,IF($D319=$D316,IF($B319=" ",IF(I321="",IF(OR(AND(I319="DNB1",I320="DNB2"),AND(OR(I319="DNB1",I319="DNB2"),J320=0),AND(OR(I320="DNB1",I320="DNB2"),J319=0),AND(I319="DNB2",I320="DNB1"),AND(IF(J319=0,(J319+1)/ROUND(J319+1,0),J319/ROUND(J319,0))=1,IF(J320=0,(J320+1)/ROUND(IF(J320="",0,J320)+1,0),IF(J320="",0,J320)/ROUND(IF(J320="",1,J320),0))=1,OR(J319&lt;&gt;""),J320&lt;&gt;"")),0,IF(S319&lt;0,IF(I321="",SMALL(P319:P320,1)-SUM(O319:O320),0),SMALL(P319:P320,1)-SUM(O319:O320))),IF(S319&lt;0,IF(I321="",SMALL(P319:P321,1)-SUM(O319:O321),0),LARGE(P319:P321,1)-SUM(O319:O321))),S319)+V316,IF(I321="",IF(OR(AND(I319="DNB1",I320="DNB2"),AND(OR(I319="DNB1",I319="DNB2"),J320=0),AND(OR(I320="DNB1",I320="DNB2"),J319=0),AND(I319="DNB2",I320="DNB1"),AND(IF(J319=0,(J319+1)/ROUND(J319+1,0),J319/ROUND(J319,0))=1,IF(J320=0,(IF(J320="",0,J320)+1)/ROUND(IF(J320="",0,J320)+1,0),IF(J320="",0,J320)/ROUND(IF(J320="",0,J320)+1,0))=1,OR(J319&lt;&gt;""),J320&lt;&gt;"")),0,IF(S319&lt;0,IF(I321="",SMALL(P319:P320,1)-SUM(O319:O320),0),SMALL(P319:P321,1)-SUM(O319:O321))),IF(S319&lt;0,IF(I321="",SMALL(P319:P321,1)-SUM(O319:O321),0),LARGE(P319:P321,1)-SUM(O319:O321)))))</f>
        <v>38.900400000000005</v>
      </c>
      <c r="W319" s="470">
        <f>IF($D319=$D316,IF(S319&lt;0,IF(I321="",S319,0),S319)+W316,S319)</f>
        <v>38.9</v>
      </c>
      <c r="X319" s="480" t="str">
        <f>IF(OR(SUM(R319:R321)=0,V319=W319),ROUND(IF(W319=0,0,W319/Y319)*100,2)&amp;"%",ROUND(IF(V319=0,0,V319/Y319)*100,2)&amp;"% a "&amp;ROUND(IF(W319=0,0,W319/Y319)*100,2)&amp;"%")</f>
        <v>5,36%</v>
      </c>
      <c r="Y319" s="471">
        <f>IF($D319=$D316,Y316+SUM(O319:O321),SUM(O319:O321))</f>
        <v>725.67</v>
      </c>
      <c r="Z319" s="470">
        <f>IF($B319=" ",SUM(O319:O321),0)+Z316</f>
        <v>0</v>
      </c>
      <c r="AA319" s="470">
        <f>IF(G319="","",IF($B319="Anulado",LARGE(P319:P321,1)-SUM(O319:O321)+AA316,AA316))</f>
        <v>2.6261999999999954</v>
      </c>
      <c r="AB319" s="470">
        <f>IF($D319="","",AB316+S319)</f>
        <v>479.76000000000005</v>
      </c>
      <c r="AC319" s="472">
        <f ca="1">IF($D319="","",IF($B319=" ",IF(DAY(G319)=DAY(TODAY()),1+AC316,0+AC316),0+AC316))</f>
        <v>0</v>
      </c>
      <c r="AD319" s="103">
        <f>(((L320/(L320-1)-1)*(1-_xlfn.XLOOKUP(K320,'Fevereiro 2023 - Valor Real'!A3:A15,'Fevereiro 2023 - Valor Real'!C3:C15,0))+1))/(((L319-1)*(1-_xlfn.XLOOKUP(K319,'Fevereiro 2023 - Valor Real'!A3:A15,'Fevereiro 2023 - Valor Real'!C3:C15,0))+1)+((L320/(L320-1)-1)*(1-_xlfn.XLOOKUP(K320,'Fevereiro 2023 - Valor Real'!A3:A15,'Fevereiro 2023 - Valor Real'!C3:C15,0))+1))</f>
        <v>0.46662652675038707</v>
      </c>
      <c r="AE319" s="104">
        <f>IF(L319="","",IF(L321&gt;0,(SUM(((L319-1)*(1-_xlfn.XLOOKUP(K319,'Fevereiro 2023 - Valor Real'!A3:A15,'Fevereiro 2023 - Valor Real'!C3:C15,0))+1),((L320-1)*(1-_xlfn.XLOOKUP(K320,'Fevereiro 2023 - Valor Real'!A3:A15,'Fevereiro 2023 - Valor Real'!C3:C15,0))+1),((L321-1)*(1-_xlfn.XLOOKUP(K321,'Fevereiro 2023 - Valor Real'!A3:A15,'Fevereiro 2023 - Valor Real'!C3:C15,0))+1))/((L319-1)*(1-_xlfn.XLOOKUP(K319,'Fevereiro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Real'!C3:C15,0))+1))/((L319-1)*(1-_xlfn.XLOOKUP(K319,'Fevereiro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Real'!C3:C15,0))+1))/((L320-1)*(1-_xlfn.XLOOKUP(K320,'Fevereiro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Real'!C3:C15,0))+1))/((L321-1)*(1-_xlfn.XLOOKUP(K321,'Fevereiro 2023 - Valor Real'!A3:A15,'Fevereiro 2023 - Valor Real'!C3:C15,0))+1)),IF(I319="Lay",IF(I320="Lay",((L320/(L320-1)-1)*(1-_xlfn.XLOOKUP(K320,'Fevereiro 2023 - Valor Real'!A3:A15,'Fevereiro 2023 - Valor Real'!C3:C15,0))+1)/(((L320/(L320-1)-1)*(1-_xlfn.XLOOKUP(K320,'Fevereiro 2023 - Valor Real'!A3:A15,'Fevereiro 2023 - Valor Real'!C3:C15,0))+1)+((L319/(L319-1)-1)*(1-_xlfn.XLOOKUP(K319,'Fevereiro 2023 - Valor Real'!A3:A15,'Fevereiro 2023 - Valor Real'!C3:C15,0))+1)),((L320-1)*(1-_xlfn.XLOOKUP(K320,'Fevereiro 2023 - Valor Real'!A3:A15,'Fevereiro 2023 - Valor Real'!C3:C15,0))+1)/(((L320-1)*(1-_xlfn.XLOOKUP(K320,'Fevereiro 2023 - Valor Real'!A3:A15,'Fevereiro 2023 - Valor Real'!C3:C15,0))+1)+((L319/(L319-1)-1)*(1-_xlfn.XLOOKUP(K319,'Fevereiro 2023 - Valor Real'!A3:A15,'Fevereiro 2023 - Valor Real'!C3:C15,0))+1))),IF(I320="Lay",(((L320/(L320-1)-1)*(1-_xlfn.XLOOKUP(K320,'Fevereiro 2023 - Valor Real'!A3:A15,'Fevereiro 2023 - Valor Real'!C3:C15,0))+1))/(((L319-1)*(1-_xlfn.XLOOKUP(K319,'Fevereiro 2023 - Valor Real'!A3:A15,'Fevereiro 2023 - Valor Real'!C3:C15,0))+1)+((L320/(L320-1)-1)*(1-_xlfn.XLOOKUP(K320,'Fevereiro 2023 - Valor Real'!A3:A15,'Fevereiro 2023 - Valor Real'!C3:C15,0))+1)),((L320-1)*(1-_xlfn.XLOOKUP(K320,'Fevereiro 2023 - Valor Real'!A3:A15,'Fevereiro 2023 - Valor Real'!C3:C15,0))+1)/(((L320-1)*(1-_xlfn.XLOOKUP(K320,'Fevereiro 2023 - Valor Real'!A3:A15,'Fevereiro 2023 - Valor Real'!C3:C15,0))+1)+((L319-1)*(1-_xlfn.XLOOKUP(K319,'Fevereiro 2023 - Valor Real'!A3:A15,'Fevereiro 2023 - Valor Real'!C3:C15,0))+1))))))</f>
        <v>0.5058275058275058</v>
      </c>
      <c r="AF319" s="105">
        <f t="shared" si="626"/>
        <v>0</v>
      </c>
      <c r="AG319" s="106">
        <f t="shared" si="626"/>
        <v>0</v>
      </c>
      <c r="AH319" s="106">
        <f t="shared" si="626"/>
        <v>0</v>
      </c>
      <c r="AI319" s="106">
        <f t="shared" si="626"/>
        <v>0</v>
      </c>
      <c r="AJ319" s="106">
        <f t="shared" si="626"/>
        <v>0</v>
      </c>
      <c r="AK319" s="106">
        <f t="shared" si="626"/>
        <v>0</v>
      </c>
      <c r="AL319" s="106">
        <f t="shared" si="626"/>
        <v>0</v>
      </c>
      <c r="AM319" s="106">
        <f t="shared" si="626"/>
        <v>-11.43</v>
      </c>
      <c r="AN319" s="106">
        <f t="shared" si="626"/>
        <v>0</v>
      </c>
      <c r="AO319" s="106">
        <f t="shared" si="626"/>
        <v>0</v>
      </c>
      <c r="AP319" s="106">
        <f t="shared" si="626"/>
        <v>0</v>
      </c>
      <c r="AQ319" s="106">
        <f t="shared" si="626"/>
        <v>0</v>
      </c>
      <c r="AR319" s="107">
        <f t="shared" si="626"/>
        <v>0</v>
      </c>
      <c r="AS319" s="105">
        <f t="shared" ref="AS319:BE319" si="634">IF(AND($B319=" ",$K319=AS$3),$O319,0)</f>
        <v>0</v>
      </c>
      <c r="AT319" s="106">
        <f t="shared" si="634"/>
        <v>0</v>
      </c>
      <c r="AU319" s="106">
        <f t="shared" si="634"/>
        <v>0</v>
      </c>
      <c r="AV319" s="106">
        <f t="shared" si="634"/>
        <v>0</v>
      </c>
      <c r="AW319" s="106">
        <f t="shared" si="634"/>
        <v>0</v>
      </c>
      <c r="AX319" s="106">
        <f t="shared" si="634"/>
        <v>0</v>
      </c>
      <c r="AY319" s="108">
        <f t="shared" si="634"/>
        <v>0</v>
      </c>
      <c r="AZ319" s="109">
        <f t="shared" si="634"/>
        <v>0</v>
      </c>
      <c r="BA319" s="109">
        <f t="shared" si="634"/>
        <v>0</v>
      </c>
      <c r="BB319" s="109">
        <f t="shared" si="634"/>
        <v>0</v>
      </c>
      <c r="BC319" s="110">
        <f t="shared" si="634"/>
        <v>0</v>
      </c>
      <c r="BD319" s="106">
        <f t="shared" si="634"/>
        <v>0</v>
      </c>
      <c r="BE319" s="107">
        <f t="shared" si="634"/>
        <v>0</v>
      </c>
      <c r="BF319" s="111">
        <f t="shared" si="628"/>
        <v>0</v>
      </c>
      <c r="BG319" s="106">
        <f t="shared" si="628"/>
        <v>0</v>
      </c>
      <c r="BH319" s="106">
        <f t="shared" si="628"/>
        <v>0</v>
      </c>
      <c r="BI319" s="106">
        <f t="shared" si="628"/>
        <v>0</v>
      </c>
      <c r="BJ319" s="106">
        <f t="shared" si="628"/>
        <v>0</v>
      </c>
      <c r="BK319" s="106">
        <f t="shared" si="628"/>
        <v>0</v>
      </c>
      <c r="BL319" s="106">
        <f t="shared" si="628"/>
        <v>0</v>
      </c>
      <c r="BM319" s="108">
        <f t="shared" si="628"/>
        <v>11.43</v>
      </c>
      <c r="BN319" s="109">
        <f t="shared" si="628"/>
        <v>0</v>
      </c>
      <c r="BO319" s="109">
        <f t="shared" si="628"/>
        <v>0</v>
      </c>
      <c r="BP319" s="109">
        <f t="shared" si="628"/>
        <v>0</v>
      </c>
      <c r="BQ319" s="110">
        <f t="shared" si="628"/>
        <v>0</v>
      </c>
      <c r="BR319" s="107">
        <f t="shared" si="628"/>
        <v>0</v>
      </c>
      <c r="BS319" s="463">
        <f>IF($B319="LOSS",IF(AND($K319=BS$3,$C319="L"),-$O319,0)+IF(AND($K320=BS$3,$C320="L"),-$O320,0)+IF(AND($K321=BS$3,$C321="L"),-$O321,0),IF(OR(AND($K319=BS$3,OR($C319="W",$C319="1/2W")),AND($K320=BS$3,OR($C320="W",$C320="1/2W")),AND($K321=BS$3,OR($C321="W",$C321="1/2W"))),$S319,0))</f>
        <v>0</v>
      </c>
      <c r="BT319" s="462">
        <f>IF($B319="LOSS",IF(AND($K319=BT$3,$C319="L"),-$O319,0)+IF(AND($K320=BT$3,$C320="L"),-$O320,0)+IF(AND($K320=BT$3,$C321="L"),-$O321,0),IF(OR(AND($K320=BT$3,OR($C319="W",$C319="1/2W")),AND($K320=BT$3,OR($C320="W",$C320="1/2W")),AND($K320=BT$3,OR($C321="W",$C321="1/2W"))),$S319,0))</f>
        <v>0</v>
      </c>
      <c r="BU319" s="462">
        <f>IF($B319="LOSS",IF(AND($K319=BU$3,$C319="L"),-$O319,0)+IF(AND($K320=BU$3,$C320="L"),-$O320,0)+IF(AND($K320=BU$3,$C321="L"),-$O321,0),IF(OR(AND($K320=BU$3,OR($C319="W",$C319="1/2W")),AND($K320=BU$3,OR($C320="W",$C320="1/2W")),AND($K320=BU$3,OR($C321="W",$C321="1/2W"))),$S319,0))</f>
        <v>0</v>
      </c>
      <c r="BV319" s="462">
        <f t="shared" ref="BV319:CE319" si="635">IF($B319="LOSS",IF(AND($K319=BV$3,$C319="L"),-$O319,0)+IF(AND($K320=BV$3,$C320="L"),-$O320,0)+IF(AND($K321=BV$3,$C321="L"),-$O321,0),IF(OR(AND($K319=BV$3,OR($C319="W",$C319="1/2W")),AND($K320=BV$3,OR($C320="W",$C320="1/2W")),AND($K321=BV$3,OR($C321="W",$C321="1/2W"))),$S319,0))</f>
        <v>0</v>
      </c>
      <c r="BW319" s="462">
        <f t="shared" si="635"/>
        <v>0</v>
      </c>
      <c r="BX319" s="462">
        <f t="shared" si="635"/>
        <v>0</v>
      </c>
      <c r="BY319" s="462">
        <f t="shared" si="635"/>
        <v>0</v>
      </c>
      <c r="BZ319" s="460">
        <f t="shared" si="635"/>
        <v>0</v>
      </c>
      <c r="CA319" s="460">
        <f t="shared" si="635"/>
        <v>0</v>
      </c>
      <c r="CB319" s="460">
        <f t="shared" si="635"/>
        <v>0</v>
      </c>
      <c r="CC319" s="460">
        <f t="shared" si="635"/>
        <v>0</v>
      </c>
      <c r="CD319" s="473">
        <f t="shared" si="635"/>
        <v>1.64</v>
      </c>
      <c r="CE319" s="479">
        <f t="shared" si="635"/>
        <v>0</v>
      </c>
      <c r="CF319" s="113">
        <f t="shared" si="515"/>
        <v>0</v>
      </c>
      <c r="CG319" s="114">
        <f t="shared" si="516"/>
        <v>0</v>
      </c>
      <c r="CH319" s="114">
        <f t="shared" si="517"/>
        <v>0</v>
      </c>
      <c r="CI319" s="114">
        <f t="shared" si="518"/>
        <v>0</v>
      </c>
      <c r="CJ319" s="114">
        <f t="shared" si="519"/>
        <v>0</v>
      </c>
      <c r="CK319" s="114">
        <f t="shared" si="520"/>
        <v>0</v>
      </c>
      <c r="CL319" s="114">
        <f t="shared" si="521"/>
        <v>0</v>
      </c>
      <c r="CM319" s="114">
        <f t="shared" si="522"/>
        <v>0</v>
      </c>
      <c r="CN319" s="114">
        <f t="shared" si="523"/>
        <v>0</v>
      </c>
      <c r="CO319" s="114">
        <f t="shared" si="524"/>
        <v>0</v>
      </c>
      <c r="CP319" s="114">
        <f t="shared" si="525"/>
        <v>0</v>
      </c>
      <c r="CQ319" s="114">
        <f t="shared" si="526"/>
        <v>0</v>
      </c>
      <c r="CR319" s="114">
        <f t="shared" si="527"/>
        <v>0</v>
      </c>
      <c r="CS319" s="114">
        <f t="shared" si="528"/>
        <v>0</v>
      </c>
      <c r="CT319" s="115">
        <f t="shared" si="529"/>
        <v>0</v>
      </c>
      <c r="CU319" s="116">
        <f t="shared" si="530"/>
        <v>1</v>
      </c>
      <c r="CV319" s="116">
        <f t="shared" si="531"/>
        <v>0</v>
      </c>
      <c r="CW319" s="116">
        <f t="shared" si="532"/>
        <v>0</v>
      </c>
      <c r="CX319" s="116">
        <f t="shared" si="533"/>
        <v>0</v>
      </c>
      <c r="CY319" s="116">
        <f t="shared" si="534"/>
        <v>0</v>
      </c>
      <c r="CZ319" s="116">
        <f t="shared" si="535"/>
        <v>0</v>
      </c>
      <c r="DA319" s="116">
        <f t="shared" si="536"/>
        <v>0</v>
      </c>
      <c r="DB319" s="116">
        <f t="shared" si="537"/>
        <v>0</v>
      </c>
      <c r="DC319" s="116">
        <f t="shared" si="538"/>
        <v>0</v>
      </c>
      <c r="DD319" s="116">
        <f t="shared" si="539"/>
        <v>0</v>
      </c>
      <c r="DE319" s="117">
        <f t="shared" si="540"/>
        <v>0</v>
      </c>
      <c r="DF319" s="118">
        <f t="shared" si="542"/>
        <v>24</v>
      </c>
      <c r="DG319" s="106">
        <f t="shared" si="543"/>
        <v>31.309999999999995</v>
      </c>
      <c r="DH319" s="116">
        <f t="shared" si="544"/>
        <v>9</v>
      </c>
      <c r="DI319" s="106">
        <f t="shared" si="545"/>
        <v>36.849999999999994</v>
      </c>
      <c r="DJ319" s="201" t="str">
        <f>IF($D319="","",$D319)</f>
        <v>9</v>
      </c>
      <c r="DK319" s="465">
        <f>IF(AND($B319=" ",$D319&lt;&gt;""),1,0)</f>
        <v>0</v>
      </c>
    </row>
    <row r="320" spans="1:115" ht="14.5" customHeight="1" x14ac:dyDescent="0.2">
      <c r="A320" s="389"/>
      <c r="B320" s="456"/>
      <c r="C320" s="120" t="s">
        <v>54</v>
      </c>
      <c r="D320" s="374"/>
      <c r="E320" s="386"/>
      <c r="F320" s="377"/>
      <c r="G320" s="483"/>
      <c r="H320" s="476"/>
      <c r="I320" s="121" t="s">
        <v>66</v>
      </c>
      <c r="J320" s="122">
        <v>33.5</v>
      </c>
      <c r="K320" s="123" t="s">
        <v>47</v>
      </c>
      <c r="L320" s="124">
        <v>2.17</v>
      </c>
      <c r="M320" s="125">
        <v>11.17</v>
      </c>
      <c r="N320" s="406"/>
      <c r="O320" s="126">
        <f>IF(OR(AE319="",AE320=""),"",ROUND(IF(L321&gt;0,IF(M320&gt;0,M320,IF(M319&gt;0,IF(N319=TRUE,ROUND((M319*AE320)/AE319,0),(M319*AE320)/AE319),IF(M320&gt;0,ROUND(M320,IF(N319=0,2,IF(N319=0.1,1,0))),IF(M321&gt;0,ROUND(O321*AE320/AE321,IF(N319=0,2,IF(N319=0.1,1,0))),0)))),IF(M320&gt;0,M320,ROUND((M319*AE320)/AE319,IF(N319=0,2,IF(N319=0.1,1,0))))),2))</f>
        <v>11.17</v>
      </c>
      <c r="P320" s="127">
        <f>IF(OR(L320="",O320=""),"",IF($C320="1/2W",O320/2+O320/2*L320,IF($C320="1/2L",O320/2,IF(I320="Lay",((O320*(L320/(L320-1)))-O320)*(1-_xlfn.XLOOKUP(K320,'Fevereiro 2023 - Valor Real'!A3:A15,'Fevereiro 2023 - Valor Real'!C3:C15,0))+O320,(O320*L320-O320)*(1-_xlfn.XLOOKUP(K320,'Fevereiro 2023 - Valor Real'!A3:A15,'Fevereiro 2023 - Valor Real'!C3:C15,0))+O320))))</f>
        <v>24.238899999999997</v>
      </c>
      <c r="Q320" s="128">
        <f>IF(K320="","",IF(_xlfn.XLOOKUP(K320,K$4:K319,$DJ$4:DJ319,0,,-1)=DJ320,_xlfn.XLOOKUP(K320,K$4:K319,Q$4:Q319,1,,-1)+1,1))</f>
        <v>4</v>
      </c>
      <c r="R320" s="129">
        <f>IF(K320="","",_xlfn.XLOOKUP(K320,K$4:K319,R$4:R319,0,,-1)+IF($C320=" ",1,0))</f>
        <v>0</v>
      </c>
      <c r="S320" s="403"/>
      <c r="T320" s="380"/>
      <c r="U320" s="380"/>
      <c r="V320" s="481"/>
      <c r="W320" s="380"/>
      <c r="X320" s="452"/>
      <c r="Y320" s="383"/>
      <c r="Z320" s="384"/>
      <c r="AA320" s="384"/>
      <c r="AB320" s="384"/>
      <c r="AC320" s="384"/>
      <c r="AD320" s="130">
        <f>(((L320/(L320-1)-1)*(1-_xlfn.XLOOKUP(K320,'Fevereiro 2023 - Valor Real'!A3:A15,'Fevereiro 2023 - Valor Real'!C3:C15,0))+1))</f>
        <v>1.8547008547008548</v>
      </c>
      <c r="AE320" s="131">
        <f>IF(L320="","",IF(L321&gt;0,(SUM(((L319-1)*(1-_xlfn.XLOOKUP(K319,'Fevereiro 2023 - Valor Real'!A3:A15,'Fevereiro 2023 - Valor Real'!C3:C15,0))+1),((L320-1)*(1-_xlfn.XLOOKUP(K320,'Fevereiro 2023 - Valor Real'!A3:A15,'Fevereiro 2023 - Valor Real'!C3:C15,0))+1),((L321-1)*(1-_xlfn.XLOOKUP(K321,'Fevereiro 2023 - Valor Real'!A3:A15,'Fevereiro 2023 - Valor Real'!C3:C15,0))+1))/((L320-1)*(1-_xlfn.XLOOKUP(K320,'Fevereiro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Real'!C3:C15,0))+1))/((L319-1)*(1-_xlfn.XLOOKUP(K319,'Fevereiro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Real'!C3:C15,0))+1))/((L320-1)*(1-_xlfn.XLOOKUP(K320,'Fevereiro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Real'!C3:C15,0))+1))/((L321-1)*(1-_xlfn.XLOOKUP(K321,'Fevereiro 2023 - Valor Real'!A3:A15,'Fevereiro 2023 - Valor Real'!C3:C15,0))+1)),IF(I320="Lay",IF(I319="Lay",((L319/(L319-1)-1)*(1-_xlfn.XLOOKUP(K319,'Fevereiro 2023 - Valor Real'!A3:A15,'Fevereiro 2023 - Valor Real'!C3:C15,0))+1)/(((L319/(L319-1)-1)*(1-_xlfn.XLOOKUP(K319,'Fevereiro 2023 - Valor Real'!A3:A15,'Fevereiro 2023 - Valor Real'!C3:C15,0))+1)+((L320/(L320-1)-1)*(1-_xlfn.XLOOKUP(K320,'Fevereiro 2023 - Valor Real'!A3:A15,'Fevereiro 2023 - Valor Real'!C3:C15,0))+1)),((L319-1)*(1-_xlfn.XLOOKUP(K319,'Fevereiro 2023 - Valor Real'!A3:A15,'Fevereiro 2023 - Valor Real'!C3:C15,0))+1)/(((L319-1)*(1-_xlfn.XLOOKUP(K319,'Fevereiro 2023 - Valor Real'!A3:A15,'Fevereiro 2023 - Valor Real'!C3:C15,0))+1)+((L320/(L320-1)-1)*(1-_xlfn.XLOOKUP(K320,'Fevereiro 2023 - Valor Real'!A3:A15,'Fevereiro 2023 - Valor Real'!C3:C15,0))+1))),IF(I319="Lay",((L319/(L319-1)-1)*(1-_xlfn.XLOOKUP(K319,'Fevereiro 2023 - Valor Real'!A3:A15,'Fevereiro 2023 - Valor Real'!C3:C15,0))+1)/((((L319/(L319-1)-1)*(1-_xlfn.XLOOKUP(K319,'Fevereiro 2023 - Valor Real'!A3:A15,'Fevereiro 2023 - Valor Real'!C3:C15,0))+1))+((L320-1)*(1-_xlfn.XLOOKUP(K320,'Fevereiro 2023 - Valor Real'!A3:A15,'Fevereiro 2023 - Valor Real'!C3:C15,0))+1)),((L319-1)*(1-_xlfn.XLOOKUP(K319,'Fevereiro 2023 - Valor Real'!A3:A15,'Fevereiro 2023 - Valor Real'!C3:C15,0))+1)/(((L319-1)*(1-_xlfn.XLOOKUP(K319,'Fevereiro 2023 - Valor Real'!A3:A15,'Fevereiro 2023 - Valor Real'!C3:C15,0))+1)+((L320-1)*(1-_xlfn.XLOOKUP(K320,'Fevereiro 2023 - Valor Real'!A3:A15,'Fevereiro 2023 - Valor Real'!C3:C15,0))+1))))))</f>
        <v>0.4941724941724942</v>
      </c>
      <c r="AF320" s="105">
        <f t="shared" si="626"/>
        <v>0</v>
      </c>
      <c r="AG320" s="106">
        <f t="shared" si="626"/>
        <v>0</v>
      </c>
      <c r="AH320" s="106">
        <f t="shared" si="626"/>
        <v>0</v>
      </c>
      <c r="AI320" s="106">
        <f t="shared" si="626"/>
        <v>0</v>
      </c>
      <c r="AJ320" s="106">
        <f t="shared" si="626"/>
        <v>0</v>
      </c>
      <c r="AK320" s="106">
        <f t="shared" si="626"/>
        <v>0</v>
      </c>
      <c r="AL320" s="106">
        <f t="shared" si="626"/>
        <v>0</v>
      </c>
      <c r="AM320" s="106">
        <f t="shared" si="626"/>
        <v>0</v>
      </c>
      <c r="AN320" s="106">
        <f t="shared" si="626"/>
        <v>0</v>
      </c>
      <c r="AO320" s="106">
        <f t="shared" si="626"/>
        <v>0</v>
      </c>
      <c r="AP320" s="106">
        <f t="shared" si="626"/>
        <v>0</v>
      </c>
      <c r="AQ320" s="106">
        <f t="shared" si="626"/>
        <v>13.07</v>
      </c>
      <c r="AR320" s="107">
        <f t="shared" si="626"/>
        <v>0</v>
      </c>
      <c r="AS320" s="105">
        <f>IF(AND($B319=" ",$K320=AS$3),$O320,0)</f>
        <v>0</v>
      </c>
      <c r="AT320" s="106">
        <f>IF(AND($B319=" ",K320=AT$3),$O320,0)</f>
        <v>0</v>
      </c>
      <c r="AU320" s="106">
        <f t="shared" ref="AU320:BE320" si="636">IF(AND($B319=" ",$K320=AU$3),$O320,0)</f>
        <v>0</v>
      </c>
      <c r="AV320" s="106">
        <f t="shared" si="636"/>
        <v>0</v>
      </c>
      <c r="AW320" s="106">
        <f t="shared" si="636"/>
        <v>0</v>
      </c>
      <c r="AX320" s="106">
        <f t="shared" si="636"/>
        <v>0</v>
      </c>
      <c r="AY320" s="108">
        <f t="shared" si="636"/>
        <v>0</v>
      </c>
      <c r="AZ320" s="109">
        <f t="shared" si="636"/>
        <v>0</v>
      </c>
      <c r="BA320" s="109">
        <f t="shared" si="636"/>
        <v>0</v>
      </c>
      <c r="BB320" s="109">
        <f t="shared" si="636"/>
        <v>0</v>
      </c>
      <c r="BC320" s="110">
        <f t="shared" si="636"/>
        <v>0</v>
      </c>
      <c r="BD320" s="106">
        <f t="shared" si="636"/>
        <v>0</v>
      </c>
      <c r="BE320" s="107">
        <f t="shared" si="636"/>
        <v>0</v>
      </c>
      <c r="BF320" s="105">
        <f t="shared" si="628"/>
        <v>0</v>
      </c>
      <c r="BG320" s="106">
        <f t="shared" si="628"/>
        <v>0</v>
      </c>
      <c r="BH320" s="106">
        <f t="shared" si="628"/>
        <v>0</v>
      </c>
      <c r="BI320" s="106">
        <f t="shared" si="628"/>
        <v>0</v>
      </c>
      <c r="BJ320" s="106">
        <f t="shared" si="628"/>
        <v>0</v>
      </c>
      <c r="BK320" s="106">
        <f t="shared" si="628"/>
        <v>0</v>
      </c>
      <c r="BL320" s="106">
        <f t="shared" si="628"/>
        <v>0</v>
      </c>
      <c r="BM320" s="132">
        <f t="shared" si="628"/>
        <v>0</v>
      </c>
      <c r="BN320" s="112">
        <f t="shared" si="628"/>
        <v>0</v>
      </c>
      <c r="BO320" s="112">
        <f t="shared" si="628"/>
        <v>0</v>
      </c>
      <c r="BP320" s="112">
        <f t="shared" si="628"/>
        <v>0</v>
      </c>
      <c r="BQ320" s="110">
        <f t="shared" si="628"/>
        <v>11.17</v>
      </c>
      <c r="BR320" s="107">
        <f t="shared" si="628"/>
        <v>0</v>
      </c>
      <c r="BS320" s="464"/>
      <c r="BT320" s="461"/>
      <c r="BU320" s="392"/>
      <c r="BV320" s="461"/>
      <c r="BW320" s="392"/>
      <c r="BX320" s="392"/>
      <c r="BY320" s="392"/>
      <c r="BZ320" s="461"/>
      <c r="CA320" s="392"/>
      <c r="CB320" s="392"/>
      <c r="CC320" s="392"/>
      <c r="CD320" s="401"/>
      <c r="CE320" s="409"/>
      <c r="CF320" s="133">
        <f t="shared" si="515"/>
        <v>0</v>
      </c>
      <c r="CG320" s="134">
        <f t="shared" si="516"/>
        <v>0</v>
      </c>
      <c r="CH320" s="134">
        <f t="shared" si="517"/>
        <v>0</v>
      </c>
      <c r="CI320" s="134">
        <f t="shared" si="518"/>
        <v>0</v>
      </c>
      <c r="CJ320" s="134">
        <f t="shared" si="519"/>
        <v>0</v>
      </c>
      <c r="CK320" s="134">
        <f t="shared" si="520"/>
        <v>0</v>
      </c>
      <c r="CL320" s="134">
        <f t="shared" si="521"/>
        <v>0</v>
      </c>
      <c r="CM320" s="134">
        <f t="shared" si="522"/>
        <v>0</v>
      </c>
      <c r="CN320" s="134">
        <f t="shared" si="523"/>
        <v>0</v>
      </c>
      <c r="CO320" s="134">
        <f t="shared" si="524"/>
        <v>0</v>
      </c>
      <c r="CP320" s="134">
        <f t="shared" si="525"/>
        <v>0</v>
      </c>
      <c r="CQ320" s="134">
        <f t="shared" si="526"/>
        <v>0</v>
      </c>
      <c r="CR320" s="134">
        <f t="shared" si="527"/>
        <v>0</v>
      </c>
      <c r="CS320" s="134">
        <f t="shared" si="528"/>
        <v>0</v>
      </c>
      <c r="CT320" s="115">
        <f t="shared" si="529"/>
        <v>0</v>
      </c>
      <c r="CU320" s="116">
        <f t="shared" si="530"/>
        <v>0</v>
      </c>
      <c r="CV320" s="116">
        <f t="shared" si="531"/>
        <v>0</v>
      </c>
      <c r="CW320" s="116">
        <f t="shared" si="532"/>
        <v>0</v>
      </c>
      <c r="CX320" s="116">
        <f t="shared" si="533"/>
        <v>0</v>
      </c>
      <c r="CY320" s="116">
        <f t="shared" si="534"/>
        <v>0</v>
      </c>
      <c r="CZ320" s="116">
        <f t="shared" si="535"/>
        <v>0</v>
      </c>
      <c r="DA320" s="116">
        <f t="shared" si="536"/>
        <v>0</v>
      </c>
      <c r="DB320" s="116">
        <f t="shared" si="537"/>
        <v>1</v>
      </c>
      <c r="DC320" s="116">
        <f t="shared" si="538"/>
        <v>0</v>
      </c>
      <c r="DD320" s="116">
        <f t="shared" si="539"/>
        <v>0</v>
      </c>
      <c r="DE320" s="117">
        <f t="shared" si="540"/>
        <v>0</v>
      </c>
      <c r="DF320" s="118">
        <f t="shared" si="542"/>
        <v>24</v>
      </c>
      <c r="DG320" s="106">
        <f t="shared" si="543"/>
        <v>31.309999999999995</v>
      </c>
      <c r="DH320" s="116">
        <f t="shared" si="544"/>
        <v>9</v>
      </c>
      <c r="DI320" s="106">
        <f t="shared" si="545"/>
        <v>36.849999999999994</v>
      </c>
      <c r="DJ320" s="201" t="str">
        <f>IF($D319="","",$D319)</f>
        <v>9</v>
      </c>
      <c r="DK320" s="466"/>
    </row>
    <row r="321" spans="1:115" ht="14.5" customHeight="1" x14ac:dyDescent="0.2">
      <c r="A321" s="390"/>
      <c r="B321" s="457"/>
      <c r="C321" s="135" t="s">
        <v>53</v>
      </c>
      <c r="D321" s="375"/>
      <c r="E321" s="387"/>
      <c r="F321" s="378"/>
      <c r="G321" s="484"/>
      <c r="H321" s="477"/>
      <c r="I321" s="136"/>
      <c r="J321" s="137"/>
      <c r="K321" s="138"/>
      <c r="L321" s="139"/>
      <c r="M321" s="140"/>
      <c r="N321" s="407"/>
      <c r="O321" s="141" t="str">
        <f>IF(OR(AE319="",AE320=""),"",IF(L321&gt;0,ROUND(IF(M321&gt;0,M321,IF(M319&gt;0,ROUND((M319*AE321)/AE319,IF(N319=0,2,IF(N319=0.1,1,0))),IF(M320&gt;0,ROUND((M320*AE321)/AE320,IF(N319=0,2,IF(N319=0.1,1,0))),IF(M321&gt;0,M321,0)))),2),""))</f>
        <v/>
      </c>
      <c r="P321" s="142" t="str">
        <f>IF(I320="Lay",O320*(L320/(L320-1))-O320,IF(I319="Lay",O319*(L319/(L319-1))-O319,IF(OR(L321="",O321=""),"",IF($C321="1/2W",O321/2+O321/2*L321,IF($C321="1/2L",O321/2,(O321*L321-O321)*(1-_xlfn.XLOOKUP(K321,'Fevereiro 2023 - Valor Real'!A3:A15,'Fevereiro 2023 - Valor Real'!C3:C15,0))+O321)))))</f>
        <v/>
      </c>
      <c r="Q321" s="143" t="str">
        <f>IF(K321="","",IF(_xlfn.XLOOKUP(K321,K$4:K320,$DJ$4:DJ320,0,,-1)=DJ321,_xlfn.XLOOKUP(K321,K$4:K320,Q$4:Q320,1,,-1)+1,1))</f>
        <v/>
      </c>
      <c r="R321" s="144" t="str">
        <f>IF(K321="","",_xlfn.XLOOKUP(K321,K$4:K320,R$4:R320,0,,-1)+IF($C321=" ",1,0))</f>
        <v/>
      </c>
      <c r="S321" s="404"/>
      <c r="T321" s="378"/>
      <c r="U321" s="378"/>
      <c r="V321" s="404"/>
      <c r="W321" s="378"/>
      <c r="X321" s="453"/>
      <c r="Y321" s="383"/>
      <c r="Z321" s="384"/>
      <c r="AA321" s="384"/>
      <c r="AB321" s="384"/>
      <c r="AC321" s="384"/>
      <c r="AD321" s="145">
        <f>((L320/(L320-1)-1))</f>
        <v>0.85470085470085477</v>
      </c>
      <c r="AE321" s="146" t="str">
        <f>IF(L321="","",(SUM(((L319-1)*(1-_xlfn.XLOOKUP(K319,'Fevereiro 2023 - Valor Real'!A3:A15,'Fevereiro 2023 - Valor Real'!C3:C15,0))+1),((L320-1)*(1-_xlfn.XLOOKUP(K320,'Fevereiro 2023 - Valor Real'!A3:A15,'Fevereiro 2023 - Valor Real'!C3:C15,0))+1),((L321-1)*(1-_xlfn.XLOOKUP(K321,'Fevereiro 2023 - Valor Real'!A3:A15,'Fevereiro 2023 - Valor Real'!C3:C15,0))+1))/((L321-1)*(1-_xlfn.XLOOKUP(K321,'Fevereiro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Real'!C3:C15,0))+1))/((L319-1)*(1-_xlfn.XLOOKUP(K319,'Fevereiro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Real'!C3:C15,0))+1))/((L320-1)*(1-_xlfn.XLOOKUP(K320,'Fevereiro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Real'!C3:C15,0))+1))/((L321-1)*(1-_xlfn.XLOOKUP(K321,'Fevereiro 2023 - Valor Real'!A3:A15,'Fevereiro 2023 - Valor Real'!C3:C15,0))+1)))</f>
        <v/>
      </c>
      <c r="AF321" s="105">
        <f t="shared" si="626"/>
        <v>0</v>
      </c>
      <c r="AG321" s="106">
        <f t="shared" si="626"/>
        <v>0</v>
      </c>
      <c r="AH321" s="106">
        <f t="shared" si="626"/>
        <v>0</v>
      </c>
      <c r="AI321" s="106">
        <f t="shared" si="626"/>
        <v>0</v>
      </c>
      <c r="AJ321" s="106">
        <f t="shared" si="626"/>
        <v>0</v>
      </c>
      <c r="AK321" s="106">
        <f t="shared" si="626"/>
        <v>0</v>
      </c>
      <c r="AL321" s="106">
        <f t="shared" si="626"/>
        <v>0</v>
      </c>
      <c r="AM321" s="106">
        <f t="shared" si="626"/>
        <v>0</v>
      </c>
      <c r="AN321" s="106">
        <f t="shared" si="626"/>
        <v>0</v>
      </c>
      <c r="AO321" s="106">
        <f t="shared" si="626"/>
        <v>0</v>
      </c>
      <c r="AP321" s="106">
        <f t="shared" si="626"/>
        <v>0</v>
      </c>
      <c r="AQ321" s="106">
        <f t="shared" si="626"/>
        <v>0</v>
      </c>
      <c r="AR321" s="107">
        <f t="shared" si="626"/>
        <v>0</v>
      </c>
      <c r="AS321" s="105">
        <f>IF(AND($B319=" ",$K321=AS$3),$O321,0)</f>
        <v>0</v>
      </c>
      <c r="AT321" s="106">
        <f>IF(AND($B319=" ",K321=AT$3),$O321,0)</f>
        <v>0</v>
      </c>
      <c r="AU321" s="106">
        <f t="shared" ref="AU321:BE321" si="637">IF(AND($B319=" ",$K321=AU$3),$O321,0)</f>
        <v>0</v>
      </c>
      <c r="AV321" s="106">
        <f t="shared" si="637"/>
        <v>0</v>
      </c>
      <c r="AW321" s="106">
        <f t="shared" si="637"/>
        <v>0</v>
      </c>
      <c r="AX321" s="106">
        <f t="shared" si="637"/>
        <v>0</v>
      </c>
      <c r="AY321" s="108">
        <f t="shared" si="637"/>
        <v>0</v>
      </c>
      <c r="AZ321" s="109">
        <f t="shared" si="637"/>
        <v>0</v>
      </c>
      <c r="BA321" s="109">
        <f t="shared" si="637"/>
        <v>0</v>
      </c>
      <c r="BB321" s="109">
        <f t="shared" si="637"/>
        <v>0</v>
      </c>
      <c r="BC321" s="110">
        <f t="shared" si="637"/>
        <v>0</v>
      </c>
      <c r="BD321" s="106">
        <f t="shared" si="637"/>
        <v>0</v>
      </c>
      <c r="BE321" s="107">
        <f t="shared" si="637"/>
        <v>0</v>
      </c>
      <c r="BF321" s="105">
        <f t="shared" si="628"/>
        <v>0</v>
      </c>
      <c r="BG321" s="106">
        <f t="shared" si="628"/>
        <v>0</v>
      </c>
      <c r="BH321" s="106">
        <f t="shared" si="628"/>
        <v>0</v>
      </c>
      <c r="BI321" s="106">
        <f t="shared" si="628"/>
        <v>0</v>
      </c>
      <c r="BJ321" s="106">
        <f t="shared" si="628"/>
        <v>0</v>
      </c>
      <c r="BK321" s="106">
        <f t="shared" si="628"/>
        <v>0</v>
      </c>
      <c r="BL321" s="106">
        <f t="shared" si="628"/>
        <v>0</v>
      </c>
      <c r="BM321" s="108">
        <f t="shared" si="628"/>
        <v>0</v>
      </c>
      <c r="BN321" s="109">
        <f t="shared" si="628"/>
        <v>0</v>
      </c>
      <c r="BO321" s="109">
        <f t="shared" si="628"/>
        <v>0</v>
      </c>
      <c r="BP321" s="109">
        <f t="shared" si="628"/>
        <v>0</v>
      </c>
      <c r="BQ321" s="110">
        <f t="shared" si="628"/>
        <v>0</v>
      </c>
      <c r="BR321" s="107">
        <f t="shared" si="628"/>
        <v>0</v>
      </c>
      <c r="BS321" s="464"/>
      <c r="BT321" s="461"/>
      <c r="BU321" s="392"/>
      <c r="BV321" s="461"/>
      <c r="BW321" s="392"/>
      <c r="BX321" s="392"/>
      <c r="BY321" s="392"/>
      <c r="BZ321" s="461"/>
      <c r="CA321" s="392"/>
      <c r="CB321" s="392"/>
      <c r="CC321" s="392"/>
      <c r="CD321" s="401"/>
      <c r="CE321" s="409"/>
      <c r="CF321" s="133">
        <f t="shared" si="515"/>
        <v>0</v>
      </c>
      <c r="CG321" s="134">
        <f t="shared" si="516"/>
        <v>0</v>
      </c>
      <c r="CH321" s="134">
        <f t="shared" si="517"/>
        <v>0</v>
      </c>
      <c r="CI321" s="134">
        <f t="shared" si="518"/>
        <v>0</v>
      </c>
      <c r="CJ321" s="134">
        <f t="shared" si="519"/>
        <v>0</v>
      </c>
      <c r="CK321" s="134">
        <f t="shared" si="520"/>
        <v>0</v>
      </c>
      <c r="CL321" s="134">
        <f t="shared" si="521"/>
        <v>0</v>
      </c>
      <c r="CM321" s="134">
        <f t="shared" si="522"/>
        <v>0</v>
      </c>
      <c r="CN321" s="134">
        <f t="shared" si="523"/>
        <v>0</v>
      </c>
      <c r="CO321" s="134">
        <f t="shared" si="524"/>
        <v>0</v>
      </c>
      <c r="CP321" s="134">
        <f t="shared" si="525"/>
        <v>0</v>
      </c>
      <c r="CQ321" s="134">
        <f t="shared" si="526"/>
        <v>0</v>
      </c>
      <c r="CR321" s="134">
        <f t="shared" si="527"/>
        <v>0</v>
      </c>
      <c r="CS321" s="134">
        <f t="shared" si="528"/>
        <v>0</v>
      </c>
      <c r="CT321" s="115">
        <f t="shared" si="529"/>
        <v>0</v>
      </c>
      <c r="CU321" s="116">
        <f t="shared" si="530"/>
        <v>0</v>
      </c>
      <c r="CV321" s="116">
        <f t="shared" si="531"/>
        <v>0</v>
      </c>
      <c r="CW321" s="116">
        <f t="shared" si="532"/>
        <v>0</v>
      </c>
      <c r="CX321" s="116">
        <f t="shared" si="533"/>
        <v>0</v>
      </c>
      <c r="CY321" s="116">
        <f t="shared" si="534"/>
        <v>0</v>
      </c>
      <c r="CZ321" s="116">
        <f t="shared" si="535"/>
        <v>0</v>
      </c>
      <c r="DA321" s="116">
        <f t="shared" si="536"/>
        <v>0</v>
      </c>
      <c r="DB321" s="116">
        <f t="shared" si="537"/>
        <v>0</v>
      </c>
      <c r="DC321" s="116">
        <f t="shared" si="538"/>
        <v>0</v>
      </c>
      <c r="DD321" s="116">
        <f t="shared" si="539"/>
        <v>0</v>
      </c>
      <c r="DE321" s="117">
        <f t="shared" si="540"/>
        <v>0</v>
      </c>
      <c r="DF321" s="118">
        <f t="shared" si="542"/>
        <v>24</v>
      </c>
      <c r="DG321" s="106">
        <f t="shared" si="543"/>
        <v>31.309999999999995</v>
      </c>
      <c r="DH321" s="116">
        <f t="shared" si="544"/>
        <v>9</v>
      </c>
      <c r="DI321" s="106">
        <f t="shared" si="545"/>
        <v>36.849999999999994</v>
      </c>
      <c r="DJ321" s="201" t="str">
        <f>IF($D319="","",$D319)</f>
        <v>9</v>
      </c>
      <c r="DK321" s="466"/>
    </row>
    <row r="322" spans="1:115" ht="14.5" customHeight="1" x14ac:dyDescent="0.2">
      <c r="A322" s="487">
        <f>$A319+1</f>
        <v>107</v>
      </c>
      <c r="B322" s="506" t="str">
        <f>IF(OR(C322="W",C323="W",C324="W",C322="1/2W",C323="1/2W",C324="1/2W",C322="1/2L",C323="1/2L",C324="1/2L"),"OK",IF(OR(C322="L",C323="L",C324="L"),"LOSS",IF(OR(C322="X",C323="X",C324="X"),"Anulado"," ")))</f>
        <v>OK</v>
      </c>
      <c r="C322" s="147" t="s">
        <v>55</v>
      </c>
      <c r="D322" s="494" t="str">
        <f>IF(G322="","",$D319)</f>
        <v>9</v>
      </c>
      <c r="E322" s="511" t="str">
        <f>IF(G322=""," ","– "&amp;COUNTIF(D$4:D324,$D322))</f>
        <v>– 15</v>
      </c>
      <c r="F322" s="510" t="str">
        <f ca="1">IF(G322="","",IF(OR(AND($C322&lt;&gt;" ",$C323=" "),AND($C323&lt;&gt;" ",$C322=" "),AND(L324&gt;0,OR(AND($C324&lt;&gt;" ",OR($C322=" ",$C323=" ")),AND($C324=" ",OR($C322&lt;&gt;" ",$C323&lt;&gt;" "))))),IF(SUM(F$4:F321)=0,1,LARGE(F$4:F321,1)+1),IF(MONTH(G322)=MONTH(TODAY()),IF(AND(DAY(G322)&lt;DAY(TODAY()),$B322=" "),IF(SUM(F$4:F321)=0,1,LARGE(F$4:F321,1)+1),IF($B322=" ",IF(AND(DAY(G322)=DAY(TODAY()),HOUR(G322)&lt;=HOUR(NOW())+1),IF(AND(HOUR(G322)+2&lt;=HOUR(NOW()),DAY(G322)&lt;=DAY(TODAY()),MINUTE(G322)&lt;=MINUTE(NOW())),IF(SUM(F$4:F321)=0,1,LARGE(F$4:F321,1)+1),IF(OR(MINUTE(G322)&lt;=MINUTE(NOW()),HOUR(G322)&lt;=HOUR(NOW())),"!!!","")),""),"")),"")))</f>
        <v/>
      </c>
      <c r="G322" s="508">
        <v>44997.208333333336</v>
      </c>
      <c r="H322" s="502" t="s">
        <v>150</v>
      </c>
      <c r="I322" s="180" t="s">
        <v>76</v>
      </c>
      <c r="J322" s="181">
        <v>1</v>
      </c>
      <c r="K322" s="150" t="s">
        <v>43</v>
      </c>
      <c r="L322" s="151">
        <v>2.04</v>
      </c>
      <c r="M322" s="152"/>
      <c r="N322" s="503">
        <v>0</v>
      </c>
      <c r="O322" s="153">
        <f>IF(OR(AE322="",AE323=""),"",ROUND(IF(L324&gt;0,IF(M322&gt;0,M322,IF(M323&gt;0,ROUND((M323*AE322)/AE323,IF(N322=0,2,IF(N322=0.1,1,0))),ROUND((M324*AE322)/AE324,IF(N322=0,2,IF(N322=0.1,1,0))))),IF(M322&gt;0,M322,ROUND((M323*AE322)/AE323,IF(N322=0,2,IF(N322=0.1,1,0))))),2))</f>
        <v>23.23</v>
      </c>
      <c r="P322" s="154">
        <f>IF(OR(L322="",O322=""),"",IF($C322="1/2W",O322/2+O322/2*L322,IF($C322="1/2L",O322/2,IF(I322="Lay",(O322*(L322/(L322-1))-O322)*(1-_xlfn.XLOOKUP(K322,'Fevereiro 2023 - Valor Real'!A3:A15,'Fevereiro 2023 - Valor Real'!C3:C15,0))+O322,(O322*L322-O322)*(1-_xlfn.XLOOKUP(K322,'Fevereiro 2023 - Valor Real'!A3:A15,'Fevereiro 2023 - Valor Real'!C3:C15,0))+O322))))</f>
        <v>47.389200000000002</v>
      </c>
      <c r="Q322" s="155">
        <f>IF(K322="","",IF(_xlfn.XLOOKUP(K322,K$9:K314,$DJ$9:DJ314,0,,-1)=DJ322,_xlfn.XLOOKUP(K322,K$9:K314,Q$9:Q314,1,,-1)+1,1))</f>
        <v>3</v>
      </c>
      <c r="R322" s="156">
        <f>IF(K322="","",_xlfn.XLOOKUP(K322,K$9:K314,R$9:R314,0,,-1)+IF($C322=" ",1,0))</f>
        <v>0</v>
      </c>
      <c r="S322" s="501">
        <f>IF($B322="Anulado",0,ROUND(IF(OR($B322="LOSS",$B322="OK"),IF(OR($C322="W",$C322="1/2W",$C322="1/2L"),P322-O322,IF($C322="L",-O322,0))+IF(OR($C323="W",$C323="1/2W",$C323="1/2L"),P323-O323,IF($C323="L",-O323,0))+IF(OR($C324="W",$C324="1/2W",$C324="1/2L"),P324-O324,IF($C324="L",-O324,0)),IF(AND(OR($C322="W",$C322="1/2W",$C322="1/2L"),C323="W"),P322+P323-SUM(O322:O324)+_xlfn.XLOOKUP("X",C322:C324,O322:O324,0),IF(AND(C322=TRUE,C324="W"),P322+P324-SUM(O322:O324),IF(AND(C323="W",C324="W"),P323+P324-SUM(O322:O324)+_xlfn.XLOOKUP("X",C322:C324,O322:O324,0),IF(L324&gt;0,IF(OR($C322="W",$C322="1/2W",$C322="1/2L"),P322-SUM(O322:O324)+_xlfn.XLOOKUP("X",C322:C324,O322:O324,0),IF(OR($C322="W",$C322="1/2W",$C322="1/2L"),P323-SUM(O322:O324)+_xlfn.XLOOKUP("X",C322:C324,O322:O324,0),IF(OR($C322="W",$C322="1/2W",$C322="1/2L"),P324-SUM(O322:O324)+_xlfn.XLOOKUP("X",C322:C324,O322:O324,0),IF(SUM(P322:P324)/3-SUM(O322:O324)+_xlfn.XLOOKUP("X",C322:C324,O322:O324,0)&gt;0,SUM(P322:P324)/3-SUM(O322:O324)+_xlfn.XLOOKUP("X",C322:C324,O322:O324,0),LARGE(P322:P324,1)-SUM(O322:O324))))),IF(OR($C322="W",$C322="1/2W",$C322="1/2L"),P322-SUM(O322:O323)+_xlfn.XLOOKUP("X",C322:C324,O322:O324,0),IF(OR($C322="W",$C322="1/2W",$C322="1/2L"),P323-SUM(O322:O323)+_xlfn.XLOOKUP("X",C322:C324,O322:O324,0),SUM(P322:P323)/2-SUM(O322:O323)+_xlfn.XLOOKUP("X",C322:C324,O322:O324,0)))))))),2))</f>
        <v>2.91</v>
      </c>
      <c r="T322" s="486">
        <f>IF(S322=0,0,S322/SUM(O322:O324))</f>
        <v>6.5422661870503593E-2</v>
      </c>
      <c r="U322" s="496">
        <f>IF($D322=$D319,IF(OR($B322="LOSS",$B322="OK",$B322="Anulada"),S322,0)+U319,IF(OR($B322="LOSS",$B322="OK",$B322="Anulada"),S322,0))</f>
        <v>41.81</v>
      </c>
      <c r="V322" s="496">
        <f>IF($D322="",0,IF($D322=$D319,IF($B322=" ",IF(I324="",IF(OR(AND(I322="DNB1",I323="DNB2"),AND(OR(I322="DNB1",I322="DNB2"),J323=0),AND(OR(I323="DNB1",I323="DNB2"),J322=0),AND(I322="DNB2",I323="DNB1"),AND(IF(J322=0,(J322+1)/ROUND(J322+1,0),J322/ROUND(J322,0))=1,IF(J323=0,(J323+1)/ROUND(IF(J323="",0,J323)+1,0),IF(J323="",0,J323)/ROUND(IF(J323="",1,J323),0))=1,OR(J322&lt;&gt;""),J323&lt;&gt;"")),0,IF(S322&lt;0,IF(I324="",SMALL(P322:P323,1)-SUM(O322:O323),0),SMALL(P322:P323,1)-SUM(O322:O323))),IF(S322&lt;0,IF(I324="",SMALL(P322:P324,1)-SUM(O322:O324),0),LARGE(P322:P324,1)-SUM(O322:O324))),S322)+V319,IF(I324="",IF(OR(AND(I322="DNB1",I323="DNB2"),AND(OR(I322="DNB1",I322="DNB2"),J323=0),AND(OR(I323="DNB1",I323="DNB2"),J322=0),AND(I322="DNB2",I323="DNB1"),AND(IF(J322=0,(J322+1)/ROUND(J322+1,0),J322/ROUND(J322,0))=1,IF(J323=0,(IF(J323="",0,J323)+1)/ROUND(IF(J323="",0,J323)+1,0),IF(J323="",0,J323)/ROUND(IF(J323="",0,J323)+1,0))=1,OR(J322&lt;&gt;""),J323&lt;&gt;"")),0,IF(S322&lt;0,IF(I324="",SMALL(P322:P323,1)-SUM(O322:O323),0),SMALL(P322:P324,1)-SUM(O322:O324))),IF(S322&lt;0,IF(I324="",SMALL(P322:P324,1)-SUM(O322:O324),0),LARGE(P322:P324,1)-SUM(O322:O324)))))</f>
        <v>41.810400000000001</v>
      </c>
      <c r="W322" s="496">
        <f>IF($D322=$D319,IF(S322&lt;0,IF(I324="",S322,0),S322)+W319,S322)</f>
        <v>41.81</v>
      </c>
      <c r="X322" s="505" t="str">
        <f>IF(OR(SUM(R322:R324)=0,V322=W322),ROUND(IF(W322=0,0,W322/Y322)*100,2)&amp;"%",ROUND(IF(V322=0,0,V322/Y322)*100,2)&amp;"% a "&amp;ROUND(IF(W322=0,0,W322/Y322)*100,2)&amp;"%")</f>
        <v>5,43%</v>
      </c>
      <c r="Y322" s="497">
        <f>IF($D322=$D319,Y319+SUM(O322:O324),SUM(O322:O324))</f>
        <v>770.15</v>
      </c>
      <c r="Z322" s="496">
        <f>IF($B322=" ",SUM(O322:O324),0)+Z319</f>
        <v>0</v>
      </c>
      <c r="AA322" s="496">
        <f>IF(G322="","",IF($B322="Anulado",LARGE(P322:P324,1)-SUM(O322:O324)+AA319,AA319))</f>
        <v>2.6261999999999954</v>
      </c>
      <c r="AB322" s="496">
        <f>IF($D322="","",AB319+S322)</f>
        <v>482.67000000000007</v>
      </c>
      <c r="AC322" s="499">
        <f ca="1">IF($D322="","",IF($B322=" ",IF(DAY(G322)=DAY(TODAY()),1+AC319,0+AC319),0+AC319))</f>
        <v>0</v>
      </c>
      <c r="AD322" s="157">
        <f>(1-_xlfn.XLOOKUP(K320,'Fevereiro 2023 - Valor Real'!A3:A15,'Fevereiro 2023 - Valor Real'!C3:C15,0))+1</f>
        <v>2</v>
      </c>
      <c r="AE322" s="158">
        <f>IF(L322="","",IF(L324&gt;0,(SUM(((L322-1)*(1-_xlfn.XLOOKUP(K322,'Fevereiro 2023 - Valor Real'!A3:A15,'Fevereiro 2023 - Valor Real'!C3:C15,0))+1),((L323-1)*(1-_xlfn.XLOOKUP(K323,'Fevereiro 2023 - Valor Real'!A3:A15,'Fevereiro 2023 - Valor Real'!C3:C15,0))+1),((L324-1)*(1-_xlfn.XLOOKUP(K324,'Fevereiro 2023 - Valor Real'!A3:A15,'Fevereiro 2023 - Valor Real'!C3:C15,0))+1))/((L322-1)*(1-_xlfn.XLOOKUP(K322,'Fevereiro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Real'!C3:C15,0))+1))/((L322-1)*(1-_xlfn.XLOOKUP(K322,'Fevereiro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Real'!C3:C15,0))+1))/((L323-1)*(1-_xlfn.XLOOKUP(K323,'Fevereiro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Real'!C3:C15,0))+1))/((L324-1)*(1-_xlfn.XLOOKUP(K324,'Fevereiro 2023 - Valor Real'!A3:A15,'Fevereiro 2023 - Valor Real'!C3:C15,0))+1)),IF(I322="Lay",IF(I323="Lay",((L323/(L323-1)-1)*(1-_xlfn.XLOOKUP(K323,'Fevereiro 2023 - Valor Real'!A3:A15,'Fevereiro 2023 - Valor Real'!C3:C15,0))+1)/(((L323/(L323-1)-1)*(1-_xlfn.XLOOKUP(K323,'Fevereiro 2023 - Valor Real'!A3:A15,'Fevereiro 2023 - Valor Real'!C3:C15,0))+1)+((L322/(L322-1)-1)*(1-_xlfn.XLOOKUP(K322,'Fevereiro 2023 - Valor Real'!A3:A15,'Fevereiro 2023 - Valor Real'!C3:C15,0))+1)),((L323-1)*(1-_xlfn.XLOOKUP(K323,'Fevereiro 2023 - Valor Real'!A3:A15,'Fevereiro 2023 - Valor Real'!C3:C15,0))+1)/(((L323-1)*(1-_xlfn.XLOOKUP(K323,'Fevereiro 2023 - Valor Real'!A3:A15,'Fevereiro 2023 - Valor Real'!C3:C15,0))+1)+((L322/(L322-1)-1)*(1-_xlfn.XLOOKUP(K322,'Fevereiro 2023 - Valor Real'!A3:A15,'Fevereiro 2023 - Valor Real'!C3:C15,0))+1))),IF(I323="Lay",(((L323/(L323-1)-1)*(1-_xlfn.XLOOKUP(K323,'Fevereiro 2023 - Valor Real'!A3:A15,'Fevereiro 2023 - Valor Real'!C3:C15,0))+1))/(((L322-1)*(1-_xlfn.XLOOKUP(K322,'Fevereiro 2023 - Valor Real'!A3:A15,'Fevereiro 2023 - Valor Real'!C3:C15,0))+1)+((L323/(L323-1)-1)*(1-_xlfn.XLOOKUP(K323,'Fevereiro 2023 - Valor Real'!A3:A15,'Fevereiro 2023 - Valor Real'!C3:C15,0))+1)),((L323-1)*(1-_xlfn.XLOOKUP(K323,'Fevereiro 2023 - Valor Real'!A3:A15,'Fevereiro 2023 - Valor Real'!C3:C15,0))+1)/(((L323-1)*(1-_xlfn.XLOOKUP(K323,'Fevereiro 2023 - Valor Real'!A3:A15,'Fevereiro 2023 - Valor Real'!C3:C15,0))+1)+((L322-1)*(1-_xlfn.XLOOKUP(K322,'Fevereiro 2023 - Valor Real'!A3:A15,'Fevereiro 2023 - Valor Real'!C3:C15,0))+1))))))</f>
        <v>0.52224824355971899</v>
      </c>
      <c r="AF322" s="66">
        <f t="shared" si="626"/>
        <v>0</v>
      </c>
      <c r="AG322" s="67">
        <f t="shared" si="626"/>
        <v>0</v>
      </c>
      <c r="AH322" s="67">
        <f t="shared" si="626"/>
        <v>0</v>
      </c>
      <c r="AI322" s="67">
        <f t="shared" si="626"/>
        <v>0</v>
      </c>
      <c r="AJ322" s="67">
        <f t="shared" si="626"/>
        <v>0</v>
      </c>
      <c r="AK322" s="67">
        <f t="shared" si="626"/>
        <v>0</v>
      </c>
      <c r="AL322" s="67">
        <f t="shared" si="626"/>
        <v>0</v>
      </c>
      <c r="AM322" s="67">
        <f t="shared" si="626"/>
        <v>-23.23</v>
      </c>
      <c r="AN322" s="67">
        <f t="shared" si="626"/>
        <v>0</v>
      </c>
      <c r="AO322" s="67">
        <f t="shared" si="626"/>
        <v>0</v>
      </c>
      <c r="AP322" s="67">
        <f t="shared" si="626"/>
        <v>0</v>
      </c>
      <c r="AQ322" s="67">
        <f t="shared" si="626"/>
        <v>0</v>
      </c>
      <c r="AR322" s="68">
        <f t="shared" si="626"/>
        <v>0</v>
      </c>
      <c r="AS322" s="66">
        <f t="shared" ref="AS322:BE322" si="638">IF(AND($B322=" ",$K322=AS$3),$O322,0)</f>
        <v>0</v>
      </c>
      <c r="AT322" s="67">
        <f t="shared" si="638"/>
        <v>0</v>
      </c>
      <c r="AU322" s="67">
        <f t="shared" si="638"/>
        <v>0</v>
      </c>
      <c r="AV322" s="67">
        <f t="shared" si="638"/>
        <v>0</v>
      </c>
      <c r="AW322" s="67">
        <f t="shared" si="638"/>
        <v>0</v>
      </c>
      <c r="AX322" s="67">
        <f t="shared" si="638"/>
        <v>0</v>
      </c>
      <c r="AY322" s="69">
        <f t="shared" si="638"/>
        <v>0</v>
      </c>
      <c r="AZ322" s="70">
        <f t="shared" si="638"/>
        <v>0</v>
      </c>
      <c r="BA322" s="70">
        <f t="shared" si="638"/>
        <v>0</v>
      </c>
      <c r="BB322" s="70">
        <f t="shared" si="638"/>
        <v>0</v>
      </c>
      <c r="BC322" s="71">
        <f t="shared" si="638"/>
        <v>0</v>
      </c>
      <c r="BD322" s="67">
        <f t="shared" si="638"/>
        <v>0</v>
      </c>
      <c r="BE322" s="68">
        <f t="shared" si="638"/>
        <v>0</v>
      </c>
      <c r="BF322" s="66">
        <f t="shared" si="628"/>
        <v>0</v>
      </c>
      <c r="BG322" s="67">
        <f t="shared" si="628"/>
        <v>0</v>
      </c>
      <c r="BH322" s="67">
        <f t="shared" si="628"/>
        <v>0</v>
      </c>
      <c r="BI322" s="67">
        <f t="shared" si="628"/>
        <v>0</v>
      </c>
      <c r="BJ322" s="67">
        <f t="shared" si="628"/>
        <v>0</v>
      </c>
      <c r="BK322" s="67">
        <f t="shared" si="628"/>
        <v>0</v>
      </c>
      <c r="BL322" s="67">
        <f t="shared" si="628"/>
        <v>0</v>
      </c>
      <c r="BM322" s="69">
        <f t="shared" si="628"/>
        <v>23.23</v>
      </c>
      <c r="BN322" s="70">
        <f t="shared" si="628"/>
        <v>0</v>
      </c>
      <c r="BO322" s="70">
        <f t="shared" si="628"/>
        <v>0</v>
      </c>
      <c r="BP322" s="70">
        <f t="shared" si="628"/>
        <v>0</v>
      </c>
      <c r="BQ322" s="71">
        <f t="shared" si="628"/>
        <v>0</v>
      </c>
      <c r="BR322" s="68">
        <f t="shared" si="628"/>
        <v>0</v>
      </c>
      <c r="BS322" s="490">
        <f>IF($B322="LOSS",IF(AND($K322=BS$3,$C322="L"),-$O322,0)+IF(AND($K323=BS$3,$C323="L"),-$O323,0)+IF(AND($K324=BS$3,$C324="L"),-$O324,0),IF(OR(AND($K322=BS$3,OR($C322="W",$C322="1/2W")),AND($K323=BS$3,OR($C323="W",$C323="1/2W")),AND($K324=BS$3,OR($C324="W",$C324="1/2W"))),$S322,0))</f>
        <v>0</v>
      </c>
      <c r="BT322" s="498">
        <f>IF($B322="LOSS",IF(AND($K322=BT$3,$C322="L"),-$O322,0)+IF(AND($K323=BT$3,$C323="L"),-$O323,0)+IF(AND($K323=BT$3,$C324="L"),-$O324,0),IF(OR(AND($K323=BT$3,OR($C322="W",$C322="1/2W")),AND($K323=BT$3,OR($C323="W",$C323="1/2W")),AND($K323=BT$3,OR($C324="W",$C324="1/2W"))),$S322,0))</f>
        <v>0</v>
      </c>
      <c r="BU322" s="488">
        <f>IF($B322="LOSS",IF(AND($K322=BU$3,$C322="L"),-$O322,0)+IF(AND($K323=BU$3,$C323="L"),-$O323,0)+IF(AND($K323=BU$3,$C324="L"),-$O324,0),IF(OR(AND($K323=BU$3,OR($C322="W",$C322="1/2W")),AND($K323=BU$3,OR($C323="W",$C323="1/2W")),AND($K323=BU$3,OR($C324="W",$C324="1/2W"))),$S322,0))</f>
        <v>0</v>
      </c>
      <c r="BV322" s="488">
        <f t="shared" ref="BV322:CE322" si="639">IF($B322="LOSS",IF(AND($K322=BV$3,$C322="L"),-$O322,0)+IF(AND($K323=BV$3,$C323="L"),-$O323,0)+IF(AND($K324=BV$3,$C324="L"),-$O324,0),IF(OR(AND($K322=BV$3,OR($C322="W",$C322="1/2W")),AND($K323=BV$3,OR($C323="W",$C323="1/2W")),AND($K324=BV$3,OR($C324="W",$C324="1/2W"))),$S322,0))</f>
        <v>0</v>
      </c>
      <c r="BW322" s="488">
        <f t="shared" si="639"/>
        <v>0</v>
      </c>
      <c r="BX322" s="488">
        <f t="shared" si="639"/>
        <v>0</v>
      </c>
      <c r="BY322" s="488">
        <f t="shared" si="639"/>
        <v>0</v>
      </c>
      <c r="BZ322" s="488">
        <f t="shared" si="639"/>
        <v>0</v>
      </c>
      <c r="CA322" s="488">
        <f t="shared" si="639"/>
        <v>0</v>
      </c>
      <c r="CB322" s="488">
        <f t="shared" si="639"/>
        <v>0</v>
      </c>
      <c r="CC322" s="488">
        <f t="shared" si="639"/>
        <v>0</v>
      </c>
      <c r="CD322" s="500">
        <f t="shared" si="639"/>
        <v>2.91</v>
      </c>
      <c r="CE322" s="504">
        <f t="shared" si="639"/>
        <v>0</v>
      </c>
      <c r="CF322" s="160">
        <f t="shared" si="515"/>
        <v>0</v>
      </c>
      <c r="CG322" s="161">
        <f t="shared" si="516"/>
        <v>0</v>
      </c>
      <c r="CH322" s="161">
        <f t="shared" si="517"/>
        <v>0</v>
      </c>
      <c r="CI322" s="161">
        <f t="shared" si="518"/>
        <v>0</v>
      </c>
      <c r="CJ322" s="161">
        <f t="shared" si="519"/>
        <v>0</v>
      </c>
      <c r="CK322" s="161">
        <f t="shared" si="520"/>
        <v>0</v>
      </c>
      <c r="CL322" s="161">
        <f t="shared" si="521"/>
        <v>0</v>
      </c>
      <c r="CM322" s="161">
        <f t="shared" si="522"/>
        <v>0</v>
      </c>
      <c r="CN322" s="161">
        <f t="shared" si="523"/>
        <v>0</v>
      </c>
      <c r="CO322" s="161">
        <f t="shared" si="524"/>
        <v>0</v>
      </c>
      <c r="CP322" s="161">
        <f t="shared" si="525"/>
        <v>0</v>
      </c>
      <c r="CQ322" s="161">
        <f t="shared" si="526"/>
        <v>0</v>
      </c>
      <c r="CR322" s="161">
        <f t="shared" si="527"/>
        <v>0</v>
      </c>
      <c r="CS322" s="161">
        <f t="shared" si="528"/>
        <v>0</v>
      </c>
      <c r="CT322" s="75">
        <f t="shared" si="529"/>
        <v>0</v>
      </c>
      <c r="CU322" s="76">
        <f t="shared" si="530"/>
        <v>1</v>
      </c>
      <c r="CV322" s="76">
        <f t="shared" si="531"/>
        <v>0</v>
      </c>
      <c r="CW322" s="76">
        <f t="shared" si="532"/>
        <v>0</v>
      </c>
      <c r="CX322" s="76">
        <f t="shared" si="533"/>
        <v>0</v>
      </c>
      <c r="CY322" s="76">
        <f t="shared" si="534"/>
        <v>0</v>
      </c>
      <c r="CZ322" s="76">
        <f t="shared" si="535"/>
        <v>0</v>
      </c>
      <c r="DA322" s="76">
        <f t="shared" si="536"/>
        <v>0</v>
      </c>
      <c r="DB322" s="76">
        <f t="shared" si="537"/>
        <v>0</v>
      </c>
      <c r="DC322" s="76">
        <f t="shared" si="538"/>
        <v>0</v>
      </c>
      <c r="DD322" s="76">
        <f t="shared" si="539"/>
        <v>0</v>
      </c>
      <c r="DE322" s="77">
        <f t="shared" si="540"/>
        <v>0</v>
      </c>
      <c r="DF322" s="73">
        <f t="shared" si="542"/>
        <v>24</v>
      </c>
      <c r="DG322" s="67">
        <f t="shared" si="543"/>
        <v>31.309999999999995</v>
      </c>
      <c r="DH322" s="76">
        <f t="shared" si="544"/>
        <v>9</v>
      </c>
      <c r="DI322" s="67">
        <f t="shared" si="545"/>
        <v>36.849999999999994</v>
      </c>
      <c r="DJ322" s="202" t="str">
        <f>IF($D322="","",$D322)</f>
        <v>9</v>
      </c>
      <c r="DK322" s="492">
        <f>IF(AND($B322=" ",$D322&lt;&gt;""),1,0)</f>
        <v>0</v>
      </c>
    </row>
    <row r="323" spans="1:115" ht="14.5" customHeight="1" x14ac:dyDescent="0.2">
      <c r="A323" s="389"/>
      <c r="B323" s="456"/>
      <c r="C323" s="53" t="s">
        <v>54</v>
      </c>
      <c r="D323" s="374"/>
      <c r="E323" s="386"/>
      <c r="F323" s="377"/>
      <c r="G323" s="508"/>
      <c r="H323" s="476"/>
      <c r="I323" s="182" t="s">
        <v>66</v>
      </c>
      <c r="J323" s="56">
        <f>IF(OR(I322="TO",I322="TU",I322="TO1",I322="TU1",I322="TO2",I322="TU2"),J322,IF(OR(I322="AH1",I322="AH2"),IF(OR(I323="AH1",I323="AH2"),-J322,IF(OR(I323="EH1",I323="EH2"),-J322+0.5,"")),IF(OR(I322="EH1",I322="EH2"),IF(OR(I323="AH1",I323="AH2"),-J322+0.5,IF(OR(I323="EH1",I323="EH2"),-J322+1,"")),IF(AND(OR(I322="DNB1",I322="DNB2"),OR(I323="AH1",I323="AH2")),0,IF(AND(I322="Not ScoreBoth",OR(I323="TO1",I323="TO2")),0.5,"")))))</f>
        <v>-1</v>
      </c>
      <c r="K323" s="57" t="s">
        <v>47</v>
      </c>
      <c r="L323" s="164">
        <v>2.23</v>
      </c>
      <c r="M323" s="165">
        <v>21.25</v>
      </c>
      <c r="N323" s="406"/>
      <c r="O323" s="60">
        <f>IF(OR(AE322="",AE323=""),"",ROUND(IF(L324&gt;0,IF(M323&gt;0,M323,IF(M322&gt;0,IF(N322=TRUE,ROUND((M322*AE323)/AE322,0),(M322*AE323)/AE322),IF(M323&gt;0,ROUND(M323,IF(N322=0,2,IF(N322=0.1,1,0))),IF(M324&gt;0,ROUND(O324*AE323/AE324,IF(N322=0,2,IF(N322=0.1,1,0))),0)))),IF(M323&gt;0,M323,ROUND((M322*AE323)/AE322,IF(N322=0,2,IF(N322=0.1,1,0))))),2))</f>
        <v>21.25</v>
      </c>
      <c r="P323" s="61">
        <f>IF(OR(L323="",O323=""),"",IF($C323="1/2W",O323/2+O323/2*L323,IF($C323="1/2L",O323/2,IF(I323="Lay",((O323*(L323/(L323-1)))-O323)*(1-_xlfn.XLOOKUP(K323,'Fevereiro 2023 - Valor Real'!A3:A15,'Fevereiro 2023 - Valor Real'!C3:C15,0))+O323,(O323*L323-O323)*(1-_xlfn.XLOOKUP(K323,'Fevereiro 2023 - Valor Real'!A3:A15,'Fevereiro 2023 - Valor Real'!C3:C15,0))+O323))))</f>
        <v>47.387500000000003</v>
      </c>
      <c r="Q323" s="166">
        <f>IF(K323="","",IF(_xlfn.XLOOKUP(K323,K$10:K314,$DJ$10:DJ314,0,,-1)=DJ323,_xlfn.XLOOKUP(K323,K$10:K314,Q$10:Q314,1,,-1)+1,1))</f>
        <v>4</v>
      </c>
      <c r="R323" s="167">
        <f>IF(K323="","",_xlfn.XLOOKUP(K323,K$10:K314,R$10:R314,0,,-1)+IF($C323=" ",1,0))</f>
        <v>0</v>
      </c>
      <c r="S323" s="403"/>
      <c r="T323" s="380"/>
      <c r="U323" s="380"/>
      <c r="V323" s="481"/>
      <c r="W323" s="380"/>
      <c r="X323" s="452"/>
      <c r="Y323" s="383"/>
      <c r="Z323" s="384"/>
      <c r="AA323" s="384"/>
      <c r="AB323" s="384"/>
      <c r="AC323" s="384"/>
      <c r="AD323" s="64"/>
      <c r="AE323" s="65">
        <f>IF(L323="","",IF(L324&gt;0,(SUM(((L322-1)*(1-_xlfn.XLOOKUP(K322,'Fevereiro 2023 - Valor Real'!A3:A15,'Fevereiro 2023 - Valor Real'!C3:C15,0))+1),((L323-1)*(1-_xlfn.XLOOKUP(K323,'Fevereiro 2023 - Valor Real'!A3:A15,'Fevereiro 2023 - Valor Real'!C3:C15,0))+1),((L324-1)*(1-_xlfn.XLOOKUP(K324,'Fevereiro 2023 - Valor Real'!A3:A15,'Fevereiro 2023 - Valor Real'!C3:C15,0))+1))/((L323-1)*(1-_xlfn.XLOOKUP(K323,'Fevereiro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Real'!C3:C15,0))+1))/((L322-1)*(1-_xlfn.XLOOKUP(K322,'Fevereiro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Real'!C3:C15,0))+1))/((L323-1)*(1-_xlfn.XLOOKUP(K323,'Fevereiro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Real'!C3:C15,0))+1))/((L324-1)*(1-_xlfn.XLOOKUP(K324,'Fevereiro 2023 - Valor Real'!A3:A15,'Fevereiro 2023 - Valor Real'!C3:C15,0))+1)),IF(I323="Lay",IF(I322="Lay",((L322/(L322-1)-1)*(1-_xlfn.XLOOKUP(K322,'Fevereiro 2023 - Valor Real'!A3:A15,'Fevereiro 2023 - Valor Real'!C3:C15,0))+1)/(((L322/(L322-1)-1)*(1-_xlfn.XLOOKUP(K322,'Fevereiro 2023 - Valor Real'!A3:A15,'Fevereiro 2023 - Valor Real'!C3:C15,0))+1)+((L323/(L323-1)-1)*(1-_xlfn.XLOOKUP(K323,'Fevereiro 2023 - Valor Real'!A3:A15,'Fevereiro 2023 - Valor Real'!C3:C15,0))+1)),((L322-1)*(1-_xlfn.XLOOKUP(K322,'Fevereiro 2023 - Valor Real'!A3:A15,'Fevereiro 2023 - Valor Real'!C3:C15,0))+1)/(((L322-1)*(1-_xlfn.XLOOKUP(K322,'Fevereiro 2023 - Valor Real'!A3:A15,'Fevereiro 2023 - Valor Real'!C3:C15,0))+1)+((L323/(L323-1)-1)*(1-_xlfn.XLOOKUP(K323,'Fevereiro 2023 - Valor Real'!A3:A15,'Fevereiro 2023 - Valor Real'!C3:C15,0))+1))),IF(I322="Lay",((L322/(L322-1)-1)*(1-_xlfn.XLOOKUP(K322,'Fevereiro 2023 - Valor Real'!A3:A15,'Fevereiro 2023 - Valor Real'!C3:C15,0))+1)/((((L322/(L322-1)-1)*(1-_xlfn.XLOOKUP(K322,'Fevereiro 2023 - Valor Real'!A3:A15,'Fevereiro 2023 - Valor Real'!C3:C15,0))+1))+((L323-1)*(1-_xlfn.XLOOKUP(K323,'Fevereiro 2023 - Valor Real'!A3:A15,'Fevereiro 2023 - Valor Real'!C3:C15,0))+1)),((L322-1)*(1-_xlfn.XLOOKUP(K322,'Fevereiro 2023 - Valor Real'!A3:A15,'Fevereiro 2023 - Valor Real'!C3:C15,0))+1)/(((L322-1)*(1-_xlfn.XLOOKUP(K322,'Fevereiro 2023 - Valor Real'!A3:A15,'Fevereiro 2023 - Valor Real'!C3:C15,0))+1)+((L323-1)*(1-_xlfn.XLOOKUP(K323,'Fevereiro 2023 - Valor Real'!A3:A15,'Fevereiro 2023 - Valor Real'!C3:C15,0))+1))))))</f>
        <v>0.47775175644028106</v>
      </c>
      <c r="AF323" s="66">
        <f t="shared" si="626"/>
        <v>0</v>
      </c>
      <c r="AG323" s="67">
        <f t="shared" si="626"/>
        <v>0</v>
      </c>
      <c r="AH323" s="67">
        <f t="shared" si="626"/>
        <v>0</v>
      </c>
      <c r="AI323" s="67">
        <f t="shared" si="626"/>
        <v>0</v>
      </c>
      <c r="AJ323" s="67">
        <f t="shared" si="626"/>
        <v>0</v>
      </c>
      <c r="AK323" s="67">
        <f t="shared" si="626"/>
        <v>0</v>
      </c>
      <c r="AL323" s="67">
        <f t="shared" si="626"/>
        <v>0</v>
      </c>
      <c r="AM323" s="67">
        <f t="shared" si="626"/>
        <v>0</v>
      </c>
      <c r="AN323" s="67">
        <f t="shared" si="626"/>
        <v>0</v>
      </c>
      <c r="AO323" s="67">
        <f t="shared" si="626"/>
        <v>0</v>
      </c>
      <c r="AP323" s="67">
        <f t="shared" si="626"/>
        <v>0</v>
      </c>
      <c r="AQ323" s="67">
        <f t="shared" si="626"/>
        <v>26.14</v>
      </c>
      <c r="AR323" s="68">
        <f t="shared" si="626"/>
        <v>0</v>
      </c>
      <c r="AS323" s="66">
        <f>IF(AND($B322=" ",$K323=AS$3),$O323,0)</f>
        <v>0</v>
      </c>
      <c r="AT323" s="67">
        <f>IF(AND($B322=" ",K323=AT$3),$O323,0)</f>
        <v>0</v>
      </c>
      <c r="AU323" s="67">
        <f t="shared" ref="AU323:BE323" si="640">IF(AND($B322=" ",$K323=AU$3),$O323,0)</f>
        <v>0</v>
      </c>
      <c r="AV323" s="67">
        <f t="shared" si="640"/>
        <v>0</v>
      </c>
      <c r="AW323" s="67">
        <f t="shared" si="640"/>
        <v>0</v>
      </c>
      <c r="AX323" s="67">
        <f t="shared" si="640"/>
        <v>0</v>
      </c>
      <c r="AY323" s="69">
        <f t="shared" si="640"/>
        <v>0</v>
      </c>
      <c r="AZ323" s="70">
        <f t="shared" si="640"/>
        <v>0</v>
      </c>
      <c r="BA323" s="70">
        <f t="shared" si="640"/>
        <v>0</v>
      </c>
      <c r="BB323" s="70">
        <f t="shared" si="640"/>
        <v>0</v>
      </c>
      <c r="BC323" s="71">
        <f t="shared" si="640"/>
        <v>0</v>
      </c>
      <c r="BD323" s="67">
        <f t="shared" si="640"/>
        <v>0</v>
      </c>
      <c r="BE323" s="68">
        <f t="shared" si="640"/>
        <v>0</v>
      </c>
      <c r="BF323" s="66">
        <f t="shared" si="628"/>
        <v>0</v>
      </c>
      <c r="BG323" s="168">
        <f t="shared" si="628"/>
        <v>0</v>
      </c>
      <c r="BH323" s="67">
        <f t="shared" si="628"/>
        <v>0</v>
      </c>
      <c r="BI323" s="67">
        <f t="shared" si="628"/>
        <v>0</v>
      </c>
      <c r="BJ323" s="67">
        <f t="shared" si="628"/>
        <v>0</v>
      </c>
      <c r="BK323" s="67">
        <f t="shared" si="628"/>
        <v>0</v>
      </c>
      <c r="BL323" s="67">
        <f t="shared" si="628"/>
        <v>0</v>
      </c>
      <c r="BM323" s="69">
        <f t="shared" si="628"/>
        <v>0</v>
      </c>
      <c r="BN323" s="70">
        <f t="shared" si="628"/>
        <v>0</v>
      </c>
      <c r="BO323" s="70">
        <f t="shared" si="628"/>
        <v>0</v>
      </c>
      <c r="BP323" s="70">
        <f t="shared" si="628"/>
        <v>0</v>
      </c>
      <c r="BQ323" s="71">
        <f t="shared" si="628"/>
        <v>21.25</v>
      </c>
      <c r="BR323" s="68">
        <f t="shared" si="628"/>
        <v>0</v>
      </c>
      <c r="BS323" s="491"/>
      <c r="BT323" s="489"/>
      <c r="BU323" s="392"/>
      <c r="BV323" s="489"/>
      <c r="BW323" s="392"/>
      <c r="BX323" s="392"/>
      <c r="BY323" s="392"/>
      <c r="BZ323" s="489"/>
      <c r="CA323" s="392"/>
      <c r="CB323" s="392"/>
      <c r="CC323" s="392"/>
      <c r="CD323" s="401"/>
      <c r="CE323" s="409"/>
      <c r="CF323" s="169">
        <f t="shared" si="515"/>
        <v>0</v>
      </c>
      <c r="CG323" s="170">
        <f t="shared" si="516"/>
        <v>0</v>
      </c>
      <c r="CH323" s="170">
        <f t="shared" si="517"/>
        <v>0</v>
      </c>
      <c r="CI323" s="170">
        <f t="shared" si="518"/>
        <v>0</v>
      </c>
      <c r="CJ323" s="170">
        <f t="shared" si="519"/>
        <v>0</v>
      </c>
      <c r="CK323" s="170">
        <f t="shared" si="520"/>
        <v>0</v>
      </c>
      <c r="CL323" s="170">
        <f t="shared" si="521"/>
        <v>0</v>
      </c>
      <c r="CM323" s="170">
        <f t="shared" si="522"/>
        <v>0</v>
      </c>
      <c r="CN323" s="170">
        <f t="shared" si="523"/>
        <v>0</v>
      </c>
      <c r="CO323" s="170">
        <f t="shared" si="524"/>
        <v>0</v>
      </c>
      <c r="CP323" s="170">
        <f t="shared" si="525"/>
        <v>0</v>
      </c>
      <c r="CQ323" s="170">
        <f t="shared" si="526"/>
        <v>0</v>
      </c>
      <c r="CR323" s="170">
        <f t="shared" si="527"/>
        <v>0</v>
      </c>
      <c r="CS323" s="170">
        <f t="shared" si="528"/>
        <v>0</v>
      </c>
      <c r="CT323" s="75">
        <f t="shared" si="529"/>
        <v>0</v>
      </c>
      <c r="CU323" s="76">
        <f t="shared" si="530"/>
        <v>0</v>
      </c>
      <c r="CV323" s="76">
        <f t="shared" si="531"/>
        <v>0</v>
      </c>
      <c r="CW323" s="76">
        <f t="shared" si="532"/>
        <v>0</v>
      </c>
      <c r="CX323" s="76">
        <f t="shared" si="533"/>
        <v>0</v>
      </c>
      <c r="CY323" s="76">
        <f t="shared" si="534"/>
        <v>0</v>
      </c>
      <c r="CZ323" s="76">
        <f t="shared" si="535"/>
        <v>0</v>
      </c>
      <c r="DA323" s="76">
        <f t="shared" si="536"/>
        <v>0</v>
      </c>
      <c r="DB323" s="76">
        <f t="shared" si="537"/>
        <v>1</v>
      </c>
      <c r="DC323" s="76">
        <f t="shared" si="538"/>
        <v>0</v>
      </c>
      <c r="DD323" s="76">
        <f t="shared" si="539"/>
        <v>0</v>
      </c>
      <c r="DE323" s="77">
        <f t="shared" si="540"/>
        <v>0</v>
      </c>
      <c r="DF323" s="73">
        <f t="shared" si="542"/>
        <v>24</v>
      </c>
      <c r="DG323" s="67">
        <f t="shared" si="543"/>
        <v>31.309999999999995</v>
      </c>
      <c r="DH323" s="76">
        <f t="shared" si="544"/>
        <v>9</v>
      </c>
      <c r="DI323" s="67">
        <f t="shared" si="545"/>
        <v>36.849999999999994</v>
      </c>
      <c r="DJ323" s="202" t="str">
        <f>IF($D322="","",$D322)</f>
        <v>9</v>
      </c>
      <c r="DK323" s="493"/>
    </row>
    <row r="324" spans="1:115" ht="14.5" customHeight="1" x14ac:dyDescent="0.2">
      <c r="A324" s="390"/>
      <c r="B324" s="457"/>
      <c r="C324" s="79" t="s">
        <v>53</v>
      </c>
      <c r="D324" s="375"/>
      <c r="E324" s="387"/>
      <c r="F324" s="378"/>
      <c r="G324" s="508"/>
      <c r="H324" s="477"/>
      <c r="I324" s="171"/>
      <c r="J324" s="172"/>
      <c r="K324" s="81"/>
      <c r="L324" s="173"/>
      <c r="M324" s="174"/>
      <c r="N324" s="407"/>
      <c r="O324" s="86" t="str">
        <f>IF(OR(AE322="",AE323=""),"",IF(L324&gt;0,ROUND(IF(M324&gt;0,M324,IF(M322&gt;0,ROUND((M322*AE324)/AE322,IF(N322=0,2,IF(N322=0.1,1,0))),IF(M323&gt;0,ROUND((M323*AE324)/AE323,IF(N322=0,2,IF(N322=0.1,1,0))),IF(M324&gt;0,M324,0)))),2),""))</f>
        <v/>
      </c>
      <c r="P324" s="87" t="str">
        <f>IF(I323="Lay",O323*(L323/(L323-1))-O323,IF(I322="Lay",O322*(L322/(L322-1))-O322,IF(OR(L324="",O324=""),"",IF($C324="1/2W",O324/2+O324/2*L324,IF($C324="1/2L",O324/2,(O324*L324-O324)*(1-_xlfn.XLOOKUP(K324,'Fevereiro 2023 - Valor Real'!A3:A15,'Fevereiro 2023 - Valor Real'!C3:C15,0))+O324)))))</f>
        <v/>
      </c>
      <c r="Q324" s="54" t="str">
        <f>IF(K324="","",IF(_xlfn.XLOOKUP(K324,K$11:K314,$DJ$11:DJ314,0,,-1)=DJ324,_xlfn.XLOOKUP(K324,K$11:K314,Q$11:Q314,1,,-1)+1,1))</f>
        <v/>
      </c>
      <c r="R324" s="87" t="str">
        <f>IF(K324="","",_xlfn.XLOOKUP(K324,K$11:K314,R$11:R314,0,,-1)+IF($C324=" ",1,0))</f>
        <v/>
      </c>
      <c r="S324" s="404"/>
      <c r="T324" s="378"/>
      <c r="U324" s="378"/>
      <c r="V324" s="404"/>
      <c r="W324" s="378"/>
      <c r="X324" s="453"/>
      <c r="Y324" s="383"/>
      <c r="Z324" s="384"/>
      <c r="AA324" s="384"/>
      <c r="AB324" s="384"/>
      <c r="AC324" s="384"/>
      <c r="AD324" s="90"/>
      <c r="AE324" s="91" t="str">
        <f>IF(L324="","",(SUM(((L322-1)*(1-_xlfn.XLOOKUP(K322,'Fevereiro 2023 - Valor Real'!A3:A15,'Fevereiro 2023 - Valor Real'!C3:C15,0))+1),((L323-1)*(1-_xlfn.XLOOKUP(K323,'Fevereiro 2023 - Valor Real'!A3:A15,'Fevereiro 2023 - Valor Real'!C3:C15,0))+1),((L324-1)*(1-_xlfn.XLOOKUP(K324,'Fevereiro 2023 - Valor Real'!A3:A15,'Fevereiro 2023 - Valor Real'!C3:C15,0))+1))/((L324-1)*(1-_xlfn.XLOOKUP(K324,'Fevereiro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Real'!C3:C15,0))+1))/((L322-1)*(1-_xlfn.XLOOKUP(K322,'Fevereiro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Real'!C3:C15,0))+1))/((L323-1)*(1-_xlfn.XLOOKUP(K323,'Fevereiro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Real'!C3:C15,0))+1))/((L324-1)*(1-_xlfn.XLOOKUP(K324,'Fevereiro 2023 - Valor Real'!A3:A15,'Fevereiro 2023 - Valor Real'!C3:C15,0))+1)))</f>
        <v/>
      </c>
      <c r="AF324" s="66">
        <f t="shared" ref="AF324:AR333" si="641">IF($K324=AF$3,ROUND(IF(OR($C324="W",$C324="1/2W",$C324="1/2L"),$P324-$O324,IF($C324="X",0,-$O324)),2),0)</f>
        <v>0</v>
      </c>
      <c r="AG324" s="67">
        <f t="shared" si="641"/>
        <v>0</v>
      </c>
      <c r="AH324" s="67">
        <f t="shared" si="641"/>
        <v>0</v>
      </c>
      <c r="AI324" s="67">
        <f t="shared" si="641"/>
        <v>0</v>
      </c>
      <c r="AJ324" s="67">
        <f t="shared" si="641"/>
        <v>0</v>
      </c>
      <c r="AK324" s="67">
        <f t="shared" si="641"/>
        <v>0</v>
      </c>
      <c r="AL324" s="67">
        <f t="shared" si="641"/>
        <v>0</v>
      </c>
      <c r="AM324" s="67">
        <f t="shared" si="641"/>
        <v>0</v>
      </c>
      <c r="AN324" s="67">
        <f t="shared" si="641"/>
        <v>0</v>
      </c>
      <c r="AO324" s="67">
        <f t="shared" si="641"/>
        <v>0</v>
      </c>
      <c r="AP324" s="67">
        <f t="shared" si="641"/>
        <v>0</v>
      </c>
      <c r="AQ324" s="67">
        <f t="shared" si="641"/>
        <v>0</v>
      </c>
      <c r="AR324" s="68">
        <f t="shared" si="641"/>
        <v>0</v>
      </c>
      <c r="AS324" s="66">
        <f>IF(AND($B322=" ",$K324=AS$3),$O324,0)</f>
        <v>0</v>
      </c>
      <c r="AT324" s="67">
        <f>IF(AND($B322=" ",K324=AT$3),$O324,0)</f>
        <v>0</v>
      </c>
      <c r="AU324" s="67">
        <f t="shared" ref="AU324:BE324" si="642">IF(AND($B322=" ",$K324=AU$3),$O324,0)</f>
        <v>0</v>
      </c>
      <c r="AV324" s="67">
        <f t="shared" si="642"/>
        <v>0</v>
      </c>
      <c r="AW324" s="67">
        <f t="shared" si="642"/>
        <v>0</v>
      </c>
      <c r="AX324" s="67">
        <f t="shared" si="642"/>
        <v>0</v>
      </c>
      <c r="AY324" s="69">
        <f t="shared" si="642"/>
        <v>0</v>
      </c>
      <c r="AZ324" s="70">
        <f t="shared" si="642"/>
        <v>0</v>
      </c>
      <c r="BA324" s="70">
        <f t="shared" si="642"/>
        <v>0</v>
      </c>
      <c r="BB324" s="70">
        <f t="shared" si="642"/>
        <v>0</v>
      </c>
      <c r="BC324" s="71">
        <f t="shared" si="642"/>
        <v>0</v>
      </c>
      <c r="BD324" s="67">
        <f t="shared" si="642"/>
        <v>0</v>
      </c>
      <c r="BE324" s="68">
        <f t="shared" si="642"/>
        <v>0</v>
      </c>
      <c r="BF324" s="66">
        <f t="shared" ref="BF324:BR333" si="643">IF($K324=BF$3,IF($C324="X",0,$O324),0)</f>
        <v>0</v>
      </c>
      <c r="BG324" s="168">
        <f t="shared" si="643"/>
        <v>0</v>
      </c>
      <c r="BH324" s="67">
        <f t="shared" si="643"/>
        <v>0</v>
      </c>
      <c r="BI324" s="67">
        <f t="shared" si="643"/>
        <v>0</v>
      </c>
      <c r="BJ324" s="67">
        <f t="shared" si="643"/>
        <v>0</v>
      </c>
      <c r="BK324" s="67">
        <f t="shared" si="643"/>
        <v>0</v>
      </c>
      <c r="BL324" s="67">
        <f t="shared" si="643"/>
        <v>0</v>
      </c>
      <c r="BM324" s="69">
        <f t="shared" si="643"/>
        <v>0</v>
      </c>
      <c r="BN324" s="70">
        <f t="shared" si="643"/>
        <v>0</v>
      </c>
      <c r="BO324" s="70">
        <f t="shared" si="643"/>
        <v>0</v>
      </c>
      <c r="BP324" s="70">
        <f t="shared" si="643"/>
        <v>0</v>
      </c>
      <c r="BQ324" s="71">
        <f t="shared" si="643"/>
        <v>0</v>
      </c>
      <c r="BR324" s="68">
        <f t="shared" si="643"/>
        <v>0</v>
      </c>
      <c r="BS324" s="491"/>
      <c r="BT324" s="489"/>
      <c r="BU324" s="392"/>
      <c r="BV324" s="489"/>
      <c r="BW324" s="392"/>
      <c r="BX324" s="392"/>
      <c r="BY324" s="392"/>
      <c r="BZ324" s="489"/>
      <c r="CA324" s="392"/>
      <c r="CB324" s="392"/>
      <c r="CC324" s="392"/>
      <c r="CD324" s="401"/>
      <c r="CE324" s="409"/>
      <c r="CF324" s="169">
        <f t="shared" ref="CF324:CF387" si="644">IF(CF$3=$K324,IF($C324="W",1,IF($C324="1/2W",0.5,0)),0)</f>
        <v>0</v>
      </c>
      <c r="CG324" s="170">
        <f t="shared" ref="CG324:CG387" si="645">IF(CF$3=$K324,IF($C324="L",1,IF($C324="1/2L",0.5,0)),0)</f>
        <v>0</v>
      </c>
      <c r="CH324" s="170">
        <f t="shared" ref="CH324:CH387" si="646">IF(CH$3=$K324,IF($C324="W",1,IF($C324="1/2W",0.5,0)),0)</f>
        <v>0</v>
      </c>
      <c r="CI324" s="170">
        <f t="shared" ref="CI324:CI387" si="647">IF(CH$3=$K324,IF($C324="L",1,IF($C324="1/2L",0.5,0)),0)</f>
        <v>0</v>
      </c>
      <c r="CJ324" s="170">
        <f t="shared" ref="CJ324:CJ387" si="648">IF(CJ$3=$K324,IF($C324="W",1,IF($C324="1/2W",0.5,0)),0)</f>
        <v>0</v>
      </c>
      <c r="CK324" s="170">
        <f t="shared" ref="CK324:CK387" si="649">IF(CJ$3=$K324,IF($C324="L",1,IF($C324="1/2L",0.5,0)),0)</f>
        <v>0</v>
      </c>
      <c r="CL324" s="170">
        <f t="shared" ref="CL324:CL387" si="650">IF(CL$3=$K324,IF($C324="W",1,IF($C324="1/2W",0.5,0)),0)</f>
        <v>0</v>
      </c>
      <c r="CM324" s="170">
        <f t="shared" ref="CM324:CM387" si="651">IF(CL$3=$K324,IF($C324="L",1,IF($C324="1/2L",0.5,0)),0)</f>
        <v>0</v>
      </c>
      <c r="CN324" s="170">
        <f t="shared" ref="CN324:CN387" si="652">IF(CN$3=$K324,IF($C324="W",1,IF($C324="1/2W",0.5,0)),0)</f>
        <v>0</v>
      </c>
      <c r="CO324" s="170">
        <f t="shared" ref="CO324:CO387" si="653">IF(CN$3=$K324,IF($C324="L",1,IF($C324="1/2L",0.5,0)),0)</f>
        <v>0</v>
      </c>
      <c r="CP324" s="170">
        <f t="shared" ref="CP324:CP387" si="654">IF(CP$3=$K324,IF($C324="W",1,IF($C324="1/2W",0.5,0)),0)</f>
        <v>0</v>
      </c>
      <c r="CQ324" s="170">
        <f t="shared" ref="CQ324:CQ387" si="655">IF(CP$3=$K324,IF($C324="L",1,IF($C324="1/2L",0.5,0)),0)</f>
        <v>0</v>
      </c>
      <c r="CR324" s="170">
        <f t="shared" ref="CR324:CR387" si="656">IF(CR$3=$K324,IF($C324="W",1,IF($C324="1/2W",0.5,0)),0)</f>
        <v>0</v>
      </c>
      <c r="CS324" s="170">
        <f t="shared" ref="CS324:CS387" si="657">IF(CR$3=$K324,IF($C324="L",1,IF($C324="1/2L",0.5,0)),0)</f>
        <v>0</v>
      </c>
      <c r="CT324" s="75">
        <f t="shared" ref="CT324:CT387" si="658">IF(CT$3=$K324,IF($C324="W",1,IF($C324="1/2W",0.5,0)),0)</f>
        <v>0</v>
      </c>
      <c r="CU324" s="76">
        <f t="shared" ref="CU324:CU387" si="659">IF(CT$3=$K324,IF($C324="L",1,IF($C324="1/2L",0.5,0)),0)</f>
        <v>0</v>
      </c>
      <c r="CV324" s="76">
        <f t="shared" ref="CV324:CV387" si="660">IF(CV$3=$K324,IF($C324="W",1,IF($C324="1/2W",0.5,0)),0)</f>
        <v>0</v>
      </c>
      <c r="CW324" s="76">
        <f t="shared" ref="CW324:CW387" si="661">IF(CV$3=$K324,IF($C324="L",1,IF($C324="1/2L",0.5,0)),0)</f>
        <v>0</v>
      </c>
      <c r="CX324" s="76">
        <f t="shared" ref="CX324:CX387" si="662">IF(CX$3=$K324,IF($C324="W",1,IF($C324="1/2W",0.5,0)),0)</f>
        <v>0</v>
      </c>
      <c r="CY324" s="76">
        <f t="shared" ref="CY324:CY387" si="663">IF(CX$3=$K324,IF($C324="L",1,IF($C324="1/2L",0.5,0)),0)</f>
        <v>0</v>
      </c>
      <c r="CZ324" s="76">
        <f t="shared" ref="CZ324:CZ387" si="664">IF(CZ$3=$K324,IF($C324="W",1,IF($C324="1/2W",0.5,0)),0)</f>
        <v>0</v>
      </c>
      <c r="DA324" s="76">
        <f t="shared" ref="DA324:DA387" si="665">IF(CZ$3=$K324,IF($C324="L",1,IF($C324="1/2L",0.5,0)),0)</f>
        <v>0</v>
      </c>
      <c r="DB324" s="76">
        <f t="shared" ref="DB324:DB387" si="666">IF(DB$3=$K324,IF($C324="W",1,IF($C324="1/2W",0.5,0)),0)</f>
        <v>0</v>
      </c>
      <c r="DC324" s="76">
        <f t="shared" ref="DC324:DC387" si="667">IF(DB$3=$K324,IF($C324="L",1,IF($C324="1/2L",0.5,0)),0)</f>
        <v>0</v>
      </c>
      <c r="DD324" s="76">
        <f t="shared" ref="DD324:DD387" si="668">IF(DD$3=$K324,IF($C324="W",1,IF($C324="1/2W",0.5,0)),0)</f>
        <v>0</v>
      </c>
      <c r="DE324" s="77">
        <f t="shared" ref="DE324:DE387" si="669">IF(DD$3=$K324,IF($C324="L",1,IF($C324="1/2L",0.5,0)),0)</f>
        <v>0</v>
      </c>
      <c r="DF324" s="73">
        <f t="shared" si="542"/>
        <v>24</v>
      </c>
      <c r="DG324" s="67">
        <f t="shared" si="543"/>
        <v>31.309999999999995</v>
      </c>
      <c r="DH324" s="76">
        <f t="shared" si="544"/>
        <v>9</v>
      </c>
      <c r="DI324" s="67">
        <f t="shared" si="545"/>
        <v>36.849999999999994</v>
      </c>
      <c r="DJ324" s="202" t="str">
        <f>IF($D322="","",$D322)</f>
        <v>9</v>
      </c>
      <c r="DK324" s="493"/>
    </row>
    <row r="325" spans="1:115" ht="14.5" customHeight="1" x14ac:dyDescent="0.2">
      <c r="A325" s="459">
        <f>$A322+1</f>
        <v>108</v>
      </c>
      <c r="B325" s="507" t="str">
        <f>IF(OR(C325="W",C326="W",C327="W",C325="1/2W",C326="1/2W",C327="1/2W",C325="1/2L",C326="1/2L",C327="1/2L"),"OK",IF(OR(C325="L",C326="L",C327="L"),"LOSS",IF(OR(C325="X",C326="X",C327="X"),"Anulado"," ")))</f>
        <v>OK</v>
      </c>
      <c r="C325" s="93" t="s">
        <v>55</v>
      </c>
      <c r="D325" s="468" t="str">
        <f>IF(G325="","",$D322)</f>
        <v>9</v>
      </c>
      <c r="E325" s="485" t="str">
        <f>IF(G325=""," ","– "&amp;COUNTIF(D$4:D327,$D325))</f>
        <v>– 16</v>
      </c>
      <c r="F325" s="509" t="str">
        <f ca="1">IF(G325="","",IF(OR(AND($C325&lt;&gt;" ",$C326=" "),AND($C326&lt;&gt;" ",$C325=" "),AND(L327&gt;0,OR(AND($C327&lt;&gt;" ",OR($C325=" ",$C326=" ")),AND($C327=" ",OR($C325&lt;&gt;" ",$C326&lt;&gt;" "))))),IF(SUM(F$4:F324)=0,1,LARGE(F$4:F324,1)+1),IF(MONTH(G325)=MONTH(TODAY()),IF(AND(DAY(G325)&lt;DAY(TODAY()),$B325=" "),IF(SUM(F$4:F324)=0,1,LARGE(F$4:F324,1)+1),IF($B325=" ",IF(AND(DAY(G325)=DAY(TODAY()),HOUR(G325)&lt;=HOUR(NOW())+1),IF(AND(HOUR(G325)+2&lt;=HOUR(NOW()),DAY(G325)&lt;=DAY(TODAY()),MINUTE(G325)&lt;=MINUTE(NOW())),IF(SUM(F$4:F324)=0,1,LARGE(F$4:F324,1)+1),IF(OR(MINUTE(G325)&lt;=MINUTE(NOW()),HOUR(G325)&lt;=HOUR(NOW())),"!!!","")),""),"")),"")))</f>
        <v/>
      </c>
      <c r="G325" s="482">
        <f>IF(H325="","",_xlfn.XLOOKUP(H325,$H$4:H324,$G$4:G324,""))</f>
        <v>44997.208333333336</v>
      </c>
      <c r="H325" s="475" t="s">
        <v>150</v>
      </c>
      <c r="I325" s="94" t="s">
        <v>76</v>
      </c>
      <c r="J325" s="95">
        <v>1</v>
      </c>
      <c r="K325" s="96" t="s">
        <v>43</v>
      </c>
      <c r="L325" s="97">
        <v>2.04</v>
      </c>
      <c r="M325" s="98">
        <v>39.700000000000003</v>
      </c>
      <c r="N325" s="478">
        <v>0</v>
      </c>
      <c r="O325" s="99">
        <f>IF(OR(AE325="",AE326=""),"",ROUND(IF(L327&gt;0,IF(M325&gt;0,M325,IF(M326&gt;0,ROUND((M326*AE325)/AE326,IF(N325=0,2,IF(N325=0.1,1,0))),ROUND((M327*AE325)/AE327,IF(N325=0,2,IF(N325=0.1,1,0))))),IF(M325&gt;0,M325,ROUND((M326*AE325)/AE326,IF(N325=0,2,IF(N325=0.1,1,0))))),2))</f>
        <v>39.700000000000003</v>
      </c>
      <c r="P325" s="100">
        <f>IF(OR(L325="",O325=""),"",IF($C325="1/2W",O325/2+O325/2*L325,IF($C325="1/2L",O325/2,IF(I325="Lay",(O325*(L325/(L325-1))-O325)*(1-_xlfn.XLOOKUP(K325,'Fevereiro 2023 - Valor Real'!A3:A15,'Fevereiro 2023 - Valor Real'!C3:C15,0))+O325,(O325*L325-O325)*(1-_xlfn.XLOOKUP(K325,'Fevereiro 2023 - Valor Real'!A3:A15,'Fevereiro 2023 - Valor Real'!C3:C15,0))+O325))))</f>
        <v>80.988000000000014</v>
      </c>
      <c r="Q325" s="101">
        <f>IF(K325="","",IF(_xlfn.XLOOKUP(K325,K$4:K324,$DJ$4:DJ324,0,,-1)=DJ325,_xlfn.XLOOKUP(K325,K$4:K324,Q$4:Q324,1,,-1)+1,1))</f>
        <v>4</v>
      </c>
      <c r="R325" s="102">
        <f>IF(K325="","",_xlfn.XLOOKUP(K325,K$4:K324,R$4:R324,0,,-1)+IF($C325=" ",1,0))</f>
        <v>0</v>
      </c>
      <c r="S325" s="474">
        <f>IF($B325="Anulado",0,ROUND(IF(OR($B325="LOSS",$B325="OK"),IF(OR($C325="W",$C325="1/2W",$C325="1/2L"),P325-O325,IF($C325="L",-O325,0))+IF(OR($C326="W",$C326="1/2W",$C326="1/2L"),P326-O326,IF($C326="L",-O326,0))+IF(OR($C327="W",$C327="1/2W",$C327="1/2L"),P327-O327,IF($C327="L",-O327,0)),IF(AND(OR($C325="W",$C325="1/2W",$C325="1/2L"),C326="W"),P325+P326-SUM(O325:O327)+_xlfn.XLOOKUP("X",C325:C327,O325:O327,0),IF(AND(C325=TRUE,C327="W"),P325+P327-SUM(O325:O327),IF(AND(C326="W",C327="W"),P326+P327-SUM(O325:O327)+_xlfn.XLOOKUP("X",C325:C327,O325:O327,0),IF(L327&gt;0,IF(OR($C325="W",$C325="1/2W",$C325="1/2L"),P325-SUM(O325:O327)+_xlfn.XLOOKUP("X",C325:C327,O325:O327,0),IF(OR($C325="W",$C325="1/2W",$C325="1/2L"),P326-SUM(O325:O327)+_xlfn.XLOOKUP("X",C325:C327,O325:O327,0),IF(OR($C325="W",$C325="1/2W",$C325="1/2L"),P327-SUM(O325:O327)+_xlfn.XLOOKUP("X",C325:C327,O325:O327,0),IF(SUM(P325:P327)/3-SUM(O325:O327)+_xlfn.XLOOKUP("X",C325:C327,O325:O327,0)&gt;0,SUM(P325:P327)/3-SUM(O325:O327)+_xlfn.XLOOKUP("X",C325:C327,O325:O327,0),LARGE(P325:P327,1)-SUM(O325:O327))))),IF(OR($C325="W",$C325="1/2W",$C325="1/2L"),P325-SUM(O325:O326)+_xlfn.XLOOKUP("X",C325:C327,O325:O327,0),IF(OR($C325="W",$C325="1/2W",$C325="1/2L"),P326-SUM(O325:O326)+_xlfn.XLOOKUP("X",C325:C327,O325:O327,0),SUM(P325:P326)/2-SUM(O325:O326)+_xlfn.XLOOKUP("X",C325:C327,O325:O327,0)))))))),2))</f>
        <v>4.13</v>
      </c>
      <c r="T325" s="458">
        <f>IF(S325=0,0,S325/SUM(O325:O327))</f>
        <v>5.3748047891723057E-2</v>
      </c>
      <c r="U325" s="470">
        <f>IF($D325=$D322,IF(OR($B325="LOSS",$B325="OK",$B325="Anulada"),S325,0)+U322,IF(OR($B325="LOSS",$B325="OK",$B325="Anulada"),S325,0))</f>
        <v>45.940000000000005</v>
      </c>
      <c r="V325" s="470">
        <f>IF($D325="",0,IF($D325=$D322,IF($B325=" ",IF(I327="",IF(OR(AND(I325="DNB1",I326="DNB2"),AND(OR(I325="DNB1",I325="DNB2"),J326=0),AND(OR(I326="DNB1",I326="DNB2"),J325=0),AND(I325="DNB2",I326="DNB1"),AND(IF(J325=0,(J325+1)/ROUND(J325+1,0),J325/ROUND(J325,0))=1,IF(J326=0,(J326+1)/ROUND(IF(J326="",0,J326)+1,0),IF(J326="",0,J326)/ROUND(IF(J326="",1,J326),0))=1,OR(J325&lt;&gt;""),J326&lt;&gt;"")),0,IF(S325&lt;0,IF(I327="",SMALL(P325:P326,1)-SUM(O325:O326),0),SMALL(P325:P326,1)-SUM(O325:O326))),IF(S325&lt;0,IF(I327="",SMALL(P325:P327,1)-SUM(O325:O327),0),LARGE(P325:P327,1)-SUM(O325:O327))),S325)+V322,IF(I327="",IF(OR(AND(I325="DNB1",I326="DNB2"),AND(OR(I325="DNB1",I325="DNB2"),J326=0),AND(OR(I326="DNB1",I326="DNB2"),J325=0),AND(I325="DNB2",I326="DNB1"),AND(IF(J325=0,(J325+1)/ROUND(J325+1,0),J325/ROUND(J325,0))=1,IF(J326=0,(IF(J326="",0,J326)+1)/ROUND(IF(J326="",0,J326)+1,0),IF(J326="",0,J326)/ROUND(IF(J326="",0,J326)+1,0))=1,OR(J325&lt;&gt;""),J326&lt;&gt;"")),0,IF(S325&lt;0,IF(I327="",SMALL(P325:P326,1)-SUM(O325:O326),0),SMALL(P325:P327,1)-SUM(O325:O327))),IF(S325&lt;0,IF(I327="",SMALL(P325:P327,1)-SUM(O325:O327),0),LARGE(P325:P327,1)-SUM(O325:O327)))))</f>
        <v>45.940400000000004</v>
      </c>
      <c r="W325" s="470">
        <f>IF($D325=$D322,IF(S325&lt;0,IF(I327="",S325,0),S325)+W322,S325)</f>
        <v>45.940000000000005</v>
      </c>
      <c r="X325" s="480" t="str">
        <f>IF(OR(SUM(R325:R327)=0,V325=W325),ROUND(IF(W325=0,0,W325/Y325)*100,2)&amp;"%",ROUND(IF(V325=0,0,V325/Y325)*100,2)&amp;"% a "&amp;ROUND(IF(W325=0,0,W325/Y325)*100,2)&amp;"%")</f>
        <v>5,42%</v>
      </c>
      <c r="Y325" s="471">
        <f>IF($D325=$D322,Y322+SUM(O325:O327),SUM(O325:O327))</f>
        <v>846.99</v>
      </c>
      <c r="Z325" s="470">
        <f>IF($B325=" ",SUM(O325:O327),0)+Z322</f>
        <v>0</v>
      </c>
      <c r="AA325" s="470">
        <f>IF(G325="","",IF($B325="Anulado",LARGE(P325:P327,1)-SUM(O325:O327)+AA322,AA322))</f>
        <v>2.6261999999999954</v>
      </c>
      <c r="AB325" s="470">
        <f>IF($D325="","",AB322+S325)</f>
        <v>486.80000000000007</v>
      </c>
      <c r="AC325" s="472">
        <f ca="1">IF($D325="","",IF($B325=" ",IF(DAY(G325)=DAY(TODAY()),1+AC322,0+AC322),0+AC322))</f>
        <v>0</v>
      </c>
      <c r="AD325" s="103">
        <f>(((L326/(L326-1)-1)*(1-_xlfn.XLOOKUP(K326,'Fevereiro 2023 - Valor Real'!A3:A15,'Fevereiro 2023 - Valor Real'!C3:C15,0))+1))/(((L325-1)*(1-_xlfn.XLOOKUP(K325,'Fevereiro 2023 - Valor Real'!A3:A15,'Fevereiro 2023 - Valor Real'!C3:C15,0))+1)+((L326/(L326-1)-1)*(1-_xlfn.XLOOKUP(K326,'Fevereiro 2023 - Valor Real'!A3:A15,'Fevereiro 2023 - Valor Real'!C3:C15,0))+1))</f>
        <v>0.53353658536585369</v>
      </c>
      <c r="AE325" s="104">
        <f>IF(L325="","",IF(L327&gt;0,(SUM(((L325-1)*(1-_xlfn.XLOOKUP(K325,'Fevereiro 2023 - Valor Real'!A3:A15,'Fevereiro 2023 - Valor Real'!C3:C15,0))+1),((L326-1)*(1-_xlfn.XLOOKUP(K326,'Fevereiro 2023 - Valor Real'!A3:A15,'Fevereiro 2023 - Valor Real'!C3:C15,0))+1),((L327-1)*(1-_xlfn.XLOOKUP(K327,'Fevereiro 2023 - Valor Real'!A3:A15,'Fevereiro 2023 - Valor Real'!C3:C15,0))+1))/((L325-1)*(1-_xlfn.XLOOKUP(K325,'Fevereiro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Real'!C3:C15,0))+1))/((L325-1)*(1-_xlfn.XLOOKUP(K325,'Fevereiro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Real'!C3:C15,0))+1))/((L326-1)*(1-_xlfn.XLOOKUP(K326,'Fevereiro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Real'!C3:C15,0))+1))/((L327-1)*(1-_xlfn.XLOOKUP(K327,'Fevereiro 2023 - Valor Real'!A3:A15,'Fevereiro 2023 - Valor Real'!C3:C15,0))+1)),IF(I325="Lay",IF(I326="Lay",((L326/(L326-1)-1)*(1-_xlfn.XLOOKUP(K326,'Fevereiro 2023 - Valor Real'!A3:A15,'Fevereiro 2023 - Valor Real'!C3:C15,0))+1)/(((L326/(L326-1)-1)*(1-_xlfn.XLOOKUP(K326,'Fevereiro 2023 - Valor Real'!A3:A15,'Fevereiro 2023 - Valor Real'!C3:C15,0))+1)+((L325/(L325-1)-1)*(1-_xlfn.XLOOKUP(K325,'Fevereiro 2023 - Valor Real'!A3:A15,'Fevereiro 2023 - Valor Real'!C3:C15,0))+1)),((L326-1)*(1-_xlfn.XLOOKUP(K326,'Fevereiro 2023 - Valor Real'!A3:A15,'Fevereiro 2023 - Valor Real'!C3:C15,0))+1)/(((L326-1)*(1-_xlfn.XLOOKUP(K326,'Fevereiro 2023 - Valor Real'!A3:A15,'Fevereiro 2023 - Valor Real'!C3:C15,0))+1)+((L325/(L325-1)-1)*(1-_xlfn.XLOOKUP(K325,'Fevereiro 2023 - Valor Real'!A3:A15,'Fevereiro 2023 - Valor Real'!C3:C15,0))+1))),IF(I326="Lay",(((L326/(L326-1)-1)*(1-_xlfn.XLOOKUP(K326,'Fevereiro 2023 - Valor Real'!A3:A15,'Fevereiro 2023 - Valor Real'!C3:C15,0))+1))/(((L325-1)*(1-_xlfn.XLOOKUP(K325,'Fevereiro 2023 - Valor Real'!A3:A15,'Fevereiro 2023 - Valor Real'!C3:C15,0))+1)+((L326/(L326-1)-1)*(1-_xlfn.XLOOKUP(K326,'Fevereiro 2023 - Valor Real'!A3:A15,'Fevereiro 2023 - Valor Real'!C3:C15,0))+1)),((L326-1)*(1-_xlfn.XLOOKUP(K326,'Fevereiro 2023 - Valor Real'!A3:A15,'Fevereiro 2023 - Valor Real'!C3:C15,0))+1)/(((L326-1)*(1-_xlfn.XLOOKUP(K326,'Fevereiro 2023 - Valor Real'!A3:A15,'Fevereiro 2023 - Valor Real'!C3:C15,0))+1)+((L325-1)*(1-_xlfn.XLOOKUP(K325,'Fevereiro 2023 - Valor Real'!A3:A15,'Fevereiro 2023 - Valor Real'!C3:C15,0))+1))))))</f>
        <v>0.34941089085296462</v>
      </c>
      <c r="AF325" s="105">
        <f t="shared" si="641"/>
        <v>0</v>
      </c>
      <c r="AG325" s="106">
        <f t="shared" si="641"/>
        <v>0</v>
      </c>
      <c r="AH325" s="106">
        <f t="shared" si="641"/>
        <v>0</v>
      </c>
      <c r="AI325" s="106">
        <f t="shared" si="641"/>
        <v>0</v>
      </c>
      <c r="AJ325" s="106">
        <f t="shared" si="641"/>
        <v>0</v>
      </c>
      <c r="AK325" s="106">
        <f t="shared" si="641"/>
        <v>0</v>
      </c>
      <c r="AL325" s="106">
        <f t="shared" si="641"/>
        <v>0</v>
      </c>
      <c r="AM325" s="106">
        <f t="shared" si="641"/>
        <v>-39.700000000000003</v>
      </c>
      <c r="AN325" s="106">
        <f t="shared" si="641"/>
        <v>0</v>
      </c>
      <c r="AO325" s="106">
        <f t="shared" si="641"/>
        <v>0</v>
      </c>
      <c r="AP325" s="106">
        <f t="shared" si="641"/>
        <v>0</v>
      </c>
      <c r="AQ325" s="106">
        <f t="shared" si="641"/>
        <v>0</v>
      </c>
      <c r="AR325" s="107">
        <f t="shared" si="641"/>
        <v>0</v>
      </c>
      <c r="AS325" s="105">
        <f t="shared" ref="AS325:BE325" si="670">IF(AND($B325=" ",$K325=AS$3),$O325,0)</f>
        <v>0</v>
      </c>
      <c r="AT325" s="106">
        <f t="shared" si="670"/>
        <v>0</v>
      </c>
      <c r="AU325" s="106">
        <f t="shared" si="670"/>
        <v>0</v>
      </c>
      <c r="AV325" s="106">
        <f t="shared" si="670"/>
        <v>0</v>
      </c>
      <c r="AW325" s="106">
        <f t="shared" si="670"/>
        <v>0</v>
      </c>
      <c r="AX325" s="106">
        <f t="shared" si="670"/>
        <v>0</v>
      </c>
      <c r="AY325" s="108">
        <f t="shared" si="670"/>
        <v>0</v>
      </c>
      <c r="AZ325" s="109">
        <f t="shared" si="670"/>
        <v>0</v>
      </c>
      <c r="BA325" s="109">
        <f t="shared" si="670"/>
        <v>0</v>
      </c>
      <c r="BB325" s="109">
        <f t="shared" si="670"/>
        <v>0</v>
      </c>
      <c r="BC325" s="110">
        <f t="shared" si="670"/>
        <v>0</v>
      </c>
      <c r="BD325" s="106">
        <f t="shared" si="670"/>
        <v>0</v>
      </c>
      <c r="BE325" s="107">
        <f t="shared" si="670"/>
        <v>0</v>
      </c>
      <c r="BF325" s="111">
        <f t="shared" si="643"/>
        <v>0</v>
      </c>
      <c r="BG325" s="106">
        <f t="shared" si="643"/>
        <v>0</v>
      </c>
      <c r="BH325" s="106">
        <f t="shared" si="643"/>
        <v>0</v>
      </c>
      <c r="BI325" s="106">
        <f t="shared" si="643"/>
        <v>0</v>
      </c>
      <c r="BJ325" s="106">
        <f t="shared" si="643"/>
        <v>0</v>
      </c>
      <c r="BK325" s="106">
        <f t="shared" si="643"/>
        <v>0</v>
      </c>
      <c r="BL325" s="106">
        <f t="shared" si="643"/>
        <v>0</v>
      </c>
      <c r="BM325" s="108">
        <f t="shared" si="643"/>
        <v>39.700000000000003</v>
      </c>
      <c r="BN325" s="109">
        <f t="shared" si="643"/>
        <v>0</v>
      </c>
      <c r="BO325" s="109">
        <f t="shared" si="643"/>
        <v>0</v>
      </c>
      <c r="BP325" s="109">
        <f t="shared" si="643"/>
        <v>0</v>
      </c>
      <c r="BQ325" s="110">
        <f t="shared" si="643"/>
        <v>0</v>
      </c>
      <c r="BR325" s="107">
        <f t="shared" si="643"/>
        <v>0</v>
      </c>
      <c r="BS325" s="463">
        <f>IF($B325="LOSS",IF(AND($K325=BS$3,$C325="L"),-$O325,0)+IF(AND($K326=BS$3,$C326="L"),-$O326,0)+IF(AND($K327=BS$3,$C327="L"),-$O327,0),IF(OR(AND($K325=BS$3,OR($C325="W",$C325="1/2W")),AND($K326=BS$3,OR($C326="W",$C326="1/2W")),AND($K327=BS$3,OR($C327="W",$C327="1/2W"))),$S325,0))</f>
        <v>0</v>
      </c>
      <c r="BT325" s="462">
        <f>IF($B325="LOSS",IF(AND($K325=BT$3,$C325="L"),-$O325,0)+IF(AND($K326=BT$3,$C326="L"),-$O326,0)+IF(AND($K326=BT$3,$C327="L"),-$O327,0),IF(OR(AND($K326=BT$3,OR($C325="W",$C325="1/2W")),AND($K326=BT$3,OR($C326="W",$C326="1/2W")),AND($K326=BT$3,OR($C327="W",$C327="1/2W"))),$S325,0))</f>
        <v>0</v>
      </c>
      <c r="BU325" s="462">
        <f>IF($B325="LOSS",IF(AND($K325=BU$3,$C325="L"),-$O325,0)+IF(AND($K326=BU$3,$C326="L"),-$O326,0)+IF(AND($K326=BU$3,$C327="L"),-$O327,0),IF(OR(AND($K326=BU$3,OR($C325="W",$C325="1/2W")),AND($K326=BU$3,OR($C326="W",$C326="1/2W")),AND($K326=BU$3,OR($C327="W",$C327="1/2W"))),$S325,0))</f>
        <v>0</v>
      </c>
      <c r="BV325" s="462">
        <f t="shared" ref="BV325:CE325" si="671">IF($B325="LOSS",IF(AND($K325=BV$3,$C325="L"),-$O325,0)+IF(AND($K326=BV$3,$C326="L"),-$O326,0)+IF(AND($K327=BV$3,$C327="L"),-$O327,0),IF(OR(AND($K325=BV$3,OR($C325="W",$C325="1/2W")),AND($K326=BV$3,OR($C326="W",$C326="1/2W")),AND($K327=BV$3,OR($C327="W",$C327="1/2W"))),$S325,0))</f>
        <v>0</v>
      </c>
      <c r="BW325" s="462">
        <f t="shared" si="671"/>
        <v>0</v>
      </c>
      <c r="BX325" s="462">
        <f t="shared" si="671"/>
        <v>0</v>
      </c>
      <c r="BY325" s="462">
        <f t="shared" si="671"/>
        <v>0</v>
      </c>
      <c r="BZ325" s="460">
        <f t="shared" si="671"/>
        <v>0</v>
      </c>
      <c r="CA325" s="460">
        <f t="shared" si="671"/>
        <v>0</v>
      </c>
      <c r="CB325" s="460">
        <f t="shared" si="671"/>
        <v>0</v>
      </c>
      <c r="CC325" s="460">
        <f t="shared" si="671"/>
        <v>0</v>
      </c>
      <c r="CD325" s="473">
        <f t="shared" si="671"/>
        <v>4.13</v>
      </c>
      <c r="CE325" s="479">
        <f t="shared" si="671"/>
        <v>0</v>
      </c>
      <c r="CF325" s="113">
        <f t="shared" si="644"/>
        <v>0</v>
      </c>
      <c r="CG325" s="114">
        <f t="shared" si="645"/>
        <v>0</v>
      </c>
      <c r="CH325" s="114">
        <f t="shared" si="646"/>
        <v>0</v>
      </c>
      <c r="CI325" s="114">
        <f t="shared" si="647"/>
        <v>0</v>
      </c>
      <c r="CJ325" s="114">
        <f t="shared" si="648"/>
        <v>0</v>
      </c>
      <c r="CK325" s="114">
        <f t="shared" si="649"/>
        <v>0</v>
      </c>
      <c r="CL325" s="114">
        <f t="shared" si="650"/>
        <v>0</v>
      </c>
      <c r="CM325" s="114">
        <f t="shared" si="651"/>
        <v>0</v>
      </c>
      <c r="CN325" s="114">
        <f t="shared" si="652"/>
        <v>0</v>
      </c>
      <c r="CO325" s="114">
        <f t="shared" si="653"/>
        <v>0</v>
      </c>
      <c r="CP325" s="114">
        <f t="shared" si="654"/>
        <v>0</v>
      </c>
      <c r="CQ325" s="114">
        <f t="shared" si="655"/>
        <v>0</v>
      </c>
      <c r="CR325" s="114">
        <f t="shared" si="656"/>
        <v>0</v>
      </c>
      <c r="CS325" s="114">
        <f t="shared" si="657"/>
        <v>0</v>
      </c>
      <c r="CT325" s="115">
        <f t="shared" si="658"/>
        <v>0</v>
      </c>
      <c r="CU325" s="116">
        <f t="shared" si="659"/>
        <v>1</v>
      </c>
      <c r="CV325" s="116">
        <f t="shared" si="660"/>
        <v>0</v>
      </c>
      <c r="CW325" s="116">
        <f t="shared" si="661"/>
        <v>0</v>
      </c>
      <c r="CX325" s="116">
        <f t="shared" si="662"/>
        <v>0</v>
      </c>
      <c r="CY325" s="116">
        <f t="shared" si="663"/>
        <v>0</v>
      </c>
      <c r="CZ325" s="116">
        <f t="shared" si="664"/>
        <v>0</v>
      </c>
      <c r="DA325" s="116">
        <f t="shared" si="665"/>
        <v>0</v>
      </c>
      <c r="DB325" s="116">
        <f t="shared" si="666"/>
        <v>0</v>
      </c>
      <c r="DC325" s="116">
        <f t="shared" si="667"/>
        <v>0</v>
      </c>
      <c r="DD325" s="116">
        <f t="shared" si="668"/>
        <v>0</v>
      </c>
      <c r="DE325" s="117">
        <f t="shared" si="669"/>
        <v>0</v>
      </c>
      <c r="DF325" s="118">
        <f t="shared" ref="DF325:DF388" si="672">IF(AND(L325&lt;DF$3,$C325="W"),1+DF324,DF324)</f>
        <v>24</v>
      </c>
      <c r="DG325" s="106">
        <f t="shared" ref="DG325:DG388" si="673">IF(DF325&gt;DF324,L325+DG324,DG324)</f>
        <v>31.309999999999995</v>
      </c>
      <c r="DH325" s="116">
        <f t="shared" ref="DH325:DH388" si="674">IF(AND(L325&gt;DH$3,$C325="W"),1+DH324,0+DH324)</f>
        <v>9</v>
      </c>
      <c r="DI325" s="106">
        <f t="shared" ref="DI325:DI388" si="675">IF(DH325&gt;DH324,L325+DI324,DI324)</f>
        <v>36.849999999999994</v>
      </c>
      <c r="DJ325" s="201" t="str">
        <f>IF($D325="","",$D325)</f>
        <v>9</v>
      </c>
      <c r="DK325" s="465">
        <f>IF(AND($B325=" ",$D325&lt;&gt;""),1,0)</f>
        <v>0</v>
      </c>
    </row>
    <row r="326" spans="1:115" ht="14.5" customHeight="1" x14ac:dyDescent="0.2">
      <c r="A326" s="389"/>
      <c r="B326" s="456"/>
      <c r="C326" s="120" t="s">
        <v>54</v>
      </c>
      <c r="D326" s="374"/>
      <c r="E326" s="386"/>
      <c r="F326" s="377"/>
      <c r="G326" s="483"/>
      <c r="H326" s="476"/>
      <c r="I326" s="178">
        <v>1</v>
      </c>
      <c r="J326" s="179" t="str">
        <f>IF(OR(I325="TO",I325="TU",I325="TO1",I325="TU1",I325="TO2",I325="TU2"),J325,IF(OR(I325="AH1",I325="AH2"),IF(OR(I326="AH1",I326="AH2"),-J325,IF(OR(I326="EH1",I326="EH2"),-J325+0.5,"")),IF(OR(I325="EH1",I325="EH2"),IF(OR(I326="AH1",I326="AH2"),-J325+0.5,IF(OR(I326="EH1",I326="EH2"),-J325+1,"")),IF(AND(OR(I325="DNB1",I325="DNB2"),OR(I326="AH1",I326="AH2")),0,IF(AND(I325="Not ScoreBoth",OR(I326="TO1",I326="TO2")),0.5,"")))))</f>
        <v/>
      </c>
      <c r="K326" s="123" t="s">
        <v>47</v>
      </c>
      <c r="L326" s="124">
        <v>1.75</v>
      </c>
      <c r="M326" s="125">
        <v>23.6</v>
      </c>
      <c r="N326" s="406"/>
      <c r="O326" s="126">
        <f>IF(OR(AE325="",AE326=""),"",ROUND(IF(L327&gt;0,IF(M326&gt;0,M326,IF(M325&gt;0,IF(N325=TRUE,ROUND((M325*AE326)/AE325,0),(M325*AE326)/AE325),IF(M326&gt;0,ROUND(M326,IF(N325=0,2,IF(N325=0.1,1,0))),IF(M327&gt;0,ROUND(O327*AE326/AE327,IF(N325=0,2,IF(N325=0.1,1,0))),0)))),IF(M326&gt;0,M326,ROUND((M325*AE326)/AE325,IF(N325=0,2,IF(N325=0.1,1,0))))),2))</f>
        <v>23.6</v>
      </c>
      <c r="P326" s="127">
        <f>IF(OR(L326="",O326=""),"",IF($C326="1/2W",O326/2+O326/2*L326,IF($C326="1/2L",O326/2,IF(I326="Lay",((O326*(L326/(L326-1)))-O326)*(1-_xlfn.XLOOKUP(K326,'Fevereiro 2023 - Valor Real'!A3:A15,'Fevereiro 2023 - Valor Real'!C3:C15,0))+O326,(O326*L326-O326)*(1-_xlfn.XLOOKUP(K326,'Fevereiro 2023 - Valor Real'!A3:A15,'Fevereiro 2023 - Valor Real'!C3:C15,0))+O326))))</f>
        <v>41.300000000000004</v>
      </c>
      <c r="Q326" s="128">
        <f>IF(K326="","",IF(_xlfn.XLOOKUP(K326,K$4:K325,$DJ$4:DJ325,0,,-1)=DJ326,_xlfn.XLOOKUP(K326,K$4:K325,Q$4:Q325,1,,-1)+1,1))</f>
        <v>5</v>
      </c>
      <c r="R326" s="129">
        <f>IF(K326="","",_xlfn.XLOOKUP(K326,K$4:K325,R$4:R325,0,,-1)+IF($C326=" ",1,0))</f>
        <v>0</v>
      </c>
      <c r="S326" s="403"/>
      <c r="T326" s="380"/>
      <c r="U326" s="380"/>
      <c r="V326" s="481"/>
      <c r="W326" s="380"/>
      <c r="X326" s="452"/>
      <c r="Y326" s="383"/>
      <c r="Z326" s="384"/>
      <c r="AA326" s="384"/>
      <c r="AB326" s="384"/>
      <c r="AC326" s="384"/>
      <c r="AD326" s="130">
        <f>(((L326/(L326-1)-1)*(1-_xlfn.XLOOKUP(K326,'Fevereiro 2023 - Valor Real'!A3:A15,'Fevereiro 2023 - Valor Real'!C3:C15,0))+1))</f>
        <v>2.3333333333333335</v>
      </c>
      <c r="AE326" s="131">
        <f>IF(L326="","",IF(L327&gt;0,(SUM(((L325-1)*(1-_xlfn.XLOOKUP(K325,'Fevereiro 2023 - Valor Real'!A3:A15,'Fevereiro 2023 - Valor Real'!C3:C15,0))+1),((L326-1)*(1-_xlfn.XLOOKUP(K326,'Fevereiro 2023 - Valor Real'!A3:A15,'Fevereiro 2023 - Valor Real'!C3:C15,0))+1),((L327-1)*(1-_xlfn.XLOOKUP(K327,'Fevereiro 2023 - Valor Real'!A3:A15,'Fevereiro 2023 - Valor Real'!C3:C15,0))+1))/((L326-1)*(1-_xlfn.XLOOKUP(K326,'Fevereiro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Real'!C3:C15,0))+1))/((L325-1)*(1-_xlfn.XLOOKUP(K325,'Fevereiro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Real'!C3:C15,0))+1))/((L326-1)*(1-_xlfn.XLOOKUP(K326,'Fevereiro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Real'!C3:C15,0))+1))/((L327-1)*(1-_xlfn.XLOOKUP(K327,'Fevereiro 2023 - Valor Real'!A3:A15,'Fevereiro 2023 - Valor Real'!C3:C15,0))+1)),IF(I326="Lay",IF(I325="Lay",((L325/(L325-1)-1)*(1-_xlfn.XLOOKUP(K325,'Fevereiro 2023 - Valor Real'!A3:A15,'Fevereiro 2023 - Valor Real'!C3:C15,0))+1)/(((L325/(L325-1)-1)*(1-_xlfn.XLOOKUP(K325,'Fevereiro 2023 - Valor Real'!A3:A15,'Fevereiro 2023 - Valor Real'!C3:C15,0))+1)+((L326/(L326-1)-1)*(1-_xlfn.XLOOKUP(K326,'Fevereiro 2023 - Valor Real'!A3:A15,'Fevereiro 2023 - Valor Real'!C3:C15,0))+1)),((L325-1)*(1-_xlfn.XLOOKUP(K325,'Fevereiro 2023 - Valor Real'!A3:A15,'Fevereiro 2023 - Valor Real'!C3:C15,0))+1)/(((L325-1)*(1-_xlfn.XLOOKUP(K325,'Fevereiro 2023 - Valor Real'!A3:A15,'Fevereiro 2023 - Valor Real'!C3:C15,0))+1)+((L326/(L326-1)-1)*(1-_xlfn.XLOOKUP(K326,'Fevereiro 2023 - Valor Real'!A3:A15,'Fevereiro 2023 - Valor Real'!C3:C15,0))+1))),IF(I325="Lay",((L325/(L325-1)-1)*(1-_xlfn.XLOOKUP(K325,'Fevereiro 2023 - Valor Real'!A3:A15,'Fevereiro 2023 - Valor Real'!C3:C15,0))+1)/((((L325/(L325-1)-1)*(1-_xlfn.XLOOKUP(K325,'Fevereiro 2023 - Valor Real'!A3:A15,'Fevereiro 2023 - Valor Real'!C3:C15,0))+1))+((L326-1)*(1-_xlfn.XLOOKUP(K326,'Fevereiro 2023 - Valor Real'!A3:A15,'Fevereiro 2023 - Valor Real'!C3:C15,0))+1)),((L325-1)*(1-_xlfn.XLOOKUP(K325,'Fevereiro 2023 - Valor Real'!A3:A15,'Fevereiro 2023 - Valor Real'!C3:C15,0))+1)/(((L325-1)*(1-_xlfn.XLOOKUP(K325,'Fevereiro 2023 - Valor Real'!A3:A15,'Fevereiro 2023 - Valor Real'!C3:C15,0))+1)+((L326-1)*(1-_xlfn.XLOOKUP(K326,'Fevereiro 2023 - Valor Real'!A3:A15,'Fevereiro 2023 - Valor Real'!C3:C15,0))+1))))))</f>
        <v>0.40731326705145587</v>
      </c>
      <c r="AF326" s="105">
        <f t="shared" si="641"/>
        <v>0</v>
      </c>
      <c r="AG326" s="106">
        <f t="shared" si="641"/>
        <v>0</v>
      </c>
      <c r="AH326" s="106">
        <f t="shared" si="641"/>
        <v>0</v>
      </c>
      <c r="AI326" s="106">
        <f t="shared" si="641"/>
        <v>0</v>
      </c>
      <c r="AJ326" s="106">
        <f t="shared" si="641"/>
        <v>0</v>
      </c>
      <c r="AK326" s="106">
        <f t="shared" si="641"/>
        <v>0</v>
      </c>
      <c r="AL326" s="106">
        <f t="shared" si="641"/>
        <v>0</v>
      </c>
      <c r="AM326" s="106">
        <f t="shared" si="641"/>
        <v>0</v>
      </c>
      <c r="AN326" s="106">
        <f t="shared" si="641"/>
        <v>0</v>
      </c>
      <c r="AO326" s="106">
        <f t="shared" si="641"/>
        <v>0</v>
      </c>
      <c r="AP326" s="106">
        <f t="shared" si="641"/>
        <v>0</v>
      </c>
      <c r="AQ326" s="106">
        <f t="shared" si="641"/>
        <v>17.7</v>
      </c>
      <c r="AR326" s="107">
        <f t="shared" si="641"/>
        <v>0</v>
      </c>
      <c r="AS326" s="105">
        <f>IF(AND($B325=" ",$K326=AS$3),$O326,0)</f>
        <v>0</v>
      </c>
      <c r="AT326" s="106">
        <f>IF(AND($B325=" ",K326=AT$3),$O326,0)</f>
        <v>0</v>
      </c>
      <c r="AU326" s="106">
        <f t="shared" ref="AU326:BE326" si="676">IF(AND($B325=" ",$K326=AU$3),$O326,0)</f>
        <v>0</v>
      </c>
      <c r="AV326" s="106">
        <f t="shared" si="676"/>
        <v>0</v>
      </c>
      <c r="AW326" s="106">
        <f t="shared" si="676"/>
        <v>0</v>
      </c>
      <c r="AX326" s="106">
        <f t="shared" si="676"/>
        <v>0</v>
      </c>
      <c r="AY326" s="108">
        <f t="shared" si="676"/>
        <v>0</v>
      </c>
      <c r="AZ326" s="109">
        <f t="shared" si="676"/>
        <v>0</v>
      </c>
      <c r="BA326" s="109">
        <f t="shared" si="676"/>
        <v>0</v>
      </c>
      <c r="BB326" s="109">
        <f t="shared" si="676"/>
        <v>0</v>
      </c>
      <c r="BC326" s="110">
        <f t="shared" si="676"/>
        <v>0</v>
      </c>
      <c r="BD326" s="106">
        <f t="shared" si="676"/>
        <v>0</v>
      </c>
      <c r="BE326" s="107">
        <f t="shared" si="676"/>
        <v>0</v>
      </c>
      <c r="BF326" s="105">
        <f t="shared" si="643"/>
        <v>0</v>
      </c>
      <c r="BG326" s="106">
        <f t="shared" si="643"/>
        <v>0</v>
      </c>
      <c r="BH326" s="106">
        <f t="shared" si="643"/>
        <v>0</v>
      </c>
      <c r="BI326" s="106">
        <f t="shared" si="643"/>
        <v>0</v>
      </c>
      <c r="BJ326" s="106">
        <f t="shared" si="643"/>
        <v>0</v>
      </c>
      <c r="BK326" s="106">
        <f t="shared" si="643"/>
        <v>0</v>
      </c>
      <c r="BL326" s="106">
        <f t="shared" si="643"/>
        <v>0</v>
      </c>
      <c r="BM326" s="132">
        <f t="shared" si="643"/>
        <v>0</v>
      </c>
      <c r="BN326" s="112">
        <f t="shared" si="643"/>
        <v>0</v>
      </c>
      <c r="BO326" s="112">
        <f t="shared" si="643"/>
        <v>0</v>
      </c>
      <c r="BP326" s="112">
        <f t="shared" si="643"/>
        <v>0</v>
      </c>
      <c r="BQ326" s="110">
        <f t="shared" si="643"/>
        <v>23.6</v>
      </c>
      <c r="BR326" s="107">
        <f t="shared" si="643"/>
        <v>0</v>
      </c>
      <c r="BS326" s="464"/>
      <c r="BT326" s="461"/>
      <c r="BU326" s="392"/>
      <c r="BV326" s="461"/>
      <c r="BW326" s="392"/>
      <c r="BX326" s="392"/>
      <c r="BY326" s="392"/>
      <c r="BZ326" s="461"/>
      <c r="CA326" s="392"/>
      <c r="CB326" s="392"/>
      <c r="CC326" s="392"/>
      <c r="CD326" s="401"/>
      <c r="CE326" s="409"/>
      <c r="CF326" s="133">
        <f t="shared" si="644"/>
        <v>0</v>
      </c>
      <c r="CG326" s="134">
        <f t="shared" si="645"/>
        <v>0</v>
      </c>
      <c r="CH326" s="134">
        <f t="shared" si="646"/>
        <v>0</v>
      </c>
      <c r="CI326" s="134">
        <f t="shared" si="647"/>
        <v>0</v>
      </c>
      <c r="CJ326" s="134">
        <f t="shared" si="648"/>
        <v>0</v>
      </c>
      <c r="CK326" s="134">
        <f t="shared" si="649"/>
        <v>0</v>
      </c>
      <c r="CL326" s="134">
        <f t="shared" si="650"/>
        <v>0</v>
      </c>
      <c r="CM326" s="134">
        <f t="shared" si="651"/>
        <v>0</v>
      </c>
      <c r="CN326" s="134">
        <f t="shared" si="652"/>
        <v>0</v>
      </c>
      <c r="CO326" s="134">
        <f t="shared" si="653"/>
        <v>0</v>
      </c>
      <c r="CP326" s="134">
        <f t="shared" si="654"/>
        <v>0</v>
      </c>
      <c r="CQ326" s="134">
        <f t="shared" si="655"/>
        <v>0</v>
      </c>
      <c r="CR326" s="134">
        <f t="shared" si="656"/>
        <v>0</v>
      </c>
      <c r="CS326" s="134">
        <f t="shared" si="657"/>
        <v>0</v>
      </c>
      <c r="CT326" s="115">
        <f t="shared" si="658"/>
        <v>0</v>
      </c>
      <c r="CU326" s="116">
        <f t="shared" si="659"/>
        <v>0</v>
      </c>
      <c r="CV326" s="116">
        <f t="shared" si="660"/>
        <v>0</v>
      </c>
      <c r="CW326" s="116">
        <f t="shared" si="661"/>
        <v>0</v>
      </c>
      <c r="CX326" s="116">
        <f t="shared" si="662"/>
        <v>0</v>
      </c>
      <c r="CY326" s="116">
        <f t="shared" si="663"/>
        <v>0</v>
      </c>
      <c r="CZ326" s="116">
        <f t="shared" si="664"/>
        <v>0</v>
      </c>
      <c r="DA326" s="116">
        <f t="shared" si="665"/>
        <v>0</v>
      </c>
      <c r="DB326" s="116">
        <f t="shared" si="666"/>
        <v>1</v>
      </c>
      <c r="DC326" s="116">
        <f t="shared" si="667"/>
        <v>0</v>
      </c>
      <c r="DD326" s="116">
        <f t="shared" si="668"/>
        <v>0</v>
      </c>
      <c r="DE326" s="117">
        <f t="shared" si="669"/>
        <v>0</v>
      </c>
      <c r="DF326" s="118">
        <f t="shared" si="672"/>
        <v>24</v>
      </c>
      <c r="DG326" s="106">
        <f t="shared" si="673"/>
        <v>31.309999999999995</v>
      </c>
      <c r="DH326" s="116">
        <f t="shared" si="674"/>
        <v>9</v>
      </c>
      <c r="DI326" s="106">
        <f t="shared" si="675"/>
        <v>36.849999999999994</v>
      </c>
      <c r="DJ326" s="201" t="str">
        <f>IF($D325="","",$D325)</f>
        <v>9</v>
      </c>
      <c r="DK326" s="466"/>
    </row>
    <row r="327" spans="1:115" ht="14.5" customHeight="1" x14ac:dyDescent="0.2">
      <c r="A327" s="390"/>
      <c r="B327" s="457"/>
      <c r="C327" s="135" t="s">
        <v>54</v>
      </c>
      <c r="D327" s="375"/>
      <c r="E327" s="387"/>
      <c r="F327" s="378"/>
      <c r="G327" s="484"/>
      <c r="H327" s="477"/>
      <c r="I327" s="203" t="s">
        <v>102</v>
      </c>
      <c r="J327" s="204">
        <v>-1</v>
      </c>
      <c r="K327" s="193" t="s">
        <v>47</v>
      </c>
      <c r="L327" s="194">
        <v>2.93</v>
      </c>
      <c r="M327" s="140">
        <v>13.54</v>
      </c>
      <c r="N327" s="407"/>
      <c r="O327" s="195">
        <f>IF(OR(AE325="",AE326=""),"",IF(L327&gt;0,ROUND(IF(M327&gt;0,M327,IF(M325&gt;0,ROUND((M325*AE327)/AE325,IF(N325=0,2,IF(N325=0.1,1,0))),IF(M326&gt;0,ROUND((M326*AE327)/AE326,IF(N325=0,2,IF(N325=0.1,1,0))),IF(M327&gt;0,M327,0)))),2),""))</f>
        <v>13.54</v>
      </c>
      <c r="P327" s="196">
        <f>IF(I326="Lay",O326*(L326/(L326-1))-O326,IF(I325="Lay",O325*(L325/(L325-1))-O325,IF(OR(L327="",O327=""),"",IF($C327="1/2W",O327/2+O327/2*L327,IF($C327="1/2L",O327/2,(O327*L327-O327)*(1-_xlfn.XLOOKUP(K327,'Fevereiro 2023 - Valor Real'!A3:A15,'Fevereiro 2023 - Valor Real'!C3:C15,0))+O327)))))</f>
        <v>39.672199999999997</v>
      </c>
      <c r="Q327" s="197">
        <f>IF(K327="","",IF(_xlfn.XLOOKUP(K327,K$4:K326,$DJ$4:DJ326,0,,-1)=DJ327,_xlfn.XLOOKUP(K327,K$4:K326,Q$4:Q326,1,,-1)+1,1))</f>
        <v>6</v>
      </c>
      <c r="R327" s="198">
        <f>IF(K327="","",_xlfn.XLOOKUP(K327,K$4:K326,R$4:R326,0,,-1)+IF($C327=" ",1,0))</f>
        <v>0</v>
      </c>
      <c r="S327" s="404"/>
      <c r="T327" s="378"/>
      <c r="U327" s="378"/>
      <c r="V327" s="404"/>
      <c r="W327" s="378"/>
      <c r="X327" s="453"/>
      <c r="Y327" s="383"/>
      <c r="Z327" s="384"/>
      <c r="AA327" s="384"/>
      <c r="AB327" s="384"/>
      <c r="AC327" s="384"/>
      <c r="AD327" s="145">
        <f>((L326/(L326-1)-1))</f>
        <v>1.3333333333333335</v>
      </c>
      <c r="AE327" s="199">
        <f>IF(L327="","",(SUM(((L325-1)*(1-_xlfn.XLOOKUP(K325,'Fevereiro 2023 - Valor Real'!A3:A15,'Fevereiro 2023 - Valor Real'!C3:C15,0))+1),((L326-1)*(1-_xlfn.XLOOKUP(K326,'Fevereiro 2023 - Valor Real'!A3:A15,'Fevereiro 2023 - Valor Real'!C3:C15,0))+1),((L327-1)*(1-_xlfn.XLOOKUP(K327,'Fevereiro 2023 - Valor Real'!A3:A15,'Fevereiro 2023 - Valor Real'!C3:C15,0))+1))/((L327-1)*(1-_xlfn.XLOOKUP(K327,'Fevereiro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Real'!C3:C15,0))+1))/((L325-1)*(1-_xlfn.XLOOKUP(K325,'Fevereiro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Real'!C3:C15,0))+1))/((L326-1)*(1-_xlfn.XLOOKUP(K326,'Fevereiro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Real'!C3:C15,0))+1))/((L327-1)*(1-_xlfn.XLOOKUP(K327,'Fevereiro 2023 - Valor Real'!A3:A15,'Fevereiro 2023 - Valor Real'!C3:C15,0))+1)))</f>
        <v>0.24327584209557943</v>
      </c>
      <c r="AF327" s="105">
        <f t="shared" si="641"/>
        <v>0</v>
      </c>
      <c r="AG327" s="106">
        <f t="shared" si="641"/>
        <v>0</v>
      </c>
      <c r="AH327" s="106">
        <f t="shared" si="641"/>
        <v>0</v>
      </c>
      <c r="AI327" s="106">
        <f t="shared" si="641"/>
        <v>0</v>
      </c>
      <c r="AJ327" s="106">
        <f t="shared" si="641"/>
        <v>0</v>
      </c>
      <c r="AK327" s="106">
        <f t="shared" si="641"/>
        <v>0</v>
      </c>
      <c r="AL327" s="106">
        <f t="shared" si="641"/>
        <v>0</v>
      </c>
      <c r="AM327" s="106">
        <f t="shared" si="641"/>
        <v>0</v>
      </c>
      <c r="AN327" s="106">
        <f t="shared" si="641"/>
        <v>0</v>
      </c>
      <c r="AO327" s="106">
        <f t="shared" si="641"/>
        <v>0</v>
      </c>
      <c r="AP327" s="106">
        <f t="shared" si="641"/>
        <v>0</v>
      </c>
      <c r="AQ327" s="106">
        <f t="shared" si="641"/>
        <v>26.13</v>
      </c>
      <c r="AR327" s="107">
        <f t="shared" si="641"/>
        <v>0</v>
      </c>
      <c r="AS327" s="105">
        <f>IF(AND($B325=" ",$K327=AS$3),$O327,0)</f>
        <v>0</v>
      </c>
      <c r="AT327" s="106">
        <f>IF(AND($B325=" ",K327=AT$3),$O327,0)</f>
        <v>0</v>
      </c>
      <c r="AU327" s="106">
        <f t="shared" ref="AU327:BE327" si="677">IF(AND($B325=" ",$K327=AU$3),$O327,0)</f>
        <v>0</v>
      </c>
      <c r="AV327" s="106">
        <f t="shared" si="677"/>
        <v>0</v>
      </c>
      <c r="AW327" s="106">
        <f t="shared" si="677"/>
        <v>0</v>
      </c>
      <c r="AX327" s="106">
        <f t="shared" si="677"/>
        <v>0</v>
      </c>
      <c r="AY327" s="108">
        <f t="shared" si="677"/>
        <v>0</v>
      </c>
      <c r="AZ327" s="109">
        <f t="shared" si="677"/>
        <v>0</v>
      </c>
      <c r="BA327" s="109">
        <f t="shared" si="677"/>
        <v>0</v>
      </c>
      <c r="BB327" s="109">
        <f t="shared" si="677"/>
        <v>0</v>
      </c>
      <c r="BC327" s="110">
        <f t="shared" si="677"/>
        <v>0</v>
      </c>
      <c r="BD327" s="106">
        <f t="shared" si="677"/>
        <v>0</v>
      </c>
      <c r="BE327" s="107">
        <f t="shared" si="677"/>
        <v>0</v>
      </c>
      <c r="BF327" s="105">
        <f t="shared" si="643"/>
        <v>0</v>
      </c>
      <c r="BG327" s="106">
        <f t="shared" si="643"/>
        <v>0</v>
      </c>
      <c r="BH327" s="106">
        <f t="shared" si="643"/>
        <v>0</v>
      </c>
      <c r="BI327" s="106">
        <f t="shared" si="643"/>
        <v>0</v>
      </c>
      <c r="BJ327" s="106">
        <f t="shared" si="643"/>
        <v>0</v>
      </c>
      <c r="BK327" s="106">
        <f t="shared" si="643"/>
        <v>0</v>
      </c>
      <c r="BL327" s="106">
        <f t="shared" si="643"/>
        <v>0</v>
      </c>
      <c r="BM327" s="108">
        <f t="shared" si="643"/>
        <v>0</v>
      </c>
      <c r="BN327" s="109">
        <f t="shared" si="643"/>
        <v>0</v>
      </c>
      <c r="BO327" s="109">
        <f t="shared" si="643"/>
        <v>0</v>
      </c>
      <c r="BP327" s="109">
        <f t="shared" si="643"/>
        <v>0</v>
      </c>
      <c r="BQ327" s="110">
        <f t="shared" si="643"/>
        <v>13.54</v>
      </c>
      <c r="BR327" s="107">
        <f t="shared" si="643"/>
        <v>0</v>
      </c>
      <c r="BS327" s="464"/>
      <c r="BT327" s="461"/>
      <c r="BU327" s="392"/>
      <c r="BV327" s="461"/>
      <c r="BW327" s="392"/>
      <c r="BX327" s="392"/>
      <c r="BY327" s="392"/>
      <c r="BZ327" s="461"/>
      <c r="CA327" s="392"/>
      <c r="CB327" s="392"/>
      <c r="CC327" s="392"/>
      <c r="CD327" s="401"/>
      <c r="CE327" s="409"/>
      <c r="CF327" s="133">
        <f t="shared" si="644"/>
        <v>0</v>
      </c>
      <c r="CG327" s="134">
        <f t="shared" si="645"/>
        <v>0</v>
      </c>
      <c r="CH327" s="134">
        <f t="shared" si="646"/>
        <v>0</v>
      </c>
      <c r="CI327" s="134">
        <f t="shared" si="647"/>
        <v>0</v>
      </c>
      <c r="CJ327" s="134">
        <f t="shared" si="648"/>
        <v>0</v>
      </c>
      <c r="CK327" s="134">
        <f t="shared" si="649"/>
        <v>0</v>
      </c>
      <c r="CL327" s="134">
        <f t="shared" si="650"/>
        <v>0</v>
      </c>
      <c r="CM327" s="134">
        <f t="shared" si="651"/>
        <v>0</v>
      </c>
      <c r="CN327" s="134">
        <f t="shared" si="652"/>
        <v>0</v>
      </c>
      <c r="CO327" s="134">
        <f t="shared" si="653"/>
        <v>0</v>
      </c>
      <c r="CP327" s="134">
        <f t="shared" si="654"/>
        <v>0</v>
      </c>
      <c r="CQ327" s="134">
        <f t="shared" si="655"/>
        <v>0</v>
      </c>
      <c r="CR327" s="134">
        <f t="shared" si="656"/>
        <v>0</v>
      </c>
      <c r="CS327" s="134">
        <f t="shared" si="657"/>
        <v>0</v>
      </c>
      <c r="CT327" s="115">
        <f t="shared" si="658"/>
        <v>0</v>
      </c>
      <c r="CU327" s="116">
        <f t="shared" si="659"/>
        <v>0</v>
      </c>
      <c r="CV327" s="116">
        <f t="shared" si="660"/>
        <v>0</v>
      </c>
      <c r="CW327" s="116">
        <f t="shared" si="661"/>
        <v>0</v>
      </c>
      <c r="CX327" s="116">
        <f t="shared" si="662"/>
        <v>0</v>
      </c>
      <c r="CY327" s="116">
        <f t="shared" si="663"/>
        <v>0</v>
      </c>
      <c r="CZ327" s="116">
        <f t="shared" si="664"/>
        <v>0</v>
      </c>
      <c r="DA327" s="116">
        <f t="shared" si="665"/>
        <v>0</v>
      </c>
      <c r="DB327" s="116">
        <f t="shared" si="666"/>
        <v>1</v>
      </c>
      <c r="DC327" s="116">
        <f t="shared" si="667"/>
        <v>0</v>
      </c>
      <c r="DD327" s="116">
        <f t="shared" si="668"/>
        <v>0</v>
      </c>
      <c r="DE327" s="117">
        <f t="shared" si="669"/>
        <v>0</v>
      </c>
      <c r="DF327" s="118">
        <f t="shared" si="672"/>
        <v>24</v>
      </c>
      <c r="DG327" s="106">
        <f t="shared" si="673"/>
        <v>31.309999999999995</v>
      </c>
      <c r="DH327" s="116">
        <f t="shared" si="674"/>
        <v>9</v>
      </c>
      <c r="DI327" s="106">
        <f t="shared" si="675"/>
        <v>36.849999999999994</v>
      </c>
      <c r="DJ327" s="201" t="str">
        <f>IF($D325="","",$D325)</f>
        <v>9</v>
      </c>
      <c r="DK327" s="466"/>
    </row>
    <row r="328" spans="1:115" ht="14.5" customHeight="1" x14ac:dyDescent="0.2">
      <c r="A328" s="487">
        <f>$A325+1</f>
        <v>109</v>
      </c>
      <c r="B328" s="506" t="str">
        <f>IF(OR(C328="W",C329="W",C330="W",C328="1/2W",C329="1/2W",C330="1/2W",C328="1/2L",C329="1/2L",C330="1/2L"),"OK",IF(OR(C328="L",C329="L",C330="L"),"LOSS",IF(OR(C328="X",C329="X",C330="X"),"Anulado"," ")))</f>
        <v>OK</v>
      </c>
      <c r="C328" s="147" t="s">
        <v>55</v>
      </c>
      <c r="D328" s="494" t="str">
        <f>IF(G328="","",$D325)</f>
        <v>9</v>
      </c>
      <c r="E328" s="511" t="str">
        <f>IF(G328=""," ","– "&amp;COUNTIF(D$4:D330,$D328))</f>
        <v>– 17</v>
      </c>
      <c r="F328" s="510" t="str">
        <f ca="1">IF(G328="","",IF(OR(AND($C328&lt;&gt;" ",$C329=" "),AND($C329&lt;&gt;" ",$C328=" "),AND(L330&gt;0,OR(AND($C330&lt;&gt;" ",OR($C328=" ",$C329=" ")),AND($C330=" ",OR($C328&lt;&gt;" ",$C329&lt;&gt;" "))))),IF(SUM(F$4:F327)=0,1,LARGE(F$4:F327,1)+1),IF(MONTH(G328)=MONTH(TODAY()),IF(AND(DAY(G328)&lt;DAY(TODAY()),$B328=" "),IF(SUM(F$4:F327)=0,1,LARGE(F$4:F327,1)+1),IF($B328=" ",IF(AND(DAY(G328)=DAY(TODAY()),HOUR(G328)&lt;=HOUR(NOW())+1),IF(AND(HOUR(G328)+2&lt;=HOUR(NOW()),DAY(G328)&lt;=DAY(TODAY()),MINUTE(G328)&lt;=MINUTE(NOW())),IF(SUM(F$4:F327)=0,1,LARGE(F$4:F327,1)+1),IF(OR(MINUTE(G328)&lt;=MINUTE(NOW()),HOUR(G328)&lt;=HOUR(NOW())),"!!!","")),""),"")),"")))</f>
        <v/>
      </c>
      <c r="G328" s="508">
        <v>44995.604166666664</v>
      </c>
      <c r="H328" s="502" t="s">
        <v>151</v>
      </c>
      <c r="I328" s="180" t="s">
        <v>76</v>
      </c>
      <c r="J328" s="181">
        <v>-34</v>
      </c>
      <c r="K328" s="150" t="s">
        <v>43</v>
      </c>
      <c r="L328" s="151">
        <v>2.17</v>
      </c>
      <c r="M328" s="152"/>
      <c r="N328" s="503">
        <v>0</v>
      </c>
      <c r="O328" s="153">
        <f>IF(OR(AE328="",AE329=""),"",ROUND(IF(L330&gt;0,IF(M328&gt;0,M328,IF(M329&gt;0,ROUND((M329*AE328)/AE329,IF(N328=0,2,IF(N328=0.1,1,0))),ROUND((M330*AE328)/AE330,IF(N328=0,2,IF(N328=0.1,1,0))))),IF(M328&gt;0,M328,ROUND((M329*AE328)/AE329,IF(N328=0,2,IF(N328=0.1,1,0))))),2))</f>
        <v>11.99</v>
      </c>
      <c r="P328" s="154">
        <f>IF(OR(L328="",O328=""),"",IF($C328="1/2W",O328/2+O328/2*L328,IF($C328="1/2L",O328/2,IF(I328="Lay",(O328*(L328/(L328-1))-O328)*(1-_xlfn.XLOOKUP(K328,'Fevereiro 2023 - Valor Real'!A3:A15,'Fevereiro 2023 - Valor Real'!C3:C15,0))+O328,(O328*L328-O328)*(1-_xlfn.XLOOKUP(K328,'Fevereiro 2023 - Valor Real'!A3:A15,'Fevereiro 2023 - Valor Real'!C3:C15,0))+O328))))</f>
        <v>26.0183</v>
      </c>
      <c r="Q328" s="155">
        <f>IF(K328="","",IF(_xlfn.XLOOKUP(K328,K$9:K320,$DJ$9:DJ320,0,,-1)=DJ328,_xlfn.XLOOKUP(K328,K$9:K320,Q$9:Q320,1,,-1)+1,1))</f>
        <v>4</v>
      </c>
      <c r="R328" s="156">
        <f>IF(K328="","",_xlfn.XLOOKUP(K328,K$9:K320,R$9:R320,0,,-1)+IF($C328=" ",1,0))</f>
        <v>0</v>
      </c>
      <c r="S328" s="501">
        <f>IF($B328="Anulado",0,ROUND(IF(OR($B328="LOSS",$B328="OK"),IF(OR($C328="W",$C328="1/2W",$C328="1/2L"),P328-O328,IF($C328="L",-O328,0))+IF(OR($C329="W",$C329="1/2W",$C329="1/2L"),P329-O329,IF($C329="L",-O329,0))+IF(OR($C330="W",$C330="1/2W",$C330="1/2L"),P330-O330,IF($C330="L",-O330,0)),IF(AND(OR($C328="W",$C328="1/2W",$C328="1/2L"),C329="W"),P328+P329-SUM(O328:O330)+_xlfn.XLOOKUP("X",C328:C330,O328:O330,0),IF(AND(C328=TRUE,C330="W"),P328+P330-SUM(O328:O330),IF(AND(C329="W",C330="W"),P329+P330-SUM(O328:O330)+_xlfn.XLOOKUP("X",C328:C330,O328:O330,0),IF(L330&gt;0,IF(OR($C328="W",$C328="1/2W",$C328="1/2L"),P328-SUM(O328:O330)+_xlfn.XLOOKUP("X",C328:C330,O328:O330,0),IF(OR($C328="W",$C328="1/2W",$C328="1/2L"),P329-SUM(O328:O330)+_xlfn.XLOOKUP("X",C328:C330,O328:O330,0),IF(OR($C328="W",$C328="1/2W",$C328="1/2L"),P330-SUM(O328:O330)+_xlfn.XLOOKUP("X",C328:C330,O328:O330,0),IF(SUM(P328:P330)/3-SUM(O328:O330)+_xlfn.XLOOKUP("X",C328:C330,O328:O330,0)&gt;0,SUM(P328:P330)/3-SUM(O328:O330)+_xlfn.XLOOKUP("X",C328:C330,O328:O330,0),LARGE(P328:P330,1)-SUM(O328:O330))))),IF(OR($C328="W",$C328="1/2W",$C328="1/2L"),P328-SUM(O328:O329)+_xlfn.XLOOKUP("X",C328:C330,O328:O330,0),IF(OR($C328="W",$C328="1/2W",$C328="1/2L"),P329-SUM(O328:O329)+_xlfn.XLOOKUP("X",C328:C330,O328:O330,0),SUM(P328:P329)/2-SUM(O328:O329)+_xlfn.XLOOKUP("X",C328:C330,O328:O330,0)))))))),2))</f>
        <v>1.08</v>
      </c>
      <c r="T328" s="486">
        <f>IF(S328=0,0,S328/SUM(O328:O330))</f>
        <v>4.3321299638989175E-2</v>
      </c>
      <c r="U328" s="496">
        <f>IF($D328=$D325,IF(OR($B328="LOSS",$B328="OK",$B328="Anulada"),S328,0)+U325,IF(OR($B328="LOSS",$B328="OK",$B328="Anulada"),S328,0))</f>
        <v>47.02</v>
      </c>
      <c r="V328" s="496">
        <f>IF($D328="",0,IF($D328=$D325,IF($B328=" ",IF(I330="",IF(OR(AND(I328="DNB1",I329="DNB2"),AND(OR(I328="DNB1",I328="DNB2"),J329=0),AND(OR(I329="DNB1",I329="DNB2"),J328=0),AND(I328="DNB2",I329="DNB1"),AND(IF(J328=0,(J328+1)/ROUND(J328+1,0),J328/ROUND(J328,0))=1,IF(J329=0,(J329+1)/ROUND(IF(J329="",0,J329)+1,0),IF(J329="",0,J329)/ROUND(IF(J329="",1,J329),0))=1,OR(J328&lt;&gt;""),J329&lt;&gt;"")),0,IF(S328&lt;0,IF(I330="",SMALL(P328:P329,1)-SUM(O328:O329),0),SMALL(P328:P329,1)-SUM(O328:O329))),IF(S328&lt;0,IF(I330="",SMALL(P328:P330,1)-SUM(O328:O330),0),LARGE(P328:P330,1)-SUM(O328:O330))),S328)+V325,IF(I330="",IF(OR(AND(I328="DNB1",I329="DNB2"),AND(OR(I328="DNB1",I328="DNB2"),J329=0),AND(OR(I329="DNB1",I329="DNB2"),J328=0),AND(I328="DNB2",I329="DNB1"),AND(IF(J328=0,(J328+1)/ROUND(J328+1,0),J328/ROUND(J328,0))=1,IF(J329=0,(IF(J329="",0,J329)+1)/ROUND(IF(J329="",0,J329)+1,0),IF(J329="",0,J329)/ROUND(IF(J329="",0,J329)+1,0))=1,OR(J328&lt;&gt;""),J329&lt;&gt;"")),0,IF(S328&lt;0,IF(I330="",SMALL(P328:P329,1)-SUM(O328:O329),0),SMALL(P328:P330,1)-SUM(O328:O330))),IF(S328&lt;0,IF(I330="",SMALL(P328:P330,1)-SUM(O328:O330),0),LARGE(P328:P330,1)-SUM(O328:O330)))))</f>
        <v>47.020400000000002</v>
      </c>
      <c r="W328" s="496">
        <f>IF($D328=$D325,IF(S328&lt;0,IF(I330="",S328,0),S328)+W325,S328)</f>
        <v>47.02</v>
      </c>
      <c r="X328" s="505" t="str">
        <f>IF(OR(SUM(R328:R330)=0,V328=W328),ROUND(IF(W328=0,0,W328/Y328)*100,2)&amp;"%",ROUND(IF(V328=0,0,V328/Y328)*100,2)&amp;"% a "&amp;ROUND(IF(W328=0,0,W328/Y328)*100,2)&amp;"%")</f>
        <v>5,39%</v>
      </c>
      <c r="Y328" s="497">
        <f>IF($D328=$D325,Y325+SUM(O328:O330),SUM(O328:O330))</f>
        <v>871.92</v>
      </c>
      <c r="Z328" s="496">
        <f>IF($B328=" ",SUM(O328:O330),0)+Z325</f>
        <v>0</v>
      </c>
      <c r="AA328" s="496">
        <f>IF(G328="","",IF($B328="Anulado",LARGE(P328:P330,1)-SUM(O328:O330)+AA325,AA325))</f>
        <v>2.6261999999999954</v>
      </c>
      <c r="AB328" s="496">
        <f>IF($D328="","",AB325+S328)</f>
        <v>487.88000000000005</v>
      </c>
      <c r="AC328" s="499">
        <f ca="1">IF($D328="","",IF($B328=" ",IF(DAY(G328)=DAY(TODAY()),1+AC325,0+AC325),0+AC325))</f>
        <v>0</v>
      </c>
      <c r="AD328" s="157">
        <f>(1-_xlfn.XLOOKUP(K326,'Fevereiro 2023 - Valor Real'!A3:A15,'Fevereiro 2023 - Valor Real'!C3:C15,0))+1</f>
        <v>2</v>
      </c>
      <c r="AE328" s="158">
        <f>IF(L328="","",IF(L330&gt;0,(SUM(((L328-1)*(1-_xlfn.XLOOKUP(K328,'Fevereiro 2023 - Valor Real'!A3:A15,'Fevereiro 2023 - Valor Real'!C3:C15,0))+1),((L329-1)*(1-_xlfn.XLOOKUP(K329,'Fevereiro 2023 - Valor Real'!A3:A15,'Fevereiro 2023 - Valor Real'!C3:C15,0))+1),((L330-1)*(1-_xlfn.XLOOKUP(K330,'Fevereiro 2023 - Valor Real'!A3:A15,'Fevereiro 2023 - Valor Real'!C3:C15,0))+1))/((L328-1)*(1-_xlfn.XLOOKUP(K328,'Fevereiro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Real'!C3:C15,0))+1))/((L328-1)*(1-_xlfn.XLOOKUP(K328,'Fevereiro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Real'!C3:C15,0))+1))/((L329-1)*(1-_xlfn.XLOOKUP(K329,'Fevereiro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Real'!C3:C15,0))+1))/((L330-1)*(1-_xlfn.XLOOKUP(K330,'Fevereiro 2023 - Valor Real'!A3:A15,'Fevereiro 2023 - Valor Real'!C3:C15,0))+1)),IF(I328="Lay",IF(I329="Lay",((L329/(L329-1)-1)*(1-_xlfn.XLOOKUP(K329,'Fevereiro 2023 - Valor Real'!A3:A15,'Fevereiro 2023 - Valor Real'!C3:C15,0))+1)/(((L329/(L329-1)-1)*(1-_xlfn.XLOOKUP(K329,'Fevereiro 2023 - Valor Real'!A3:A15,'Fevereiro 2023 - Valor Real'!C3:C15,0))+1)+((L328/(L328-1)-1)*(1-_xlfn.XLOOKUP(K328,'Fevereiro 2023 - Valor Real'!A3:A15,'Fevereiro 2023 - Valor Real'!C3:C15,0))+1)),((L329-1)*(1-_xlfn.XLOOKUP(K329,'Fevereiro 2023 - Valor Real'!A3:A15,'Fevereiro 2023 - Valor Real'!C3:C15,0))+1)/(((L329-1)*(1-_xlfn.XLOOKUP(K329,'Fevereiro 2023 - Valor Real'!A3:A15,'Fevereiro 2023 - Valor Real'!C3:C15,0))+1)+((L328/(L328-1)-1)*(1-_xlfn.XLOOKUP(K328,'Fevereiro 2023 - Valor Real'!A3:A15,'Fevereiro 2023 - Valor Real'!C3:C15,0))+1))),IF(I329="Lay",(((L329/(L329-1)-1)*(1-_xlfn.XLOOKUP(K329,'Fevereiro 2023 - Valor Real'!A3:A15,'Fevereiro 2023 - Valor Real'!C3:C15,0))+1))/(((L328-1)*(1-_xlfn.XLOOKUP(K328,'Fevereiro 2023 - Valor Real'!A3:A15,'Fevereiro 2023 - Valor Real'!C3:C15,0))+1)+((L329/(L329-1)-1)*(1-_xlfn.XLOOKUP(K329,'Fevereiro 2023 - Valor Real'!A3:A15,'Fevereiro 2023 - Valor Real'!C3:C15,0))+1)),((L329-1)*(1-_xlfn.XLOOKUP(K329,'Fevereiro 2023 - Valor Real'!A3:A15,'Fevereiro 2023 - Valor Real'!C3:C15,0))+1)/(((L329-1)*(1-_xlfn.XLOOKUP(K329,'Fevereiro 2023 - Valor Real'!A3:A15,'Fevereiro 2023 - Valor Real'!C3:C15,0))+1)+((L328-1)*(1-_xlfn.XLOOKUP(K328,'Fevereiro 2023 - Valor Real'!A3:A15,'Fevereiro 2023 - Valor Real'!C3:C15,0))+1))))))</f>
        <v>0.48086124401913871</v>
      </c>
      <c r="AF328" s="66">
        <f t="shared" si="641"/>
        <v>0</v>
      </c>
      <c r="AG328" s="67">
        <f t="shared" si="641"/>
        <v>0</v>
      </c>
      <c r="AH328" s="67">
        <f t="shared" si="641"/>
        <v>0</v>
      </c>
      <c r="AI328" s="67">
        <f t="shared" si="641"/>
        <v>0</v>
      </c>
      <c r="AJ328" s="67">
        <f t="shared" si="641"/>
        <v>0</v>
      </c>
      <c r="AK328" s="67">
        <f t="shared" si="641"/>
        <v>0</v>
      </c>
      <c r="AL328" s="67">
        <f t="shared" si="641"/>
        <v>0</v>
      </c>
      <c r="AM328" s="67">
        <f t="shared" si="641"/>
        <v>-11.99</v>
      </c>
      <c r="AN328" s="67">
        <f t="shared" si="641"/>
        <v>0</v>
      </c>
      <c r="AO328" s="67">
        <f t="shared" si="641"/>
        <v>0</v>
      </c>
      <c r="AP328" s="67">
        <f t="shared" si="641"/>
        <v>0</v>
      </c>
      <c r="AQ328" s="67">
        <f t="shared" si="641"/>
        <v>0</v>
      </c>
      <c r="AR328" s="68">
        <f t="shared" si="641"/>
        <v>0</v>
      </c>
      <c r="AS328" s="66">
        <f t="shared" ref="AS328:BE328" si="678">IF(AND($B328=" ",$K328=AS$3),$O328,0)</f>
        <v>0</v>
      </c>
      <c r="AT328" s="67">
        <f t="shared" si="678"/>
        <v>0</v>
      </c>
      <c r="AU328" s="67">
        <f t="shared" si="678"/>
        <v>0</v>
      </c>
      <c r="AV328" s="67">
        <f t="shared" si="678"/>
        <v>0</v>
      </c>
      <c r="AW328" s="67">
        <f t="shared" si="678"/>
        <v>0</v>
      </c>
      <c r="AX328" s="67">
        <f t="shared" si="678"/>
        <v>0</v>
      </c>
      <c r="AY328" s="69">
        <f t="shared" si="678"/>
        <v>0</v>
      </c>
      <c r="AZ328" s="70">
        <f t="shared" si="678"/>
        <v>0</v>
      </c>
      <c r="BA328" s="70">
        <f t="shared" si="678"/>
        <v>0</v>
      </c>
      <c r="BB328" s="70">
        <f t="shared" si="678"/>
        <v>0</v>
      </c>
      <c r="BC328" s="71">
        <f t="shared" si="678"/>
        <v>0</v>
      </c>
      <c r="BD328" s="67">
        <f t="shared" si="678"/>
        <v>0</v>
      </c>
      <c r="BE328" s="68">
        <f t="shared" si="678"/>
        <v>0</v>
      </c>
      <c r="BF328" s="66">
        <f t="shared" si="643"/>
        <v>0</v>
      </c>
      <c r="BG328" s="67">
        <f t="shared" si="643"/>
        <v>0</v>
      </c>
      <c r="BH328" s="67">
        <f t="shared" si="643"/>
        <v>0</v>
      </c>
      <c r="BI328" s="67">
        <f t="shared" si="643"/>
        <v>0</v>
      </c>
      <c r="BJ328" s="67">
        <f t="shared" si="643"/>
        <v>0</v>
      </c>
      <c r="BK328" s="67">
        <f t="shared" si="643"/>
        <v>0</v>
      </c>
      <c r="BL328" s="67">
        <f t="shared" si="643"/>
        <v>0</v>
      </c>
      <c r="BM328" s="69">
        <f t="shared" si="643"/>
        <v>11.99</v>
      </c>
      <c r="BN328" s="70">
        <f t="shared" si="643"/>
        <v>0</v>
      </c>
      <c r="BO328" s="70">
        <f t="shared" si="643"/>
        <v>0</v>
      </c>
      <c r="BP328" s="70">
        <f t="shared" si="643"/>
        <v>0</v>
      </c>
      <c r="BQ328" s="71">
        <f t="shared" si="643"/>
        <v>0</v>
      </c>
      <c r="BR328" s="68">
        <f t="shared" si="643"/>
        <v>0</v>
      </c>
      <c r="BS328" s="490">
        <f>IF($B328="LOSS",IF(AND($K328=BS$3,$C328="L"),-$O328,0)+IF(AND($K329=BS$3,$C329="L"),-$O329,0)+IF(AND($K330=BS$3,$C330="L"),-$O330,0),IF(OR(AND($K328=BS$3,OR($C328="W",$C328="1/2W")),AND($K329=BS$3,OR($C329="W",$C329="1/2W")),AND($K330=BS$3,OR($C330="W",$C330="1/2W"))),$S328,0))</f>
        <v>0</v>
      </c>
      <c r="BT328" s="498">
        <f>IF($B328="LOSS",IF(AND($K328=BT$3,$C328="L"),-$O328,0)+IF(AND($K329=BT$3,$C329="L"),-$O329,0)+IF(AND($K329=BT$3,$C330="L"),-$O330,0),IF(OR(AND($K329=BT$3,OR($C328="W",$C328="1/2W")),AND($K329=BT$3,OR($C329="W",$C329="1/2W")),AND($K329=BT$3,OR($C330="W",$C330="1/2W"))),$S328,0))</f>
        <v>0</v>
      </c>
      <c r="BU328" s="488">
        <f>IF($B328="LOSS",IF(AND($K328=BU$3,$C328="L"),-$O328,0)+IF(AND($K329=BU$3,$C329="L"),-$O329,0)+IF(AND($K329=BU$3,$C330="L"),-$O330,0),IF(OR(AND($K329=BU$3,OR($C328="W",$C328="1/2W")),AND($K329=BU$3,OR($C329="W",$C329="1/2W")),AND($K329=BU$3,OR($C330="W",$C330="1/2W"))),$S328,0))</f>
        <v>0</v>
      </c>
      <c r="BV328" s="488">
        <f t="shared" ref="BV328:CE328" si="679">IF($B328="LOSS",IF(AND($K328=BV$3,$C328="L"),-$O328,0)+IF(AND($K329=BV$3,$C329="L"),-$O329,0)+IF(AND($K330=BV$3,$C330="L"),-$O330,0),IF(OR(AND($K328=BV$3,OR($C328="W",$C328="1/2W")),AND($K329=BV$3,OR($C329="W",$C329="1/2W")),AND($K330=BV$3,OR($C330="W",$C330="1/2W"))),$S328,0))</f>
        <v>0</v>
      </c>
      <c r="BW328" s="488">
        <f t="shared" si="679"/>
        <v>0</v>
      </c>
      <c r="BX328" s="488">
        <f t="shared" si="679"/>
        <v>0</v>
      </c>
      <c r="BY328" s="488">
        <f t="shared" si="679"/>
        <v>0</v>
      </c>
      <c r="BZ328" s="488">
        <f t="shared" si="679"/>
        <v>0</v>
      </c>
      <c r="CA328" s="488">
        <f t="shared" si="679"/>
        <v>0</v>
      </c>
      <c r="CB328" s="488">
        <f t="shared" si="679"/>
        <v>0</v>
      </c>
      <c r="CC328" s="488">
        <f t="shared" si="679"/>
        <v>0</v>
      </c>
      <c r="CD328" s="500">
        <f t="shared" si="679"/>
        <v>1.08</v>
      </c>
      <c r="CE328" s="504">
        <f t="shared" si="679"/>
        <v>0</v>
      </c>
      <c r="CF328" s="160">
        <f t="shared" si="644"/>
        <v>0</v>
      </c>
      <c r="CG328" s="161">
        <f t="shared" si="645"/>
        <v>0</v>
      </c>
      <c r="CH328" s="161">
        <f t="shared" si="646"/>
        <v>0</v>
      </c>
      <c r="CI328" s="161">
        <f t="shared" si="647"/>
        <v>0</v>
      </c>
      <c r="CJ328" s="161">
        <f t="shared" si="648"/>
        <v>0</v>
      </c>
      <c r="CK328" s="161">
        <f t="shared" si="649"/>
        <v>0</v>
      </c>
      <c r="CL328" s="161">
        <f t="shared" si="650"/>
        <v>0</v>
      </c>
      <c r="CM328" s="161">
        <f t="shared" si="651"/>
        <v>0</v>
      </c>
      <c r="CN328" s="161">
        <f t="shared" si="652"/>
        <v>0</v>
      </c>
      <c r="CO328" s="161">
        <f t="shared" si="653"/>
        <v>0</v>
      </c>
      <c r="CP328" s="161">
        <f t="shared" si="654"/>
        <v>0</v>
      </c>
      <c r="CQ328" s="161">
        <f t="shared" si="655"/>
        <v>0</v>
      </c>
      <c r="CR328" s="161">
        <f t="shared" si="656"/>
        <v>0</v>
      </c>
      <c r="CS328" s="161">
        <f t="shared" si="657"/>
        <v>0</v>
      </c>
      <c r="CT328" s="75">
        <f t="shared" si="658"/>
        <v>0</v>
      </c>
      <c r="CU328" s="76">
        <f t="shared" si="659"/>
        <v>1</v>
      </c>
      <c r="CV328" s="76">
        <f t="shared" si="660"/>
        <v>0</v>
      </c>
      <c r="CW328" s="76">
        <f t="shared" si="661"/>
        <v>0</v>
      </c>
      <c r="CX328" s="76">
        <f t="shared" si="662"/>
        <v>0</v>
      </c>
      <c r="CY328" s="76">
        <f t="shared" si="663"/>
        <v>0</v>
      </c>
      <c r="CZ328" s="76">
        <f t="shared" si="664"/>
        <v>0</v>
      </c>
      <c r="DA328" s="76">
        <f t="shared" si="665"/>
        <v>0</v>
      </c>
      <c r="DB328" s="76">
        <f t="shared" si="666"/>
        <v>0</v>
      </c>
      <c r="DC328" s="76">
        <f t="shared" si="667"/>
        <v>0</v>
      </c>
      <c r="DD328" s="76">
        <f t="shared" si="668"/>
        <v>0</v>
      </c>
      <c r="DE328" s="77">
        <f t="shared" si="669"/>
        <v>0</v>
      </c>
      <c r="DF328" s="73">
        <f t="shared" si="672"/>
        <v>24</v>
      </c>
      <c r="DG328" s="67">
        <f t="shared" si="673"/>
        <v>31.309999999999995</v>
      </c>
      <c r="DH328" s="76">
        <f t="shared" si="674"/>
        <v>9</v>
      </c>
      <c r="DI328" s="67">
        <f t="shared" si="675"/>
        <v>36.849999999999994</v>
      </c>
      <c r="DJ328" s="202" t="str">
        <f>IF($D328="","",$D328)</f>
        <v>9</v>
      </c>
      <c r="DK328" s="492">
        <f>IF(AND($B328=" ",$D328&lt;&gt;""),1,0)</f>
        <v>0</v>
      </c>
    </row>
    <row r="329" spans="1:115" ht="14.5" customHeight="1" x14ac:dyDescent="0.2">
      <c r="A329" s="389"/>
      <c r="B329" s="456"/>
      <c r="C329" s="53" t="s">
        <v>54</v>
      </c>
      <c r="D329" s="374"/>
      <c r="E329" s="386"/>
      <c r="F329" s="377"/>
      <c r="G329" s="508"/>
      <c r="H329" s="476"/>
      <c r="I329" s="182" t="s">
        <v>66</v>
      </c>
      <c r="J329" s="56">
        <v>34.5</v>
      </c>
      <c r="K329" s="57" t="s">
        <v>47</v>
      </c>
      <c r="L329" s="164">
        <v>2.0099999999999998</v>
      </c>
      <c r="M329" s="165">
        <v>12.94</v>
      </c>
      <c r="N329" s="406"/>
      <c r="O329" s="60">
        <f>IF(OR(AE328="",AE329=""),"",ROUND(IF(L330&gt;0,IF(M329&gt;0,M329,IF(M328&gt;0,IF(N328=TRUE,ROUND((M328*AE329)/AE328,0),(M328*AE329)/AE328),IF(M329&gt;0,ROUND(M329,IF(N328=0,2,IF(N328=0.1,1,0))),IF(M330&gt;0,ROUND(O330*AE329/AE330,IF(N328=0,2,IF(N328=0.1,1,0))),0)))),IF(M329&gt;0,M329,ROUND((M328*AE329)/AE328,IF(N328=0,2,IF(N328=0.1,1,0))))),2))</f>
        <v>12.94</v>
      </c>
      <c r="P329" s="61">
        <f>IF(OR(L329="",O329=""),"",IF($C329="1/2W",O329/2+O329/2*L329,IF($C329="1/2L",O329/2,IF(I329="Lay",((O329*(L329/(L329-1)))-O329)*(1-_xlfn.XLOOKUP(K329,'Fevereiro 2023 - Valor Real'!A3:A15,'Fevereiro 2023 - Valor Real'!C3:C15,0))+O329,(O329*L329-O329)*(1-_xlfn.XLOOKUP(K329,'Fevereiro 2023 - Valor Real'!A3:A15,'Fevereiro 2023 - Valor Real'!C3:C15,0))+O329))))</f>
        <v>26.009399999999996</v>
      </c>
      <c r="Q329" s="166">
        <f>IF(K329="","",IF(_xlfn.XLOOKUP(K329,K$10:K320,$DJ$10:DJ320,0,,-1)=DJ329,_xlfn.XLOOKUP(K329,K$10:K320,Q$10:Q320,1,,-1)+1,1))</f>
        <v>5</v>
      </c>
      <c r="R329" s="167">
        <f>IF(K329="","",_xlfn.XLOOKUP(K329,K$10:K320,R$10:R320,0,,-1)+IF($C329=" ",1,0))</f>
        <v>0</v>
      </c>
      <c r="S329" s="403"/>
      <c r="T329" s="380"/>
      <c r="U329" s="380"/>
      <c r="V329" s="481"/>
      <c r="W329" s="380"/>
      <c r="X329" s="452"/>
      <c r="Y329" s="383"/>
      <c r="Z329" s="384"/>
      <c r="AA329" s="384"/>
      <c r="AB329" s="384"/>
      <c r="AC329" s="384"/>
      <c r="AD329" s="64"/>
      <c r="AE329" s="65">
        <f>IF(L329="","",IF(L330&gt;0,(SUM(((L328-1)*(1-_xlfn.XLOOKUP(K328,'Fevereiro 2023 - Valor Real'!A3:A15,'Fevereiro 2023 - Valor Real'!C3:C15,0))+1),((L329-1)*(1-_xlfn.XLOOKUP(K329,'Fevereiro 2023 - Valor Real'!A3:A15,'Fevereiro 2023 - Valor Real'!C3:C15,0))+1),((L330-1)*(1-_xlfn.XLOOKUP(K330,'Fevereiro 2023 - Valor Real'!A3:A15,'Fevereiro 2023 - Valor Real'!C3:C15,0))+1))/((L329-1)*(1-_xlfn.XLOOKUP(K329,'Fevereiro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Real'!C3:C15,0))+1))/((L328-1)*(1-_xlfn.XLOOKUP(K328,'Fevereiro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Real'!C3:C15,0))+1))/((L329-1)*(1-_xlfn.XLOOKUP(K329,'Fevereiro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Real'!C3:C15,0))+1))/((L330-1)*(1-_xlfn.XLOOKUP(K330,'Fevereiro 2023 - Valor Real'!A3:A15,'Fevereiro 2023 - Valor Real'!C3:C15,0))+1)),IF(I329="Lay",IF(I328="Lay",((L328/(L328-1)-1)*(1-_xlfn.XLOOKUP(K328,'Fevereiro 2023 - Valor Real'!A3:A15,'Fevereiro 2023 - Valor Real'!C3:C15,0))+1)/(((L328/(L328-1)-1)*(1-_xlfn.XLOOKUP(K328,'Fevereiro 2023 - Valor Real'!A3:A15,'Fevereiro 2023 - Valor Real'!C3:C15,0))+1)+((L329/(L329-1)-1)*(1-_xlfn.XLOOKUP(K329,'Fevereiro 2023 - Valor Real'!A3:A15,'Fevereiro 2023 - Valor Real'!C3:C15,0))+1)),((L328-1)*(1-_xlfn.XLOOKUP(K328,'Fevereiro 2023 - Valor Real'!A3:A15,'Fevereiro 2023 - Valor Real'!C3:C15,0))+1)/(((L328-1)*(1-_xlfn.XLOOKUP(K328,'Fevereiro 2023 - Valor Real'!A3:A15,'Fevereiro 2023 - Valor Real'!C3:C15,0))+1)+((L329/(L329-1)-1)*(1-_xlfn.XLOOKUP(K329,'Fevereiro 2023 - Valor Real'!A3:A15,'Fevereiro 2023 - Valor Real'!C3:C15,0))+1))),IF(I328="Lay",((L328/(L328-1)-1)*(1-_xlfn.XLOOKUP(K328,'Fevereiro 2023 - Valor Real'!A3:A15,'Fevereiro 2023 - Valor Real'!C3:C15,0))+1)/((((L328/(L328-1)-1)*(1-_xlfn.XLOOKUP(K328,'Fevereiro 2023 - Valor Real'!A3:A15,'Fevereiro 2023 - Valor Real'!C3:C15,0))+1))+((L329-1)*(1-_xlfn.XLOOKUP(K329,'Fevereiro 2023 - Valor Real'!A3:A15,'Fevereiro 2023 - Valor Real'!C3:C15,0))+1)),((L328-1)*(1-_xlfn.XLOOKUP(K328,'Fevereiro 2023 - Valor Real'!A3:A15,'Fevereiro 2023 - Valor Real'!C3:C15,0))+1)/(((L328-1)*(1-_xlfn.XLOOKUP(K328,'Fevereiro 2023 - Valor Real'!A3:A15,'Fevereiro 2023 - Valor Real'!C3:C15,0))+1)+((L329-1)*(1-_xlfn.XLOOKUP(K329,'Fevereiro 2023 - Valor Real'!A3:A15,'Fevereiro 2023 - Valor Real'!C3:C15,0))+1))))))</f>
        <v>0.51913875598086123</v>
      </c>
      <c r="AF329" s="66">
        <f t="shared" si="641"/>
        <v>0</v>
      </c>
      <c r="AG329" s="67">
        <f t="shared" si="641"/>
        <v>0</v>
      </c>
      <c r="AH329" s="67">
        <f t="shared" si="641"/>
        <v>0</v>
      </c>
      <c r="AI329" s="67">
        <f t="shared" si="641"/>
        <v>0</v>
      </c>
      <c r="AJ329" s="67">
        <f t="shared" si="641"/>
        <v>0</v>
      </c>
      <c r="AK329" s="67">
        <f t="shared" si="641"/>
        <v>0</v>
      </c>
      <c r="AL329" s="67">
        <f t="shared" si="641"/>
        <v>0</v>
      </c>
      <c r="AM329" s="67">
        <f t="shared" si="641"/>
        <v>0</v>
      </c>
      <c r="AN329" s="67">
        <f t="shared" si="641"/>
        <v>0</v>
      </c>
      <c r="AO329" s="67">
        <f t="shared" si="641"/>
        <v>0</v>
      </c>
      <c r="AP329" s="67">
        <f t="shared" si="641"/>
        <v>0</v>
      </c>
      <c r="AQ329" s="67">
        <f t="shared" si="641"/>
        <v>13.07</v>
      </c>
      <c r="AR329" s="68">
        <f t="shared" si="641"/>
        <v>0</v>
      </c>
      <c r="AS329" s="66">
        <f>IF(AND($B328=" ",$K329=AS$3),$O329,0)</f>
        <v>0</v>
      </c>
      <c r="AT329" s="67">
        <f>IF(AND($B328=" ",K329=AT$3),$O329,0)</f>
        <v>0</v>
      </c>
      <c r="AU329" s="67">
        <f t="shared" ref="AU329:BE329" si="680">IF(AND($B328=" ",$K329=AU$3),$O329,0)</f>
        <v>0</v>
      </c>
      <c r="AV329" s="67">
        <f t="shared" si="680"/>
        <v>0</v>
      </c>
      <c r="AW329" s="67">
        <f t="shared" si="680"/>
        <v>0</v>
      </c>
      <c r="AX329" s="67">
        <f t="shared" si="680"/>
        <v>0</v>
      </c>
      <c r="AY329" s="69">
        <f t="shared" si="680"/>
        <v>0</v>
      </c>
      <c r="AZ329" s="70">
        <f t="shared" si="680"/>
        <v>0</v>
      </c>
      <c r="BA329" s="70">
        <f t="shared" si="680"/>
        <v>0</v>
      </c>
      <c r="BB329" s="70">
        <f t="shared" si="680"/>
        <v>0</v>
      </c>
      <c r="BC329" s="71">
        <f t="shared" si="680"/>
        <v>0</v>
      </c>
      <c r="BD329" s="67">
        <f t="shared" si="680"/>
        <v>0</v>
      </c>
      <c r="BE329" s="68">
        <f t="shared" si="680"/>
        <v>0</v>
      </c>
      <c r="BF329" s="66">
        <f t="shared" si="643"/>
        <v>0</v>
      </c>
      <c r="BG329" s="168">
        <f t="shared" si="643"/>
        <v>0</v>
      </c>
      <c r="BH329" s="67">
        <f t="shared" si="643"/>
        <v>0</v>
      </c>
      <c r="BI329" s="67">
        <f t="shared" si="643"/>
        <v>0</v>
      </c>
      <c r="BJ329" s="67">
        <f t="shared" si="643"/>
        <v>0</v>
      </c>
      <c r="BK329" s="67">
        <f t="shared" si="643"/>
        <v>0</v>
      </c>
      <c r="BL329" s="67">
        <f t="shared" si="643"/>
        <v>0</v>
      </c>
      <c r="BM329" s="69">
        <f t="shared" si="643"/>
        <v>0</v>
      </c>
      <c r="BN329" s="70">
        <f t="shared" si="643"/>
        <v>0</v>
      </c>
      <c r="BO329" s="70">
        <f t="shared" si="643"/>
        <v>0</v>
      </c>
      <c r="BP329" s="70">
        <f t="shared" si="643"/>
        <v>0</v>
      </c>
      <c r="BQ329" s="71">
        <f t="shared" si="643"/>
        <v>12.94</v>
      </c>
      <c r="BR329" s="68">
        <f t="shared" si="643"/>
        <v>0</v>
      </c>
      <c r="BS329" s="491"/>
      <c r="BT329" s="489"/>
      <c r="BU329" s="392"/>
      <c r="BV329" s="489"/>
      <c r="BW329" s="392"/>
      <c r="BX329" s="392"/>
      <c r="BY329" s="392"/>
      <c r="BZ329" s="489"/>
      <c r="CA329" s="392"/>
      <c r="CB329" s="392"/>
      <c r="CC329" s="392"/>
      <c r="CD329" s="401"/>
      <c r="CE329" s="409"/>
      <c r="CF329" s="169">
        <f t="shared" si="644"/>
        <v>0</v>
      </c>
      <c r="CG329" s="170">
        <f t="shared" si="645"/>
        <v>0</v>
      </c>
      <c r="CH329" s="170">
        <f t="shared" si="646"/>
        <v>0</v>
      </c>
      <c r="CI329" s="170">
        <f t="shared" si="647"/>
        <v>0</v>
      </c>
      <c r="CJ329" s="170">
        <f t="shared" si="648"/>
        <v>0</v>
      </c>
      <c r="CK329" s="170">
        <f t="shared" si="649"/>
        <v>0</v>
      </c>
      <c r="CL329" s="170">
        <f t="shared" si="650"/>
        <v>0</v>
      </c>
      <c r="CM329" s="170">
        <f t="shared" si="651"/>
        <v>0</v>
      </c>
      <c r="CN329" s="170">
        <f t="shared" si="652"/>
        <v>0</v>
      </c>
      <c r="CO329" s="170">
        <f t="shared" si="653"/>
        <v>0</v>
      </c>
      <c r="CP329" s="170">
        <f t="shared" si="654"/>
        <v>0</v>
      </c>
      <c r="CQ329" s="170">
        <f t="shared" si="655"/>
        <v>0</v>
      </c>
      <c r="CR329" s="170">
        <f t="shared" si="656"/>
        <v>0</v>
      </c>
      <c r="CS329" s="170">
        <f t="shared" si="657"/>
        <v>0</v>
      </c>
      <c r="CT329" s="75">
        <f t="shared" si="658"/>
        <v>0</v>
      </c>
      <c r="CU329" s="76">
        <f t="shared" si="659"/>
        <v>0</v>
      </c>
      <c r="CV329" s="76">
        <f t="shared" si="660"/>
        <v>0</v>
      </c>
      <c r="CW329" s="76">
        <f t="shared" si="661"/>
        <v>0</v>
      </c>
      <c r="CX329" s="76">
        <f t="shared" si="662"/>
        <v>0</v>
      </c>
      <c r="CY329" s="76">
        <f t="shared" si="663"/>
        <v>0</v>
      </c>
      <c r="CZ329" s="76">
        <f t="shared" si="664"/>
        <v>0</v>
      </c>
      <c r="DA329" s="76">
        <f t="shared" si="665"/>
        <v>0</v>
      </c>
      <c r="DB329" s="76">
        <f t="shared" si="666"/>
        <v>1</v>
      </c>
      <c r="DC329" s="76">
        <f t="shared" si="667"/>
        <v>0</v>
      </c>
      <c r="DD329" s="76">
        <f t="shared" si="668"/>
        <v>0</v>
      </c>
      <c r="DE329" s="77">
        <f t="shared" si="669"/>
        <v>0</v>
      </c>
      <c r="DF329" s="73">
        <f t="shared" si="672"/>
        <v>24</v>
      </c>
      <c r="DG329" s="67">
        <f t="shared" si="673"/>
        <v>31.309999999999995</v>
      </c>
      <c r="DH329" s="76">
        <f t="shared" si="674"/>
        <v>9</v>
      </c>
      <c r="DI329" s="67">
        <f t="shared" si="675"/>
        <v>36.849999999999994</v>
      </c>
      <c r="DJ329" s="202" t="str">
        <f>IF($D328="","",$D328)</f>
        <v>9</v>
      </c>
      <c r="DK329" s="493"/>
    </row>
    <row r="330" spans="1:115" ht="14.5" customHeight="1" x14ac:dyDescent="0.2">
      <c r="A330" s="390"/>
      <c r="B330" s="457"/>
      <c r="C330" s="79" t="s">
        <v>53</v>
      </c>
      <c r="D330" s="375"/>
      <c r="E330" s="387"/>
      <c r="F330" s="378"/>
      <c r="G330" s="508"/>
      <c r="H330" s="477"/>
      <c r="I330" s="171"/>
      <c r="J330" s="172"/>
      <c r="K330" s="81"/>
      <c r="L330" s="173"/>
      <c r="M330" s="174"/>
      <c r="N330" s="407"/>
      <c r="O330" s="86" t="str">
        <f>IF(OR(AE328="",AE329=""),"",IF(L330&gt;0,ROUND(IF(M330&gt;0,M330,IF(M328&gt;0,ROUND((M328*AE330)/AE328,IF(N328=0,2,IF(N328=0.1,1,0))),IF(M329&gt;0,ROUND((M329*AE330)/AE329,IF(N328=0,2,IF(N328=0.1,1,0))),IF(M330&gt;0,M330,0)))),2),""))</f>
        <v/>
      </c>
      <c r="P330" s="87" t="str">
        <f>IF(I329="Lay",O329*(L329/(L329-1))-O329,IF(I328="Lay",O328*(L328/(L328-1))-O328,IF(OR(L330="",O330=""),"",IF($C330="1/2W",O330/2+O330/2*L330,IF($C330="1/2L",O330/2,(O330*L330-O330)*(1-_xlfn.XLOOKUP(K330,'Fevereiro 2023 - Valor Real'!A3:A15,'Fevereiro 2023 - Valor Real'!C3:C15,0))+O330)))))</f>
        <v/>
      </c>
      <c r="Q330" s="54" t="str">
        <f>IF(K330="","",IF(_xlfn.XLOOKUP(K330,K$11:K320,$DJ$11:DJ320,0,,-1)=DJ330,_xlfn.XLOOKUP(K330,K$11:K320,Q$11:Q320,1,,-1)+1,1))</f>
        <v/>
      </c>
      <c r="R330" s="87" t="str">
        <f>IF(K330="","",_xlfn.XLOOKUP(K330,K$11:K320,R$11:R320,0,,-1)+IF($C330=" ",1,0))</f>
        <v/>
      </c>
      <c r="S330" s="404"/>
      <c r="T330" s="378"/>
      <c r="U330" s="378"/>
      <c r="V330" s="404"/>
      <c r="W330" s="378"/>
      <c r="X330" s="453"/>
      <c r="Y330" s="383"/>
      <c r="Z330" s="384"/>
      <c r="AA330" s="384"/>
      <c r="AB330" s="384"/>
      <c r="AC330" s="384"/>
      <c r="AD330" s="90"/>
      <c r="AE330" s="91" t="str">
        <f>IF(L330="","",(SUM(((L328-1)*(1-_xlfn.XLOOKUP(K328,'Fevereiro 2023 - Valor Real'!A3:A15,'Fevereiro 2023 - Valor Real'!C3:C15,0))+1),((L329-1)*(1-_xlfn.XLOOKUP(K329,'Fevereiro 2023 - Valor Real'!A3:A15,'Fevereiro 2023 - Valor Real'!C3:C15,0))+1),((L330-1)*(1-_xlfn.XLOOKUP(K330,'Fevereiro 2023 - Valor Real'!A3:A15,'Fevereiro 2023 - Valor Real'!C3:C15,0))+1))/((L330-1)*(1-_xlfn.XLOOKUP(K330,'Fevereiro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Real'!C3:C15,0))+1))/((L328-1)*(1-_xlfn.XLOOKUP(K328,'Fevereiro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Real'!C3:C15,0))+1))/((L329-1)*(1-_xlfn.XLOOKUP(K329,'Fevereiro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Real'!C3:C15,0))+1))/((L330-1)*(1-_xlfn.XLOOKUP(K330,'Fevereiro 2023 - Valor Real'!A3:A15,'Fevereiro 2023 - Valor Real'!C3:C15,0))+1)))</f>
        <v/>
      </c>
      <c r="AF330" s="66">
        <f t="shared" si="641"/>
        <v>0</v>
      </c>
      <c r="AG330" s="67">
        <f t="shared" si="641"/>
        <v>0</v>
      </c>
      <c r="AH330" s="67">
        <f t="shared" si="641"/>
        <v>0</v>
      </c>
      <c r="AI330" s="67">
        <f t="shared" si="641"/>
        <v>0</v>
      </c>
      <c r="AJ330" s="67">
        <f t="shared" si="641"/>
        <v>0</v>
      </c>
      <c r="AK330" s="67">
        <f t="shared" si="641"/>
        <v>0</v>
      </c>
      <c r="AL330" s="67">
        <f t="shared" si="641"/>
        <v>0</v>
      </c>
      <c r="AM330" s="67">
        <f t="shared" si="641"/>
        <v>0</v>
      </c>
      <c r="AN330" s="67">
        <f t="shared" si="641"/>
        <v>0</v>
      </c>
      <c r="AO330" s="67">
        <f t="shared" si="641"/>
        <v>0</v>
      </c>
      <c r="AP330" s="67">
        <f t="shared" si="641"/>
        <v>0</v>
      </c>
      <c r="AQ330" s="67">
        <f t="shared" si="641"/>
        <v>0</v>
      </c>
      <c r="AR330" s="68">
        <f t="shared" si="641"/>
        <v>0</v>
      </c>
      <c r="AS330" s="66">
        <f>IF(AND($B328=" ",$K330=AS$3),$O330,0)</f>
        <v>0</v>
      </c>
      <c r="AT330" s="67">
        <f>IF(AND($B328=" ",K330=AT$3),$O330,0)</f>
        <v>0</v>
      </c>
      <c r="AU330" s="67">
        <f t="shared" ref="AU330:BE330" si="681">IF(AND($B328=" ",$K330=AU$3),$O330,0)</f>
        <v>0</v>
      </c>
      <c r="AV330" s="67">
        <f t="shared" si="681"/>
        <v>0</v>
      </c>
      <c r="AW330" s="67">
        <f t="shared" si="681"/>
        <v>0</v>
      </c>
      <c r="AX330" s="67">
        <f t="shared" si="681"/>
        <v>0</v>
      </c>
      <c r="AY330" s="69">
        <f t="shared" si="681"/>
        <v>0</v>
      </c>
      <c r="AZ330" s="70">
        <f t="shared" si="681"/>
        <v>0</v>
      </c>
      <c r="BA330" s="70">
        <f t="shared" si="681"/>
        <v>0</v>
      </c>
      <c r="BB330" s="70">
        <f t="shared" si="681"/>
        <v>0</v>
      </c>
      <c r="BC330" s="71">
        <f t="shared" si="681"/>
        <v>0</v>
      </c>
      <c r="BD330" s="67">
        <f t="shared" si="681"/>
        <v>0</v>
      </c>
      <c r="BE330" s="68">
        <f t="shared" si="681"/>
        <v>0</v>
      </c>
      <c r="BF330" s="66">
        <f t="shared" si="643"/>
        <v>0</v>
      </c>
      <c r="BG330" s="168">
        <f t="shared" si="643"/>
        <v>0</v>
      </c>
      <c r="BH330" s="67">
        <f t="shared" si="643"/>
        <v>0</v>
      </c>
      <c r="BI330" s="67">
        <f t="shared" si="643"/>
        <v>0</v>
      </c>
      <c r="BJ330" s="67">
        <f t="shared" si="643"/>
        <v>0</v>
      </c>
      <c r="BK330" s="67">
        <f t="shared" si="643"/>
        <v>0</v>
      </c>
      <c r="BL330" s="67">
        <f t="shared" si="643"/>
        <v>0</v>
      </c>
      <c r="BM330" s="69">
        <f t="shared" si="643"/>
        <v>0</v>
      </c>
      <c r="BN330" s="70">
        <f t="shared" si="643"/>
        <v>0</v>
      </c>
      <c r="BO330" s="70">
        <f t="shared" si="643"/>
        <v>0</v>
      </c>
      <c r="BP330" s="70">
        <f t="shared" si="643"/>
        <v>0</v>
      </c>
      <c r="BQ330" s="71">
        <f t="shared" si="643"/>
        <v>0</v>
      </c>
      <c r="BR330" s="68">
        <f t="shared" si="643"/>
        <v>0</v>
      </c>
      <c r="BS330" s="491"/>
      <c r="BT330" s="489"/>
      <c r="BU330" s="392"/>
      <c r="BV330" s="489"/>
      <c r="BW330" s="392"/>
      <c r="BX330" s="392"/>
      <c r="BY330" s="392"/>
      <c r="BZ330" s="489"/>
      <c r="CA330" s="392"/>
      <c r="CB330" s="392"/>
      <c r="CC330" s="392"/>
      <c r="CD330" s="401"/>
      <c r="CE330" s="409"/>
      <c r="CF330" s="169">
        <f t="shared" si="644"/>
        <v>0</v>
      </c>
      <c r="CG330" s="170">
        <f t="shared" si="645"/>
        <v>0</v>
      </c>
      <c r="CH330" s="170">
        <f t="shared" si="646"/>
        <v>0</v>
      </c>
      <c r="CI330" s="170">
        <f t="shared" si="647"/>
        <v>0</v>
      </c>
      <c r="CJ330" s="170">
        <f t="shared" si="648"/>
        <v>0</v>
      </c>
      <c r="CK330" s="170">
        <f t="shared" si="649"/>
        <v>0</v>
      </c>
      <c r="CL330" s="170">
        <f t="shared" si="650"/>
        <v>0</v>
      </c>
      <c r="CM330" s="170">
        <f t="shared" si="651"/>
        <v>0</v>
      </c>
      <c r="CN330" s="170">
        <f t="shared" si="652"/>
        <v>0</v>
      </c>
      <c r="CO330" s="170">
        <f t="shared" si="653"/>
        <v>0</v>
      </c>
      <c r="CP330" s="170">
        <f t="shared" si="654"/>
        <v>0</v>
      </c>
      <c r="CQ330" s="170">
        <f t="shared" si="655"/>
        <v>0</v>
      </c>
      <c r="CR330" s="170">
        <f t="shared" si="656"/>
        <v>0</v>
      </c>
      <c r="CS330" s="170">
        <f t="shared" si="657"/>
        <v>0</v>
      </c>
      <c r="CT330" s="75">
        <f t="shared" si="658"/>
        <v>0</v>
      </c>
      <c r="CU330" s="76">
        <f t="shared" si="659"/>
        <v>0</v>
      </c>
      <c r="CV330" s="76">
        <f t="shared" si="660"/>
        <v>0</v>
      </c>
      <c r="CW330" s="76">
        <f t="shared" si="661"/>
        <v>0</v>
      </c>
      <c r="CX330" s="76">
        <f t="shared" si="662"/>
        <v>0</v>
      </c>
      <c r="CY330" s="76">
        <f t="shared" si="663"/>
        <v>0</v>
      </c>
      <c r="CZ330" s="76">
        <f t="shared" si="664"/>
        <v>0</v>
      </c>
      <c r="DA330" s="76">
        <f t="shared" si="665"/>
        <v>0</v>
      </c>
      <c r="DB330" s="76">
        <f t="shared" si="666"/>
        <v>0</v>
      </c>
      <c r="DC330" s="76">
        <f t="shared" si="667"/>
        <v>0</v>
      </c>
      <c r="DD330" s="76">
        <f t="shared" si="668"/>
        <v>0</v>
      </c>
      <c r="DE330" s="77">
        <f t="shared" si="669"/>
        <v>0</v>
      </c>
      <c r="DF330" s="73">
        <f t="shared" si="672"/>
        <v>24</v>
      </c>
      <c r="DG330" s="67">
        <f t="shared" si="673"/>
        <v>31.309999999999995</v>
      </c>
      <c r="DH330" s="76">
        <f t="shared" si="674"/>
        <v>9</v>
      </c>
      <c r="DI330" s="67">
        <f t="shared" si="675"/>
        <v>36.849999999999994</v>
      </c>
      <c r="DJ330" s="202" t="str">
        <f>IF($D328="","",$D328)</f>
        <v>9</v>
      </c>
      <c r="DK330" s="493"/>
    </row>
    <row r="331" spans="1:115" ht="14.5" customHeight="1" x14ac:dyDescent="0.2">
      <c r="A331" s="459">
        <f>$A328+1</f>
        <v>110</v>
      </c>
      <c r="B331" s="507" t="str">
        <f>IF(OR(C331="W",C332="W",C333="W",C331="1/2W",C332="1/2W",C333="1/2W",C331="1/2L",C332="1/2L",C333="1/2L"),"OK",IF(OR(C331="L",C332="L",C333="L"),"LOSS",IF(OR(C331="X",C332="X",C333="X"),"Anulado"," ")))</f>
        <v>Anulado</v>
      </c>
      <c r="C331" s="93" t="s">
        <v>49</v>
      </c>
      <c r="D331" s="468" t="str">
        <f>IF(G331="","",$D328)</f>
        <v>9</v>
      </c>
      <c r="E331" s="485" t="str">
        <f>IF(G331=""," ","– "&amp;COUNTIF(D$4:D333,$D331))</f>
        <v>– 18</v>
      </c>
      <c r="F331" s="509" t="str">
        <f ca="1">IF(G331="","",IF(OR(AND($C331&lt;&gt;" ",$C332=" "),AND($C332&lt;&gt;" ",$C331=" "),AND(L333&gt;0,OR(AND($C333&lt;&gt;" ",OR($C331=" ",$C332=" ")),AND($C333=" ",OR($C331&lt;&gt;" ",$C332&lt;&gt;" "))))),IF(SUM(F$4:F330)=0,1,LARGE(F$4:F330,1)+1),IF(MONTH(G331)=MONTH(TODAY()),IF(AND(DAY(G331)&lt;DAY(TODAY()),$B331=" "),IF(SUM(F$4:F330)=0,1,LARGE(F$4:F330,1)+1),IF($B331=" ",IF(AND(DAY(G331)=DAY(TODAY()),HOUR(G331)&lt;=HOUR(NOW())+1),IF(AND(HOUR(G331)+2&lt;=HOUR(NOW()),DAY(G331)&lt;=DAY(TODAY()),MINUTE(G331)&lt;=MINUTE(NOW())),IF(SUM(F$4:F330)=0,1,LARGE(F$4:F330,1)+1),IF(OR(MINUTE(G331)&lt;=MINUTE(NOW()),HOUR(G331)&lt;=HOUR(NOW())),"!!!","")),""),"")),"")))</f>
        <v/>
      </c>
      <c r="G331" s="482">
        <v>44995.645833333336</v>
      </c>
      <c r="H331" s="475" t="s">
        <v>152</v>
      </c>
      <c r="I331" s="94" t="s">
        <v>51</v>
      </c>
      <c r="J331" s="95">
        <v>6.5</v>
      </c>
      <c r="K331" s="96" t="s">
        <v>47</v>
      </c>
      <c r="L331" s="97">
        <v>2.75</v>
      </c>
      <c r="M331" s="98"/>
      <c r="N331" s="478">
        <v>0.1</v>
      </c>
      <c r="O331" s="99">
        <f>IF(OR(AE331="",AE332=""),"",ROUND(IF(L333&gt;0,IF(M331&gt;0,M331,IF(M332&gt;0,ROUND((M332*AE331)/AE332,IF(N331=0,2,IF(N331=0.1,1,0))),ROUND((M333*AE331)/AE333,IF(N331=0,2,IF(N331=0.1,1,0))))),IF(M331&gt;0,M331,ROUND((M332*AE331)/AE332,IF(N331=0,2,IF(N331=0.1,1,0))))),2))</f>
        <v>8</v>
      </c>
      <c r="P331" s="100">
        <f>IF(OR(L331="",O331=""),"",IF($C331="1/2W",O331/2+O331/2*L331,IF($C331="1/2L",O331/2,IF(I331="Lay",(O331*(L331/(L331-1))-O331)*(1-_xlfn.XLOOKUP(K331,'Fevereiro 2023 - Valor Real'!A3:A15,'Fevereiro 2023 - Valor Real'!C3:C15,0))+O331,(O331*L331-O331)*(1-_xlfn.XLOOKUP(K331,'Fevereiro 2023 - Valor Real'!A3:A15,'Fevereiro 2023 - Valor Real'!C3:C15,0))+O331))))</f>
        <v>22</v>
      </c>
      <c r="Q331" s="101">
        <f>IF(K331="","",IF(_xlfn.XLOOKUP(K331,K$4:K330,$DJ$4:DJ330,0,,-1)=DJ331,_xlfn.XLOOKUP(K331,K$4:K330,Q$4:Q330,1,,-1)+1,1))</f>
        <v>6</v>
      </c>
      <c r="R331" s="102">
        <f>IF(K331="","",_xlfn.XLOOKUP(K331,K$4:K330,R$4:R330,0,,-1)+IF($C331=" ",1,0))</f>
        <v>0</v>
      </c>
      <c r="S331" s="474">
        <f>IF($B331="Anulado",0,ROUND(IF(OR($B331="LOSS",$B331="OK"),IF(OR($C331="W",$C331="1/2W",$C331="1/2L"),P331-O331,IF($C331="L",-O331,0))+IF(OR($C332="W",$C332="1/2W",$C332="1/2L"),P332-O332,IF($C332="L",-O332,0))+IF(OR($C333="W",$C333="1/2W",$C333="1/2L"),P333-O333,IF($C333="L",-O333,0)),IF(AND(OR($C331="W",$C331="1/2W",$C331="1/2L"),C332="W"),P331+P332-SUM(O331:O333)+_xlfn.XLOOKUP("X",C331:C333,O331:O333,0),IF(AND(C331=TRUE,C333="W"),P331+P333-SUM(O331:O333),IF(AND(C332="W",C333="W"),P332+P333-SUM(O331:O333)+_xlfn.XLOOKUP("X",C331:C333,O331:O333,0),IF(L333&gt;0,IF(OR($C331="W",$C331="1/2W",$C331="1/2L"),P331-SUM(O331:O333)+_xlfn.XLOOKUP("X",C331:C333,O331:O333,0),IF(OR($C331="W",$C331="1/2W",$C331="1/2L"),P332-SUM(O331:O333)+_xlfn.XLOOKUP("X",C331:C333,O331:O333,0),IF(OR($C331="W",$C331="1/2W",$C331="1/2L"),P333-SUM(O331:O333)+_xlfn.XLOOKUP("X",C331:C333,O331:O333,0),IF(SUM(P331:P333)/3-SUM(O331:O333)+_xlfn.XLOOKUP("X",C331:C333,O331:O333,0)&gt;0,SUM(P331:P333)/3-SUM(O331:O333)+_xlfn.XLOOKUP("X",C331:C333,O331:O333,0),LARGE(P331:P333,1)-SUM(O331:O333))))),IF(OR($C331="W",$C331="1/2W",$C331="1/2L"),P331-SUM(O331:O332)+_xlfn.XLOOKUP("X",C331:C333,O331:O333,0),IF(OR($C331="W",$C331="1/2W",$C331="1/2L"),P332-SUM(O331:O332)+_xlfn.XLOOKUP("X",C331:C333,O331:O333,0),SUM(P331:P332)/2-SUM(O331:O332)+_xlfn.XLOOKUP("X",C331:C333,O331:O333,0)))))))),2))</f>
        <v>0</v>
      </c>
      <c r="T331" s="458">
        <f>IF(S331=0,0,S331/SUM(O331:O333))</f>
        <v>0</v>
      </c>
      <c r="U331" s="470">
        <f>IF($D331=$D328,IF(OR($B331="LOSS",$B331="OK",$B331="Anulada"),S331,0)+U328,IF(OR($B331="LOSS",$B331="OK",$B331="Anulada"),S331,0))</f>
        <v>47.02</v>
      </c>
      <c r="V331" s="470">
        <f>IF($D331="",0,IF($D331=$D328,IF($B331=" ",IF(I333="",IF(OR(AND(I331="DNB1",I332="DNB2"),AND(OR(I331="DNB1",I331="DNB2"),J332=0),AND(OR(I332="DNB1",I332="DNB2"),J331=0),AND(I331="DNB2",I332="DNB1"),AND(IF(J331=0,(J331+1)/ROUND(J331+1,0),J331/ROUND(J331,0))=1,IF(J332=0,(J332+1)/ROUND(IF(J332="",0,J332)+1,0),IF(J332="",0,J332)/ROUND(IF(J332="",1,J332),0))=1,OR(J331&lt;&gt;""),J332&lt;&gt;"")),0,IF(S331&lt;0,IF(I333="",SMALL(P331:P332,1)-SUM(O331:O332),0),SMALL(P331:P332,1)-SUM(O331:O332))),IF(S331&lt;0,IF(I333="",SMALL(P331:P333,1)-SUM(O331:O333),0),LARGE(P331:P333,1)-SUM(O331:O333))),S331)+V328,IF(I333="",IF(OR(AND(I331="DNB1",I332="DNB2"),AND(OR(I331="DNB1",I331="DNB2"),J332=0),AND(OR(I332="DNB1",I332="DNB2"),J331=0),AND(I331="DNB2",I332="DNB1"),AND(IF(J331=0,(J331+1)/ROUND(J331+1,0),J331/ROUND(J331,0))=1,IF(J332=0,(IF(J332="",0,J332)+1)/ROUND(IF(J332="",0,J332)+1,0),IF(J332="",0,J332)/ROUND(IF(J332="",0,J332)+1,0))=1,OR(J331&lt;&gt;""),J332&lt;&gt;"")),0,IF(S331&lt;0,IF(I333="",SMALL(P331:P332,1)-SUM(O331:O332),0),SMALL(P331:P333,1)-SUM(O331:O333))),IF(S331&lt;0,IF(I333="",SMALL(P331:P333,1)-SUM(O331:O333),0),LARGE(P331:P333,1)-SUM(O331:O333)))))</f>
        <v>47.020400000000002</v>
      </c>
      <c r="W331" s="470">
        <f>IF($D331=$D328,IF(S331&lt;0,IF(I333="",S331,0),S331)+W328,S331)</f>
        <v>47.02</v>
      </c>
      <c r="X331" s="480" t="str">
        <f>IF(OR(SUM(R331:R333)=0,V331=W331),ROUND(IF(W331=0,0,W331/Y331)*100,2)&amp;"%",ROUND(IF(V331=0,0,V331/Y331)*100,2)&amp;"% a "&amp;ROUND(IF(W331=0,0,W331/Y331)*100,2)&amp;"%")</f>
        <v>5,28%</v>
      </c>
      <c r="Y331" s="471">
        <f>IF($D331=$D328,Y328+SUM(O331:O333),SUM(O331:O333))</f>
        <v>890.63</v>
      </c>
      <c r="Z331" s="470">
        <f>IF($B331=" ",SUM(O331:O333),0)+Z328</f>
        <v>0</v>
      </c>
      <c r="AA331" s="470">
        <f>IF(G331="","",IF($B331="Anulado",LARGE(P331:P333,1)-SUM(O331:O333)+AA328,AA328))</f>
        <v>5.9161999999999946</v>
      </c>
      <c r="AB331" s="470">
        <f>IF($D331="","",AB328+S331)</f>
        <v>487.88000000000005</v>
      </c>
      <c r="AC331" s="472">
        <f ca="1">IF($D331="","",IF($B331=" ",IF(DAY(G331)=DAY(TODAY()),1+AC328,0+AC328),0+AC328))</f>
        <v>0</v>
      </c>
      <c r="AD331" s="103">
        <f>(((L332/(L332-1)-1)*(1-_xlfn.XLOOKUP(K332,'Fevereiro 2023 - Valor Real'!A3:A15,'Fevereiro 2023 - Valor Real'!C3:C15,0))+1))/(((L331-1)*(1-_xlfn.XLOOKUP(K331,'Fevereiro 2023 - Valor Real'!A3:A15,'Fevereiro 2023 - Valor Real'!C3:C15,0))+1)+((L332/(L332-1)-1)*(1-_xlfn.XLOOKUP(K332,'Fevereiro 2023 - Valor Real'!A3:A15,'Fevereiro 2023 - Valor Real'!C3:C15,0))+1))</f>
        <v>0.41518987341772157</v>
      </c>
      <c r="AE331" s="104">
        <f>IF(L331="","",IF(L333&gt;0,(SUM(((L331-1)*(1-_xlfn.XLOOKUP(K331,'Fevereiro 2023 - Valor Real'!A3:A15,'Fevereiro 2023 - Valor Real'!C3:C15,0))+1),((L332-1)*(1-_xlfn.XLOOKUP(K332,'Fevereiro 2023 - Valor Real'!A3:A15,'Fevereiro 2023 - Valor Real'!C3:C15,0))+1),((L333-1)*(1-_xlfn.XLOOKUP(K333,'Fevereiro 2023 - Valor Real'!A3:A15,'Fevereiro 2023 - Valor Real'!C3:C15,0))+1))/((L331-1)*(1-_xlfn.XLOOKUP(K331,'Fevereiro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Real'!C3:C15,0))+1))/((L331-1)*(1-_xlfn.XLOOKUP(K331,'Fevereiro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Real'!C3:C15,0))+1))/((L332-1)*(1-_xlfn.XLOOKUP(K332,'Fevereiro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Real'!C3:C15,0))+1))/((L333-1)*(1-_xlfn.XLOOKUP(K333,'Fevereiro 2023 - Valor Real'!A3:A15,'Fevereiro 2023 - Valor Real'!C3:C15,0))+1)),IF(I331="Lay",IF(I332="Lay",((L332/(L332-1)-1)*(1-_xlfn.XLOOKUP(K332,'Fevereiro 2023 - Valor Real'!A3:A15,'Fevereiro 2023 - Valor Real'!C3:C15,0))+1)/(((L332/(L332-1)-1)*(1-_xlfn.XLOOKUP(K332,'Fevereiro 2023 - Valor Real'!A3:A15,'Fevereiro 2023 - Valor Real'!C3:C15,0))+1)+((L331/(L331-1)-1)*(1-_xlfn.XLOOKUP(K331,'Fevereiro 2023 - Valor Real'!A3:A15,'Fevereiro 2023 - Valor Real'!C3:C15,0))+1)),((L332-1)*(1-_xlfn.XLOOKUP(K332,'Fevereiro 2023 - Valor Real'!A3:A15,'Fevereiro 2023 - Valor Real'!C3:C15,0))+1)/(((L332-1)*(1-_xlfn.XLOOKUP(K332,'Fevereiro 2023 - Valor Real'!A3:A15,'Fevereiro 2023 - Valor Real'!C3:C15,0))+1)+((L331/(L331-1)-1)*(1-_xlfn.XLOOKUP(K331,'Fevereiro 2023 - Valor Real'!A3:A15,'Fevereiro 2023 - Valor Real'!C3:C15,0))+1))),IF(I332="Lay",(((L332/(L332-1)-1)*(1-_xlfn.XLOOKUP(K332,'Fevereiro 2023 - Valor Real'!A3:A15,'Fevereiro 2023 - Valor Real'!C3:C15,0))+1))/(((L331-1)*(1-_xlfn.XLOOKUP(K331,'Fevereiro 2023 - Valor Real'!A3:A15,'Fevereiro 2023 - Valor Real'!C3:C15,0))+1)+((L332/(L332-1)-1)*(1-_xlfn.XLOOKUP(K332,'Fevereiro 2023 - Valor Real'!A3:A15,'Fevereiro 2023 - Valor Real'!C3:C15,0))+1)),((L332-1)*(1-_xlfn.XLOOKUP(K332,'Fevereiro 2023 - Valor Real'!A3:A15,'Fevereiro 2023 - Valor Real'!C3:C15,0))+1)/(((L332-1)*(1-_xlfn.XLOOKUP(K332,'Fevereiro 2023 - Valor Real'!A3:A15,'Fevereiro 2023 - Valor Real'!C3:C15,0))+1)+((L331-1)*(1-_xlfn.XLOOKUP(K331,'Fevereiro 2023 - Valor Real'!A3:A15,'Fevereiro 2023 - Valor Real'!C3:C15,0))+1))))))</f>
        <v>0.42708333333333331</v>
      </c>
      <c r="AF331" s="105">
        <f t="shared" si="641"/>
        <v>0</v>
      </c>
      <c r="AG331" s="106">
        <f t="shared" si="641"/>
        <v>0</v>
      </c>
      <c r="AH331" s="106">
        <f t="shared" si="641"/>
        <v>0</v>
      </c>
      <c r="AI331" s="106">
        <f t="shared" si="641"/>
        <v>0</v>
      </c>
      <c r="AJ331" s="106">
        <f t="shared" si="641"/>
        <v>0</v>
      </c>
      <c r="AK331" s="106">
        <f t="shared" si="641"/>
        <v>0</v>
      </c>
      <c r="AL331" s="106">
        <f t="shared" si="641"/>
        <v>0</v>
      </c>
      <c r="AM331" s="106">
        <f t="shared" si="641"/>
        <v>0</v>
      </c>
      <c r="AN331" s="106">
        <f t="shared" si="641"/>
        <v>0</v>
      </c>
      <c r="AO331" s="106">
        <f t="shared" si="641"/>
        <v>0</v>
      </c>
      <c r="AP331" s="106">
        <f t="shared" si="641"/>
        <v>0</v>
      </c>
      <c r="AQ331" s="106">
        <f t="shared" si="641"/>
        <v>0</v>
      </c>
      <c r="AR331" s="107">
        <f t="shared" si="641"/>
        <v>0</v>
      </c>
      <c r="AS331" s="105">
        <f t="shared" ref="AS331:BE331" si="682">IF(AND($B331=" ",$K331=AS$3),$O331,0)</f>
        <v>0</v>
      </c>
      <c r="AT331" s="106">
        <f t="shared" si="682"/>
        <v>0</v>
      </c>
      <c r="AU331" s="106">
        <f t="shared" si="682"/>
        <v>0</v>
      </c>
      <c r="AV331" s="106">
        <f t="shared" si="682"/>
        <v>0</v>
      </c>
      <c r="AW331" s="106">
        <f t="shared" si="682"/>
        <v>0</v>
      </c>
      <c r="AX331" s="106">
        <f t="shared" si="682"/>
        <v>0</v>
      </c>
      <c r="AY331" s="108">
        <f t="shared" si="682"/>
        <v>0</v>
      </c>
      <c r="AZ331" s="109">
        <f t="shared" si="682"/>
        <v>0</v>
      </c>
      <c r="BA331" s="109">
        <f t="shared" si="682"/>
        <v>0</v>
      </c>
      <c r="BB331" s="109">
        <f t="shared" si="682"/>
        <v>0</v>
      </c>
      <c r="BC331" s="110">
        <f t="shared" si="682"/>
        <v>0</v>
      </c>
      <c r="BD331" s="106">
        <f t="shared" si="682"/>
        <v>0</v>
      </c>
      <c r="BE331" s="107">
        <f t="shared" si="682"/>
        <v>0</v>
      </c>
      <c r="BF331" s="111">
        <f t="shared" si="643"/>
        <v>0</v>
      </c>
      <c r="BG331" s="106">
        <f t="shared" si="643"/>
        <v>0</v>
      </c>
      <c r="BH331" s="106">
        <f t="shared" si="643"/>
        <v>0</v>
      </c>
      <c r="BI331" s="106">
        <f t="shared" si="643"/>
        <v>0</v>
      </c>
      <c r="BJ331" s="106">
        <f t="shared" si="643"/>
        <v>0</v>
      </c>
      <c r="BK331" s="106">
        <f t="shared" si="643"/>
        <v>0</v>
      </c>
      <c r="BL331" s="106">
        <f t="shared" si="643"/>
        <v>0</v>
      </c>
      <c r="BM331" s="108">
        <f t="shared" si="643"/>
        <v>0</v>
      </c>
      <c r="BN331" s="109">
        <f t="shared" si="643"/>
        <v>0</v>
      </c>
      <c r="BO331" s="109">
        <f t="shared" si="643"/>
        <v>0</v>
      </c>
      <c r="BP331" s="109">
        <f t="shared" si="643"/>
        <v>0</v>
      </c>
      <c r="BQ331" s="110">
        <f t="shared" si="643"/>
        <v>0</v>
      </c>
      <c r="BR331" s="107">
        <f t="shared" si="643"/>
        <v>0</v>
      </c>
      <c r="BS331" s="463">
        <f>IF($B331="LOSS",IF(AND($K331=BS$3,$C331="L"),-$O331,0)+IF(AND($K332=BS$3,$C332="L"),-$O332,0)+IF(AND($K333=BS$3,$C333="L"),-$O333,0),IF(OR(AND($K331=BS$3,OR($C331="W",$C331="1/2W")),AND($K332=BS$3,OR($C332="W",$C332="1/2W")),AND($K333=BS$3,OR($C333="W",$C333="1/2W"))),$S331,0))</f>
        <v>0</v>
      </c>
      <c r="BT331" s="462">
        <f>IF($B331="LOSS",IF(AND($K331=BT$3,$C331="L"),-$O331,0)+IF(AND($K332=BT$3,$C332="L"),-$O332,0)+IF(AND($K332=BT$3,$C333="L"),-$O333,0),IF(OR(AND($K332=BT$3,OR($C331="W",$C331="1/2W")),AND($K332=BT$3,OR($C332="W",$C332="1/2W")),AND($K332=BT$3,OR($C333="W",$C333="1/2W"))),$S331,0))</f>
        <v>0</v>
      </c>
      <c r="BU331" s="462">
        <f>IF($B331="LOSS",IF(AND($K331=BU$3,$C331="L"),-$O331,0)+IF(AND($K332=BU$3,$C332="L"),-$O332,0)+IF(AND($K332=BU$3,$C333="L"),-$O333,0),IF(OR(AND($K332=BU$3,OR($C331="W",$C331="1/2W")),AND($K332=BU$3,OR($C332="W",$C332="1/2W")),AND($K332=BU$3,OR($C333="W",$C333="1/2W"))),$S331,0))</f>
        <v>0</v>
      </c>
      <c r="BV331" s="462">
        <f t="shared" ref="BV331:CE331" si="683">IF($B331="LOSS",IF(AND($K331=BV$3,$C331="L"),-$O331,0)+IF(AND($K332=BV$3,$C332="L"),-$O332,0)+IF(AND($K333=BV$3,$C333="L"),-$O333,0),IF(OR(AND($K331=BV$3,OR($C331="W",$C331="1/2W")),AND($K332=BV$3,OR($C332="W",$C332="1/2W")),AND($K333=BV$3,OR($C333="W",$C333="1/2W"))),$S331,0))</f>
        <v>0</v>
      </c>
      <c r="BW331" s="462">
        <f t="shared" si="683"/>
        <v>0</v>
      </c>
      <c r="BX331" s="462">
        <f t="shared" si="683"/>
        <v>0</v>
      </c>
      <c r="BY331" s="462">
        <f t="shared" si="683"/>
        <v>0</v>
      </c>
      <c r="BZ331" s="460">
        <f t="shared" si="683"/>
        <v>0</v>
      </c>
      <c r="CA331" s="460">
        <f t="shared" si="683"/>
        <v>0</v>
      </c>
      <c r="CB331" s="460">
        <f t="shared" si="683"/>
        <v>0</v>
      </c>
      <c r="CC331" s="460">
        <f t="shared" si="683"/>
        <v>0</v>
      </c>
      <c r="CD331" s="473">
        <f t="shared" si="683"/>
        <v>0</v>
      </c>
      <c r="CE331" s="479">
        <f t="shared" si="683"/>
        <v>0</v>
      </c>
      <c r="CF331" s="113">
        <f t="shared" si="644"/>
        <v>0</v>
      </c>
      <c r="CG331" s="114">
        <f t="shared" si="645"/>
        <v>0</v>
      </c>
      <c r="CH331" s="114">
        <f t="shared" si="646"/>
        <v>0</v>
      </c>
      <c r="CI331" s="114">
        <f t="shared" si="647"/>
        <v>0</v>
      </c>
      <c r="CJ331" s="114">
        <f t="shared" si="648"/>
        <v>0</v>
      </c>
      <c r="CK331" s="114">
        <f t="shared" si="649"/>
        <v>0</v>
      </c>
      <c r="CL331" s="114">
        <f t="shared" si="650"/>
        <v>0</v>
      </c>
      <c r="CM331" s="114">
        <f t="shared" si="651"/>
        <v>0</v>
      </c>
      <c r="CN331" s="114">
        <f t="shared" si="652"/>
        <v>0</v>
      </c>
      <c r="CO331" s="114">
        <f t="shared" si="653"/>
        <v>0</v>
      </c>
      <c r="CP331" s="114">
        <f t="shared" si="654"/>
        <v>0</v>
      </c>
      <c r="CQ331" s="114">
        <f t="shared" si="655"/>
        <v>0</v>
      </c>
      <c r="CR331" s="114">
        <f t="shared" si="656"/>
        <v>0</v>
      </c>
      <c r="CS331" s="114">
        <f t="shared" si="657"/>
        <v>0</v>
      </c>
      <c r="CT331" s="115">
        <f t="shared" si="658"/>
        <v>0</v>
      </c>
      <c r="CU331" s="116">
        <f t="shared" si="659"/>
        <v>0</v>
      </c>
      <c r="CV331" s="116">
        <f t="shared" si="660"/>
        <v>0</v>
      </c>
      <c r="CW331" s="116">
        <f t="shared" si="661"/>
        <v>0</v>
      </c>
      <c r="CX331" s="116">
        <f t="shared" si="662"/>
        <v>0</v>
      </c>
      <c r="CY331" s="116">
        <f t="shared" si="663"/>
        <v>0</v>
      </c>
      <c r="CZ331" s="116">
        <f t="shared" si="664"/>
        <v>0</v>
      </c>
      <c r="DA331" s="116">
        <f t="shared" si="665"/>
        <v>0</v>
      </c>
      <c r="DB331" s="116">
        <f t="shared" si="666"/>
        <v>0</v>
      </c>
      <c r="DC331" s="116">
        <f t="shared" si="667"/>
        <v>0</v>
      </c>
      <c r="DD331" s="116">
        <f t="shared" si="668"/>
        <v>0</v>
      </c>
      <c r="DE331" s="117">
        <f t="shared" si="669"/>
        <v>0</v>
      </c>
      <c r="DF331" s="118">
        <f t="shared" si="672"/>
        <v>24</v>
      </c>
      <c r="DG331" s="106">
        <f t="shared" si="673"/>
        <v>31.309999999999995</v>
      </c>
      <c r="DH331" s="116">
        <f t="shared" si="674"/>
        <v>9</v>
      </c>
      <c r="DI331" s="106">
        <f t="shared" si="675"/>
        <v>36.849999999999994</v>
      </c>
      <c r="DJ331" s="201" t="str">
        <f>IF($D331="","",$D331)</f>
        <v>9</v>
      </c>
      <c r="DK331" s="465">
        <f>IF(AND($B331=" ",$D331&lt;&gt;""),1,0)</f>
        <v>0</v>
      </c>
    </row>
    <row r="332" spans="1:115" ht="14.5" customHeight="1" x14ac:dyDescent="0.2">
      <c r="A332" s="389"/>
      <c r="B332" s="456"/>
      <c r="C332" s="120" t="s">
        <v>49</v>
      </c>
      <c r="D332" s="374"/>
      <c r="E332" s="386"/>
      <c r="F332" s="377"/>
      <c r="G332" s="483"/>
      <c r="H332" s="476"/>
      <c r="I332" s="121" t="s">
        <v>52</v>
      </c>
      <c r="J332" s="122">
        <f>IF(OR(I331="TO",I331="TU",I331="TO1",I331="TU1",I331="TO2",I331="TU2"),J331,IF(OR(I331="AH1",I331="AH2"),IF(OR(I332="AH1",I332="AH2"),-J331,IF(OR(I332="EH1",I332="EH2"),-J331+0.5,"")),IF(OR(I331="EH1",I331="EH2"),IF(OR(I332="AH1",I332="AH2"),-J331+0.5,IF(OR(I332="EH1",I332="EH2"),-J331+1,"")),IF(AND(OR(I331="DNB1",I331="DNB2"),OR(I332="AH1",I332="AH2")),0,IF(AND(I331="Not ScoreBoth",OR(I332="TO1",I332="TO2")),0.5,"")))))</f>
        <v>6.5</v>
      </c>
      <c r="K332" s="123" t="s">
        <v>40</v>
      </c>
      <c r="L332" s="124">
        <v>2.0499999999999998</v>
      </c>
      <c r="M332" s="125">
        <v>10.71</v>
      </c>
      <c r="N332" s="406"/>
      <c r="O332" s="126">
        <f>IF(OR(AE331="",AE332=""),"",ROUND(IF(L333&gt;0,IF(M332&gt;0,M332,IF(M331&gt;0,IF(N331=TRUE,ROUND((M331*AE332)/AE331,0),(M331*AE332)/AE331),IF(M332&gt;0,ROUND(M332,IF(N331=0,2,IF(N331=0.1,1,0))),IF(M333&gt;0,ROUND(O333*AE332/AE333,IF(N331=0,2,IF(N331=0.1,1,0))),0)))),IF(M332&gt;0,M332,ROUND((M331*AE332)/AE331,IF(N331=0,2,IF(N331=0.1,1,0))))),2))</f>
        <v>10.71</v>
      </c>
      <c r="P332" s="127">
        <f>IF(OR(L332="",O332=""),"",IF($C332="1/2W",O332/2+O332/2*L332,IF($C332="1/2L",O332/2,IF(I332="Lay",((O332*(L332/(L332-1)))-O332)*(1-_xlfn.XLOOKUP(K332,'Fevereiro 2023 - Valor Real'!A3:A15,'Fevereiro 2023 - Valor Real'!C3:C15,0))+O332,(O332*L332-O332)*(1-_xlfn.XLOOKUP(K332,'Fevereiro 2023 - Valor Real'!A3:A15,'Fevereiro 2023 - Valor Real'!C3:C15,0))+O332))))</f>
        <v>21.955500000000001</v>
      </c>
      <c r="Q332" s="128">
        <f>IF(K332="","",IF(_xlfn.XLOOKUP(K332,K$4:K331,$DJ$4:DJ331,0,,-1)=DJ332,_xlfn.XLOOKUP(K332,K$4:K331,Q$4:Q331,1,,-1)+1,1))</f>
        <v>6</v>
      </c>
      <c r="R332" s="129">
        <f>IF(K332="","",_xlfn.XLOOKUP(K332,K$4:K331,R$4:R331,0,,-1)+IF($C332=" ",1,0))</f>
        <v>0</v>
      </c>
      <c r="S332" s="403"/>
      <c r="T332" s="380"/>
      <c r="U332" s="380"/>
      <c r="V332" s="481"/>
      <c r="W332" s="380"/>
      <c r="X332" s="452"/>
      <c r="Y332" s="383"/>
      <c r="Z332" s="384"/>
      <c r="AA332" s="384"/>
      <c r="AB332" s="384"/>
      <c r="AC332" s="384"/>
      <c r="AD332" s="130">
        <f>(((L332/(L332-1)-1)*(1-_xlfn.XLOOKUP(K332,'Fevereiro 2023 - Valor Real'!A3:A15,'Fevereiro 2023 - Valor Real'!C3:C15,0))+1))</f>
        <v>1.9523809523809526</v>
      </c>
      <c r="AE332" s="131">
        <f>IF(L332="","",IF(L333&gt;0,(SUM(((L331-1)*(1-_xlfn.XLOOKUP(K331,'Fevereiro 2023 - Valor Real'!A3:A15,'Fevereiro 2023 - Valor Real'!C3:C15,0))+1),((L332-1)*(1-_xlfn.XLOOKUP(K332,'Fevereiro 2023 - Valor Real'!A3:A15,'Fevereiro 2023 - Valor Real'!C3:C15,0))+1),((L333-1)*(1-_xlfn.XLOOKUP(K333,'Fevereiro 2023 - Valor Real'!A3:A15,'Fevereiro 2023 - Valor Real'!C3:C15,0))+1))/((L332-1)*(1-_xlfn.XLOOKUP(K332,'Fevereiro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Real'!C3:C15,0))+1))/((L331-1)*(1-_xlfn.XLOOKUP(K331,'Fevereiro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Real'!C3:C15,0))+1))/((L332-1)*(1-_xlfn.XLOOKUP(K332,'Fevereiro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Real'!C3:C15,0))+1))/((L333-1)*(1-_xlfn.XLOOKUP(K333,'Fevereiro 2023 - Valor Real'!A3:A15,'Fevereiro 2023 - Valor Real'!C3:C15,0))+1)),IF(I332="Lay",IF(I331="Lay",((L331/(L331-1)-1)*(1-_xlfn.XLOOKUP(K331,'Fevereiro 2023 - Valor Real'!A3:A15,'Fevereiro 2023 - Valor Real'!C3:C15,0))+1)/(((L331/(L331-1)-1)*(1-_xlfn.XLOOKUP(K331,'Fevereiro 2023 - Valor Real'!A3:A15,'Fevereiro 2023 - Valor Real'!C3:C15,0))+1)+((L332/(L332-1)-1)*(1-_xlfn.XLOOKUP(K332,'Fevereiro 2023 - Valor Real'!A3:A15,'Fevereiro 2023 - Valor Real'!C3:C15,0))+1)),((L331-1)*(1-_xlfn.XLOOKUP(K331,'Fevereiro 2023 - Valor Real'!A3:A15,'Fevereiro 2023 - Valor Real'!C3:C15,0))+1)/(((L331-1)*(1-_xlfn.XLOOKUP(K331,'Fevereiro 2023 - Valor Real'!A3:A15,'Fevereiro 2023 - Valor Real'!C3:C15,0))+1)+((L332/(L332-1)-1)*(1-_xlfn.XLOOKUP(K332,'Fevereiro 2023 - Valor Real'!A3:A15,'Fevereiro 2023 - Valor Real'!C3:C15,0))+1))),IF(I331="Lay",((L331/(L331-1)-1)*(1-_xlfn.XLOOKUP(K331,'Fevereiro 2023 - Valor Real'!A3:A15,'Fevereiro 2023 - Valor Real'!C3:C15,0))+1)/((((L331/(L331-1)-1)*(1-_xlfn.XLOOKUP(K331,'Fevereiro 2023 - Valor Real'!A3:A15,'Fevereiro 2023 - Valor Real'!C3:C15,0))+1))+((L332-1)*(1-_xlfn.XLOOKUP(K332,'Fevereiro 2023 - Valor Real'!A3:A15,'Fevereiro 2023 - Valor Real'!C3:C15,0))+1)),((L331-1)*(1-_xlfn.XLOOKUP(K331,'Fevereiro 2023 - Valor Real'!A3:A15,'Fevereiro 2023 - Valor Real'!C3:C15,0))+1)/(((L331-1)*(1-_xlfn.XLOOKUP(K331,'Fevereiro 2023 - Valor Real'!A3:A15,'Fevereiro 2023 - Valor Real'!C3:C15,0))+1)+((L332-1)*(1-_xlfn.XLOOKUP(K332,'Fevereiro 2023 - Valor Real'!A3:A15,'Fevereiro 2023 - Valor Real'!C3:C15,0))+1))))))</f>
        <v>0.57291666666666674</v>
      </c>
      <c r="AF332" s="105">
        <f t="shared" si="641"/>
        <v>0</v>
      </c>
      <c r="AG332" s="106">
        <f t="shared" si="641"/>
        <v>0</v>
      </c>
      <c r="AH332" s="106">
        <f t="shared" si="641"/>
        <v>0</v>
      </c>
      <c r="AI332" s="106">
        <f t="shared" si="641"/>
        <v>0</v>
      </c>
      <c r="AJ332" s="106">
        <f t="shared" si="641"/>
        <v>0</v>
      </c>
      <c r="AK332" s="106">
        <f t="shared" si="641"/>
        <v>0</v>
      </c>
      <c r="AL332" s="106">
        <f t="shared" si="641"/>
        <v>0</v>
      </c>
      <c r="AM332" s="106">
        <f t="shared" si="641"/>
        <v>0</v>
      </c>
      <c r="AN332" s="106">
        <f t="shared" si="641"/>
        <v>0</v>
      </c>
      <c r="AO332" s="106">
        <f t="shared" si="641"/>
        <v>0</v>
      </c>
      <c r="AP332" s="106">
        <f t="shared" si="641"/>
        <v>0</v>
      </c>
      <c r="AQ332" s="106">
        <f t="shared" si="641"/>
        <v>0</v>
      </c>
      <c r="AR332" s="107">
        <f t="shared" si="641"/>
        <v>0</v>
      </c>
      <c r="AS332" s="105">
        <f>IF(AND($B331=" ",$K332=AS$3),$O332,0)</f>
        <v>0</v>
      </c>
      <c r="AT332" s="106">
        <f>IF(AND($B331=" ",K332=AT$3),$O332,0)</f>
        <v>0</v>
      </c>
      <c r="AU332" s="106">
        <f t="shared" ref="AU332:BE332" si="684">IF(AND($B331=" ",$K332=AU$3),$O332,0)</f>
        <v>0</v>
      </c>
      <c r="AV332" s="106">
        <f t="shared" si="684"/>
        <v>0</v>
      </c>
      <c r="AW332" s="106">
        <f t="shared" si="684"/>
        <v>0</v>
      </c>
      <c r="AX332" s="106">
        <f t="shared" si="684"/>
        <v>0</v>
      </c>
      <c r="AY332" s="108">
        <f t="shared" si="684"/>
        <v>0</v>
      </c>
      <c r="AZ332" s="109">
        <f t="shared" si="684"/>
        <v>0</v>
      </c>
      <c r="BA332" s="109">
        <f t="shared" si="684"/>
        <v>0</v>
      </c>
      <c r="BB332" s="109">
        <f t="shared" si="684"/>
        <v>0</v>
      </c>
      <c r="BC332" s="110">
        <f t="shared" si="684"/>
        <v>0</v>
      </c>
      <c r="BD332" s="106">
        <f t="shared" si="684"/>
        <v>0</v>
      </c>
      <c r="BE332" s="107">
        <f t="shared" si="684"/>
        <v>0</v>
      </c>
      <c r="BF332" s="105">
        <f t="shared" si="643"/>
        <v>0</v>
      </c>
      <c r="BG332" s="106">
        <f t="shared" si="643"/>
        <v>0</v>
      </c>
      <c r="BH332" s="106">
        <f t="shared" si="643"/>
        <v>0</v>
      </c>
      <c r="BI332" s="106">
        <f t="shared" si="643"/>
        <v>0</v>
      </c>
      <c r="BJ332" s="106">
        <f t="shared" si="643"/>
        <v>0</v>
      </c>
      <c r="BK332" s="106">
        <f t="shared" si="643"/>
        <v>0</v>
      </c>
      <c r="BL332" s="106">
        <f t="shared" si="643"/>
        <v>0</v>
      </c>
      <c r="BM332" s="132">
        <f t="shared" si="643"/>
        <v>0</v>
      </c>
      <c r="BN332" s="112">
        <f t="shared" si="643"/>
        <v>0</v>
      </c>
      <c r="BO332" s="112">
        <f t="shared" si="643"/>
        <v>0</v>
      </c>
      <c r="BP332" s="112">
        <f t="shared" si="643"/>
        <v>0</v>
      </c>
      <c r="BQ332" s="110">
        <f t="shared" si="643"/>
        <v>0</v>
      </c>
      <c r="BR332" s="107">
        <f t="shared" si="643"/>
        <v>0</v>
      </c>
      <c r="BS332" s="464"/>
      <c r="BT332" s="461"/>
      <c r="BU332" s="392"/>
      <c r="BV332" s="461"/>
      <c r="BW332" s="392"/>
      <c r="BX332" s="392"/>
      <c r="BY332" s="392"/>
      <c r="BZ332" s="461"/>
      <c r="CA332" s="392"/>
      <c r="CB332" s="392"/>
      <c r="CC332" s="392"/>
      <c r="CD332" s="401"/>
      <c r="CE332" s="409"/>
      <c r="CF332" s="133">
        <f t="shared" si="644"/>
        <v>0</v>
      </c>
      <c r="CG332" s="134">
        <f t="shared" si="645"/>
        <v>0</v>
      </c>
      <c r="CH332" s="134">
        <f t="shared" si="646"/>
        <v>0</v>
      </c>
      <c r="CI332" s="134">
        <f t="shared" si="647"/>
        <v>0</v>
      </c>
      <c r="CJ332" s="134">
        <f t="shared" si="648"/>
        <v>0</v>
      </c>
      <c r="CK332" s="134">
        <f t="shared" si="649"/>
        <v>0</v>
      </c>
      <c r="CL332" s="134">
        <f t="shared" si="650"/>
        <v>0</v>
      </c>
      <c r="CM332" s="134">
        <f t="shared" si="651"/>
        <v>0</v>
      </c>
      <c r="CN332" s="134">
        <f t="shared" si="652"/>
        <v>0</v>
      </c>
      <c r="CO332" s="134">
        <f t="shared" si="653"/>
        <v>0</v>
      </c>
      <c r="CP332" s="134">
        <f t="shared" si="654"/>
        <v>0</v>
      </c>
      <c r="CQ332" s="134">
        <f t="shared" si="655"/>
        <v>0</v>
      </c>
      <c r="CR332" s="134">
        <f t="shared" si="656"/>
        <v>0</v>
      </c>
      <c r="CS332" s="134">
        <f t="shared" si="657"/>
        <v>0</v>
      </c>
      <c r="CT332" s="115">
        <f t="shared" si="658"/>
        <v>0</v>
      </c>
      <c r="CU332" s="116">
        <f t="shared" si="659"/>
        <v>0</v>
      </c>
      <c r="CV332" s="116">
        <f t="shared" si="660"/>
        <v>0</v>
      </c>
      <c r="CW332" s="116">
        <f t="shared" si="661"/>
        <v>0</v>
      </c>
      <c r="CX332" s="116">
        <f t="shared" si="662"/>
        <v>0</v>
      </c>
      <c r="CY332" s="116">
        <f t="shared" si="663"/>
        <v>0</v>
      </c>
      <c r="CZ332" s="116">
        <f t="shared" si="664"/>
        <v>0</v>
      </c>
      <c r="DA332" s="116">
        <f t="shared" si="665"/>
        <v>0</v>
      </c>
      <c r="DB332" s="116">
        <f t="shared" si="666"/>
        <v>0</v>
      </c>
      <c r="DC332" s="116">
        <f t="shared" si="667"/>
        <v>0</v>
      </c>
      <c r="DD332" s="116">
        <f t="shared" si="668"/>
        <v>0</v>
      </c>
      <c r="DE332" s="117">
        <f t="shared" si="669"/>
        <v>0</v>
      </c>
      <c r="DF332" s="118">
        <f t="shared" si="672"/>
        <v>24</v>
      </c>
      <c r="DG332" s="106">
        <f t="shared" si="673"/>
        <v>31.309999999999995</v>
      </c>
      <c r="DH332" s="116">
        <f t="shared" si="674"/>
        <v>9</v>
      </c>
      <c r="DI332" s="106">
        <f t="shared" si="675"/>
        <v>36.849999999999994</v>
      </c>
      <c r="DJ332" s="201" t="str">
        <f>IF($D331="","",$D331)</f>
        <v>9</v>
      </c>
      <c r="DK332" s="466"/>
    </row>
    <row r="333" spans="1:115" ht="14.5" customHeight="1" x14ac:dyDescent="0.2">
      <c r="A333" s="390"/>
      <c r="B333" s="457"/>
      <c r="C333" s="135" t="s">
        <v>53</v>
      </c>
      <c r="D333" s="375"/>
      <c r="E333" s="387"/>
      <c r="F333" s="378"/>
      <c r="G333" s="484"/>
      <c r="H333" s="477"/>
      <c r="I333" s="136"/>
      <c r="J333" s="137"/>
      <c r="K333" s="138"/>
      <c r="L333" s="139"/>
      <c r="M333" s="140"/>
      <c r="N333" s="407"/>
      <c r="O333" s="141" t="str">
        <f>IF(OR(AE331="",AE332=""),"",IF(L333&gt;0,ROUND(IF(M333&gt;0,M333,IF(M331&gt;0,ROUND((M331*AE333)/AE331,IF(N331=0,2,IF(N331=0.1,1,0))),IF(M332&gt;0,ROUND((M332*AE333)/AE332,IF(N331=0,2,IF(N331=0.1,1,0))),IF(M333&gt;0,M333,0)))),2),""))</f>
        <v/>
      </c>
      <c r="P333" s="142" t="str">
        <f>IF(I332="Lay",O332*(L332/(L332-1))-O332,IF(I331="Lay",O331*(L331/(L331-1))-O331,IF(OR(L333="",O333=""),"",IF($C333="1/2W",O333/2+O333/2*L333,IF($C333="1/2L",O333/2,(O333*L333-O333)*(1-_xlfn.XLOOKUP(K333,'Fevereiro 2023 - Valor Real'!A3:A15,'Fevereiro 2023 - Valor Real'!C3:C15,0))+O333)))))</f>
        <v/>
      </c>
      <c r="Q333" s="143" t="str">
        <f>IF(K333="","",IF(_xlfn.XLOOKUP(K333,K$4:K332,$DJ$4:DJ332,0,,-1)=DJ333,_xlfn.XLOOKUP(K333,K$4:K332,Q$4:Q332,1,,-1)+1,1))</f>
        <v/>
      </c>
      <c r="R333" s="144" t="str">
        <f>IF(K333="","",_xlfn.XLOOKUP(K333,K$4:K332,R$4:R332,0,,-1)+IF($C333=" ",1,0))</f>
        <v/>
      </c>
      <c r="S333" s="404"/>
      <c r="T333" s="378"/>
      <c r="U333" s="378"/>
      <c r="V333" s="404"/>
      <c r="W333" s="378"/>
      <c r="X333" s="453"/>
      <c r="Y333" s="383"/>
      <c r="Z333" s="384"/>
      <c r="AA333" s="384"/>
      <c r="AB333" s="384"/>
      <c r="AC333" s="384"/>
      <c r="AD333" s="145">
        <f>((L332/(L332-1)-1))</f>
        <v>0.95238095238095255</v>
      </c>
      <c r="AE333" s="146" t="str">
        <f>IF(L333="","",(SUM(((L331-1)*(1-_xlfn.XLOOKUP(K331,'Fevereiro 2023 - Valor Real'!A3:A15,'Fevereiro 2023 - Valor Real'!C3:C15,0))+1),((L332-1)*(1-_xlfn.XLOOKUP(K332,'Fevereiro 2023 - Valor Real'!A3:A15,'Fevereiro 2023 - Valor Real'!C3:C15,0))+1),((L333-1)*(1-_xlfn.XLOOKUP(K333,'Fevereiro 2023 - Valor Real'!A3:A15,'Fevereiro 2023 - Valor Real'!C3:C15,0))+1))/((L333-1)*(1-_xlfn.XLOOKUP(K333,'Fevereiro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Real'!C3:C15,0))+1))/((L331-1)*(1-_xlfn.XLOOKUP(K331,'Fevereiro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Real'!C3:C15,0))+1))/((L332-1)*(1-_xlfn.XLOOKUP(K332,'Fevereiro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Real'!C3:C15,0))+1))/((L333-1)*(1-_xlfn.XLOOKUP(K333,'Fevereiro 2023 - Valor Real'!A3:A15,'Fevereiro 2023 - Valor Real'!C3:C15,0))+1)))</f>
        <v/>
      </c>
      <c r="AF333" s="105">
        <f t="shared" si="641"/>
        <v>0</v>
      </c>
      <c r="AG333" s="106">
        <f t="shared" si="641"/>
        <v>0</v>
      </c>
      <c r="AH333" s="106">
        <f t="shared" si="641"/>
        <v>0</v>
      </c>
      <c r="AI333" s="106">
        <f t="shared" si="641"/>
        <v>0</v>
      </c>
      <c r="AJ333" s="106">
        <f t="shared" si="641"/>
        <v>0</v>
      </c>
      <c r="AK333" s="106">
        <f t="shared" si="641"/>
        <v>0</v>
      </c>
      <c r="AL333" s="106">
        <f t="shared" si="641"/>
        <v>0</v>
      </c>
      <c r="AM333" s="106">
        <f t="shared" si="641"/>
        <v>0</v>
      </c>
      <c r="AN333" s="106">
        <f t="shared" si="641"/>
        <v>0</v>
      </c>
      <c r="AO333" s="106">
        <f t="shared" si="641"/>
        <v>0</v>
      </c>
      <c r="AP333" s="106">
        <f t="shared" si="641"/>
        <v>0</v>
      </c>
      <c r="AQ333" s="106">
        <f t="shared" si="641"/>
        <v>0</v>
      </c>
      <c r="AR333" s="107">
        <f t="shared" si="641"/>
        <v>0</v>
      </c>
      <c r="AS333" s="105">
        <f>IF(AND($B331=" ",$K333=AS$3),$O333,0)</f>
        <v>0</v>
      </c>
      <c r="AT333" s="106">
        <f>IF(AND($B331=" ",K333=AT$3),$O333,0)</f>
        <v>0</v>
      </c>
      <c r="AU333" s="106">
        <f t="shared" ref="AU333:BE333" si="685">IF(AND($B331=" ",$K333=AU$3),$O333,0)</f>
        <v>0</v>
      </c>
      <c r="AV333" s="106">
        <f t="shared" si="685"/>
        <v>0</v>
      </c>
      <c r="AW333" s="106">
        <f t="shared" si="685"/>
        <v>0</v>
      </c>
      <c r="AX333" s="106">
        <f t="shared" si="685"/>
        <v>0</v>
      </c>
      <c r="AY333" s="108">
        <f t="shared" si="685"/>
        <v>0</v>
      </c>
      <c r="AZ333" s="109">
        <f t="shared" si="685"/>
        <v>0</v>
      </c>
      <c r="BA333" s="109">
        <f t="shared" si="685"/>
        <v>0</v>
      </c>
      <c r="BB333" s="109">
        <f t="shared" si="685"/>
        <v>0</v>
      </c>
      <c r="BC333" s="110">
        <f t="shared" si="685"/>
        <v>0</v>
      </c>
      <c r="BD333" s="106">
        <f t="shared" si="685"/>
        <v>0</v>
      </c>
      <c r="BE333" s="107">
        <f t="shared" si="685"/>
        <v>0</v>
      </c>
      <c r="BF333" s="105">
        <f t="shared" si="643"/>
        <v>0</v>
      </c>
      <c r="BG333" s="106">
        <f t="shared" si="643"/>
        <v>0</v>
      </c>
      <c r="BH333" s="106">
        <f t="shared" si="643"/>
        <v>0</v>
      </c>
      <c r="BI333" s="106">
        <f t="shared" si="643"/>
        <v>0</v>
      </c>
      <c r="BJ333" s="106">
        <f t="shared" si="643"/>
        <v>0</v>
      </c>
      <c r="BK333" s="106">
        <f t="shared" si="643"/>
        <v>0</v>
      </c>
      <c r="BL333" s="106">
        <f t="shared" si="643"/>
        <v>0</v>
      </c>
      <c r="BM333" s="108">
        <f t="shared" si="643"/>
        <v>0</v>
      </c>
      <c r="BN333" s="109">
        <f t="shared" si="643"/>
        <v>0</v>
      </c>
      <c r="BO333" s="109">
        <f t="shared" si="643"/>
        <v>0</v>
      </c>
      <c r="BP333" s="109">
        <f t="shared" si="643"/>
        <v>0</v>
      </c>
      <c r="BQ333" s="110">
        <f t="shared" si="643"/>
        <v>0</v>
      </c>
      <c r="BR333" s="107">
        <f t="shared" si="643"/>
        <v>0</v>
      </c>
      <c r="BS333" s="464"/>
      <c r="BT333" s="461"/>
      <c r="BU333" s="392"/>
      <c r="BV333" s="461"/>
      <c r="BW333" s="392"/>
      <c r="BX333" s="392"/>
      <c r="BY333" s="392"/>
      <c r="BZ333" s="461"/>
      <c r="CA333" s="392"/>
      <c r="CB333" s="392"/>
      <c r="CC333" s="392"/>
      <c r="CD333" s="401"/>
      <c r="CE333" s="409"/>
      <c r="CF333" s="133">
        <f t="shared" si="644"/>
        <v>0</v>
      </c>
      <c r="CG333" s="134">
        <f t="shared" si="645"/>
        <v>0</v>
      </c>
      <c r="CH333" s="134">
        <f t="shared" si="646"/>
        <v>0</v>
      </c>
      <c r="CI333" s="134">
        <f t="shared" si="647"/>
        <v>0</v>
      </c>
      <c r="CJ333" s="134">
        <f t="shared" si="648"/>
        <v>0</v>
      </c>
      <c r="CK333" s="134">
        <f t="shared" si="649"/>
        <v>0</v>
      </c>
      <c r="CL333" s="134">
        <f t="shared" si="650"/>
        <v>0</v>
      </c>
      <c r="CM333" s="134">
        <f t="shared" si="651"/>
        <v>0</v>
      </c>
      <c r="CN333" s="134">
        <f t="shared" si="652"/>
        <v>0</v>
      </c>
      <c r="CO333" s="134">
        <f t="shared" si="653"/>
        <v>0</v>
      </c>
      <c r="CP333" s="134">
        <f t="shared" si="654"/>
        <v>0</v>
      </c>
      <c r="CQ333" s="134">
        <f t="shared" si="655"/>
        <v>0</v>
      </c>
      <c r="CR333" s="134">
        <f t="shared" si="656"/>
        <v>0</v>
      </c>
      <c r="CS333" s="134">
        <f t="shared" si="657"/>
        <v>0</v>
      </c>
      <c r="CT333" s="115">
        <f t="shared" si="658"/>
        <v>0</v>
      </c>
      <c r="CU333" s="116">
        <f t="shared" si="659"/>
        <v>0</v>
      </c>
      <c r="CV333" s="116">
        <f t="shared" si="660"/>
        <v>0</v>
      </c>
      <c r="CW333" s="116">
        <f t="shared" si="661"/>
        <v>0</v>
      </c>
      <c r="CX333" s="116">
        <f t="shared" si="662"/>
        <v>0</v>
      </c>
      <c r="CY333" s="116">
        <f t="shared" si="663"/>
        <v>0</v>
      </c>
      <c r="CZ333" s="116">
        <f t="shared" si="664"/>
        <v>0</v>
      </c>
      <c r="DA333" s="116">
        <f t="shared" si="665"/>
        <v>0</v>
      </c>
      <c r="DB333" s="116">
        <f t="shared" si="666"/>
        <v>0</v>
      </c>
      <c r="DC333" s="116">
        <f t="shared" si="667"/>
        <v>0</v>
      </c>
      <c r="DD333" s="116">
        <f t="shared" si="668"/>
        <v>0</v>
      </c>
      <c r="DE333" s="117">
        <f t="shared" si="669"/>
        <v>0</v>
      </c>
      <c r="DF333" s="118">
        <f t="shared" si="672"/>
        <v>24</v>
      </c>
      <c r="DG333" s="106">
        <f t="shared" si="673"/>
        <v>31.309999999999995</v>
      </c>
      <c r="DH333" s="116">
        <f t="shared" si="674"/>
        <v>9</v>
      </c>
      <c r="DI333" s="106">
        <f t="shared" si="675"/>
        <v>36.849999999999994</v>
      </c>
      <c r="DJ333" s="201" t="str">
        <f>IF($D331="","",$D331)</f>
        <v>9</v>
      </c>
      <c r="DK333" s="466"/>
    </row>
    <row r="334" spans="1:115" ht="14.5" customHeight="1" x14ac:dyDescent="0.2">
      <c r="A334" s="487">
        <f>$A331+1</f>
        <v>111</v>
      </c>
      <c r="B334" s="506" t="str">
        <f>IF(OR(C334="W",C335="W",C336="W",C334="1/2W",C335="1/2W",C336="1/2W",C334="1/2L",C335="1/2L",C336="1/2L"),"OK",IF(OR(C334="L",C335="L",C336="L"),"LOSS",IF(OR(C334="X",C335="X",C336="X"),"Anulado"," ")))</f>
        <v>Anulado</v>
      </c>
      <c r="C334" s="147" t="s">
        <v>49</v>
      </c>
      <c r="D334" s="494" t="str">
        <f>IF(G334="","",$D331)</f>
        <v>9</v>
      </c>
      <c r="E334" s="511" t="str">
        <f>IF(G334=""," ","– "&amp;COUNTIF(D$4:D336,$D334))</f>
        <v>– 19</v>
      </c>
      <c r="F334" s="510" t="str">
        <f ca="1">IF(G334="","",IF(OR(AND($C334&lt;&gt;" ",$C335=" "),AND($C335&lt;&gt;" ",$C334=" "),AND(L336&gt;0,OR(AND($C336&lt;&gt;" ",OR($C334=" ",$C335=" ")),AND($C336=" ",OR($C334&lt;&gt;" ",$C335&lt;&gt;" "))))),IF(SUM(F$4:F333)=0,1,LARGE(F$4:F333,1)+1),IF(MONTH(G334)=MONTH(TODAY()),IF(AND(DAY(G334)&lt;DAY(TODAY()),$B334=" "),IF(SUM(F$4:F333)=0,1,LARGE(F$4:F333,1)+1),IF($B334=" ",IF(AND(DAY(G334)=DAY(TODAY()),HOUR(G334)&lt;=HOUR(NOW())+1),IF(AND(HOUR(G334)+2&lt;=HOUR(NOW()),DAY(G334)&lt;=DAY(TODAY()),MINUTE(G334)&lt;=MINUTE(NOW())),IF(SUM(F$4:F333)=0,1,LARGE(F$4:F333,1)+1),IF(OR(MINUTE(G334)&lt;=MINUTE(NOW()),HOUR(G334)&lt;=HOUR(NOW())),"!!!","")),""),"")),"")))</f>
        <v/>
      </c>
      <c r="G334" s="508">
        <f>IF(H334="","",_xlfn.XLOOKUP(H334,$H$4:H333,$G$4:G333,""))</f>
        <v>44995.645833333336</v>
      </c>
      <c r="H334" s="502" t="s">
        <v>152</v>
      </c>
      <c r="I334" s="180" t="s">
        <v>51</v>
      </c>
      <c r="J334" s="181">
        <v>6.75</v>
      </c>
      <c r="K334" s="150" t="s">
        <v>47</v>
      </c>
      <c r="L334" s="151">
        <v>3.1</v>
      </c>
      <c r="M334" s="152"/>
      <c r="N334" s="503">
        <v>0</v>
      </c>
      <c r="O334" s="153">
        <f>IF(OR(AE334="",AE335=""),"",ROUND(IF(L336&gt;0,IF(M334&gt;0,M334,IF(M335&gt;0,ROUND((M335*AE334)/AE335,IF(N334=0,2,IF(N334=0.1,1,0))),ROUND((M336*AE334)/AE336,IF(N334=0,2,IF(N334=0.1,1,0))))),IF(M334&gt;0,M334,ROUND((M335*AE334)/AE335,IF(N334=0,2,IF(N334=0.1,1,0))))),2))</f>
        <v>8.4</v>
      </c>
      <c r="P334" s="154">
        <f>IF(OR(L334="",O334=""),"",IF($C334="1/2W",O334/2+O334/2*L334,IF($C334="1/2L",O334/2,IF(I334="Lay",(O334*(L334/(L334-1))-O334)*(1-_xlfn.XLOOKUP(K334,'Fevereiro 2023 - Valor Real'!A3:A15,'Fevereiro 2023 - Valor Real'!C3:C15,0))+O334,(O334*L334-O334)*(1-_xlfn.XLOOKUP(K334,'Fevereiro 2023 - Valor Real'!A3:A15,'Fevereiro 2023 - Valor Real'!C3:C15,0))+O334))))</f>
        <v>26.04</v>
      </c>
      <c r="Q334" s="155">
        <f>IF(K334="","",IF(_xlfn.XLOOKUP(K334,K$9:K326,$DJ$9:DJ326,0,,-1)=DJ334,_xlfn.XLOOKUP(K334,K$9:K326,Q$9:Q326,1,,-1)+1,1))</f>
        <v>6</v>
      </c>
      <c r="R334" s="156">
        <f>IF(K334="","",_xlfn.XLOOKUP(K334,K$9:K326,R$9:R326,0,,-1)+IF($C334=" ",1,0))</f>
        <v>0</v>
      </c>
      <c r="S334" s="501">
        <f>IF($B334="Anulado",0,ROUND(IF(OR($B334="LOSS",$B334="OK"),IF(OR($C334="W",$C334="1/2W",$C334="1/2L"),P334-O334,IF($C334="L",-O334,0))+IF(OR($C335="W",$C335="1/2W",$C335="1/2L"),P335-O335,IF($C335="L",-O335,0))+IF(OR($C336="W",$C336="1/2W",$C336="1/2L"),P336-O336,IF($C336="L",-O336,0)),IF(AND(OR($C334="W",$C334="1/2W",$C334="1/2L"),C335="W"),P334+P335-SUM(O334:O336)+_xlfn.XLOOKUP("X",C334:C336,O334:O336,0),IF(AND(C334=TRUE,C336="W"),P334+P336-SUM(O334:O336),IF(AND(C335="W",C336="W"),P335+P336-SUM(O334:O336)+_xlfn.XLOOKUP("X",C334:C336,O334:O336,0),IF(L336&gt;0,IF(OR($C334="W",$C334="1/2W",$C334="1/2L"),P334-SUM(O334:O336)+_xlfn.XLOOKUP("X",C334:C336,O334:O336,0),IF(OR($C334="W",$C334="1/2W",$C334="1/2L"),P335-SUM(O334:O336)+_xlfn.XLOOKUP("X",C334:C336,O334:O336,0),IF(OR($C334="W",$C334="1/2W",$C334="1/2L"),P336-SUM(O334:O336)+_xlfn.XLOOKUP("X",C334:C336,O334:O336,0),IF(SUM(P334:P336)/3-SUM(O334:O336)+_xlfn.XLOOKUP("X",C334:C336,O334:O336,0)&gt;0,SUM(P334:P336)/3-SUM(O334:O336)+_xlfn.XLOOKUP("X",C334:C336,O334:O336,0),LARGE(P334:P336,1)-SUM(O334:O336))))),IF(OR($C334="W",$C334="1/2W",$C334="1/2L"),P334-SUM(O334:O335)+_xlfn.XLOOKUP("X",C334:C336,O334:O336,0),IF(OR($C334="W",$C334="1/2W",$C334="1/2L"),P335-SUM(O334:O335)+_xlfn.XLOOKUP("X",C334:C336,O334:O336,0),SUM(P334:P335)/2-SUM(O334:O335)+_xlfn.XLOOKUP("X",C334:C336,O334:O336,0)))))))),2))</f>
        <v>0</v>
      </c>
      <c r="T334" s="486">
        <f>IF(S334=0,0,S334/SUM(O334:O336))</f>
        <v>0</v>
      </c>
      <c r="U334" s="496">
        <f>IF($D334=$D331,IF(OR($B334="LOSS",$B334="OK",$B334="Anulada"),S334,0)+U331,IF(OR($B334="LOSS",$B334="OK",$B334="Anulada"),S334,0))</f>
        <v>47.02</v>
      </c>
      <c r="V334" s="496">
        <f>IF($D334="",0,IF($D334=$D331,IF($B334=" ",IF(I336="",IF(OR(AND(I334="DNB1",I335="DNB2"),AND(OR(I334="DNB1",I334="DNB2"),J335=0),AND(OR(I335="DNB1",I335="DNB2"),J334=0),AND(I334="DNB2",I335="DNB1"),AND(IF(J334=0,(J334+1)/ROUND(J334+1,0),J334/ROUND(J334,0))=1,IF(J335=0,(J335+1)/ROUND(IF(J335="",0,J335)+1,0),IF(J335="",0,J335)/ROUND(IF(J335="",1,J335),0))=1,OR(J334&lt;&gt;""),J335&lt;&gt;"")),0,IF(S334&lt;0,IF(I336="",SMALL(P334:P335,1)-SUM(O334:O335),0),SMALL(P334:P335,1)-SUM(O334:O335))),IF(S334&lt;0,IF(I336="",SMALL(P334:P336,1)-SUM(O334:O336),0),LARGE(P334:P336,1)-SUM(O334:O336))),S334)+V331,IF(I336="",IF(OR(AND(I334="DNB1",I335="DNB2"),AND(OR(I334="DNB1",I334="DNB2"),J335=0),AND(OR(I335="DNB1",I335="DNB2"),J334=0),AND(I334="DNB2",I335="DNB1"),AND(IF(J334=0,(J334+1)/ROUND(J334+1,0),J334/ROUND(J334,0))=1,IF(J335=0,(IF(J335="",0,J335)+1)/ROUND(IF(J335="",0,J335)+1,0),IF(J335="",0,J335)/ROUND(IF(J335="",0,J335)+1,0))=1,OR(J334&lt;&gt;""),J335&lt;&gt;"")),0,IF(S334&lt;0,IF(I336="",SMALL(P334:P335,1)-SUM(O334:O335),0),SMALL(P334:P336,1)-SUM(O334:O336))),IF(S334&lt;0,IF(I336="",SMALL(P334:P336,1)-SUM(O334:O336),0),LARGE(P334:P336,1)-SUM(O334:O336)))))</f>
        <v>47.020400000000002</v>
      </c>
      <c r="W334" s="496">
        <f>IF($D334=$D331,IF(S334&lt;0,IF(I336="",S334,0),S334)+W331,S334)</f>
        <v>47.02</v>
      </c>
      <c r="X334" s="505" t="str">
        <f>IF(OR(SUM(R334:R336)=0,V334=W334),ROUND(IF(W334=0,0,W334/Y334)*100,2)&amp;"%",ROUND(IF(V334=0,0,V334/Y334)*100,2)&amp;"% a "&amp;ROUND(IF(W334=0,0,W334/Y334)*100,2)&amp;"%")</f>
        <v>5,15%</v>
      </c>
      <c r="Y334" s="497">
        <f>IF($D334=$D331,Y331+SUM(O334:O336),SUM(O334:O336))</f>
        <v>913.83</v>
      </c>
      <c r="Z334" s="496">
        <f>IF($B334=" ",SUM(O334:O336),0)+Z331</f>
        <v>0</v>
      </c>
      <c r="AA334" s="496">
        <f>IF(G334="","",IF($B334="Anulado",LARGE(P334:P336,1)-SUM(O334:O336)+AA331,AA331))</f>
        <v>8.7641999999999936</v>
      </c>
      <c r="AB334" s="496">
        <f>IF($D334="","",AB331+S334)</f>
        <v>487.88000000000005</v>
      </c>
      <c r="AC334" s="499">
        <f ca="1">IF($D334="","",IF($B334=" ",IF(DAY(G334)=DAY(TODAY()),1+AC331,0+AC331),0+AC331))</f>
        <v>0</v>
      </c>
      <c r="AD334" s="157">
        <f>(1-_xlfn.XLOOKUP(K332,'Fevereiro 2023 - Valor Real'!A3:A15,'Fevereiro 2023 - Valor Real'!C3:C15,0))+1</f>
        <v>2</v>
      </c>
      <c r="AE334" s="158">
        <f>IF(L334="","",IF(L336&gt;0,(SUM(((L334-1)*(1-_xlfn.XLOOKUP(K334,'Fevereiro 2023 - Valor Real'!A3:A15,'Fevereiro 2023 - Valor Real'!C3:C15,0))+1),((L335-1)*(1-_xlfn.XLOOKUP(K335,'Fevereiro 2023 - Valor Real'!A3:A15,'Fevereiro 2023 - Valor Real'!C3:C15,0))+1),((L336-1)*(1-_xlfn.XLOOKUP(K336,'Fevereiro 2023 - Valor Real'!A3:A15,'Fevereiro 2023 - Valor Real'!C3:C15,0))+1))/((L334-1)*(1-_xlfn.XLOOKUP(K334,'Fevereiro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Real'!C3:C15,0))+1))/((L334-1)*(1-_xlfn.XLOOKUP(K334,'Fevereiro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Real'!C3:C15,0))+1))/((L335-1)*(1-_xlfn.XLOOKUP(K335,'Fevereiro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Real'!C3:C15,0))+1))/((L336-1)*(1-_xlfn.XLOOKUP(K336,'Fevereiro 2023 - Valor Real'!A3:A15,'Fevereiro 2023 - Valor Real'!C3:C15,0))+1)),IF(I334="Lay",IF(I335="Lay",((L335/(L335-1)-1)*(1-_xlfn.XLOOKUP(K335,'Fevereiro 2023 - Valor Real'!A3:A15,'Fevereiro 2023 - Valor Real'!C3:C15,0))+1)/(((L335/(L335-1)-1)*(1-_xlfn.XLOOKUP(K335,'Fevereiro 2023 - Valor Real'!A3:A15,'Fevereiro 2023 - Valor Real'!C3:C15,0))+1)+((L334/(L334-1)-1)*(1-_xlfn.XLOOKUP(K334,'Fevereiro 2023 - Valor Real'!A3:A15,'Fevereiro 2023 - Valor Real'!C3:C15,0))+1)),((L335-1)*(1-_xlfn.XLOOKUP(K335,'Fevereiro 2023 - Valor Real'!A3:A15,'Fevereiro 2023 - Valor Real'!C3:C15,0))+1)/(((L335-1)*(1-_xlfn.XLOOKUP(K335,'Fevereiro 2023 - Valor Real'!A3:A15,'Fevereiro 2023 - Valor Real'!C3:C15,0))+1)+((L334/(L334-1)-1)*(1-_xlfn.XLOOKUP(K334,'Fevereiro 2023 - Valor Real'!A3:A15,'Fevereiro 2023 - Valor Real'!C3:C15,0))+1))),IF(I335="Lay",(((L335/(L335-1)-1)*(1-_xlfn.XLOOKUP(K335,'Fevereiro 2023 - Valor Real'!A3:A15,'Fevereiro 2023 - Valor Real'!C3:C15,0))+1))/(((L334-1)*(1-_xlfn.XLOOKUP(K334,'Fevereiro 2023 - Valor Real'!A3:A15,'Fevereiro 2023 - Valor Real'!C3:C15,0))+1)+((L335/(L335-1)-1)*(1-_xlfn.XLOOKUP(K335,'Fevereiro 2023 - Valor Real'!A3:A15,'Fevereiro 2023 - Valor Real'!C3:C15,0))+1)),((L335-1)*(1-_xlfn.XLOOKUP(K335,'Fevereiro 2023 - Valor Real'!A3:A15,'Fevereiro 2023 - Valor Real'!C3:C15,0))+1)/(((L335-1)*(1-_xlfn.XLOOKUP(K335,'Fevereiro 2023 - Valor Real'!A3:A15,'Fevereiro 2023 - Valor Real'!C3:C15,0))+1)+((L334-1)*(1-_xlfn.XLOOKUP(K334,'Fevereiro 2023 - Valor Real'!A3:A15,'Fevereiro 2023 - Valor Real'!C3:C15,0))+1))))))</f>
        <v>0.36213991769547321</v>
      </c>
      <c r="AF334" s="66">
        <f t="shared" ref="AF334:AR343" si="686">IF($K334=AF$3,ROUND(IF(OR($C334="W",$C334="1/2W",$C334="1/2L"),$P334-$O334,IF($C334="X",0,-$O334)),2),0)</f>
        <v>0</v>
      </c>
      <c r="AG334" s="67">
        <f t="shared" si="686"/>
        <v>0</v>
      </c>
      <c r="AH334" s="67">
        <f t="shared" si="686"/>
        <v>0</v>
      </c>
      <c r="AI334" s="67">
        <f t="shared" si="686"/>
        <v>0</v>
      </c>
      <c r="AJ334" s="67">
        <f t="shared" si="686"/>
        <v>0</v>
      </c>
      <c r="AK334" s="67">
        <f t="shared" si="686"/>
        <v>0</v>
      </c>
      <c r="AL334" s="67">
        <f t="shared" si="686"/>
        <v>0</v>
      </c>
      <c r="AM334" s="67">
        <f t="shared" si="686"/>
        <v>0</v>
      </c>
      <c r="AN334" s="67">
        <f t="shared" si="686"/>
        <v>0</v>
      </c>
      <c r="AO334" s="67">
        <f t="shared" si="686"/>
        <v>0</v>
      </c>
      <c r="AP334" s="67">
        <f t="shared" si="686"/>
        <v>0</v>
      </c>
      <c r="AQ334" s="67">
        <f t="shared" si="686"/>
        <v>0</v>
      </c>
      <c r="AR334" s="68">
        <f t="shared" si="686"/>
        <v>0</v>
      </c>
      <c r="AS334" s="66">
        <f t="shared" ref="AS334:BE334" si="687">IF(AND($B334=" ",$K334=AS$3),$O334,0)</f>
        <v>0</v>
      </c>
      <c r="AT334" s="67">
        <f t="shared" si="687"/>
        <v>0</v>
      </c>
      <c r="AU334" s="67">
        <f t="shared" si="687"/>
        <v>0</v>
      </c>
      <c r="AV334" s="67">
        <f t="shared" si="687"/>
        <v>0</v>
      </c>
      <c r="AW334" s="67">
        <f t="shared" si="687"/>
        <v>0</v>
      </c>
      <c r="AX334" s="67">
        <f t="shared" si="687"/>
        <v>0</v>
      </c>
      <c r="AY334" s="69">
        <f t="shared" si="687"/>
        <v>0</v>
      </c>
      <c r="AZ334" s="70">
        <f t="shared" si="687"/>
        <v>0</v>
      </c>
      <c r="BA334" s="70">
        <f t="shared" si="687"/>
        <v>0</v>
      </c>
      <c r="BB334" s="70">
        <f t="shared" si="687"/>
        <v>0</v>
      </c>
      <c r="BC334" s="71">
        <f t="shared" si="687"/>
        <v>0</v>
      </c>
      <c r="BD334" s="67">
        <f t="shared" si="687"/>
        <v>0</v>
      </c>
      <c r="BE334" s="68">
        <f t="shared" si="687"/>
        <v>0</v>
      </c>
      <c r="BF334" s="66">
        <f t="shared" ref="BF334:BR343" si="688">IF($K334=BF$3,IF($C334="X",0,$O334),0)</f>
        <v>0</v>
      </c>
      <c r="BG334" s="67">
        <f t="shared" si="688"/>
        <v>0</v>
      </c>
      <c r="BH334" s="67">
        <f t="shared" si="688"/>
        <v>0</v>
      </c>
      <c r="BI334" s="67">
        <f t="shared" si="688"/>
        <v>0</v>
      </c>
      <c r="BJ334" s="67">
        <f t="shared" si="688"/>
        <v>0</v>
      </c>
      <c r="BK334" s="67">
        <f t="shared" si="688"/>
        <v>0</v>
      </c>
      <c r="BL334" s="67">
        <f t="shared" si="688"/>
        <v>0</v>
      </c>
      <c r="BM334" s="69">
        <f t="shared" si="688"/>
        <v>0</v>
      </c>
      <c r="BN334" s="70">
        <f t="shared" si="688"/>
        <v>0</v>
      </c>
      <c r="BO334" s="70">
        <f t="shared" si="688"/>
        <v>0</v>
      </c>
      <c r="BP334" s="70">
        <f t="shared" si="688"/>
        <v>0</v>
      </c>
      <c r="BQ334" s="71">
        <f t="shared" si="688"/>
        <v>0</v>
      </c>
      <c r="BR334" s="68">
        <f t="shared" si="688"/>
        <v>0</v>
      </c>
      <c r="BS334" s="490">
        <f>IF($B334="LOSS",IF(AND($K334=BS$3,$C334="L"),-$O334,0)+IF(AND($K335=BS$3,$C335="L"),-$O335,0)+IF(AND($K336=BS$3,$C336="L"),-$O336,0),IF(OR(AND($K334=BS$3,OR($C334="W",$C334="1/2W")),AND($K335=BS$3,OR($C335="W",$C335="1/2W")),AND($K336=BS$3,OR($C336="W",$C336="1/2W"))),$S334,0))</f>
        <v>0</v>
      </c>
      <c r="BT334" s="498">
        <f>IF($B334="LOSS",IF(AND($K334=BT$3,$C334="L"),-$O334,0)+IF(AND($K335=BT$3,$C335="L"),-$O335,0)+IF(AND($K335=BT$3,$C336="L"),-$O336,0),IF(OR(AND($K335=BT$3,OR($C334="W",$C334="1/2W")),AND($K335=BT$3,OR($C335="W",$C335="1/2W")),AND($K335=BT$3,OR($C336="W",$C336="1/2W"))),$S334,0))</f>
        <v>0</v>
      </c>
      <c r="BU334" s="488">
        <f>IF($B334="LOSS",IF(AND($K334=BU$3,$C334="L"),-$O334,0)+IF(AND($K335=BU$3,$C335="L"),-$O335,0)+IF(AND($K335=BU$3,$C336="L"),-$O336,0),IF(OR(AND($K335=BU$3,OR($C334="W",$C334="1/2W")),AND($K335=BU$3,OR($C335="W",$C335="1/2W")),AND($K335=BU$3,OR($C336="W",$C336="1/2W"))),$S334,0))</f>
        <v>0</v>
      </c>
      <c r="BV334" s="488">
        <f t="shared" ref="BV334:CE334" si="689">IF($B334="LOSS",IF(AND($K334=BV$3,$C334="L"),-$O334,0)+IF(AND($K335=BV$3,$C335="L"),-$O335,0)+IF(AND($K336=BV$3,$C336="L"),-$O336,0),IF(OR(AND($K334=BV$3,OR($C334="W",$C334="1/2W")),AND($K335=BV$3,OR($C335="W",$C335="1/2W")),AND($K336=BV$3,OR($C336="W",$C336="1/2W"))),$S334,0))</f>
        <v>0</v>
      </c>
      <c r="BW334" s="488">
        <f t="shared" si="689"/>
        <v>0</v>
      </c>
      <c r="BX334" s="488">
        <f t="shared" si="689"/>
        <v>0</v>
      </c>
      <c r="BY334" s="488">
        <f t="shared" si="689"/>
        <v>0</v>
      </c>
      <c r="BZ334" s="488">
        <f t="shared" si="689"/>
        <v>0</v>
      </c>
      <c r="CA334" s="488">
        <f t="shared" si="689"/>
        <v>0</v>
      </c>
      <c r="CB334" s="488">
        <f t="shared" si="689"/>
        <v>0</v>
      </c>
      <c r="CC334" s="488">
        <f t="shared" si="689"/>
        <v>0</v>
      </c>
      <c r="CD334" s="500">
        <f t="shared" si="689"/>
        <v>0</v>
      </c>
      <c r="CE334" s="504">
        <f t="shared" si="689"/>
        <v>0</v>
      </c>
      <c r="CF334" s="160">
        <f t="shared" si="644"/>
        <v>0</v>
      </c>
      <c r="CG334" s="161">
        <f t="shared" si="645"/>
        <v>0</v>
      </c>
      <c r="CH334" s="161">
        <f t="shared" si="646"/>
        <v>0</v>
      </c>
      <c r="CI334" s="161">
        <f t="shared" si="647"/>
        <v>0</v>
      </c>
      <c r="CJ334" s="161">
        <f t="shared" si="648"/>
        <v>0</v>
      </c>
      <c r="CK334" s="161">
        <f t="shared" si="649"/>
        <v>0</v>
      </c>
      <c r="CL334" s="161">
        <f t="shared" si="650"/>
        <v>0</v>
      </c>
      <c r="CM334" s="161">
        <f t="shared" si="651"/>
        <v>0</v>
      </c>
      <c r="CN334" s="161">
        <f t="shared" si="652"/>
        <v>0</v>
      </c>
      <c r="CO334" s="161">
        <f t="shared" si="653"/>
        <v>0</v>
      </c>
      <c r="CP334" s="161">
        <f t="shared" si="654"/>
        <v>0</v>
      </c>
      <c r="CQ334" s="161">
        <f t="shared" si="655"/>
        <v>0</v>
      </c>
      <c r="CR334" s="161">
        <f t="shared" si="656"/>
        <v>0</v>
      </c>
      <c r="CS334" s="161">
        <f t="shared" si="657"/>
        <v>0</v>
      </c>
      <c r="CT334" s="75">
        <f t="shared" si="658"/>
        <v>0</v>
      </c>
      <c r="CU334" s="76">
        <f t="shared" si="659"/>
        <v>0</v>
      </c>
      <c r="CV334" s="76">
        <f t="shared" si="660"/>
        <v>0</v>
      </c>
      <c r="CW334" s="76">
        <f t="shared" si="661"/>
        <v>0</v>
      </c>
      <c r="CX334" s="76">
        <f t="shared" si="662"/>
        <v>0</v>
      </c>
      <c r="CY334" s="76">
        <f t="shared" si="663"/>
        <v>0</v>
      </c>
      <c r="CZ334" s="76">
        <f t="shared" si="664"/>
        <v>0</v>
      </c>
      <c r="DA334" s="76">
        <f t="shared" si="665"/>
        <v>0</v>
      </c>
      <c r="DB334" s="76">
        <f t="shared" si="666"/>
        <v>0</v>
      </c>
      <c r="DC334" s="76">
        <f t="shared" si="667"/>
        <v>0</v>
      </c>
      <c r="DD334" s="76">
        <f t="shared" si="668"/>
        <v>0</v>
      </c>
      <c r="DE334" s="77">
        <f t="shared" si="669"/>
        <v>0</v>
      </c>
      <c r="DF334" s="73">
        <f t="shared" si="672"/>
        <v>24</v>
      </c>
      <c r="DG334" s="67">
        <f t="shared" si="673"/>
        <v>31.309999999999995</v>
      </c>
      <c r="DH334" s="76">
        <f t="shared" si="674"/>
        <v>9</v>
      </c>
      <c r="DI334" s="67">
        <f t="shared" si="675"/>
        <v>36.849999999999994</v>
      </c>
      <c r="DJ334" s="202" t="str">
        <f>IF($D334="","",$D334)</f>
        <v>9</v>
      </c>
      <c r="DK334" s="492">
        <f>IF(AND($B334=" ",$D334&lt;&gt;""),1,0)</f>
        <v>0</v>
      </c>
    </row>
    <row r="335" spans="1:115" ht="14.5" customHeight="1" x14ac:dyDescent="0.2">
      <c r="A335" s="389"/>
      <c r="B335" s="456"/>
      <c r="C335" s="53" t="s">
        <v>49</v>
      </c>
      <c r="D335" s="374"/>
      <c r="E335" s="386"/>
      <c r="F335" s="377"/>
      <c r="G335" s="508"/>
      <c r="H335" s="476"/>
      <c r="I335" s="182" t="s">
        <v>52</v>
      </c>
      <c r="J335" s="56">
        <v>7</v>
      </c>
      <c r="K335" s="57" t="s">
        <v>40</v>
      </c>
      <c r="L335" s="164">
        <v>1.76</v>
      </c>
      <c r="M335" s="165">
        <v>14.8</v>
      </c>
      <c r="N335" s="406"/>
      <c r="O335" s="60">
        <f>IF(OR(AE334="",AE335=""),"",ROUND(IF(L336&gt;0,IF(M335&gt;0,M335,IF(M334&gt;0,IF(N334=TRUE,ROUND((M334*AE335)/AE334,0),(M334*AE335)/AE334),IF(M335&gt;0,ROUND(M335,IF(N334=0,2,IF(N334=0.1,1,0))),IF(M336&gt;0,ROUND(O336*AE335/AE336,IF(N334=0,2,IF(N334=0.1,1,0))),0)))),IF(M335&gt;0,M335,ROUND((M334*AE335)/AE334,IF(N334=0,2,IF(N334=0.1,1,0))))),2))</f>
        <v>14.8</v>
      </c>
      <c r="P335" s="61">
        <f>IF(OR(L335="",O335=""),"",IF($C335="1/2W",O335/2+O335/2*L335,IF($C335="1/2L",O335/2,IF(I335="Lay",((O335*(L335/(L335-1)))-O335)*(1-_xlfn.XLOOKUP(K335,'Fevereiro 2023 - Valor Real'!A3:A15,'Fevereiro 2023 - Valor Real'!C3:C15,0))+O335,(O335*L335-O335)*(1-_xlfn.XLOOKUP(K335,'Fevereiro 2023 - Valor Real'!A3:A15,'Fevereiro 2023 - Valor Real'!C3:C15,0))+O335))))</f>
        <v>26.048000000000002</v>
      </c>
      <c r="Q335" s="166">
        <f>IF(K335="","",IF(_xlfn.XLOOKUP(K335,K$10:K326,$DJ$10:DJ326,0,,-1)=DJ335,_xlfn.XLOOKUP(K335,K$10:K326,Q$10:Q326,1,,-1)+1,1))</f>
        <v>6</v>
      </c>
      <c r="R335" s="167">
        <f>IF(K335="","",_xlfn.XLOOKUP(K335,K$10:K326,R$10:R326,0,,-1)+IF($C335=" ",1,0))</f>
        <v>0</v>
      </c>
      <c r="S335" s="403"/>
      <c r="T335" s="380"/>
      <c r="U335" s="380"/>
      <c r="V335" s="481"/>
      <c r="W335" s="380"/>
      <c r="X335" s="452"/>
      <c r="Y335" s="383"/>
      <c r="Z335" s="384"/>
      <c r="AA335" s="384"/>
      <c r="AB335" s="384"/>
      <c r="AC335" s="384"/>
      <c r="AD335" s="64"/>
      <c r="AE335" s="65">
        <f>IF(L335="","",IF(L336&gt;0,(SUM(((L334-1)*(1-_xlfn.XLOOKUP(K334,'Fevereiro 2023 - Valor Real'!A3:A15,'Fevereiro 2023 - Valor Real'!C3:C15,0))+1),((L335-1)*(1-_xlfn.XLOOKUP(K335,'Fevereiro 2023 - Valor Real'!A3:A15,'Fevereiro 2023 - Valor Real'!C3:C15,0))+1),((L336-1)*(1-_xlfn.XLOOKUP(K336,'Fevereiro 2023 - Valor Real'!A3:A15,'Fevereiro 2023 - Valor Real'!C3:C15,0))+1))/((L335-1)*(1-_xlfn.XLOOKUP(K335,'Fevereiro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Real'!C3:C15,0))+1))/((L334-1)*(1-_xlfn.XLOOKUP(K334,'Fevereiro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Real'!C3:C15,0))+1))/((L335-1)*(1-_xlfn.XLOOKUP(K335,'Fevereiro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Real'!C3:C15,0))+1))/((L336-1)*(1-_xlfn.XLOOKUP(K336,'Fevereiro 2023 - Valor Real'!A3:A15,'Fevereiro 2023 - Valor Real'!C3:C15,0))+1)),IF(I335="Lay",IF(I334="Lay",((L334/(L334-1)-1)*(1-_xlfn.XLOOKUP(K334,'Fevereiro 2023 - Valor Real'!A3:A15,'Fevereiro 2023 - Valor Real'!C3:C15,0))+1)/(((L334/(L334-1)-1)*(1-_xlfn.XLOOKUP(K334,'Fevereiro 2023 - Valor Real'!A3:A15,'Fevereiro 2023 - Valor Real'!C3:C15,0))+1)+((L335/(L335-1)-1)*(1-_xlfn.XLOOKUP(K335,'Fevereiro 2023 - Valor Real'!A3:A15,'Fevereiro 2023 - Valor Real'!C3:C15,0))+1)),((L334-1)*(1-_xlfn.XLOOKUP(K334,'Fevereiro 2023 - Valor Real'!A3:A15,'Fevereiro 2023 - Valor Real'!C3:C15,0))+1)/(((L334-1)*(1-_xlfn.XLOOKUP(K334,'Fevereiro 2023 - Valor Real'!A3:A15,'Fevereiro 2023 - Valor Real'!C3:C15,0))+1)+((L335/(L335-1)-1)*(1-_xlfn.XLOOKUP(K335,'Fevereiro 2023 - Valor Real'!A3:A15,'Fevereiro 2023 - Valor Real'!C3:C15,0))+1))),IF(I334="Lay",((L334/(L334-1)-1)*(1-_xlfn.XLOOKUP(K334,'Fevereiro 2023 - Valor Real'!A3:A15,'Fevereiro 2023 - Valor Real'!C3:C15,0))+1)/((((L334/(L334-1)-1)*(1-_xlfn.XLOOKUP(K334,'Fevereiro 2023 - Valor Real'!A3:A15,'Fevereiro 2023 - Valor Real'!C3:C15,0))+1))+((L335-1)*(1-_xlfn.XLOOKUP(K335,'Fevereiro 2023 - Valor Real'!A3:A15,'Fevereiro 2023 - Valor Real'!C3:C15,0))+1)),((L334-1)*(1-_xlfn.XLOOKUP(K334,'Fevereiro 2023 - Valor Real'!A3:A15,'Fevereiro 2023 - Valor Real'!C3:C15,0))+1)/(((L334-1)*(1-_xlfn.XLOOKUP(K334,'Fevereiro 2023 - Valor Real'!A3:A15,'Fevereiro 2023 - Valor Real'!C3:C15,0))+1)+((L335-1)*(1-_xlfn.XLOOKUP(K335,'Fevereiro 2023 - Valor Real'!A3:A15,'Fevereiro 2023 - Valor Real'!C3:C15,0))+1))))))</f>
        <v>0.63786008230452673</v>
      </c>
      <c r="AF335" s="66">
        <f t="shared" si="686"/>
        <v>0</v>
      </c>
      <c r="AG335" s="67">
        <f t="shared" si="686"/>
        <v>0</v>
      </c>
      <c r="AH335" s="67">
        <f t="shared" si="686"/>
        <v>0</v>
      </c>
      <c r="AI335" s="67">
        <f t="shared" si="686"/>
        <v>0</v>
      </c>
      <c r="AJ335" s="67">
        <f t="shared" si="686"/>
        <v>0</v>
      </c>
      <c r="AK335" s="67">
        <f t="shared" si="686"/>
        <v>0</v>
      </c>
      <c r="AL335" s="67">
        <f t="shared" si="686"/>
        <v>0</v>
      </c>
      <c r="AM335" s="67">
        <f t="shared" si="686"/>
        <v>0</v>
      </c>
      <c r="AN335" s="67">
        <f t="shared" si="686"/>
        <v>0</v>
      </c>
      <c r="AO335" s="67">
        <f t="shared" si="686"/>
        <v>0</v>
      </c>
      <c r="AP335" s="67">
        <f t="shared" si="686"/>
        <v>0</v>
      </c>
      <c r="AQ335" s="67">
        <f t="shared" si="686"/>
        <v>0</v>
      </c>
      <c r="AR335" s="68">
        <f t="shared" si="686"/>
        <v>0</v>
      </c>
      <c r="AS335" s="66">
        <f>IF(AND($B334=" ",$K335=AS$3),$O335,0)</f>
        <v>0</v>
      </c>
      <c r="AT335" s="67">
        <f>IF(AND($B334=" ",K335=AT$3),$O335,0)</f>
        <v>0</v>
      </c>
      <c r="AU335" s="67">
        <f t="shared" ref="AU335:BE335" si="690">IF(AND($B334=" ",$K335=AU$3),$O335,0)</f>
        <v>0</v>
      </c>
      <c r="AV335" s="67">
        <f t="shared" si="690"/>
        <v>0</v>
      </c>
      <c r="AW335" s="67">
        <f t="shared" si="690"/>
        <v>0</v>
      </c>
      <c r="AX335" s="67">
        <f t="shared" si="690"/>
        <v>0</v>
      </c>
      <c r="AY335" s="69">
        <f t="shared" si="690"/>
        <v>0</v>
      </c>
      <c r="AZ335" s="70">
        <f t="shared" si="690"/>
        <v>0</v>
      </c>
      <c r="BA335" s="70">
        <f t="shared" si="690"/>
        <v>0</v>
      </c>
      <c r="BB335" s="70">
        <f t="shared" si="690"/>
        <v>0</v>
      </c>
      <c r="BC335" s="71">
        <f t="shared" si="690"/>
        <v>0</v>
      </c>
      <c r="BD335" s="67">
        <f t="shared" si="690"/>
        <v>0</v>
      </c>
      <c r="BE335" s="68">
        <f t="shared" si="690"/>
        <v>0</v>
      </c>
      <c r="BF335" s="66">
        <f t="shared" si="688"/>
        <v>0</v>
      </c>
      <c r="BG335" s="168">
        <f t="shared" si="688"/>
        <v>0</v>
      </c>
      <c r="BH335" s="67">
        <f t="shared" si="688"/>
        <v>0</v>
      </c>
      <c r="BI335" s="67">
        <f t="shared" si="688"/>
        <v>0</v>
      </c>
      <c r="BJ335" s="67">
        <f t="shared" si="688"/>
        <v>0</v>
      </c>
      <c r="BK335" s="67">
        <f t="shared" si="688"/>
        <v>0</v>
      </c>
      <c r="BL335" s="67">
        <f t="shared" si="688"/>
        <v>0</v>
      </c>
      <c r="BM335" s="69">
        <f t="shared" si="688"/>
        <v>0</v>
      </c>
      <c r="BN335" s="70">
        <f t="shared" si="688"/>
        <v>0</v>
      </c>
      <c r="BO335" s="70">
        <f t="shared" si="688"/>
        <v>0</v>
      </c>
      <c r="BP335" s="70">
        <f t="shared" si="688"/>
        <v>0</v>
      </c>
      <c r="BQ335" s="71">
        <f t="shared" si="688"/>
        <v>0</v>
      </c>
      <c r="BR335" s="68">
        <f t="shared" si="688"/>
        <v>0</v>
      </c>
      <c r="BS335" s="491"/>
      <c r="BT335" s="489"/>
      <c r="BU335" s="392"/>
      <c r="BV335" s="489"/>
      <c r="BW335" s="392"/>
      <c r="BX335" s="392"/>
      <c r="BY335" s="392"/>
      <c r="BZ335" s="489"/>
      <c r="CA335" s="392"/>
      <c r="CB335" s="392"/>
      <c r="CC335" s="392"/>
      <c r="CD335" s="401"/>
      <c r="CE335" s="409"/>
      <c r="CF335" s="169">
        <f t="shared" si="644"/>
        <v>0</v>
      </c>
      <c r="CG335" s="170">
        <f t="shared" si="645"/>
        <v>0</v>
      </c>
      <c r="CH335" s="170">
        <f t="shared" si="646"/>
        <v>0</v>
      </c>
      <c r="CI335" s="170">
        <f t="shared" si="647"/>
        <v>0</v>
      </c>
      <c r="CJ335" s="170">
        <f t="shared" si="648"/>
        <v>0</v>
      </c>
      <c r="CK335" s="170">
        <f t="shared" si="649"/>
        <v>0</v>
      </c>
      <c r="CL335" s="170">
        <f t="shared" si="650"/>
        <v>0</v>
      </c>
      <c r="CM335" s="170">
        <f t="shared" si="651"/>
        <v>0</v>
      </c>
      <c r="CN335" s="170">
        <f t="shared" si="652"/>
        <v>0</v>
      </c>
      <c r="CO335" s="170">
        <f t="shared" si="653"/>
        <v>0</v>
      </c>
      <c r="CP335" s="170">
        <f t="shared" si="654"/>
        <v>0</v>
      </c>
      <c r="CQ335" s="170">
        <f t="shared" si="655"/>
        <v>0</v>
      </c>
      <c r="CR335" s="170">
        <f t="shared" si="656"/>
        <v>0</v>
      </c>
      <c r="CS335" s="170">
        <f t="shared" si="657"/>
        <v>0</v>
      </c>
      <c r="CT335" s="75">
        <f t="shared" si="658"/>
        <v>0</v>
      </c>
      <c r="CU335" s="76">
        <f t="shared" si="659"/>
        <v>0</v>
      </c>
      <c r="CV335" s="76">
        <f t="shared" si="660"/>
        <v>0</v>
      </c>
      <c r="CW335" s="76">
        <f t="shared" si="661"/>
        <v>0</v>
      </c>
      <c r="CX335" s="76">
        <f t="shared" si="662"/>
        <v>0</v>
      </c>
      <c r="CY335" s="76">
        <f t="shared" si="663"/>
        <v>0</v>
      </c>
      <c r="CZ335" s="76">
        <f t="shared" si="664"/>
        <v>0</v>
      </c>
      <c r="DA335" s="76">
        <f t="shared" si="665"/>
        <v>0</v>
      </c>
      <c r="DB335" s="76">
        <f t="shared" si="666"/>
        <v>0</v>
      </c>
      <c r="DC335" s="76">
        <f t="shared" si="667"/>
        <v>0</v>
      </c>
      <c r="DD335" s="76">
        <f t="shared" si="668"/>
        <v>0</v>
      </c>
      <c r="DE335" s="77">
        <f t="shared" si="669"/>
        <v>0</v>
      </c>
      <c r="DF335" s="73">
        <f t="shared" si="672"/>
        <v>24</v>
      </c>
      <c r="DG335" s="67">
        <f t="shared" si="673"/>
        <v>31.309999999999995</v>
      </c>
      <c r="DH335" s="76">
        <f t="shared" si="674"/>
        <v>9</v>
      </c>
      <c r="DI335" s="67">
        <f t="shared" si="675"/>
        <v>36.849999999999994</v>
      </c>
      <c r="DJ335" s="202" t="str">
        <f>IF($D334="","",$D334)</f>
        <v>9</v>
      </c>
      <c r="DK335" s="493"/>
    </row>
    <row r="336" spans="1:115" ht="14.5" customHeight="1" x14ac:dyDescent="0.2">
      <c r="A336" s="390"/>
      <c r="B336" s="457"/>
      <c r="C336" s="79" t="s">
        <v>53</v>
      </c>
      <c r="D336" s="375"/>
      <c r="E336" s="387"/>
      <c r="F336" s="378"/>
      <c r="G336" s="508"/>
      <c r="H336" s="477"/>
      <c r="I336" s="171"/>
      <c r="J336" s="172"/>
      <c r="K336" s="81"/>
      <c r="L336" s="173"/>
      <c r="M336" s="174"/>
      <c r="N336" s="407"/>
      <c r="O336" s="86" t="str">
        <f>IF(OR(AE334="",AE335=""),"",IF(L336&gt;0,ROUND(IF(M336&gt;0,M336,IF(M334&gt;0,ROUND((M334*AE336)/AE334,IF(N334=0,2,IF(N334=0.1,1,0))),IF(M335&gt;0,ROUND((M335*AE336)/AE335,IF(N334=0,2,IF(N334=0.1,1,0))),IF(M336&gt;0,M336,0)))),2),""))</f>
        <v/>
      </c>
      <c r="P336" s="87" t="str">
        <f>IF(I335="Lay",O335*(L335/(L335-1))-O335,IF(I334="Lay",O334*(L334/(L334-1))-O334,IF(OR(L336="",O336=""),"",IF($C336="1/2W",O336/2+O336/2*L336,IF($C336="1/2L",O336/2,(O336*L336-O336)*(1-_xlfn.XLOOKUP(K336,'Fevereiro 2023 - Valor Real'!A3:A15,'Fevereiro 2023 - Valor Real'!C3:C15,0))+O336)))))</f>
        <v/>
      </c>
      <c r="Q336" s="54" t="str">
        <f>IF(K336="","",IF(_xlfn.XLOOKUP(K336,K$11:K326,$DJ$11:DJ326,0,,-1)=DJ336,_xlfn.XLOOKUP(K336,K$11:K326,Q$11:Q326,1,,-1)+1,1))</f>
        <v/>
      </c>
      <c r="R336" s="87" t="str">
        <f>IF(K336="","",_xlfn.XLOOKUP(K336,K$11:K326,R$11:R326,0,,-1)+IF($C336=" ",1,0))</f>
        <v/>
      </c>
      <c r="S336" s="404"/>
      <c r="T336" s="378"/>
      <c r="U336" s="378"/>
      <c r="V336" s="404"/>
      <c r="W336" s="378"/>
      <c r="X336" s="453"/>
      <c r="Y336" s="383"/>
      <c r="Z336" s="384"/>
      <c r="AA336" s="384"/>
      <c r="AB336" s="384"/>
      <c r="AC336" s="384"/>
      <c r="AD336" s="90"/>
      <c r="AE336" s="91" t="str">
        <f>IF(L336="","",(SUM(((L334-1)*(1-_xlfn.XLOOKUP(K334,'Fevereiro 2023 - Valor Real'!A3:A15,'Fevereiro 2023 - Valor Real'!C3:C15,0))+1),((L335-1)*(1-_xlfn.XLOOKUP(K335,'Fevereiro 2023 - Valor Real'!A3:A15,'Fevereiro 2023 - Valor Real'!C3:C15,0))+1),((L336-1)*(1-_xlfn.XLOOKUP(K336,'Fevereiro 2023 - Valor Real'!A3:A15,'Fevereiro 2023 - Valor Real'!C3:C15,0))+1))/((L336-1)*(1-_xlfn.XLOOKUP(K336,'Fevereiro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Real'!C3:C15,0))+1))/((L334-1)*(1-_xlfn.XLOOKUP(K334,'Fevereiro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Real'!C3:C15,0))+1))/((L335-1)*(1-_xlfn.XLOOKUP(K335,'Fevereiro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Real'!C3:C15,0))+1))/((L336-1)*(1-_xlfn.XLOOKUP(K336,'Fevereiro 2023 - Valor Real'!A3:A15,'Fevereiro 2023 - Valor Real'!C3:C15,0))+1)))</f>
        <v/>
      </c>
      <c r="AF336" s="66">
        <f t="shared" si="686"/>
        <v>0</v>
      </c>
      <c r="AG336" s="67">
        <f t="shared" si="686"/>
        <v>0</v>
      </c>
      <c r="AH336" s="67">
        <f t="shared" si="686"/>
        <v>0</v>
      </c>
      <c r="AI336" s="67">
        <f t="shared" si="686"/>
        <v>0</v>
      </c>
      <c r="AJ336" s="67">
        <f t="shared" si="686"/>
        <v>0</v>
      </c>
      <c r="AK336" s="67">
        <f t="shared" si="686"/>
        <v>0</v>
      </c>
      <c r="AL336" s="67">
        <f t="shared" si="686"/>
        <v>0</v>
      </c>
      <c r="AM336" s="67">
        <f t="shared" si="686"/>
        <v>0</v>
      </c>
      <c r="AN336" s="67">
        <f t="shared" si="686"/>
        <v>0</v>
      </c>
      <c r="AO336" s="67">
        <f t="shared" si="686"/>
        <v>0</v>
      </c>
      <c r="AP336" s="67">
        <f t="shared" si="686"/>
        <v>0</v>
      </c>
      <c r="AQ336" s="67">
        <f t="shared" si="686"/>
        <v>0</v>
      </c>
      <c r="AR336" s="68">
        <f t="shared" si="686"/>
        <v>0</v>
      </c>
      <c r="AS336" s="66">
        <f>IF(AND($B334=" ",$K336=AS$3),$O336,0)</f>
        <v>0</v>
      </c>
      <c r="AT336" s="67">
        <f>IF(AND($B334=" ",K336=AT$3),$O336,0)</f>
        <v>0</v>
      </c>
      <c r="AU336" s="67">
        <f t="shared" ref="AU336:BE336" si="691">IF(AND($B334=" ",$K336=AU$3),$O336,0)</f>
        <v>0</v>
      </c>
      <c r="AV336" s="67">
        <f t="shared" si="691"/>
        <v>0</v>
      </c>
      <c r="AW336" s="67">
        <f t="shared" si="691"/>
        <v>0</v>
      </c>
      <c r="AX336" s="67">
        <f t="shared" si="691"/>
        <v>0</v>
      </c>
      <c r="AY336" s="69">
        <f t="shared" si="691"/>
        <v>0</v>
      </c>
      <c r="AZ336" s="70">
        <f t="shared" si="691"/>
        <v>0</v>
      </c>
      <c r="BA336" s="70">
        <f t="shared" si="691"/>
        <v>0</v>
      </c>
      <c r="BB336" s="70">
        <f t="shared" si="691"/>
        <v>0</v>
      </c>
      <c r="BC336" s="71">
        <f t="shared" si="691"/>
        <v>0</v>
      </c>
      <c r="BD336" s="67">
        <f t="shared" si="691"/>
        <v>0</v>
      </c>
      <c r="BE336" s="68">
        <f t="shared" si="691"/>
        <v>0</v>
      </c>
      <c r="BF336" s="66">
        <f t="shared" si="688"/>
        <v>0</v>
      </c>
      <c r="BG336" s="168">
        <f t="shared" si="688"/>
        <v>0</v>
      </c>
      <c r="BH336" s="67">
        <f t="shared" si="688"/>
        <v>0</v>
      </c>
      <c r="BI336" s="67">
        <f t="shared" si="688"/>
        <v>0</v>
      </c>
      <c r="BJ336" s="67">
        <f t="shared" si="688"/>
        <v>0</v>
      </c>
      <c r="BK336" s="67">
        <f t="shared" si="688"/>
        <v>0</v>
      </c>
      <c r="BL336" s="67">
        <f t="shared" si="688"/>
        <v>0</v>
      </c>
      <c r="BM336" s="69">
        <f t="shared" si="688"/>
        <v>0</v>
      </c>
      <c r="BN336" s="70">
        <f t="shared" si="688"/>
        <v>0</v>
      </c>
      <c r="BO336" s="70">
        <f t="shared" si="688"/>
        <v>0</v>
      </c>
      <c r="BP336" s="70">
        <f t="shared" si="688"/>
        <v>0</v>
      </c>
      <c r="BQ336" s="71">
        <f t="shared" si="688"/>
        <v>0</v>
      </c>
      <c r="BR336" s="68">
        <f t="shared" si="688"/>
        <v>0</v>
      </c>
      <c r="BS336" s="491"/>
      <c r="BT336" s="489"/>
      <c r="BU336" s="392"/>
      <c r="BV336" s="489"/>
      <c r="BW336" s="392"/>
      <c r="BX336" s="392"/>
      <c r="BY336" s="392"/>
      <c r="BZ336" s="489"/>
      <c r="CA336" s="392"/>
      <c r="CB336" s="392"/>
      <c r="CC336" s="392"/>
      <c r="CD336" s="401"/>
      <c r="CE336" s="409"/>
      <c r="CF336" s="169">
        <f t="shared" si="644"/>
        <v>0</v>
      </c>
      <c r="CG336" s="170">
        <f t="shared" si="645"/>
        <v>0</v>
      </c>
      <c r="CH336" s="170">
        <f t="shared" si="646"/>
        <v>0</v>
      </c>
      <c r="CI336" s="170">
        <f t="shared" si="647"/>
        <v>0</v>
      </c>
      <c r="CJ336" s="170">
        <f t="shared" si="648"/>
        <v>0</v>
      </c>
      <c r="CK336" s="170">
        <f t="shared" si="649"/>
        <v>0</v>
      </c>
      <c r="CL336" s="170">
        <f t="shared" si="650"/>
        <v>0</v>
      </c>
      <c r="CM336" s="170">
        <f t="shared" si="651"/>
        <v>0</v>
      </c>
      <c r="CN336" s="170">
        <f t="shared" si="652"/>
        <v>0</v>
      </c>
      <c r="CO336" s="170">
        <f t="shared" si="653"/>
        <v>0</v>
      </c>
      <c r="CP336" s="170">
        <f t="shared" si="654"/>
        <v>0</v>
      </c>
      <c r="CQ336" s="170">
        <f t="shared" si="655"/>
        <v>0</v>
      </c>
      <c r="CR336" s="170">
        <f t="shared" si="656"/>
        <v>0</v>
      </c>
      <c r="CS336" s="170">
        <f t="shared" si="657"/>
        <v>0</v>
      </c>
      <c r="CT336" s="75">
        <f t="shared" si="658"/>
        <v>0</v>
      </c>
      <c r="CU336" s="76">
        <f t="shared" si="659"/>
        <v>0</v>
      </c>
      <c r="CV336" s="76">
        <f t="shared" si="660"/>
        <v>0</v>
      </c>
      <c r="CW336" s="76">
        <f t="shared" si="661"/>
        <v>0</v>
      </c>
      <c r="CX336" s="76">
        <f t="shared" si="662"/>
        <v>0</v>
      </c>
      <c r="CY336" s="76">
        <f t="shared" si="663"/>
        <v>0</v>
      </c>
      <c r="CZ336" s="76">
        <f t="shared" si="664"/>
        <v>0</v>
      </c>
      <c r="DA336" s="76">
        <f t="shared" si="665"/>
        <v>0</v>
      </c>
      <c r="DB336" s="76">
        <f t="shared" si="666"/>
        <v>0</v>
      </c>
      <c r="DC336" s="76">
        <f t="shared" si="667"/>
        <v>0</v>
      </c>
      <c r="DD336" s="76">
        <f t="shared" si="668"/>
        <v>0</v>
      </c>
      <c r="DE336" s="77">
        <f t="shared" si="669"/>
        <v>0</v>
      </c>
      <c r="DF336" s="73">
        <f t="shared" si="672"/>
        <v>24</v>
      </c>
      <c r="DG336" s="67">
        <f t="shared" si="673"/>
        <v>31.309999999999995</v>
      </c>
      <c r="DH336" s="76">
        <f t="shared" si="674"/>
        <v>9</v>
      </c>
      <c r="DI336" s="67">
        <f t="shared" si="675"/>
        <v>36.849999999999994</v>
      </c>
      <c r="DJ336" s="202" t="str">
        <f>IF($D334="","",$D334)</f>
        <v>9</v>
      </c>
      <c r="DK336" s="493"/>
    </row>
    <row r="337" spans="1:115" ht="14.5" customHeight="1" x14ac:dyDescent="0.2">
      <c r="A337" s="459">
        <f>$A334+1</f>
        <v>112</v>
      </c>
      <c r="B337" s="507" t="str">
        <f>IF(OR(C337="W",C338="W",C339="W",C337="1/2W",C338="1/2W",C339="1/2W",C337="1/2L",C338="1/2L",C339="1/2L"),"OK",IF(OR(C337="L",C338="L",C339="L"),"LOSS",IF(OR(C337="X",C338="X",C339="X"),"Anulado"," ")))</f>
        <v>OK</v>
      </c>
      <c r="C337" s="93" t="s">
        <v>55</v>
      </c>
      <c r="D337" s="468" t="str">
        <f>IF(G337="","",$D334)</f>
        <v>9</v>
      </c>
      <c r="E337" s="485" t="str">
        <f>IF(G337=""," ","– "&amp;COUNTIF(D$4:D339,$D337))</f>
        <v>– 20</v>
      </c>
      <c r="F337" s="509" t="str">
        <f ca="1">IF(G337="","",IF(OR(AND($C337&lt;&gt;" ",$C338=" "),AND($C338&lt;&gt;" ",$C337=" "),AND(L339&gt;0,OR(AND($C339&lt;&gt;" ",OR($C337=" ",$C338=" ")),AND($C339=" ",OR($C337&lt;&gt;" ",$C338&lt;&gt;" "))))),IF(SUM(F$4:F336)=0,1,LARGE(F$4:F336,1)+1),IF(MONTH(G337)=MONTH(TODAY()),IF(AND(DAY(G337)&lt;DAY(TODAY()),$B337=" "),IF(SUM(F$4:F336)=0,1,LARGE(F$4:F336,1)+1),IF($B337=" ",IF(AND(DAY(G337)=DAY(TODAY()),HOUR(G337)&lt;=HOUR(NOW())+1),IF(AND(HOUR(G337)+2&lt;=HOUR(NOW()),DAY(G337)&lt;=DAY(TODAY()),MINUTE(G337)&lt;=MINUTE(NOW())),IF(SUM(F$4:F336)=0,1,LARGE(F$4:F336,1)+1),IF(OR(MINUTE(G337)&lt;=MINUTE(NOW()),HOUR(G337)&lt;=HOUR(NOW())),"!!!","")),""),"")),"")))</f>
        <v/>
      </c>
      <c r="G337" s="482">
        <v>44995.333333333336</v>
      </c>
      <c r="H337" s="475" t="s">
        <v>153</v>
      </c>
      <c r="I337" s="94" t="s">
        <v>66</v>
      </c>
      <c r="J337" s="95">
        <v>1</v>
      </c>
      <c r="K337" s="96" t="s">
        <v>40</v>
      </c>
      <c r="L337" s="97">
        <v>1.91</v>
      </c>
      <c r="M337" s="98">
        <v>14.84</v>
      </c>
      <c r="N337" s="478">
        <v>0</v>
      </c>
      <c r="O337" s="99">
        <f>IF(OR(AE337="",AE338=""),"",ROUND(IF(L339&gt;0,IF(M337&gt;0,M337,IF(M338&gt;0,ROUND((M338*AE337)/AE338,IF(N337=0,2,IF(N337=0.1,1,0))),ROUND((M339*AE337)/AE339,IF(N337=0,2,IF(N337=0.1,1,0))))),IF(M337&gt;0,M337,ROUND((M338*AE337)/AE338,IF(N337=0,2,IF(N337=0.1,1,0))))),2))</f>
        <v>14.84</v>
      </c>
      <c r="P337" s="100">
        <f>IF(OR(L337="",O337=""),"",IF($C337="1/2W",O337/2+O337/2*L337,IF($C337="1/2L",O337/2,IF(I337="Lay",(O337*(L337/(L337-1))-O337)*(1-_xlfn.XLOOKUP(K337,'Fevereiro 2023 - Valor Real'!A3:A15,'Fevereiro 2023 - Valor Real'!C3:C15,0))+O337,(O337*L337-O337)*(1-_xlfn.XLOOKUP(K337,'Fevereiro 2023 - Valor Real'!A3:A15,'Fevereiro 2023 - Valor Real'!C3:C15,0))+O337))))</f>
        <v>28.3444</v>
      </c>
      <c r="Q337" s="101">
        <f>IF(K337="","",IF(_xlfn.XLOOKUP(K337,K$4:K336,$DJ$4:DJ336,0,,-1)=DJ337,_xlfn.XLOOKUP(K337,K$4:K336,Q$4:Q336,1,,-1)+1,1))</f>
        <v>7</v>
      </c>
      <c r="R337" s="102">
        <f>IF(K337="","",_xlfn.XLOOKUP(K337,K$4:K336,R$4:R336,0,,-1)+IF($C337=" ",1,0))</f>
        <v>0</v>
      </c>
      <c r="S337" s="474">
        <f>IF($B337="Anulado",0,ROUND(IF(OR($B337="LOSS",$B337="OK"),IF(OR($C337="W",$C337="1/2W",$C337="1/2L"),P337-O337,IF($C337="L",-O337,0))+IF(OR($C338="W",$C338="1/2W",$C338="1/2L"),P338-O338,IF($C338="L",-O338,0))+IF(OR($C339="W",$C339="1/2W",$C339="1/2L"),P339-O339,IF($C339="L",-O339,0)),IF(AND(OR($C337="W",$C337="1/2W",$C337="1/2L"),C338="W"),P337+P338-SUM(O337:O339)+_xlfn.XLOOKUP("X",C337:C339,O337:O339,0),IF(AND(C337=TRUE,C339="W"),P337+P339-SUM(O337:O339),IF(AND(C338="W",C339="W"),P338+P339-SUM(O337:O339)+_xlfn.XLOOKUP("X",C337:C339,O337:O339,0),IF(L339&gt;0,IF(OR($C337="W",$C337="1/2W",$C337="1/2L"),P337-SUM(O337:O339)+_xlfn.XLOOKUP("X",C337:C339,O337:O339,0),IF(OR($C337="W",$C337="1/2W",$C337="1/2L"),P338-SUM(O337:O339)+_xlfn.XLOOKUP("X",C337:C339,O337:O339,0),IF(OR($C337="W",$C337="1/2W",$C337="1/2L"),P339-SUM(O337:O339)+_xlfn.XLOOKUP("X",C337:C339,O337:O339,0),IF(SUM(P337:P339)/3-SUM(O337:O339)+_xlfn.XLOOKUP("X",C337:C339,O337:O339,0)&gt;0,SUM(P337:P339)/3-SUM(O337:O339)+_xlfn.XLOOKUP("X",C337:C339,O337:O339,0),LARGE(P337:P339,1)-SUM(O337:O339))))),IF(OR($C337="W",$C337="1/2W",$C337="1/2L"),P337-SUM(O337:O338)+_xlfn.XLOOKUP("X",C337:C339,O337:O339,0),IF(OR($C337="W",$C337="1/2W",$C337="1/2L"),P338-SUM(O337:O338)+_xlfn.XLOOKUP("X",C337:C339,O337:O339,0),SUM(P337:P338)/2-SUM(O337:O338)+_xlfn.XLOOKUP("X",C337:C339,O337:O339,0)))))))),2))</f>
        <v>1.33</v>
      </c>
      <c r="T337" s="458">
        <f>IF(S337=0,0,S337/SUM(O337:O339))</f>
        <v>4.925925925925926E-2</v>
      </c>
      <c r="U337" s="470">
        <f>IF($D337=$D334,IF(OR($B337="LOSS",$B337="OK",$B337="Anulada"),S337,0)+U334,IF(OR($B337="LOSS",$B337="OK",$B337="Anulada"),S337,0))</f>
        <v>48.35</v>
      </c>
      <c r="V337" s="470">
        <f>IF($D337="",0,IF($D337=$D334,IF($B337=" ",IF(I339="",IF(OR(AND(I337="DNB1",I338="DNB2"),AND(OR(I337="DNB1",I337="DNB2"),J338=0),AND(OR(I338="DNB1",I338="DNB2"),J337=0),AND(I337="DNB2",I338="DNB1"),AND(IF(J337=0,(J337+1)/ROUND(J337+1,0),J337/ROUND(J337,0))=1,IF(J338=0,(J338+1)/ROUND(IF(J338="",0,J338)+1,0),IF(J338="",0,J338)/ROUND(IF(J338="",1,J338),0))=1,OR(J337&lt;&gt;""),J338&lt;&gt;"")),0,IF(S337&lt;0,IF(I339="",SMALL(P337:P338,1)-SUM(O337:O338),0),SMALL(P337:P338,1)-SUM(O337:O338))),IF(S337&lt;0,IF(I339="",SMALL(P337:P339,1)-SUM(O337:O339),0),LARGE(P337:P339,1)-SUM(O337:O339))),S337)+V334,IF(I339="",IF(OR(AND(I337="DNB1",I338="DNB2"),AND(OR(I337="DNB1",I337="DNB2"),J338=0),AND(OR(I338="DNB1",I338="DNB2"),J337=0),AND(I337="DNB2",I338="DNB1"),AND(IF(J337=0,(J337+1)/ROUND(J337+1,0),J337/ROUND(J337,0))=1,IF(J338=0,(IF(J338="",0,J338)+1)/ROUND(IF(J338="",0,J338)+1,0),IF(J338="",0,J338)/ROUND(IF(J338="",0,J338)+1,0))=1,OR(J337&lt;&gt;""),J338&lt;&gt;"")),0,IF(S337&lt;0,IF(I339="",SMALL(P337:P338,1)-SUM(O337:O338),0),SMALL(P337:P339,1)-SUM(O337:O339))),IF(S337&lt;0,IF(I339="",SMALL(P337:P339,1)-SUM(O337:O339),0),LARGE(P337:P339,1)-SUM(O337:O339)))))</f>
        <v>48.3504</v>
      </c>
      <c r="W337" s="470">
        <f>IF($D337=$D334,IF(S337&lt;0,IF(I339="",S337,0),S337)+W334,S337)</f>
        <v>48.35</v>
      </c>
      <c r="X337" s="480" t="str">
        <f>IF(OR(SUM(R337:R339)=0,V337=W337),ROUND(IF(W337=0,0,W337/Y337)*100,2)&amp;"%",ROUND(IF(V337=0,0,V337/Y337)*100,2)&amp;"% a "&amp;ROUND(IF(W337=0,0,W337/Y337)*100,2)&amp;"%")</f>
        <v>5,14%</v>
      </c>
      <c r="Y337" s="471">
        <f>IF($D337=$D334,Y334+SUM(O337:O339),SUM(O337:O339))</f>
        <v>940.83</v>
      </c>
      <c r="Z337" s="470">
        <f>IF($B337=" ",SUM(O337:O339),0)+Z334</f>
        <v>0</v>
      </c>
      <c r="AA337" s="470">
        <f>IF(G337="","",IF($B337="Anulado",LARGE(P337:P339,1)-SUM(O337:O339)+AA334,AA334))</f>
        <v>8.7641999999999936</v>
      </c>
      <c r="AB337" s="470">
        <f>IF($D337="","",AB334+S337)</f>
        <v>489.21000000000004</v>
      </c>
      <c r="AC337" s="472">
        <f ca="1">IF($D337="","",IF($B337=" ",IF(DAY(G337)=DAY(TODAY()),1+AC334,0+AC334),0+AC334))</f>
        <v>0</v>
      </c>
      <c r="AD337" s="103">
        <f>(((L338/(L338-1)-1)*(1-_xlfn.XLOOKUP(K338,'Fevereiro 2023 - Valor Real'!A3:A15,'Fevereiro 2023 - Valor Real'!C3:C15,0))+1))/(((L337-1)*(1-_xlfn.XLOOKUP(K337,'Fevereiro 2023 - Valor Real'!A3:A15,'Fevereiro 2023 - Valor Real'!C3:C15,0))+1)+((L338/(L338-1)-1)*(1-_xlfn.XLOOKUP(K338,'Fevereiro 2023 - Valor Real'!A3:A15,'Fevereiro 2023 - Valor Real'!C3:C15,0))+1))</f>
        <v>0.47840995421226618</v>
      </c>
      <c r="AE337" s="104">
        <f>IF(L337="","",IF(L339&gt;0,(SUM(((L337-1)*(1-_xlfn.XLOOKUP(K337,'Fevereiro 2023 - Valor Real'!A3:A15,'Fevereiro 2023 - Valor Real'!C3:C15,0))+1),((L338-1)*(1-_xlfn.XLOOKUP(K338,'Fevereiro 2023 - Valor Real'!A3:A15,'Fevereiro 2023 - Valor Real'!C3:C15,0))+1),((L339-1)*(1-_xlfn.XLOOKUP(K339,'Fevereiro 2023 - Valor Real'!A3:A15,'Fevereiro 2023 - Valor Real'!C3:C15,0))+1))/((L337-1)*(1-_xlfn.XLOOKUP(K337,'Fevereiro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Real'!C3:C15,0))+1))/((L337-1)*(1-_xlfn.XLOOKUP(K337,'Fevereiro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Real'!C3:C15,0))+1))/((L338-1)*(1-_xlfn.XLOOKUP(K338,'Fevereiro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Real'!C3:C15,0))+1))/((L339-1)*(1-_xlfn.XLOOKUP(K339,'Fevereiro 2023 - Valor Real'!A3:A15,'Fevereiro 2023 - Valor Real'!C3:C15,0))+1)),IF(I337="Lay",IF(I338="Lay",((L338/(L338-1)-1)*(1-_xlfn.XLOOKUP(K338,'Fevereiro 2023 - Valor Real'!A3:A15,'Fevereiro 2023 - Valor Real'!C3:C15,0))+1)/(((L338/(L338-1)-1)*(1-_xlfn.XLOOKUP(K338,'Fevereiro 2023 - Valor Real'!A3:A15,'Fevereiro 2023 - Valor Real'!C3:C15,0))+1)+((L337/(L337-1)-1)*(1-_xlfn.XLOOKUP(K337,'Fevereiro 2023 - Valor Real'!A3:A15,'Fevereiro 2023 - Valor Real'!C3:C15,0))+1)),((L338-1)*(1-_xlfn.XLOOKUP(K338,'Fevereiro 2023 - Valor Real'!A3:A15,'Fevereiro 2023 - Valor Real'!C3:C15,0))+1)/(((L338-1)*(1-_xlfn.XLOOKUP(K338,'Fevereiro 2023 - Valor Real'!A3:A15,'Fevereiro 2023 - Valor Real'!C3:C15,0))+1)+((L337/(L337-1)-1)*(1-_xlfn.XLOOKUP(K337,'Fevereiro 2023 - Valor Real'!A3:A15,'Fevereiro 2023 - Valor Real'!C3:C15,0))+1))),IF(I338="Lay",(((L338/(L338-1)-1)*(1-_xlfn.XLOOKUP(K338,'Fevereiro 2023 - Valor Real'!A3:A15,'Fevereiro 2023 - Valor Real'!C3:C15,0))+1))/(((L337-1)*(1-_xlfn.XLOOKUP(K337,'Fevereiro 2023 - Valor Real'!A3:A15,'Fevereiro 2023 - Valor Real'!C3:C15,0))+1)+((L338/(L338-1)-1)*(1-_xlfn.XLOOKUP(K338,'Fevereiro 2023 - Valor Real'!A3:A15,'Fevereiro 2023 - Valor Real'!C3:C15,0))+1)),((L338-1)*(1-_xlfn.XLOOKUP(K338,'Fevereiro 2023 - Valor Real'!A3:A15,'Fevereiro 2023 - Valor Real'!C3:C15,0))+1)/(((L338-1)*(1-_xlfn.XLOOKUP(K338,'Fevereiro 2023 - Valor Real'!A3:A15,'Fevereiro 2023 - Valor Real'!C3:C15,0))+1)+((L337-1)*(1-_xlfn.XLOOKUP(K337,'Fevereiro 2023 - Valor Real'!A3:A15,'Fevereiro 2023 - Valor Real'!C3:C15,0))+1))))))</f>
        <v>0.54952830188679247</v>
      </c>
      <c r="AF337" s="105">
        <f t="shared" si="686"/>
        <v>0</v>
      </c>
      <c r="AG337" s="106">
        <f t="shared" si="686"/>
        <v>0</v>
      </c>
      <c r="AH337" s="106">
        <f t="shared" si="686"/>
        <v>0</v>
      </c>
      <c r="AI337" s="106">
        <f t="shared" si="686"/>
        <v>0</v>
      </c>
      <c r="AJ337" s="106">
        <f t="shared" si="686"/>
        <v>-14.84</v>
      </c>
      <c r="AK337" s="106">
        <f t="shared" si="686"/>
        <v>0</v>
      </c>
      <c r="AL337" s="106">
        <f t="shared" si="686"/>
        <v>0</v>
      </c>
      <c r="AM337" s="106">
        <f t="shared" si="686"/>
        <v>0</v>
      </c>
      <c r="AN337" s="106">
        <f t="shared" si="686"/>
        <v>0</v>
      </c>
      <c r="AO337" s="106">
        <f t="shared" si="686"/>
        <v>0</v>
      </c>
      <c r="AP337" s="106">
        <f t="shared" si="686"/>
        <v>0</v>
      </c>
      <c r="AQ337" s="106">
        <f t="shared" si="686"/>
        <v>0</v>
      </c>
      <c r="AR337" s="107">
        <f t="shared" si="686"/>
        <v>0</v>
      </c>
      <c r="AS337" s="105">
        <f t="shared" ref="AS337:BE337" si="692">IF(AND($B337=" ",$K337=AS$3),$O337,0)</f>
        <v>0</v>
      </c>
      <c r="AT337" s="106">
        <f t="shared" si="692"/>
        <v>0</v>
      </c>
      <c r="AU337" s="106">
        <f t="shared" si="692"/>
        <v>0</v>
      </c>
      <c r="AV337" s="106">
        <f t="shared" si="692"/>
        <v>0</v>
      </c>
      <c r="AW337" s="106">
        <f t="shared" si="692"/>
        <v>0</v>
      </c>
      <c r="AX337" s="106">
        <f t="shared" si="692"/>
        <v>0</v>
      </c>
      <c r="AY337" s="108">
        <f t="shared" si="692"/>
        <v>0</v>
      </c>
      <c r="AZ337" s="109">
        <f t="shared" si="692"/>
        <v>0</v>
      </c>
      <c r="BA337" s="109">
        <f t="shared" si="692"/>
        <v>0</v>
      </c>
      <c r="BB337" s="109">
        <f t="shared" si="692"/>
        <v>0</v>
      </c>
      <c r="BC337" s="110">
        <f t="shared" si="692"/>
        <v>0</v>
      </c>
      <c r="BD337" s="106">
        <f t="shared" si="692"/>
        <v>0</v>
      </c>
      <c r="BE337" s="107">
        <f t="shared" si="692"/>
        <v>0</v>
      </c>
      <c r="BF337" s="111">
        <f t="shared" si="688"/>
        <v>0</v>
      </c>
      <c r="BG337" s="106">
        <f t="shared" si="688"/>
        <v>0</v>
      </c>
      <c r="BH337" s="106">
        <f t="shared" si="688"/>
        <v>0</v>
      </c>
      <c r="BI337" s="106">
        <f t="shared" si="688"/>
        <v>0</v>
      </c>
      <c r="BJ337" s="106">
        <f t="shared" si="688"/>
        <v>14.84</v>
      </c>
      <c r="BK337" s="106">
        <f t="shared" si="688"/>
        <v>0</v>
      </c>
      <c r="BL337" s="106">
        <f t="shared" si="688"/>
        <v>0</v>
      </c>
      <c r="BM337" s="108">
        <f t="shared" si="688"/>
        <v>0</v>
      </c>
      <c r="BN337" s="109">
        <f t="shared" si="688"/>
        <v>0</v>
      </c>
      <c r="BO337" s="109">
        <f t="shared" si="688"/>
        <v>0</v>
      </c>
      <c r="BP337" s="109">
        <f t="shared" si="688"/>
        <v>0</v>
      </c>
      <c r="BQ337" s="110">
        <f t="shared" si="688"/>
        <v>0</v>
      </c>
      <c r="BR337" s="107">
        <f t="shared" si="688"/>
        <v>0</v>
      </c>
      <c r="BS337" s="463">
        <f>IF($B337="LOSS",IF(AND($K337=BS$3,$C337="L"),-$O337,0)+IF(AND($K338=BS$3,$C338="L"),-$O338,0)+IF(AND($K339=BS$3,$C339="L"),-$O339,0),IF(OR(AND($K337=BS$3,OR($C337="W",$C337="1/2W")),AND($K338=BS$3,OR($C338="W",$C338="1/2W")),AND($K339=BS$3,OR($C339="W",$C339="1/2W"))),$S337,0))</f>
        <v>0</v>
      </c>
      <c r="BT337" s="462">
        <f>IF($B337="LOSS",IF(AND($K337=BT$3,$C337="L"),-$O337,0)+IF(AND($K338=BT$3,$C338="L"),-$O338,0)+IF(AND($K338=BT$3,$C339="L"),-$O339,0),IF(OR(AND($K338=BT$3,OR($C337="W",$C337="1/2W")),AND($K338=BT$3,OR($C338="W",$C338="1/2W")),AND($K338=BT$3,OR($C339="W",$C339="1/2W"))),$S337,0))</f>
        <v>0</v>
      </c>
      <c r="BU337" s="462">
        <f>IF($B337="LOSS",IF(AND($K337=BU$3,$C337="L"),-$O337,0)+IF(AND($K338=BU$3,$C338="L"),-$O338,0)+IF(AND($K338=BU$3,$C339="L"),-$O339,0),IF(OR(AND($K338=BU$3,OR($C337="W",$C337="1/2W")),AND($K338=BU$3,OR($C338="W",$C338="1/2W")),AND($K338=BU$3,OR($C339="W",$C339="1/2W"))),$S337,0))</f>
        <v>0</v>
      </c>
      <c r="BV337" s="462">
        <f t="shared" ref="BV337:CE337" si="693">IF($B337="LOSS",IF(AND($K337=BV$3,$C337="L"),-$O337,0)+IF(AND($K338=BV$3,$C338="L"),-$O338,0)+IF(AND($K339=BV$3,$C339="L"),-$O339,0),IF(OR(AND($K337=BV$3,OR($C337="W",$C337="1/2W")),AND($K338=BV$3,OR($C338="W",$C338="1/2W")),AND($K339=BV$3,OR($C339="W",$C339="1/2W"))),$S337,0))</f>
        <v>0</v>
      </c>
      <c r="BW337" s="462">
        <f t="shared" si="693"/>
        <v>0</v>
      </c>
      <c r="BX337" s="462">
        <f t="shared" si="693"/>
        <v>0</v>
      </c>
      <c r="BY337" s="462">
        <f t="shared" si="693"/>
        <v>0</v>
      </c>
      <c r="BZ337" s="460">
        <f t="shared" si="693"/>
        <v>0</v>
      </c>
      <c r="CA337" s="460">
        <f t="shared" si="693"/>
        <v>0</v>
      </c>
      <c r="CB337" s="460">
        <f t="shared" si="693"/>
        <v>0</v>
      </c>
      <c r="CC337" s="460">
        <f t="shared" si="693"/>
        <v>0</v>
      </c>
      <c r="CD337" s="473">
        <f t="shared" si="693"/>
        <v>1.33</v>
      </c>
      <c r="CE337" s="479">
        <f t="shared" si="693"/>
        <v>0</v>
      </c>
      <c r="CF337" s="113">
        <f t="shared" si="644"/>
        <v>0</v>
      </c>
      <c r="CG337" s="114">
        <f t="shared" si="645"/>
        <v>0</v>
      </c>
      <c r="CH337" s="114">
        <f t="shared" si="646"/>
        <v>0</v>
      </c>
      <c r="CI337" s="114">
        <f t="shared" si="647"/>
        <v>0</v>
      </c>
      <c r="CJ337" s="114">
        <f t="shared" si="648"/>
        <v>0</v>
      </c>
      <c r="CK337" s="114">
        <f t="shared" si="649"/>
        <v>0</v>
      </c>
      <c r="CL337" s="114">
        <f t="shared" si="650"/>
        <v>0</v>
      </c>
      <c r="CM337" s="114">
        <f t="shared" si="651"/>
        <v>0</v>
      </c>
      <c r="CN337" s="114">
        <f t="shared" si="652"/>
        <v>0</v>
      </c>
      <c r="CO337" s="114">
        <f t="shared" si="653"/>
        <v>1</v>
      </c>
      <c r="CP337" s="114">
        <f t="shared" si="654"/>
        <v>0</v>
      </c>
      <c r="CQ337" s="114">
        <f t="shared" si="655"/>
        <v>0</v>
      </c>
      <c r="CR337" s="114">
        <f t="shared" si="656"/>
        <v>0</v>
      </c>
      <c r="CS337" s="114">
        <f t="shared" si="657"/>
        <v>0</v>
      </c>
      <c r="CT337" s="115">
        <f t="shared" si="658"/>
        <v>0</v>
      </c>
      <c r="CU337" s="116">
        <f t="shared" si="659"/>
        <v>0</v>
      </c>
      <c r="CV337" s="116">
        <f t="shared" si="660"/>
        <v>0</v>
      </c>
      <c r="CW337" s="116">
        <f t="shared" si="661"/>
        <v>0</v>
      </c>
      <c r="CX337" s="116">
        <f t="shared" si="662"/>
        <v>0</v>
      </c>
      <c r="CY337" s="116">
        <f t="shared" si="663"/>
        <v>0</v>
      </c>
      <c r="CZ337" s="116">
        <f t="shared" si="664"/>
        <v>0</v>
      </c>
      <c r="DA337" s="116">
        <f t="shared" si="665"/>
        <v>0</v>
      </c>
      <c r="DB337" s="116">
        <f t="shared" si="666"/>
        <v>0</v>
      </c>
      <c r="DC337" s="116">
        <f t="shared" si="667"/>
        <v>0</v>
      </c>
      <c r="DD337" s="116">
        <f t="shared" si="668"/>
        <v>0</v>
      </c>
      <c r="DE337" s="117">
        <f t="shared" si="669"/>
        <v>0</v>
      </c>
      <c r="DF337" s="118">
        <f t="shared" si="672"/>
        <v>24</v>
      </c>
      <c r="DG337" s="106">
        <f t="shared" si="673"/>
        <v>31.309999999999995</v>
      </c>
      <c r="DH337" s="116">
        <f t="shared" si="674"/>
        <v>9</v>
      </c>
      <c r="DI337" s="106">
        <f t="shared" si="675"/>
        <v>36.849999999999994</v>
      </c>
      <c r="DJ337" s="201" t="str">
        <f>IF($D337="","",$D337)</f>
        <v>9</v>
      </c>
      <c r="DK337" s="465">
        <f>IF(AND($B337=" ",$D337&lt;&gt;""),1,0)</f>
        <v>0</v>
      </c>
    </row>
    <row r="338" spans="1:115" ht="14.5" customHeight="1" x14ac:dyDescent="0.2">
      <c r="A338" s="389"/>
      <c r="B338" s="456"/>
      <c r="C338" s="120" t="s">
        <v>54</v>
      </c>
      <c r="D338" s="374"/>
      <c r="E338" s="386"/>
      <c r="F338" s="377"/>
      <c r="G338" s="483"/>
      <c r="H338" s="476"/>
      <c r="I338" s="121" t="s">
        <v>76</v>
      </c>
      <c r="J338" s="122">
        <f>IF(OR(I337="TO",I337="TU",I337="TO1",I337="TU1",I337="TO2",I337="TU2"),J337,IF(OR(I337="AH1",I337="AH2"),IF(OR(I338="AH1",I338="AH2"),-J337,IF(OR(I338="EH1",I338="EH2"),-J337+0.5,"")),IF(OR(I337="EH1",I337="EH2"),IF(OR(I338="AH1",I338="AH2"),-J337+0.5,IF(OR(I338="EH1",I338="EH2"),-J337+1,"")),IF(AND(OR(I337="DNB1",I337="DNB2"),OR(I338="AH1",I338="AH2")),0,IF(AND(I337="Not ScoreBoth",OR(I338="TO1",I338="TO2")),0.5,"")))))</f>
        <v>-1</v>
      </c>
      <c r="K338" s="123" t="s">
        <v>47</v>
      </c>
      <c r="L338" s="124">
        <v>2.33</v>
      </c>
      <c r="M338" s="125">
        <v>12.16</v>
      </c>
      <c r="N338" s="406"/>
      <c r="O338" s="126">
        <f>IF(OR(AE337="",AE338=""),"",ROUND(IF(L339&gt;0,IF(M338&gt;0,M338,IF(M337&gt;0,IF(N337=TRUE,ROUND((M337*AE338)/AE337,0),(M337*AE338)/AE337),IF(M338&gt;0,ROUND(M338,IF(N337=0,2,IF(N337=0.1,1,0))),IF(M339&gt;0,ROUND(O339*AE338/AE339,IF(N337=0,2,IF(N337=0.1,1,0))),0)))),IF(M338&gt;0,M338,ROUND((M337*AE338)/AE337,IF(N337=0,2,IF(N337=0.1,1,0))))),2))</f>
        <v>12.16</v>
      </c>
      <c r="P338" s="127">
        <f>IF(OR(L338="",O338=""),"",IF($C338="1/2W",O338/2+O338/2*L338,IF($C338="1/2L",O338/2,IF(I338="Lay",((O338*(L338/(L338-1)))-O338)*(1-_xlfn.XLOOKUP(K338,'Fevereiro 2023 - Valor Real'!A3:A15,'Fevereiro 2023 - Valor Real'!C3:C15,0))+O338,(O338*L338-O338)*(1-_xlfn.XLOOKUP(K338,'Fevereiro 2023 - Valor Real'!A3:A15,'Fevereiro 2023 - Valor Real'!C3:C15,0))+O338))))</f>
        <v>28.332800000000002</v>
      </c>
      <c r="Q338" s="128">
        <f>IF(K338="","",IF(_xlfn.XLOOKUP(K338,K$4:K337,$DJ$4:DJ337,0,,-1)=DJ338,_xlfn.XLOOKUP(K338,K$4:K337,Q$4:Q337,1,,-1)+1,1))</f>
        <v>7</v>
      </c>
      <c r="R338" s="129">
        <f>IF(K338="","",_xlfn.XLOOKUP(K338,K$4:K337,R$4:R337,0,,-1)+IF($C338=" ",1,0))</f>
        <v>0</v>
      </c>
      <c r="S338" s="403"/>
      <c r="T338" s="380"/>
      <c r="U338" s="380"/>
      <c r="V338" s="481"/>
      <c r="W338" s="380"/>
      <c r="X338" s="452"/>
      <c r="Y338" s="383"/>
      <c r="Z338" s="384"/>
      <c r="AA338" s="384"/>
      <c r="AB338" s="384"/>
      <c r="AC338" s="384"/>
      <c r="AD338" s="130">
        <f>(((L338/(L338-1)-1)*(1-_xlfn.XLOOKUP(K338,'Fevereiro 2023 - Valor Real'!A3:A15,'Fevereiro 2023 - Valor Real'!C3:C15,0))+1))</f>
        <v>1.7518796992481203</v>
      </c>
      <c r="AE338" s="131">
        <f>IF(L338="","",IF(L339&gt;0,(SUM(((L337-1)*(1-_xlfn.XLOOKUP(K337,'Fevereiro 2023 - Valor Real'!A3:A15,'Fevereiro 2023 - Valor Real'!C3:C15,0))+1),((L338-1)*(1-_xlfn.XLOOKUP(K338,'Fevereiro 2023 - Valor Real'!A3:A15,'Fevereiro 2023 - Valor Real'!C3:C15,0))+1),((L339-1)*(1-_xlfn.XLOOKUP(K339,'Fevereiro 2023 - Valor Real'!A3:A15,'Fevereiro 2023 - Valor Real'!C3:C15,0))+1))/((L338-1)*(1-_xlfn.XLOOKUP(K338,'Fevereiro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Real'!C3:C15,0))+1))/((L337-1)*(1-_xlfn.XLOOKUP(K337,'Fevereiro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Real'!C3:C15,0))+1))/((L338-1)*(1-_xlfn.XLOOKUP(K338,'Fevereiro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Real'!C3:C15,0))+1))/((L339-1)*(1-_xlfn.XLOOKUP(K339,'Fevereiro 2023 - Valor Real'!A3:A15,'Fevereiro 2023 - Valor Real'!C3:C15,0))+1)),IF(I338="Lay",IF(I337="Lay",((L337/(L337-1)-1)*(1-_xlfn.XLOOKUP(K337,'Fevereiro 2023 - Valor Real'!A3:A15,'Fevereiro 2023 - Valor Real'!C3:C15,0))+1)/(((L337/(L337-1)-1)*(1-_xlfn.XLOOKUP(K337,'Fevereiro 2023 - Valor Real'!A3:A15,'Fevereiro 2023 - Valor Real'!C3:C15,0))+1)+((L338/(L338-1)-1)*(1-_xlfn.XLOOKUP(K338,'Fevereiro 2023 - Valor Real'!A3:A15,'Fevereiro 2023 - Valor Real'!C3:C15,0))+1)),((L337-1)*(1-_xlfn.XLOOKUP(K337,'Fevereiro 2023 - Valor Real'!A3:A15,'Fevereiro 2023 - Valor Real'!C3:C15,0))+1)/(((L337-1)*(1-_xlfn.XLOOKUP(K337,'Fevereiro 2023 - Valor Real'!A3:A15,'Fevereiro 2023 - Valor Real'!C3:C15,0))+1)+((L338/(L338-1)-1)*(1-_xlfn.XLOOKUP(K338,'Fevereiro 2023 - Valor Real'!A3:A15,'Fevereiro 2023 - Valor Real'!C3:C15,0))+1))),IF(I337="Lay",((L337/(L337-1)-1)*(1-_xlfn.XLOOKUP(K337,'Fevereiro 2023 - Valor Real'!A3:A15,'Fevereiro 2023 - Valor Real'!C3:C15,0))+1)/((((L337/(L337-1)-1)*(1-_xlfn.XLOOKUP(K337,'Fevereiro 2023 - Valor Real'!A3:A15,'Fevereiro 2023 - Valor Real'!C3:C15,0))+1))+((L338-1)*(1-_xlfn.XLOOKUP(K338,'Fevereiro 2023 - Valor Real'!A3:A15,'Fevereiro 2023 - Valor Real'!C3:C15,0))+1)),((L337-1)*(1-_xlfn.XLOOKUP(K337,'Fevereiro 2023 - Valor Real'!A3:A15,'Fevereiro 2023 - Valor Real'!C3:C15,0))+1)/(((L337-1)*(1-_xlfn.XLOOKUP(K337,'Fevereiro 2023 - Valor Real'!A3:A15,'Fevereiro 2023 - Valor Real'!C3:C15,0))+1)+((L338-1)*(1-_xlfn.XLOOKUP(K338,'Fevereiro 2023 - Valor Real'!A3:A15,'Fevereiro 2023 - Valor Real'!C3:C15,0))+1))))))</f>
        <v>0.45047169811320753</v>
      </c>
      <c r="AF338" s="105">
        <f t="shared" si="686"/>
        <v>0</v>
      </c>
      <c r="AG338" s="106">
        <f t="shared" si="686"/>
        <v>0</v>
      </c>
      <c r="AH338" s="106">
        <f t="shared" si="686"/>
        <v>0</v>
      </c>
      <c r="AI338" s="106">
        <f t="shared" si="686"/>
        <v>0</v>
      </c>
      <c r="AJ338" s="106">
        <f t="shared" si="686"/>
        <v>0</v>
      </c>
      <c r="AK338" s="106">
        <f t="shared" si="686"/>
        <v>0</v>
      </c>
      <c r="AL338" s="106">
        <f t="shared" si="686"/>
        <v>0</v>
      </c>
      <c r="AM338" s="106">
        <f t="shared" si="686"/>
        <v>0</v>
      </c>
      <c r="AN338" s="106">
        <f t="shared" si="686"/>
        <v>0</v>
      </c>
      <c r="AO338" s="106">
        <f t="shared" si="686"/>
        <v>0</v>
      </c>
      <c r="AP338" s="106">
        <f t="shared" si="686"/>
        <v>0</v>
      </c>
      <c r="AQ338" s="106">
        <f t="shared" si="686"/>
        <v>16.170000000000002</v>
      </c>
      <c r="AR338" s="107">
        <f t="shared" si="686"/>
        <v>0</v>
      </c>
      <c r="AS338" s="105">
        <f>IF(AND($B337=" ",$K338=AS$3),$O338,0)</f>
        <v>0</v>
      </c>
      <c r="AT338" s="106">
        <f>IF(AND($B337=" ",K338=AT$3),$O338,0)</f>
        <v>0</v>
      </c>
      <c r="AU338" s="106">
        <f t="shared" ref="AU338:BE338" si="694">IF(AND($B337=" ",$K338=AU$3),$O338,0)</f>
        <v>0</v>
      </c>
      <c r="AV338" s="106">
        <f t="shared" si="694"/>
        <v>0</v>
      </c>
      <c r="AW338" s="106">
        <f t="shared" si="694"/>
        <v>0</v>
      </c>
      <c r="AX338" s="106">
        <f t="shared" si="694"/>
        <v>0</v>
      </c>
      <c r="AY338" s="108">
        <f t="shared" si="694"/>
        <v>0</v>
      </c>
      <c r="AZ338" s="109">
        <f t="shared" si="694"/>
        <v>0</v>
      </c>
      <c r="BA338" s="109">
        <f t="shared" si="694"/>
        <v>0</v>
      </c>
      <c r="BB338" s="109">
        <f t="shared" si="694"/>
        <v>0</v>
      </c>
      <c r="BC338" s="110">
        <f t="shared" si="694"/>
        <v>0</v>
      </c>
      <c r="BD338" s="106">
        <f t="shared" si="694"/>
        <v>0</v>
      </c>
      <c r="BE338" s="107">
        <f t="shared" si="694"/>
        <v>0</v>
      </c>
      <c r="BF338" s="105">
        <f t="shared" si="688"/>
        <v>0</v>
      </c>
      <c r="BG338" s="106">
        <f t="shared" si="688"/>
        <v>0</v>
      </c>
      <c r="BH338" s="106">
        <f t="shared" si="688"/>
        <v>0</v>
      </c>
      <c r="BI338" s="106">
        <f t="shared" si="688"/>
        <v>0</v>
      </c>
      <c r="BJ338" s="106">
        <f t="shared" si="688"/>
        <v>0</v>
      </c>
      <c r="BK338" s="106">
        <f t="shared" si="688"/>
        <v>0</v>
      </c>
      <c r="BL338" s="106">
        <f t="shared" si="688"/>
        <v>0</v>
      </c>
      <c r="BM338" s="132">
        <f t="shared" si="688"/>
        <v>0</v>
      </c>
      <c r="BN338" s="112">
        <f t="shared" si="688"/>
        <v>0</v>
      </c>
      <c r="BO338" s="112">
        <f t="shared" si="688"/>
        <v>0</v>
      </c>
      <c r="BP338" s="112">
        <f t="shared" si="688"/>
        <v>0</v>
      </c>
      <c r="BQ338" s="110">
        <f t="shared" si="688"/>
        <v>12.16</v>
      </c>
      <c r="BR338" s="107">
        <f t="shared" si="688"/>
        <v>0</v>
      </c>
      <c r="BS338" s="464"/>
      <c r="BT338" s="461"/>
      <c r="BU338" s="392"/>
      <c r="BV338" s="461"/>
      <c r="BW338" s="392"/>
      <c r="BX338" s="392"/>
      <c r="BY338" s="392"/>
      <c r="BZ338" s="461"/>
      <c r="CA338" s="392"/>
      <c r="CB338" s="392"/>
      <c r="CC338" s="392"/>
      <c r="CD338" s="401"/>
      <c r="CE338" s="409"/>
      <c r="CF338" s="133">
        <f t="shared" si="644"/>
        <v>0</v>
      </c>
      <c r="CG338" s="134">
        <f t="shared" si="645"/>
        <v>0</v>
      </c>
      <c r="CH338" s="134">
        <f t="shared" si="646"/>
        <v>0</v>
      </c>
      <c r="CI338" s="134">
        <f t="shared" si="647"/>
        <v>0</v>
      </c>
      <c r="CJ338" s="134">
        <f t="shared" si="648"/>
        <v>0</v>
      </c>
      <c r="CK338" s="134">
        <f t="shared" si="649"/>
        <v>0</v>
      </c>
      <c r="CL338" s="134">
        <f t="shared" si="650"/>
        <v>0</v>
      </c>
      <c r="CM338" s="134">
        <f t="shared" si="651"/>
        <v>0</v>
      </c>
      <c r="CN338" s="134">
        <f t="shared" si="652"/>
        <v>0</v>
      </c>
      <c r="CO338" s="134">
        <f t="shared" si="653"/>
        <v>0</v>
      </c>
      <c r="CP338" s="134">
        <f t="shared" si="654"/>
        <v>0</v>
      </c>
      <c r="CQ338" s="134">
        <f t="shared" si="655"/>
        <v>0</v>
      </c>
      <c r="CR338" s="134">
        <f t="shared" si="656"/>
        <v>0</v>
      </c>
      <c r="CS338" s="134">
        <f t="shared" si="657"/>
        <v>0</v>
      </c>
      <c r="CT338" s="115">
        <f t="shared" si="658"/>
        <v>0</v>
      </c>
      <c r="CU338" s="116">
        <f t="shared" si="659"/>
        <v>0</v>
      </c>
      <c r="CV338" s="116">
        <f t="shared" si="660"/>
        <v>0</v>
      </c>
      <c r="CW338" s="116">
        <f t="shared" si="661"/>
        <v>0</v>
      </c>
      <c r="CX338" s="116">
        <f t="shared" si="662"/>
        <v>0</v>
      </c>
      <c r="CY338" s="116">
        <f t="shared" si="663"/>
        <v>0</v>
      </c>
      <c r="CZ338" s="116">
        <f t="shared" si="664"/>
        <v>0</v>
      </c>
      <c r="DA338" s="116">
        <f t="shared" si="665"/>
        <v>0</v>
      </c>
      <c r="DB338" s="116">
        <f t="shared" si="666"/>
        <v>1</v>
      </c>
      <c r="DC338" s="116">
        <f t="shared" si="667"/>
        <v>0</v>
      </c>
      <c r="DD338" s="116">
        <f t="shared" si="668"/>
        <v>0</v>
      </c>
      <c r="DE338" s="117">
        <f t="shared" si="669"/>
        <v>0</v>
      </c>
      <c r="DF338" s="118">
        <f t="shared" si="672"/>
        <v>24</v>
      </c>
      <c r="DG338" s="106">
        <f t="shared" si="673"/>
        <v>31.309999999999995</v>
      </c>
      <c r="DH338" s="116">
        <f t="shared" si="674"/>
        <v>9</v>
      </c>
      <c r="DI338" s="106">
        <f t="shared" si="675"/>
        <v>36.849999999999994</v>
      </c>
      <c r="DJ338" s="201" t="str">
        <f>IF($D337="","",$D337)</f>
        <v>9</v>
      </c>
      <c r="DK338" s="466"/>
    </row>
    <row r="339" spans="1:115" ht="14.5" customHeight="1" x14ac:dyDescent="0.2">
      <c r="A339" s="390"/>
      <c r="B339" s="457"/>
      <c r="C339" s="135" t="s">
        <v>53</v>
      </c>
      <c r="D339" s="375"/>
      <c r="E339" s="387"/>
      <c r="F339" s="378"/>
      <c r="G339" s="484"/>
      <c r="H339" s="477"/>
      <c r="I339" s="136"/>
      <c r="J339" s="137"/>
      <c r="K339" s="138"/>
      <c r="L339" s="139"/>
      <c r="M339" s="140"/>
      <c r="N339" s="407"/>
      <c r="O339" s="141" t="str">
        <f>IF(OR(AE337="",AE338=""),"",IF(L339&gt;0,ROUND(IF(M339&gt;0,M339,IF(M337&gt;0,ROUND((M337*AE339)/AE337,IF(N337=0,2,IF(N337=0.1,1,0))),IF(M338&gt;0,ROUND((M338*AE339)/AE338,IF(N337=0,2,IF(N337=0.1,1,0))),IF(M339&gt;0,M339,0)))),2),""))</f>
        <v/>
      </c>
      <c r="P339" s="142" t="str">
        <f>IF(I338="Lay",O338*(L338/(L338-1))-O338,IF(I337="Lay",O337*(L337/(L337-1))-O337,IF(OR(L339="",O339=""),"",IF($C339="1/2W",O339/2+O339/2*L339,IF($C339="1/2L",O339/2,(O339*L339-O339)*(1-_xlfn.XLOOKUP(K339,'Fevereiro 2023 - Valor Real'!A3:A15,'Fevereiro 2023 - Valor Real'!C3:C15,0))+O339)))))</f>
        <v/>
      </c>
      <c r="Q339" s="143" t="str">
        <f>IF(K339="","",IF(_xlfn.XLOOKUP(K339,K$4:K338,$DJ$4:DJ338,0,,-1)=DJ339,_xlfn.XLOOKUP(K339,K$4:K338,Q$4:Q338,1,,-1)+1,1))</f>
        <v/>
      </c>
      <c r="R339" s="144" t="str">
        <f>IF(K339="","",_xlfn.XLOOKUP(K339,K$4:K338,R$4:R338,0,,-1)+IF($C339=" ",1,0))</f>
        <v/>
      </c>
      <c r="S339" s="404"/>
      <c r="T339" s="378"/>
      <c r="U339" s="378"/>
      <c r="V339" s="404"/>
      <c r="W339" s="378"/>
      <c r="X339" s="453"/>
      <c r="Y339" s="383"/>
      <c r="Z339" s="384"/>
      <c r="AA339" s="384"/>
      <c r="AB339" s="384"/>
      <c r="AC339" s="384"/>
      <c r="AD339" s="145">
        <f>((L338/(L338-1)-1))</f>
        <v>0.75187969924812026</v>
      </c>
      <c r="AE339" s="146" t="str">
        <f>IF(L339="","",(SUM(((L337-1)*(1-_xlfn.XLOOKUP(K337,'Fevereiro 2023 - Valor Real'!A3:A15,'Fevereiro 2023 - Valor Real'!C3:C15,0))+1),((L338-1)*(1-_xlfn.XLOOKUP(K338,'Fevereiro 2023 - Valor Real'!A3:A15,'Fevereiro 2023 - Valor Real'!C3:C15,0))+1),((L339-1)*(1-_xlfn.XLOOKUP(K339,'Fevereiro 2023 - Valor Real'!A3:A15,'Fevereiro 2023 - Valor Real'!C3:C15,0))+1))/((L339-1)*(1-_xlfn.XLOOKUP(K339,'Fevereiro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Real'!C3:C15,0))+1))/((L337-1)*(1-_xlfn.XLOOKUP(K337,'Fevereiro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Real'!C3:C15,0))+1))/((L338-1)*(1-_xlfn.XLOOKUP(K338,'Fevereiro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Real'!C3:C15,0))+1))/((L339-1)*(1-_xlfn.XLOOKUP(K339,'Fevereiro 2023 - Valor Real'!A3:A15,'Fevereiro 2023 - Valor Real'!C3:C15,0))+1)))</f>
        <v/>
      </c>
      <c r="AF339" s="105">
        <f t="shared" si="686"/>
        <v>0</v>
      </c>
      <c r="AG339" s="106">
        <f t="shared" si="686"/>
        <v>0</v>
      </c>
      <c r="AH339" s="106">
        <f t="shared" si="686"/>
        <v>0</v>
      </c>
      <c r="AI339" s="106">
        <f t="shared" si="686"/>
        <v>0</v>
      </c>
      <c r="AJ339" s="106">
        <f t="shared" si="686"/>
        <v>0</v>
      </c>
      <c r="AK339" s="106">
        <f t="shared" si="686"/>
        <v>0</v>
      </c>
      <c r="AL339" s="106">
        <f t="shared" si="686"/>
        <v>0</v>
      </c>
      <c r="AM339" s="106">
        <f t="shared" si="686"/>
        <v>0</v>
      </c>
      <c r="AN339" s="106">
        <f t="shared" si="686"/>
        <v>0</v>
      </c>
      <c r="AO339" s="106">
        <f t="shared" si="686"/>
        <v>0</v>
      </c>
      <c r="AP339" s="106">
        <f t="shared" si="686"/>
        <v>0</v>
      </c>
      <c r="AQ339" s="106">
        <f t="shared" si="686"/>
        <v>0</v>
      </c>
      <c r="AR339" s="107">
        <f t="shared" si="686"/>
        <v>0</v>
      </c>
      <c r="AS339" s="105">
        <f>IF(AND($B337=" ",$K339=AS$3),$O339,0)</f>
        <v>0</v>
      </c>
      <c r="AT339" s="106">
        <f>IF(AND($B337=" ",K339=AT$3),$O339,0)</f>
        <v>0</v>
      </c>
      <c r="AU339" s="106">
        <f t="shared" ref="AU339:BE339" si="695">IF(AND($B337=" ",$K339=AU$3),$O339,0)</f>
        <v>0</v>
      </c>
      <c r="AV339" s="106">
        <f t="shared" si="695"/>
        <v>0</v>
      </c>
      <c r="AW339" s="106">
        <f t="shared" si="695"/>
        <v>0</v>
      </c>
      <c r="AX339" s="106">
        <f t="shared" si="695"/>
        <v>0</v>
      </c>
      <c r="AY339" s="108">
        <f t="shared" si="695"/>
        <v>0</v>
      </c>
      <c r="AZ339" s="109">
        <f t="shared" si="695"/>
        <v>0</v>
      </c>
      <c r="BA339" s="109">
        <f t="shared" si="695"/>
        <v>0</v>
      </c>
      <c r="BB339" s="109">
        <f t="shared" si="695"/>
        <v>0</v>
      </c>
      <c r="BC339" s="110">
        <f t="shared" si="695"/>
        <v>0</v>
      </c>
      <c r="BD339" s="106">
        <f t="shared" si="695"/>
        <v>0</v>
      </c>
      <c r="BE339" s="107">
        <f t="shared" si="695"/>
        <v>0</v>
      </c>
      <c r="BF339" s="105">
        <f t="shared" si="688"/>
        <v>0</v>
      </c>
      <c r="BG339" s="106">
        <f t="shared" si="688"/>
        <v>0</v>
      </c>
      <c r="BH339" s="106">
        <f t="shared" si="688"/>
        <v>0</v>
      </c>
      <c r="BI339" s="106">
        <f t="shared" si="688"/>
        <v>0</v>
      </c>
      <c r="BJ339" s="106">
        <f t="shared" si="688"/>
        <v>0</v>
      </c>
      <c r="BK339" s="106">
        <f t="shared" si="688"/>
        <v>0</v>
      </c>
      <c r="BL339" s="106">
        <f t="shared" si="688"/>
        <v>0</v>
      </c>
      <c r="BM339" s="108">
        <f t="shared" si="688"/>
        <v>0</v>
      </c>
      <c r="BN339" s="109">
        <f t="shared" si="688"/>
        <v>0</v>
      </c>
      <c r="BO339" s="109">
        <f t="shared" si="688"/>
        <v>0</v>
      </c>
      <c r="BP339" s="109">
        <f t="shared" si="688"/>
        <v>0</v>
      </c>
      <c r="BQ339" s="110">
        <f t="shared" si="688"/>
        <v>0</v>
      </c>
      <c r="BR339" s="107">
        <f t="shared" si="688"/>
        <v>0</v>
      </c>
      <c r="BS339" s="464"/>
      <c r="BT339" s="461"/>
      <c r="BU339" s="392"/>
      <c r="BV339" s="461"/>
      <c r="BW339" s="392"/>
      <c r="BX339" s="392"/>
      <c r="BY339" s="392"/>
      <c r="BZ339" s="461"/>
      <c r="CA339" s="392"/>
      <c r="CB339" s="392"/>
      <c r="CC339" s="392"/>
      <c r="CD339" s="401"/>
      <c r="CE339" s="409"/>
      <c r="CF339" s="133">
        <f t="shared" si="644"/>
        <v>0</v>
      </c>
      <c r="CG339" s="134">
        <f t="shared" si="645"/>
        <v>0</v>
      </c>
      <c r="CH339" s="134">
        <f t="shared" si="646"/>
        <v>0</v>
      </c>
      <c r="CI339" s="134">
        <f t="shared" si="647"/>
        <v>0</v>
      </c>
      <c r="CJ339" s="134">
        <f t="shared" si="648"/>
        <v>0</v>
      </c>
      <c r="CK339" s="134">
        <f t="shared" si="649"/>
        <v>0</v>
      </c>
      <c r="CL339" s="134">
        <f t="shared" si="650"/>
        <v>0</v>
      </c>
      <c r="CM339" s="134">
        <f t="shared" si="651"/>
        <v>0</v>
      </c>
      <c r="CN339" s="134">
        <f t="shared" si="652"/>
        <v>0</v>
      </c>
      <c r="CO339" s="134">
        <f t="shared" si="653"/>
        <v>0</v>
      </c>
      <c r="CP339" s="134">
        <f t="shared" si="654"/>
        <v>0</v>
      </c>
      <c r="CQ339" s="134">
        <f t="shared" si="655"/>
        <v>0</v>
      </c>
      <c r="CR339" s="134">
        <f t="shared" si="656"/>
        <v>0</v>
      </c>
      <c r="CS339" s="134">
        <f t="shared" si="657"/>
        <v>0</v>
      </c>
      <c r="CT339" s="115">
        <f t="shared" si="658"/>
        <v>0</v>
      </c>
      <c r="CU339" s="116">
        <f t="shared" si="659"/>
        <v>0</v>
      </c>
      <c r="CV339" s="116">
        <f t="shared" si="660"/>
        <v>0</v>
      </c>
      <c r="CW339" s="116">
        <f t="shared" si="661"/>
        <v>0</v>
      </c>
      <c r="CX339" s="116">
        <f t="shared" si="662"/>
        <v>0</v>
      </c>
      <c r="CY339" s="116">
        <f t="shared" si="663"/>
        <v>0</v>
      </c>
      <c r="CZ339" s="116">
        <f t="shared" si="664"/>
        <v>0</v>
      </c>
      <c r="DA339" s="116">
        <f t="shared" si="665"/>
        <v>0</v>
      </c>
      <c r="DB339" s="116">
        <f t="shared" si="666"/>
        <v>0</v>
      </c>
      <c r="DC339" s="116">
        <f t="shared" si="667"/>
        <v>0</v>
      </c>
      <c r="DD339" s="116">
        <f t="shared" si="668"/>
        <v>0</v>
      </c>
      <c r="DE339" s="117">
        <f t="shared" si="669"/>
        <v>0</v>
      </c>
      <c r="DF339" s="118">
        <f t="shared" si="672"/>
        <v>24</v>
      </c>
      <c r="DG339" s="106">
        <f t="shared" si="673"/>
        <v>31.309999999999995</v>
      </c>
      <c r="DH339" s="116">
        <f t="shared" si="674"/>
        <v>9</v>
      </c>
      <c r="DI339" s="106">
        <f t="shared" si="675"/>
        <v>36.849999999999994</v>
      </c>
      <c r="DJ339" s="201" t="str">
        <f>IF($D337="","",$D337)</f>
        <v>9</v>
      </c>
      <c r="DK339" s="466"/>
    </row>
    <row r="340" spans="1:115" ht="14.5" customHeight="1" x14ac:dyDescent="0.2">
      <c r="A340" s="487">
        <f>$A337+1</f>
        <v>113</v>
      </c>
      <c r="B340" s="506" t="str">
        <f>IF(OR(C340="W",C341="W",C342="W",C340="1/2W",C341="1/2W",C342="1/2W",C340="1/2L",C341="1/2L",C342="1/2L"),"OK",IF(OR(C340="L",C341="L",C342="L"),"LOSS",IF(OR(C340="X",C341="X",C342="X"),"Anulado"," ")))</f>
        <v>OK</v>
      </c>
      <c r="C340" s="147" t="s">
        <v>54</v>
      </c>
      <c r="D340" s="494" t="str">
        <f>IF(G340="","",$D337)</f>
        <v>9</v>
      </c>
      <c r="E340" s="511" t="str">
        <f>IF(G340=""," ","– "&amp;COUNTIF(D$4:D342,$D340))</f>
        <v>– 21</v>
      </c>
      <c r="F340" s="510" t="str">
        <f ca="1">IF(G340="","",IF(OR(AND($C340&lt;&gt;" ",$C341=" "),AND($C341&lt;&gt;" ",$C340=" "),AND(L342&gt;0,OR(AND($C342&lt;&gt;" ",OR($C340=" ",$C341=" ")),AND($C342=" ",OR($C340&lt;&gt;" ",$C341&lt;&gt;" "))))),IF(SUM(F$4:F339)=0,1,LARGE(F$4:F339,1)+1),IF(MONTH(G340)=MONTH(TODAY()),IF(AND(DAY(G340)&lt;DAY(TODAY()),$B340=" "),IF(SUM(F$4:F339)=0,1,LARGE(F$4:F339,1)+1),IF($B340=" ",IF(AND(DAY(G340)=DAY(TODAY()),HOUR(G340)&lt;=HOUR(NOW())+1),IF(AND(HOUR(G340)+2&lt;=HOUR(NOW()),DAY(G340)&lt;=DAY(TODAY()),MINUTE(G340)&lt;=MINUTE(NOW())),IF(SUM(F$4:F339)=0,1,LARGE(F$4:F339,1)+1),IF(OR(MINUTE(G340)&lt;=MINUTE(NOW()),HOUR(G340)&lt;=HOUR(NOW())),"!!!","")),""),"")),"")))</f>
        <v/>
      </c>
      <c r="G340" s="508">
        <v>44994.895833333336</v>
      </c>
      <c r="H340" s="502" t="s">
        <v>154</v>
      </c>
      <c r="I340" s="180" t="s">
        <v>66</v>
      </c>
      <c r="J340" s="181">
        <v>0</v>
      </c>
      <c r="K340" s="150" t="s">
        <v>43</v>
      </c>
      <c r="L340" s="151">
        <v>2.02</v>
      </c>
      <c r="M340" s="152"/>
      <c r="N340" s="503">
        <v>0</v>
      </c>
      <c r="O340" s="153">
        <f>IF(OR(AE340="",AE341=""),"",ROUND(IF(L342&gt;0,IF(M340&gt;0,M340,IF(M341&gt;0,ROUND((M341*AE340)/AE341,IF(N340=0,2,IF(N340=0.1,1,0))),ROUND((M342*AE340)/AE342,IF(N340=0,2,IF(N340=0.1,1,0))))),IF(M340&gt;0,M340,ROUND((M341*AE340)/AE341,IF(N340=0,2,IF(N340=0.1,1,0))))),2))</f>
        <v>26.38</v>
      </c>
      <c r="P340" s="154">
        <f>IF(OR(L340="",O340=""),"",IF($C340="1/2W",O340/2+O340/2*L340,IF($C340="1/2L",O340/2,IF(I340="Lay",(O340*(L340/(L340-1))-O340)*(1-_xlfn.XLOOKUP(K340,'Fevereiro 2023 - Valor Real'!A3:A15,'Fevereiro 2023 - Valor Real'!C3:C15,0))+O340,(O340*L340-O340)*(1-_xlfn.XLOOKUP(K340,'Fevereiro 2023 - Valor Real'!A3:A15,'Fevereiro 2023 - Valor Real'!C3:C15,0))+O340))))</f>
        <v>53.287599999999998</v>
      </c>
      <c r="Q340" s="155">
        <f>IF(K340="","",IF(_xlfn.XLOOKUP(K340,K$9:K332,$DJ$9:DJ332,0,,-1)=DJ340,_xlfn.XLOOKUP(K340,K$9:K332,Q$9:Q332,1,,-1)+1,1))</f>
        <v>5</v>
      </c>
      <c r="R340" s="156">
        <f>IF(K340="","",_xlfn.XLOOKUP(K340,K$9:K332,R$9:R332,0,,-1)+IF($C340=" ",1,0))</f>
        <v>0</v>
      </c>
      <c r="S340" s="501">
        <f>IF($B340="Anulado",0,ROUND(IF(OR($B340="LOSS",$B340="OK"),IF(OR($C340="W",$C340="1/2W",$C340="1/2L"),P340-O340,IF($C340="L",-O340,0))+IF(OR($C341="W",$C341="1/2W",$C341="1/2L"),P341-O341,IF($C341="L",-O341,0))+IF(OR($C342="W",$C342="1/2W",$C342="1/2L"),P342-O342,IF($C342="L",-O342,0)),IF(AND(OR($C340="W",$C340="1/2W",$C340="1/2L"),C341="W"),P340+P341-SUM(O340:O342)+_xlfn.XLOOKUP("X",C340:C342,O340:O342,0),IF(AND(C340=TRUE,C342="W"),P340+P342-SUM(O340:O342),IF(AND(C341="W",C342="W"),P341+P342-SUM(O340:O342)+_xlfn.XLOOKUP("X",C340:C342,O340:O342,0),IF(L342&gt;0,IF(OR($C340="W",$C340="1/2W",$C340="1/2L"),P340-SUM(O340:O342)+_xlfn.XLOOKUP("X",C340:C342,O340:O342,0),IF(OR($C340="W",$C340="1/2W",$C340="1/2L"),P341-SUM(O340:O342)+_xlfn.XLOOKUP("X",C340:C342,O340:O342,0),IF(OR($C340="W",$C340="1/2W",$C340="1/2L"),P342-SUM(O340:O342)+_xlfn.XLOOKUP("X",C340:C342,O340:O342,0),IF(SUM(P340:P342)/3-SUM(O340:O342)+_xlfn.XLOOKUP("X",C340:C342,O340:O342,0)&gt;0,SUM(P340:P342)/3-SUM(O340:O342)+_xlfn.XLOOKUP("X",C340:C342,O340:O342,0),LARGE(P340:P342,1)-SUM(O340:O342))))),IF(OR($C340="W",$C340="1/2W",$C340="1/2L"),P340-SUM(O340:O341)+_xlfn.XLOOKUP("X",C340:C342,O340:O342,0),IF(OR($C340="W",$C340="1/2W",$C340="1/2L"),P341-SUM(O340:O341)+_xlfn.XLOOKUP("X",C340:C342,O340:O342,0),SUM(P340:P341)/2-SUM(O340:O341)+_xlfn.XLOOKUP("X",C340:C342,O340:O342,0)))))))),2))</f>
        <v>4.04</v>
      </c>
      <c r="T340" s="486">
        <f>IF(S340=0,0,S340/SUM(O340:O342))</f>
        <v>8.203045685279188E-2</v>
      </c>
      <c r="U340" s="496">
        <f>IF($D340=$D337,IF(OR($B340="LOSS",$B340="OK",$B340="Anulada"),S340,0)+U337,IF(OR($B340="LOSS",$B340="OK",$B340="Anulada"),S340,0))</f>
        <v>52.39</v>
      </c>
      <c r="V340" s="496">
        <f>IF($D340="",0,IF($D340=$D337,IF($B340=" ",IF(I342="",IF(OR(AND(I340="DNB1",I341="DNB2"),AND(OR(I340="DNB1",I340="DNB2"),J341=0),AND(OR(I341="DNB1",I341="DNB2"),J340=0),AND(I340="DNB2",I341="DNB1"),AND(IF(J340=0,(J340+1)/ROUND(J340+1,0),J340/ROUND(J340,0))=1,IF(J341=0,(J341+1)/ROUND(IF(J341="",0,J341)+1,0),IF(J341="",0,J341)/ROUND(IF(J341="",1,J341),0))=1,OR(J340&lt;&gt;""),J341&lt;&gt;"")),0,IF(S340&lt;0,IF(I342="",SMALL(P340:P341,1)-SUM(O340:O341),0),SMALL(P340:P341,1)-SUM(O340:O341))),IF(S340&lt;0,IF(I342="",SMALL(P340:P342,1)-SUM(O340:O342),0),LARGE(P340:P342,1)-SUM(O340:O342))),S340)+V337,IF(I342="",IF(OR(AND(I340="DNB1",I341="DNB2"),AND(OR(I340="DNB1",I340="DNB2"),J341=0),AND(OR(I341="DNB1",I341="DNB2"),J340=0),AND(I340="DNB2",I341="DNB1"),AND(IF(J340=0,(J340+1)/ROUND(J340+1,0),J340/ROUND(J340,0))=1,IF(J341=0,(IF(J341="",0,J341)+1)/ROUND(IF(J341="",0,J341)+1,0),IF(J341="",0,J341)/ROUND(IF(J341="",0,J341)+1,0))=1,OR(J340&lt;&gt;""),J341&lt;&gt;"")),0,IF(S340&lt;0,IF(I342="",SMALL(P340:P341,1)-SUM(O340:O341),0),SMALL(P340:P342,1)-SUM(O340:O342))),IF(S340&lt;0,IF(I342="",SMALL(P340:P342,1)-SUM(O340:O342),0),LARGE(P340:P342,1)-SUM(O340:O342)))))</f>
        <v>52.3904</v>
      </c>
      <c r="W340" s="496">
        <f>IF($D340=$D337,IF(S340&lt;0,IF(I342="",S340,0),S340)+W337,S340)</f>
        <v>52.39</v>
      </c>
      <c r="X340" s="505" t="str">
        <f>IF(OR(SUM(R340:R342)=0,V340=W340),ROUND(IF(W340=0,0,W340/Y340)*100,2)&amp;"%",ROUND(IF(V340=0,0,V340/Y340)*100,2)&amp;"% a "&amp;ROUND(IF(W340=0,0,W340/Y340)*100,2)&amp;"%")</f>
        <v>5,29%</v>
      </c>
      <c r="Y340" s="497">
        <f>IF($D340=$D337,Y337+SUM(O340:O342),SUM(O340:O342))</f>
        <v>990.08</v>
      </c>
      <c r="Z340" s="496">
        <f>IF($B340=" ",SUM(O340:O342),0)+Z337</f>
        <v>0</v>
      </c>
      <c r="AA340" s="496">
        <f>IF(G340="","",IF($B340="Anulado",LARGE(P340:P342,1)-SUM(O340:O342)+AA337,AA337))</f>
        <v>8.7641999999999936</v>
      </c>
      <c r="AB340" s="496">
        <f>IF($D340="","",AB337+S340)</f>
        <v>493.25000000000006</v>
      </c>
      <c r="AC340" s="499">
        <f ca="1">IF($D340="","",IF($B340=" ",IF(DAY(G340)=DAY(TODAY()),1+AC337,0+AC337),0+AC337))</f>
        <v>0</v>
      </c>
      <c r="AD340" s="157">
        <f>(1-_xlfn.XLOOKUP(K338,'Fevereiro 2023 - Valor Real'!A3:A15,'Fevereiro 2023 - Valor Real'!C3:C15,0))+1</f>
        <v>2</v>
      </c>
      <c r="AE340" s="158">
        <f>IF(L340="","",IF(L342&gt;0,(SUM(((L340-1)*(1-_xlfn.XLOOKUP(K340,'Fevereiro 2023 - Valor Real'!A3:A15,'Fevereiro 2023 - Valor Real'!C3:C15,0))+1),((L341-1)*(1-_xlfn.XLOOKUP(K341,'Fevereiro 2023 - Valor Real'!A3:A15,'Fevereiro 2023 - Valor Real'!C3:C15,0))+1),((L342-1)*(1-_xlfn.XLOOKUP(K342,'Fevereiro 2023 - Valor Real'!A3:A15,'Fevereiro 2023 - Valor Real'!C3:C15,0))+1))/((L340-1)*(1-_xlfn.XLOOKUP(K340,'Fevereiro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Real'!C3:C15,0))+1))/((L340-1)*(1-_xlfn.XLOOKUP(K340,'Fevereiro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Real'!C3:C15,0))+1))/((L341-1)*(1-_xlfn.XLOOKUP(K341,'Fevereiro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Real'!C3:C15,0))+1))/((L342-1)*(1-_xlfn.XLOOKUP(K342,'Fevereiro 2023 - Valor Real'!A3:A15,'Fevereiro 2023 - Valor Real'!C3:C15,0))+1)),IF(I340="Lay",IF(I341="Lay",((L341/(L341-1)-1)*(1-_xlfn.XLOOKUP(K341,'Fevereiro 2023 - Valor Real'!A3:A15,'Fevereiro 2023 - Valor Real'!C3:C15,0))+1)/(((L341/(L341-1)-1)*(1-_xlfn.XLOOKUP(K341,'Fevereiro 2023 - Valor Real'!A3:A15,'Fevereiro 2023 - Valor Real'!C3:C15,0))+1)+((L340/(L340-1)-1)*(1-_xlfn.XLOOKUP(K340,'Fevereiro 2023 - Valor Real'!A3:A15,'Fevereiro 2023 - Valor Real'!C3:C15,0))+1)),((L341-1)*(1-_xlfn.XLOOKUP(K341,'Fevereiro 2023 - Valor Real'!A3:A15,'Fevereiro 2023 - Valor Real'!C3:C15,0))+1)/(((L341-1)*(1-_xlfn.XLOOKUP(K341,'Fevereiro 2023 - Valor Real'!A3:A15,'Fevereiro 2023 - Valor Real'!C3:C15,0))+1)+((L340/(L340-1)-1)*(1-_xlfn.XLOOKUP(K340,'Fevereiro 2023 - Valor Real'!A3:A15,'Fevereiro 2023 - Valor Real'!C3:C15,0))+1))),IF(I341="Lay",(((L341/(L341-1)-1)*(1-_xlfn.XLOOKUP(K341,'Fevereiro 2023 - Valor Real'!A3:A15,'Fevereiro 2023 - Valor Real'!C3:C15,0))+1))/(((L340-1)*(1-_xlfn.XLOOKUP(K340,'Fevereiro 2023 - Valor Real'!A3:A15,'Fevereiro 2023 - Valor Real'!C3:C15,0))+1)+((L341/(L341-1)-1)*(1-_xlfn.XLOOKUP(K341,'Fevereiro 2023 - Valor Real'!A3:A15,'Fevereiro 2023 - Valor Real'!C3:C15,0))+1)),((L341-1)*(1-_xlfn.XLOOKUP(K341,'Fevereiro 2023 - Valor Real'!A3:A15,'Fevereiro 2023 - Valor Real'!C3:C15,0))+1)/(((L341-1)*(1-_xlfn.XLOOKUP(K341,'Fevereiro 2023 - Valor Real'!A3:A15,'Fevereiro 2023 - Valor Real'!C3:C15,0))+1)+((L340-1)*(1-_xlfn.XLOOKUP(K340,'Fevereiro 2023 - Valor Real'!A3:A15,'Fevereiro 2023 - Valor Real'!C3:C15,0))+1))))))</f>
        <v>0.53563218390804601</v>
      </c>
      <c r="AF340" s="66">
        <f t="shared" si="686"/>
        <v>0</v>
      </c>
      <c r="AG340" s="67">
        <f t="shared" si="686"/>
        <v>0</v>
      </c>
      <c r="AH340" s="67">
        <f t="shared" si="686"/>
        <v>0</v>
      </c>
      <c r="AI340" s="67">
        <f t="shared" si="686"/>
        <v>0</v>
      </c>
      <c r="AJ340" s="67">
        <f t="shared" si="686"/>
        <v>0</v>
      </c>
      <c r="AK340" s="67">
        <f t="shared" si="686"/>
        <v>0</v>
      </c>
      <c r="AL340" s="67">
        <f t="shared" si="686"/>
        <v>0</v>
      </c>
      <c r="AM340" s="67">
        <f t="shared" si="686"/>
        <v>26.91</v>
      </c>
      <c r="AN340" s="67">
        <f t="shared" si="686"/>
        <v>0</v>
      </c>
      <c r="AO340" s="67">
        <f t="shared" si="686"/>
        <v>0</v>
      </c>
      <c r="AP340" s="67">
        <f t="shared" si="686"/>
        <v>0</v>
      </c>
      <c r="AQ340" s="67">
        <f t="shared" si="686"/>
        <v>0</v>
      </c>
      <c r="AR340" s="68">
        <f t="shared" si="686"/>
        <v>0</v>
      </c>
      <c r="AS340" s="66">
        <f t="shared" ref="AS340:BE340" si="696">IF(AND($B340=" ",$K340=AS$3),$O340,0)</f>
        <v>0</v>
      </c>
      <c r="AT340" s="67">
        <f t="shared" si="696"/>
        <v>0</v>
      </c>
      <c r="AU340" s="67">
        <f t="shared" si="696"/>
        <v>0</v>
      </c>
      <c r="AV340" s="67">
        <f t="shared" si="696"/>
        <v>0</v>
      </c>
      <c r="AW340" s="67">
        <f t="shared" si="696"/>
        <v>0</v>
      </c>
      <c r="AX340" s="67">
        <f t="shared" si="696"/>
        <v>0</v>
      </c>
      <c r="AY340" s="69">
        <f t="shared" si="696"/>
        <v>0</v>
      </c>
      <c r="AZ340" s="70">
        <f t="shared" si="696"/>
        <v>0</v>
      </c>
      <c r="BA340" s="70">
        <f t="shared" si="696"/>
        <v>0</v>
      </c>
      <c r="BB340" s="70">
        <f t="shared" si="696"/>
        <v>0</v>
      </c>
      <c r="BC340" s="71">
        <f t="shared" si="696"/>
        <v>0</v>
      </c>
      <c r="BD340" s="67">
        <f t="shared" si="696"/>
        <v>0</v>
      </c>
      <c r="BE340" s="68">
        <f t="shared" si="696"/>
        <v>0</v>
      </c>
      <c r="BF340" s="66">
        <f t="shared" si="688"/>
        <v>0</v>
      </c>
      <c r="BG340" s="67">
        <f t="shared" si="688"/>
        <v>0</v>
      </c>
      <c r="BH340" s="67">
        <f t="shared" si="688"/>
        <v>0</v>
      </c>
      <c r="BI340" s="67">
        <f t="shared" si="688"/>
        <v>0</v>
      </c>
      <c r="BJ340" s="67">
        <f t="shared" si="688"/>
        <v>0</v>
      </c>
      <c r="BK340" s="67">
        <f t="shared" si="688"/>
        <v>0</v>
      </c>
      <c r="BL340" s="67">
        <f t="shared" si="688"/>
        <v>0</v>
      </c>
      <c r="BM340" s="69">
        <f t="shared" si="688"/>
        <v>26.38</v>
      </c>
      <c r="BN340" s="70">
        <f t="shared" si="688"/>
        <v>0</v>
      </c>
      <c r="BO340" s="70">
        <f t="shared" si="688"/>
        <v>0</v>
      </c>
      <c r="BP340" s="70">
        <f t="shared" si="688"/>
        <v>0</v>
      </c>
      <c r="BQ340" s="71">
        <f t="shared" si="688"/>
        <v>0</v>
      </c>
      <c r="BR340" s="68">
        <f t="shared" si="688"/>
        <v>0</v>
      </c>
      <c r="BS340" s="490">
        <f>IF($B340="LOSS",IF(AND($K340=BS$3,$C340="L"),-$O340,0)+IF(AND($K341=BS$3,$C341="L"),-$O341,0)+IF(AND($K342=BS$3,$C342="L"),-$O342,0),IF(OR(AND($K340=BS$3,OR($C340="W",$C340="1/2W")),AND($K341=BS$3,OR($C341="W",$C341="1/2W")),AND($K342=BS$3,OR($C342="W",$C342="1/2W"))),$S340,0))</f>
        <v>0</v>
      </c>
      <c r="BT340" s="498">
        <f>IF($B340="LOSS",IF(AND($K340=BT$3,$C340="L"),-$O340,0)+IF(AND($K341=BT$3,$C341="L"),-$O341,0)+IF(AND($K341=BT$3,$C342="L"),-$O342,0),IF(OR(AND($K341=BT$3,OR($C340="W",$C340="1/2W")),AND($K341=BT$3,OR($C341="W",$C341="1/2W")),AND($K341=BT$3,OR($C342="W",$C342="1/2W"))),$S340,0))</f>
        <v>0</v>
      </c>
      <c r="BU340" s="488">
        <f>IF($B340="LOSS",IF(AND($K340=BU$3,$C340="L"),-$O340,0)+IF(AND($K341=BU$3,$C341="L"),-$O341,0)+IF(AND($K341=BU$3,$C342="L"),-$O342,0),IF(OR(AND($K341=BU$3,OR($C340="W",$C340="1/2W")),AND($K341=BU$3,OR($C341="W",$C341="1/2W")),AND($K341=BU$3,OR($C342="W",$C342="1/2W"))),$S340,0))</f>
        <v>0</v>
      </c>
      <c r="BV340" s="488">
        <f t="shared" ref="BV340:CE340" si="697">IF($B340="LOSS",IF(AND($K340=BV$3,$C340="L"),-$O340,0)+IF(AND($K341=BV$3,$C341="L"),-$O341,0)+IF(AND($K342=BV$3,$C342="L"),-$O342,0),IF(OR(AND($K340=BV$3,OR($C340="W",$C340="1/2W")),AND($K341=BV$3,OR($C341="W",$C341="1/2W")),AND($K342=BV$3,OR($C342="W",$C342="1/2W"))),$S340,0))</f>
        <v>0</v>
      </c>
      <c r="BW340" s="488">
        <f t="shared" si="697"/>
        <v>0</v>
      </c>
      <c r="BX340" s="488">
        <f t="shared" si="697"/>
        <v>0</v>
      </c>
      <c r="BY340" s="488">
        <f t="shared" si="697"/>
        <v>0</v>
      </c>
      <c r="BZ340" s="488">
        <f t="shared" si="697"/>
        <v>4.04</v>
      </c>
      <c r="CA340" s="488">
        <f t="shared" si="697"/>
        <v>0</v>
      </c>
      <c r="CB340" s="488">
        <f t="shared" si="697"/>
        <v>0</v>
      </c>
      <c r="CC340" s="488">
        <f t="shared" si="697"/>
        <v>0</v>
      </c>
      <c r="CD340" s="500">
        <f t="shared" si="697"/>
        <v>0</v>
      </c>
      <c r="CE340" s="504">
        <f t="shared" si="697"/>
        <v>0</v>
      </c>
      <c r="CF340" s="160">
        <f t="shared" si="644"/>
        <v>0</v>
      </c>
      <c r="CG340" s="161">
        <f t="shared" si="645"/>
        <v>0</v>
      </c>
      <c r="CH340" s="161">
        <f t="shared" si="646"/>
        <v>0</v>
      </c>
      <c r="CI340" s="161">
        <f t="shared" si="647"/>
        <v>0</v>
      </c>
      <c r="CJ340" s="161">
        <f t="shared" si="648"/>
        <v>0</v>
      </c>
      <c r="CK340" s="161">
        <f t="shared" si="649"/>
        <v>0</v>
      </c>
      <c r="CL340" s="161">
        <f t="shared" si="650"/>
        <v>0</v>
      </c>
      <c r="CM340" s="161">
        <f t="shared" si="651"/>
        <v>0</v>
      </c>
      <c r="CN340" s="161">
        <f t="shared" si="652"/>
        <v>0</v>
      </c>
      <c r="CO340" s="161">
        <f t="shared" si="653"/>
        <v>0</v>
      </c>
      <c r="CP340" s="161">
        <f t="shared" si="654"/>
        <v>0</v>
      </c>
      <c r="CQ340" s="161">
        <f t="shared" si="655"/>
        <v>0</v>
      </c>
      <c r="CR340" s="161">
        <f t="shared" si="656"/>
        <v>0</v>
      </c>
      <c r="CS340" s="161">
        <f t="shared" si="657"/>
        <v>0</v>
      </c>
      <c r="CT340" s="75">
        <f t="shared" si="658"/>
        <v>1</v>
      </c>
      <c r="CU340" s="76">
        <f t="shared" si="659"/>
        <v>0</v>
      </c>
      <c r="CV340" s="76">
        <f t="shared" si="660"/>
        <v>0</v>
      </c>
      <c r="CW340" s="76">
        <f t="shared" si="661"/>
        <v>0</v>
      </c>
      <c r="CX340" s="76">
        <f t="shared" si="662"/>
        <v>0</v>
      </c>
      <c r="CY340" s="76">
        <f t="shared" si="663"/>
        <v>0</v>
      </c>
      <c r="CZ340" s="76">
        <f t="shared" si="664"/>
        <v>0</v>
      </c>
      <c r="DA340" s="76">
        <f t="shared" si="665"/>
        <v>0</v>
      </c>
      <c r="DB340" s="76">
        <f t="shared" si="666"/>
        <v>0</v>
      </c>
      <c r="DC340" s="76">
        <f t="shared" si="667"/>
        <v>0</v>
      </c>
      <c r="DD340" s="76">
        <f t="shared" si="668"/>
        <v>0</v>
      </c>
      <c r="DE340" s="77">
        <f t="shared" si="669"/>
        <v>0</v>
      </c>
      <c r="DF340" s="73">
        <f t="shared" si="672"/>
        <v>24</v>
      </c>
      <c r="DG340" s="67">
        <f t="shared" si="673"/>
        <v>31.309999999999995</v>
      </c>
      <c r="DH340" s="76">
        <f t="shared" si="674"/>
        <v>9</v>
      </c>
      <c r="DI340" s="67">
        <f t="shared" si="675"/>
        <v>36.849999999999994</v>
      </c>
      <c r="DJ340" s="202" t="str">
        <f>IF($D340="","",$D340)</f>
        <v>9</v>
      </c>
      <c r="DK340" s="492">
        <f>IF(AND($B340=" ",$D340&lt;&gt;""),1,0)</f>
        <v>0</v>
      </c>
    </row>
    <row r="341" spans="1:115" ht="14.5" customHeight="1" x14ac:dyDescent="0.2">
      <c r="A341" s="389"/>
      <c r="B341" s="456"/>
      <c r="C341" s="53" t="s">
        <v>55</v>
      </c>
      <c r="D341" s="374"/>
      <c r="E341" s="386"/>
      <c r="F341" s="377"/>
      <c r="G341" s="508"/>
      <c r="H341" s="476"/>
      <c r="I341" s="182" t="s">
        <v>76</v>
      </c>
      <c r="J341" s="56">
        <f>IF(OR(I340="TO",I340="TU",I340="TO1",I340="TU1",I340="TO2",I340="TU2"),J340,IF(OR(I340="AH1",I340="AH2"),IF(OR(I341="AH1",I341="AH2"),-J340,IF(OR(I341="EH1",I341="EH2"),-J340+0.5,"")),IF(OR(I340="EH1",I340="EH2"),IF(OR(I341="AH1",I341="AH2"),-J340+0.5,IF(OR(I341="EH1",I341="EH2"),-J340+1,"")),IF(AND(OR(I340="DNB1",I340="DNB2"),OR(I341="AH1",I341="AH2")),0,IF(AND(I340="Not ScoreBoth",OR(I341="TO1",I341="TO2")),0.5,"")))))</f>
        <v>0</v>
      </c>
      <c r="K341" s="57" t="s">
        <v>40</v>
      </c>
      <c r="L341" s="164">
        <v>2.33</v>
      </c>
      <c r="M341" s="165">
        <v>22.87</v>
      </c>
      <c r="N341" s="406"/>
      <c r="O341" s="60">
        <f>IF(OR(AE340="",AE341=""),"",ROUND(IF(L342&gt;0,IF(M341&gt;0,M341,IF(M340&gt;0,IF(N340=TRUE,ROUND((M340*AE341)/AE340,0),(M340*AE341)/AE340),IF(M341&gt;0,ROUND(M341,IF(N340=0,2,IF(N340=0.1,1,0))),IF(M342&gt;0,ROUND(O342*AE341/AE342,IF(N340=0,2,IF(N340=0.1,1,0))),0)))),IF(M341&gt;0,M341,ROUND((M340*AE341)/AE340,IF(N340=0,2,IF(N340=0.1,1,0))))),2))</f>
        <v>22.87</v>
      </c>
      <c r="P341" s="61">
        <f>IF(OR(L341="",O341=""),"",IF($C341="1/2W",O341/2+O341/2*L341,IF($C341="1/2L",O341/2,IF(I341="Lay",((O341*(L341/(L341-1)))-O341)*(1-_xlfn.XLOOKUP(K341,'Fevereiro 2023 - Valor Real'!A3:A15,'Fevereiro 2023 - Valor Real'!C3:C15,0))+O341,(O341*L341-O341)*(1-_xlfn.XLOOKUP(K341,'Fevereiro 2023 - Valor Real'!A3:A15,'Fevereiro 2023 - Valor Real'!C3:C15,0))+O341))))</f>
        <v>53.287100000000002</v>
      </c>
      <c r="Q341" s="166">
        <f>IF(K341="","",IF(_xlfn.XLOOKUP(K341,K$10:K332,$DJ$10:DJ332,0,,-1)=DJ341,_xlfn.XLOOKUP(K341,K$10:K332,Q$10:Q332,1,,-1)+1,1))</f>
        <v>7</v>
      </c>
      <c r="R341" s="167">
        <f>IF(K341="","",_xlfn.XLOOKUP(K341,K$10:K332,R$10:R332,0,,-1)+IF($C341=" ",1,0))</f>
        <v>0</v>
      </c>
      <c r="S341" s="403"/>
      <c r="T341" s="380"/>
      <c r="U341" s="380"/>
      <c r="V341" s="481"/>
      <c r="W341" s="380"/>
      <c r="X341" s="452"/>
      <c r="Y341" s="383"/>
      <c r="Z341" s="384"/>
      <c r="AA341" s="384"/>
      <c r="AB341" s="384"/>
      <c r="AC341" s="384"/>
      <c r="AD341" s="64"/>
      <c r="AE341" s="65">
        <f>IF(L341="","",IF(L342&gt;0,(SUM(((L340-1)*(1-_xlfn.XLOOKUP(K340,'Fevereiro 2023 - Valor Real'!A3:A15,'Fevereiro 2023 - Valor Real'!C3:C15,0))+1),((L341-1)*(1-_xlfn.XLOOKUP(K341,'Fevereiro 2023 - Valor Real'!A3:A15,'Fevereiro 2023 - Valor Real'!C3:C15,0))+1),((L342-1)*(1-_xlfn.XLOOKUP(K342,'Fevereiro 2023 - Valor Real'!A3:A15,'Fevereiro 2023 - Valor Real'!C3:C15,0))+1))/((L341-1)*(1-_xlfn.XLOOKUP(K341,'Fevereiro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Real'!C3:C15,0))+1))/((L340-1)*(1-_xlfn.XLOOKUP(K340,'Fevereiro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Real'!C3:C15,0))+1))/((L341-1)*(1-_xlfn.XLOOKUP(K341,'Fevereiro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Real'!C3:C15,0))+1))/((L342-1)*(1-_xlfn.XLOOKUP(K342,'Fevereiro 2023 - Valor Real'!A3:A15,'Fevereiro 2023 - Valor Real'!C3:C15,0))+1)),IF(I341="Lay",IF(I340="Lay",((L340/(L340-1)-1)*(1-_xlfn.XLOOKUP(K340,'Fevereiro 2023 - Valor Real'!A3:A15,'Fevereiro 2023 - Valor Real'!C3:C15,0))+1)/(((L340/(L340-1)-1)*(1-_xlfn.XLOOKUP(K340,'Fevereiro 2023 - Valor Real'!A3:A15,'Fevereiro 2023 - Valor Real'!C3:C15,0))+1)+((L341/(L341-1)-1)*(1-_xlfn.XLOOKUP(K341,'Fevereiro 2023 - Valor Real'!A3:A15,'Fevereiro 2023 - Valor Real'!C3:C15,0))+1)),((L340-1)*(1-_xlfn.XLOOKUP(K340,'Fevereiro 2023 - Valor Real'!A3:A15,'Fevereiro 2023 - Valor Real'!C3:C15,0))+1)/(((L340-1)*(1-_xlfn.XLOOKUP(K340,'Fevereiro 2023 - Valor Real'!A3:A15,'Fevereiro 2023 - Valor Real'!C3:C15,0))+1)+((L341/(L341-1)-1)*(1-_xlfn.XLOOKUP(K341,'Fevereiro 2023 - Valor Real'!A3:A15,'Fevereiro 2023 - Valor Real'!C3:C15,0))+1))),IF(I340="Lay",((L340/(L340-1)-1)*(1-_xlfn.XLOOKUP(K340,'Fevereiro 2023 - Valor Real'!A3:A15,'Fevereiro 2023 - Valor Real'!C3:C15,0))+1)/((((L340/(L340-1)-1)*(1-_xlfn.XLOOKUP(K340,'Fevereiro 2023 - Valor Real'!A3:A15,'Fevereiro 2023 - Valor Real'!C3:C15,0))+1))+((L341-1)*(1-_xlfn.XLOOKUP(K341,'Fevereiro 2023 - Valor Real'!A3:A15,'Fevereiro 2023 - Valor Real'!C3:C15,0))+1)),((L340-1)*(1-_xlfn.XLOOKUP(K340,'Fevereiro 2023 - Valor Real'!A3:A15,'Fevereiro 2023 - Valor Real'!C3:C15,0))+1)/(((L340-1)*(1-_xlfn.XLOOKUP(K340,'Fevereiro 2023 - Valor Real'!A3:A15,'Fevereiro 2023 - Valor Real'!C3:C15,0))+1)+((L341-1)*(1-_xlfn.XLOOKUP(K341,'Fevereiro 2023 - Valor Real'!A3:A15,'Fevereiro 2023 - Valor Real'!C3:C15,0))+1))))))</f>
        <v>0.46436781609195404</v>
      </c>
      <c r="AF341" s="66">
        <f t="shared" si="686"/>
        <v>0</v>
      </c>
      <c r="AG341" s="67">
        <f t="shared" si="686"/>
        <v>0</v>
      </c>
      <c r="AH341" s="67">
        <f t="shared" si="686"/>
        <v>0</v>
      </c>
      <c r="AI341" s="67">
        <f t="shared" si="686"/>
        <v>0</v>
      </c>
      <c r="AJ341" s="67">
        <f t="shared" si="686"/>
        <v>-22.87</v>
      </c>
      <c r="AK341" s="67">
        <f t="shared" si="686"/>
        <v>0</v>
      </c>
      <c r="AL341" s="67">
        <f t="shared" si="686"/>
        <v>0</v>
      </c>
      <c r="AM341" s="67">
        <f t="shared" si="686"/>
        <v>0</v>
      </c>
      <c r="AN341" s="67">
        <f t="shared" si="686"/>
        <v>0</v>
      </c>
      <c r="AO341" s="67">
        <f t="shared" si="686"/>
        <v>0</v>
      </c>
      <c r="AP341" s="67">
        <f t="shared" si="686"/>
        <v>0</v>
      </c>
      <c r="AQ341" s="67">
        <f t="shared" si="686"/>
        <v>0</v>
      </c>
      <c r="AR341" s="68">
        <f t="shared" si="686"/>
        <v>0</v>
      </c>
      <c r="AS341" s="66">
        <f>IF(AND($B340=" ",$K341=AS$3),$O341,0)</f>
        <v>0</v>
      </c>
      <c r="AT341" s="67">
        <f>IF(AND($B340=" ",K341=AT$3),$O341,0)</f>
        <v>0</v>
      </c>
      <c r="AU341" s="67">
        <f t="shared" ref="AU341:BE341" si="698">IF(AND($B340=" ",$K341=AU$3),$O341,0)</f>
        <v>0</v>
      </c>
      <c r="AV341" s="67">
        <f t="shared" si="698"/>
        <v>0</v>
      </c>
      <c r="AW341" s="67">
        <f t="shared" si="698"/>
        <v>0</v>
      </c>
      <c r="AX341" s="67">
        <f t="shared" si="698"/>
        <v>0</v>
      </c>
      <c r="AY341" s="69">
        <f t="shared" si="698"/>
        <v>0</v>
      </c>
      <c r="AZ341" s="70">
        <f t="shared" si="698"/>
        <v>0</v>
      </c>
      <c r="BA341" s="70">
        <f t="shared" si="698"/>
        <v>0</v>
      </c>
      <c r="BB341" s="70">
        <f t="shared" si="698"/>
        <v>0</v>
      </c>
      <c r="BC341" s="71">
        <f t="shared" si="698"/>
        <v>0</v>
      </c>
      <c r="BD341" s="67">
        <f t="shared" si="698"/>
        <v>0</v>
      </c>
      <c r="BE341" s="68">
        <f t="shared" si="698"/>
        <v>0</v>
      </c>
      <c r="BF341" s="66">
        <f t="shared" si="688"/>
        <v>0</v>
      </c>
      <c r="BG341" s="168">
        <f t="shared" si="688"/>
        <v>0</v>
      </c>
      <c r="BH341" s="67">
        <f t="shared" si="688"/>
        <v>0</v>
      </c>
      <c r="BI341" s="67">
        <f t="shared" si="688"/>
        <v>0</v>
      </c>
      <c r="BJ341" s="67">
        <f t="shared" si="688"/>
        <v>22.87</v>
      </c>
      <c r="BK341" s="67">
        <f t="shared" si="688"/>
        <v>0</v>
      </c>
      <c r="BL341" s="67">
        <f t="shared" si="688"/>
        <v>0</v>
      </c>
      <c r="BM341" s="69">
        <f t="shared" si="688"/>
        <v>0</v>
      </c>
      <c r="BN341" s="70">
        <f t="shared" si="688"/>
        <v>0</v>
      </c>
      <c r="BO341" s="70">
        <f t="shared" si="688"/>
        <v>0</v>
      </c>
      <c r="BP341" s="70">
        <f t="shared" si="688"/>
        <v>0</v>
      </c>
      <c r="BQ341" s="71">
        <f t="shared" si="688"/>
        <v>0</v>
      </c>
      <c r="BR341" s="68">
        <f t="shared" si="688"/>
        <v>0</v>
      </c>
      <c r="BS341" s="491"/>
      <c r="BT341" s="489"/>
      <c r="BU341" s="392"/>
      <c r="BV341" s="489"/>
      <c r="BW341" s="392"/>
      <c r="BX341" s="392"/>
      <c r="BY341" s="392"/>
      <c r="BZ341" s="489"/>
      <c r="CA341" s="392"/>
      <c r="CB341" s="392"/>
      <c r="CC341" s="392"/>
      <c r="CD341" s="401"/>
      <c r="CE341" s="409"/>
      <c r="CF341" s="169">
        <f t="shared" si="644"/>
        <v>0</v>
      </c>
      <c r="CG341" s="170">
        <f t="shared" si="645"/>
        <v>0</v>
      </c>
      <c r="CH341" s="170">
        <f t="shared" si="646"/>
        <v>0</v>
      </c>
      <c r="CI341" s="170">
        <f t="shared" si="647"/>
        <v>0</v>
      </c>
      <c r="CJ341" s="170">
        <f t="shared" si="648"/>
        <v>0</v>
      </c>
      <c r="CK341" s="170">
        <f t="shared" si="649"/>
        <v>0</v>
      </c>
      <c r="CL341" s="170">
        <f t="shared" si="650"/>
        <v>0</v>
      </c>
      <c r="CM341" s="170">
        <f t="shared" si="651"/>
        <v>0</v>
      </c>
      <c r="CN341" s="170">
        <f t="shared" si="652"/>
        <v>0</v>
      </c>
      <c r="CO341" s="170">
        <f t="shared" si="653"/>
        <v>1</v>
      </c>
      <c r="CP341" s="170">
        <f t="shared" si="654"/>
        <v>0</v>
      </c>
      <c r="CQ341" s="170">
        <f t="shared" si="655"/>
        <v>0</v>
      </c>
      <c r="CR341" s="170">
        <f t="shared" si="656"/>
        <v>0</v>
      </c>
      <c r="CS341" s="170">
        <f t="shared" si="657"/>
        <v>0</v>
      </c>
      <c r="CT341" s="75">
        <f t="shared" si="658"/>
        <v>0</v>
      </c>
      <c r="CU341" s="76">
        <f t="shared" si="659"/>
        <v>0</v>
      </c>
      <c r="CV341" s="76">
        <f t="shared" si="660"/>
        <v>0</v>
      </c>
      <c r="CW341" s="76">
        <f t="shared" si="661"/>
        <v>0</v>
      </c>
      <c r="CX341" s="76">
        <f t="shared" si="662"/>
        <v>0</v>
      </c>
      <c r="CY341" s="76">
        <f t="shared" si="663"/>
        <v>0</v>
      </c>
      <c r="CZ341" s="76">
        <f t="shared" si="664"/>
        <v>0</v>
      </c>
      <c r="DA341" s="76">
        <f t="shared" si="665"/>
        <v>0</v>
      </c>
      <c r="DB341" s="76">
        <f t="shared" si="666"/>
        <v>0</v>
      </c>
      <c r="DC341" s="76">
        <f t="shared" si="667"/>
        <v>0</v>
      </c>
      <c r="DD341" s="76">
        <f t="shared" si="668"/>
        <v>0</v>
      </c>
      <c r="DE341" s="77">
        <f t="shared" si="669"/>
        <v>0</v>
      </c>
      <c r="DF341" s="73">
        <f t="shared" si="672"/>
        <v>24</v>
      </c>
      <c r="DG341" s="67">
        <f t="shared" si="673"/>
        <v>31.309999999999995</v>
      </c>
      <c r="DH341" s="76">
        <f t="shared" si="674"/>
        <v>9</v>
      </c>
      <c r="DI341" s="67">
        <f t="shared" si="675"/>
        <v>36.849999999999994</v>
      </c>
      <c r="DJ341" s="202" t="str">
        <f>IF($D340="","",$D340)</f>
        <v>9</v>
      </c>
      <c r="DK341" s="493"/>
    </row>
    <row r="342" spans="1:115" ht="14.5" customHeight="1" x14ac:dyDescent="0.2">
      <c r="A342" s="390"/>
      <c r="B342" s="457"/>
      <c r="C342" s="79" t="s">
        <v>53</v>
      </c>
      <c r="D342" s="375"/>
      <c r="E342" s="387"/>
      <c r="F342" s="378"/>
      <c r="G342" s="508"/>
      <c r="H342" s="477"/>
      <c r="I342" s="171"/>
      <c r="J342" s="172"/>
      <c r="K342" s="81"/>
      <c r="L342" s="173"/>
      <c r="M342" s="174"/>
      <c r="N342" s="407"/>
      <c r="O342" s="86" t="str">
        <f>IF(OR(AE340="",AE341=""),"",IF(L342&gt;0,ROUND(IF(M342&gt;0,M342,IF(M340&gt;0,ROUND((M340*AE342)/AE340,IF(N340=0,2,IF(N340=0.1,1,0))),IF(M341&gt;0,ROUND((M341*AE342)/AE341,IF(N340=0,2,IF(N340=0.1,1,0))),IF(M342&gt;0,M342,0)))),2),""))</f>
        <v/>
      </c>
      <c r="P342" s="87" t="str">
        <f>IF(I341="Lay",O341*(L341/(L341-1))-O341,IF(I340="Lay",O340*(L340/(L340-1))-O340,IF(OR(L342="",O342=""),"",IF($C342="1/2W",O342/2+O342/2*L342,IF($C342="1/2L",O342/2,(O342*L342-O342)*(1-_xlfn.XLOOKUP(K342,'Fevereiro 2023 - Valor Real'!A3:A15,'Fevereiro 2023 - Valor Real'!C3:C15,0))+O342)))))</f>
        <v/>
      </c>
      <c r="Q342" s="54" t="str">
        <f>IF(K342="","",IF(_xlfn.XLOOKUP(K342,K$11:K332,$DJ$11:DJ332,0,,-1)=DJ342,_xlfn.XLOOKUP(K342,K$11:K332,Q$11:Q332,1,,-1)+1,1))</f>
        <v/>
      </c>
      <c r="R342" s="87" t="str">
        <f>IF(K342="","",_xlfn.XLOOKUP(K342,K$11:K332,R$11:R332,0,,-1)+IF($C342=" ",1,0))</f>
        <v/>
      </c>
      <c r="S342" s="404"/>
      <c r="T342" s="378"/>
      <c r="U342" s="378"/>
      <c r="V342" s="404"/>
      <c r="W342" s="378"/>
      <c r="X342" s="453"/>
      <c r="Y342" s="383"/>
      <c r="Z342" s="384"/>
      <c r="AA342" s="384"/>
      <c r="AB342" s="384"/>
      <c r="AC342" s="384"/>
      <c r="AD342" s="90"/>
      <c r="AE342" s="91" t="str">
        <f>IF(L342="","",(SUM(((L340-1)*(1-_xlfn.XLOOKUP(K340,'Fevereiro 2023 - Valor Real'!A3:A15,'Fevereiro 2023 - Valor Real'!C3:C15,0))+1),((L341-1)*(1-_xlfn.XLOOKUP(K341,'Fevereiro 2023 - Valor Real'!A3:A15,'Fevereiro 2023 - Valor Real'!C3:C15,0))+1),((L342-1)*(1-_xlfn.XLOOKUP(K342,'Fevereiro 2023 - Valor Real'!A3:A15,'Fevereiro 2023 - Valor Real'!C3:C15,0))+1))/((L342-1)*(1-_xlfn.XLOOKUP(K342,'Fevereiro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Real'!C3:C15,0))+1))/((L340-1)*(1-_xlfn.XLOOKUP(K340,'Fevereiro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Real'!C3:C15,0))+1))/((L341-1)*(1-_xlfn.XLOOKUP(K341,'Fevereiro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Real'!C3:C15,0))+1))/((L342-1)*(1-_xlfn.XLOOKUP(K342,'Fevereiro 2023 - Valor Real'!A3:A15,'Fevereiro 2023 - Valor Real'!C3:C15,0))+1)))</f>
        <v/>
      </c>
      <c r="AF342" s="66">
        <f t="shared" si="686"/>
        <v>0</v>
      </c>
      <c r="AG342" s="67">
        <f t="shared" si="686"/>
        <v>0</v>
      </c>
      <c r="AH342" s="67">
        <f t="shared" si="686"/>
        <v>0</v>
      </c>
      <c r="AI342" s="67">
        <f t="shared" si="686"/>
        <v>0</v>
      </c>
      <c r="AJ342" s="67">
        <f t="shared" si="686"/>
        <v>0</v>
      </c>
      <c r="AK342" s="67">
        <f t="shared" si="686"/>
        <v>0</v>
      </c>
      <c r="AL342" s="67">
        <f t="shared" si="686"/>
        <v>0</v>
      </c>
      <c r="AM342" s="67">
        <f t="shared" si="686"/>
        <v>0</v>
      </c>
      <c r="AN342" s="67">
        <f t="shared" si="686"/>
        <v>0</v>
      </c>
      <c r="AO342" s="67">
        <f t="shared" si="686"/>
        <v>0</v>
      </c>
      <c r="AP342" s="67">
        <f t="shared" si="686"/>
        <v>0</v>
      </c>
      <c r="AQ342" s="67">
        <f t="shared" si="686"/>
        <v>0</v>
      </c>
      <c r="AR342" s="68">
        <f t="shared" si="686"/>
        <v>0</v>
      </c>
      <c r="AS342" s="66">
        <f>IF(AND($B340=" ",$K342=AS$3),$O342,0)</f>
        <v>0</v>
      </c>
      <c r="AT342" s="67">
        <f>IF(AND($B340=" ",K342=AT$3),$O342,0)</f>
        <v>0</v>
      </c>
      <c r="AU342" s="67">
        <f t="shared" ref="AU342:BE342" si="699">IF(AND($B340=" ",$K342=AU$3),$O342,0)</f>
        <v>0</v>
      </c>
      <c r="AV342" s="67">
        <f t="shared" si="699"/>
        <v>0</v>
      </c>
      <c r="AW342" s="67">
        <f t="shared" si="699"/>
        <v>0</v>
      </c>
      <c r="AX342" s="67">
        <f t="shared" si="699"/>
        <v>0</v>
      </c>
      <c r="AY342" s="69">
        <f t="shared" si="699"/>
        <v>0</v>
      </c>
      <c r="AZ342" s="70">
        <f t="shared" si="699"/>
        <v>0</v>
      </c>
      <c r="BA342" s="70">
        <f t="shared" si="699"/>
        <v>0</v>
      </c>
      <c r="BB342" s="70">
        <f t="shared" si="699"/>
        <v>0</v>
      </c>
      <c r="BC342" s="71">
        <f t="shared" si="699"/>
        <v>0</v>
      </c>
      <c r="BD342" s="67">
        <f t="shared" si="699"/>
        <v>0</v>
      </c>
      <c r="BE342" s="68">
        <f t="shared" si="699"/>
        <v>0</v>
      </c>
      <c r="BF342" s="66">
        <f t="shared" si="688"/>
        <v>0</v>
      </c>
      <c r="BG342" s="168">
        <f t="shared" si="688"/>
        <v>0</v>
      </c>
      <c r="BH342" s="67">
        <f t="shared" si="688"/>
        <v>0</v>
      </c>
      <c r="BI342" s="67">
        <f t="shared" si="688"/>
        <v>0</v>
      </c>
      <c r="BJ342" s="67">
        <f t="shared" si="688"/>
        <v>0</v>
      </c>
      <c r="BK342" s="67">
        <f t="shared" si="688"/>
        <v>0</v>
      </c>
      <c r="BL342" s="67">
        <f t="shared" si="688"/>
        <v>0</v>
      </c>
      <c r="BM342" s="69">
        <f t="shared" si="688"/>
        <v>0</v>
      </c>
      <c r="BN342" s="70">
        <f t="shared" si="688"/>
        <v>0</v>
      </c>
      <c r="BO342" s="70">
        <f t="shared" si="688"/>
        <v>0</v>
      </c>
      <c r="BP342" s="70">
        <f t="shared" si="688"/>
        <v>0</v>
      </c>
      <c r="BQ342" s="71">
        <f t="shared" si="688"/>
        <v>0</v>
      </c>
      <c r="BR342" s="68">
        <f t="shared" si="688"/>
        <v>0</v>
      </c>
      <c r="BS342" s="491"/>
      <c r="BT342" s="489"/>
      <c r="BU342" s="392"/>
      <c r="BV342" s="489"/>
      <c r="BW342" s="392"/>
      <c r="BX342" s="392"/>
      <c r="BY342" s="392"/>
      <c r="BZ342" s="489"/>
      <c r="CA342" s="392"/>
      <c r="CB342" s="392"/>
      <c r="CC342" s="392"/>
      <c r="CD342" s="401"/>
      <c r="CE342" s="409"/>
      <c r="CF342" s="169">
        <f t="shared" si="644"/>
        <v>0</v>
      </c>
      <c r="CG342" s="170">
        <f t="shared" si="645"/>
        <v>0</v>
      </c>
      <c r="CH342" s="170">
        <f t="shared" si="646"/>
        <v>0</v>
      </c>
      <c r="CI342" s="170">
        <f t="shared" si="647"/>
        <v>0</v>
      </c>
      <c r="CJ342" s="170">
        <f t="shared" si="648"/>
        <v>0</v>
      </c>
      <c r="CK342" s="170">
        <f t="shared" si="649"/>
        <v>0</v>
      </c>
      <c r="CL342" s="170">
        <f t="shared" si="650"/>
        <v>0</v>
      </c>
      <c r="CM342" s="170">
        <f t="shared" si="651"/>
        <v>0</v>
      </c>
      <c r="CN342" s="170">
        <f t="shared" si="652"/>
        <v>0</v>
      </c>
      <c r="CO342" s="170">
        <f t="shared" si="653"/>
        <v>0</v>
      </c>
      <c r="CP342" s="170">
        <f t="shared" si="654"/>
        <v>0</v>
      </c>
      <c r="CQ342" s="170">
        <f t="shared" si="655"/>
        <v>0</v>
      </c>
      <c r="CR342" s="170">
        <f t="shared" si="656"/>
        <v>0</v>
      </c>
      <c r="CS342" s="170">
        <f t="shared" si="657"/>
        <v>0</v>
      </c>
      <c r="CT342" s="75">
        <f t="shared" si="658"/>
        <v>0</v>
      </c>
      <c r="CU342" s="76">
        <f t="shared" si="659"/>
        <v>0</v>
      </c>
      <c r="CV342" s="76">
        <f t="shared" si="660"/>
        <v>0</v>
      </c>
      <c r="CW342" s="76">
        <f t="shared" si="661"/>
        <v>0</v>
      </c>
      <c r="CX342" s="76">
        <f t="shared" si="662"/>
        <v>0</v>
      </c>
      <c r="CY342" s="76">
        <f t="shared" si="663"/>
        <v>0</v>
      </c>
      <c r="CZ342" s="76">
        <f t="shared" si="664"/>
        <v>0</v>
      </c>
      <c r="DA342" s="76">
        <f t="shared" si="665"/>
        <v>0</v>
      </c>
      <c r="DB342" s="76">
        <f t="shared" si="666"/>
        <v>0</v>
      </c>
      <c r="DC342" s="76">
        <f t="shared" si="667"/>
        <v>0</v>
      </c>
      <c r="DD342" s="76">
        <f t="shared" si="668"/>
        <v>0</v>
      </c>
      <c r="DE342" s="77">
        <f t="shared" si="669"/>
        <v>0</v>
      </c>
      <c r="DF342" s="73">
        <f t="shared" si="672"/>
        <v>24</v>
      </c>
      <c r="DG342" s="67">
        <f t="shared" si="673"/>
        <v>31.309999999999995</v>
      </c>
      <c r="DH342" s="76">
        <f t="shared" si="674"/>
        <v>9</v>
      </c>
      <c r="DI342" s="67">
        <f t="shared" si="675"/>
        <v>36.849999999999994</v>
      </c>
      <c r="DJ342" s="202" t="str">
        <f>IF($D340="","",$D340)</f>
        <v>9</v>
      </c>
      <c r="DK342" s="493"/>
    </row>
    <row r="343" spans="1:115" ht="14.5" customHeight="1" x14ac:dyDescent="0.2">
      <c r="A343" s="459">
        <f>$A340+1</f>
        <v>114</v>
      </c>
      <c r="B343" s="507" t="str">
        <f>IF(OR(C343="W",C344="W",C345="W",C343="1/2W",C344="1/2W",C345="1/2W",C343="1/2L",C344="1/2L",C345="1/2L"),"OK",IF(OR(C343="L",C344="L",C345="L"),"LOSS",IF(OR(C343="X",C344="X",C345="X"),"Anulado"," ")))</f>
        <v>OK</v>
      </c>
      <c r="C343" s="93" t="s">
        <v>54</v>
      </c>
      <c r="D343" s="468" t="s">
        <v>155</v>
      </c>
      <c r="E343" s="485" t="str">
        <f>IF(G343=""," ","– "&amp;COUNTIF(D$4:D345,$D343))</f>
        <v>– 1</v>
      </c>
      <c r="F343" s="509" t="str">
        <f ca="1">IF(G343="","",IF(OR(AND($C343&lt;&gt;" ",$C344=" "),AND($C344&lt;&gt;" ",$C343=" "),AND(L345&gt;0,OR(AND($C345&lt;&gt;" ",OR($C343=" ",$C344=" ")),AND($C345=" ",OR($C343&lt;&gt;" ",$C344&lt;&gt;" "))))),IF(SUM(F$4:F342)=0,1,LARGE(F$4:F342,1)+1),IF(MONTH(G343)=MONTH(TODAY()),IF(AND(DAY(G343)&lt;DAY(TODAY()),$B343=" "),IF(SUM(F$4:F342)=0,1,LARGE(F$4:F342,1)+1),IF($B343=" ",IF(AND(DAY(G343)=DAY(TODAY()),HOUR(G343)&lt;=HOUR(NOW())+1),IF(AND(HOUR(G343)+2&lt;=HOUR(NOW()),DAY(G343)&lt;=DAY(TODAY()),MINUTE(G343)&lt;=MINUTE(NOW())),IF(SUM(F$4:F342)=0,1,LARGE(F$4:F342,1)+1),IF(OR(MINUTE(G343)&lt;=MINUTE(NOW()),HOUR(G343)&lt;=HOUR(NOW())),"!!!","")),""),"")),"")))</f>
        <v/>
      </c>
      <c r="G343" s="482">
        <v>44996.416666666664</v>
      </c>
      <c r="H343" s="475" t="s">
        <v>156</v>
      </c>
      <c r="I343" s="175">
        <v>1</v>
      </c>
      <c r="J343" s="176"/>
      <c r="K343" s="96" t="s">
        <v>43</v>
      </c>
      <c r="L343" s="97">
        <v>2.0299999999999998</v>
      </c>
      <c r="M343" s="98">
        <v>17.11</v>
      </c>
      <c r="N343" s="478">
        <v>0</v>
      </c>
      <c r="O343" s="99">
        <f>IF(OR(AE343="",AE344=""),"",ROUND(IF(L345&gt;0,IF(M343&gt;0,M343,IF(M344&gt;0,ROUND((M344*AE343)/AE344,IF(N343=0,2,IF(N343=0.1,1,0))),ROUND((M345*AE343)/AE345,IF(N343=0,2,IF(N343=0.1,1,0))))),IF(M343&gt;0,M343,ROUND((M344*AE343)/AE344,IF(N343=0,2,IF(N343=0.1,1,0))))),2))</f>
        <v>17.11</v>
      </c>
      <c r="P343" s="100">
        <f>IF(OR(L343="",O343=""),"",IF($C343="1/2W",O343/2+O343/2*L343,IF($C343="1/2L",O343/2,IF(I343="Lay",(O343*(L343/(L343-1))-O343)*(1-_xlfn.XLOOKUP(K343,'Fevereiro 2023 - Valor Real'!A3:A15,'Fevereiro 2023 - Valor Real'!C3:C15,0))+O343,(O343*L343-O343)*(1-_xlfn.XLOOKUP(K343,'Fevereiro 2023 - Valor Real'!A3:A15,'Fevereiro 2023 - Valor Real'!C3:C15,0))+O343))))</f>
        <v>34.733299999999993</v>
      </c>
      <c r="Q343" s="101">
        <f>IF(K343="","",IF(_xlfn.XLOOKUP(K343,K$4:K342,$DJ$4:DJ342,0,,-1)=DJ343,_xlfn.XLOOKUP(K343,K$4:K342,Q$4:Q342,1,,-1)+1,1))</f>
        <v>1</v>
      </c>
      <c r="R343" s="102">
        <f>IF(K343="","",_xlfn.XLOOKUP(K343,K$4:K342,R$4:R342,0,,-1)+IF($C343=" ",1,0))</f>
        <v>0</v>
      </c>
      <c r="S343" s="474">
        <f>IF($B343="Anulado",0,ROUND(IF(OR($B343="LOSS",$B343="OK"),IF(OR($C343="W",$C343="1/2W",$C343="1/2L"),P343-O343,IF($C343="L",-O343,0))+IF(OR($C344="W",$C344="1/2W",$C344="1/2L"),P344-O344,IF($C344="L",-O344,0))+IF(OR($C345="W",$C345="1/2W",$C345="1/2L"),P345-O345,IF($C345="L",-O345,0)),IF(AND(OR($C343="W",$C343="1/2W",$C343="1/2L"),C344="W"),P343+P344-SUM(O343:O345)+_xlfn.XLOOKUP("X",C343:C345,O343:O345,0),IF(AND(C343=TRUE,C345="W"),P343+P345-SUM(O343:O345),IF(AND(C344="W",C345="W"),P344+P345-SUM(O343:O345)+_xlfn.XLOOKUP("X",C343:C345,O343:O345,0),IF(L345&gt;0,IF(OR($C343="W",$C343="1/2W",$C343="1/2L"),P343-SUM(O343:O345)+_xlfn.XLOOKUP("X",C343:C345,O343:O345,0),IF(OR($C343="W",$C343="1/2W",$C343="1/2L"),P344-SUM(O343:O345)+_xlfn.XLOOKUP("X",C343:C345,O343:O345,0),IF(OR($C343="W",$C343="1/2W",$C343="1/2L"),P345-SUM(O343:O345)+_xlfn.XLOOKUP("X",C343:C345,O343:O345,0),IF(SUM(P343:P345)/3-SUM(O343:O345)+_xlfn.XLOOKUP("X",C343:C345,O343:O345,0)&gt;0,SUM(P343:P345)/3-SUM(O343:O345)+_xlfn.XLOOKUP("X",C343:C345,O343:O345,0),LARGE(P343:P345,1)-SUM(O343:O345))))),IF(OR($C343="W",$C343="1/2W",$C343="1/2L"),P343-SUM(O343:O344)+_xlfn.XLOOKUP("X",C343:C345,O343:O345,0),IF(OR($C343="W",$C343="1/2W",$C343="1/2L"),P344-SUM(O343:O344)+_xlfn.XLOOKUP("X",C343:C345,O343:O345,0),SUM(P343:P344)/2-SUM(O343:O344)+_xlfn.XLOOKUP("X",C343:C345,O343:O345,0)))))))),2))</f>
        <v>1.88</v>
      </c>
      <c r="T343" s="458">
        <f>IF(S343=0,0,S343/SUM(O343:O345))</f>
        <v>5.7229832572298321E-2</v>
      </c>
      <c r="U343" s="470">
        <f>IF($D343=$D340,IF(OR($B343="LOSS",$B343="OK",$B343="Anulada"),S343,0)+U340,IF(OR($B343="LOSS",$B343="OK",$B343="Anulada"),S343,0))</f>
        <v>1.88</v>
      </c>
      <c r="V343" s="470">
        <f>IF($D343="",0,IF($D343=$D340,IF($B343=" ",IF(I345="",IF(OR(AND(I343="DNB1",I344="DNB2"),AND(OR(I343="DNB1",I343="DNB2"),J344=0),AND(OR(I344="DNB1",I344="DNB2"),J343=0),AND(I343="DNB2",I344="DNB1"),AND(IF(J343=0,(J343+1)/ROUND(J343+1,0),J343/ROUND(J343,0))=1,IF(J344=0,(J344+1)/ROUND(IF(J344="",0,J344)+1,0),IF(J344="",0,J344)/ROUND(IF(J344="",1,J344),0))=1,OR(J343&lt;&gt;""),J344&lt;&gt;"")),0,IF(S343&lt;0,IF(I345="",SMALL(P343:P344,1)-SUM(O343:O344),0),SMALL(P343:P344,1)-SUM(O343:O344))),IF(S343&lt;0,IF(I345="",SMALL(P343:P345,1)-SUM(O343:O345),0),LARGE(P343:P345,1)-SUM(O343:O345))),S343)+V340,IF(I345="",IF(OR(AND(I343="DNB1",I344="DNB2"),AND(OR(I343="DNB1",I343="DNB2"),J344=0),AND(OR(I344="DNB1",I344="DNB2"),J343=0),AND(I343="DNB2",I344="DNB1"),AND(IF(J343=0,(J343+1)/ROUND(J343+1,0),J343/ROUND(J343,0))=1,IF(J344=0,(IF(J344="",0,J344)+1)/ROUND(IF(J344="",0,J344)+1,0),IF(J344="",0,J344)/ROUND(IF(J344="",0,J344)+1,0))=1,OR(J343&lt;&gt;""),J344&lt;&gt;"")),0,IF(S343&lt;0,IF(I345="",SMALL(P343:P344,1)-SUM(O343:O344),0),SMALL(P343:P345,1)-SUM(O343:O345))),IF(S343&lt;0,IF(I345="",SMALL(P343:P345,1)-SUM(O343:O345),0),LARGE(P343:P345,1)-SUM(O343:O345)))))</f>
        <v>16.899999999999999</v>
      </c>
      <c r="W343" s="470">
        <f>IF($D343=$D340,IF(S343&lt;0,IF(I345="",S343,0),S343)+W340,S343)</f>
        <v>1.88</v>
      </c>
      <c r="X343" s="480" t="str">
        <f>IF(OR(SUM(R343:R345)=0,V343=W343),ROUND(IF(W343=0,0,W343/Y343)*100,2)&amp;"%",ROUND(IF(V343=0,0,V343/Y343)*100,2)&amp;"% a "&amp;ROUND(IF(W343=0,0,W343/Y343)*100,2)&amp;"%")</f>
        <v>5,72%</v>
      </c>
      <c r="Y343" s="471">
        <f>IF($D343=$D340,Y340+SUM(O343:O345),SUM(O343:O345))</f>
        <v>32.85</v>
      </c>
      <c r="Z343" s="470">
        <f>IF($B343=" ",SUM(O343:O345),0)+Z340</f>
        <v>0</v>
      </c>
      <c r="AA343" s="470">
        <f>IF(G343="","",IF($B343="Anulado",LARGE(P343:P345,1)-SUM(O343:O345)+AA340,AA340))</f>
        <v>8.7641999999999936</v>
      </c>
      <c r="AB343" s="470">
        <f>IF($D343="","",AB340+S343)</f>
        <v>495.13000000000005</v>
      </c>
      <c r="AC343" s="472">
        <f ca="1">IF($D343="","",IF($B343=" ",IF(DAY(G343)=DAY(TODAY()),1+AC340,0+AC340),0+AC340))</f>
        <v>0</v>
      </c>
      <c r="AD343" s="103">
        <f>(((L344/(L344-1)-1)*(1-_xlfn.XLOOKUP(K344,'Fevereiro 2023 - Valor Real'!A3:A15,'Fevereiro 2023 - Valor Real'!C3:C15,0))+1))/(((L343-1)*(1-_xlfn.XLOOKUP(K343,'Fevereiro 2023 - Valor Real'!A3:A15,'Fevereiro 2023 - Valor Real'!C3:C15,0))+1)+((L344/(L344-1)-1)*(1-_xlfn.XLOOKUP(K344,'Fevereiro 2023 - Valor Real'!A3:A15,'Fevereiro 2023 - Valor Real'!C3:C15,0))+1))</f>
        <v>0.38109756097560976</v>
      </c>
      <c r="AE343" s="104">
        <f>IF(L343="","",IF(L345&gt;0,(SUM(((L343-1)*(1-_xlfn.XLOOKUP(K343,'Fevereiro 2023 - Valor Real'!A3:A15,'Fevereiro 2023 - Valor Real'!C3:C15,0))+1),((L344-1)*(1-_xlfn.XLOOKUP(K344,'Fevereiro 2023 - Valor Real'!A3:A15,'Fevereiro 2023 - Valor Real'!C3:C15,0))+1),((L345-1)*(1-_xlfn.XLOOKUP(K345,'Fevereiro 2023 - Valor Real'!A3:A15,'Fevereiro 2023 - Valor Real'!C3:C15,0))+1))/((L343-1)*(1-_xlfn.XLOOKUP(K343,'Fevereiro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Real'!C3:C15,0))+1))/((L343-1)*(1-_xlfn.XLOOKUP(K343,'Fevereiro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Real'!C3:C15,0))+1))/((L344-1)*(1-_xlfn.XLOOKUP(K344,'Fevereiro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Real'!C3:C15,0))+1))/((L345-1)*(1-_xlfn.XLOOKUP(K345,'Fevereiro 2023 - Valor Real'!A3:A15,'Fevereiro 2023 - Valor Real'!C3:C15,0))+1)),IF(I343="Lay",IF(I344="Lay",((L344/(L344-1)-1)*(1-_xlfn.XLOOKUP(K344,'Fevereiro 2023 - Valor Real'!A3:A15,'Fevereiro 2023 - Valor Real'!C3:C15,0))+1)/(((L344/(L344-1)-1)*(1-_xlfn.XLOOKUP(K344,'Fevereiro 2023 - Valor Real'!A3:A15,'Fevereiro 2023 - Valor Real'!C3:C15,0))+1)+((L343/(L343-1)-1)*(1-_xlfn.XLOOKUP(K343,'Fevereiro 2023 - Valor Real'!A3:A15,'Fevereiro 2023 - Valor Real'!C3:C15,0))+1)),((L344-1)*(1-_xlfn.XLOOKUP(K344,'Fevereiro 2023 - Valor Real'!A3:A15,'Fevereiro 2023 - Valor Real'!C3:C15,0))+1)/(((L344-1)*(1-_xlfn.XLOOKUP(K344,'Fevereiro 2023 - Valor Real'!A3:A15,'Fevereiro 2023 - Valor Real'!C3:C15,0))+1)+((L343/(L343-1)-1)*(1-_xlfn.XLOOKUP(K343,'Fevereiro 2023 - Valor Real'!A3:A15,'Fevereiro 2023 - Valor Real'!C3:C15,0))+1))),IF(I344="Lay",(((L344/(L344-1)-1)*(1-_xlfn.XLOOKUP(K344,'Fevereiro 2023 - Valor Real'!A3:A15,'Fevereiro 2023 - Valor Real'!C3:C15,0))+1))/(((L343-1)*(1-_xlfn.XLOOKUP(K343,'Fevereiro 2023 - Valor Real'!A3:A15,'Fevereiro 2023 - Valor Real'!C3:C15,0))+1)+((L344/(L344-1)-1)*(1-_xlfn.XLOOKUP(K344,'Fevereiro 2023 - Valor Real'!A3:A15,'Fevereiro 2023 - Valor Real'!C3:C15,0))+1)),((L344-1)*(1-_xlfn.XLOOKUP(K344,'Fevereiro 2023 - Valor Real'!A3:A15,'Fevereiro 2023 - Valor Real'!C3:C15,0))+1)/(((L344-1)*(1-_xlfn.XLOOKUP(K344,'Fevereiro 2023 - Valor Real'!A3:A15,'Fevereiro 2023 - Valor Real'!C3:C15,0))+1)+((L343-1)*(1-_xlfn.XLOOKUP(K343,'Fevereiro 2023 - Valor Real'!A3:A15,'Fevereiro 2023 - Valor Real'!C3:C15,0))+1))))))</f>
        <v>0.57328492260653541</v>
      </c>
      <c r="AF343" s="105">
        <f t="shared" si="686"/>
        <v>0</v>
      </c>
      <c r="AG343" s="106">
        <f t="shared" si="686"/>
        <v>0</v>
      </c>
      <c r="AH343" s="106">
        <f t="shared" si="686"/>
        <v>0</v>
      </c>
      <c r="AI343" s="106">
        <f t="shared" si="686"/>
        <v>0</v>
      </c>
      <c r="AJ343" s="106">
        <f t="shared" si="686"/>
        <v>0</v>
      </c>
      <c r="AK343" s="106">
        <f t="shared" si="686"/>
        <v>0</v>
      </c>
      <c r="AL343" s="106">
        <f t="shared" si="686"/>
        <v>0</v>
      </c>
      <c r="AM343" s="106">
        <f t="shared" si="686"/>
        <v>17.62</v>
      </c>
      <c r="AN343" s="106">
        <f t="shared" si="686"/>
        <v>0</v>
      </c>
      <c r="AO343" s="106">
        <f t="shared" si="686"/>
        <v>0</v>
      </c>
      <c r="AP343" s="106">
        <f t="shared" si="686"/>
        <v>0</v>
      </c>
      <c r="AQ343" s="106">
        <f t="shared" si="686"/>
        <v>0</v>
      </c>
      <c r="AR343" s="107">
        <f t="shared" si="686"/>
        <v>0</v>
      </c>
      <c r="AS343" s="105">
        <f t="shared" ref="AS343:BE343" si="700">IF(AND($B343=" ",$K343=AS$3),$O343,0)</f>
        <v>0</v>
      </c>
      <c r="AT343" s="106">
        <f t="shared" si="700"/>
        <v>0</v>
      </c>
      <c r="AU343" s="106">
        <f t="shared" si="700"/>
        <v>0</v>
      </c>
      <c r="AV343" s="106">
        <f t="shared" si="700"/>
        <v>0</v>
      </c>
      <c r="AW343" s="106">
        <f t="shared" si="700"/>
        <v>0</v>
      </c>
      <c r="AX343" s="106">
        <f t="shared" si="700"/>
        <v>0</v>
      </c>
      <c r="AY343" s="108">
        <f t="shared" si="700"/>
        <v>0</v>
      </c>
      <c r="AZ343" s="109">
        <f t="shared" si="700"/>
        <v>0</v>
      </c>
      <c r="BA343" s="109">
        <f t="shared" si="700"/>
        <v>0</v>
      </c>
      <c r="BB343" s="109">
        <f t="shared" si="700"/>
        <v>0</v>
      </c>
      <c r="BC343" s="110">
        <f t="shared" si="700"/>
        <v>0</v>
      </c>
      <c r="BD343" s="106">
        <f t="shared" si="700"/>
        <v>0</v>
      </c>
      <c r="BE343" s="107">
        <f t="shared" si="700"/>
        <v>0</v>
      </c>
      <c r="BF343" s="111">
        <f t="shared" si="688"/>
        <v>0</v>
      </c>
      <c r="BG343" s="106">
        <f t="shared" si="688"/>
        <v>0</v>
      </c>
      <c r="BH343" s="106">
        <f t="shared" si="688"/>
        <v>0</v>
      </c>
      <c r="BI343" s="106">
        <f t="shared" si="688"/>
        <v>0</v>
      </c>
      <c r="BJ343" s="106">
        <f t="shared" si="688"/>
        <v>0</v>
      </c>
      <c r="BK343" s="106">
        <f t="shared" si="688"/>
        <v>0</v>
      </c>
      <c r="BL343" s="106">
        <f t="shared" si="688"/>
        <v>0</v>
      </c>
      <c r="BM343" s="108">
        <f t="shared" si="688"/>
        <v>17.11</v>
      </c>
      <c r="BN343" s="109">
        <f t="shared" si="688"/>
        <v>0</v>
      </c>
      <c r="BO343" s="109">
        <f t="shared" si="688"/>
        <v>0</v>
      </c>
      <c r="BP343" s="109">
        <f t="shared" si="688"/>
        <v>0</v>
      </c>
      <c r="BQ343" s="110">
        <f t="shared" si="688"/>
        <v>0</v>
      </c>
      <c r="BR343" s="107">
        <f t="shared" si="688"/>
        <v>0</v>
      </c>
      <c r="BS343" s="463">
        <f>IF($B343="LOSS",IF(AND($K343=BS$3,$C343="L"),-$O343,0)+IF(AND($K344=BS$3,$C344="L"),-$O344,0)+IF(AND($K345=BS$3,$C345="L"),-$O345,0),IF(OR(AND($K343=BS$3,OR($C343="W",$C343="1/2W")),AND($K344=BS$3,OR($C344="W",$C344="1/2W")),AND($K345=BS$3,OR($C345="W",$C345="1/2W"))),$S343,0))</f>
        <v>0</v>
      </c>
      <c r="BT343" s="462">
        <f>IF($B343="LOSS",IF(AND($K343=BT$3,$C343="L"),-$O343,0)+IF(AND($K344=BT$3,$C344="L"),-$O344,0)+IF(AND($K344=BT$3,$C345="L"),-$O345,0),IF(OR(AND($K344=BT$3,OR($C343="W",$C343="1/2W")),AND($K344=BT$3,OR($C344="W",$C344="1/2W")),AND($K344=BT$3,OR($C345="W",$C345="1/2W"))),$S343,0))</f>
        <v>1.88</v>
      </c>
      <c r="BU343" s="462">
        <f>IF($B343="LOSS",IF(AND($K343=BU$3,$C343="L"),-$O343,0)+IF(AND($K344=BU$3,$C344="L"),-$O344,0)+IF(AND($K344=BU$3,$C345="L"),-$O345,0),IF(OR(AND($K344=BU$3,OR($C343="W",$C343="1/2W")),AND($K344=BU$3,OR($C344="W",$C344="1/2W")),AND($K344=BU$3,OR($C345="W",$C345="1/2W"))),$S343,0))</f>
        <v>0</v>
      </c>
      <c r="BV343" s="462">
        <f t="shared" ref="BV343:CE343" si="701">IF($B343="LOSS",IF(AND($K343=BV$3,$C343="L"),-$O343,0)+IF(AND($K344=BV$3,$C344="L"),-$O344,0)+IF(AND($K345=BV$3,$C345="L"),-$O345,0),IF(OR(AND($K343=BV$3,OR($C343="W",$C343="1/2W")),AND($K344=BV$3,OR($C344="W",$C344="1/2W")),AND($K345=BV$3,OR($C345="W",$C345="1/2W"))),$S343,0))</f>
        <v>0</v>
      </c>
      <c r="BW343" s="462">
        <f t="shared" si="701"/>
        <v>0</v>
      </c>
      <c r="BX343" s="462">
        <f t="shared" si="701"/>
        <v>0</v>
      </c>
      <c r="BY343" s="462">
        <f t="shared" si="701"/>
        <v>0</v>
      </c>
      <c r="BZ343" s="460">
        <f t="shared" si="701"/>
        <v>1.88</v>
      </c>
      <c r="CA343" s="460">
        <f t="shared" si="701"/>
        <v>0</v>
      </c>
      <c r="CB343" s="460">
        <f t="shared" si="701"/>
        <v>0</v>
      </c>
      <c r="CC343" s="460">
        <f t="shared" si="701"/>
        <v>0</v>
      </c>
      <c r="CD343" s="473">
        <f t="shared" si="701"/>
        <v>0</v>
      </c>
      <c r="CE343" s="479">
        <f t="shared" si="701"/>
        <v>0</v>
      </c>
      <c r="CF343" s="113">
        <f t="shared" si="644"/>
        <v>0</v>
      </c>
      <c r="CG343" s="114">
        <f t="shared" si="645"/>
        <v>0</v>
      </c>
      <c r="CH343" s="114">
        <f t="shared" si="646"/>
        <v>0</v>
      </c>
      <c r="CI343" s="114">
        <f t="shared" si="647"/>
        <v>0</v>
      </c>
      <c r="CJ343" s="114">
        <f t="shared" si="648"/>
        <v>0</v>
      </c>
      <c r="CK343" s="114">
        <f t="shared" si="649"/>
        <v>0</v>
      </c>
      <c r="CL343" s="114">
        <f t="shared" si="650"/>
        <v>0</v>
      </c>
      <c r="CM343" s="114">
        <f t="shared" si="651"/>
        <v>0</v>
      </c>
      <c r="CN343" s="114">
        <f t="shared" si="652"/>
        <v>0</v>
      </c>
      <c r="CO343" s="114">
        <f t="shared" si="653"/>
        <v>0</v>
      </c>
      <c r="CP343" s="114">
        <f t="shared" si="654"/>
        <v>0</v>
      </c>
      <c r="CQ343" s="114">
        <f t="shared" si="655"/>
        <v>0</v>
      </c>
      <c r="CR343" s="114">
        <f t="shared" si="656"/>
        <v>0</v>
      </c>
      <c r="CS343" s="114">
        <f t="shared" si="657"/>
        <v>0</v>
      </c>
      <c r="CT343" s="115">
        <f t="shared" si="658"/>
        <v>1</v>
      </c>
      <c r="CU343" s="116">
        <f t="shared" si="659"/>
        <v>0</v>
      </c>
      <c r="CV343" s="116">
        <f t="shared" si="660"/>
        <v>0</v>
      </c>
      <c r="CW343" s="116">
        <f t="shared" si="661"/>
        <v>0</v>
      </c>
      <c r="CX343" s="116">
        <f t="shared" si="662"/>
        <v>0</v>
      </c>
      <c r="CY343" s="116">
        <f t="shared" si="663"/>
        <v>0</v>
      </c>
      <c r="CZ343" s="116">
        <f t="shared" si="664"/>
        <v>0</v>
      </c>
      <c r="DA343" s="116">
        <f t="shared" si="665"/>
        <v>0</v>
      </c>
      <c r="DB343" s="116">
        <f t="shared" si="666"/>
        <v>0</v>
      </c>
      <c r="DC343" s="116">
        <f t="shared" si="667"/>
        <v>0</v>
      </c>
      <c r="DD343" s="116">
        <f t="shared" si="668"/>
        <v>0</v>
      </c>
      <c r="DE343" s="117">
        <f t="shared" si="669"/>
        <v>0</v>
      </c>
      <c r="DF343" s="118">
        <f t="shared" si="672"/>
        <v>24</v>
      </c>
      <c r="DG343" s="106">
        <f t="shared" si="673"/>
        <v>31.309999999999995</v>
      </c>
      <c r="DH343" s="116">
        <f t="shared" si="674"/>
        <v>9</v>
      </c>
      <c r="DI343" s="106">
        <f t="shared" si="675"/>
        <v>36.849999999999994</v>
      </c>
      <c r="DJ343" s="201" t="str">
        <f>IF($D343="","",$D343)</f>
        <v>10</v>
      </c>
      <c r="DK343" s="465">
        <f>IF(AND($B343=" ",$D343&lt;&gt;""),1,0)</f>
        <v>0</v>
      </c>
    </row>
    <row r="344" spans="1:115" ht="14.5" customHeight="1" x14ac:dyDescent="0.2">
      <c r="A344" s="389"/>
      <c r="B344" s="456"/>
      <c r="C344" s="120" t="s">
        <v>55</v>
      </c>
      <c r="D344" s="374"/>
      <c r="E344" s="386"/>
      <c r="F344" s="377"/>
      <c r="G344" s="483"/>
      <c r="H344" s="476"/>
      <c r="I344" s="121" t="s">
        <v>49</v>
      </c>
      <c r="J344" s="179" t="str">
        <f>IF(OR(I343="TO",I343="TU",I343="TO1",I343="TU1",I343="TO2",I343="TU2"),J343,IF(OR(I343="AH1",I343="AH2"),IF(OR(I344="AH1",I344="AH2"),-J343,IF(OR(I344="EH1",I344="EH2"),-J343+0.5,"")),IF(OR(I343="EH1",I343="EH2"),IF(OR(I344="AH1",I344="AH2"),-J343+0.5,IF(OR(I344="EH1",I344="EH2"),-J343+1,"")),IF(AND(OR(I343="DNB1",I343="DNB2"),OR(I344="AH1",I344="AH2")),0,IF(AND(I343="Not ScoreBoth",OR(I344="TO1",I344="TO2")),0.5,"")))))</f>
        <v/>
      </c>
      <c r="K344" s="123" t="s">
        <v>37</v>
      </c>
      <c r="L344" s="124">
        <v>5</v>
      </c>
      <c r="M344" s="125">
        <v>9.9499999999999993</v>
      </c>
      <c r="N344" s="406"/>
      <c r="O344" s="126">
        <f>IF(OR(AE343="",AE344=""),"",ROUND(IF(L345&gt;0,IF(M344&gt;0,M344,IF(M343&gt;0,IF(N343=TRUE,ROUND((M343*AE344)/AE343,0),(M343*AE344)/AE343),IF(M344&gt;0,ROUND(M344,IF(N343=0,2,IF(N343=0.1,1,0))),IF(M345&gt;0,ROUND(O345*AE344/AE345,IF(N343=0,2,IF(N343=0.1,1,0))),0)))),IF(M344&gt;0,M344,ROUND((M343*AE344)/AE343,IF(N343=0,2,IF(N343=0.1,1,0))))),2))</f>
        <v>9.9499999999999993</v>
      </c>
      <c r="P344" s="127">
        <f>IF(OR(L344="",O344=""),"",IF($C344="1/2W",O344/2+O344/2*L344,IF($C344="1/2L",O344/2,IF(I344="Lay",((O344*(L344/(L344-1)))-O344)*(1-_xlfn.XLOOKUP(K344,'Fevereiro 2023 - Valor Real'!A3:A15,'Fevereiro 2023 - Valor Real'!C3:C15,0))+O344,(O344*L344-O344)*(1-_xlfn.XLOOKUP(K344,'Fevereiro 2023 - Valor Real'!A3:A15,'Fevereiro 2023 - Valor Real'!C3:C15,0))+O344))))</f>
        <v>49.75</v>
      </c>
      <c r="Q344" s="128">
        <f>IF(K344="","",IF(_xlfn.XLOOKUP(K344,K$4:K343,$DJ$4:DJ343,0,,-1)=DJ344,_xlfn.XLOOKUP(K344,K$4:K343,Q$4:Q343,1,,-1)+1,1))</f>
        <v>1</v>
      </c>
      <c r="R344" s="129">
        <f>IF(K344="","",_xlfn.XLOOKUP(K344,K$4:K343,R$4:R343,0,,-1)+IF($C344=" ",1,0))</f>
        <v>0</v>
      </c>
      <c r="S344" s="403"/>
      <c r="T344" s="380"/>
      <c r="U344" s="380"/>
      <c r="V344" s="481"/>
      <c r="W344" s="380"/>
      <c r="X344" s="452"/>
      <c r="Y344" s="383"/>
      <c r="Z344" s="384"/>
      <c r="AA344" s="384"/>
      <c r="AB344" s="384"/>
      <c r="AC344" s="384"/>
      <c r="AD344" s="130">
        <f>(((L344/(L344-1)-1)*(1-_xlfn.XLOOKUP(K344,'Fevereiro 2023 - Valor Real'!A3:A15,'Fevereiro 2023 - Valor Real'!C3:C15,0))+1))</f>
        <v>1.25</v>
      </c>
      <c r="AE344" s="131">
        <f>IF(L344="","",IF(L345&gt;0,(SUM(((L343-1)*(1-_xlfn.XLOOKUP(K343,'Fevereiro 2023 - Valor Real'!A3:A15,'Fevereiro 2023 - Valor Real'!C3:C15,0))+1),((L344-1)*(1-_xlfn.XLOOKUP(K344,'Fevereiro 2023 - Valor Real'!A3:A15,'Fevereiro 2023 - Valor Real'!C3:C15,0))+1),((L345-1)*(1-_xlfn.XLOOKUP(K345,'Fevereiro 2023 - Valor Real'!A3:A15,'Fevereiro 2023 - Valor Real'!C3:C15,0))+1))/((L344-1)*(1-_xlfn.XLOOKUP(K344,'Fevereiro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Real'!C3:C15,0))+1))/((L343-1)*(1-_xlfn.XLOOKUP(K343,'Fevereiro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Real'!C3:C15,0))+1))/((L344-1)*(1-_xlfn.XLOOKUP(K344,'Fevereiro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Real'!C3:C15,0))+1))/((L345-1)*(1-_xlfn.XLOOKUP(K345,'Fevereiro 2023 - Valor Real'!A3:A15,'Fevereiro 2023 - Valor Real'!C3:C15,0))+1)),IF(I344="Lay",IF(I343="Lay",((L343/(L343-1)-1)*(1-_xlfn.XLOOKUP(K343,'Fevereiro 2023 - Valor Real'!A3:A15,'Fevereiro 2023 - Valor Real'!C3:C15,0))+1)/(((L343/(L343-1)-1)*(1-_xlfn.XLOOKUP(K343,'Fevereiro 2023 - Valor Real'!A3:A15,'Fevereiro 2023 - Valor Real'!C3:C15,0))+1)+((L344/(L344-1)-1)*(1-_xlfn.XLOOKUP(K344,'Fevereiro 2023 - Valor Real'!A3:A15,'Fevereiro 2023 - Valor Real'!C3:C15,0))+1)),((L343-1)*(1-_xlfn.XLOOKUP(K343,'Fevereiro 2023 - Valor Real'!A3:A15,'Fevereiro 2023 - Valor Real'!C3:C15,0))+1)/(((L343-1)*(1-_xlfn.XLOOKUP(K343,'Fevereiro 2023 - Valor Real'!A3:A15,'Fevereiro 2023 - Valor Real'!C3:C15,0))+1)+((L344/(L344-1)-1)*(1-_xlfn.XLOOKUP(K344,'Fevereiro 2023 - Valor Real'!A3:A15,'Fevereiro 2023 - Valor Real'!C3:C15,0))+1))),IF(I343="Lay",((L343/(L343-1)-1)*(1-_xlfn.XLOOKUP(K343,'Fevereiro 2023 - Valor Real'!A3:A15,'Fevereiro 2023 - Valor Real'!C3:C15,0))+1)/((((L343/(L343-1)-1)*(1-_xlfn.XLOOKUP(K343,'Fevereiro 2023 - Valor Real'!A3:A15,'Fevereiro 2023 - Valor Real'!C3:C15,0))+1))+((L344-1)*(1-_xlfn.XLOOKUP(K344,'Fevereiro 2023 - Valor Real'!A3:A15,'Fevereiro 2023 - Valor Real'!C3:C15,0))+1)),((L343-1)*(1-_xlfn.XLOOKUP(K343,'Fevereiro 2023 - Valor Real'!A3:A15,'Fevereiro 2023 - Valor Real'!C3:C15,0))+1)/(((L343-1)*(1-_xlfn.XLOOKUP(K343,'Fevereiro 2023 - Valor Real'!A3:A15,'Fevereiro 2023 - Valor Real'!C3:C15,0))+1)+((L344-1)*(1-_xlfn.XLOOKUP(K344,'Fevereiro 2023 - Valor Real'!A3:A15,'Fevereiro 2023 - Valor Real'!C3:C15,0))+1))))))</f>
        <v>0.23275367857825338</v>
      </c>
      <c r="AF344" s="105">
        <f t="shared" ref="AF344:AR353" si="702">IF($K344=AF$3,ROUND(IF(OR($C344="W",$C344="1/2W",$C344="1/2L"),$P344-$O344,IF($C344="X",0,-$O344)),2),0)</f>
        <v>0</v>
      </c>
      <c r="AG344" s="106">
        <f t="shared" si="702"/>
        <v>-9.9499999999999993</v>
      </c>
      <c r="AH344" s="106">
        <f t="shared" si="702"/>
        <v>0</v>
      </c>
      <c r="AI344" s="106">
        <f t="shared" si="702"/>
        <v>0</v>
      </c>
      <c r="AJ344" s="106">
        <f t="shared" si="702"/>
        <v>0</v>
      </c>
      <c r="AK344" s="106">
        <f t="shared" si="702"/>
        <v>0</v>
      </c>
      <c r="AL344" s="106">
        <f t="shared" si="702"/>
        <v>0</v>
      </c>
      <c r="AM344" s="106">
        <f t="shared" si="702"/>
        <v>0</v>
      </c>
      <c r="AN344" s="106">
        <f t="shared" si="702"/>
        <v>0</v>
      </c>
      <c r="AO344" s="106">
        <f t="shared" si="702"/>
        <v>0</v>
      </c>
      <c r="AP344" s="106">
        <f t="shared" si="702"/>
        <v>0</v>
      </c>
      <c r="AQ344" s="106">
        <f t="shared" si="702"/>
        <v>0</v>
      </c>
      <c r="AR344" s="107">
        <f t="shared" si="702"/>
        <v>0</v>
      </c>
      <c r="AS344" s="105">
        <f>IF(AND($B343=" ",$K344=AS$3),$O344,0)</f>
        <v>0</v>
      </c>
      <c r="AT344" s="106">
        <f>IF(AND($B343=" ",K344=AT$3),$O344,0)</f>
        <v>0</v>
      </c>
      <c r="AU344" s="106">
        <f t="shared" ref="AU344:BE344" si="703">IF(AND($B343=" ",$K344=AU$3),$O344,0)</f>
        <v>0</v>
      </c>
      <c r="AV344" s="106">
        <f t="shared" si="703"/>
        <v>0</v>
      </c>
      <c r="AW344" s="106">
        <f t="shared" si="703"/>
        <v>0</v>
      </c>
      <c r="AX344" s="106">
        <f t="shared" si="703"/>
        <v>0</v>
      </c>
      <c r="AY344" s="108">
        <f t="shared" si="703"/>
        <v>0</v>
      </c>
      <c r="AZ344" s="109">
        <f t="shared" si="703"/>
        <v>0</v>
      </c>
      <c r="BA344" s="109">
        <f t="shared" si="703"/>
        <v>0</v>
      </c>
      <c r="BB344" s="109">
        <f t="shared" si="703"/>
        <v>0</v>
      </c>
      <c r="BC344" s="110">
        <f t="shared" si="703"/>
        <v>0</v>
      </c>
      <c r="BD344" s="106">
        <f t="shared" si="703"/>
        <v>0</v>
      </c>
      <c r="BE344" s="107">
        <f t="shared" si="703"/>
        <v>0</v>
      </c>
      <c r="BF344" s="105">
        <f t="shared" ref="BF344:BR353" si="704">IF($K344=BF$3,IF($C344="X",0,$O344),0)</f>
        <v>0</v>
      </c>
      <c r="BG344" s="106">
        <f t="shared" si="704"/>
        <v>9.9499999999999993</v>
      </c>
      <c r="BH344" s="106">
        <f t="shared" si="704"/>
        <v>0</v>
      </c>
      <c r="BI344" s="106">
        <f t="shared" si="704"/>
        <v>0</v>
      </c>
      <c r="BJ344" s="106">
        <f t="shared" si="704"/>
        <v>0</v>
      </c>
      <c r="BK344" s="106">
        <f t="shared" si="704"/>
        <v>0</v>
      </c>
      <c r="BL344" s="106">
        <f t="shared" si="704"/>
        <v>0</v>
      </c>
      <c r="BM344" s="132">
        <f t="shared" si="704"/>
        <v>0</v>
      </c>
      <c r="BN344" s="112">
        <f t="shared" si="704"/>
        <v>0</v>
      </c>
      <c r="BO344" s="112">
        <f t="shared" si="704"/>
        <v>0</v>
      </c>
      <c r="BP344" s="112">
        <f t="shared" si="704"/>
        <v>0</v>
      </c>
      <c r="BQ344" s="110">
        <f t="shared" si="704"/>
        <v>0</v>
      </c>
      <c r="BR344" s="107">
        <f t="shared" si="704"/>
        <v>0</v>
      </c>
      <c r="BS344" s="464"/>
      <c r="BT344" s="461"/>
      <c r="BU344" s="392"/>
      <c r="BV344" s="461"/>
      <c r="BW344" s="392"/>
      <c r="BX344" s="392"/>
      <c r="BY344" s="392"/>
      <c r="BZ344" s="461"/>
      <c r="CA344" s="392"/>
      <c r="CB344" s="392"/>
      <c r="CC344" s="392"/>
      <c r="CD344" s="401"/>
      <c r="CE344" s="409"/>
      <c r="CF344" s="133">
        <f t="shared" si="644"/>
        <v>0</v>
      </c>
      <c r="CG344" s="134">
        <f t="shared" si="645"/>
        <v>0</v>
      </c>
      <c r="CH344" s="134">
        <f t="shared" si="646"/>
        <v>0</v>
      </c>
      <c r="CI344" s="134">
        <f t="shared" si="647"/>
        <v>1</v>
      </c>
      <c r="CJ344" s="134">
        <f t="shared" si="648"/>
        <v>0</v>
      </c>
      <c r="CK344" s="134">
        <f t="shared" si="649"/>
        <v>0</v>
      </c>
      <c r="CL344" s="134">
        <f t="shared" si="650"/>
        <v>0</v>
      </c>
      <c r="CM344" s="134">
        <f t="shared" si="651"/>
        <v>0</v>
      </c>
      <c r="CN344" s="134">
        <f t="shared" si="652"/>
        <v>0</v>
      </c>
      <c r="CO344" s="134">
        <f t="shared" si="653"/>
        <v>0</v>
      </c>
      <c r="CP344" s="134">
        <f t="shared" si="654"/>
        <v>0</v>
      </c>
      <c r="CQ344" s="134">
        <f t="shared" si="655"/>
        <v>0</v>
      </c>
      <c r="CR344" s="134">
        <f t="shared" si="656"/>
        <v>0</v>
      </c>
      <c r="CS344" s="134">
        <f t="shared" si="657"/>
        <v>0</v>
      </c>
      <c r="CT344" s="115">
        <f t="shared" si="658"/>
        <v>0</v>
      </c>
      <c r="CU344" s="116">
        <f t="shared" si="659"/>
        <v>0</v>
      </c>
      <c r="CV344" s="116">
        <f t="shared" si="660"/>
        <v>0</v>
      </c>
      <c r="CW344" s="116">
        <f t="shared" si="661"/>
        <v>0</v>
      </c>
      <c r="CX344" s="116">
        <f t="shared" si="662"/>
        <v>0</v>
      </c>
      <c r="CY344" s="116">
        <f t="shared" si="663"/>
        <v>0</v>
      </c>
      <c r="CZ344" s="116">
        <f t="shared" si="664"/>
        <v>0</v>
      </c>
      <c r="DA344" s="116">
        <f t="shared" si="665"/>
        <v>0</v>
      </c>
      <c r="DB344" s="116">
        <f t="shared" si="666"/>
        <v>0</v>
      </c>
      <c r="DC344" s="116">
        <f t="shared" si="667"/>
        <v>0</v>
      </c>
      <c r="DD344" s="116">
        <f t="shared" si="668"/>
        <v>0</v>
      </c>
      <c r="DE344" s="117">
        <f t="shared" si="669"/>
        <v>0</v>
      </c>
      <c r="DF344" s="118">
        <f t="shared" si="672"/>
        <v>24</v>
      </c>
      <c r="DG344" s="106">
        <f t="shared" si="673"/>
        <v>31.309999999999995</v>
      </c>
      <c r="DH344" s="116">
        <f t="shared" si="674"/>
        <v>9</v>
      </c>
      <c r="DI344" s="106">
        <f t="shared" si="675"/>
        <v>36.849999999999994</v>
      </c>
      <c r="DJ344" s="201" t="str">
        <f>IF($D343="","",$D343)</f>
        <v>10</v>
      </c>
      <c r="DK344" s="466"/>
    </row>
    <row r="345" spans="1:115" ht="14.5" customHeight="1" x14ac:dyDescent="0.2">
      <c r="A345" s="390"/>
      <c r="B345" s="457"/>
      <c r="C345" s="135" t="s">
        <v>55</v>
      </c>
      <c r="D345" s="375"/>
      <c r="E345" s="387"/>
      <c r="F345" s="378"/>
      <c r="G345" s="484"/>
      <c r="H345" s="477"/>
      <c r="I345" s="192">
        <v>2</v>
      </c>
      <c r="J345" s="137"/>
      <c r="K345" s="193" t="s">
        <v>37</v>
      </c>
      <c r="L345" s="194">
        <v>6</v>
      </c>
      <c r="M345" s="140">
        <v>5.79</v>
      </c>
      <c r="N345" s="407"/>
      <c r="O345" s="195">
        <f>IF(OR(AE343="",AE344=""),"",IF(L345&gt;0,ROUND(IF(M345&gt;0,M345,IF(M343&gt;0,ROUND((M343*AE345)/AE343,IF(N343=0,2,IF(N343=0.1,1,0))),IF(M344&gt;0,ROUND((M344*AE345)/AE344,IF(N343=0,2,IF(N343=0.1,1,0))),IF(M345&gt;0,M345,0)))),2),""))</f>
        <v>5.79</v>
      </c>
      <c r="P345" s="196">
        <f>IF(I344="Lay",O344*(L344/(L344-1))-O344,IF(I343="Lay",O343*(L343/(L343-1))-O343,IF(OR(L345="",O345=""),"",IF($C345="1/2W",O345/2+O345/2*L345,IF($C345="1/2L",O345/2,(O345*L345-O345)*(1-_xlfn.XLOOKUP(K345,'Fevereiro 2023 - Valor Real'!A3:A15,'Fevereiro 2023 - Valor Real'!C3:C15,0))+O345)))))</f>
        <v>34.74</v>
      </c>
      <c r="Q345" s="197">
        <f>IF(K345="","",IF(_xlfn.XLOOKUP(K345,K$4:K344,$DJ$4:DJ344,0,,-1)=DJ345,_xlfn.XLOOKUP(K345,K$4:K344,Q$4:Q344,1,,-1)+1,1))</f>
        <v>2</v>
      </c>
      <c r="R345" s="198">
        <f>IF(K345="","",_xlfn.XLOOKUP(K345,K$4:K344,R$4:R344,0,,-1)+IF($C345=" ",1,0))</f>
        <v>0</v>
      </c>
      <c r="S345" s="404"/>
      <c r="T345" s="378"/>
      <c r="U345" s="378"/>
      <c r="V345" s="404"/>
      <c r="W345" s="378"/>
      <c r="X345" s="453"/>
      <c r="Y345" s="383"/>
      <c r="Z345" s="384"/>
      <c r="AA345" s="384"/>
      <c r="AB345" s="384"/>
      <c r="AC345" s="384"/>
      <c r="AD345" s="145">
        <f>((L344/(L344-1)-1))</f>
        <v>0.25</v>
      </c>
      <c r="AE345" s="199">
        <f>IF(L345="","",(SUM(((L343-1)*(1-_xlfn.XLOOKUP(K343,'Fevereiro 2023 - Valor Real'!A3:A15,'Fevereiro 2023 - Valor Real'!C3:C15,0))+1),((L344-1)*(1-_xlfn.XLOOKUP(K344,'Fevereiro 2023 - Valor Real'!A3:A15,'Fevereiro 2023 - Valor Real'!C3:C15,0))+1),((L345-1)*(1-_xlfn.XLOOKUP(K345,'Fevereiro 2023 - Valor Real'!A3:A15,'Fevereiro 2023 - Valor Real'!C3:C15,0))+1))/((L345-1)*(1-_xlfn.XLOOKUP(K345,'Fevereiro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Real'!C3:C15,0))+1))/((L343-1)*(1-_xlfn.XLOOKUP(K343,'Fevereiro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Real'!C3:C15,0))+1))/((L344-1)*(1-_xlfn.XLOOKUP(K344,'Fevereiro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Real'!C3:C15,0))+1))/((L345-1)*(1-_xlfn.XLOOKUP(K345,'Fevereiro 2023 - Valor Real'!A3:A15,'Fevereiro 2023 - Valor Real'!C3:C15,0))+1)))</f>
        <v>0.19396139881521113</v>
      </c>
      <c r="AF345" s="105">
        <f t="shared" si="702"/>
        <v>0</v>
      </c>
      <c r="AG345" s="106">
        <f t="shared" si="702"/>
        <v>-5.79</v>
      </c>
      <c r="AH345" s="106">
        <f t="shared" si="702"/>
        <v>0</v>
      </c>
      <c r="AI345" s="106">
        <f t="shared" si="702"/>
        <v>0</v>
      </c>
      <c r="AJ345" s="106">
        <f t="shared" si="702"/>
        <v>0</v>
      </c>
      <c r="AK345" s="106">
        <f t="shared" si="702"/>
        <v>0</v>
      </c>
      <c r="AL345" s="106">
        <f t="shared" si="702"/>
        <v>0</v>
      </c>
      <c r="AM345" s="106">
        <f t="shared" si="702"/>
        <v>0</v>
      </c>
      <c r="AN345" s="106">
        <f t="shared" si="702"/>
        <v>0</v>
      </c>
      <c r="AO345" s="106">
        <f t="shared" si="702"/>
        <v>0</v>
      </c>
      <c r="AP345" s="106">
        <f t="shared" si="702"/>
        <v>0</v>
      </c>
      <c r="AQ345" s="106">
        <f t="shared" si="702"/>
        <v>0</v>
      </c>
      <c r="AR345" s="107">
        <f t="shared" si="702"/>
        <v>0</v>
      </c>
      <c r="AS345" s="105">
        <f>IF(AND($B343=" ",$K345=AS$3),$O345,0)</f>
        <v>0</v>
      </c>
      <c r="AT345" s="106">
        <f>IF(AND($B343=" ",K345=AT$3),$O345,0)</f>
        <v>0</v>
      </c>
      <c r="AU345" s="106">
        <f t="shared" ref="AU345:BE345" si="705">IF(AND($B343=" ",$K345=AU$3),$O345,0)</f>
        <v>0</v>
      </c>
      <c r="AV345" s="106">
        <f t="shared" si="705"/>
        <v>0</v>
      </c>
      <c r="AW345" s="106">
        <f t="shared" si="705"/>
        <v>0</v>
      </c>
      <c r="AX345" s="106">
        <f t="shared" si="705"/>
        <v>0</v>
      </c>
      <c r="AY345" s="108">
        <f t="shared" si="705"/>
        <v>0</v>
      </c>
      <c r="AZ345" s="109">
        <f t="shared" si="705"/>
        <v>0</v>
      </c>
      <c r="BA345" s="109">
        <f t="shared" si="705"/>
        <v>0</v>
      </c>
      <c r="BB345" s="109">
        <f t="shared" si="705"/>
        <v>0</v>
      </c>
      <c r="BC345" s="110">
        <f t="shared" si="705"/>
        <v>0</v>
      </c>
      <c r="BD345" s="106">
        <f t="shared" si="705"/>
        <v>0</v>
      </c>
      <c r="BE345" s="107">
        <f t="shared" si="705"/>
        <v>0</v>
      </c>
      <c r="BF345" s="105">
        <f t="shared" si="704"/>
        <v>0</v>
      </c>
      <c r="BG345" s="106">
        <f t="shared" si="704"/>
        <v>5.79</v>
      </c>
      <c r="BH345" s="106">
        <f t="shared" si="704"/>
        <v>0</v>
      </c>
      <c r="BI345" s="106">
        <f t="shared" si="704"/>
        <v>0</v>
      </c>
      <c r="BJ345" s="106">
        <f t="shared" si="704"/>
        <v>0</v>
      </c>
      <c r="BK345" s="106">
        <f t="shared" si="704"/>
        <v>0</v>
      </c>
      <c r="BL345" s="106">
        <f t="shared" si="704"/>
        <v>0</v>
      </c>
      <c r="BM345" s="108">
        <f t="shared" si="704"/>
        <v>0</v>
      </c>
      <c r="BN345" s="109">
        <f t="shared" si="704"/>
        <v>0</v>
      </c>
      <c r="BO345" s="109">
        <f t="shared" si="704"/>
        <v>0</v>
      </c>
      <c r="BP345" s="109">
        <f t="shared" si="704"/>
        <v>0</v>
      </c>
      <c r="BQ345" s="110">
        <f t="shared" si="704"/>
        <v>0</v>
      </c>
      <c r="BR345" s="107">
        <f t="shared" si="704"/>
        <v>0</v>
      </c>
      <c r="BS345" s="464"/>
      <c r="BT345" s="461"/>
      <c r="BU345" s="392"/>
      <c r="BV345" s="461"/>
      <c r="BW345" s="392"/>
      <c r="BX345" s="392"/>
      <c r="BY345" s="392"/>
      <c r="BZ345" s="461"/>
      <c r="CA345" s="392"/>
      <c r="CB345" s="392"/>
      <c r="CC345" s="392"/>
      <c r="CD345" s="401"/>
      <c r="CE345" s="409"/>
      <c r="CF345" s="133">
        <f t="shared" si="644"/>
        <v>0</v>
      </c>
      <c r="CG345" s="134">
        <f t="shared" si="645"/>
        <v>0</v>
      </c>
      <c r="CH345" s="134">
        <f t="shared" si="646"/>
        <v>0</v>
      </c>
      <c r="CI345" s="134">
        <f t="shared" si="647"/>
        <v>1</v>
      </c>
      <c r="CJ345" s="134">
        <f t="shared" si="648"/>
        <v>0</v>
      </c>
      <c r="CK345" s="134">
        <f t="shared" si="649"/>
        <v>0</v>
      </c>
      <c r="CL345" s="134">
        <f t="shared" si="650"/>
        <v>0</v>
      </c>
      <c r="CM345" s="134">
        <f t="shared" si="651"/>
        <v>0</v>
      </c>
      <c r="CN345" s="134">
        <f t="shared" si="652"/>
        <v>0</v>
      </c>
      <c r="CO345" s="134">
        <f t="shared" si="653"/>
        <v>0</v>
      </c>
      <c r="CP345" s="134">
        <f t="shared" si="654"/>
        <v>0</v>
      </c>
      <c r="CQ345" s="134">
        <f t="shared" si="655"/>
        <v>0</v>
      </c>
      <c r="CR345" s="134">
        <f t="shared" si="656"/>
        <v>0</v>
      </c>
      <c r="CS345" s="134">
        <f t="shared" si="657"/>
        <v>0</v>
      </c>
      <c r="CT345" s="115">
        <f t="shared" si="658"/>
        <v>0</v>
      </c>
      <c r="CU345" s="116">
        <f t="shared" si="659"/>
        <v>0</v>
      </c>
      <c r="CV345" s="116">
        <f t="shared" si="660"/>
        <v>0</v>
      </c>
      <c r="CW345" s="116">
        <f t="shared" si="661"/>
        <v>0</v>
      </c>
      <c r="CX345" s="116">
        <f t="shared" si="662"/>
        <v>0</v>
      </c>
      <c r="CY345" s="116">
        <f t="shared" si="663"/>
        <v>0</v>
      </c>
      <c r="CZ345" s="116">
        <f t="shared" si="664"/>
        <v>0</v>
      </c>
      <c r="DA345" s="116">
        <f t="shared" si="665"/>
        <v>0</v>
      </c>
      <c r="DB345" s="116">
        <f t="shared" si="666"/>
        <v>0</v>
      </c>
      <c r="DC345" s="116">
        <f t="shared" si="667"/>
        <v>0</v>
      </c>
      <c r="DD345" s="116">
        <f t="shared" si="668"/>
        <v>0</v>
      </c>
      <c r="DE345" s="117">
        <f t="shared" si="669"/>
        <v>0</v>
      </c>
      <c r="DF345" s="118">
        <f t="shared" si="672"/>
        <v>24</v>
      </c>
      <c r="DG345" s="106">
        <f t="shared" si="673"/>
        <v>31.309999999999995</v>
      </c>
      <c r="DH345" s="116">
        <f t="shared" si="674"/>
        <v>9</v>
      </c>
      <c r="DI345" s="106">
        <f t="shared" si="675"/>
        <v>36.849999999999994</v>
      </c>
      <c r="DJ345" s="201" t="str">
        <f>IF($D343="","",$D343)</f>
        <v>10</v>
      </c>
      <c r="DK345" s="466"/>
    </row>
    <row r="346" spans="1:115" ht="14.5" customHeight="1" x14ac:dyDescent="0.2">
      <c r="A346" s="487">
        <f>$A343+1</f>
        <v>115</v>
      </c>
      <c r="B346" s="506" t="str">
        <f>IF(OR(C346="W",C347="W",C348="W",C346="1/2W",C347="1/2W",C348="1/2W",C346="1/2L",C347="1/2L",C348="1/2L"),"OK",IF(OR(C346="L",C347="L",C348="L"),"LOSS",IF(OR(C346="X",C347="X",C348="X"),"Anulado"," ")))</f>
        <v>OK</v>
      </c>
      <c r="C346" s="147" t="s">
        <v>55</v>
      </c>
      <c r="D346" s="494" t="str">
        <f>IF(G346="","",$D343)</f>
        <v>10</v>
      </c>
      <c r="E346" s="511" t="str">
        <f>IF(G346=""," ","– "&amp;COUNTIF(D$4:D348,$D346))</f>
        <v>– 2</v>
      </c>
      <c r="F346" s="510" t="str">
        <f ca="1">IF(G346="","",IF(OR(AND($C346&lt;&gt;" ",$C347=" "),AND($C347&lt;&gt;" ",$C346=" "),AND(L348&gt;0,OR(AND($C348&lt;&gt;" ",OR($C346=" ",$C347=" ")),AND($C348=" ",OR($C346&lt;&gt;" ",$C347&lt;&gt;" "))))),IF(SUM(F$4:F345)=0,1,LARGE(F$4:F345,1)+1),IF(MONTH(G346)=MONTH(TODAY()),IF(AND(DAY(G346)&lt;DAY(TODAY()),$B346=" "),IF(SUM(F$4:F345)=0,1,LARGE(F$4:F345,1)+1),IF($B346=" ",IF(AND(DAY(G346)=DAY(TODAY()),HOUR(G346)&lt;=HOUR(NOW())+1),IF(AND(HOUR(G346)+2&lt;=HOUR(NOW()),DAY(G346)&lt;=DAY(TODAY()),MINUTE(G346)&lt;=MINUTE(NOW())),IF(SUM(F$4:F345)=0,1,LARGE(F$4:F345,1)+1),IF(OR(MINUTE(G346)&lt;=MINUTE(NOW()),HOUR(G346)&lt;=HOUR(NOW())),"!!!","")),""),"")),"")))</f>
        <v/>
      </c>
      <c r="G346" s="508">
        <v>44996.447916666664</v>
      </c>
      <c r="H346" s="502" t="s">
        <v>157</v>
      </c>
      <c r="I346" s="148">
        <v>1</v>
      </c>
      <c r="J346" s="149"/>
      <c r="K346" s="150" t="s">
        <v>43</v>
      </c>
      <c r="L346" s="151">
        <v>1.98</v>
      </c>
      <c r="M346" s="152">
        <v>18.47</v>
      </c>
      <c r="N346" s="503">
        <v>0</v>
      </c>
      <c r="O346" s="153">
        <f>IF(OR(AE346="",AE347=""),"",ROUND(IF(L348&gt;0,IF(M346&gt;0,M346,IF(M347&gt;0,ROUND((M347*AE346)/AE347,IF(N346=0,2,IF(N346=0.1,1,0))),ROUND((M348*AE346)/AE348,IF(N346=0,2,IF(N346=0.1,1,0))))),IF(M346&gt;0,M346,ROUND((M347*AE346)/AE347,IF(N346=0,2,IF(N346=0.1,1,0))))),2))</f>
        <v>18.47</v>
      </c>
      <c r="P346" s="154">
        <f>IF(OR(L346="",O346=""),"",IF($C346="1/2W",O346/2+O346/2*L346,IF($C346="1/2L",O346/2,IF(I346="Lay",(O346*(L346/(L346-1))-O346)*(1-_xlfn.XLOOKUP(K346,'Fevereiro 2023 - Valor Real'!A3:A15,'Fevereiro 2023 - Valor Real'!C3:C15,0))+O346,(O346*L346-O346)*(1-_xlfn.XLOOKUP(K346,'Fevereiro 2023 - Valor Real'!A3:A15,'Fevereiro 2023 - Valor Real'!C3:C15,0))+O346))))</f>
        <v>36.570599999999999</v>
      </c>
      <c r="Q346" s="155">
        <f>IF(K346="","",IF(_xlfn.XLOOKUP(K346,K$9:K338,$DJ$9:DJ338,0,,-1)=DJ346,_xlfn.XLOOKUP(K346,K$9:K338,Q$9:Q338,1,,-1)+1,1))</f>
        <v>1</v>
      </c>
      <c r="R346" s="156">
        <f>IF(K346="","",_xlfn.XLOOKUP(K346,K$9:K338,R$9:R338,0,,-1)+IF($C346=" ",1,0))</f>
        <v>0</v>
      </c>
      <c r="S346" s="501">
        <f>IF($B346="Anulado",0,ROUND(IF(OR($B346="LOSS",$B346="OK"),IF(OR($C346="W",$C346="1/2W",$C346="1/2L"),P346-O346,IF($C346="L",-O346,0))+IF(OR($C347="W",$C347="1/2W",$C347="1/2L"),P347-O347,IF($C347="L",-O347,0))+IF(OR($C348="W",$C348="1/2W",$C348="1/2L"),P348-O348,IF($C348="L",-O348,0)),IF(AND(OR($C346="W",$C346="1/2W",$C346="1/2L"),C347="W"),P346+P347-SUM(O346:O348)+_xlfn.XLOOKUP("X",C346:C348,O346:O348,0),IF(AND(C346=TRUE,C348="W"),P346+P348-SUM(O346:O348),IF(AND(C347="W",C348="W"),P347+P348-SUM(O346:O348)+_xlfn.XLOOKUP("X",C346:C348,O346:O348,0),IF(L348&gt;0,IF(OR($C346="W",$C346="1/2W",$C346="1/2L"),P346-SUM(O346:O348)+_xlfn.XLOOKUP("X",C346:C348,O346:O348,0),IF(OR($C346="W",$C346="1/2W",$C346="1/2L"),P347-SUM(O346:O348)+_xlfn.XLOOKUP("X",C346:C348,O346:O348,0),IF(OR($C346="W",$C346="1/2W",$C346="1/2L"),P348-SUM(O346:O348)+_xlfn.XLOOKUP("X",C346:C348,O346:O348,0),IF(SUM(P346:P348)/3-SUM(O346:O348)+_xlfn.XLOOKUP("X",C346:C348,O346:O348,0)&gt;0,SUM(P346:P348)/3-SUM(O346:O348)+_xlfn.XLOOKUP("X",C346:C348,O346:O348,0),LARGE(P346:P348,1)-SUM(O346:O348))))),IF(OR($C346="W",$C346="1/2W",$C346="1/2L"),P346-SUM(O346:O347)+_xlfn.XLOOKUP("X",C346:C348,O346:O348,0),IF(OR($C346="W",$C346="1/2W",$C346="1/2L"),P347-SUM(O346:O347)+_xlfn.XLOOKUP("X",C346:C348,O346:O348,0),SUM(P346:P347)/2-SUM(O346:O347)+_xlfn.XLOOKUP("X",C346:C348,O346:O348,0)))))))),2))</f>
        <v>2.2799999999999998</v>
      </c>
      <c r="T346" s="486">
        <f>IF(S346=0,0,S346/SUM(O346:O348))</f>
        <v>6.6472303206997069E-2</v>
      </c>
      <c r="U346" s="496">
        <f>IF($D346=$D343,IF(OR($B346="LOSS",$B346="OK",$B346="Anulada"),S346,0)+U343,IF(OR($B346="LOSS",$B346="OK",$B346="Anulada"),S346,0))</f>
        <v>4.16</v>
      </c>
      <c r="V346" s="496">
        <f>IF($D346="",0,IF($D346=$D343,IF($B346=" ",IF(I348="",IF(OR(AND(I346="DNB1",I347="DNB2"),AND(OR(I346="DNB1",I346="DNB2"),J347=0),AND(OR(I347="DNB1",I347="DNB2"),J346=0),AND(I346="DNB2",I347="DNB1"),AND(IF(J346=0,(J346+1)/ROUND(J346+1,0),J346/ROUND(J346,0))=1,IF(J347=0,(J347+1)/ROUND(IF(J347="",0,J347)+1,0),IF(J347="",0,J347)/ROUND(IF(J347="",1,J347),0))=1,OR(J346&lt;&gt;""),J347&lt;&gt;"")),0,IF(S346&lt;0,IF(I348="",SMALL(P346:P347,1)-SUM(O346:O347),0),SMALL(P346:P347,1)-SUM(O346:O347))),IF(S346&lt;0,IF(I348="",SMALL(P346:P348,1)-SUM(O346:O348),0),LARGE(P346:P348,1)-SUM(O346:O348))),S346)+V343,IF(I348="",IF(OR(AND(I346="DNB1",I347="DNB2"),AND(OR(I346="DNB1",I346="DNB2"),J347=0),AND(OR(I347="DNB1",I347="DNB2"),J346=0),AND(I346="DNB2",I347="DNB1"),AND(IF(J346=0,(J346+1)/ROUND(J346+1,0),J346/ROUND(J346,0))=1,IF(J347=0,(IF(J347="",0,J347)+1)/ROUND(IF(J347="",0,J347)+1,0),IF(J347="",0,J347)/ROUND(IF(J347="",0,J347)+1,0))=1,OR(J346&lt;&gt;""),J347&lt;&gt;"")),0,IF(S346&lt;0,IF(I348="",SMALL(P346:P347,1)-SUM(O346:O347),0),SMALL(P346:P348,1)-SUM(O346:O348))),IF(S346&lt;0,IF(I348="",SMALL(P346:P348,1)-SUM(O346:O348),0),LARGE(P346:P348,1)-SUM(O346:O348)))))</f>
        <v>19.18</v>
      </c>
      <c r="W346" s="496">
        <f>IF($D346=$D343,IF(S346&lt;0,IF(I348="",S346,0),S346)+W343,S346)</f>
        <v>4.16</v>
      </c>
      <c r="X346" s="505" t="str">
        <f>IF(OR(SUM(R346:R348)=0,V346=W346),ROUND(IF(W346=0,0,W346/Y346)*100,2)&amp;"%",ROUND(IF(V346=0,0,V346/Y346)*100,2)&amp;"% a "&amp;ROUND(IF(W346=0,0,W346/Y346)*100,2)&amp;"%")</f>
        <v>6,2%</v>
      </c>
      <c r="Y346" s="497">
        <f>IF($D346=$D343,Y343+SUM(O346:O348),SUM(O346:O348))</f>
        <v>67.150000000000006</v>
      </c>
      <c r="Z346" s="496">
        <f>IF($B346=" ",SUM(O346:O348),0)+Z343</f>
        <v>0</v>
      </c>
      <c r="AA346" s="496">
        <f>IF(G346="","",IF($B346="Anulado",LARGE(P346:P348,1)-SUM(O346:O348)+AA343,AA343))</f>
        <v>8.7641999999999936</v>
      </c>
      <c r="AB346" s="496">
        <f>IF($D346="","",AB343+S346)</f>
        <v>497.41</v>
      </c>
      <c r="AC346" s="499">
        <f ca="1">IF($D346="","",IF($B346=" ",IF(DAY(G346)=DAY(TODAY()),1+AC343,0+AC343),0+AC343))</f>
        <v>0</v>
      </c>
      <c r="AD346" s="157">
        <f>(1-_xlfn.XLOOKUP(K344,'Fevereiro 2023 - Valor Real'!A3:A15,'Fevereiro 2023 - Valor Real'!C3:C15,0))+1</f>
        <v>2</v>
      </c>
      <c r="AE346" s="158">
        <f>IF(L346="","",IF(L348&gt;0,(SUM(((L346-1)*(1-_xlfn.XLOOKUP(K346,'Fevereiro 2023 - Valor Real'!A3:A15,'Fevereiro 2023 - Valor Real'!C3:C15,0))+1),((L347-1)*(1-_xlfn.XLOOKUP(K347,'Fevereiro 2023 - Valor Real'!A3:A15,'Fevereiro 2023 - Valor Real'!C3:C15,0))+1),((L348-1)*(1-_xlfn.XLOOKUP(K348,'Fevereiro 2023 - Valor Real'!A3:A15,'Fevereiro 2023 - Valor Real'!C3:C15,0))+1))/((L346-1)*(1-_xlfn.XLOOKUP(K346,'Fevereiro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Real'!C3:C15,0))+1))/((L346-1)*(1-_xlfn.XLOOKUP(K346,'Fevereiro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Real'!C3:C15,0))+1))/((L347-1)*(1-_xlfn.XLOOKUP(K347,'Fevereiro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Real'!C3:C15,0))+1))/((L348-1)*(1-_xlfn.XLOOKUP(K348,'Fevereiro 2023 - Valor Real'!A3:A15,'Fevereiro 2023 - Valor Real'!C3:C15,0))+1)),IF(I346="Lay",IF(I347="Lay",((L347/(L347-1)-1)*(1-_xlfn.XLOOKUP(K347,'Fevereiro 2023 - Valor Real'!A3:A15,'Fevereiro 2023 - Valor Real'!C3:C15,0))+1)/(((L347/(L347-1)-1)*(1-_xlfn.XLOOKUP(K347,'Fevereiro 2023 - Valor Real'!A3:A15,'Fevereiro 2023 - Valor Real'!C3:C15,0))+1)+((L346/(L346-1)-1)*(1-_xlfn.XLOOKUP(K346,'Fevereiro 2023 - Valor Real'!A3:A15,'Fevereiro 2023 - Valor Real'!C3:C15,0))+1)),((L347-1)*(1-_xlfn.XLOOKUP(K347,'Fevereiro 2023 - Valor Real'!A3:A15,'Fevereiro 2023 - Valor Real'!C3:C15,0))+1)/(((L347-1)*(1-_xlfn.XLOOKUP(K347,'Fevereiro 2023 - Valor Real'!A3:A15,'Fevereiro 2023 - Valor Real'!C3:C15,0))+1)+((L346/(L346-1)-1)*(1-_xlfn.XLOOKUP(K346,'Fevereiro 2023 - Valor Real'!A3:A15,'Fevereiro 2023 - Valor Real'!C3:C15,0))+1))),IF(I347="Lay",(((L347/(L347-1)-1)*(1-_xlfn.XLOOKUP(K347,'Fevereiro 2023 - Valor Real'!A3:A15,'Fevereiro 2023 - Valor Real'!C3:C15,0))+1))/(((L346-1)*(1-_xlfn.XLOOKUP(K346,'Fevereiro 2023 - Valor Real'!A3:A15,'Fevereiro 2023 - Valor Real'!C3:C15,0))+1)+((L347/(L347-1)-1)*(1-_xlfn.XLOOKUP(K347,'Fevereiro 2023 - Valor Real'!A3:A15,'Fevereiro 2023 - Valor Real'!C3:C15,0))+1)),((L347-1)*(1-_xlfn.XLOOKUP(K347,'Fevereiro 2023 - Valor Real'!A3:A15,'Fevereiro 2023 - Valor Real'!C3:C15,0))+1)/(((L347-1)*(1-_xlfn.XLOOKUP(K347,'Fevereiro 2023 - Valor Real'!A3:A15,'Fevereiro 2023 - Valor Real'!C3:C15,0))+1)+((L346-1)*(1-_xlfn.XLOOKUP(K346,'Fevereiro 2023 - Valor Real'!A3:A15,'Fevereiro 2023 - Valor Real'!C3:C15,0))+1))))))</f>
        <v>0.53854875283446713</v>
      </c>
      <c r="AF346" s="66">
        <f t="shared" si="702"/>
        <v>0</v>
      </c>
      <c r="AG346" s="67">
        <f t="shared" si="702"/>
        <v>0</v>
      </c>
      <c r="AH346" s="67">
        <f t="shared" si="702"/>
        <v>0</v>
      </c>
      <c r="AI346" s="67">
        <f t="shared" si="702"/>
        <v>0</v>
      </c>
      <c r="AJ346" s="67">
        <f t="shared" si="702"/>
        <v>0</v>
      </c>
      <c r="AK346" s="67">
        <f t="shared" si="702"/>
        <v>0</v>
      </c>
      <c r="AL346" s="67">
        <f t="shared" si="702"/>
        <v>0</v>
      </c>
      <c r="AM346" s="67">
        <f t="shared" si="702"/>
        <v>-18.47</v>
      </c>
      <c r="AN346" s="67">
        <f t="shared" si="702"/>
        <v>0</v>
      </c>
      <c r="AO346" s="67">
        <f t="shared" si="702"/>
        <v>0</v>
      </c>
      <c r="AP346" s="67">
        <f t="shared" si="702"/>
        <v>0</v>
      </c>
      <c r="AQ346" s="67">
        <f t="shared" si="702"/>
        <v>0</v>
      </c>
      <c r="AR346" s="68">
        <f t="shared" si="702"/>
        <v>0</v>
      </c>
      <c r="AS346" s="66">
        <f t="shared" ref="AS346:BE346" si="706">IF(AND($B346=" ",$K346=AS$3),$O346,0)</f>
        <v>0</v>
      </c>
      <c r="AT346" s="67">
        <f t="shared" si="706"/>
        <v>0</v>
      </c>
      <c r="AU346" s="67">
        <f t="shared" si="706"/>
        <v>0</v>
      </c>
      <c r="AV346" s="67">
        <f t="shared" si="706"/>
        <v>0</v>
      </c>
      <c r="AW346" s="67">
        <f t="shared" si="706"/>
        <v>0</v>
      </c>
      <c r="AX346" s="67">
        <f t="shared" si="706"/>
        <v>0</v>
      </c>
      <c r="AY346" s="69">
        <f t="shared" si="706"/>
        <v>0</v>
      </c>
      <c r="AZ346" s="70">
        <f t="shared" si="706"/>
        <v>0</v>
      </c>
      <c r="BA346" s="70">
        <f t="shared" si="706"/>
        <v>0</v>
      </c>
      <c r="BB346" s="70">
        <f t="shared" si="706"/>
        <v>0</v>
      </c>
      <c r="BC346" s="71">
        <f t="shared" si="706"/>
        <v>0</v>
      </c>
      <c r="BD346" s="67">
        <f t="shared" si="706"/>
        <v>0</v>
      </c>
      <c r="BE346" s="68">
        <f t="shared" si="706"/>
        <v>0</v>
      </c>
      <c r="BF346" s="66">
        <f t="shared" si="704"/>
        <v>0</v>
      </c>
      <c r="BG346" s="67">
        <f t="shared" si="704"/>
        <v>0</v>
      </c>
      <c r="BH346" s="67">
        <f t="shared" si="704"/>
        <v>0</v>
      </c>
      <c r="BI346" s="67">
        <f t="shared" si="704"/>
        <v>0</v>
      </c>
      <c r="BJ346" s="67">
        <f t="shared" si="704"/>
        <v>0</v>
      </c>
      <c r="BK346" s="67">
        <f t="shared" si="704"/>
        <v>0</v>
      </c>
      <c r="BL346" s="67">
        <f t="shared" si="704"/>
        <v>0</v>
      </c>
      <c r="BM346" s="69">
        <f t="shared" si="704"/>
        <v>18.47</v>
      </c>
      <c r="BN346" s="70">
        <f t="shared" si="704"/>
        <v>0</v>
      </c>
      <c r="BO346" s="70">
        <f t="shared" si="704"/>
        <v>0</v>
      </c>
      <c r="BP346" s="70">
        <f t="shared" si="704"/>
        <v>0</v>
      </c>
      <c r="BQ346" s="71">
        <f t="shared" si="704"/>
        <v>0</v>
      </c>
      <c r="BR346" s="68">
        <f t="shared" si="704"/>
        <v>0</v>
      </c>
      <c r="BS346" s="490">
        <f>IF($B346="LOSS",IF(AND($K346=BS$3,$C346="L"),-$O346,0)+IF(AND($K347=BS$3,$C347="L"),-$O347,0)+IF(AND($K348=BS$3,$C348="L"),-$O348,0),IF(OR(AND($K346=BS$3,OR($C346="W",$C346="1/2W")),AND($K347=BS$3,OR($C347="W",$C347="1/2W")),AND($K348=BS$3,OR($C348="W",$C348="1/2W"))),$S346,0))</f>
        <v>0</v>
      </c>
      <c r="BT346" s="498">
        <f>IF($B346="LOSS",IF(AND($K346=BT$3,$C346="L"),-$O346,0)+IF(AND($K347=BT$3,$C347="L"),-$O347,0)+IF(AND($K347=BT$3,$C348="L"),-$O348,0),IF(OR(AND($K347=BT$3,OR($C346="W",$C346="1/2W")),AND($K347=BT$3,OR($C347="W",$C347="1/2W")),AND($K347=BT$3,OR($C348="W",$C348="1/2W"))),$S346,0))</f>
        <v>2.2799999999999998</v>
      </c>
      <c r="BU346" s="488">
        <f>IF($B346="LOSS",IF(AND($K346=BU$3,$C346="L"),-$O346,0)+IF(AND($K347=BU$3,$C347="L"),-$O347,0)+IF(AND($K347=BU$3,$C348="L"),-$O348,0),IF(OR(AND($K347=BU$3,OR($C346="W",$C346="1/2W")),AND($K347=BU$3,OR($C347="W",$C347="1/2W")),AND($K347=BU$3,OR($C348="W",$C348="1/2W"))),$S346,0))</f>
        <v>0</v>
      </c>
      <c r="BV346" s="488">
        <f t="shared" ref="BV346:CE346" si="707">IF($B346="LOSS",IF(AND($K346=BV$3,$C346="L"),-$O346,0)+IF(AND($K347=BV$3,$C347="L"),-$O347,0)+IF(AND($K348=BV$3,$C348="L"),-$O348,0),IF(OR(AND($K346=BV$3,OR($C346="W",$C346="1/2W")),AND($K347=BV$3,OR($C347="W",$C347="1/2W")),AND($K348=BV$3,OR($C348="W",$C348="1/2W"))),$S346,0))</f>
        <v>0</v>
      </c>
      <c r="BW346" s="488">
        <f t="shared" si="707"/>
        <v>0</v>
      </c>
      <c r="BX346" s="488">
        <f t="shared" si="707"/>
        <v>0</v>
      </c>
      <c r="BY346" s="488">
        <f t="shared" si="707"/>
        <v>0</v>
      </c>
      <c r="BZ346" s="488">
        <f t="shared" si="707"/>
        <v>0</v>
      </c>
      <c r="CA346" s="488">
        <f t="shared" si="707"/>
        <v>0</v>
      </c>
      <c r="CB346" s="488">
        <f t="shared" si="707"/>
        <v>0</v>
      </c>
      <c r="CC346" s="488">
        <f t="shared" si="707"/>
        <v>0</v>
      </c>
      <c r="CD346" s="500">
        <f t="shared" si="707"/>
        <v>0</v>
      </c>
      <c r="CE346" s="504">
        <f t="shared" si="707"/>
        <v>0</v>
      </c>
      <c r="CF346" s="160">
        <f t="shared" si="644"/>
        <v>0</v>
      </c>
      <c r="CG346" s="161">
        <f t="shared" si="645"/>
        <v>0</v>
      </c>
      <c r="CH346" s="161">
        <f t="shared" si="646"/>
        <v>0</v>
      </c>
      <c r="CI346" s="161">
        <f t="shared" si="647"/>
        <v>0</v>
      </c>
      <c r="CJ346" s="161">
        <f t="shared" si="648"/>
        <v>0</v>
      </c>
      <c r="CK346" s="161">
        <f t="shared" si="649"/>
        <v>0</v>
      </c>
      <c r="CL346" s="161">
        <f t="shared" si="650"/>
        <v>0</v>
      </c>
      <c r="CM346" s="161">
        <f t="shared" si="651"/>
        <v>0</v>
      </c>
      <c r="CN346" s="161">
        <f t="shared" si="652"/>
        <v>0</v>
      </c>
      <c r="CO346" s="161">
        <f t="shared" si="653"/>
        <v>0</v>
      </c>
      <c r="CP346" s="161">
        <f t="shared" si="654"/>
        <v>0</v>
      </c>
      <c r="CQ346" s="161">
        <f t="shared" si="655"/>
        <v>0</v>
      </c>
      <c r="CR346" s="161">
        <f t="shared" si="656"/>
        <v>0</v>
      </c>
      <c r="CS346" s="161">
        <f t="shared" si="657"/>
        <v>0</v>
      </c>
      <c r="CT346" s="75">
        <f t="shared" si="658"/>
        <v>0</v>
      </c>
      <c r="CU346" s="76">
        <f t="shared" si="659"/>
        <v>1</v>
      </c>
      <c r="CV346" s="76">
        <f t="shared" si="660"/>
        <v>0</v>
      </c>
      <c r="CW346" s="76">
        <f t="shared" si="661"/>
        <v>0</v>
      </c>
      <c r="CX346" s="76">
        <f t="shared" si="662"/>
        <v>0</v>
      </c>
      <c r="CY346" s="76">
        <f t="shared" si="663"/>
        <v>0</v>
      </c>
      <c r="CZ346" s="76">
        <f t="shared" si="664"/>
        <v>0</v>
      </c>
      <c r="DA346" s="76">
        <f t="shared" si="665"/>
        <v>0</v>
      </c>
      <c r="DB346" s="76">
        <f t="shared" si="666"/>
        <v>0</v>
      </c>
      <c r="DC346" s="76">
        <f t="shared" si="667"/>
        <v>0</v>
      </c>
      <c r="DD346" s="76">
        <f t="shared" si="668"/>
        <v>0</v>
      </c>
      <c r="DE346" s="77">
        <f t="shared" si="669"/>
        <v>0</v>
      </c>
      <c r="DF346" s="73">
        <f t="shared" si="672"/>
        <v>24</v>
      </c>
      <c r="DG346" s="67">
        <f t="shared" si="673"/>
        <v>31.309999999999995</v>
      </c>
      <c r="DH346" s="76">
        <f t="shared" si="674"/>
        <v>9</v>
      </c>
      <c r="DI346" s="67">
        <f t="shared" si="675"/>
        <v>36.849999999999994</v>
      </c>
      <c r="DJ346" s="202" t="str">
        <f>IF($D346="","",$D346)</f>
        <v>10</v>
      </c>
      <c r="DK346" s="492">
        <f>IF(AND($B346=" ",$D346&lt;&gt;""),1,0)</f>
        <v>0</v>
      </c>
    </row>
    <row r="347" spans="1:115" ht="14.5" customHeight="1" x14ac:dyDescent="0.2">
      <c r="A347" s="389"/>
      <c r="B347" s="456"/>
      <c r="C347" s="53" t="s">
        <v>55</v>
      </c>
      <c r="D347" s="374"/>
      <c r="E347" s="386"/>
      <c r="F347" s="377"/>
      <c r="G347" s="508"/>
      <c r="H347" s="476"/>
      <c r="I347" s="182" t="s">
        <v>49</v>
      </c>
      <c r="J347" s="163" t="str">
        <f>IF(OR(I346="TO",I346="TU",I346="TO1",I346="TU1",I346="TO2",I346="TU2"),J346,IF(OR(I346="AH1",I346="AH2"),IF(OR(I347="AH1",I347="AH2"),-J346,IF(OR(I347="EH1",I347="EH2"),-J346+0.5,"")),IF(OR(I346="EH1",I346="EH2"),IF(OR(I347="AH1",I347="AH2"),-J346+0.5,IF(OR(I347="EH1",I347="EH2"),-J346+1,"")),IF(AND(OR(I346="DNB1",I346="DNB2"),OR(I347="AH1",I347="AH2")),0,IF(AND(I346="Not ScoreBoth",OR(I347="TO1",I347="TO2")),0.5,"")))))</f>
        <v/>
      </c>
      <c r="K347" s="57" t="s">
        <v>37</v>
      </c>
      <c r="L347" s="164">
        <v>4.5</v>
      </c>
      <c r="M347" s="165">
        <v>8.1300000000000008</v>
      </c>
      <c r="N347" s="406"/>
      <c r="O347" s="60">
        <f>IF(OR(AE346="",AE347=""),"",ROUND(IF(L348&gt;0,IF(M347&gt;0,M347,IF(M346&gt;0,IF(N346=TRUE,ROUND((M346*AE347)/AE346,0),(M346*AE347)/AE346),IF(M347&gt;0,ROUND(M347,IF(N346=0,2,IF(N346=0.1,1,0))),IF(M348&gt;0,ROUND(O348*AE347/AE348,IF(N346=0,2,IF(N346=0.1,1,0))),0)))),IF(M347&gt;0,M347,ROUND((M346*AE347)/AE346,IF(N346=0,2,IF(N346=0.1,1,0))))),2))</f>
        <v>8.1300000000000008</v>
      </c>
      <c r="P347" s="61">
        <f>IF(OR(L347="",O347=""),"",IF($C347="1/2W",O347/2+O347/2*L347,IF($C347="1/2L",O347/2,IF(I347="Lay",((O347*(L347/(L347-1)))-O347)*(1-_xlfn.XLOOKUP(K347,'Fevereiro 2023 - Valor Real'!A3:A15,'Fevereiro 2023 - Valor Real'!C3:C15,0))+O347,(O347*L347-O347)*(1-_xlfn.XLOOKUP(K347,'Fevereiro 2023 - Valor Real'!A3:A15,'Fevereiro 2023 - Valor Real'!C3:C15,0))+O347))))</f>
        <v>36.585000000000001</v>
      </c>
      <c r="Q347" s="166">
        <f>IF(K347="","",IF(_xlfn.XLOOKUP(K347,K$10:K338,$DJ$10:DJ338,0,,-1)=DJ347,_xlfn.XLOOKUP(K347,K$10:K338,Q$10:Q338,1,,-1)+1,1))</f>
        <v>1</v>
      </c>
      <c r="R347" s="167">
        <f>IF(K347="","",_xlfn.XLOOKUP(K347,K$10:K338,R$10:R338,0,,-1)+IF($C347=" ",1,0))</f>
        <v>0</v>
      </c>
      <c r="S347" s="403"/>
      <c r="T347" s="380"/>
      <c r="U347" s="380"/>
      <c r="V347" s="481"/>
      <c r="W347" s="380"/>
      <c r="X347" s="452"/>
      <c r="Y347" s="383"/>
      <c r="Z347" s="384"/>
      <c r="AA347" s="384"/>
      <c r="AB347" s="384"/>
      <c r="AC347" s="384"/>
      <c r="AD347" s="64"/>
      <c r="AE347" s="65">
        <f>IF(L347="","",IF(L348&gt;0,(SUM(((L346-1)*(1-_xlfn.XLOOKUP(K346,'Fevereiro 2023 - Valor Real'!A3:A15,'Fevereiro 2023 - Valor Real'!C3:C15,0))+1),((L347-1)*(1-_xlfn.XLOOKUP(K347,'Fevereiro 2023 - Valor Real'!A3:A15,'Fevereiro 2023 - Valor Real'!C3:C15,0))+1),((L348-1)*(1-_xlfn.XLOOKUP(K348,'Fevereiro 2023 - Valor Real'!A3:A15,'Fevereiro 2023 - Valor Real'!C3:C15,0))+1))/((L347-1)*(1-_xlfn.XLOOKUP(K347,'Fevereiro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Real'!C3:C15,0))+1))/((L346-1)*(1-_xlfn.XLOOKUP(K346,'Fevereiro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Real'!C3:C15,0))+1))/((L347-1)*(1-_xlfn.XLOOKUP(K347,'Fevereiro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Real'!C3:C15,0))+1))/((L348-1)*(1-_xlfn.XLOOKUP(K348,'Fevereiro 2023 - Valor Real'!A3:A15,'Fevereiro 2023 - Valor Real'!C3:C15,0))+1)),IF(I347="Lay",IF(I346="Lay",((L346/(L346-1)-1)*(1-_xlfn.XLOOKUP(K346,'Fevereiro 2023 - Valor Real'!A3:A15,'Fevereiro 2023 - Valor Real'!C3:C15,0))+1)/(((L346/(L346-1)-1)*(1-_xlfn.XLOOKUP(K346,'Fevereiro 2023 - Valor Real'!A3:A15,'Fevereiro 2023 - Valor Real'!C3:C15,0))+1)+((L347/(L347-1)-1)*(1-_xlfn.XLOOKUP(K347,'Fevereiro 2023 - Valor Real'!A3:A15,'Fevereiro 2023 - Valor Real'!C3:C15,0))+1)),((L346-1)*(1-_xlfn.XLOOKUP(K346,'Fevereiro 2023 - Valor Real'!A3:A15,'Fevereiro 2023 - Valor Real'!C3:C15,0))+1)/(((L346-1)*(1-_xlfn.XLOOKUP(K346,'Fevereiro 2023 - Valor Real'!A3:A15,'Fevereiro 2023 - Valor Real'!C3:C15,0))+1)+((L347/(L347-1)-1)*(1-_xlfn.XLOOKUP(K347,'Fevereiro 2023 - Valor Real'!A3:A15,'Fevereiro 2023 - Valor Real'!C3:C15,0))+1))),IF(I346="Lay",((L346/(L346-1)-1)*(1-_xlfn.XLOOKUP(K346,'Fevereiro 2023 - Valor Real'!A3:A15,'Fevereiro 2023 - Valor Real'!C3:C15,0))+1)/((((L346/(L346-1)-1)*(1-_xlfn.XLOOKUP(K346,'Fevereiro 2023 - Valor Real'!A3:A15,'Fevereiro 2023 - Valor Real'!C3:C15,0))+1))+((L347-1)*(1-_xlfn.XLOOKUP(K347,'Fevereiro 2023 - Valor Real'!A3:A15,'Fevereiro 2023 - Valor Real'!C3:C15,0))+1)),((L346-1)*(1-_xlfn.XLOOKUP(K346,'Fevereiro 2023 - Valor Real'!A3:A15,'Fevereiro 2023 - Valor Real'!C3:C15,0))+1)/(((L346-1)*(1-_xlfn.XLOOKUP(K346,'Fevereiro 2023 - Valor Real'!A3:A15,'Fevereiro 2023 - Valor Real'!C3:C15,0))+1)+((L347-1)*(1-_xlfn.XLOOKUP(K347,'Fevereiro 2023 - Valor Real'!A3:A15,'Fevereiro 2023 - Valor Real'!C3:C15,0))+1))))))</f>
        <v>0.23696145124716556</v>
      </c>
      <c r="AF347" s="66">
        <f t="shared" si="702"/>
        <v>0</v>
      </c>
      <c r="AG347" s="67">
        <f t="shared" si="702"/>
        <v>-8.1300000000000008</v>
      </c>
      <c r="AH347" s="67">
        <f t="shared" si="702"/>
        <v>0</v>
      </c>
      <c r="AI347" s="67">
        <f t="shared" si="702"/>
        <v>0</v>
      </c>
      <c r="AJ347" s="67">
        <f t="shared" si="702"/>
        <v>0</v>
      </c>
      <c r="AK347" s="67">
        <f t="shared" si="702"/>
        <v>0</v>
      </c>
      <c r="AL347" s="67">
        <f t="shared" si="702"/>
        <v>0</v>
      </c>
      <c r="AM347" s="67">
        <f t="shared" si="702"/>
        <v>0</v>
      </c>
      <c r="AN347" s="67">
        <f t="shared" si="702"/>
        <v>0</v>
      </c>
      <c r="AO347" s="67">
        <f t="shared" si="702"/>
        <v>0</v>
      </c>
      <c r="AP347" s="67">
        <f t="shared" si="702"/>
        <v>0</v>
      </c>
      <c r="AQ347" s="67">
        <f t="shared" si="702"/>
        <v>0</v>
      </c>
      <c r="AR347" s="68">
        <f t="shared" si="702"/>
        <v>0</v>
      </c>
      <c r="AS347" s="66">
        <f>IF(AND($B346=" ",$K347=AS$3),$O347,0)</f>
        <v>0</v>
      </c>
      <c r="AT347" s="67">
        <f>IF(AND($B346=" ",K347=AT$3),$O347,0)</f>
        <v>0</v>
      </c>
      <c r="AU347" s="67">
        <f t="shared" ref="AU347:BE347" si="708">IF(AND($B346=" ",$K347=AU$3),$O347,0)</f>
        <v>0</v>
      </c>
      <c r="AV347" s="67">
        <f t="shared" si="708"/>
        <v>0</v>
      </c>
      <c r="AW347" s="67">
        <f t="shared" si="708"/>
        <v>0</v>
      </c>
      <c r="AX347" s="67">
        <f t="shared" si="708"/>
        <v>0</v>
      </c>
      <c r="AY347" s="69">
        <f t="shared" si="708"/>
        <v>0</v>
      </c>
      <c r="AZ347" s="70">
        <f t="shared" si="708"/>
        <v>0</v>
      </c>
      <c r="BA347" s="70">
        <f t="shared" si="708"/>
        <v>0</v>
      </c>
      <c r="BB347" s="70">
        <f t="shared" si="708"/>
        <v>0</v>
      </c>
      <c r="BC347" s="71">
        <f t="shared" si="708"/>
        <v>0</v>
      </c>
      <c r="BD347" s="67">
        <f t="shared" si="708"/>
        <v>0</v>
      </c>
      <c r="BE347" s="68">
        <f t="shared" si="708"/>
        <v>0</v>
      </c>
      <c r="BF347" s="66">
        <f t="shared" si="704"/>
        <v>0</v>
      </c>
      <c r="BG347" s="168">
        <f t="shared" si="704"/>
        <v>8.1300000000000008</v>
      </c>
      <c r="BH347" s="67">
        <f t="shared" si="704"/>
        <v>0</v>
      </c>
      <c r="BI347" s="67">
        <f t="shared" si="704"/>
        <v>0</v>
      </c>
      <c r="BJ347" s="67">
        <f t="shared" si="704"/>
        <v>0</v>
      </c>
      <c r="BK347" s="67">
        <f t="shared" si="704"/>
        <v>0</v>
      </c>
      <c r="BL347" s="67">
        <f t="shared" si="704"/>
        <v>0</v>
      </c>
      <c r="BM347" s="69">
        <f t="shared" si="704"/>
        <v>0</v>
      </c>
      <c r="BN347" s="70">
        <f t="shared" si="704"/>
        <v>0</v>
      </c>
      <c r="BO347" s="70">
        <f t="shared" si="704"/>
        <v>0</v>
      </c>
      <c r="BP347" s="70">
        <f t="shared" si="704"/>
        <v>0</v>
      </c>
      <c r="BQ347" s="71">
        <f t="shared" si="704"/>
        <v>0</v>
      </c>
      <c r="BR347" s="68">
        <f t="shared" si="704"/>
        <v>0</v>
      </c>
      <c r="BS347" s="491"/>
      <c r="BT347" s="489"/>
      <c r="BU347" s="392"/>
      <c r="BV347" s="489"/>
      <c r="BW347" s="392"/>
      <c r="BX347" s="392"/>
      <c r="BY347" s="392"/>
      <c r="BZ347" s="489"/>
      <c r="CA347" s="392"/>
      <c r="CB347" s="392"/>
      <c r="CC347" s="392"/>
      <c r="CD347" s="401"/>
      <c r="CE347" s="409"/>
      <c r="CF347" s="169">
        <f t="shared" si="644"/>
        <v>0</v>
      </c>
      <c r="CG347" s="170">
        <f t="shared" si="645"/>
        <v>0</v>
      </c>
      <c r="CH347" s="170">
        <f t="shared" si="646"/>
        <v>0</v>
      </c>
      <c r="CI347" s="170">
        <f t="shared" si="647"/>
        <v>1</v>
      </c>
      <c r="CJ347" s="170">
        <f t="shared" si="648"/>
        <v>0</v>
      </c>
      <c r="CK347" s="170">
        <f t="shared" si="649"/>
        <v>0</v>
      </c>
      <c r="CL347" s="170">
        <f t="shared" si="650"/>
        <v>0</v>
      </c>
      <c r="CM347" s="170">
        <f t="shared" si="651"/>
        <v>0</v>
      </c>
      <c r="CN347" s="170">
        <f t="shared" si="652"/>
        <v>0</v>
      </c>
      <c r="CO347" s="170">
        <f t="shared" si="653"/>
        <v>0</v>
      </c>
      <c r="CP347" s="170">
        <f t="shared" si="654"/>
        <v>0</v>
      </c>
      <c r="CQ347" s="170">
        <f t="shared" si="655"/>
        <v>0</v>
      </c>
      <c r="CR347" s="170">
        <f t="shared" si="656"/>
        <v>0</v>
      </c>
      <c r="CS347" s="170">
        <f t="shared" si="657"/>
        <v>0</v>
      </c>
      <c r="CT347" s="75">
        <f t="shared" si="658"/>
        <v>0</v>
      </c>
      <c r="CU347" s="76">
        <f t="shared" si="659"/>
        <v>0</v>
      </c>
      <c r="CV347" s="76">
        <f t="shared" si="660"/>
        <v>0</v>
      </c>
      <c r="CW347" s="76">
        <f t="shared" si="661"/>
        <v>0</v>
      </c>
      <c r="CX347" s="76">
        <f t="shared" si="662"/>
        <v>0</v>
      </c>
      <c r="CY347" s="76">
        <f t="shared" si="663"/>
        <v>0</v>
      </c>
      <c r="CZ347" s="76">
        <f t="shared" si="664"/>
        <v>0</v>
      </c>
      <c r="DA347" s="76">
        <f t="shared" si="665"/>
        <v>0</v>
      </c>
      <c r="DB347" s="76">
        <f t="shared" si="666"/>
        <v>0</v>
      </c>
      <c r="DC347" s="76">
        <f t="shared" si="667"/>
        <v>0</v>
      </c>
      <c r="DD347" s="76">
        <f t="shared" si="668"/>
        <v>0</v>
      </c>
      <c r="DE347" s="77">
        <f t="shared" si="669"/>
        <v>0</v>
      </c>
      <c r="DF347" s="73">
        <f t="shared" si="672"/>
        <v>24</v>
      </c>
      <c r="DG347" s="67">
        <f t="shared" si="673"/>
        <v>31.309999999999995</v>
      </c>
      <c r="DH347" s="76">
        <f t="shared" si="674"/>
        <v>9</v>
      </c>
      <c r="DI347" s="67">
        <f t="shared" si="675"/>
        <v>36.849999999999994</v>
      </c>
      <c r="DJ347" s="202" t="str">
        <f>IF($D346="","",$D346)</f>
        <v>10</v>
      </c>
      <c r="DK347" s="493"/>
    </row>
    <row r="348" spans="1:115" ht="14.5" customHeight="1" x14ac:dyDescent="0.2">
      <c r="A348" s="390"/>
      <c r="B348" s="457"/>
      <c r="C348" s="79" t="s">
        <v>54</v>
      </c>
      <c r="D348" s="375"/>
      <c r="E348" s="387"/>
      <c r="F348" s="378"/>
      <c r="G348" s="508"/>
      <c r="H348" s="477"/>
      <c r="I348" s="191">
        <v>2</v>
      </c>
      <c r="J348" s="172"/>
      <c r="K348" s="185" t="s">
        <v>37</v>
      </c>
      <c r="L348" s="186">
        <v>4.75</v>
      </c>
      <c r="M348" s="174">
        <v>7.7</v>
      </c>
      <c r="N348" s="407"/>
      <c r="O348" s="187">
        <f>IF(OR(AE346="",AE347=""),"",IF(L348&gt;0,ROUND(IF(M348&gt;0,M348,IF(M346&gt;0,ROUND((M346*AE348)/AE346,IF(N346=0,2,IF(N346=0.1,1,0))),IF(M347&gt;0,ROUND((M347*AE348)/AE347,IF(N346=0,2,IF(N346=0.1,1,0))),IF(M348&gt;0,M348,0)))),2),""))</f>
        <v>7.7</v>
      </c>
      <c r="P348" s="188">
        <f>IF(I347="Lay",O347*(L347/(L347-1))-O347,IF(I346="Lay",O346*(L346/(L346-1))-O346,IF(OR(L348="",O348=""),"",IF($C348="1/2W",O348/2+O348/2*L348,IF($C348="1/2L",O348/2,(O348*L348-O348)*(1-_xlfn.XLOOKUP(K348,'Fevereiro 2023 - Valor Real'!A3:A15,'Fevereiro 2023 - Valor Real'!C3:C15,0))+O348)))))</f>
        <v>36.575000000000003</v>
      </c>
      <c r="Q348" s="166">
        <f>IF(K348="","",IF(_xlfn.XLOOKUP(K348,K$11:K338,$DJ$11:DJ338,0,,-1)=DJ348,_xlfn.XLOOKUP(K348,K$11:K338,Q$11:Q338,1,,-1)+1,1))</f>
        <v>1</v>
      </c>
      <c r="R348" s="189">
        <f>IF(K348="","",_xlfn.XLOOKUP(K348,K$11:K338,R$11:R338,0,,-1)+IF($C348=" ",1,0))</f>
        <v>0</v>
      </c>
      <c r="S348" s="404"/>
      <c r="T348" s="378"/>
      <c r="U348" s="378"/>
      <c r="V348" s="404"/>
      <c r="W348" s="378"/>
      <c r="X348" s="453"/>
      <c r="Y348" s="383"/>
      <c r="Z348" s="384"/>
      <c r="AA348" s="384"/>
      <c r="AB348" s="384"/>
      <c r="AC348" s="384"/>
      <c r="AD348" s="90"/>
      <c r="AE348" s="190">
        <f>IF(L348="","",(SUM(((L346-1)*(1-_xlfn.XLOOKUP(K346,'Fevereiro 2023 - Valor Real'!A3:A15,'Fevereiro 2023 - Valor Real'!C3:C15,0))+1),((L347-1)*(1-_xlfn.XLOOKUP(K347,'Fevereiro 2023 - Valor Real'!A3:A15,'Fevereiro 2023 - Valor Real'!C3:C15,0))+1),((L348-1)*(1-_xlfn.XLOOKUP(K348,'Fevereiro 2023 - Valor Real'!A3:A15,'Fevereiro 2023 - Valor Real'!C3:C15,0))+1))/((L348-1)*(1-_xlfn.XLOOKUP(K348,'Fevereiro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Real'!C3:C15,0))+1))/((L346-1)*(1-_xlfn.XLOOKUP(K346,'Fevereiro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Real'!C3:C15,0))+1))/((L347-1)*(1-_xlfn.XLOOKUP(K347,'Fevereiro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Real'!C3:C15,0))+1))/((L348-1)*(1-_xlfn.XLOOKUP(K348,'Fevereiro 2023 - Valor Real'!A3:A15,'Fevereiro 2023 - Valor Real'!C3:C15,0))+1)))</f>
        <v>0.22448979591836735</v>
      </c>
      <c r="AF348" s="66">
        <f t="shared" si="702"/>
        <v>0</v>
      </c>
      <c r="AG348" s="67">
        <f t="shared" si="702"/>
        <v>28.88</v>
      </c>
      <c r="AH348" s="67">
        <f t="shared" si="702"/>
        <v>0</v>
      </c>
      <c r="AI348" s="67">
        <f t="shared" si="702"/>
        <v>0</v>
      </c>
      <c r="AJ348" s="67">
        <f t="shared" si="702"/>
        <v>0</v>
      </c>
      <c r="AK348" s="67">
        <f t="shared" si="702"/>
        <v>0</v>
      </c>
      <c r="AL348" s="67">
        <f t="shared" si="702"/>
        <v>0</v>
      </c>
      <c r="AM348" s="67">
        <f t="shared" si="702"/>
        <v>0</v>
      </c>
      <c r="AN348" s="67">
        <f t="shared" si="702"/>
        <v>0</v>
      </c>
      <c r="AO348" s="67">
        <f t="shared" si="702"/>
        <v>0</v>
      </c>
      <c r="AP348" s="67">
        <f t="shared" si="702"/>
        <v>0</v>
      </c>
      <c r="AQ348" s="67">
        <f t="shared" si="702"/>
        <v>0</v>
      </c>
      <c r="AR348" s="68">
        <f t="shared" si="702"/>
        <v>0</v>
      </c>
      <c r="AS348" s="66">
        <f>IF(AND($B346=" ",$K348=AS$3),$O348,0)</f>
        <v>0</v>
      </c>
      <c r="AT348" s="67">
        <f>IF(AND($B346=" ",K348=AT$3),$O348,0)</f>
        <v>0</v>
      </c>
      <c r="AU348" s="67">
        <f t="shared" ref="AU348:BE348" si="709">IF(AND($B346=" ",$K348=AU$3),$O348,0)</f>
        <v>0</v>
      </c>
      <c r="AV348" s="67">
        <f t="shared" si="709"/>
        <v>0</v>
      </c>
      <c r="AW348" s="67">
        <f t="shared" si="709"/>
        <v>0</v>
      </c>
      <c r="AX348" s="67">
        <f t="shared" si="709"/>
        <v>0</v>
      </c>
      <c r="AY348" s="69">
        <f t="shared" si="709"/>
        <v>0</v>
      </c>
      <c r="AZ348" s="70">
        <f t="shared" si="709"/>
        <v>0</v>
      </c>
      <c r="BA348" s="70">
        <f t="shared" si="709"/>
        <v>0</v>
      </c>
      <c r="BB348" s="70">
        <f t="shared" si="709"/>
        <v>0</v>
      </c>
      <c r="BC348" s="71">
        <f t="shared" si="709"/>
        <v>0</v>
      </c>
      <c r="BD348" s="67">
        <f t="shared" si="709"/>
        <v>0</v>
      </c>
      <c r="BE348" s="68">
        <f t="shared" si="709"/>
        <v>0</v>
      </c>
      <c r="BF348" s="66">
        <f t="shared" si="704"/>
        <v>0</v>
      </c>
      <c r="BG348" s="168">
        <f t="shared" si="704"/>
        <v>7.7</v>
      </c>
      <c r="BH348" s="67">
        <f t="shared" si="704"/>
        <v>0</v>
      </c>
      <c r="BI348" s="67">
        <f t="shared" si="704"/>
        <v>0</v>
      </c>
      <c r="BJ348" s="67">
        <f t="shared" si="704"/>
        <v>0</v>
      </c>
      <c r="BK348" s="67">
        <f t="shared" si="704"/>
        <v>0</v>
      </c>
      <c r="BL348" s="67">
        <f t="shared" si="704"/>
        <v>0</v>
      </c>
      <c r="BM348" s="69">
        <f t="shared" si="704"/>
        <v>0</v>
      </c>
      <c r="BN348" s="70">
        <f t="shared" si="704"/>
        <v>0</v>
      </c>
      <c r="BO348" s="70">
        <f t="shared" si="704"/>
        <v>0</v>
      </c>
      <c r="BP348" s="70">
        <f t="shared" si="704"/>
        <v>0</v>
      </c>
      <c r="BQ348" s="71">
        <f t="shared" si="704"/>
        <v>0</v>
      </c>
      <c r="BR348" s="68">
        <f t="shared" si="704"/>
        <v>0</v>
      </c>
      <c r="BS348" s="491"/>
      <c r="BT348" s="489"/>
      <c r="BU348" s="392"/>
      <c r="BV348" s="489"/>
      <c r="BW348" s="392"/>
      <c r="BX348" s="392"/>
      <c r="BY348" s="392"/>
      <c r="BZ348" s="489"/>
      <c r="CA348" s="392"/>
      <c r="CB348" s="392"/>
      <c r="CC348" s="392"/>
      <c r="CD348" s="401"/>
      <c r="CE348" s="409"/>
      <c r="CF348" s="169">
        <f t="shared" si="644"/>
        <v>0</v>
      </c>
      <c r="CG348" s="170">
        <f t="shared" si="645"/>
        <v>0</v>
      </c>
      <c r="CH348" s="170">
        <f t="shared" si="646"/>
        <v>1</v>
      </c>
      <c r="CI348" s="170">
        <f t="shared" si="647"/>
        <v>0</v>
      </c>
      <c r="CJ348" s="170">
        <f t="shared" si="648"/>
        <v>0</v>
      </c>
      <c r="CK348" s="170">
        <f t="shared" si="649"/>
        <v>0</v>
      </c>
      <c r="CL348" s="170">
        <f t="shared" si="650"/>
        <v>0</v>
      </c>
      <c r="CM348" s="170">
        <f t="shared" si="651"/>
        <v>0</v>
      </c>
      <c r="CN348" s="170">
        <f t="shared" si="652"/>
        <v>0</v>
      </c>
      <c r="CO348" s="170">
        <f t="shared" si="653"/>
        <v>0</v>
      </c>
      <c r="CP348" s="170">
        <f t="shared" si="654"/>
        <v>0</v>
      </c>
      <c r="CQ348" s="170">
        <f t="shared" si="655"/>
        <v>0</v>
      </c>
      <c r="CR348" s="170">
        <f t="shared" si="656"/>
        <v>0</v>
      </c>
      <c r="CS348" s="170">
        <f t="shared" si="657"/>
        <v>0</v>
      </c>
      <c r="CT348" s="75">
        <f t="shared" si="658"/>
        <v>0</v>
      </c>
      <c r="CU348" s="76">
        <f t="shared" si="659"/>
        <v>0</v>
      </c>
      <c r="CV348" s="76">
        <f t="shared" si="660"/>
        <v>0</v>
      </c>
      <c r="CW348" s="76">
        <f t="shared" si="661"/>
        <v>0</v>
      </c>
      <c r="CX348" s="76">
        <f t="shared" si="662"/>
        <v>0</v>
      </c>
      <c r="CY348" s="76">
        <f t="shared" si="663"/>
        <v>0</v>
      </c>
      <c r="CZ348" s="76">
        <f t="shared" si="664"/>
        <v>0</v>
      </c>
      <c r="DA348" s="76">
        <f t="shared" si="665"/>
        <v>0</v>
      </c>
      <c r="DB348" s="76">
        <f t="shared" si="666"/>
        <v>0</v>
      </c>
      <c r="DC348" s="76">
        <f t="shared" si="667"/>
        <v>0</v>
      </c>
      <c r="DD348" s="76">
        <f t="shared" si="668"/>
        <v>0</v>
      </c>
      <c r="DE348" s="77">
        <f t="shared" si="669"/>
        <v>0</v>
      </c>
      <c r="DF348" s="73">
        <f t="shared" si="672"/>
        <v>24</v>
      </c>
      <c r="DG348" s="67">
        <f t="shared" si="673"/>
        <v>31.309999999999995</v>
      </c>
      <c r="DH348" s="76">
        <f t="shared" si="674"/>
        <v>10</v>
      </c>
      <c r="DI348" s="67">
        <f t="shared" si="675"/>
        <v>41.599999999999994</v>
      </c>
      <c r="DJ348" s="202" t="str">
        <f>IF($D346="","",$D346)</f>
        <v>10</v>
      </c>
      <c r="DK348" s="493"/>
    </row>
    <row r="349" spans="1:115" ht="14.5" customHeight="1" x14ac:dyDescent="0.2">
      <c r="A349" s="459">
        <f>$A346+1</f>
        <v>116</v>
      </c>
      <c r="B349" s="507" t="str">
        <f>IF(OR(C349="W",C350="W",C351="W",C349="1/2W",C350="1/2W",C351="1/2W",C349="1/2L",C350="1/2L",C351="1/2L"),"OK",IF(OR(C349="L",C350="L",C351="L"),"LOSS",IF(OR(C349="X",C350="X",C351="X"),"Anulado"," ")))</f>
        <v>OK</v>
      </c>
      <c r="C349" s="93" t="s">
        <v>54</v>
      </c>
      <c r="D349" s="468" t="str">
        <f>IF(G349="","",$D346)</f>
        <v>10</v>
      </c>
      <c r="E349" s="485" t="str">
        <f>IF(G349=""," ","– "&amp;COUNTIF(D$4:D351,$D349))</f>
        <v>– 3</v>
      </c>
      <c r="F349" s="509" t="str">
        <f ca="1">IF(G349="","",IF(OR(AND($C349&lt;&gt;" ",$C350=" "),AND($C350&lt;&gt;" ",$C349=" "),AND(L351&gt;0,OR(AND($C351&lt;&gt;" ",OR($C349=" ",$C350=" ")),AND($C351=" ",OR($C349&lt;&gt;" ",$C350&lt;&gt;" "))))),IF(SUM(F$4:F348)=0,1,LARGE(F$4:F348,1)+1),IF(MONTH(G349)=MONTH(TODAY()),IF(AND(DAY(G349)&lt;DAY(TODAY()),$B349=" "),IF(SUM(F$4:F348)=0,1,LARGE(F$4:F348,1)+1),IF($B349=" ",IF(AND(DAY(G349)=DAY(TODAY()),HOUR(G349)&lt;=HOUR(NOW())+1),IF(AND(HOUR(G349)+2&lt;=HOUR(NOW()),DAY(G349)&lt;=DAY(TODAY()),MINUTE(G349)&lt;=MINUTE(NOW())),IF(SUM(F$4:F348)=0,1,LARGE(F$4:F348,1)+1),IF(OR(MINUTE(G349)&lt;=MINUTE(NOW()),HOUR(G349)&lt;=HOUR(NOW())),"!!!","")),""),"")),"")))</f>
        <v/>
      </c>
      <c r="G349" s="482">
        <v>44996.4375</v>
      </c>
      <c r="H349" s="475" t="s">
        <v>158</v>
      </c>
      <c r="I349" s="175">
        <v>1</v>
      </c>
      <c r="J349" s="176"/>
      <c r="K349" s="96" t="s">
        <v>47</v>
      </c>
      <c r="L349" s="97">
        <v>1.34</v>
      </c>
      <c r="M349" s="98"/>
      <c r="N349" s="478">
        <v>0.1</v>
      </c>
      <c r="O349" s="99">
        <f>IF(OR(AE349="",AE350=""),"",ROUND(IF(L351&gt;0,IF(M349&gt;0,M349,IF(M350&gt;0,ROUND((M350*AE349)/AE350,IF(N349=0,2,IF(N349=0.1,1,0))),ROUND((M351*AE349)/AE351,IF(N349=0,2,IF(N349=0.1,1,0))))),IF(M349&gt;0,M349,ROUND((M350*AE349)/AE350,IF(N349=0,2,IF(N349=0.1,1,0))))),2))</f>
        <v>20.7</v>
      </c>
      <c r="P349" s="100">
        <f>IF(OR(L349="",O349=""),"",IF($C349="1/2W",O349/2+O349/2*L349,IF($C349="1/2L",O349/2,IF(I349="Lay",(O349*(L349/(L349-1))-O349)*(1-_xlfn.XLOOKUP(K349,'Fevereiro 2023 - Valor Real'!A3:A15,'Fevereiro 2023 - Valor Real'!C3:C15,0))+O349,(O349*L349-O349)*(1-_xlfn.XLOOKUP(K349,'Fevereiro 2023 - Valor Real'!A3:A15,'Fevereiro 2023 - Valor Real'!C3:C15,0))+O349))))</f>
        <v>27.738</v>
      </c>
      <c r="Q349" s="101">
        <f>IF(K349="","",IF(_xlfn.XLOOKUP(K349,K$4:K348,$DJ$4:DJ348,0,,-1)=DJ349,_xlfn.XLOOKUP(K349,K$4:K348,Q$4:Q348,1,,-1)+1,1))</f>
        <v>1</v>
      </c>
      <c r="R349" s="102">
        <f>IF(K349="","",_xlfn.XLOOKUP(K349,K$4:K348,R$4:R348,0,,-1)+IF($C349=" ",1,0))</f>
        <v>0</v>
      </c>
      <c r="S349" s="474">
        <f>IF($B349="Anulado",0,ROUND(IF(OR($B349="LOSS",$B349="OK"),IF(OR($C349="W",$C349="1/2W",$C349="1/2L"),P349-O349,IF($C349="L",-O349,0))+IF(OR($C350="W",$C350="1/2W",$C350="1/2L"),P350-O350,IF($C350="L",-O350,0))+IF(OR($C351="W",$C351="1/2W",$C351="1/2L"),P351-O351,IF($C351="L",-O351,0)),IF(AND(OR($C349="W",$C349="1/2W",$C349="1/2L"),C350="W"),P349+P350-SUM(O349:O351)+_xlfn.XLOOKUP("X",C349:C351,O349:O351,0),IF(AND(C349=TRUE,C351="W"),P349+P351-SUM(O349:O351),IF(AND(C350="W",C351="W"),P350+P351-SUM(O349:O351)+_xlfn.XLOOKUP("X",C349:C351,O349:O351,0),IF(L351&gt;0,IF(OR($C349="W",$C349="1/2W",$C349="1/2L"),P349-SUM(O349:O351)+_xlfn.XLOOKUP("X",C349:C351,O349:O351,0),IF(OR($C349="W",$C349="1/2W",$C349="1/2L"),P350-SUM(O349:O351)+_xlfn.XLOOKUP("X",C349:C351,O349:O351,0),IF(OR($C349="W",$C349="1/2W",$C349="1/2L"),P351-SUM(O349:O351)+_xlfn.XLOOKUP("X",C349:C351,O349:O351,0),IF(SUM(P349:P351)/3-SUM(O349:O351)+_xlfn.XLOOKUP("X",C349:C351,O349:O351,0)&gt;0,SUM(P349:P351)/3-SUM(O349:O351)+_xlfn.XLOOKUP("X",C349:C351,O349:O351,0),LARGE(P349:P351,1)-SUM(O349:O351))))),IF(OR($C349="W",$C349="1/2W",$C349="1/2L"),P349-SUM(O349:O350)+_xlfn.XLOOKUP("X",C349:C351,O349:O351,0),IF(OR($C349="W",$C349="1/2W",$C349="1/2L"),P350-SUM(O349:O350)+_xlfn.XLOOKUP("X",C349:C351,O349:O351,0),SUM(P349:P350)/2-SUM(O349:O350)+_xlfn.XLOOKUP("X",C349:C351,O349:O351,0)))))))),2))</f>
        <v>1.5</v>
      </c>
      <c r="T349" s="458">
        <f>IF(S349=0,0,S349/SUM(O349:O351))</f>
        <v>5.7164634146341466E-2</v>
      </c>
      <c r="U349" s="470">
        <f>IF($D349=$D346,IF(OR($B349="LOSS",$B349="OK",$B349="Anulada"),S349,0)+U346,IF(OR($B349="LOSS",$B349="OK",$B349="Anulada"),S349,0))</f>
        <v>5.66</v>
      </c>
      <c r="V349" s="470">
        <f>IF($D349="",0,IF($D349=$D346,IF($B349=" ",IF(I351="",IF(OR(AND(I349="DNB1",I350="DNB2"),AND(OR(I349="DNB1",I349="DNB2"),J350=0),AND(OR(I350="DNB1",I350="DNB2"),J349=0),AND(I349="DNB2",I350="DNB1"),AND(IF(J349=0,(J349+1)/ROUND(J349+1,0),J349/ROUND(J349,0))=1,IF(J350=0,(J350+1)/ROUND(IF(J350="",0,J350)+1,0),IF(J350="",0,J350)/ROUND(IF(J350="",1,J350),0))=1,OR(J349&lt;&gt;""),J350&lt;&gt;"")),0,IF(S349&lt;0,IF(I351="",SMALL(P349:P350,1)-SUM(O349:O350),0),SMALL(P349:P350,1)-SUM(O349:O350))),IF(S349&lt;0,IF(I351="",SMALL(P349:P351,1)-SUM(O349:O351),0),LARGE(P349:P351,1)-SUM(O349:O351))),S349)+V346,IF(I351="",IF(OR(AND(I349="DNB1",I350="DNB2"),AND(OR(I349="DNB1",I349="DNB2"),J350=0),AND(OR(I350="DNB1",I350="DNB2"),J349=0),AND(I349="DNB2",I350="DNB1"),AND(IF(J349=0,(J349+1)/ROUND(J349+1,0),J349/ROUND(J349,0))=1,IF(J350=0,(IF(J350="",0,J350)+1)/ROUND(IF(J350="",0,J350)+1,0),IF(J350="",0,J350)/ROUND(IF(J350="",0,J350)+1,0))=1,OR(J349&lt;&gt;""),J350&lt;&gt;"")),0,IF(S349&lt;0,IF(I351="",SMALL(P349:P350,1)-SUM(O349:O350),0),SMALL(P349:P351,1)-SUM(O349:O351))),IF(S349&lt;0,IF(I351="",SMALL(P349:P351,1)-SUM(O349:O351),0),LARGE(P349:P351,1)-SUM(O349:O351)))))</f>
        <v>20.68</v>
      </c>
      <c r="W349" s="470">
        <f>IF($D349=$D346,IF(S349&lt;0,IF(I351="",S349,0),S349)+W346,S349)</f>
        <v>5.66</v>
      </c>
      <c r="X349" s="480" t="str">
        <f>IF(OR(SUM(R349:R351)=0,V349=W349),ROUND(IF(W349=0,0,W349/Y349)*100,2)&amp;"%",ROUND(IF(V349=0,0,V349/Y349)*100,2)&amp;"% a "&amp;ROUND(IF(W349=0,0,W349/Y349)*100,2)&amp;"%")</f>
        <v>6,06%</v>
      </c>
      <c r="Y349" s="471">
        <f>IF($D349=$D346,Y346+SUM(O349:O351),SUM(O349:O351))</f>
        <v>93.39</v>
      </c>
      <c r="Z349" s="470">
        <f>IF($B349=" ",SUM(O349:O351),0)+Z346</f>
        <v>0</v>
      </c>
      <c r="AA349" s="470">
        <f>IF(G349="","",IF($B349="Anulado",LARGE(P349:P351,1)-SUM(O349:O351)+AA346,AA346))</f>
        <v>8.7641999999999936</v>
      </c>
      <c r="AB349" s="470">
        <f>IF($D349="","",AB346+S349)</f>
        <v>498.91</v>
      </c>
      <c r="AC349" s="472">
        <f ca="1">IF($D349="","",IF($B349=" ",IF(DAY(G349)=DAY(TODAY()),1+AC346,0+AC346),0+AC346))</f>
        <v>0</v>
      </c>
      <c r="AD349" s="103">
        <f>(((L350/(L350-1)-1)*(1-_xlfn.XLOOKUP(K350,'Fevereiro 2023 - Valor Real'!A3:A15,'Fevereiro 2023 - Valor Real'!C3:C15,0))+1))/(((L349-1)*(1-_xlfn.XLOOKUP(K349,'Fevereiro 2023 - Valor Real'!A3:A15,'Fevereiro 2023 - Valor Real'!C3:C15,0))+1)+((L350/(L350-1)-1)*(1-_xlfn.XLOOKUP(K350,'Fevereiro 2023 - Valor Real'!A3:A15,'Fevereiro 2023 - Valor Real'!C3:C15,0))+1))</f>
        <v>0.48262548262548266</v>
      </c>
      <c r="AE349" s="104">
        <f>IF(L349="","",IF(L351&gt;0,(SUM(((L349-1)*(1-_xlfn.XLOOKUP(K349,'Fevereiro 2023 - Valor Real'!A3:A15,'Fevereiro 2023 - Valor Real'!C3:C15,0))+1),((L350-1)*(1-_xlfn.XLOOKUP(K350,'Fevereiro 2023 - Valor Real'!A3:A15,'Fevereiro 2023 - Valor Real'!C3:C15,0))+1),((L351-1)*(1-_xlfn.XLOOKUP(K351,'Fevereiro 2023 - Valor Real'!A3:A15,'Fevereiro 2023 - Valor Real'!C3:C15,0))+1))/((L349-1)*(1-_xlfn.XLOOKUP(K349,'Fevereiro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Real'!C3:C15,0))+1))/((L349-1)*(1-_xlfn.XLOOKUP(K349,'Fevereiro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Real'!C3:C15,0))+1))/((L350-1)*(1-_xlfn.XLOOKUP(K350,'Fevereiro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Real'!C3:C15,0))+1))/((L351-1)*(1-_xlfn.XLOOKUP(K351,'Fevereiro 2023 - Valor Real'!A3:A15,'Fevereiro 2023 - Valor Real'!C3:C15,0))+1)),IF(I349="Lay",IF(I350="Lay",((L350/(L350-1)-1)*(1-_xlfn.XLOOKUP(K350,'Fevereiro 2023 - Valor Real'!A3:A15,'Fevereiro 2023 - Valor Real'!C3:C15,0))+1)/(((L350/(L350-1)-1)*(1-_xlfn.XLOOKUP(K350,'Fevereiro 2023 - Valor Real'!A3:A15,'Fevereiro 2023 - Valor Real'!C3:C15,0))+1)+((L349/(L349-1)-1)*(1-_xlfn.XLOOKUP(K349,'Fevereiro 2023 - Valor Real'!A3:A15,'Fevereiro 2023 - Valor Real'!C3:C15,0))+1)),((L350-1)*(1-_xlfn.XLOOKUP(K350,'Fevereiro 2023 - Valor Real'!A3:A15,'Fevereiro 2023 - Valor Real'!C3:C15,0))+1)/(((L350-1)*(1-_xlfn.XLOOKUP(K350,'Fevereiro 2023 - Valor Real'!A3:A15,'Fevereiro 2023 - Valor Real'!C3:C15,0))+1)+((L349/(L349-1)-1)*(1-_xlfn.XLOOKUP(K349,'Fevereiro 2023 - Valor Real'!A3:A15,'Fevereiro 2023 - Valor Real'!C3:C15,0))+1))),IF(I350="Lay",(((L350/(L350-1)-1)*(1-_xlfn.XLOOKUP(K350,'Fevereiro 2023 - Valor Real'!A3:A15,'Fevereiro 2023 - Valor Real'!C3:C15,0))+1))/(((L349-1)*(1-_xlfn.XLOOKUP(K349,'Fevereiro 2023 - Valor Real'!A3:A15,'Fevereiro 2023 - Valor Real'!C3:C15,0))+1)+((L350/(L350-1)-1)*(1-_xlfn.XLOOKUP(K350,'Fevereiro 2023 - Valor Real'!A3:A15,'Fevereiro 2023 - Valor Real'!C3:C15,0))+1)),((L350-1)*(1-_xlfn.XLOOKUP(K350,'Fevereiro 2023 - Valor Real'!A3:A15,'Fevereiro 2023 - Valor Real'!C3:C15,0))+1)/(((L350-1)*(1-_xlfn.XLOOKUP(K350,'Fevereiro 2023 - Valor Real'!A3:A15,'Fevereiro 2023 - Valor Real'!C3:C15,0))+1)+((L349-1)*(1-_xlfn.XLOOKUP(K349,'Fevereiro 2023 - Valor Real'!A3:A15,'Fevereiro 2023 - Valor Real'!C3:C15,0))+1))))))</f>
        <v>0.78864353312302837</v>
      </c>
      <c r="AF349" s="105">
        <f t="shared" si="702"/>
        <v>0</v>
      </c>
      <c r="AG349" s="106">
        <f t="shared" si="702"/>
        <v>0</v>
      </c>
      <c r="AH349" s="106">
        <f t="shared" si="702"/>
        <v>0</v>
      </c>
      <c r="AI349" s="106">
        <f t="shared" si="702"/>
        <v>0</v>
      </c>
      <c r="AJ349" s="106">
        <f t="shared" si="702"/>
        <v>0</v>
      </c>
      <c r="AK349" s="106">
        <f t="shared" si="702"/>
        <v>0</v>
      </c>
      <c r="AL349" s="106">
        <f t="shared" si="702"/>
        <v>0</v>
      </c>
      <c r="AM349" s="106">
        <f t="shared" si="702"/>
        <v>0</v>
      </c>
      <c r="AN349" s="106">
        <f t="shared" si="702"/>
        <v>0</v>
      </c>
      <c r="AO349" s="106">
        <f t="shared" si="702"/>
        <v>0</v>
      </c>
      <c r="AP349" s="106">
        <f t="shared" si="702"/>
        <v>0</v>
      </c>
      <c r="AQ349" s="106">
        <f t="shared" si="702"/>
        <v>7.04</v>
      </c>
      <c r="AR349" s="107">
        <f t="shared" si="702"/>
        <v>0</v>
      </c>
      <c r="AS349" s="105">
        <f t="shared" ref="AS349:BE349" si="710">IF(AND($B349=" ",$K349=AS$3),$O349,0)</f>
        <v>0</v>
      </c>
      <c r="AT349" s="106">
        <f t="shared" si="710"/>
        <v>0</v>
      </c>
      <c r="AU349" s="106">
        <f t="shared" si="710"/>
        <v>0</v>
      </c>
      <c r="AV349" s="106">
        <f t="shared" si="710"/>
        <v>0</v>
      </c>
      <c r="AW349" s="106">
        <f t="shared" si="710"/>
        <v>0</v>
      </c>
      <c r="AX349" s="106">
        <f t="shared" si="710"/>
        <v>0</v>
      </c>
      <c r="AY349" s="108">
        <f t="shared" si="710"/>
        <v>0</v>
      </c>
      <c r="AZ349" s="109">
        <f t="shared" si="710"/>
        <v>0</v>
      </c>
      <c r="BA349" s="109">
        <f t="shared" si="710"/>
        <v>0</v>
      </c>
      <c r="BB349" s="109">
        <f t="shared" si="710"/>
        <v>0</v>
      </c>
      <c r="BC349" s="110">
        <f t="shared" si="710"/>
        <v>0</v>
      </c>
      <c r="BD349" s="106">
        <f t="shared" si="710"/>
        <v>0</v>
      </c>
      <c r="BE349" s="107">
        <f t="shared" si="710"/>
        <v>0</v>
      </c>
      <c r="BF349" s="111">
        <f t="shared" si="704"/>
        <v>0</v>
      </c>
      <c r="BG349" s="106">
        <f t="shared" si="704"/>
        <v>0</v>
      </c>
      <c r="BH349" s="106">
        <f t="shared" si="704"/>
        <v>0</v>
      </c>
      <c r="BI349" s="106">
        <f t="shared" si="704"/>
        <v>0</v>
      </c>
      <c r="BJ349" s="106">
        <f t="shared" si="704"/>
        <v>0</v>
      </c>
      <c r="BK349" s="106">
        <f t="shared" si="704"/>
        <v>0</v>
      </c>
      <c r="BL349" s="106">
        <f t="shared" si="704"/>
        <v>0</v>
      </c>
      <c r="BM349" s="108">
        <f t="shared" si="704"/>
        <v>0</v>
      </c>
      <c r="BN349" s="109">
        <f t="shared" si="704"/>
        <v>0</v>
      </c>
      <c r="BO349" s="109">
        <f t="shared" si="704"/>
        <v>0</v>
      </c>
      <c r="BP349" s="109">
        <f t="shared" si="704"/>
        <v>0</v>
      </c>
      <c r="BQ349" s="110">
        <f t="shared" si="704"/>
        <v>20.7</v>
      </c>
      <c r="BR349" s="107">
        <f t="shared" si="704"/>
        <v>0</v>
      </c>
      <c r="BS349" s="463">
        <f>IF($B349="LOSS",IF(AND($K349=BS$3,$C349="L"),-$O349,0)+IF(AND($K350=BS$3,$C350="L"),-$O350,0)+IF(AND($K351=BS$3,$C351="L"),-$O351,0),IF(OR(AND($K349=BS$3,OR($C349="W",$C349="1/2W")),AND($K350=BS$3,OR($C350="W",$C350="1/2W")),AND($K351=BS$3,OR($C351="W",$C351="1/2W"))),$S349,0))</f>
        <v>0</v>
      </c>
      <c r="BT349" s="462">
        <f>IF($B349="LOSS",IF(AND($K349=BT$3,$C349="L"),-$O349,0)+IF(AND($K350=BT$3,$C350="L"),-$O350,0)+IF(AND($K350=BT$3,$C351="L"),-$O351,0),IF(OR(AND($K350=BT$3,OR($C349="W",$C349="1/2W")),AND($K350=BT$3,OR($C350="W",$C350="1/2W")),AND($K350=BT$3,OR($C351="W",$C351="1/2W"))),$S349,0))</f>
        <v>1.5</v>
      </c>
      <c r="BU349" s="462">
        <f>IF($B349="LOSS",IF(AND($K349=BU$3,$C349="L"),-$O349,0)+IF(AND($K350=BU$3,$C350="L"),-$O350,0)+IF(AND($K350=BU$3,$C351="L"),-$O351,0),IF(OR(AND($K350=BU$3,OR($C349="W",$C349="1/2W")),AND($K350=BU$3,OR($C350="W",$C350="1/2W")),AND($K350=BU$3,OR($C351="W",$C351="1/2W"))),$S349,0))</f>
        <v>0</v>
      </c>
      <c r="BV349" s="462">
        <f t="shared" ref="BV349:CE349" si="711">IF($B349="LOSS",IF(AND($K349=BV$3,$C349="L"),-$O349,0)+IF(AND($K350=BV$3,$C350="L"),-$O350,0)+IF(AND($K351=BV$3,$C351="L"),-$O351,0),IF(OR(AND($K349=BV$3,OR($C349="W",$C349="1/2W")),AND($K350=BV$3,OR($C350="W",$C350="1/2W")),AND($K351=BV$3,OR($C351="W",$C351="1/2W"))),$S349,0))</f>
        <v>0</v>
      </c>
      <c r="BW349" s="462">
        <f t="shared" si="711"/>
        <v>0</v>
      </c>
      <c r="BX349" s="462">
        <f t="shared" si="711"/>
        <v>0</v>
      </c>
      <c r="BY349" s="462">
        <f t="shared" si="711"/>
        <v>0</v>
      </c>
      <c r="BZ349" s="460">
        <f t="shared" si="711"/>
        <v>0</v>
      </c>
      <c r="CA349" s="460">
        <f t="shared" si="711"/>
        <v>0</v>
      </c>
      <c r="CB349" s="460">
        <f t="shared" si="711"/>
        <v>0</v>
      </c>
      <c r="CC349" s="460">
        <f t="shared" si="711"/>
        <v>0</v>
      </c>
      <c r="CD349" s="473">
        <f t="shared" si="711"/>
        <v>1.5</v>
      </c>
      <c r="CE349" s="479">
        <f t="shared" si="711"/>
        <v>0</v>
      </c>
      <c r="CF349" s="113">
        <f t="shared" si="644"/>
        <v>0</v>
      </c>
      <c r="CG349" s="114">
        <f t="shared" si="645"/>
        <v>0</v>
      </c>
      <c r="CH349" s="114">
        <f t="shared" si="646"/>
        <v>0</v>
      </c>
      <c r="CI349" s="114">
        <f t="shared" si="647"/>
        <v>0</v>
      </c>
      <c r="CJ349" s="114">
        <f t="shared" si="648"/>
        <v>0</v>
      </c>
      <c r="CK349" s="114">
        <f t="shared" si="649"/>
        <v>0</v>
      </c>
      <c r="CL349" s="114">
        <f t="shared" si="650"/>
        <v>0</v>
      </c>
      <c r="CM349" s="114">
        <f t="shared" si="651"/>
        <v>0</v>
      </c>
      <c r="CN349" s="114">
        <f t="shared" si="652"/>
        <v>0</v>
      </c>
      <c r="CO349" s="114">
        <f t="shared" si="653"/>
        <v>0</v>
      </c>
      <c r="CP349" s="114">
        <f t="shared" si="654"/>
        <v>0</v>
      </c>
      <c r="CQ349" s="114">
        <f t="shared" si="655"/>
        <v>0</v>
      </c>
      <c r="CR349" s="114">
        <f t="shared" si="656"/>
        <v>0</v>
      </c>
      <c r="CS349" s="114">
        <f t="shared" si="657"/>
        <v>0</v>
      </c>
      <c r="CT349" s="115">
        <f t="shared" si="658"/>
        <v>0</v>
      </c>
      <c r="CU349" s="116">
        <f t="shared" si="659"/>
        <v>0</v>
      </c>
      <c r="CV349" s="116">
        <f t="shared" si="660"/>
        <v>0</v>
      </c>
      <c r="CW349" s="116">
        <f t="shared" si="661"/>
        <v>0</v>
      </c>
      <c r="CX349" s="116">
        <f t="shared" si="662"/>
        <v>0</v>
      </c>
      <c r="CY349" s="116">
        <f t="shared" si="663"/>
        <v>0</v>
      </c>
      <c r="CZ349" s="116">
        <f t="shared" si="664"/>
        <v>0</v>
      </c>
      <c r="DA349" s="116">
        <f t="shared" si="665"/>
        <v>0</v>
      </c>
      <c r="DB349" s="116">
        <f t="shared" si="666"/>
        <v>1</v>
      </c>
      <c r="DC349" s="116">
        <f t="shared" si="667"/>
        <v>0</v>
      </c>
      <c r="DD349" s="116">
        <f t="shared" si="668"/>
        <v>0</v>
      </c>
      <c r="DE349" s="117">
        <f t="shared" si="669"/>
        <v>0</v>
      </c>
      <c r="DF349" s="118">
        <f t="shared" si="672"/>
        <v>25</v>
      </c>
      <c r="DG349" s="106">
        <f t="shared" si="673"/>
        <v>32.65</v>
      </c>
      <c r="DH349" s="116">
        <f t="shared" si="674"/>
        <v>10</v>
      </c>
      <c r="DI349" s="106">
        <f t="shared" si="675"/>
        <v>41.599999999999994</v>
      </c>
      <c r="DJ349" s="201" t="str">
        <f>IF($D349="","",$D349)</f>
        <v>10</v>
      </c>
      <c r="DK349" s="465">
        <f>IF(AND($B349=" ",$D349&lt;&gt;""),1,0)</f>
        <v>0</v>
      </c>
    </row>
    <row r="350" spans="1:115" ht="14.5" customHeight="1" x14ac:dyDescent="0.2">
      <c r="A350" s="389"/>
      <c r="B350" s="456"/>
      <c r="C350" s="120" t="s">
        <v>55</v>
      </c>
      <c r="D350" s="374"/>
      <c r="E350" s="386"/>
      <c r="F350" s="377"/>
      <c r="G350" s="483"/>
      <c r="H350" s="476"/>
      <c r="I350" s="121" t="s">
        <v>64</v>
      </c>
      <c r="J350" s="179" t="str">
        <f>IF(OR(I349="TO",I349="TU",I349="TO1",I349="TU1",I349="TO2",I349="TU2"),J349,IF(OR(I349="AH1",I349="AH2"),IF(OR(I350="AH1",I350="AH2"),-J349,IF(OR(I350="EH1",I350="EH2"),-J349+0.5,"")),IF(OR(I349="EH1",I349="EH2"),IF(OR(I350="AH1",I350="AH2"),-J349+0.5,IF(OR(I350="EH1",I350="EH2"),-J349+1,"")),IF(AND(OR(I349="DNB1",I349="DNB2"),OR(I350="AH1",I350="AH2")),0,IF(AND(I349="Not ScoreBoth",OR(I350="TO1",I350="TO2")),0.5,"")))))</f>
        <v/>
      </c>
      <c r="K350" s="123" t="s">
        <v>37</v>
      </c>
      <c r="L350" s="124">
        <v>5</v>
      </c>
      <c r="M350" s="125">
        <v>5.54</v>
      </c>
      <c r="N350" s="406"/>
      <c r="O350" s="126">
        <f>IF(OR(AE349="",AE350=""),"",ROUND(IF(L351&gt;0,IF(M350&gt;0,M350,IF(M349&gt;0,IF(N349=TRUE,ROUND((M349*AE350)/AE349,0),(M349*AE350)/AE349),IF(M350&gt;0,ROUND(M350,IF(N349=0,2,IF(N349=0.1,1,0))),IF(M351&gt;0,ROUND(O351*AE350/AE351,IF(N349=0,2,IF(N349=0.1,1,0))),0)))),IF(M350&gt;0,M350,ROUND((M349*AE350)/AE349,IF(N349=0,2,IF(N349=0.1,1,0))))),2))</f>
        <v>5.54</v>
      </c>
      <c r="P350" s="127">
        <f>IF(OR(L350="",O350=""),"",IF($C350="1/2W",O350/2+O350/2*L350,IF($C350="1/2L",O350/2,IF(I350="Lay",((O350*(L350/(L350-1)))-O350)*(1-_xlfn.XLOOKUP(K350,'Fevereiro 2023 - Valor Real'!A3:A15,'Fevereiro 2023 - Valor Real'!C3:C15,0))+O350,(O350*L350-O350)*(1-_xlfn.XLOOKUP(K350,'Fevereiro 2023 - Valor Real'!A3:A15,'Fevereiro 2023 - Valor Real'!C3:C15,0))+O350))))</f>
        <v>27.7</v>
      </c>
      <c r="Q350" s="128">
        <f>IF(K350="","",IF(_xlfn.XLOOKUP(K350,K$4:K349,$DJ$4:DJ349,0,,-1)=DJ350,_xlfn.XLOOKUP(K350,K$4:K349,Q$4:Q349,1,,-1)+1,1))</f>
        <v>2</v>
      </c>
      <c r="R350" s="129">
        <f>IF(K350="","",_xlfn.XLOOKUP(K350,K$4:K349,R$4:R349,0,,-1)+IF($C350=" ",1,0))</f>
        <v>0</v>
      </c>
      <c r="S350" s="403"/>
      <c r="T350" s="380"/>
      <c r="U350" s="380"/>
      <c r="V350" s="481"/>
      <c r="W350" s="380"/>
      <c r="X350" s="452"/>
      <c r="Y350" s="383"/>
      <c r="Z350" s="384"/>
      <c r="AA350" s="384"/>
      <c r="AB350" s="384"/>
      <c r="AC350" s="384"/>
      <c r="AD350" s="130">
        <f>(((L350/(L350-1)-1)*(1-_xlfn.XLOOKUP(K350,'Fevereiro 2023 - Valor Real'!A3:A15,'Fevereiro 2023 - Valor Real'!C3:C15,0))+1))</f>
        <v>1.25</v>
      </c>
      <c r="AE350" s="131">
        <f>IF(L350="","",IF(L351&gt;0,(SUM(((L349-1)*(1-_xlfn.XLOOKUP(K349,'Fevereiro 2023 - Valor Real'!A3:A15,'Fevereiro 2023 - Valor Real'!C3:C15,0))+1),((L350-1)*(1-_xlfn.XLOOKUP(K350,'Fevereiro 2023 - Valor Real'!A3:A15,'Fevereiro 2023 - Valor Real'!C3:C15,0))+1),((L351-1)*(1-_xlfn.XLOOKUP(K351,'Fevereiro 2023 - Valor Real'!A3:A15,'Fevereiro 2023 - Valor Real'!C3:C15,0))+1))/((L350-1)*(1-_xlfn.XLOOKUP(K350,'Fevereiro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Real'!C3:C15,0))+1))/((L349-1)*(1-_xlfn.XLOOKUP(K349,'Fevereiro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Real'!C3:C15,0))+1))/((L350-1)*(1-_xlfn.XLOOKUP(K350,'Fevereiro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Real'!C3:C15,0))+1))/((L351-1)*(1-_xlfn.XLOOKUP(K351,'Fevereiro 2023 - Valor Real'!A3:A15,'Fevereiro 2023 - Valor Real'!C3:C15,0))+1)),IF(I350="Lay",IF(I349="Lay",((L349/(L349-1)-1)*(1-_xlfn.XLOOKUP(K349,'Fevereiro 2023 - Valor Real'!A3:A15,'Fevereiro 2023 - Valor Real'!C3:C15,0))+1)/(((L349/(L349-1)-1)*(1-_xlfn.XLOOKUP(K349,'Fevereiro 2023 - Valor Real'!A3:A15,'Fevereiro 2023 - Valor Real'!C3:C15,0))+1)+((L350/(L350-1)-1)*(1-_xlfn.XLOOKUP(K350,'Fevereiro 2023 - Valor Real'!A3:A15,'Fevereiro 2023 - Valor Real'!C3:C15,0))+1)),((L349-1)*(1-_xlfn.XLOOKUP(K349,'Fevereiro 2023 - Valor Real'!A3:A15,'Fevereiro 2023 - Valor Real'!C3:C15,0))+1)/(((L349-1)*(1-_xlfn.XLOOKUP(K349,'Fevereiro 2023 - Valor Real'!A3:A15,'Fevereiro 2023 - Valor Real'!C3:C15,0))+1)+((L350/(L350-1)-1)*(1-_xlfn.XLOOKUP(K350,'Fevereiro 2023 - Valor Real'!A3:A15,'Fevereiro 2023 - Valor Real'!C3:C15,0))+1))),IF(I349="Lay",((L349/(L349-1)-1)*(1-_xlfn.XLOOKUP(K349,'Fevereiro 2023 - Valor Real'!A3:A15,'Fevereiro 2023 - Valor Real'!C3:C15,0))+1)/((((L349/(L349-1)-1)*(1-_xlfn.XLOOKUP(K349,'Fevereiro 2023 - Valor Real'!A3:A15,'Fevereiro 2023 - Valor Real'!C3:C15,0))+1))+((L350-1)*(1-_xlfn.XLOOKUP(K350,'Fevereiro 2023 - Valor Real'!A3:A15,'Fevereiro 2023 - Valor Real'!C3:C15,0))+1)),((L349-1)*(1-_xlfn.XLOOKUP(K349,'Fevereiro 2023 - Valor Real'!A3:A15,'Fevereiro 2023 - Valor Real'!C3:C15,0))+1)/(((L349-1)*(1-_xlfn.XLOOKUP(K349,'Fevereiro 2023 - Valor Real'!A3:A15,'Fevereiro 2023 - Valor Real'!C3:C15,0))+1)+((L350-1)*(1-_xlfn.XLOOKUP(K350,'Fevereiro 2023 - Valor Real'!A3:A15,'Fevereiro 2023 - Valor Real'!C3:C15,0))+1))))))</f>
        <v>0.21135646687697163</v>
      </c>
      <c r="AF350" s="105">
        <f t="shared" si="702"/>
        <v>0</v>
      </c>
      <c r="AG350" s="106">
        <f t="shared" si="702"/>
        <v>-5.54</v>
      </c>
      <c r="AH350" s="106">
        <f t="shared" si="702"/>
        <v>0</v>
      </c>
      <c r="AI350" s="106">
        <f t="shared" si="702"/>
        <v>0</v>
      </c>
      <c r="AJ350" s="106">
        <f t="shared" si="702"/>
        <v>0</v>
      </c>
      <c r="AK350" s="106">
        <f t="shared" si="702"/>
        <v>0</v>
      </c>
      <c r="AL350" s="106">
        <f t="shared" si="702"/>
        <v>0</v>
      </c>
      <c r="AM350" s="106">
        <f t="shared" si="702"/>
        <v>0</v>
      </c>
      <c r="AN350" s="106">
        <f t="shared" si="702"/>
        <v>0</v>
      </c>
      <c r="AO350" s="106">
        <f t="shared" si="702"/>
        <v>0</v>
      </c>
      <c r="AP350" s="106">
        <f t="shared" si="702"/>
        <v>0</v>
      </c>
      <c r="AQ350" s="106">
        <f t="shared" si="702"/>
        <v>0</v>
      </c>
      <c r="AR350" s="107">
        <f t="shared" si="702"/>
        <v>0</v>
      </c>
      <c r="AS350" s="105">
        <f>IF(AND($B349=" ",$K350=AS$3),$O350,0)</f>
        <v>0</v>
      </c>
      <c r="AT350" s="106">
        <f>IF(AND($B349=" ",K350=AT$3),$O350,0)</f>
        <v>0</v>
      </c>
      <c r="AU350" s="106">
        <f t="shared" ref="AU350:BE350" si="712">IF(AND($B349=" ",$K350=AU$3),$O350,0)</f>
        <v>0</v>
      </c>
      <c r="AV350" s="106">
        <f t="shared" si="712"/>
        <v>0</v>
      </c>
      <c r="AW350" s="106">
        <f t="shared" si="712"/>
        <v>0</v>
      </c>
      <c r="AX350" s="106">
        <f t="shared" si="712"/>
        <v>0</v>
      </c>
      <c r="AY350" s="108">
        <f t="shared" si="712"/>
        <v>0</v>
      </c>
      <c r="AZ350" s="109">
        <f t="shared" si="712"/>
        <v>0</v>
      </c>
      <c r="BA350" s="109">
        <f t="shared" si="712"/>
        <v>0</v>
      </c>
      <c r="BB350" s="109">
        <f t="shared" si="712"/>
        <v>0</v>
      </c>
      <c r="BC350" s="110">
        <f t="shared" si="712"/>
        <v>0</v>
      </c>
      <c r="BD350" s="106">
        <f t="shared" si="712"/>
        <v>0</v>
      </c>
      <c r="BE350" s="107">
        <f t="shared" si="712"/>
        <v>0</v>
      </c>
      <c r="BF350" s="105">
        <f t="shared" si="704"/>
        <v>0</v>
      </c>
      <c r="BG350" s="106">
        <f t="shared" si="704"/>
        <v>5.54</v>
      </c>
      <c r="BH350" s="106">
        <f t="shared" si="704"/>
        <v>0</v>
      </c>
      <c r="BI350" s="106">
        <f t="shared" si="704"/>
        <v>0</v>
      </c>
      <c r="BJ350" s="106">
        <f t="shared" si="704"/>
        <v>0</v>
      </c>
      <c r="BK350" s="106">
        <f t="shared" si="704"/>
        <v>0</v>
      </c>
      <c r="BL350" s="106">
        <f t="shared" si="704"/>
        <v>0</v>
      </c>
      <c r="BM350" s="132">
        <f t="shared" si="704"/>
        <v>0</v>
      </c>
      <c r="BN350" s="112">
        <f t="shared" si="704"/>
        <v>0</v>
      </c>
      <c r="BO350" s="112">
        <f t="shared" si="704"/>
        <v>0</v>
      </c>
      <c r="BP350" s="112">
        <f t="shared" si="704"/>
        <v>0</v>
      </c>
      <c r="BQ350" s="110">
        <f t="shared" si="704"/>
        <v>0</v>
      </c>
      <c r="BR350" s="107">
        <f t="shared" si="704"/>
        <v>0</v>
      </c>
      <c r="BS350" s="464"/>
      <c r="BT350" s="461"/>
      <c r="BU350" s="392"/>
      <c r="BV350" s="461"/>
      <c r="BW350" s="392"/>
      <c r="BX350" s="392"/>
      <c r="BY350" s="392"/>
      <c r="BZ350" s="461"/>
      <c r="CA350" s="392"/>
      <c r="CB350" s="392"/>
      <c r="CC350" s="392"/>
      <c r="CD350" s="401"/>
      <c r="CE350" s="409"/>
      <c r="CF350" s="133">
        <f t="shared" si="644"/>
        <v>0</v>
      </c>
      <c r="CG350" s="134">
        <f t="shared" si="645"/>
        <v>0</v>
      </c>
      <c r="CH350" s="134">
        <f t="shared" si="646"/>
        <v>0</v>
      </c>
      <c r="CI350" s="134">
        <f t="shared" si="647"/>
        <v>1</v>
      </c>
      <c r="CJ350" s="134">
        <f t="shared" si="648"/>
        <v>0</v>
      </c>
      <c r="CK350" s="134">
        <f t="shared" si="649"/>
        <v>0</v>
      </c>
      <c r="CL350" s="134">
        <f t="shared" si="650"/>
        <v>0</v>
      </c>
      <c r="CM350" s="134">
        <f t="shared" si="651"/>
        <v>0</v>
      </c>
      <c r="CN350" s="134">
        <f t="shared" si="652"/>
        <v>0</v>
      </c>
      <c r="CO350" s="134">
        <f t="shared" si="653"/>
        <v>0</v>
      </c>
      <c r="CP350" s="134">
        <f t="shared" si="654"/>
        <v>0</v>
      </c>
      <c r="CQ350" s="134">
        <f t="shared" si="655"/>
        <v>0</v>
      </c>
      <c r="CR350" s="134">
        <f t="shared" si="656"/>
        <v>0</v>
      </c>
      <c r="CS350" s="134">
        <f t="shared" si="657"/>
        <v>0</v>
      </c>
      <c r="CT350" s="115">
        <f t="shared" si="658"/>
        <v>0</v>
      </c>
      <c r="CU350" s="116">
        <f t="shared" si="659"/>
        <v>0</v>
      </c>
      <c r="CV350" s="116">
        <f t="shared" si="660"/>
        <v>0</v>
      </c>
      <c r="CW350" s="116">
        <f t="shared" si="661"/>
        <v>0</v>
      </c>
      <c r="CX350" s="116">
        <f t="shared" si="662"/>
        <v>0</v>
      </c>
      <c r="CY350" s="116">
        <f t="shared" si="663"/>
        <v>0</v>
      </c>
      <c r="CZ350" s="116">
        <f t="shared" si="664"/>
        <v>0</v>
      </c>
      <c r="DA350" s="116">
        <f t="shared" si="665"/>
        <v>0</v>
      </c>
      <c r="DB350" s="116">
        <f t="shared" si="666"/>
        <v>0</v>
      </c>
      <c r="DC350" s="116">
        <f t="shared" si="667"/>
        <v>0</v>
      </c>
      <c r="DD350" s="116">
        <f t="shared" si="668"/>
        <v>0</v>
      </c>
      <c r="DE350" s="117">
        <f t="shared" si="669"/>
        <v>0</v>
      </c>
      <c r="DF350" s="118">
        <f t="shared" si="672"/>
        <v>25</v>
      </c>
      <c r="DG350" s="106">
        <f t="shared" si="673"/>
        <v>32.65</v>
      </c>
      <c r="DH350" s="116">
        <f t="shared" si="674"/>
        <v>10</v>
      </c>
      <c r="DI350" s="106">
        <f t="shared" si="675"/>
        <v>41.599999999999994</v>
      </c>
      <c r="DJ350" s="201" t="str">
        <f>IF($D349="","",$D349)</f>
        <v>10</v>
      </c>
      <c r="DK350" s="466"/>
    </row>
    <row r="351" spans="1:115" ht="14.5" customHeight="1" x14ac:dyDescent="0.2">
      <c r="A351" s="390"/>
      <c r="B351" s="457"/>
      <c r="C351" s="135" t="s">
        <v>53</v>
      </c>
      <c r="D351" s="375"/>
      <c r="E351" s="387"/>
      <c r="F351" s="378"/>
      <c r="G351" s="484"/>
      <c r="H351" s="477"/>
      <c r="I351" s="136"/>
      <c r="J351" s="137"/>
      <c r="K351" s="138"/>
      <c r="L351" s="139"/>
      <c r="M351" s="140"/>
      <c r="N351" s="407"/>
      <c r="O351" s="141" t="str">
        <f>IF(OR(AE349="",AE350=""),"",IF(L351&gt;0,ROUND(IF(M351&gt;0,M351,IF(M349&gt;0,ROUND((M349*AE351)/AE349,IF(N349=0,2,IF(N349=0.1,1,0))),IF(M350&gt;0,ROUND((M350*AE351)/AE350,IF(N349=0,2,IF(N349=0.1,1,0))),IF(M351&gt;0,M351,0)))),2),""))</f>
        <v/>
      </c>
      <c r="P351" s="142" t="str">
        <f>IF(I350="Lay",O350*(L350/(L350-1))-O350,IF(I349="Lay",O349*(L349/(L349-1))-O349,IF(OR(L351="",O351=""),"",IF($C351="1/2W",O351/2+O351/2*L351,IF($C351="1/2L",O351/2,(O351*L351-O351)*(1-_xlfn.XLOOKUP(K351,'Fevereiro 2023 - Valor Real'!A3:A15,'Fevereiro 2023 - Valor Real'!C3:C15,0))+O351)))))</f>
        <v/>
      </c>
      <c r="Q351" s="143" t="str">
        <f>IF(K351="","",IF(_xlfn.XLOOKUP(K351,K$4:K350,$DJ$4:DJ350,0,,-1)=DJ351,_xlfn.XLOOKUP(K351,K$4:K350,Q$4:Q350,1,,-1)+1,1))</f>
        <v/>
      </c>
      <c r="R351" s="144" t="str">
        <f>IF(K351="","",_xlfn.XLOOKUP(K351,K$4:K350,R$4:R350,0,,-1)+IF($C351=" ",1,0))</f>
        <v/>
      </c>
      <c r="S351" s="404"/>
      <c r="T351" s="378"/>
      <c r="U351" s="378"/>
      <c r="V351" s="404"/>
      <c r="W351" s="378"/>
      <c r="X351" s="453"/>
      <c r="Y351" s="383"/>
      <c r="Z351" s="384"/>
      <c r="AA351" s="384"/>
      <c r="AB351" s="384"/>
      <c r="AC351" s="384"/>
      <c r="AD351" s="145">
        <f>((L350/(L350-1)-1))</f>
        <v>0.25</v>
      </c>
      <c r="AE351" s="146" t="str">
        <f>IF(L351="","",(SUM(((L349-1)*(1-_xlfn.XLOOKUP(K349,'Fevereiro 2023 - Valor Real'!A3:A15,'Fevereiro 2023 - Valor Real'!C3:C15,0))+1),((L350-1)*(1-_xlfn.XLOOKUP(K350,'Fevereiro 2023 - Valor Real'!A3:A15,'Fevereiro 2023 - Valor Real'!C3:C15,0))+1),((L351-1)*(1-_xlfn.XLOOKUP(K351,'Fevereiro 2023 - Valor Real'!A3:A15,'Fevereiro 2023 - Valor Real'!C3:C15,0))+1))/((L351-1)*(1-_xlfn.XLOOKUP(K351,'Fevereiro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Real'!C3:C15,0))+1))/((L349-1)*(1-_xlfn.XLOOKUP(K349,'Fevereiro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Real'!C3:C15,0))+1))/((L350-1)*(1-_xlfn.XLOOKUP(K350,'Fevereiro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Real'!C3:C15,0))+1))/((L351-1)*(1-_xlfn.XLOOKUP(K351,'Fevereiro 2023 - Valor Real'!A3:A15,'Fevereiro 2023 - Valor Real'!C3:C15,0))+1)))</f>
        <v/>
      </c>
      <c r="AF351" s="105">
        <f t="shared" si="702"/>
        <v>0</v>
      </c>
      <c r="AG351" s="106">
        <f t="shared" si="702"/>
        <v>0</v>
      </c>
      <c r="AH351" s="106">
        <f t="shared" si="702"/>
        <v>0</v>
      </c>
      <c r="AI351" s="106">
        <f t="shared" si="702"/>
        <v>0</v>
      </c>
      <c r="AJ351" s="106">
        <f t="shared" si="702"/>
        <v>0</v>
      </c>
      <c r="AK351" s="106">
        <f t="shared" si="702"/>
        <v>0</v>
      </c>
      <c r="AL351" s="106">
        <f t="shared" si="702"/>
        <v>0</v>
      </c>
      <c r="AM351" s="106">
        <f t="shared" si="702"/>
        <v>0</v>
      </c>
      <c r="AN351" s="106">
        <f t="shared" si="702"/>
        <v>0</v>
      </c>
      <c r="AO351" s="106">
        <f t="shared" si="702"/>
        <v>0</v>
      </c>
      <c r="AP351" s="106">
        <f t="shared" si="702"/>
        <v>0</v>
      </c>
      <c r="AQ351" s="106">
        <f t="shared" si="702"/>
        <v>0</v>
      </c>
      <c r="AR351" s="107">
        <f t="shared" si="702"/>
        <v>0</v>
      </c>
      <c r="AS351" s="105">
        <f>IF(AND($B349=" ",$K351=AS$3),$O351,0)</f>
        <v>0</v>
      </c>
      <c r="AT351" s="106">
        <f>IF(AND($B349=" ",K351=AT$3),$O351,0)</f>
        <v>0</v>
      </c>
      <c r="AU351" s="106">
        <f t="shared" ref="AU351:BE351" si="713">IF(AND($B349=" ",$K351=AU$3),$O351,0)</f>
        <v>0</v>
      </c>
      <c r="AV351" s="106">
        <f t="shared" si="713"/>
        <v>0</v>
      </c>
      <c r="AW351" s="106">
        <f t="shared" si="713"/>
        <v>0</v>
      </c>
      <c r="AX351" s="106">
        <f t="shared" si="713"/>
        <v>0</v>
      </c>
      <c r="AY351" s="108">
        <f t="shared" si="713"/>
        <v>0</v>
      </c>
      <c r="AZ351" s="109">
        <f t="shared" si="713"/>
        <v>0</v>
      </c>
      <c r="BA351" s="109">
        <f t="shared" si="713"/>
        <v>0</v>
      </c>
      <c r="BB351" s="109">
        <f t="shared" si="713"/>
        <v>0</v>
      </c>
      <c r="BC351" s="110">
        <f t="shared" si="713"/>
        <v>0</v>
      </c>
      <c r="BD351" s="106">
        <f t="shared" si="713"/>
        <v>0</v>
      </c>
      <c r="BE351" s="107">
        <f t="shared" si="713"/>
        <v>0</v>
      </c>
      <c r="BF351" s="105">
        <f t="shared" si="704"/>
        <v>0</v>
      </c>
      <c r="BG351" s="106">
        <f t="shared" si="704"/>
        <v>0</v>
      </c>
      <c r="BH351" s="106">
        <f t="shared" si="704"/>
        <v>0</v>
      </c>
      <c r="BI351" s="106">
        <f t="shared" si="704"/>
        <v>0</v>
      </c>
      <c r="BJ351" s="106">
        <f t="shared" si="704"/>
        <v>0</v>
      </c>
      <c r="BK351" s="106">
        <f t="shared" si="704"/>
        <v>0</v>
      </c>
      <c r="BL351" s="106">
        <f t="shared" si="704"/>
        <v>0</v>
      </c>
      <c r="BM351" s="108">
        <f t="shared" si="704"/>
        <v>0</v>
      </c>
      <c r="BN351" s="109">
        <f t="shared" si="704"/>
        <v>0</v>
      </c>
      <c r="BO351" s="109">
        <f t="shared" si="704"/>
        <v>0</v>
      </c>
      <c r="BP351" s="109">
        <f t="shared" si="704"/>
        <v>0</v>
      </c>
      <c r="BQ351" s="110">
        <f t="shared" si="704"/>
        <v>0</v>
      </c>
      <c r="BR351" s="107">
        <f t="shared" si="704"/>
        <v>0</v>
      </c>
      <c r="BS351" s="464"/>
      <c r="BT351" s="461"/>
      <c r="BU351" s="392"/>
      <c r="BV351" s="461"/>
      <c r="BW351" s="392"/>
      <c r="BX351" s="392"/>
      <c r="BY351" s="392"/>
      <c r="BZ351" s="461"/>
      <c r="CA351" s="392"/>
      <c r="CB351" s="392"/>
      <c r="CC351" s="392"/>
      <c r="CD351" s="401"/>
      <c r="CE351" s="409"/>
      <c r="CF351" s="133">
        <f t="shared" si="644"/>
        <v>0</v>
      </c>
      <c r="CG351" s="134">
        <f t="shared" si="645"/>
        <v>0</v>
      </c>
      <c r="CH351" s="134">
        <f t="shared" si="646"/>
        <v>0</v>
      </c>
      <c r="CI351" s="134">
        <f t="shared" si="647"/>
        <v>0</v>
      </c>
      <c r="CJ351" s="134">
        <f t="shared" si="648"/>
        <v>0</v>
      </c>
      <c r="CK351" s="134">
        <f t="shared" si="649"/>
        <v>0</v>
      </c>
      <c r="CL351" s="134">
        <f t="shared" si="650"/>
        <v>0</v>
      </c>
      <c r="CM351" s="134">
        <f t="shared" si="651"/>
        <v>0</v>
      </c>
      <c r="CN351" s="134">
        <f t="shared" si="652"/>
        <v>0</v>
      </c>
      <c r="CO351" s="134">
        <f t="shared" si="653"/>
        <v>0</v>
      </c>
      <c r="CP351" s="134">
        <f t="shared" si="654"/>
        <v>0</v>
      </c>
      <c r="CQ351" s="134">
        <f t="shared" si="655"/>
        <v>0</v>
      </c>
      <c r="CR351" s="134">
        <f t="shared" si="656"/>
        <v>0</v>
      </c>
      <c r="CS351" s="134">
        <f t="shared" si="657"/>
        <v>0</v>
      </c>
      <c r="CT351" s="115">
        <f t="shared" si="658"/>
        <v>0</v>
      </c>
      <c r="CU351" s="116">
        <f t="shared" si="659"/>
        <v>0</v>
      </c>
      <c r="CV351" s="116">
        <f t="shared" si="660"/>
        <v>0</v>
      </c>
      <c r="CW351" s="116">
        <f t="shared" si="661"/>
        <v>0</v>
      </c>
      <c r="CX351" s="116">
        <f t="shared" si="662"/>
        <v>0</v>
      </c>
      <c r="CY351" s="116">
        <f t="shared" si="663"/>
        <v>0</v>
      </c>
      <c r="CZ351" s="116">
        <f t="shared" si="664"/>
        <v>0</v>
      </c>
      <c r="DA351" s="116">
        <f t="shared" si="665"/>
        <v>0</v>
      </c>
      <c r="DB351" s="116">
        <f t="shared" si="666"/>
        <v>0</v>
      </c>
      <c r="DC351" s="116">
        <f t="shared" si="667"/>
        <v>0</v>
      </c>
      <c r="DD351" s="116">
        <f t="shared" si="668"/>
        <v>0</v>
      </c>
      <c r="DE351" s="117">
        <f t="shared" si="669"/>
        <v>0</v>
      </c>
      <c r="DF351" s="118">
        <f t="shared" si="672"/>
        <v>25</v>
      </c>
      <c r="DG351" s="106">
        <f t="shared" si="673"/>
        <v>32.65</v>
      </c>
      <c r="DH351" s="116">
        <f t="shared" si="674"/>
        <v>10</v>
      </c>
      <c r="DI351" s="106">
        <f t="shared" si="675"/>
        <v>41.599999999999994</v>
      </c>
      <c r="DJ351" s="201" t="str">
        <f>IF($D349="","",$D349)</f>
        <v>10</v>
      </c>
      <c r="DK351" s="466"/>
    </row>
    <row r="352" spans="1:115" ht="14.5" customHeight="1" x14ac:dyDescent="0.2">
      <c r="A352" s="487">
        <f>$A349+1</f>
        <v>117</v>
      </c>
      <c r="B352" s="506" t="str">
        <f>IF(OR(C352="W",C353="W",C354="W",C352="1/2W",C353="1/2W",C354="1/2W",C352="1/2L",C353="1/2L",C354="1/2L"),"OK",IF(OR(C352="L",C353="L",C354="L"),"LOSS",IF(OR(C352="X",C353="X",C354="X"),"Anulado"," ")))</f>
        <v>OK</v>
      </c>
      <c r="C352" s="147" t="s">
        <v>55</v>
      </c>
      <c r="D352" s="494" t="str">
        <f>IF(G352="","",$D349)</f>
        <v>10</v>
      </c>
      <c r="E352" s="511" t="str">
        <f>IF(G352=""," ","– "&amp;COUNTIF(D$4:D354,$D352))</f>
        <v>– 4</v>
      </c>
      <c r="F352" s="510" t="str">
        <f ca="1">IF(G352="","",IF(OR(AND($C352&lt;&gt;" ",$C353=" "),AND($C353&lt;&gt;" ",$C352=" "),AND(L354&gt;0,OR(AND($C354&lt;&gt;" ",OR($C352=" ",$C353=" ")),AND($C354=" ",OR($C352&lt;&gt;" ",$C353&lt;&gt;" "))))),IF(SUM(F$4:F351)=0,1,LARGE(F$4:F351,1)+1),IF(MONTH(G352)=MONTH(TODAY()),IF(AND(DAY(G352)&lt;DAY(TODAY()),$B352=" "),IF(SUM(F$4:F351)=0,1,LARGE(F$4:F351,1)+1),IF($B352=" ",IF(AND(DAY(G352)=DAY(TODAY()),HOUR(G352)&lt;=HOUR(NOW())+1),IF(AND(HOUR(G352)+2&lt;=HOUR(NOW()),DAY(G352)&lt;=DAY(TODAY()),MINUTE(G352)&lt;=MINUTE(NOW())),IF(SUM(F$4:F351)=0,1,LARGE(F$4:F351,1)+1),IF(OR(MINUTE(G352)&lt;=MINUTE(NOW()),HOUR(G352)&lt;=HOUR(NOW())),"!!!","")),""),"")),"")))</f>
        <v/>
      </c>
      <c r="G352" s="508">
        <v>45001.614583333336</v>
      </c>
      <c r="H352" s="502" t="s">
        <v>159</v>
      </c>
      <c r="I352" s="148">
        <v>1</v>
      </c>
      <c r="J352" s="149"/>
      <c r="K352" s="150" t="s">
        <v>40</v>
      </c>
      <c r="L352" s="151">
        <v>10.5</v>
      </c>
      <c r="M352" s="152">
        <v>7.11</v>
      </c>
      <c r="N352" s="503">
        <v>1</v>
      </c>
      <c r="O352" s="153">
        <f>IF(OR(AE352="",AE353=""),"",ROUND(IF(L354&gt;0,IF(M352&gt;0,M352,IF(M353&gt;0,ROUND((M353*AE352)/AE353,IF(N352=0,2,IF(N352=0.1,1,0))),ROUND((M354*AE352)/AE354,IF(N352=0,2,IF(N352=0.1,1,0))))),IF(M352&gt;0,M352,ROUND((M353*AE352)/AE353,IF(N352=0,2,IF(N352=0.1,1,0))))),2))</f>
        <v>7.11</v>
      </c>
      <c r="P352" s="154">
        <f>IF(OR(L352="",O352=""),"",IF($C352="1/2W",O352/2+O352/2*L352,IF($C352="1/2L",O352/2,IF(I352="Lay",(O352*(L352/(L352-1))-O352)*(1-_xlfn.XLOOKUP(K352,'Fevereiro 2023 - Valor Real'!A3:A15,'Fevereiro 2023 - Valor Real'!C3:C15,0))+O352,(O352*L352-O352)*(1-_xlfn.XLOOKUP(K352,'Fevereiro 2023 - Valor Real'!A3:A15,'Fevereiro 2023 - Valor Real'!C3:C15,0))+O352))))</f>
        <v>74.655000000000001</v>
      </c>
      <c r="Q352" s="155">
        <f>IF(K352="","",IF(_xlfn.XLOOKUP(K352,K$9:K344,$DJ$9:DJ344,0,,-1)=DJ352,_xlfn.XLOOKUP(K352,K$9:K344,Q$9:Q344,1,,-1)+1,1))</f>
        <v>1</v>
      </c>
      <c r="R352" s="156">
        <f>IF(K352="","",_xlfn.XLOOKUP(K352,K$9:K344,R$9:R344,0,,-1)+IF($C352=" ",1,0))</f>
        <v>0</v>
      </c>
      <c r="S352" s="501">
        <f>IF($B352="Anulado",0,ROUND(IF(OR($B352="LOSS",$B352="OK"),IF(OR($C352="W",$C352="1/2W",$C352="1/2L"),P352-O352,IF($C352="L",-O352,0))+IF(OR($C353="W",$C353="1/2W",$C353="1/2L"),P353-O353,IF($C353="L",-O353,0))+IF(OR($C354="W",$C354="1/2W",$C354="1/2L"),P354-O354,IF($C354="L",-O354,0)),IF(AND(OR($C352="W",$C352="1/2W",$C352="1/2L"),C353="W"),P352+P353-SUM(O352:O354)+_xlfn.XLOOKUP("X",C352:C354,O352:O354,0),IF(AND(C352=TRUE,C354="W"),P352+P354-SUM(O352:O354),IF(AND(C353="W",C354="W"),P353+P354-SUM(O352:O354)+_xlfn.XLOOKUP("X",C352:C354,O352:O354,0),IF(L354&gt;0,IF(OR($C352="W",$C352="1/2W",$C352="1/2L"),P352-SUM(O352:O354)+_xlfn.XLOOKUP("X",C352:C354,O352:O354,0),IF(OR($C352="W",$C352="1/2W",$C352="1/2L"),P353-SUM(O352:O354)+_xlfn.XLOOKUP("X",C352:C354,O352:O354,0),IF(OR($C352="W",$C352="1/2W",$C352="1/2L"),P354-SUM(O352:O354)+_xlfn.XLOOKUP("X",C352:C354,O352:O354,0),IF(SUM(P352:P354)/3-SUM(O352:O354)+_xlfn.XLOOKUP("X",C352:C354,O352:O354,0)&gt;0,SUM(P352:P354)/3-SUM(O352:O354)+_xlfn.XLOOKUP("X",C352:C354,O352:O354,0),LARGE(P352:P354,1)-SUM(O352:O354))))),IF(OR($C352="W",$C352="1/2W",$C352="1/2L"),P352-SUM(O352:O353)+_xlfn.XLOOKUP("X",C352:C354,O352:O354,0),IF(OR($C352="W",$C352="1/2W",$C352="1/2L"),P353-SUM(O352:O353)+_xlfn.XLOOKUP("X",C352:C354,O352:O354,0),SUM(P352:P353)/2-SUM(O352:O353)+_xlfn.XLOOKUP("X",C352:C354,O352:O354,0)))))))),2))</f>
        <v>3.66</v>
      </c>
      <c r="T352" s="486">
        <f>IF(S352=0,0,S352/SUM(O352:O354))</f>
        <v>5.1469554211784563E-2</v>
      </c>
      <c r="U352" s="496">
        <f>IF($D352=$D349,IF(OR($B352="LOSS",$B352="OK",$B352="Anulada"),S352,0)+U349,IF(OR($B352="LOSS",$B352="OK",$B352="Anulada"),S352,0))</f>
        <v>9.32</v>
      </c>
      <c r="V352" s="496">
        <f>IF($D352="",0,IF($D352=$D349,IF($B352=" ",IF(I354="",IF(OR(AND(I352="DNB1",I353="DNB2"),AND(OR(I352="DNB1",I352="DNB2"),J353=0),AND(OR(I353="DNB1",I353="DNB2"),J352=0),AND(I352="DNB2",I353="DNB1"),AND(IF(J352=0,(J352+1)/ROUND(J352+1,0),J352/ROUND(J352,0))=1,IF(J353=0,(J353+1)/ROUND(IF(J353="",0,J353)+1,0),IF(J353="",0,J353)/ROUND(IF(J353="",1,J353),0))=1,OR(J352&lt;&gt;""),J353&lt;&gt;"")),0,IF(S352&lt;0,IF(I354="",SMALL(P352:P353,1)-SUM(O352:O353),0),SMALL(P352:P353,1)-SUM(O352:O353))),IF(S352&lt;0,IF(I354="",SMALL(P352:P354,1)-SUM(O352:O354),0),LARGE(P352:P354,1)-SUM(O352:O354))),S352)+V349,IF(I354="",IF(OR(AND(I352="DNB1",I353="DNB2"),AND(OR(I352="DNB1",I352="DNB2"),J353=0),AND(OR(I353="DNB1",I353="DNB2"),J352=0),AND(I352="DNB2",I353="DNB1"),AND(IF(J352=0,(J352+1)/ROUND(J352+1,0),J352/ROUND(J352,0))=1,IF(J353=0,(IF(J353="",0,J353)+1)/ROUND(IF(J353="",0,J353)+1,0),IF(J353="",0,J353)/ROUND(IF(J353="",0,J353)+1,0))=1,OR(J352&lt;&gt;""),J353&lt;&gt;"")),0,IF(S352&lt;0,IF(I354="",SMALL(P352:P353,1)-SUM(O352:O353),0),SMALL(P352:P354,1)-SUM(O352:O354))),IF(S352&lt;0,IF(I354="",SMALL(P352:P354,1)-SUM(O352:O354),0),LARGE(P352:P354,1)-SUM(O352:O354)))))</f>
        <v>24.34</v>
      </c>
      <c r="W352" s="496">
        <f>IF($D352=$D349,IF(S352&lt;0,IF(I354="",S352,0),S352)+W349,S352)</f>
        <v>9.32</v>
      </c>
      <c r="X352" s="505" t="str">
        <f>IF(OR(SUM(R352:R354)=0,V352=W352),ROUND(IF(W352=0,0,W352/Y352)*100,2)&amp;"%",ROUND(IF(V352=0,0,V352/Y352)*100,2)&amp;"% a "&amp;ROUND(IF(W352=0,0,W352/Y352)*100,2)&amp;"%")</f>
        <v>5,67%</v>
      </c>
      <c r="Y352" s="497">
        <f>IF($D352=$D349,Y349+SUM(O352:O354),SUM(O352:O354))</f>
        <v>164.5</v>
      </c>
      <c r="Z352" s="496">
        <f>IF($B352=" ",SUM(O352:O354),0)+Z349</f>
        <v>0</v>
      </c>
      <c r="AA352" s="496">
        <f>IF(G352="","",IF($B352="Anulado",LARGE(P352:P354,1)-SUM(O352:O354)+AA349,AA349))</f>
        <v>8.7641999999999936</v>
      </c>
      <c r="AB352" s="496">
        <f>IF($D352="","",AB349+S352)</f>
        <v>502.57000000000005</v>
      </c>
      <c r="AC352" s="499">
        <f ca="1">IF($D352="","",IF($B352=" ",IF(DAY(G352)=DAY(TODAY()),1+AC349,0+AC349),0+AC349))</f>
        <v>0</v>
      </c>
      <c r="AD352" s="157">
        <f>(1-_xlfn.XLOOKUP(K350,'Fevereiro 2023 - Valor Real'!A3:A15,'Fevereiro 2023 - Valor Real'!C3:C15,0))+1</f>
        <v>2</v>
      </c>
      <c r="AE352" s="158">
        <f>IF(L352="","",IF(L354&gt;0,(SUM(((L352-1)*(1-_xlfn.XLOOKUP(K352,'Fevereiro 2023 - Valor Real'!A3:A15,'Fevereiro 2023 - Valor Real'!C3:C15,0))+1),((L353-1)*(1-_xlfn.XLOOKUP(K353,'Fevereiro 2023 - Valor Real'!A3:A15,'Fevereiro 2023 - Valor Real'!C3:C15,0))+1),((L354-1)*(1-_xlfn.XLOOKUP(K354,'Fevereiro 2023 - Valor Real'!A3:A15,'Fevereiro 2023 - Valor Real'!C3:C15,0))+1))/((L352-1)*(1-_xlfn.XLOOKUP(K352,'Fevereiro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Real'!C3:C15,0))+1))/((L352-1)*(1-_xlfn.XLOOKUP(K352,'Fevereiro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Real'!C3:C15,0))+1))/((L353-1)*(1-_xlfn.XLOOKUP(K353,'Fevereiro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Real'!C3:C15,0))+1))/((L354-1)*(1-_xlfn.XLOOKUP(K354,'Fevereiro 2023 - Valor Real'!A3:A15,'Fevereiro 2023 - Valor Real'!C3:C15,0))+1)),IF(I352="Lay",IF(I353="Lay",((L353/(L353-1)-1)*(1-_xlfn.XLOOKUP(K353,'Fevereiro 2023 - Valor Real'!A3:A15,'Fevereiro 2023 - Valor Real'!C3:C15,0))+1)/(((L353/(L353-1)-1)*(1-_xlfn.XLOOKUP(K353,'Fevereiro 2023 - Valor Real'!A3:A15,'Fevereiro 2023 - Valor Real'!C3:C15,0))+1)+((L352/(L352-1)-1)*(1-_xlfn.XLOOKUP(K352,'Fevereiro 2023 - Valor Real'!A3:A15,'Fevereiro 2023 - Valor Real'!C3:C15,0))+1)),((L353-1)*(1-_xlfn.XLOOKUP(K353,'Fevereiro 2023 - Valor Real'!A3:A15,'Fevereiro 2023 - Valor Real'!C3:C15,0))+1)/(((L353-1)*(1-_xlfn.XLOOKUP(K353,'Fevereiro 2023 - Valor Real'!A3:A15,'Fevereiro 2023 - Valor Real'!C3:C15,0))+1)+((L352/(L352-1)-1)*(1-_xlfn.XLOOKUP(K352,'Fevereiro 2023 - Valor Real'!A3:A15,'Fevereiro 2023 - Valor Real'!C3:C15,0))+1))),IF(I353="Lay",(((L353/(L353-1)-1)*(1-_xlfn.XLOOKUP(K353,'Fevereiro 2023 - Valor Real'!A3:A15,'Fevereiro 2023 - Valor Real'!C3:C15,0))+1))/(((L352-1)*(1-_xlfn.XLOOKUP(K352,'Fevereiro 2023 - Valor Real'!A3:A15,'Fevereiro 2023 - Valor Real'!C3:C15,0))+1)+((L353/(L353-1)-1)*(1-_xlfn.XLOOKUP(K353,'Fevereiro 2023 - Valor Real'!A3:A15,'Fevereiro 2023 - Valor Real'!C3:C15,0))+1)),((L353-1)*(1-_xlfn.XLOOKUP(K353,'Fevereiro 2023 - Valor Real'!A3:A15,'Fevereiro 2023 - Valor Real'!C3:C15,0))+1)/(((L353-1)*(1-_xlfn.XLOOKUP(K353,'Fevereiro 2023 - Valor Real'!A3:A15,'Fevereiro 2023 - Valor Real'!C3:C15,0))+1)+((L352-1)*(1-_xlfn.XLOOKUP(K352,'Fevereiro 2023 - Valor Real'!A3:A15,'Fevereiro 2023 - Valor Real'!C3:C15,0))+1))))))</f>
        <v>0.10012598236246924</v>
      </c>
      <c r="AF352" s="66">
        <f t="shared" si="702"/>
        <v>0</v>
      </c>
      <c r="AG352" s="67">
        <f t="shared" si="702"/>
        <v>0</v>
      </c>
      <c r="AH352" s="67">
        <f t="shared" si="702"/>
        <v>0</v>
      </c>
      <c r="AI352" s="67">
        <f t="shared" si="702"/>
        <v>0</v>
      </c>
      <c r="AJ352" s="67">
        <f t="shared" si="702"/>
        <v>-7.11</v>
      </c>
      <c r="AK352" s="67">
        <f t="shared" si="702"/>
        <v>0</v>
      </c>
      <c r="AL352" s="67">
        <f t="shared" si="702"/>
        <v>0</v>
      </c>
      <c r="AM352" s="67">
        <f t="shared" si="702"/>
        <v>0</v>
      </c>
      <c r="AN352" s="67">
        <f t="shared" si="702"/>
        <v>0</v>
      </c>
      <c r="AO352" s="67">
        <f t="shared" si="702"/>
        <v>0</v>
      </c>
      <c r="AP352" s="67">
        <f t="shared" si="702"/>
        <v>0</v>
      </c>
      <c r="AQ352" s="67">
        <f t="shared" si="702"/>
        <v>0</v>
      </c>
      <c r="AR352" s="68">
        <f t="shared" si="702"/>
        <v>0</v>
      </c>
      <c r="AS352" s="66">
        <f t="shared" ref="AS352:BE352" si="714">IF(AND($B352=" ",$K352=AS$3),$O352,0)</f>
        <v>0</v>
      </c>
      <c r="AT352" s="67">
        <f t="shared" si="714"/>
        <v>0</v>
      </c>
      <c r="AU352" s="67">
        <f t="shared" si="714"/>
        <v>0</v>
      </c>
      <c r="AV352" s="67">
        <f t="shared" si="714"/>
        <v>0</v>
      </c>
      <c r="AW352" s="67">
        <f t="shared" si="714"/>
        <v>0</v>
      </c>
      <c r="AX352" s="67">
        <f t="shared" si="714"/>
        <v>0</v>
      </c>
      <c r="AY352" s="69">
        <f t="shared" si="714"/>
        <v>0</v>
      </c>
      <c r="AZ352" s="70">
        <f t="shared" si="714"/>
        <v>0</v>
      </c>
      <c r="BA352" s="70">
        <f t="shared" si="714"/>
        <v>0</v>
      </c>
      <c r="BB352" s="70">
        <f t="shared" si="714"/>
        <v>0</v>
      </c>
      <c r="BC352" s="71">
        <f t="shared" si="714"/>
        <v>0</v>
      </c>
      <c r="BD352" s="67">
        <f t="shared" si="714"/>
        <v>0</v>
      </c>
      <c r="BE352" s="68">
        <f t="shared" si="714"/>
        <v>0</v>
      </c>
      <c r="BF352" s="66">
        <f t="shared" si="704"/>
        <v>0</v>
      </c>
      <c r="BG352" s="67">
        <f t="shared" si="704"/>
        <v>0</v>
      </c>
      <c r="BH352" s="67">
        <f t="shared" si="704"/>
        <v>0</v>
      </c>
      <c r="BI352" s="67">
        <f t="shared" si="704"/>
        <v>0</v>
      </c>
      <c r="BJ352" s="67">
        <f t="shared" si="704"/>
        <v>7.11</v>
      </c>
      <c r="BK352" s="67">
        <f t="shared" si="704"/>
        <v>0</v>
      </c>
      <c r="BL352" s="67">
        <f t="shared" si="704"/>
        <v>0</v>
      </c>
      <c r="BM352" s="69">
        <f t="shared" si="704"/>
        <v>0</v>
      </c>
      <c r="BN352" s="70">
        <f t="shared" si="704"/>
        <v>0</v>
      </c>
      <c r="BO352" s="70">
        <f t="shared" si="704"/>
        <v>0</v>
      </c>
      <c r="BP352" s="70">
        <f t="shared" si="704"/>
        <v>0</v>
      </c>
      <c r="BQ352" s="71">
        <f t="shared" si="704"/>
        <v>0</v>
      </c>
      <c r="BR352" s="68">
        <f t="shared" si="704"/>
        <v>0</v>
      </c>
      <c r="BS352" s="490">
        <f>IF($B352="LOSS",IF(AND($K352=BS$3,$C352="L"),-$O352,0)+IF(AND($K353=BS$3,$C353="L"),-$O353,0)+IF(AND($K354=BS$3,$C354="L"),-$O354,0),IF(OR(AND($K352=BS$3,OR($C352="W",$C352="1/2W")),AND($K353=BS$3,OR($C353="W",$C353="1/2W")),AND($K354=BS$3,OR($C354="W",$C354="1/2W"))),$S352,0))</f>
        <v>0</v>
      </c>
      <c r="BT352" s="498">
        <f>IF($B352="LOSS",IF(AND($K352=BT$3,$C352="L"),-$O352,0)+IF(AND($K353=BT$3,$C353="L"),-$O353,0)+IF(AND($K353=BT$3,$C354="L"),-$O354,0),IF(OR(AND($K353=BT$3,OR($C352="W",$C352="1/2W")),AND($K353=BT$3,OR($C353="W",$C353="1/2W")),AND($K353=BT$3,OR($C354="W",$C354="1/2W"))),$S352,0))</f>
        <v>0</v>
      </c>
      <c r="BU352" s="488">
        <f>IF($B352="LOSS",IF(AND($K352=BU$3,$C352="L"),-$O352,0)+IF(AND($K353=BU$3,$C353="L"),-$O353,0)+IF(AND($K353=BU$3,$C354="L"),-$O354,0),IF(OR(AND($K353=BU$3,OR($C352="W",$C352="1/2W")),AND($K353=BU$3,OR($C353="W",$C353="1/2W")),AND($K353=BU$3,OR($C354="W",$C354="1/2W"))),$S352,0))</f>
        <v>3.66</v>
      </c>
      <c r="BV352" s="488">
        <f t="shared" ref="BV352:CE352" si="715">IF($B352="LOSS",IF(AND($K352=BV$3,$C352="L"),-$O352,0)+IF(AND($K353=BV$3,$C353="L"),-$O353,0)+IF(AND($K354=BV$3,$C354="L"),-$O354,0),IF(OR(AND($K352=BV$3,OR($C352="W",$C352="1/2W")),AND($K353=BV$3,OR($C353="W",$C353="1/2W")),AND($K354=BV$3,OR($C354="W",$C354="1/2W"))),$S352,0))</f>
        <v>0</v>
      </c>
      <c r="BW352" s="488">
        <f t="shared" si="715"/>
        <v>0</v>
      </c>
      <c r="BX352" s="488">
        <f t="shared" si="715"/>
        <v>0</v>
      </c>
      <c r="BY352" s="488">
        <f t="shared" si="715"/>
        <v>0</v>
      </c>
      <c r="BZ352" s="488">
        <f t="shared" si="715"/>
        <v>0</v>
      </c>
      <c r="CA352" s="488">
        <f t="shared" si="715"/>
        <v>0</v>
      </c>
      <c r="CB352" s="488">
        <f t="shared" si="715"/>
        <v>0</v>
      </c>
      <c r="CC352" s="488">
        <f t="shared" si="715"/>
        <v>0</v>
      </c>
      <c r="CD352" s="500">
        <f t="shared" si="715"/>
        <v>0</v>
      </c>
      <c r="CE352" s="504">
        <f t="shared" si="715"/>
        <v>0</v>
      </c>
      <c r="CF352" s="160">
        <f t="shared" si="644"/>
        <v>0</v>
      </c>
      <c r="CG352" s="161">
        <f t="shared" si="645"/>
        <v>0</v>
      </c>
      <c r="CH352" s="161">
        <f t="shared" si="646"/>
        <v>0</v>
      </c>
      <c r="CI352" s="161">
        <f t="shared" si="647"/>
        <v>0</v>
      </c>
      <c r="CJ352" s="161">
        <f t="shared" si="648"/>
        <v>0</v>
      </c>
      <c r="CK352" s="161">
        <f t="shared" si="649"/>
        <v>0</v>
      </c>
      <c r="CL352" s="161">
        <f t="shared" si="650"/>
        <v>0</v>
      </c>
      <c r="CM352" s="161">
        <f t="shared" si="651"/>
        <v>0</v>
      </c>
      <c r="CN352" s="161">
        <f t="shared" si="652"/>
        <v>0</v>
      </c>
      <c r="CO352" s="161">
        <f t="shared" si="653"/>
        <v>1</v>
      </c>
      <c r="CP352" s="161">
        <f t="shared" si="654"/>
        <v>0</v>
      </c>
      <c r="CQ352" s="161">
        <f t="shared" si="655"/>
        <v>0</v>
      </c>
      <c r="CR352" s="161">
        <f t="shared" si="656"/>
        <v>0</v>
      </c>
      <c r="CS352" s="161">
        <f t="shared" si="657"/>
        <v>0</v>
      </c>
      <c r="CT352" s="75">
        <f t="shared" si="658"/>
        <v>0</v>
      </c>
      <c r="CU352" s="76">
        <f t="shared" si="659"/>
        <v>0</v>
      </c>
      <c r="CV352" s="76">
        <f t="shared" si="660"/>
        <v>0</v>
      </c>
      <c r="CW352" s="76">
        <f t="shared" si="661"/>
        <v>0</v>
      </c>
      <c r="CX352" s="76">
        <f t="shared" si="662"/>
        <v>0</v>
      </c>
      <c r="CY352" s="76">
        <f t="shared" si="663"/>
        <v>0</v>
      </c>
      <c r="CZ352" s="76">
        <f t="shared" si="664"/>
        <v>0</v>
      </c>
      <c r="DA352" s="76">
        <f t="shared" si="665"/>
        <v>0</v>
      </c>
      <c r="DB352" s="76">
        <f t="shared" si="666"/>
        <v>0</v>
      </c>
      <c r="DC352" s="76">
        <f t="shared" si="667"/>
        <v>0</v>
      </c>
      <c r="DD352" s="76">
        <f t="shared" si="668"/>
        <v>0</v>
      </c>
      <c r="DE352" s="77">
        <f t="shared" si="669"/>
        <v>0</v>
      </c>
      <c r="DF352" s="73">
        <f t="shared" si="672"/>
        <v>25</v>
      </c>
      <c r="DG352" s="67">
        <f t="shared" si="673"/>
        <v>32.65</v>
      </c>
      <c r="DH352" s="76">
        <f t="shared" si="674"/>
        <v>10</v>
      </c>
      <c r="DI352" s="67">
        <f t="shared" si="675"/>
        <v>41.599999999999994</v>
      </c>
      <c r="DJ352" s="202" t="str">
        <f>IF($D352="","",$D352)</f>
        <v>10</v>
      </c>
      <c r="DK352" s="492">
        <f>IF(AND($B352=" ",$D352&lt;&gt;""),1,0)</f>
        <v>0</v>
      </c>
    </row>
    <row r="353" spans="1:115" ht="14.5" customHeight="1" x14ac:dyDescent="0.2">
      <c r="A353" s="389"/>
      <c r="B353" s="456"/>
      <c r="C353" s="53" t="s">
        <v>54</v>
      </c>
      <c r="D353" s="374"/>
      <c r="E353" s="386"/>
      <c r="F353" s="377"/>
      <c r="G353" s="508"/>
      <c r="H353" s="476"/>
      <c r="I353" s="162">
        <v>2</v>
      </c>
      <c r="J353" s="163" t="str">
        <f>IF(OR(I352="TO",I352="TU",I352="TO1",I352="TU1",I352="TO2",I352="TU2"),J352,IF(OR(I352="AH1",I352="AH2"),IF(OR(I353="AH1",I353="AH2"),-J352,IF(OR(I353="EH1",I353="EH2"),-J352+0.5,"")),IF(OR(I352="EH1",I352="EH2"),IF(OR(I353="AH1",I353="AH2"),-J352+0.5,IF(OR(I353="EH1",I353="EH2"),-J352+1,"")),IF(AND(OR(I352="DNB1",I352="DNB2"),OR(I353="AH1",I353="AH2")),0,IF(AND(I352="Not ScoreBoth",OR(I353="TO1",I353="TO2")),0.5,"")))))</f>
        <v/>
      </c>
      <c r="K353" s="57" t="s">
        <v>38</v>
      </c>
      <c r="L353" s="164">
        <v>1.18</v>
      </c>
      <c r="M353" s="165"/>
      <c r="N353" s="406"/>
      <c r="O353" s="60">
        <f>IF(OR(AE352="",AE353=""),"",ROUND(IF(L354&gt;0,IF(M353&gt;0,M353,IF(M352&gt;0,IF(N352=TRUE,ROUND((M352*AE353)/AE352,0),(M352*AE353)/AE352),IF(M353&gt;0,ROUND(M353,IF(N352=0,2,IF(N352=0.1,1,0))),IF(M354&gt;0,ROUND(O354*AE353/AE354,IF(N352=0,2,IF(N352=0.1,1,0))),0)))),IF(M353&gt;0,M353,ROUND((M352*AE353)/AE352,IF(N352=0,2,IF(N352=0.1,1,0))))),2))</f>
        <v>64</v>
      </c>
      <c r="P353" s="61">
        <f>IF(OR(L353="",O353=""),"",IF($C353="1/2W",O353/2+O353/2*L353,IF($C353="1/2L",O353/2,IF(I353="Lay",((O353*(L353/(L353-1)))-O353)*(1-_xlfn.XLOOKUP(K353,'Fevereiro 2023 - Valor Real'!A3:A15,'Fevereiro 2023 - Valor Real'!C3:C15,0))+O353,(O353*L353-O353)*(1-_xlfn.XLOOKUP(K353,'Fevereiro 2023 - Valor Real'!A3:A15,'Fevereiro 2023 - Valor Real'!C3:C15,0))+O353))))</f>
        <v>74.771199999999993</v>
      </c>
      <c r="Q353" s="166">
        <f>IF(K353="","",IF(_xlfn.XLOOKUP(K353,K$10:K344,$DJ$10:DJ344,0,,-1)=DJ353,_xlfn.XLOOKUP(K353,K$10:K344,Q$10:Q344,1,,-1)+1,1))</f>
        <v>1</v>
      </c>
      <c r="R353" s="167">
        <f>IF(K353="","",_xlfn.XLOOKUP(K353,K$10:K344,R$10:R344,0,,-1)+IF($C353=" ",1,0))</f>
        <v>0</v>
      </c>
      <c r="S353" s="403"/>
      <c r="T353" s="380"/>
      <c r="U353" s="380"/>
      <c r="V353" s="481"/>
      <c r="W353" s="380"/>
      <c r="X353" s="452"/>
      <c r="Y353" s="383"/>
      <c r="Z353" s="384"/>
      <c r="AA353" s="384"/>
      <c r="AB353" s="384"/>
      <c r="AC353" s="384"/>
      <c r="AD353" s="64"/>
      <c r="AE353" s="65">
        <f>IF(L353="","",IF(L354&gt;0,(SUM(((L352-1)*(1-_xlfn.XLOOKUP(K352,'Fevereiro 2023 - Valor Real'!A3:A15,'Fevereiro 2023 - Valor Real'!C3:C15,0))+1),((L353-1)*(1-_xlfn.XLOOKUP(K353,'Fevereiro 2023 - Valor Real'!A3:A15,'Fevereiro 2023 - Valor Real'!C3:C15,0))+1),((L354-1)*(1-_xlfn.XLOOKUP(K354,'Fevereiro 2023 - Valor Real'!A3:A15,'Fevereiro 2023 - Valor Real'!C3:C15,0))+1))/((L353-1)*(1-_xlfn.XLOOKUP(K353,'Fevereiro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Real'!C3:C15,0))+1))/((L352-1)*(1-_xlfn.XLOOKUP(K352,'Fevereiro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Real'!C3:C15,0))+1))/((L353-1)*(1-_xlfn.XLOOKUP(K353,'Fevereiro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Real'!C3:C15,0))+1))/((L354-1)*(1-_xlfn.XLOOKUP(K354,'Fevereiro 2023 - Valor Real'!A3:A15,'Fevereiro 2023 - Valor Real'!C3:C15,0))+1)),IF(I353="Lay",IF(I352="Lay",((L352/(L352-1)-1)*(1-_xlfn.XLOOKUP(K352,'Fevereiro 2023 - Valor Real'!A3:A15,'Fevereiro 2023 - Valor Real'!C3:C15,0))+1)/(((L352/(L352-1)-1)*(1-_xlfn.XLOOKUP(K352,'Fevereiro 2023 - Valor Real'!A3:A15,'Fevereiro 2023 - Valor Real'!C3:C15,0))+1)+((L353/(L353-1)-1)*(1-_xlfn.XLOOKUP(K353,'Fevereiro 2023 - Valor Real'!A3:A15,'Fevereiro 2023 - Valor Real'!C3:C15,0))+1)),((L352-1)*(1-_xlfn.XLOOKUP(K352,'Fevereiro 2023 - Valor Real'!A3:A15,'Fevereiro 2023 - Valor Real'!C3:C15,0))+1)/(((L352-1)*(1-_xlfn.XLOOKUP(K352,'Fevereiro 2023 - Valor Real'!A3:A15,'Fevereiro 2023 - Valor Real'!C3:C15,0))+1)+((L353/(L353-1)-1)*(1-_xlfn.XLOOKUP(K353,'Fevereiro 2023 - Valor Real'!A3:A15,'Fevereiro 2023 - Valor Real'!C3:C15,0))+1))),IF(I352="Lay",((L352/(L352-1)-1)*(1-_xlfn.XLOOKUP(K352,'Fevereiro 2023 - Valor Real'!A3:A15,'Fevereiro 2023 - Valor Real'!C3:C15,0))+1)/((((L352/(L352-1)-1)*(1-_xlfn.XLOOKUP(K352,'Fevereiro 2023 - Valor Real'!A3:A15,'Fevereiro 2023 - Valor Real'!C3:C15,0))+1))+((L353-1)*(1-_xlfn.XLOOKUP(K353,'Fevereiro 2023 - Valor Real'!A3:A15,'Fevereiro 2023 - Valor Real'!C3:C15,0))+1)),((L352-1)*(1-_xlfn.XLOOKUP(K352,'Fevereiro 2023 - Valor Real'!A3:A15,'Fevereiro 2023 - Valor Real'!C3:C15,0))+1)/(((L352-1)*(1-_xlfn.XLOOKUP(K352,'Fevereiro 2023 - Valor Real'!A3:A15,'Fevereiro 2023 - Valor Real'!C3:C15,0))+1)+((L353-1)*(1-_xlfn.XLOOKUP(K353,'Fevereiro 2023 - Valor Real'!A3:A15,'Fevereiro 2023 - Valor Real'!C3:C15,0))+1))))))</f>
        <v>0.89987401763753072</v>
      </c>
      <c r="AF353" s="66">
        <f t="shared" si="702"/>
        <v>0</v>
      </c>
      <c r="AG353" s="67">
        <f t="shared" si="702"/>
        <v>0</v>
      </c>
      <c r="AH353" s="67">
        <f t="shared" si="702"/>
        <v>10.77</v>
      </c>
      <c r="AI353" s="67">
        <f t="shared" si="702"/>
        <v>0</v>
      </c>
      <c r="AJ353" s="67">
        <f t="shared" si="702"/>
        <v>0</v>
      </c>
      <c r="AK353" s="67">
        <f t="shared" si="702"/>
        <v>0</v>
      </c>
      <c r="AL353" s="67">
        <f t="shared" si="702"/>
        <v>0</v>
      </c>
      <c r="AM353" s="67">
        <f t="shared" si="702"/>
        <v>0</v>
      </c>
      <c r="AN353" s="67">
        <f t="shared" si="702"/>
        <v>0</v>
      </c>
      <c r="AO353" s="67">
        <f t="shared" si="702"/>
        <v>0</v>
      </c>
      <c r="AP353" s="67">
        <f t="shared" si="702"/>
        <v>0</v>
      </c>
      <c r="AQ353" s="67">
        <f t="shared" si="702"/>
        <v>0</v>
      </c>
      <c r="AR353" s="68">
        <f t="shared" si="702"/>
        <v>0</v>
      </c>
      <c r="AS353" s="66">
        <f>IF(AND($B352=" ",$K353=AS$3),$O353,0)</f>
        <v>0</v>
      </c>
      <c r="AT353" s="67">
        <f>IF(AND($B352=" ",K353=AT$3),$O353,0)</f>
        <v>0</v>
      </c>
      <c r="AU353" s="67">
        <f t="shared" ref="AU353:BE353" si="716">IF(AND($B352=" ",$K353=AU$3),$O353,0)</f>
        <v>0</v>
      </c>
      <c r="AV353" s="67">
        <f t="shared" si="716"/>
        <v>0</v>
      </c>
      <c r="AW353" s="67">
        <f t="shared" si="716"/>
        <v>0</v>
      </c>
      <c r="AX353" s="67">
        <f t="shared" si="716"/>
        <v>0</v>
      </c>
      <c r="AY353" s="69">
        <f t="shared" si="716"/>
        <v>0</v>
      </c>
      <c r="AZ353" s="70">
        <f t="shared" si="716"/>
        <v>0</v>
      </c>
      <c r="BA353" s="70">
        <f t="shared" si="716"/>
        <v>0</v>
      </c>
      <c r="BB353" s="70">
        <f t="shared" si="716"/>
        <v>0</v>
      </c>
      <c r="BC353" s="71">
        <f t="shared" si="716"/>
        <v>0</v>
      </c>
      <c r="BD353" s="67">
        <f t="shared" si="716"/>
        <v>0</v>
      </c>
      <c r="BE353" s="68">
        <f t="shared" si="716"/>
        <v>0</v>
      </c>
      <c r="BF353" s="66">
        <f t="shared" si="704"/>
        <v>0</v>
      </c>
      <c r="BG353" s="168">
        <f t="shared" si="704"/>
        <v>0</v>
      </c>
      <c r="BH353" s="67">
        <f t="shared" si="704"/>
        <v>64</v>
      </c>
      <c r="BI353" s="67">
        <f t="shared" si="704"/>
        <v>0</v>
      </c>
      <c r="BJ353" s="67">
        <f t="shared" si="704"/>
        <v>0</v>
      </c>
      <c r="BK353" s="67">
        <f t="shared" si="704"/>
        <v>0</v>
      </c>
      <c r="BL353" s="67">
        <f t="shared" si="704"/>
        <v>0</v>
      </c>
      <c r="BM353" s="69">
        <f t="shared" si="704"/>
        <v>0</v>
      </c>
      <c r="BN353" s="70">
        <f t="shared" si="704"/>
        <v>0</v>
      </c>
      <c r="BO353" s="70">
        <f t="shared" si="704"/>
        <v>0</v>
      </c>
      <c r="BP353" s="70">
        <f t="shared" si="704"/>
        <v>0</v>
      </c>
      <c r="BQ353" s="71">
        <f t="shared" si="704"/>
        <v>0</v>
      </c>
      <c r="BR353" s="68">
        <f t="shared" si="704"/>
        <v>0</v>
      </c>
      <c r="BS353" s="491"/>
      <c r="BT353" s="489"/>
      <c r="BU353" s="392"/>
      <c r="BV353" s="489"/>
      <c r="BW353" s="392"/>
      <c r="BX353" s="392"/>
      <c r="BY353" s="392"/>
      <c r="BZ353" s="489"/>
      <c r="CA353" s="392"/>
      <c r="CB353" s="392"/>
      <c r="CC353" s="392"/>
      <c r="CD353" s="401"/>
      <c r="CE353" s="409"/>
      <c r="CF353" s="169">
        <f t="shared" si="644"/>
        <v>0</v>
      </c>
      <c r="CG353" s="170">
        <f t="shared" si="645"/>
        <v>0</v>
      </c>
      <c r="CH353" s="170">
        <f t="shared" si="646"/>
        <v>0</v>
      </c>
      <c r="CI353" s="170">
        <f t="shared" si="647"/>
        <v>0</v>
      </c>
      <c r="CJ353" s="170">
        <f t="shared" si="648"/>
        <v>1</v>
      </c>
      <c r="CK353" s="170">
        <f t="shared" si="649"/>
        <v>0</v>
      </c>
      <c r="CL353" s="170">
        <f t="shared" si="650"/>
        <v>0</v>
      </c>
      <c r="CM353" s="170">
        <f t="shared" si="651"/>
        <v>0</v>
      </c>
      <c r="CN353" s="170">
        <f t="shared" si="652"/>
        <v>0</v>
      </c>
      <c r="CO353" s="170">
        <f t="shared" si="653"/>
        <v>0</v>
      </c>
      <c r="CP353" s="170">
        <f t="shared" si="654"/>
        <v>0</v>
      </c>
      <c r="CQ353" s="170">
        <f t="shared" si="655"/>
        <v>0</v>
      </c>
      <c r="CR353" s="170">
        <f t="shared" si="656"/>
        <v>0</v>
      </c>
      <c r="CS353" s="170">
        <f t="shared" si="657"/>
        <v>0</v>
      </c>
      <c r="CT353" s="75">
        <f t="shared" si="658"/>
        <v>0</v>
      </c>
      <c r="CU353" s="76">
        <f t="shared" si="659"/>
        <v>0</v>
      </c>
      <c r="CV353" s="76">
        <f t="shared" si="660"/>
        <v>0</v>
      </c>
      <c r="CW353" s="76">
        <f t="shared" si="661"/>
        <v>0</v>
      </c>
      <c r="CX353" s="76">
        <f t="shared" si="662"/>
        <v>0</v>
      </c>
      <c r="CY353" s="76">
        <f t="shared" si="663"/>
        <v>0</v>
      </c>
      <c r="CZ353" s="76">
        <f t="shared" si="664"/>
        <v>0</v>
      </c>
      <c r="DA353" s="76">
        <f t="shared" si="665"/>
        <v>0</v>
      </c>
      <c r="DB353" s="76">
        <f t="shared" si="666"/>
        <v>0</v>
      </c>
      <c r="DC353" s="76">
        <f t="shared" si="667"/>
        <v>0</v>
      </c>
      <c r="DD353" s="76">
        <f t="shared" si="668"/>
        <v>0</v>
      </c>
      <c r="DE353" s="77">
        <f t="shared" si="669"/>
        <v>0</v>
      </c>
      <c r="DF353" s="73">
        <f t="shared" si="672"/>
        <v>26</v>
      </c>
      <c r="DG353" s="67">
        <f t="shared" si="673"/>
        <v>33.83</v>
      </c>
      <c r="DH353" s="76">
        <f t="shared" si="674"/>
        <v>10</v>
      </c>
      <c r="DI353" s="67">
        <f t="shared" si="675"/>
        <v>41.599999999999994</v>
      </c>
      <c r="DJ353" s="202" t="str">
        <f>IF($D352="","",$D352)</f>
        <v>10</v>
      </c>
      <c r="DK353" s="493"/>
    </row>
    <row r="354" spans="1:115" ht="14.5" customHeight="1" x14ac:dyDescent="0.2">
      <c r="A354" s="390"/>
      <c r="B354" s="457"/>
      <c r="C354" s="79" t="s">
        <v>53</v>
      </c>
      <c r="D354" s="375"/>
      <c r="E354" s="387"/>
      <c r="F354" s="378"/>
      <c r="G354" s="508"/>
      <c r="H354" s="477"/>
      <c r="I354" s="171"/>
      <c r="J354" s="172"/>
      <c r="K354" s="81"/>
      <c r="L354" s="173"/>
      <c r="M354" s="174"/>
      <c r="N354" s="407"/>
      <c r="O354" s="86" t="str">
        <f>IF(OR(AE352="",AE353=""),"",IF(L354&gt;0,ROUND(IF(M354&gt;0,M354,IF(M352&gt;0,ROUND((M352*AE354)/AE352,IF(N352=0,2,IF(N352=0.1,1,0))),IF(M353&gt;0,ROUND((M353*AE354)/AE353,IF(N352=0,2,IF(N352=0.1,1,0))),IF(M354&gt;0,M354,0)))),2),""))</f>
        <v/>
      </c>
      <c r="P354" s="87" t="str">
        <f>IF(I353="Lay",O353*(L353/(L353-1))-O353,IF(I352="Lay",O352*(L352/(L352-1))-O352,IF(OR(L354="",O354=""),"",IF($C354="1/2W",O354/2+O354/2*L354,IF($C354="1/2L",O354/2,(O354*L354-O354)*(1-_xlfn.XLOOKUP(K354,'Fevereiro 2023 - Valor Real'!A3:A15,'Fevereiro 2023 - Valor Real'!C3:C15,0))+O354)))))</f>
        <v/>
      </c>
      <c r="Q354" s="54" t="str">
        <f>IF(K354="","",IF(_xlfn.XLOOKUP(K354,K$11:K344,$DJ$11:DJ344,0,,-1)=DJ354,_xlfn.XLOOKUP(K354,K$11:K344,Q$11:Q344,1,,-1)+1,1))</f>
        <v/>
      </c>
      <c r="R354" s="87" t="str">
        <f>IF(K354="","",_xlfn.XLOOKUP(K354,K$11:K344,R$11:R344,0,,-1)+IF($C354=" ",1,0))</f>
        <v/>
      </c>
      <c r="S354" s="404"/>
      <c r="T354" s="378"/>
      <c r="U354" s="378"/>
      <c r="V354" s="404"/>
      <c r="W354" s="378"/>
      <c r="X354" s="453"/>
      <c r="Y354" s="383"/>
      <c r="Z354" s="384"/>
      <c r="AA354" s="384"/>
      <c r="AB354" s="384"/>
      <c r="AC354" s="384"/>
      <c r="AD354" s="90"/>
      <c r="AE354" s="91" t="str">
        <f>IF(L354="","",(SUM(((L352-1)*(1-_xlfn.XLOOKUP(K352,'Fevereiro 2023 - Valor Real'!A3:A15,'Fevereiro 2023 - Valor Real'!C3:C15,0))+1),((L353-1)*(1-_xlfn.XLOOKUP(K353,'Fevereiro 2023 - Valor Real'!A3:A15,'Fevereiro 2023 - Valor Real'!C3:C15,0))+1),((L354-1)*(1-_xlfn.XLOOKUP(K354,'Fevereiro 2023 - Valor Real'!A3:A15,'Fevereiro 2023 - Valor Real'!C3:C15,0))+1))/((L354-1)*(1-_xlfn.XLOOKUP(K354,'Fevereiro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Real'!C3:C15,0))+1))/((L352-1)*(1-_xlfn.XLOOKUP(K352,'Fevereiro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Real'!C3:C15,0))+1))/((L353-1)*(1-_xlfn.XLOOKUP(K353,'Fevereiro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Real'!C3:C15,0))+1))/((L354-1)*(1-_xlfn.XLOOKUP(K354,'Fevereiro 2023 - Valor Real'!A3:A15,'Fevereiro 2023 - Valor Real'!C3:C15,0))+1)))</f>
        <v/>
      </c>
      <c r="AF354" s="66">
        <f t="shared" ref="AF354:AR363" si="717">IF($K354=AF$3,ROUND(IF(OR($C354="W",$C354="1/2W",$C354="1/2L"),$P354-$O354,IF($C354="X",0,-$O354)),2),0)</f>
        <v>0</v>
      </c>
      <c r="AG354" s="67">
        <f t="shared" si="717"/>
        <v>0</v>
      </c>
      <c r="AH354" s="67">
        <f t="shared" si="717"/>
        <v>0</v>
      </c>
      <c r="AI354" s="67">
        <f t="shared" si="717"/>
        <v>0</v>
      </c>
      <c r="AJ354" s="67">
        <f t="shared" si="717"/>
        <v>0</v>
      </c>
      <c r="AK354" s="67">
        <f t="shared" si="717"/>
        <v>0</v>
      </c>
      <c r="AL354" s="67">
        <f t="shared" si="717"/>
        <v>0</v>
      </c>
      <c r="AM354" s="67">
        <f t="shared" si="717"/>
        <v>0</v>
      </c>
      <c r="AN354" s="67">
        <f t="shared" si="717"/>
        <v>0</v>
      </c>
      <c r="AO354" s="67">
        <f t="shared" si="717"/>
        <v>0</v>
      </c>
      <c r="AP354" s="67">
        <f t="shared" si="717"/>
        <v>0</v>
      </c>
      <c r="AQ354" s="67">
        <f t="shared" si="717"/>
        <v>0</v>
      </c>
      <c r="AR354" s="68">
        <f t="shared" si="717"/>
        <v>0</v>
      </c>
      <c r="AS354" s="66">
        <f>IF(AND($B352=" ",$K354=AS$3),$O354,0)</f>
        <v>0</v>
      </c>
      <c r="AT354" s="67">
        <f>IF(AND($B352=" ",K354=AT$3),$O354,0)</f>
        <v>0</v>
      </c>
      <c r="AU354" s="67">
        <f t="shared" ref="AU354:BE354" si="718">IF(AND($B352=" ",$K354=AU$3),$O354,0)</f>
        <v>0</v>
      </c>
      <c r="AV354" s="67">
        <f t="shared" si="718"/>
        <v>0</v>
      </c>
      <c r="AW354" s="67">
        <f t="shared" si="718"/>
        <v>0</v>
      </c>
      <c r="AX354" s="67">
        <f t="shared" si="718"/>
        <v>0</v>
      </c>
      <c r="AY354" s="69">
        <f t="shared" si="718"/>
        <v>0</v>
      </c>
      <c r="AZ354" s="70">
        <f t="shared" si="718"/>
        <v>0</v>
      </c>
      <c r="BA354" s="70">
        <f t="shared" si="718"/>
        <v>0</v>
      </c>
      <c r="BB354" s="70">
        <f t="shared" si="718"/>
        <v>0</v>
      </c>
      <c r="BC354" s="71">
        <f t="shared" si="718"/>
        <v>0</v>
      </c>
      <c r="BD354" s="67">
        <f t="shared" si="718"/>
        <v>0</v>
      </c>
      <c r="BE354" s="68">
        <f t="shared" si="718"/>
        <v>0</v>
      </c>
      <c r="BF354" s="66">
        <f t="shared" ref="BF354:BR363" si="719">IF($K354=BF$3,IF($C354="X",0,$O354),0)</f>
        <v>0</v>
      </c>
      <c r="BG354" s="168">
        <f t="shared" si="719"/>
        <v>0</v>
      </c>
      <c r="BH354" s="67">
        <f t="shared" si="719"/>
        <v>0</v>
      </c>
      <c r="BI354" s="67">
        <f t="shared" si="719"/>
        <v>0</v>
      </c>
      <c r="BJ354" s="67">
        <f t="shared" si="719"/>
        <v>0</v>
      </c>
      <c r="BK354" s="67">
        <f t="shared" si="719"/>
        <v>0</v>
      </c>
      <c r="BL354" s="67">
        <f t="shared" si="719"/>
        <v>0</v>
      </c>
      <c r="BM354" s="69">
        <f t="shared" si="719"/>
        <v>0</v>
      </c>
      <c r="BN354" s="70">
        <f t="shared" si="719"/>
        <v>0</v>
      </c>
      <c r="BO354" s="70">
        <f t="shared" si="719"/>
        <v>0</v>
      </c>
      <c r="BP354" s="70">
        <f t="shared" si="719"/>
        <v>0</v>
      </c>
      <c r="BQ354" s="71">
        <f t="shared" si="719"/>
        <v>0</v>
      </c>
      <c r="BR354" s="68">
        <f t="shared" si="719"/>
        <v>0</v>
      </c>
      <c r="BS354" s="491"/>
      <c r="BT354" s="489"/>
      <c r="BU354" s="392"/>
      <c r="BV354" s="489"/>
      <c r="BW354" s="392"/>
      <c r="BX354" s="392"/>
      <c r="BY354" s="392"/>
      <c r="BZ354" s="489"/>
      <c r="CA354" s="392"/>
      <c r="CB354" s="392"/>
      <c r="CC354" s="392"/>
      <c r="CD354" s="401"/>
      <c r="CE354" s="409"/>
      <c r="CF354" s="169">
        <f t="shared" si="644"/>
        <v>0</v>
      </c>
      <c r="CG354" s="170">
        <f t="shared" si="645"/>
        <v>0</v>
      </c>
      <c r="CH354" s="170">
        <f t="shared" si="646"/>
        <v>0</v>
      </c>
      <c r="CI354" s="170">
        <f t="shared" si="647"/>
        <v>0</v>
      </c>
      <c r="CJ354" s="170">
        <f t="shared" si="648"/>
        <v>0</v>
      </c>
      <c r="CK354" s="170">
        <f t="shared" si="649"/>
        <v>0</v>
      </c>
      <c r="CL354" s="170">
        <f t="shared" si="650"/>
        <v>0</v>
      </c>
      <c r="CM354" s="170">
        <f t="shared" si="651"/>
        <v>0</v>
      </c>
      <c r="CN354" s="170">
        <f t="shared" si="652"/>
        <v>0</v>
      </c>
      <c r="CO354" s="170">
        <f t="shared" si="653"/>
        <v>0</v>
      </c>
      <c r="CP354" s="170">
        <f t="shared" si="654"/>
        <v>0</v>
      </c>
      <c r="CQ354" s="170">
        <f t="shared" si="655"/>
        <v>0</v>
      </c>
      <c r="CR354" s="170">
        <f t="shared" si="656"/>
        <v>0</v>
      </c>
      <c r="CS354" s="170">
        <f t="shared" si="657"/>
        <v>0</v>
      </c>
      <c r="CT354" s="75">
        <f t="shared" si="658"/>
        <v>0</v>
      </c>
      <c r="CU354" s="76">
        <f t="shared" si="659"/>
        <v>0</v>
      </c>
      <c r="CV354" s="76">
        <f t="shared" si="660"/>
        <v>0</v>
      </c>
      <c r="CW354" s="76">
        <f t="shared" si="661"/>
        <v>0</v>
      </c>
      <c r="CX354" s="76">
        <f t="shared" si="662"/>
        <v>0</v>
      </c>
      <c r="CY354" s="76">
        <f t="shared" si="663"/>
        <v>0</v>
      </c>
      <c r="CZ354" s="76">
        <f t="shared" si="664"/>
        <v>0</v>
      </c>
      <c r="DA354" s="76">
        <f t="shared" si="665"/>
        <v>0</v>
      </c>
      <c r="DB354" s="76">
        <f t="shared" si="666"/>
        <v>0</v>
      </c>
      <c r="DC354" s="76">
        <f t="shared" si="667"/>
        <v>0</v>
      </c>
      <c r="DD354" s="76">
        <f t="shared" si="668"/>
        <v>0</v>
      </c>
      <c r="DE354" s="77">
        <f t="shared" si="669"/>
        <v>0</v>
      </c>
      <c r="DF354" s="73">
        <f t="shared" si="672"/>
        <v>26</v>
      </c>
      <c r="DG354" s="67">
        <f t="shared" si="673"/>
        <v>33.83</v>
      </c>
      <c r="DH354" s="76">
        <f t="shared" si="674"/>
        <v>10</v>
      </c>
      <c r="DI354" s="67">
        <f t="shared" si="675"/>
        <v>41.599999999999994</v>
      </c>
      <c r="DJ354" s="202" t="str">
        <f>IF($D352="","",$D352)</f>
        <v>10</v>
      </c>
      <c r="DK354" s="493"/>
    </row>
    <row r="355" spans="1:115" ht="14.5" customHeight="1" x14ac:dyDescent="0.2">
      <c r="A355" s="459">
        <f>$A352+1</f>
        <v>118</v>
      </c>
      <c r="B355" s="507" t="str">
        <f>IF(OR(C355="W",C356="W",C357="W",C355="1/2W",C356="1/2W",C357="1/2W",C355="1/2L",C356="1/2L",C357="1/2L"),"OK",IF(OR(C355="L",C356="L",C357="L"),"LOSS",IF(OR(C355="X",C356="X",C357="X"),"Anulado"," ")))</f>
        <v>OK</v>
      </c>
      <c r="C355" s="93" t="s">
        <v>55</v>
      </c>
      <c r="D355" s="468" t="str">
        <f>IF(G355="","",$D352)</f>
        <v>10</v>
      </c>
      <c r="E355" s="485" t="str">
        <f>IF(G355=""," ","– "&amp;COUNTIF(D$4:D357,$D355))</f>
        <v>– 5</v>
      </c>
      <c r="F355" s="509" t="str">
        <f ca="1">IF(G355="","",IF(OR(AND($C355&lt;&gt;" ",$C356=" "),AND($C356&lt;&gt;" ",$C355=" "),AND(L357&gt;0,OR(AND($C357&lt;&gt;" ",OR($C355=" ",$C356=" ")),AND($C357=" ",OR($C355&lt;&gt;" ",$C356&lt;&gt;" "))))),IF(SUM(F$4:F354)=0,1,LARGE(F$4:F354,1)+1),IF(MONTH(G355)=MONTH(TODAY()),IF(AND(DAY(G355)&lt;DAY(TODAY()),$B355=" "),IF(SUM(F$4:F354)=0,1,LARGE(F$4:F354,1)+1),IF($B355=" ",IF(AND(DAY(G355)=DAY(TODAY()),HOUR(G355)&lt;=HOUR(NOW())+1),IF(AND(HOUR(G355)+2&lt;=HOUR(NOW()),DAY(G355)&lt;=DAY(TODAY()),MINUTE(G355)&lt;=MINUTE(NOW())),IF(SUM(F$4:F354)=0,1,LARGE(F$4:F354,1)+1),IF(OR(MINUTE(G355)&lt;=MINUTE(NOW()),HOUR(G355)&lt;=HOUR(NOW())),"!!!","")),""),"")),"")))</f>
        <v/>
      </c>
      <c r="G355" s="482">
        <v>45001.708333333336</v>
      </c>
      <c r="H355" s="475" t="s">
        <v>160</v>
      </c>
      <c r="I355" s="94" t="s">
        <v>52</v>
      </c>
      <c r="J355" s="95">
        <v>2.5</v>
      </c>
      <c r="K355" s="96" t="s">
        <v>40</v>
      </c>
      <c r="L355" s="97">
        <v>2.34</v>
      </c>
      <c r="M355" s="98">
        <v>251.87</v>
      </c>
      <c r="N355" s="478">
        <v>0</v>
      </c>
      <c r="O355" s="99">
        <f>IF(OR(AE355="",AE356=""),"",ROUND(IF(L357&gt;0,IF(M355&gt;0,M355,IF(M356&gt;0,ROUND((M356*AE355)/AE356,IF(N355=0,2,IF(N355=0.1,1,0))),ROUND((M357*AE355)/AE357,IF(N355=0,2,IF(N355=0.1,1,0))))),IF(M355&gt;0,M355,ROUND((M356*AE355)/AE356,IF(N355=0,2,IF(N355=0.1,1,0))))),2))</f>
        <v>251.87</v>
      </c>
      <c r="P355" s="100">
        <f>IF(OR(L355="",O355=""),"",IF($C355="1/2W",O355/2+O355/2*L355,IF($C355="1/2L",O355/2,IF(I355="Lay",(O355*(L355/(L355-1))-O355)*(1-_xlfn.XLOOKUP(K355,'Fevereiro 2023 - Valor Real'!A3:A15,'Fevereiro 2023 - Valor Real'!C3:C15,0))+O355,(O355*L355-O355)*(1-_xlfn.XLOOKUP(K355,'Fevereiro 2023 - Valor Real'!A3:A15,'Fevereiro 2023 - Valor Real'!C3:C15,0))+O355))))</f>
        <v>589.37580000000003</v>
      </c>
      <c r="Q355" s="101">
        <f>IF(K355="","",IF(_xlfn.XLOOKUP(K355,K$4:K354,$DJ$4:DJ354,0,,-1)=DJ355,_xlfn.XLOOKUP(K355,K$4:K354,Q$4:Q354,1,,-1)+1,1))</f>
        <v>2</v>
      </c>
      <c r="R355" s="102">
        <f>IF(K355="","",_xlfn.XLOOKUP(K355,K$4:K354,R$4:R354,0,,-1)+IF($C355=" ",1,0))</f>
        <v>0</v>
      </c>
      <c r="S355" s="474">
        <f>IF($B355="Anulado",0,ROUND(IF(OR($B355="LOSS",$B355="OK"),IF(OR($C355="W",$C355="1/2W",$C355="1/2L"),P355-O355,IF($C355="L",-O355,0))+IF(OR($C356="W",$C356="1/2W",$C356="1/2L"),P356-O356,IF($C356="L",-O356,0))+IF(OR($C357="W",$C357="1/2W",$C357="1/2L"),P357-O357,IF($C357="L",-O357,0)),IF(AND(OR($C355="W",$C355="1/2W",$C355="1/2L"),C356="W"),P355+P356-SUM(O355:O357)+_xlfn.XLOOKUP("X",C355:C357,O355:O357,0),IF(AND(C355=TRUE,C357="W"),P355+P357-SUM(O355:O357),IF(AND(C356="W",C357="W"),P356+P357-SUM(O355:O357)+_xlfn.XLOOKUP("X",C355:C357,O355:O357,0),IF(L357&gt;0,IF(OR($C355="W",$C355="1/2W",$C355="1/2L"),P355-SUM(O355:O357)+_xlfn.XLOOKUP("X",C355:C357,O355:O357,0),IF(OR($C355="W",$C355="1/2W",$C355="1/2L"),P356-SUM(O355:O357)+_xlfn.XLOOKUP("X",C355:C357,O355:O357,0),IF(OR($C355="W",$C355="1/2W",$C355="1/2L"),P357-SUM(O355:O357)+_xlfn.XLOOKUP("X",C355:C357,O355:O357,0),IF(SUM(P355:P357)/3-SUM(O355:O357)+_xlfn.XLOOKUP("X",C355:C357,O355:O357,0)&gt;0,SUM(P355:P357)/3-SUM(O355:O357)+_xlfn.XLOOKUP("X",C355:C357,O355:O357,0),LARGE(P355:P357,1)-SUM(O355:O357))))),IF(OR($C355="W",$C355="1/2W",$C355="1/2L"),P355-SUM(O355:O356)+_xlfn.XLOOKUP("X",C355:C357,O355:O357,0),IF(OR($C355="W",$C355="1/2W",$C355="1/2L"),P356-SUM(O355:O356)+_xlfn.XLOOKUP("X",C355:C357,O355:O357,0),SUM(P355:P356)/2-SUM(O355:O356)+_xlfn.XLOOKUP("X",C355:C357,O355:O357,0)))))))),2))</f>
        <v>24.36</v>
      </c>
      <c r="T355" s="458">
        <f>IF(S355=0,0,S355/SUM(O355:O357))</f>
        <v>4.3112755074951777E-2</v>
      </c>
      <c r="U355" s="470">
        <f>IF($D355=$D352,IF(OR($B355="LOSS",$B355="OK",$B355="Anulada"),S355,0)+U352,IF(OR($B355="LOSS",$B355="OK",$B355="Anulada"),S355,0))</f>
        <v>33.68</v>
      </c>
      <c r="V355" s="470">
        <f>IF($D355="",0,IF($D355=$D352,IF($B355=" ",IF(I357="",IF(OR(AND(I355="DNB1",I356="DNB2"),AND(OR(I355="DNB1",I355="DNB2"),J356=0),AND(OR(I356="DNB1",I356="DNB2"),J355=0),AND(I355="DNB2",I356="DNB1"),AND(IF(J355=0,(J355+1)/ROUND(J355+1,0),J355/ROUND(J355,0))=1,IF(J356=0,(J356+1)/ROUND(IF(J356="",0,J356)+1,0),IF(J356="",0,J356)/ROUND(IF(J356="",1,J356),0))=1,OR(J355&lt;&gt;""),J356&lt;&gt;"")),0,IF(S355&lt;0,IF(I357="",SMALL(P355:P356,1)-SUM(O355:O356),0),SMALL(P355:P356,1)-SUM(O355:O356))),IF(S355&lt;0,IF(I357="",SMALL(P355:P357,1)-SUM(O355:O357),0),LARGE(P355:P357,1)-SUM(O355:O357))),S355)+V352,IF(I357="",IF(OR(AND(I355="DNB1",I356="DNB2"),AND(OR(I355="DNB1",I355="DNB2"),J356=0),AND(OR(I356="DNB1",I356="DNB2"),J355=0),AND(I355="DNB2",I356="DNB1"),AND(IF(J355=0,(J355+1)/ROUND(J355+1,0),J355/ROUND(J355,0))=1,IF(J356=0,(IF(J356="",0,J356)+1)/ROUND(IF(J356="",0,J356)+1,0),IF(J356="",0,J356)/ROUND(IF(J356="",0,J356)+1,0))=1,OR(J355&lt;&gt;""),J356&lt;&gt;"")),0,IF(S355&lt;0,IF(I357="",SMALL(P355:P356,1)-SUM(O355:O356),0),SMALL(P355:P357,1)-SUM(O355:O357))),IF(S355&lt;0,IF(I357="",SMALL(P355:P357,1)-SUM(O355:O357),0),LARGE(P355:P357,1)-SUM(O355:O357)))))</f>
        <v>48.7</v>
      </c>
      <c r="W355" s="470">
        <f>IF($D355=$D352,IF(S355&lt;0,IF(I357="",S355,0),S355)+W352,S355)</f>
        <v>33.68</v>
      </c>
      <c r="X355" s="480" t="str">
        <f>IF(OR(SUM(R355:R357)=0,V355=W355),ROUND(IF(W355=0,0,W355/Y355)*100,2)&amp;"%",ROUND(IF(V355=0,0,V355/Y355)*100,2)&amp;"% a "&amp;ROUND(IF(W355=0,0,W355/Y355)*100,2)&amp;"%")</f>
        <v>4,62%</v>
      </c>
      <c r="Y355" s="471">
        <f>IF($D355=$D352,Y352+SUM(O355:O357),SUM(O355:O357))</f>
        <v>729.53</v>
      </c>
      <c r="Z355" s="470">
        <f>IF($B355=" ",SUM(O355:O357),0)+Z352</f>
        <v>0</v>
      </c>
      <c r="AA355" s="470">
        <f>IF(G355="","",IF($B355="Anulado",LARGE(P355:P357,1)-SUM(O355:O357)+AA352,AA352))</f>
        <v>8.7641999999999936</v>
      </c>
      <c r="AB355" s="470">
        <f>IF($D355="","",AB352+S355)</f>
        <v>526.93000000000006</v>
      </c>
      <c r="AC355" s="472">
        <f ca="1">IF($D355="","",IF($B355=" ",IF(DAY(G355)=DAY(TODAY()),1+AC352,0+AC352),0+AC352))</f>
        <v>0</v>
      </c>
      <c r="AD355" s="103">
        <f>(((L356/(L356-1)-1)*(1-_xlfn.XLOOKUP(K356,'Fevereiro 2023 - Valor Real'!A3:A15,'Fevereiro 2023 - Valor Real'!C3:C15,0))+1))/(((L355-1)*(1-_xlfn.XLOOKUP(K355,'Fevereiro 2023 - Valor Real'!A3:A15,'Fevereiro 2023 - Valor Real'!C3:C15,0))+1)+((L356/(L356-1)-1)*(1-_xlfn.XLOOKUP(K356,'Fevereiro 2023 - Valor Real'!A3:A15,'Fevereiro 2023 - Valor Real'!C3:C15,0))+1))</f>
        <v>0.44577021048397908</v>
      </c>
      <c r="AE355" s="104">
        <f>IF(L355="","",IF(L357&gt;0,(SUM(((L355-1)*(1-_xlfn.XLOOKUP(K355,'Fevereiro 2023 - Valor Real'!A3:A15,'Fevereiro 2023 - Valor Real'!C3:C15,0))+1),((L356-1)*(1-_xlfn.XLOOKUP(K356,'Fevereiro 2023 - Valor Real'!A3:A15,'Fevereiro 2023 - Valor Real'!C3:C15,0))+1),((L357-1)*(1-_xlfn.XLOOKUP(K357,'Fevereiro 2023 - Valor Real'!A3:A15,'Fevereiro 2023 - Valor Real'!C3:C15,0))+1))/((L355-1)*(1-_xlfn.XLOOKUP(K355,'Fevereiro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Real'!C3:C15,0))+1))/((L355-1)*(1-_xlfn.XLOOKUP(K355,'Fevereiro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Real'!C3:C15,0))+1))/((L356-1)*(1-_xlfn.XLOOKUP(K356,'Fevereiro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Real'!C3:C15,0))+1))/((L357-1)*(1-_xlfn.XLOOKUP(K357,'Fevereiro 2023 - Valor Real'!A3:A15,'Fevereiro 2023 - Valor Real'!C3:C15,0))+1)),IF(I355="Lay",IF(I356="Lay",((L356/(L356-1)-1)*(1-_xlfn.XLOOKUP(K356,'Fevereiro 2023 - Valor Real'!A3:A15,'Fevereiro 2023 - Valor Real'!C3:C15,0))+1)/(((L356/(L356-1)-1)*(1-_xlfn.XLOOKUP(K356,'Fevereiro 2023 - Valor Real'!A3:A15,'Fevereiro 2023 - Valor Real'!C3:C15,0))+1)+((L355/(L355-1)-1)*(1-_xlfn.XLOOKUP(K355,'Fevereiro 2023 - Valor Real'!A3:A15,'Fevereiro 2023 - Valor Real'!C3:C15,0))+1)),((L356-1)*(1-_xlfn.XLOOKUP(K356,'Fevereiro 2023 - Valor Real'!A3:A15,'Fevereiro 2023 - Valor Real'!C3:C15,0))+1)/(((L356-1)*(1-_xlfn.XLOOKUP(K356,'Fevereiro 2023 - Valor Real'!A3:A15,'Fevereiro 2023 - Valor Real'!C3:C15,0))+1)+((L355/(L355-1)-1)*(1-_xlfn.XLOOKUP(K355,'Fevereiro 2023 - Valor Real'!A3:A15,'Fevereiro 2023 - Valor Real'!C3:C15,0))+1))),IF(I356="Lay",(((L356/(L356-1)-1)*(1-_xlfn.XLOOKUP(K356,'Fevereiro 2023 - Valor Real'!A3:A15,'Fevereiro 2023 - Valor Real'!C3:C15,0))+1))/(((L355-1)*(1-_xlfn.XLOOKUP(K355,'Fevereiro 2023 - Valor Real'!A3:A15,'Fevereiro 2023 - Valor Real'!C3:C15,0))+1)+((L356/(L356-1)-1)*(1-_xlfn.XLOOKUP(K356,'Fevereiro 2023 - Valor Real'!A3:A15,'Fevereiro 2023 - Valor Real'!C3:C15,0))+1)),((L356-1)*(1-_xlfn.XLOOKUP(K356,'Fevereiro 2023 - Valor Real'!A3:A15,'Fevereiro 2023 - Valor Real'!C3:C15,0))+1)/(((L356-1)*(1-_xlfn.XLOOKUP(K356,'Fevereiro 2023 - Valor Real'!A3:A15,'Fevereiro 2023 - Valor Real'!C3:C15,0))+1)+((L355-1)*(1-_xlfn.XLOOKUP(K355,'Fevereiro 2023 - Valor Real'!A3:A15,'Fevereiro 2023 - Valor Real'!C3:C15,0))+1))))))</f>
        <v>0.44577021048397908</v>
      </c>
      <c r="AF355" s="105">
        <f t="shared" si="717"/>
        <v>0</v>
      </c>
      <c r="AG355" s="106">
        <f t="shared" si="717"/>
        <v>0</v>
      </c>
      <c r="AH355" s="106">
        <f t="shared" si="717"/>
        <v>0</v>
      </c>
      <c r="AI355" s="106">
        <f t="shared" si="717"/>
        <v>0</v>
      </c>
      <c r="AJ355" s="106">
        <f t="shared" si="717"/>
        <v>-251.87</v>
      </c>
      <c r="AK355" s="106">
        <f t="shared" si="717"/>
        <v>0</v>
      </c>
      <c r="AL355" s="106">
        <f t="shared" si="717"/>
        <v>0</v>
      </c>
      <c r="AM355" s="106">
        <f t="shared" si="717"/>
        <v>0</v>
      </c>
      <c r="AN355" s="106">
        <f t="shared" si="717"/>
        <v>0</v>
      </c>
      <c r="AO355" s="106">
        <f t="shared" si="717"/>
        <v>0</v>
      </c>
      <c r="AP355" s="106">
        <f t="shared" si="717"/>
        <v>0</v>
      </c>
      <c r="AQ355" s="106">
        <f t="shared" si="717"/>
        <v>0</v>
      </c>
      <c r="AR355" s="107">
        <f t="shared" si="717"/>
        <v>0</v>
      </c>
      <c r="AS355" s="105">
        <f t="shared" ref="AS355:BE355" si="720">IF(AND($B355=" ",$K355=AS$3),$O355,0)</f>
        <v>0</v>
      </c>
      <c r="AT355" s="106">
        <f t="shared" si="720"/>
        <v>0</v>
      </c>
      <c r="AU355" s="106">
        <f t="shared" si="720"/>
        <v>0</v>
      </c>
      <c r="AV355" s="106">
        <f t="shared" si="720"/>
        <v>0</v>
      </c>
      <c r="AW355" s="106">
        <f t="shared" si="720"/>
        <v>0</v>
      </c>
      <c r="AX355" s="106">
        <f t="shared" si="720"/>
        <v>0</v>
      </c>
      <c r="AY355" s="108">
        <f t="shared" si="720"/>
        <v>0</v>
      </c>
      <c r="AZ355" s="109">
        <f t="shared" si="720"/>
        <v>0</v>
      </c>
      <c r="BA355" s="109">
        <f t="shared" si="720"/>
        <v>0</v>
      </c>
      <c r="BB355" s="109">
        <f t="shared" si="720"/>
        <v>0</v>
      </c>
      <c r="BC355" s="110">
        <f t="shared" si="720"/>
        <v>0</v>
      </c>
      <c r="BD355" s="106">
        <f t="shared" si="720"/>
        <v>0</v>
      </c>
      <c r="BE355" s="107">
        <f t="shared" si="720"/>
        <v>0</v>
      </c>
      <c r="BF355" s="111">
        <f t="shared" si="719"/>
        <v>0</v>
      </c>
      <c r="BG355" s="106">
        <f t="shared" si="719"/>
        <v>0</v>
      </c>
      <c r="BH355" s="106">
        <f t="shared" si="719"/>
        <v>0</v>
      </c>
      <c r="BI355" s="106">
        <f t="shared" si="719"/>
        <v>0</v>
      </c>
      <c r="BJ355" s="106">
        <f t="shared" si="719"/>
        <v>251.87</v>
      </c>
      <c r="BK355" s="106">
        <f t="shared" si="719"/>
        <v>0</v>
      </c>
      <c r="BL355" s="106">
        <f t="shared" si="719"/>
        <v>0</v>
      </c>
      <c r="BM355" s="108">
        <f t="shared" si="719"/>
        <v>0</v>
      </c>
      <c r="BN355" s="109">
        <f t="shared" si="719"/>
        <v>0</v>
      </c>
      <c r="BO355" s="109">
        <f t="shared" si="719"/>
        <v>0</v>
      </c>
      <c r="BP355" s="109">
        <f t="shared" si="719"/>
        <v>0</v>
      </c>
      <c r="BQ355" s="110">
        <f t="shared" si="719"/>
        <v>0</v>
      </c>
      <c r="BR355" s="107">
        <f t="shared" si="719"/>
        <v>0</v>
      </c>
      <c r="BS355" s="463">
        <f>IF($B355="LOSS",IF(AND($K355=BS$3,$C355="L"),-$O355,0)+IF(AND($K356=BS$3,$C356="L"),-$O356,0)+IF(AND($K357=BS$3,$C357="L"),-$O357,0),IF(OR(AND($K355=BS$3,OR($C355="W",$C355="1/2W")),AND($K356=BS$3,OR($C356="W",$C356="1/2W")),AND($K357=BS$3,OR($C357="W",$C357="1/2W"))),$S355,0))</f>
        <v>0</v>
      </c>
      <c r="BT355" s="462">
        <f>IF($B355="LOSS",IF(AND($K355=BT$3,$C355="L"),-$O355,0)+IF(AND($K356=BT$3,$C356="L"),-$O356,0)+IF(AND($K356=BT$3,$C357="L"),-$O357,0),IF(OR(AND($K356=BT$3,OR($C355="W",$C355="1/2W")),AND($K356=BT$3,OR($C356="W",$C356="1/2W")),AND($K356=BT$3,OR($C357="W",$C357="1/2W"))),$S355,0))</f>
        <v>0</v>
      </c>
      <c r="BU355" s="462">
        <f>IF($B355="LOSS",IF(AND($K355=BU$3,$C355="L"),-$O355,0)+IF(AND($K356=BU$3,$C356="L"),-$O356,0)+IF(AND($K356=BU$3,$C357="L"),-$O357,0),IF(OR(AND($K356=BU$3,OR($C355="W",$C355="1/2W")),AND($K356=BU$3,OR($C356="W",$C356="1/2W")),AND($K356=BU$3,OR($C357="W",$C357="1/2W"))),$S355,0))</f>
        <v>24.36</v>
      </c>
      <c r="BV355" s="462">
        <f t="shared" ref="BV355:CE355" si="721">IF($B355="LOSS",IF(AND($K355=BV$3,$C355="L"),-$O355,0)+IF(AND($K356=BV$3,$C356="L"),-$O356,0)+IF(AND($K357=BV$3,$C357="L"),-$O357,0),IF(OR(AND($K355=BV$3,OR($C355="W",$C355="1/2W")),AND($K356=BV$3,OR($C356="W",$C356="1/2W")),AND($K357=BV$3,OR($C357="W",$C357="1/2W"))),$S355,0))</f>
        <v>0</v>
      </c>
      <c r="BW355" s="462">
        <f t="shared" si="721"/>
        <v>0</v>
      </c>
      <c r="BX355" s="462">
        <f t="shared" si="721"/>
        <v>0</v>
      </c>
      <c r="BY355" s="462">
        <f t="shared" si="721"/>
        <v>0</v>
      </c>
      <c r="BZ355" s="460">
        <f t="shared" si="721"/>
        <v>0</v>
      </c>
      <c r="CA355" s="460">
        <f t="shared" si="721"/>
        <v>0</v>
      </c>
      <c r="CB355" s="460">
        <f t="shared" si="721"/>
        <v>0</v>
      </c>
      <c r="CC355" s="460">
        <f t="shared" si="721"/>
        <v>0</v>
      </c>
      <c r="CD355" s="473">
        <f t="shared" si="721"/>
        <v>0</v>
      </c>
      <c r="CE355" s="479">
        <f t="shared" si="721"/>
        <v>0</v>
      </c>
      <c r="CF355" s="113">
        <f t="shared" si="644"/>
        <v>0</v>
      </c>
      <c r="CG355" s="114">
        <f t="shared" si="645"/>
        <v>0</v>
      </c>
      <c r="CH355" s="114">
        <f t="shared" si="646"/>
        <v>0</v>
      </c>
      <c r="CI355" s="114">
        <f t="shared" si="647"/>
        <v>0</v>
      </c>
      <c r="CJ355" s="114">
        <f t="shared" si="648"/>
        <v>0</v>
      </c>
      <c r="CK355" s="114">
        <f t="shared" si="649"/>
        <v>0</v>
      </c>
      <c r="CL355" s="114">
        <f t="shared" si="650"/>
        <v>0</v>
      </c>
      <c r="CM355" s="114">
        <f t="shared" si="651"/>
        <v>0</v>
      </c>
      <c r="CN355" s="114">
        <f t="shared" si="652"/>
        <v>0</v>
      </c>
      <c r="CO355" s="114">
        <f t="shared" si="653"/>
        <v>1</v>
      </c>
      <c r="CP355" s="114">
        <f t="shared" si="654"/>
        <v>0</v>
      </c>
      <c r="CQ355" s="114">
        <f t="shared" si="655"/>
        <v>0</v>
      </c>
      <c r="CR355" s="114">
        <f t="shared" si="656"/>
        <v>0</v>
      </c>
      <c r="CS355" s="114">
        <f t="shared" si="657"/>
        <v>0</v>
      </c>
      <c r="CT355" s="115">
        <f t="shared" si="658"/>
        <v>0</v>
      </c>
      <c r="CU355" s="116">
        <f t="shared" si="659"/>
        <v>0</v>
      </c>
      <c r="CV355" s="116">
        <f t="shared" si="660"/>
        <v>0</v>
      </c>
      <c r="CW355" s="116">
        <f t="shared" si="661"/>
        <v>0</v>
      </c>
      <c r="CX355" s="116">
        <f t="shared" si="662"/>
        <v>0</v>
      </c>
      <c r="CY355" s="116">
        <f t="shared" si="663"/>
        <v>0</v>
      </c>
      <c r="CZ355" s="116">
        <f t="shared" si="664"/>
        <v>0</v>
      </c>
      <c r="DA355" s="116">
        <f t="shared" si="665"/>
        <v>0</v>
      </c>
      <c r="DB355" s="116">
        <f t="shared" si="666"/>
        <v>0</v>
      </c>
      <c r="DC355" s="116">
        <f t="shared" si="667"/>
        <v>0</v>
      </c>
      <c r="DD355" s="116">
        <f t="shared" si="668"/>
        <v>0</v>
      </c>
      <c r="DE355" s="117">
        <f t="shared" si="669"/>
        <v>0</v>
      </c>
      <c r="DF355" s="118">
        <f t="shared" si="672"/>
        <v>26</v>
      </c>
      <c r="DG355" s="106">
        <f t="shared" si="673"/>
        <v>33.83</v>
      </c>
      <c r="DH355" s="116">
        <f t="shared" si="674"/>
        <v>10</v>
      </c>
      <c r="DI355" s="106">
        <f t="shared" si="675"/>
        <v>41.599999999999994</v>
      </c>
      <c r="DJ355" s="201" t="str">
        <f>IF($D355="","",$D355)</f>
        <v>10</v>
      </c>
      <c r="DK355" s="465">
        <f>IF(AND($B355=" ",$D355&lt;&gt;""),1,0)</f>
        <v>0</v>
      </c>
    </row>
    <row r="356" spans="1:115" ht="14.5" customHeight="1" x14ac:dyDescent="0.2">
      <c r="A356" s="389"/>
      <c r="B356" s="456"/>
      <c r="C356" s="120" t="s">
        <v>54</v>
      </c>
      <c r="D356" s="374"/>
      <c r="E356" s="386"/>
      <c r="F356" s="377"/>
      <c r="G356" s="483"/>
      <c r="H356" s="476"/>
      <c r="I356" s="121" t="s">
        <v>88</v>
      </c>
      <c r="J356" s="122">
        <f>IF(OR(I355="TO",I355="TU",I355="TO1",I355="TU1",I355="TO2",I355="TU2"),J355,IF(OR(I355="AH1",I355="AH2"),IF(OR(I356="AH1",I356="AH2"),-J355,IF(OR(I356="EH1",I356="EH2"),-J355+0.5,"")),IF(OR(I355="EH1",I355="EH2"),IF(OR(I356="AH1",I356="AH2"),-J355+0.5,IF(OR(I356="EH1",I356="EH2"),-J355+1,"")),IF(AND(OR(I355="DNB1",I355="DNB2"),OR(I356="AH1",I356="AH2")),0,IF(AND(I355="Not ScoreBoth",OR(I356="TO1",I356="TO2")),0.5,"")))))</f>
        <v>2.5</v>
      </c>
      <c r="K356" s="123" t="s">
        <v>38</v>
      </c>
      <c r="L356" s="124">
        <v>2.06</v>
      </c>
      <c r="M356" s="125">
        <v>313.16000000000003</v>
      </c>
      <c r="N356" s="406"/>
      <c r="O356" s="126">
        <f>IF(OR(AE355="",AE356=""),"",ROUND(IF(L357&gt;0,IF(M356&gt;0,M356,IF(M355&gt;0,IF(N355=TRUE,ROUND((M355*AE356)/AE355,0),(M355*AE356)/AE355),IF(M356&gt;0,ROUND(M356,IF(N355=0,2,IF(N355=0.1,1,0))),IF(M357&gt;0,ROUND(O357*AE356/AE357,IF(N355=0,2,IF(N355=0.1,1,0))),0)))),IF(M356&gt;0,M356,ROUND((M355*AE356)/AE355,IF(N355=0,2,IF(N355=0.1,1,0))))),2))</f>
        <v>313.16000000000003</v>
      </c>
      <c r="P356" s="127">
        <f>IF(OR(L356="",O356=""),"",IF($C356="1/2W",O356/2+O356/2*L356,IF($C356="1/2L",O356/2,IF(I356="Lay",((O356*(L356/(L356-1)))-O356)*(1-_xlfn.XLOOKUP(K356,'Fevereiro 2023 - Valor Real'!A3:A15,'Fevereiro 2023 - Valor Real'!C3:C15,0))+O356,(O356*L356-O356)*(1-_xlfn.XLOOKUP(K356,'Fevereiro 2023 - Valor Real'!A3:A15,'Fevereiro 2023 - Valor Real'!C3:C15,0))+O356))))</f>
        <v>589.39075471698118</v>
      </c>
      <c r="Q356" s="128">
        <f>IF(K356="","",IF(_xlfn.XLOOKUP(K356,K$4:K355,$DJ$4:DJ355,0,,-1)=DJ356,_xlfn.XLOOKUP(K356,K$4:K355,Q$4:Q355,1,,-1)+1,1))</f>
        <v>2</v>
      </c>
      <c r="R356" s="129">
        <f>IF(K356="","",_xlfn.XLOOKUP(K356,K$4:K355,R$4:R355,0,,-1)+IF($C356=" ",1,0))</f>
        <v>0</v>
      </c>
      <c r="S356" s="403"/>
      <c r="T356" s="380"/>
      <c r="U356" s="380"/>
      <c r="V356" s="481"/>
      <c r="W356" s="380"/>
      <c r="X356" s="452"/>
      <c r="Y356" s="383"/>
      <c r="Z356" s="384"/>
      <c r="AA356" s="384"/>
      <c r="AB356" s="384"/>
      <c r="AC356" s="384"/>
      <c r="AD356" s="130">
        <f>(((L356/(L356-1)-1)*(1-_xlfn.XLOOKUP(K356,'Fevereiro 2023 - Valor Real'!A3:A15,'Fevereiro 2023 - Valor Real'!C3:C15,0))+1))</f>
        <v>1.8820754716981134</v>
      </c>
      <c r="AE356" s="131">
        <f>IF(L356="","",IF(L357&gt;0,(SUM(((L355-1)*(1-_xlfn.XLOOKUP(K355,'Fevereiro 2023 - Valor Real'!A3:A15,'Fevereiro 2023 - Valor Real'!C3:C15,0))+1),((L356-1)*(1-_xlfn.XLOOKUP(K356,'Fevereiro 2023 - Valor Real'!A3:A15,'Fevereiro 2023 - Valor Real'!C3:C15,0))+1),((L357-1)*(1-_xlfn.XLOOKUP(K357,'Fevereiro 2023 - Valor Real'!A3:A15,'Fevereiro 2023 - Valor Real'!C3:C15,0))+1))/((L356-1)*(1-_xlfn.XLOOKUP(K356,'Fevereiro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Real'!C3:C15,0))+1))/((L355-1)*(1-_xlfn.XLOOKUP(K355,'Fevereiro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Real'!C3:C15,0))+1))/((L356-1)*(1-_xlfn.XLOOKUP(K356,'Fevereiro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Real'!C3:C15,0))+1))/((L357-1)*(1-_xlfn.XLOOKUP(K357,'Fevereiro 2023 - Valor Real'!A3:A15,'Fevereiro 2023 - Valor Real'!C3:C15,0))+1)),IF(I356="Lay",IF(I355="Lay",((L355/(L355-1)-1)*(1-_xlfn.XLOOKUP(K355,'Fevereiro 2023 - Valor Real'!A3:A15,'Fevereiro 2023 - Valor Real'!C3:C15,0))+1)/(((L355/(L355-1)-1)*(1-_xlfn.XLOOKUP(K355,'Fevereiro 2023 - Valor Real'!A3:A15,'Fevereiro 2023 - Valor Real'!C3:C15,0))+1)+((L356/(L356-1)-1)*(1-_xlfn.XLOOKUP(K356,'Fevereiro 2023 - Valor Real'!A3:A15,'Fevereiro 2023 - Valor Real'!C3:C15,0))+1)),((L355-1)*(1-_xlfn.XLOOKUP(K355,'Fevereiro 2023 - Valor Real'!A3:A15,'Fevereiro 2023 - Valor Real'!C3:C15,0))+1)/(((L355-1)*(1-_xlfn.XLOOKUP(K355,'Fevereiro 2023 - Valor Real'!A3:A15,'Fevereiro 2023 - Valor Real'!C3:C15,0))+1)+((L356/(L356-1)-1)*(1-_xlfn.XLOOKUP(K356,'Fevereiro 2023 - Valor Real'!A3:A15,'Fevereiro 2023 - Valor Real'!C3:C15,0))+1))),IF(I355="Lay",((L355/(L355-1)-1)*(1-_xlfn.XLOOKUP(K355,'Fevereiro 2023 - Valor Real'!A3:A15,'Fevereiro 2023 - Valor Real'!C3:C15,0))+1)/((((L355/(L355-1)-1)*(1-_xlfn.XLOOKUP(K355,'Fevereiro 2023 - Valor Real'!A3:A15,'Fevereiro 2023 - Valor Real'!C3:C15,0))+1))+((L356-1)*(1-_xlfn.XLOOKUP(K356,'Fevereiro 2023 - Valor Real'!A3:A15,'Fevereiro 2023 - Valor Real'!C3:C15,0))+1)),((L355-1)*(1-_xlfn.XLOOKUP(K355,'Fevereiro 2023 - Valor Real'!A3:A15,'Fevereiro 2023 - Valor Real'!C3:C15,0))+1)/(((L355-1)*(1-_xlfn.XLOOKUP(K355,'Fevereiro 2023 - Valor Real'!A3:A15,'Fevereiro 2023 - Valor Real'!C3:C15,0))+1)+((L356-1)*(1-_xlfn.XLOOKUP(K356,'Fevereiro 2023 - Valor Real'!A3:A15,'Fevereiro 2023 - Valor Real'!C3:C15,0))+1))))))</f>
        <v>0.55422978951602087</v>
      </c>
      <c r="AF356" s="105">
        <f t="shared" si="717"/>
        <v>0</v>
      </c>
      <c r="AG356" s="106">
        <f t="shared" si="717"/>
        <v>0</v>
      </c>
      <c r="AH356" s="106">
        <f t="shared" si="717"/>
        <v>276.23</v>
      </c>
      <c r="AI356" s="106">
        <f t="shared" si="717"/>
        <v>0</v>
      </c>
      <c r="AJ356" s="106">
        <f t="shared" si="717"/>
        <v>0</v>
      </c>
      <c r="AK356" s="106">
        <f t="shared" si="717"/>
        <v>0</v>
      </c>
      <c r="AL356" s="106">
        <f t="shared" si="717"/>
        <v>0</v>
      </c>
      <c r="AM356" s="106">
        <f t="shared" si="717"/>
        <v>0</v>
      </c>
      <c r="AN356" s="106">
        <f t="shared" si="717"/>
        <v>0</v>
      </c>
      <c r="AO356" s="106">
        <f t="shared" si="717"/>
        <v>0</v>
      </c>
      <c r="AP356" s="106">
        <f t="shared" si="717"/>
        <v>0</v>
      </c>
      <c r="AQ356" s="106">
        <f t="shared" si="717"/>
        <v>0</v>
      </c>
      <c r="AR356" s="107">
        <f t="shared" si="717"/>
        <v>0</v>
      </c>
      <c r="AS356" s="105">
        <f>IF(AND($B355=" ",$K356=AS$3),$O356,0)</f>
        <v>0</v>
      </c>
      <c r="AT356" s="106">
        <f>IF(AND($B355=" ",K356=AT$3),$O356,0)</f>
        <v>0</v>
      </c>
      <c r="AU356" s="106">
        <f t="shared" ref="AU356:BE356" si="722">IF(AND($B355=" ",$K356=AU$3),$O356,0)</f>
        <v>0</v>
      </c>
      <c r="AV356" s="106">
        <f t="shared" si="722"/>
        <v>0</v>
      </c>
      <c r="AW356" s="106">
        <f t="shared" si="722"/>
        <v>0</v>
      </c>
      <c r="AX356" s="106">
        <f t="shared" si="722"/>
        <v>0</v>
      </c>
      <c r="AY356" s="108">
        <f t="shared" si="722"/>
        <v>0</v>
      </c>
      <c r="AZ356" s="109">
        <f t="shared" si="722"/>
        <v>0</v>
      </c>
      <c r="BA356" s="109">
        <f t="shared" si="722"/>
        <v>0</v>
      </c>
      <c r="BB356" s="109">
        <f t="shared" si="722"/>
        <v>0</v>
      </c>
      <c r="BC356" s="110">
        <f t="shared" si="722"/>
        <v>0</v>
      </c>
      <c r="BD356" s="106">
        <f t="shared" si="722"/>
        <v>0</v>
      </c>
      <c r="BE356" s="107">
        <f t="shared" si="722"/>
        <v>0</v>
      </c>
      <c r="BF356" s="105">
        <f t="shared" si="719"/>
        <v>0</v>
      </c>
      <c r="BG356" s="106">
        <f t="shared" si="719"/>
        <v>0</v>
      </c>
      <c r="BH356" s="106">
        <f t="shared" si="719"/>
        <v>313.16000000000003</v>
      </c>
      <c r="BI356" s="106">
        <f t="shared" si="719"/>
        <v>0</v>
      </c>
      <c r="BJ356" s="106">
        <f t="shared" si="719"/>
        <v>0</v>
      </c>
      <c r="BK356" s="106">
        <f t="shared" si="719"/>
        <v>0</v>
      </c>
      <c r="BL356" s="106">
        <f t="shared" si="719"/>
        <v>0</v>
      </c>
      <c r="BM356" s="132">
        <f t="shared" si="719"/>
        <v>0</v>
      </c>
      <c r="BN356" s="112">
        <f t="shared" si="719"/>
        <v>0</v>
      </c>
      <c r="BO356" s="112">
        <f t="shared" si="719"/>
        <v>0</v>
      </c>
      <c r="BP356" s="112">
        <f t="shared" si="719"/>
        <v>0</v>
      </c>
      <c r="BQ356" s="110">
        <f t="shared" si="719"/>
        <v>0</v>
      </c>
      <c r="BR356" s="107">
        <f t="shared" si="719"/>
        <v>0</v>
      </c>
      <c r="BS356" s="464"/>
      <c r="BT356" s="461"/>
      <c r="BU356" s="392"/>
      <c r="BV356" s="461"/>
      <c r="BW356" s="392"/>
      <c r="BX356" s="392"/>
      <c r="BY356" s="392"/>
      <c r="BZ356" s="461"/>
      <c r="CA356" s="392"/>
      <c r="CB356" s="392"/>
      <c r="CC356" s="392"/>
      <c r="CD356" s="401"/>
      <c r="CE356" s="409"/>
      <c r="CF356" s="133">
        <f t="shared" si="644"/>
        <v>0</v>
      </c>
      <c r="CG356" s="134">
        <f t="shared" si="645"/>
        <v>0</v>
      </c>
      <c r="CH356" s="134">
        <f t="shared" si="646"/>
        <v>0</v>
      </c>
      <c r="CI356" s="134">
        <f t="shared" si="647"/>
        <v>0</v>
      </c>
      <c r="CJ356" s="134">
        <f t="shared" si="648"/>
        <v>1</v>
      </c>
      <c r="CK356" s="134">
        <f t="shared" si="649"/>
        <v>0</v>
      </c>
      <c r="CL356" s="134">
        <f t="shared" si="650"/>
        <v>0</v>
      </c>
      <c r="CM356" s="134">
        <f t="shared" si="651"/>
        <v>0</v>
      </c>
      <c r="CN356" s="134">
        <f t="shared" si="652"/>
        <v>0</v>
      </c>
      <c r="CO356" s="134">
        <f t="shared" si="653"/>
        <v>0</v>
      </c>
      <c r="CP356" s="134">
        <f t="shared" si="654"/>
        <v>0</v>
      </c>
      <c r="CQ356" s="134">
        <f t="shared" si="655"/>
        <v>0</v>
      </c>
      <c r="CR356" s="134">
        <f t="shared" si="656"/>
        <v>0</v>
      </c>
      <c r="CS356" s="134">
        <f t="shared" si="657"/>
        <v>0</v>
      </c>
      <c r="CT356" s="115">
        <f t="shared" si="658"/>
        <v>0</v>
      </c>
      <c r="CU356" s="116">
        <f t="shared" si="659"/>
        <v>0</v>
      </c>
      <c r="CV356" s="116">
        <f t="shared" si="660"/>
        <v>0</v>
      </c>
      <c r="CW356" s="116">
        <f t="shared" si="661"/>
        <v>0</v>
      </c>
      <c r="CX356" s="116">
        <f t="shared" si="662"/>
        <v>0</v>
      </c>
      <c r="CY356" s="116">
        <f t="shared" si="663"/>
        <v>0</v>
      </c>
      <c r="CZ356" s="116">
        <f t="shared" si="664"/>
        <v>0</v>
      </c>
      <c r="DA356" s="116">
        <f t="shared" si="665"/>
        <v>0</v>
      </c>
      <c r="DB356" s="116">
        <f t="shared" si="666"/>
        <v>0</v>
      </c>
      <c r="DC356" s="116">
        <f t="shared" si="667"/>
        <v>0</v>
      </c>
      <c r="DD356" s="116">
        <f t="shared" si="668"/>
        <v>0</v>
      </c>
      <c r="DE356" s="117">
        <f t="shared" si="669"/>
        <v>0</v>
      </c>
      <c r="DF356" s="118">
        <f t="shared" si="672"/>
        <v>26</v>
      </c>
      <c r="DG356" s="106">
        <f t="shared" si="673"/>
        <v>33.83</v>
      </c>
      <c r="DH356" s="116">
        <f t="shared" si="674"/>
        <v>10</v>
      </c>
      <c r="DI356" s="106">
        <f t="shared" si="675"/>
        <v>41.599999999999994</v>
      </c>
      <c r="DJ356" s="201" t="str">
        <f>IF($D355="","",$D355)</f>
        <v>10</v>
      </c>
      <c r="DK356" s="466"/>
    </row>
    <row r="357" spans="1:115" ht="14.5" customHeight="1" x14ac:dyDescent="0.2">
      <c r="A357" s="390"/>
      <c r="B357" s="457"/>
      <c r="C357" s="135" t="s">
        <v>53</v>
      </c>
      <c r="D357" s="375"/>
      <c r="E357" s="387"/>
      <c r="F357" s="378"/>
      <c r="G357" s="484"/>
      <c r="H357" s="477"/>
      <c r="I357" s="136"/>
      <c r="J357" s="137"/>
      <c r="K357" s="138"/>
      <c r="L357" s="139"/>
      <c r="M357" s="140"/>
      <c r="N357" s="407"/>
      <c r="O357" s="141" t="str">
        <f>IF(OR(AE355="",AE356=""),"",IF(L357&gt;0,ROUND(IF(M357&gt;0,M357,IF(M355&gt;0,ROUND((M355*AE357)/AE355,IF(N355=0,2,IF(N355=0.1,1,0))),IF(M356&gt;0,ROUND((M356*AE357)/AE356,IF(N355=0,2,IF(N355=0.1,1,0))),IF(M357&gt;0,M357,0)))),2),""))</f>
        <v/>
      </c>
      <c r="P357" s="196">
        <f>IF(I356="Lay",O356*(L356/(L356-1))-O356,IF(I355="Lay",O355*(L355/(L355-1))-O355,IF(OR(L357="",O357=""),"",IF($C357="1/2W",O357/2+O357/2*L357,IF($C357="1/2L",O357/2,(O357*L357-O357)*(1-_xlfn.XLOOKUP(K357,'Fevereiro 2023 - Valor Real'!A3:A15,'Fevereiro 2023 - Valor Real'!C3:C15,0))+O357)))))</f>
        <v>295.43396226415092</v>
      </c>
      <c r="Q357" s="143" t="str">
        <f>IF(K357="","",IF(_xlfn.XLOOKUP(K357,K$4:K356,$DJ$4:DJ356,0,,-1)=DJ357,_xlfn.XLOOKUP(K357,K$4:K356,Q$4:Q356,1,,-1)+1,1))</f>
        <v/>
      </c>
      <c r="R357" s="144" t="str">
        <f>IF(K357="","",_xlfn.XLOOKUP(K357,K$4:K356,R$4:R356,0,,-1)+IF($C357=" ",1,0))</f>
        <v/>
      </c>
      <c r="S357" s="404"/>
      <c r="T357" s="378"/>
      <c r="U357" s="378"/>
      <c r="V357" s="404"/>
      <c r="W357" s="378"/>
      <c r="X357" s="453"/>
      <c r="Y357" s="383"/>
      <c r="Z357" s="384"/>
      <c r="AA357" s="384"/>
      <c r="AB357" s="384"/>
      <c r="AC357" s="384"/>
      <c r="AD357" s="145">
        <f>((L356/(L356-1)-1))</f>
        <v>0.94339622641509435</v>
      </c>
      <c r="AE357" s="146" t="str">
        <f>IF(L357="","",(SUM(((L355-1)*(1-_xlfn.XLOOKUP(K355,'Fevereiro 2023 - Valor Real'!A3:A15,'Fevereiro 2023 - Valor Real'!C3:C15,0))+1),((L356-1)*(1-_xlfn.XLOOKUP(K356,'Fevereiro 2023 - Valor Real'!A3:A15,'Fevereiro 2023 - Valor Real'!C3:C15,0))+1),((L357-1)*(1-_xlfn.XLOOKUP(K357,'Fevereiro 2023 - Valor Real'!A3:A15,'Fevereiro 2023 - Valor Real'!C3:C15,0))+1))/((L357-1)*(1-_xlfn.XLOOKUP(K357,'Fevereiro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Real'!C3:C15,0))+1))/((L355-1)*(1-_xlfn.XLOOKUP(K355,'Fevereiro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Real'!C3:C15,0))+1))/((L356-1)*(1-_xlfn.XLOOKUP(K356,'Fevereiro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Real'!C3:C15,0))+1))/((L357-1)*(1-_xlfn.XLOOKUP(K357,'Fevereiro 2023 - Valor Real'!A3:A15,'Fevereiro 2023 - Valor Real'!C3:C15,0))+1)))</f>
        <v/>
      </c>
      <c r="AF357" s="105">
        <f t="shared" si="717"/>
        <v>0</v>
      </c>
      <c r="AG357" s="106">
        <f t="shared" si="717"/>
        <v>0</v>
      </c>
      <c r="AH357" s="106">
        <f t="shared" si="717"/>
        <v>0</v>
      </c>
      <c r="AI357" s="106">
        <f t="shared" si="717"/>
        <v>0</v>
      </c>
      <c r="AJ357" s="106">
        <f t="shared" si="717"/>
        <v>0</v>
      </c>
      <c r="AK357" s="106">
        <f t="shared" si="717"/>
        <v>0</v>
      </c>
      <c r="AL357" s="106">
        <f t="shared" si="717"/>
        <v>0</v>
      </c>
      <c r="AM357" s="106">
        <f t="shared" si="717"/>
        <v>0</v>
      </c>
      <c r="AN357" s="106">
        <f t="shared" si="717"/>
        <v>0</v>
      </c>
      <c r="AO357" s="106">
        <f t="shared" si="717"/>
        <v>0</v>
      </c>
      <c r="AP357" s="106">
        <f t="shared" si="717"/>
        <v>0</v>
      </c>
      <c r="AQ357" s="106">
        <f t="shared" si="717"/>
        <v>0</v>
      </c>
      <c r="AR357" s="107">
        <f t="shared" si="717"/>
        <v>0</v>
      </c>
      <c r="AS357" s="105">
        <f>IF(AND($B355=" ",$K357=AS$3),$O357,0)</f>
        <v>0</v>
      </c>
      <c r="AT357" s="106">
        <f>IF(AND($B355=" ",K357=AT$3),$O357,0)</f>
        <v>0</v>
      </c>
      <c r="AU357" s="106">
        <f t="shared" ref="AU357:BE357" si="723">IF(AND($B355=" ",$K357=AU$3),$O357,0)</f>
        <v>0</v>
      </c>
      <c r="AV357" s="106">
        <f t="shared" si="723"/>
        <v>0</v>
      </c>
      <c r="AW357" s="106">
        <f t="shared" si="723"/>
        <v>0</v>
      </c>
      <c r="AX357" s="106">
        <f t="shared" si="723"/>
        <v>0</v>
      </c>
      <c r="AY357" s="108">
        <f t="shared" si="723"/>
        <v>0</v>
      </c>
      <c r="AZ357" s="109">
        <f t="shared" si="723"/>
        <v>0</v>
      </c>
      <c r="BA357" s="109">
        <f t="shared" si="723"/>
        <v>0</v>
      </c>
      <c r="BB357" s="109">
        <f t="shared" si="723"/>
        <v>0</v>
      </c>
      <c r="BC357" s="110">
        <f t="shared" si="723"/>
        <v>0</v>
      </c>
      <c r="BD357" s="106">
        <f t="shared" si="723"/>
        <v>0</v>
      </c>
      <c r="BE357" s="107">
        <f t="shared" si="723"/>
        <v>0</v>
      </c>
      <c r="BF357" s="105">
        <f t="shared" si="719"/>
        <v>0</v>
      </c>
      <c r="BG357" s="106">
        <f t="shared" si="719"/>
        <v>0</v>
      </c>
      <c r="BH357" s="106">
        <f t="shared" si="719"/>
        <v>0</v>
      </c>
      <c r="BI357" s="106">
        <f t="shared" si="719"/>
        <v>0</v>
      </c>
      <c r="BJ357" s="106">
        <f t="shared" si="719"/>
        <v>0</v>
      </c>
      <c r="BK357" s="106">
        <f t="shared" si="719"/>
        <v>0</v>
      </c>
      <c r="BL357" s="106">
        <f t="shared" si="719"/>
        <v>0</v>
      </c>
      <c r="BM357" s="108">
        <f t="shared" si="719"/>
        <v>0</v>
      </c>
      <c r="BN357" s="109">
        <f t="shared" si="719"/>
        <v>0</v>
      </c>
      <c r="BO357" s="109">
        <f t="shared" si="719"/>
        <v>0</v>
      </c>
      <c r="BP357" s="109">
        <f t="shared" si="719"/>
        <v>0</v>
      </c>
      <c r="BQ357" s="110">
        <f t="shared" si="719"/>
        <v>0</v>
      </c>
      <c r="BR357" s="107">
        <f t="shared" si="719"/>
        <v>0</v>
      </c>
      <c r="BS357" s="464"/>
      <c r="BT357" s="461"/>
      <c r="BU357" s="392"/>
      <c r="BV357" s="461"/>
      <c r="BW357" s="392"/>
      <c r="BX357" s="392"/>
      <c r="BY357" s="392"/>
      <c r="BZ357" s="461"/>
      <c r="CA357" s="392"/>
      <c r="CB357" s="392"/>
      <c r="CC357" s="392"/>
      <c r="CD357" s="401"/>
      <c r="CE357" s="409"/>
      <c r="CF357" s="133">
        <f t="shared" si="644"/>
        <v>0</v>
      </c>
      <c r="CG357" s="134">
        <f t="shared" si="645"/>
        <v>0</v>
      </c>
      <c r="CH357" s="134">
        <f t="shared" si="646"/>
        <v>0</v>
      </c>
      <c r="CI357" s="134">
        <f t="shared" si="647"/>
        <v>0</v>
      </c>
      <c r="CJ357" s="134">
        <f t="shared" si="648"/>
        <v>0</v>
      </c>
      <c r="CK357" s="134">
        <f t="shared" si="649"/>
        <v>0</v>
      </c>
      <c r="CL357" s="134">
        <f t="shared" si="650"/>
        <v>0</v>
      </c>
      <c r="CM357" s="134">
        <f t="shared" si="651"/>
        <v>0</v>
      </c>
      <c r="CN357" s="134">
        <f t="shared" si="652"/>
        <v>0</v>
      </c>
      <c r="CO357" s="134">
        <f t="shared" si="653"/>
        <v>0</v>
      </c>
      <c r="CP357" s="134">
        <f t="shared" si="654"/>
        <v>0</v>
      </c>
      <c r="CQ357" s="134">
        <f t="shared" si="655"/>
        <v>0</v>
      </c>
      <c r="CR357" s="134">
        <f t="shared" si="656"/>
        <v>0</v>
      </c>
      <c r="CS357" s="134">
        <f t="shared" si="657"/>
        <v>0</v>
      </c>
      <c r="CT357" s="115">
        <f t="shared" si="658"/>
        <v>0</v>
      </c>
      <c r="CU357" s="116">
        <f t="shared" si="659"/>
        <v>0</v>
      </c>
      <c r="CV357" s="116">
        <f t="shared" si="660"/>
        <v>0</v>
      </c>
      <c r="CW357" s="116">
        <f t="shared" si="661"/>
        <v>0</v>
      </c>
      <c r="CX357" s="116">
        <f t="shared" si="662"/>
        <v>0</v>
      </c>
      <c r="CY357" s="116">
        <f t="shared" si="663"/>
        <v>0</v>
      </c>
      <c r="CZ357" s="116">
        <f t="shared" si="664"/>
        <v>0</v>
      </c>
      <c r="DA357" s="116">
        <f t="shared" si="665"/>
        <v>0</v>
      </c>
      <c r="DB357" s="116">
        <f t="shared" si="666"/>
        <v>0</v>
      </c>
      <c r="DC357" s="116">
        <f t="shared" si="667"/>
        <v>0</v>
      </c>
      <c r="DD357" s="116">
        <f t="shared" si="668"/>
        <v>0</v>
      </c>
      <c r="DE357" s="117">
        <f t="shared" si="669"/>
        <v>0</v>
      </c>
      <c r="DF357" s="118">
        <f t="shared" si="672"/>
        <v>26</v>
      </c>
      <c r="DG357" s="106">
        <f t="shared" si="673"/>
        <v>33.83</v>
      </c>
      <c r="DH357" s="116">
        <f t="shared" si="674"/>
        <v>10</v>
      </c>
      <c r="DI357" s="106">
        <f t="shared" si="675"/>
        <v>41.599999999999994</v>
      </c>
      <c r="DJ357" s="201" t="str">
        <f>IF($D355="","",$D355)</f>
        <v>10</v>
      </c>
      <c r="DK357" s="466"/>
    </row>
    <row r="358" spans="1:115" ht="14.5" customHeight="1" x14ac:dyDescent="0.2">
      <c r="A358" s="487">
        <f>$A355+1</f>
        <v>119</v>
      </c>
      <c r="B358" s="506" t="str">
        <f>IF(OR(C358="W",C359="W",C360="W",C358="1/2W",C359="1/2W",C360="1/2W",C358="1/2L",C359="1/2L",C360="1/2L"),"OK",IF(OR(C358="L",C359="L",C360="L"),"LOSS",IF(OR(C358="X",C359="X",C360="X"),"Anulado"," ")))</f>
        <v>LOSS</v>
      </c>
      <c r="C358" s="147" t="s">
        <v>55</v>
      </c>
      <c r="D358" s="494" t="str">
        <f>IF(G358="","",$D355)</f>
        <v>10</v>
      </c>
      <c r="E358" s="511" t="str">
        <f>IF(G358=""," ","– "&amp;COUNTIF(D$4:D360,$D358))</f>
        <v>– 6</v>
      </c>
      <c r="F358" s="510" t="str">
        <f ca="1">IF(G358="","",IF(OR(AND($C358&lt;&gt;" ",$C359=" "),AND($C359&lt;&gt;" ",$C358=" "),AND(L360&gt;0,OR(AND($C360&lt;&gt;" ",OR($C358=" ",$C359=" ")),AND($C360=" ",OR($C358&lt;&gt;" ",$C359&lt;&gt;" "))))),IF(SUM(F$4:F357)=0,1,LARGE(F$4:F357,1)+1),IF(MONTH(G358)=MONTH(TODAY()),IF(AND(DAY(G358)&lt;DAY(TODAY()),$B358=" "),IF(SUM(F$4:F357)=0,1,LARGE(F$4:F357,1)+1),IF($B358=" ",IF(AND(DAY(G358)=DAY(TODAY()),HOUR(G358)&lt;=HOUR(NOW())+1),IF(AND(HOUR(G358)+2&lt;=HOUR(NOW()),DAY(G358)&lt;=DAY(TODAY()),MINUTE(G358)&lt;=MINUTE(NOW())),IF(SUM(F$4:F357)=0,1,LARGE(F$4:F357,1)+1),IF(OR(MINUTE(G358)&lt;=MINUTE(NOW()),HOUR(G358)&lt;=HOUR(NOW())),"!!!","")),""),"")),"")))</f>
        <v/>
      </c>
      <c r="G358" s="508">
        <v>44996.0625</v>
      </c>
      <c r="H358" s="502" t="s">
        <v>161</v>
      </c>
      <c r="I358" s="180" t="s">
        <v>63</v>
      </c>
      <c r="J358" s="149"/>
      <c r="K358" s="150" t="s">
        <v>37</v>
      </c>
      <c r="L358" s="151">
        <v>2.1</v>
      </c>
      <c r="M358" s="152">
        <v>13.03</v>
      </c>
      <c r="N358" s="503">
        <v>0</v>
      </c>
      <c r="O358" s="153">
        <f>IF(OR(AE358="",AE359=""),"",ROUND(IF(L360&gt;0,IF(M358&gt;0,M358,IF(M359&gt;0,ROUND((M359*AE358)/AE359,IF(N358=0,2,IF(N358=0.1,1,0))),ROUND((M360*AE358)/AE360,IF(N358=0,2,IF(N358=0.1,1,0))))),IF(M358&gt;0,M358,ROUND((M359*AE358)/AE359,IF(N358=0,2,IF(N358=0.1,1,0))))),2))</f>
        <v>13.03</v>
      </c>
      <c r="P358" s="154">
        <f>IF(OR(L358="",O358=""),"",IF($C358="1/2W",O358/2+O358/2*L358,IF($C358="1/2L",O358/2,IF(I358="Lay",(O358*(L358/(L358-1))-O358)*(1-_xlfn.XLOOKUP(K358,'Fevereiro 2023 - Valor Real'!A3:A15,'Fevereiro 2023 - Valor Real'!C3:C15,0))+O358,(O358*L358-O358)*(1-_xlfn.XLOOKUP(K358,'Fevereiro 2023 - Valor Real'!A3:A15,'Fevereiro 2023 - Valor Real'!C3:C15,0))+O358))))</f>
        <v>27.363</v>
      </c>
      <c r="Q358" s="155">
        <f>IF(K358="","",IF(_xlfn.XLOOKUP(K358,K$9:K350,$DJ$9:DJ350,0,,-1)=DJ358,_xlfn.XLOOKUP(K358,K$9:K350,Q$9:Q350,1,,-1)+1,1))</f>
        <v>3</v>
      </c>
      <c r="R358" s="156">
        <f>IF(K358="","",_xlfn.XLOOKUP(K358,K$9:K350,R$9:R350,0,,-1)+IF($C358=" ",1,0))</f>
        <v>0</v>
      </c>
      <c r="S358" s="501">
        <f>IF($B358="Anulado",0,ROUND(IF(OR($B358="LOSS",$B358="OK"),IF(OR($C358="W",$C358="1/2W",$C358="1/2L"),P358-O358,IF($C358="L",-O358,0))+IF(OR($C359="W",$C359="1/2W",$C359="1/2L"),P359-O359,IF($C359="L",-O359,0))+IF(OR($C360="W",$C360="1/2W",$C360="1/2L"),P360-O360,IF($C360="L",-O360,0)),IF(AND(OR($C358="W",$C358="1/2W",$C358="1/2L"),C359="W"),P358+P359-SUM(O358:O360)+_xlfn.XLOOKUP("X",C358:C360,O358:O360,0),IF(AND(C358=TRUE,C360="W"),P358+P360-SUM(O358:O360),IF(AND(C359="W",C360="W"),P359+P360-SUM(O358:O360)+_xlfn.XLOOKUP("X",C358:C360,O358:O360,0),IF(L360&gt;0,IF(OR($C358="W",$C358="1/2W",$C358="1/2L"),P358-SUM(O358:O360)+_xlfn.XLOOKUP("X",C358:C360,O358:O360,0),IF(OR($C358="W",$C358="1/2W",$C358="1/2L"),P359-SUM(O358:O360)+_xlfn.XLOOKUP("X",C358:C360,O358:O360,0),IF(OR($C358="W",$C358="1/2W",$C358="1/2L"),P360-SUM(O358:O360)+_xlfn.XLOOKUP("X",C358:C360,O358:O360,0),IF(SUM(P358:P360)/3-SUM(O358:O360)+_xlfn.XLOOKUP("X",C358:C360,O358:O360,0)&gt;0,SUM(P358:P360)/3-SUM(O358:O360)+_xlfn.XLOOKUP("X",C358:C360,O358:O360,0),LARGE(P358:P360,1)-SUM(O358:O360))))),IF(OR($C358="W",$C358="1/2W",$C358="1/2L"),P358-SUM(O358:O359)+_xlfn.XLOOKUP("X",C358:C360,O358:O360,0),IF(OR($C358="W",$C358="1/2W",$C358="1/2L"),P359-SUM(O358:O359)+_xlfn.XLOOKUP("X",C358:C360,O358:O360,0),SUM(P358:P359)/2-SUM(O358:O359)+_xlfn.XLOOKUP("X",C358:C360,O358:O360,0)))))))),2))</f>
        <v>-22.27</v>
      </c>
      <c r="T358" s="486">
        <f>IF(S358=0,0,S358/SUM(O358:O360))</f>
        <v>-1</v>
      </c>
      <c r="U358" s="496">
        <f>IF($D358=$D355,IF(OR($B358="LOSS",$B358="OK",$B358="Anulada"),S358,0)+U355,IF(OR($B358="LOSS",$B358="OK",$B358="Anulada"),S358,0))</f>
        <v>11.41</v>
      </c>
      <c r="V358" s="496">
        <f>IF($D358="",0,IF($D358=$D355,IF($B358=" ",IF(I360="",IF(OR(AND(I358="DNB1",I359="DNB2"),AND(OR(I358="DNB1",I358="DNB2"),J359=0),AND(OR(I359="DNB1",I359="DNB2"),J358=0),AND(I358="DNB2",I359="DNB1"),AND(IF(J358=0,(J358+1)/ROUND(J358+1,0),J358/ROUND(J358,0))=1,IF(J359=0,(J359+1)/ROUND(IF(J359="",0,J359)+1,0),IF(J359="",0,J359)/ROUND(IF(J359="",1,J359),0))=1,OR(J358&lt;&gt;""),J359&lt;&gt;"")),0,IF(S358&lt;0,IF(I360="",SMALL(P358:P359,1)-SUM(O358:O359),0),SMALL(P358:P359,1)-SUM(O358:O359))),IF(S358&lt;0,IF(I360="",SMALL(P358:P360,1)-SUM(O358:O360),0),LARGE(P358:P360,1)-SUM(O358:O360))),S358)+V355,IF(I360="",IF(OR(AND(I358="DNB1",I359="DNB2"),AND(OR(I358="DNB1",I358="DNB2"),J359=0),AND(OR(I359="DNB1",I359="DNB2"),J358=0),AND(I358="DNB2",I359="DNB1"),AND(IF(J358=0,(J358+1)/ROUND(J358+1,0),J358/ROUND(J358,0))=1,IF(J359=0,(IF(J359="",0,J359)+1)/ROUND(IF(J359="",0,J359)+1,0),IF(J359="",0,J359)/ROUND(IF(J359="",0,J359)+1,0))=1,OR(J358&lt;&gt;""),J359&lt;&gt;"")),0,IF(S358&lt;0,IF(I360="",SMALL(P358:P359,1)-SUM(O358:O359),0),SMALL(P358:P360,1)-SUM(O358:O360))),IF(S358&lt;0,IF(I360="",SMALL(P358:P360,1)-SUM(O358:O360),0),LARGE(P358:P360,1)-SUM(O358:O360)))))</f>
        <v>26.430000000000003</v>
      </c>
      <c r="W358" s="496">
        <f>IF($D358=$D355,IF(S358&lt;0,IF(I360="",S358,0),S358)+W355,S358)</f>
        <v>11.41</v>
      </c>
      <c r="X358" s="505" t="str">
        <f>IF(OR(SUM(R358:R360)=0,V358=W358),ROUND(IF(W358=0,0,W358/Y358)*100,2)&amp;"%",ROUND(IF(V358=0,0,V358/Y358)*100,2)&amp;"% a "&amp;ROUND(IF(W358=0,0,W358/Y358)*100,2)&amp;"%")</f>
        <v>1,52%</v>
      </c>
      <c r="Y358" s="497">
        <f>IF($D358=$D355,Y355+SUM(O358:O360),SUM(O358:O360))</f>
        <v>751.8</v>
      </c>
      <c r="Z358" s="496">
        <f>IF($B358=" ",SUM(O358:O360),0)+Z355</f>
        <v>0</v>
      </c>
      <c r="AA358" s="496">
        <f>IF(G358="","",IF($B358="Anulado",LARGE(P358:P360,1)-SUM(O358:O360)+AA355,AA355))</f>
        <v>8.7641999999999936</v>
      </c>
      <c r="AB358" s="496">
        <f>IF($D358="","",AB355+S358)</f>
        <v>504.66000000000008</v>
      </c>
      <c r="AC358" s="499">
        <f ca="1">IF($D358="","",IF($B358=" ",IF(DAY(G358)=DAY(TODAY()),1+AC355,0+AC355),0+AC355))</f>
        <v>0</v>
      </c>
      <c r="AD358" s="157">
        <f>(1-_xlfn.XLOOKUP(K356,'Fevereiro 2023 - Valor Real'!A3:A15,'Fevereiro 2023 - Valor Real'!C3:C15,0))+1</f>
        <v>1.9350000000000001</v>
      </c>
      <c r="AE358" s="158">
        <f>IF(L358="","",IF(L360&gt;0,(SUM(((L358-1)*(1-_xlfn.XLOOKUP(K358,'Fevereiro 2023 - Valor Real'!A3:A15,'Fevereiro 2023 - Valor Real'!C3:C15,0))+1),((L359-1)*(1-_xlfn.XLOOKUP(K359,'Fevereiro 2023 - Valor Real'!A3:A15,'Fevereiro 2023 - Valor Real'!C3:C15,0))+1),((L360-1)*(1-_xlfn.XLOOKUP(K360,'Fevereiro 2023 - Valor Real'!A3:A15,'Fevereiro 2023 - Valor Real'!C3:C15,0))+1))/((L358-1)*(1-_xlfn.XLOOKUP(K358,'Fevereiro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Real'!C3:C15,0))+1))/((L358-1)*(1-_xlfn.XLOOKUP(K358,'Fevereiro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Real'!C3:C15,0))+1))/((L359-1)*(1-_xlfn.XLOOKUP(K359,'Fevereiro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Real'!C3:C15,0))+1))/((L360-1)*(1-_xlfn.XLOOKUP(K360,'Fevereiro 2023 - Valor Real'!A3:A15,'Fevereiro 2023 - Valor Real'!C3:C15,0))+1)),IF(I358="Lay",IF(I359="Lay",((L359/(L359-1)-1)*(1-_xlfn.XLOOKUP(K359,'Fevereiro 2023 - Valor Real'!A3:A15,'Fevereiro 2023 - Valor Real'!C3:C15,0))+1)/(((L359/(L359-1)-1)*(1-_xlfn.XLOOKUP(K359,'Fevereiro 2023 - Valor Real'!A3:A15,'Fevereiro 2023 - Valor Real'!C3:C15,0))+1)+((L358/(L358-1)-1)*(1-_xlfn.XLOOKUP(K358,'Fevereiro 2023 - Valor Real'!A3:A15,'Fevereiro 2023 - Valor Real'!C3:C15,0))+1)),((L359-1)*(1-_xlfn.XLOOKUP(K359,'Fevereiro 2023 - Valor Real'!A3:A15,'Fevereiro 2023 - Valor Real'!C3:C15,0))+1)/(((L359-1)*(1-_xlfn.XLOOKUP(K359,'Fevereiro 2023 - Valor Real'!A3:A15,'Fevereiro 2023 - Valor Real'!C3:C15,0))+1)+((L358/(L358-1)-1)*(1-_xlfn.XLOOKUP(K358,'Fevereiro 2023 - Valor Real'!A3:A15,'Fevereiro 2023 - Valor Real'!C3:C15,0))+1))),IF(I359="Lay",(((L359/(L359-1)-1)*(1-_xlfn.XLOOKUP(K359,'Fevereiro 2023 - Valor Real'!A3:A15,'Fevereiro 2023 - Valor Real'!C3:C15,0))+1))/(((L358-1)*(1-_xlfn.XLOOKUP(K358,'Fevereiro 2023 - Valor Real'!A3:A15,'Fevereiro 2023 - Valor Real'!C3:C15,0))+1)+((L359/(L359-1)-1)*(1-_xlfn.XLOOKUP(K359,'Fevereiro 2023 - Valor Real'!A3:A15,'Fevereiro 2023 - Valor Real'!C3:C15,0))+1)),((L359-1)*(1-_xlfn.XLOOKUP(K359,'Fevereiro 2023 - Valor Real'!A3:A15,'Fevereiro 2023 - Valor Real'!C3:C15,0))+1)/(((L359-1)*(1-_xlfn.XLOOKUP(K359,'Fevereiro 2023 - Valor Real'!A3:A15,'Fevereiro 2023 - Valor Real'!C3:C15,0))+1)+((L358-1)*(1-_xlfn.XLOOKUP(K358,'Fevereiro 2023 - Valor Real'!A3:A15,'Fevereiro 2023 - Valor Real'!C3:C15,0))+1))))))</f>
        <v>0.58498023715415015</v>
      </c>
      <c r="AF358" s="66">
        <f t="shared" si="717"/>
        <v>0</v>
      </c>
      <c r="AG358" s="67">
        <f t="shared" si="717"/>
        <v>-13.03</v>
      </c>
      <c r="AH358" s="67">
        <f t="shared" si="717"/>
        <v>0</v>
      </c>
      <c r="AI358" s="67">
        <f t="shared" si="717"/>
        <v>0</v>
      </c>
      <c r="AJ358" s="67">
        <f t="shared" si="717"/>
        <v>0</v>
      </c>
      <c r="AK358" s="67">
        <f t="shared" si="717"/>
        <v>0</v>
      </c>
      <c r="AL358" s="67">
        <f t="shared" si="717"/>
        <v>0</v>
      </c>
      <c r="AM358" s="67">
        <f t="shared" si="717"/>
        <v>0</v>
      </c>
      <c r="AN358" s="67">
        <f t="shared" si="717"/>
        <v>0</v>
      </c>
      <c r="AO358" s="67">
        <f t="shared" si="717"/>
        <v>0</v>
      </c>
      <c r="AP358" s="67">
        <f t="shared" si="717"/>
        <v>0</v>
      </c>
      <c r="AQ358" s="67">
        <f t="shared" si="717"/>
        <v>0</v>
      </c>
      <c r="AR358" s="68">
        <f t="shared" si="717"/>
        <v>0</v>
      </c>
      <c r="AS358" s="66">
        <f t="shared" ref="AS358:BE358" si="724">IF(AND($B358=" ",$K358=AS$3),$O358,0)</f>
        <v>0</v>
      </c>
      <c r="AT358" s="67">
        <f t="shared" si="724"/>
        <v>0</v>
      </c>
      <c r="AU358" s="67">
        <f t="shared" si="724"/>
        <v>0</v>
      </c>
      <c r="AV358" s="67">
        <f t="shared" si="724"/>
        <v>0</v>
      </c>
      <c r="AW358" s="67">
        <f t="shared" si="724"/>
        <v>0</v>
      </c>
      <c r="AX358" s="67">
        <f t="shared" si="724"/>
        <v>0</v>
      </c>
      <c r="AY358" s="69">
        <f t="shared" si="724"/>
        <v>0</v>
      </c>
      <c r="AZ358" s="70">
        <f t="shared" si="724"/>
        <v>0</v>
      </c>
      <c r="BA358" s="70">
        <f t="shared" si="724"/>
        <v>0</v>
      </c>
      <c r="BB358" s="70">
        <f t="shared" si="724"/>
        <v>0</v>
      </c>
      <c r="BC358" s="71">
        <f t="shared" si="724"/>
        <v>0</v>
      </c>
      <c r="BD358" s="67">
        <f t="shared" si="724"/>
        <v>0</v>
      </c>
      <c r="BE358" s="68">
        <f t="shared" si="724"/>
        <v>0</v>
      </c>
      <c r="BF358" s="66">
        <f t="shared" si="719"/>
        <v>0</v>
      </c>
      <c r="BG358" s="67">
        <f t="shared" si="719"/>
        <v>13.03</v>
      </c>
      <c r="BH358" s="67">
        <f t="shared" si="719"/>
        <v>0</v>
      </c>
      <c r="BI358" s="67">
        <f t="shared" si="719"/>
        <v>0</v>
      </c>
      <c r="BJ358" s="67">
        <f t="shared" si="719"/>
        <v>0</v>
      </c>
      <c r="BK358" s="67">
        <f t="shared" si="719"/>
        <v>0</v>
      </c>
      <c r="BL358" s="67">
        <f t="shared" si="719"/>
        <v>0</v>
      </c>
      <c r="BM358" s="69">
        <f t="shared" si="719"/>
        <v>0</v>
      </c>
      <c r="BN358" s="70">
        <f t="shared" si="719"/>
        <v>0</v>
      </c>
      <c r="BO358" s="70">
        <f t="shared" si="719"/>
        <v>0</v>
      </c>
      <c r="BP358" s="70">
        <f t="shared" si="719"/>
        <v>0</v>
      </c>
      <c r="BQ358" s="71">
        <f t="shared" si="719"/>
        <v>0</v>
      </c>
      <c r="BR358" s="68">
        <f t="shared" si="719"/>
        <v>0</v>
      </c>
      <c r="BS358" s="490">
        <f>IF($B358="LOSS",IF(AND($K358=BS$3,$C358="L"),-$O358,0)+IF(AND($K359=BS$3,$C359="L"),-$O359,0)+IF(AND($K360=BS$3,$C360="L"),-$O360,0),IF(OR(AND($K358=BS$3,OR($C358="W",$C358="1/2W")),AND($K359=BS$3,OR($C359="W",$C359="1/2W")),AND($K360=BS$3,OR($C360="W",$C360="1/2W"))),$S358,0))</f>
        <v>0</v>
      </c>
      <c r="BT358" s="498">
        <f>IF($B358="LOSS",IF(AND($K358=BT$3,$C358="L"),-$O358,0)+IF(AND($K359=BT$3,$C359="L"),-$O359,0)+IF(AND($K359=BT$3,$C360="L"),-$O360,0),IF(OR(AND($K359=BT$3,OR($C358="W",$C358="1/2W")),AND($K359=BT$3,OR($C359="W",$C359="1/2W")),AND($K359=BT$3,OR($C360="W",$C360="1/2W"))),$S358,0))</f>
        <v>-13.03</v>
      </c>
      <c r="BU358" s="488">
        <f>IF($B358="LOSS",IF(AND($K358=BU$3,$C358="L"),-$O358,0)+IF(AND($K359=BU$3,$C359="L"),-$O359,0)+IF(AND($K359=BU$3,$C360="L"),-$O360,0),IF(OR(AND($K359=BU$3,OR($C358="W",$C358="1/2W")),AND($K359=BU$3,OR($C359="W",$C359="1/2W")),AND($K359=BU$3,OR($C360="W",$C360="1/2W"))),$S358,0))</f>
        <v>0</v>
      </c>
      <c r="BV358" s="488">
        <f t="shared" ref="BV358:CE358" si="725">IF($B358="LOSS",IF(AND($K358=BV$3,$C358="L"),-$O358,0)+IF(AND($K359=BV$3,$C359="L"),-$O359,0)+IF(AND($K360=BV$3,$C360="L"),-$O360,0),IF(OR(AND($K358=BV$3,OR($C358="W",$C358="1/2W")),AND($K359=BV$3,OR($C359="W",$C359="1/2W")),AND($K360=BV$3,OR($C360="W",$C360="1/2W"))),$S358,0))</f>
        <v>0</v>
      </c>
      <c r="BW358" s="488">
        <f t="shared" si="725"/>
        <v>0</v>
      </c>
      <c r="BX358" s="488">
        <f t="shared" si="725"/>
        <v>0</v>
      </c>
      <c r="BY358" s="488">
        <f t="shared" si="725"/>
        <v>0</v>
      </c>
      <c r="BZ358" s="488">
        <f t="shared" si="725"/>
        <v>-9.24</v>
      </c>
      <c r="CA358" s="488">
        <f t="shared" si="725"/>
        <v>0</v>
      </c>
      <c r="CB358" s="488">
        <f t="shared" si="725"/>
        <v>0</v>
      </c>
      <c r="CC358" s="488">
        <f t="shared" si="725"/>
        <v>0</v>
      </c>
      <c r="CD358" s="500">
        <f t="shared" si="725"/>
        <v>0</v>
      </c>
      <c r="CE358" s="504">
        <f t="shared" si="725"/>
        <v>0</v>
      </c>
      <c r="CF358" s="160">
        <f t="shared" si="644"/>
        <v>0</v>
      </c>
      <c r="CG358" s="161">
        <f t="shared" si="645"/>
        <v>0</v>
      </c>
      <c r="CH358" s="161">
        <f t="shared" si="646"/>
        <v>0</v>
      </c>
      <c r="CI358" s="161">
        <f t="shared" si="647"/>
        <v>1</v>
      </c>
      <c r="CJ358" s="161">
        <f t="shared" si="648"/>
        <v>0</v>
      </c>
      <c r="CK358" s="161">
        <f t="shared" si="649"/>
        <v>0</v>
      </c>
      <c r="CL358" s="161">
        <f t="shared" si="650"/>
        <v>0</v>
      </c>
      <c r="CM358" s="161">
        <f t="shared" si="651"/>
        <v>0</v>
      </c>
      <c r="CN358" s="161">
        <f t="shared" si="652"/>
        <v>0</v>
      </c>
      <c r="CO358" s="161">
        <f t="shared" si="653"/>
        <v>0</v>
      </c>
      <c r="CP358" s="161">
        <f t="shared" si="654"/>
        <v>0</v>
      </c>
      <c r="CQ358" s="161">
        <f t="shared" si="655"/>
        <v>0</v>
      </c>
      <c r="CR358" s="161">
        <f t="shared" si="656"/>
        <v>0</v>
      </c>
      <c r="CS358" s="161">
        <f t="shared" si="657"/>
        <v>0</v>
      </c>
      <c r="CT358" s="75">
        <f t="shared" si="658"/>
        <v>0</v>
      </c>
      <c r="CU358" s="76">
        <f t="shared" si="659"/>
        <v>0</v>
      </c>
      <c r="CV358" s="76">
        <f t="shared" si="660"/>
        <v>0</v>
      </c>
      <c r="CW358" s="76">
        <f t="shared" si="661"/>
        <v>0</v>
      </c>
      <c r="CX358" s="76">
        <f t="shared" si="662"/>
        <v>0</v>
      </c>
      <c r="CY358" s="76">
        <f t="shared" si="663"/>
        <v>0</v>
      </c>
      <c r="CZ358" s="76">
        <f t="shared" si="664"/>
        <v>0</v>
      </c>
      <c r="DA358" s="76">
        <f t="shared" si="665"/>
        <v>0</v>
      </c>
      <c r="DB358" s="76">
        <f t="shared" si="666"/>
        <v>0</v>
      </c>
      <c r="DC358" s="76">
        <f t="shared" si="667"/>
        <v>0</v>
      </c>
      <c r="DD358" s="76">
        <f t="shared" si="668"/>
        <v>0</v>
      </c>
      <c r="DE358" s="77">
        <f t="shared" si="669"/>
        <v>0</v>
      </c>
      <c r="DF358" s="73">
        <f t="shared" si="672"/>
        <v>26</v>
      </c>
      <c r="DG358" s="67">
        <f t="shared" si="673"/>
        <v>33.83</v>
      </c>
      <c r="DH358" s="76">
        <f t="shared" si="674"/>
        <v>10</v>
      </c>
      <c r="DI358" s="67">
        <f t="shared" si="675"/>
        <v>41.599999999999994</v>
      </c>
      <c r="DJ358" s="202" t="str">
        <f>IF($D358="","",$D358)</f>
        <v>10</v>
      </c>
      <c r="DK358" s="492">
        <f>IF(AND($B358=" ",$D358&lt;&gt;""),1,0)</f>
        <v>0</v>
      </c>
    </row>
    <row r="359" spans="1:115" ht="14.5" customHeight="1" x14ac:dyDescent="0.2">
      <c r="A359" s="389"/>
      <c r="B359" s="456"/>
      <c r="C359" s="53" t="s">
        <v>55</v>
      </c>
      <c r="D359" s="374"/>
      <c r="E359" s="386"/>
      <c r="F359" s="377"/>
      <c r="G359" s="508"/>
      <c r="H359" s="476"/>
      <c r="I359" s="182" t="s">
        <v>76</v>
      </c>
      <c r="J359" s="56">
        <f>IF(OR(I358="TO",I358="TU",I358="TO1",I358="TU1",I358="TO2",I358="TU2"),J358,IF(OR(I358="AH1",I358="AH2"),IF(OR(I359="AH1",I359="AH2"),-J358,IF(OR(I359="EH1",I359="EH2"),-J358+0.5,"")),IF(OR(I358="EH1",I358="EH2"),IF(OR(I359="AH1",I359="AH2"),-J358+0.5,IF(OR(I359="EH1",I359="EH2"),-J358+1,"")),IF(AND(OR(I358="DNB1",I358="DNB2"),OR(I359="AH1",I359="AH2")),0,IF(AND(I358="Not ScoreBoth",OR(I359="TO1",I359="TO2")),0.5,"")))))</f>
        <v>0</v>
      </c>
      <c r="K359" s="57" t="s">
        <v>43</v>
      </c>
      <c r="L359" s="164">
        <v>2.96</v>
      </c>
      <c r="M359" s="165"/>
      <c r="N359" s="406"/>
      <c r="O359" s="60">
        <f>IF(OR(AE358="",AE359=""),"",ROUND(IF(L360&gt;0,IF(M359&gt;0,M359,IF(M358&gt;0,IF(N358=TRUE,ROUND((M358*AE359)/AE358,0),(M358*AE359)/AE358),IF(M359&gt;0,ROUND(M359,IF(N358=0,2,IF(N358=0.1,1,0))),IF(M360&gt;0,ROUND(O360*AE359/AE360,IF(N358=0,2,IF(N358=0.1,1,0))),0)))),IF(M359&gt;0,M359,ROUND((M358*AE359)/AE358,IF(N358=0,2,IF(N358=0.1,1,0))))),2))</f>
        <v>9.24</v>
      </c>
      <c r="P359" s="61">
        <f>IF(OR(L359="",O359=""),"",IF($C359="1/2W",O359/2+O359/2*L359,IF($C359="1/2L",O359/2,IF(I359="Lay",((O359*(L359/(L359-1)))-O359)*(1-_xlfn.XLOOKUP(K359,'Fevereiro 2023 - Valor Real'!A3:A15,'Fevereiro 2023 - Valor Real'!C3:C15,0))+O359,(O359*L359-O359)*(1-_xlfn.XLOOKUP(K359,'Fevereiro 2023 - Valor Real'!A3:A15,'Fevereiro 2023 - Valor Real'!C3:C15,0))+O359))))</f>
        <v>27.3504</v>
      </c>
      <c r="Q359" s="166">
        <f>IF(K359="","",IF(_xlfn.XLOOKUP(K359,K$10:K350,$DJ$10:DJ350,0,,-1)=DJ359,_xlfn.XLOOKUP(K359,K$10:K350,Q$10:Q350,1,,-1)+1,1))</f>
        <v>2</v>
      </c>
      <c r="R359" s="167">
        <f>IF(K359="","",_xlfn.XLOOKUP(K359,K$10:K350,R$10:R350,0,,-1)+IF($C359=" ",1,0))</f>
        <v>0</v>
      </c>
      <c r="S359" s="403"/>
      <c r="T359" s="380"/>
      <c r="U359" s="380"/>
      <c r="V359" s="481"/>
      <c r="W359" s="380"/>
      <c r="X359" s="452"/>
      <c r="Y359" s="383"/>
      <c r="Z359" s="384"/>
      <c r="AA359" s="384"/>
      <c r="AB359" s="384"/>
      <c r="AC359" s="384"/>
      <c r="AD359" s="64"/>
      <c r="AE359" s="65">
        <f>IF(L359="","",IF(L360&gt;0,(SUM(((L358-1)*(1-_xlfn.XLOOKUP(K358,'Fevereiro 2023 - Valor Real'!A3:A15,'Fevereiro 2023 - Valor Real'!C3:C15,0))+1),((L359-1)*(1-_xlfn.XLOOKUP(K359,'Fevereiro 2023 - Valor Real'!A3:A15,'Fevereiro 2023 - Valor Real'!C3:C15,0))+1),((L360-1)*(1-_xlfn.XLOOKUP(K360,'Fevereiro 2023 - Valor Real'!A3:A15,'Fevereiro 2023 - Valor Real'!C3:C15,0))+1))/((L359-1)*(1-_xlfn.XLOOKUP(K359,'Fevereiro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Real'!C3:C15,0))+1))/((L358-1)*(1-_xlfn.XLOOKUP(K358,'Fevereiro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Real'!C3:C15,0))+1))/((L359-1)*(1-_xlfn.XLOOKUP(K359,'Fevereiro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Real'!C3:C15,0))+1))/((L360-1)*(1-_xlfn.XLOOKUP(K360,'Fevereiro 2023 - Valor Real'!A3:A15,'Fevereiro 2023 - Valor Real'!C3:C15,0))+1)),IF(I359="Lay",IF(I358="Lay",((L358/(L358-1)-1)*(1-_xlfn.XLOOKUP(K358,'Fevereiro 2023 - Valor Real'!A3:A15,'Fevereiro 2023 - Valor Real'!C3:C15,0))+1)/(((L358/(L358-1)-1)*(1-_xlfn.XLOOKUP(K358,'Fevereiro 2023 - Valor Real'!A3:A15,'Fevereiro 2023 - Valor Real'!C3:C15,0))+1)+((L359/(L359-1)-1)*(1-_xlfn.XLOOKUP(K359,'Fevereiro 2023 - Valor Real'!A3:A15,'Fevereiro 2023 - Valor Real'!C3:C15,0))+1)),((L358-1)*(1-_xlfn.XLOOKUP(K358,'Fevereiro 2023 - Valor Real'!A3:A15,'Fevereiro 2023 - Valor Real'!C3:C15,0))+1)/(((L358-1)*(1-_xlfn.XLOOKUP(K358,'Fevereiro 2023 - Valor Real'!A3:A15,'Fevereiro 2023 - Valor Real'!C3:C15,0))+1)+((L359/(L359-1)-1)*(1-_xlfn.XLOOKUP(K359,'Fevereiro 2023 - Valor Real'!A3:A15,'Fevereiro 2023 - Valor Real'!C3:C15,0))+1))),IF(I358="Lay",((L358/(L358-1)-1)*(1-_xlfn.XLOOKUP(K358,'Fevereiro 2023 - Valor Real'!A3:A15,'Fevereiro 2023 - Valor Real'!C3:C15,0))+1)/((((L358/(L358-1)-1)*(1-_xlfn.XLOOKUP(K358,'Fevereiro 2023 - Valor Real'!A3:A15,'Fevereiro 2023 - Valor Real'!C3:C15,0))+1))+((L359-1)*(1-_xlfn.XLOOKUP(K359,'Fevereiro 2023 - Valor Real'!A3:A15,'Fevereiro 2023 - Valor Real'!C3:C15,0))+1)),((L358-1)*(1-_xlfn.XLOOKUP(K358,'Fevereiro 2023 - Valor Real'!A3:A15,'Fevereiro 2023 - Valor Real'!C3:C15,0))+1)/(((L358-1)*(1-_xlfn.XLOOKUP(K358,'Fevereiro 2023 - Valor Real'!A3:A15,'Fevereiro 2023 - Valor Real'!C3:C15,0))+1)+((L359-1)*(1-_xlfn.XLOOKUP(K359,'Fevereiro 2023 - Valor Real'!A3:A15,'Fevereiro 2023 - Valor Real'!C3:C15,0))+1))))))</f>
        <v>0.41501976284584979</v>
      </c>
      <c r="AF359" s="66">
        <f t="shared" si="717"/>
        <v>0</v>
      </c>
      <c r="AG359" s="67">
        <f t="shared" si="717"/>
        <v>0</v>
      </c>
      <c r="AH359" s="67">
        <f t="shared" si="717"/>
        <v>0</v>
      </c>
      <c r="AI359" s="67">
        <f t="shared" si="717"/>
        <v>0</v>
      </c>
      <c r="AJ359" s="67">
        <f t="shared" si="717"/>
        <v>0</v>
      </c>
      <c r="AK359" s="67">
        <f t="shared" si="717"/>
        <v>0</v>
      </c>
      <c r="AL359" s="67">
        <f t="shared" si="717"/>
        <v>0</v>
      </c>
      <c r="AM359" s="67">
        <f t="shared" si="717"/>
        <v>-9.24</v>
      </c>
      <c r="AN359" s="67">
        <f t="shared" si="717"/>
        <v>0</v>
      </c>
      <c r="AO359" s="67">
        <f t="shared" si="717"/>
        <v>0</v>
      </c>
      <c r="AP359" s="67">
        <f t="shared" si="717"/>
        <v>0</v>
      </c>
      <c r="AQ359" s="67">
        <f t="shared" si="717"/>
        <v>0</v>
      </c>
      <c r="AR359" s="68">
        <f t="shared" si="717"/>
        <v>0</v>
      </c>
      <c r="AS359" s="66">
        <f>IF(AND($B358=" ",$K359=AS$3),$O359,0)</f>
        <v>0</v>
      </c>
      <c r="AT359" s="67">
        <f>IF(AND($B358=" ",K359=AT$3),$O359,0)</f>
        <v>0</v>
      </c>
      <c r="AU359" s="67">
        <f t="shared" ref="AU359:BE359" si="726">IF(AND($B358=" ",$K359=AU$3),$O359,0)</f>
        <v>0</v>
      </c>
      <c r="AV359" s="67">
        <f t="shared" si="726"/>
        <v>0</v>
      </c>
      <c r="AW359" s="67">
        <f t="shared" si="726"/>
        <v>0</v>
      </c>
      <c r="AX359" s="67">
        <f t="shared" si="726"/>
        <v>0</v>
      </c>
      <c r="AY359" s="69">
        <f t="shared" si="726"/>
        <v>0</v>
      </c>
      <c r="AZ359" s="70">
        <f t="shared" si="726"/>
        <v>0</v>
      </c>
      <c r="BA359" s="70">
        <f t="shared" si="726"/>
        <v>0</v>
      </c>
      <c r="BB359" s="70">
        <f t="shared" si="726"/>
        <v>0</v>
      </c>
      <c r="BC359" s="71">
        <f t="shared" si="726"/>
        <v>0</v>
      </c>
      <c r="BD359" s="67">
        <f t="shared" si="726"/>
        <v>0</v>
      </c>
      <c r="BE359" s="68">
        <f t="shared" si="726"/>
        <v>0</v>
      </c>
      <c r="BF359" s="66">
        <f t="shared" si="719"/>
        <v>0</v>
      </c>
      <c r="BG359" s="168">
        <f t="shared" si="719"/>
        <v>0</v>
      </c>
      <c r="BH359" s="67">
        <f t="shared" si="719"/>
        <v>0</v>
      </c>
      <c r="BI359" s="67">
        <f t="shared" si="719"/>
        <v>0</v>
      </c>
      <c r="BJ359" s="67">
        <f t="shared" si="719"/>
        <v>0</v>
      </c>
      <c r="BK359" s="67">
        <f t="shared" si="719"/>
        <v>0</v>
      </c>
      <c r="BL359" s="67">
        <f t="shared" si="719"/>
        <v>0</v>
      </c>
      <c r="BM359" s="69">
        <f t="shared" si="719"/>
        <v>9.24</v>
      </c>
      <c r="BN359" s="70">
        <f t="shared" si="719"/>
        <v>0</v>
      </c>
      <c r="BO359" s="70">
        <f t="shared" si="719"/>
        <v>0</v>
      </c>
      <c r="BP359" s="70">
        <f t="shared" si="719"/>
        <v>0</v>
      </c>
      <c r="BQ359" s="71">
        <f t="shared" si="719"/>
        <v>0</v>
      </c>
      <c r="BR359" s="68">
        <f t="shared" si="719"/>
        <v>0</v>
      </c>
      <c r="BS359" s="491"/>
      <c r="BT359" s="489"/>
      <c r="BU359" s="392"/>
      <c r="BV359" s="489"/>
      <c r="BW359" s="392"/>
      <c r="BX359" s="392"/>
      <c r="BY359" s="392"/>
      <c r="BZ359" s="489"/>
      <c r="CA359" s="392"/>
      <c r="CB359" s="392"/>
      <c r="CC359" s="392"/>
      <c r="CD359" s="401"/>
      <c r="CE359" s="409"/>
      <c r="CF359" s="169">
        <f t="shared" si="644"/>
        <v>0</v>
      </c>
      <c r="CG359" s="170">
        <f t="shared" si="645"/>
        <v>0</v>
      </c>
      <c r="CH359" s="170">
        <f t="shared" si="646"/>
        <v>0</v>
      </c>
      <c r="CI359" s="170">
        <f t="shared" si="647"/>
        <v>0</v>
      </c>
      <c r="CJ359" s="170">
        <f t="shared" si="648"/>
        <v>0</v>
      </c>
      <c r="CK359" s="170">
        <f t="shared" si="649"/>
        <v>0</v>
      </c>
      <c r="CL359" s="170">
        <f t="shared" si="650"/>
        <v>0</v>
      </c>
      <c r="CM359" s="170">
        <f t="shared" si="651"/>
        <v>0</v>
      </c>
      <c r="CN359" s="170">
        <f t="shared" si="652"/>
        <v>0</v>
      </c>
      <c r="CO359" s="170">
        <f t="shared" si="653"/>
        <v>0</v>
      </c>
      <c r="CP359" s="170">
        <f t="shared" si="654"/>
        <v>0</v>
      </c>
      <c r="CQ359" s="170">
        <f t="shared" si="655"/>
        <v>0</v>
      </c>
      <c r="CR359" s="170">
        <f t="shared" si="656"/>
        <v>0</v>
      </c>
      <c r="CS359" s="170">
        <f t="shared" si="657"/>
        <v>0</v>
      </c>
      <c r="CT359" s="75">
        <f t="shared" si="658"/>
        <v>0</v>
      </c>
      <c r="CU359" s="76">
        <f t="shared" si="659"/>
        <v>1</v>
      </c>
      <c r="CV359" s="76">
        <f t="shared" si="660"/>
        <v>0</v>
      </c>
      <c r="CW359" s="76">
        <f t="shared" si="661"/>
        <v>0</v>
      </c>
      <c r="CX359" s="76">
        <f t="shared" si="662"/>
        <v>0</v>
      </c>
      <c r="CY359" s="76">
        <f t="shared" si="663"/>
        <v>0</v>
      </c>
      <c r="CZ359" s="76">
        <f t="shared" si="664"/>
        <v>0</v>
      </c>
      <c r="DA359" s="76">
        <f t="shared" si="665"/>
        <v>0</v>
      </c>
      <c r="DB359" s="76">
        <f t="shared" si="666"/>
        <v>0</v>
      </c>
      <c r="DC359" s="76">
        <f t="shared" si="667"/>
        <v>0</v>
      </c>
      <c r="DD359" s="76">
        <f t="shared" si="668"/>
        <v>0</v>
      </c>
      <c r="DE359" s="77">
        <f t="shared" si="669"/>
        <v>0</v>
      </c>
      <c r="DF359" s="73">
        <f t="shared" si="672"/>
        <v>26</v>
      </c>
      <c r="DG359" s="67">
        <f t="shared" si="673"/>
        <v>33.83</v>
      </c>
      <c r="DH359" s="76">
        <f t="shared" si="674"/>
        <v>10</v>
      </c>
      <c r="DI359" s="67">
        <f t="shared" si="675"/>
        <v>41.599999999999994</v>
      </c>
      <c r="DJ359" s="202" t="str">
        <f>IF($D358="","",$D358)</f>
        <v>10</v>
      </c>
      <c r="DK359" s="493"/>
    </row>
    <row r="360" spans="1:115" ht="14.5" customHeight="1" x14ac:dyDescent="0.2">
      <c r="A360" s="390"/>
      <c r="B360" s="457"/>
      <c r="C360" s="79" t="s">
        <v>53</v>
      </c>
      <c r="D360" s="375"/>
      <c r="E360" s="387"/>
      <c r="F360" s="378"/>
      <c r="G360" s="508"/>
      <c r="H360" s="477"/>
      <c r="I360" s="171"/>
      <c r="J360" s="172"/>
      <c r="K360" s="81"/>
      <c r="L360" s="173"/>
      <c r="M360" s="174"/>
      <c r="N360" s="407"/>
      <c r="O360" s="86" t="str">
        <f>IF(OR(AE358="",AE359=""),"",IF(L360&gt;0,ROUND(IF(M360&gt;0,M360,IF(M358&gt;0,ROUND((M358*AE360)/AE358,IF(N358=0,2,IF(N358=0.1,1,0))),IF(M359&gt;0,ROUND((M359*AE360)/AE359,IF(N358=0,2,IF(N358=0.1,1,0))),IF(M360&gt;0,M360,0)))),2),""))</f>
        <v/>
      </c>
      <c r="P360" s="87" t="str">
        <f>IF(I359="Lay",O359*(L359/(L359-1))-O359,IF(I358="Lay",O358*(L358/(L358-1))-O358,IF(OR(L360="",O360=""),"",IF($C360="1/2W",O360/2+O360/2*L360,IF($C360="1/2L",O360/2,(O360*L360-O360)*(1-_xlfn.XLOOKUP(K360,'Fevereiro 2023 - Valor Real'!A3:A15,'Fevereiro 2023 - Valor Real'!C3:C15,0))+O360)))))</f>
        <v/>
      </c>
      <c r="Q360" s="54" t="str">
        <f>IF(K360="","",IF(_xlfn.XLOOKUP(K360,K$11:K350,$DJ$11:DJ350,0,,-1)=DJ360,_xlfn.XLOOKUP(K360,K$11:K350,Q$11:Q350,1,,-1)+1,1))</f>
        <v/>
      </c>
      <c r="R360" s="87" t="str">
        <f>IF(K360="","",_xlfn.XLOOKUP(K360,K$11:K350,R$11:R350,0,,-1)+IF($C360=" ",1,0))</f>
        <v/>
      </c>
      <c r="S360" s="404"/>
      <c r="T360" s="378"/>
      <c r="U360" s="378"/>
      <c r="V360" s="404"/>
      <c r="W360" s="378"/>
      <c r="X360" s="453"/>
      <c r="Y360" s="383"/>
      <c r="Z360" s="384"/>
      <c r="AA360" s="384"/>
      <c r="AB360" s="384"/>
      <c r="AC360" s="384"/>
      <c r="AD360" s="90"/>
      <c r="AE360" s="91" t="str">
        <f>IF(L360="","",(SUM(((L358-1)*(1-_xlfn.XLOOKUP(K358,'Fevereiro 2023 - Valor Real'!A3:A15,'Fevereiro 2023 - Valor Real'!C3:C15,0))+1),((L359-1)*(1-_xlfn.XLOOKUP(K359,'Fevereiro 2023 - Valor Real'!A3:A15,'Fevereiro 2023 - Valor Real'!C3:C15,0))+1),((L360-1)*(1-_xlfn.XLOOKUP(K360,'Fevereiro 2023 - Valor Real'!A3:A15,'Fevereiro 2023 - Valor Real'!C3:C15,0))+1))/((L360-1)*(1-_xlfn.XLOOKUP(K360,'Fevereiro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Real'!C3:C15,0))+1))/((L358-1)*(1-_xlfn.XLOOKUP(K358,'Fevereiro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Real'!C3:C15,0))+1))/((L359-1)*(1-_xlfn.XLOOKUP(K359,'Fevereiro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Real'!C3:C15,0))+1))/((L360-1)*(1-_xlfn.XLOOKUP(K360,'Fevereiro 2023 - Valor Real'!A3:A15,'Fevereiro 2023 - Valor Real'!C3:C15,0))+1)))</f>
        <v/>
      </c>
      <c r="AF360" s="66">
        <f t="shared" si="717"/>
        <v>0</v>
      </c>
      <c r="AG360" s="67">
        <f t="shared" si="717"/>
        <v>0</v>
      </c>
      <c r="AH360" s="67">
        <f t="shared" si="717"/>
        <v>0</v>
      </c>
      <c r="AI360" s="67">
        <f t="shared" si="717"/>
        <v>0</v>
      </c>
      <c r="AJ360" s="67">
        <f t="shared" si="717"/>
        <v>0</v>
      </c>
      <c r="AK360" s="67">
        <f t="shared" si="717"/>
        <v>0</v>
      </c>
      <c r="AL360" s="67">
        <f t="shared" si="717"/>
        <v>0</v>
      </c>
      <c r="AM360" s="67">
        <f t="shared" si="717"/>
        <v>0</v>
      </c>
      <c r="AN360" s="67">
        <f t="shared" si="717"/>
        <v>0</v>
      </c>
      <c r="AO360" s="67">
        <f t="shared" si="717"/>
        <v>0</v>
      </c>
      <c r="AP360" s="67">
        <f t="shared" si="717"/>
        <v>0</v>
      </c>
      <c r="AQ360" s="67">
        <f t="shared" si="717"/>
        <v>0</v>
      </c>
      <c r="AR360" s="68">
        <f t="shared" si="717"/>
        <v>0</v>
      </c>
      <c r="AS360" s="66">
        <f>IF(AND($B358=" ",$K360=AS$3),$O360,0)</f>
        <v>0</v>
      </c>
      <c r="AT360" s="67">
        <f>IF(AND($B358=" ",K360=AT$3),$O360,0)</f>
        <v>0</v>
      </c>
      <c r="AU360" s="67">
        <f t="shared" ref="AU360:BE360" si="727">IF(AND($B358=" ",$K360=AU$3),$O360,0)</f>
        <v>0</v>
      </c>
      <c r="AV360" s="67">
        <f t="shared" si="727"/>
        <v>0</v>
      </c>
      <c r="AW360" s="67">
        <f t="shared" si="727"/>
        <v>0</v>
      </c>
      <c r="AX360" s="67">
        <f t="shared" si="727"/>
        <v>0</v>
      </c>
      <c r="AY360" s="69">
        <f t="shared" si="727"/>
        <v>0</v>
      </c>
      <c r="AZ360" s="70">
        <f t="shared" si="727"/>
        <v>0</v>
      </c>
      <c r="BA360" s="70">
        <f t="shared" si="727"/>
        <v>0</v>
      </c>
      <c r="BB360" s="70">
        <f t="shared" si="727"/>
        <v>0</v>
      </c>
      <c r="BC360" s="71">
        <f t="shared" si="727"/>
        <v>0</v>
      </c>
      <c r="BD360" s="67">
        <f t="shared" si="727"/>
        <v>0</v>
      </c>
      <c r="BE360" s="68">
        <f t="shared" si="727"/>
        <v>0</v>
      </c>
      <c r="BF360" s="66">
        <f t="shared" si="719"/>
        <v>0</v>
      </c>
      <c r="BG360" s="168">
        <f t="shared" si="719"/>
        <v>0</v>
      </c>
      <c r="BH360" s="67">
        <f t="shared" si="719"/>
        <v>0</v>
      </c>
      <c r="BI360" s="67">
        <f t="shared" si="719"/>
        <v>0</v>
      </c>
      <c r="BJ360" s="67">
        <f t="shared" si="719"/>
        <v>0</v>
      </c>
      <c r="BK360" s="67">
        <f t="shared" si="719"/>
        <v>0</v>
      </c>
      <c r="BL360" s="67">
        <f t="shared" si="719"/>
        <v>0</v>
      </c>
      <c r="BM360" s="69">
        <f t="shared" si="719"/>
        <v>0</v>
      </c>
      <c r="BN360" s="70">
        <f t="shared" si="719"/>
        <v>0</v>
      </c>
      <c r="BO360" s="70">
        <f t="shared" si="719"/>
        <v>0</v>
      </c>
      <c r="BP360" s="70">
        <f t="shared" si="719"/>
        <v>0</v>
      </c>
      <c r="BQ360" s="71">
        <f t="shared" si="719"/>
        <v>0</v>
      </c>
      <c r="BR360" s="68">
        <f t="shared" si="719"/>
        <v>0</v>
      </c>
      <c r="BS360" s="491"/>
      <c r="BT360" s="489"/>
      <c r="BU360" s="392"/>
      <c r="BV360" s="489"/>
      <c r="BW360" s="392"/>
      <c r="BX360" s="392"/>
      <c r="BY360" s="392"/>
      <c r="BZ360" s="489"/>
      <c r="CA360" s="392"/>
      <c r="CB360" s="392"/>
      <c r="CC360" s="392"/>
      <c r="CD360" s="401"/>
      <c r="CE360" s="409"/>
      <c r="CF360" s="169">
        <f t="shared" si="644"/>
        <v>0</v>
      </c>
      <c r="CG360" s="170">
        <f t="shared" si="645"/>
        <v>0</v>
      </c>
      <c r="CH360" s="170">
        <f t="shared" si="646"/>
        <v>0</v>
      </c>
      <c r="CI360" s="170">
        <f t="shared" si="647"/>
        <v>0</v>
      </c>
      <c r="CJ360" s="170">
        <f t="shared" si="648"/>
        <v>0</v>
      </c>
      <c r="CK360" s="170">
        <f t="shared" si="649"/>
        <v>0</v>
      </c>
      <c r="CL360" s="170">
        <f t="shared" si="650"/>
        <v>0</v>
      </c>
      <c r="CM360" s="170">
        <f t="shared" si="651"/>
        <v>0</v>
      </c>
      <c r="CN360" s="170">
        <f t="shared" si="652"/>
        <v>0</v>
      </c>
      <c r="CO360" s="170">
        <f t="shared" si="653"/>
        <v>0</v>
      </c>
      <c r="CP360" s="170">
        <f t="shared" si="654"/>
        <v>0</v>
      </c>
      <c r="CQ360" s="170">
        <f t="shared" si="655"/>
        <v>0</v>
      </c>
      <c r="CR360" s="170">
        <f t="shared" si="656"/>
        <v>0</v>
      </c>
      <c r="CS360" s="170">
        <f t="shared" si="657"/>
        <v>0</v>
      </c>
      <c r="CT360" s="75">
        <f t="shared" si="658"/>
        <v>0</v>
      </c>
      <c r="CU360" s="76">
        <f t="shared" si="659"/>
        <v>0</v>
      </c>
      <c r="CV360" s="76">
        <f t="shared" si="660"/>
        <v>0</v>
      </c>
      <c r="CW360" s="76">
        <f t="shared" si="661"/>
        <v>0</v>
      </c>
      <c r="CX360" s="76">
        <f t="shared" si="662"/>
        <v>0</v>
      </c>
      <c r="CY360" s="76">
        <f t="shared" si="663"/>
        <v>0</v>
      </c>
      <c r="CZ360" s="76">
        <f t="shared" si="664"/>
        <v>0</v>
      </c>
      <c r="DA360" s="76">
        <f t="shared" si="665"/>
        <v>0</v>
      </c>
      <c r="DB360" s="76">
        <f t="shared" si="666"/>
        <v>0</v>
      </c>
      <c r="DC360" s="76">
        <f t="shared" si="667"/>
        <v>0</v>
      </c>
      <c r="DD360" s="76">
        <f t="shared" si="668"/>
        <v>0</v>
      </c>
      <c r="DE360" s="77">
        <f t="shared" si="669"/>
        <v>0</v>
      </c>
      <c r="DF360" s="73">
        <f t="shared" si="672"/>
        <v>26</v>
      </c>
      <c r="DG360" s="67">
        <f t="shared" si="673"/>
        <v>33.83</v>
      </c>
      <c r="DH360" s="76">
        <f t="shared" si="674"/>
        <v>10</v>
      </c>
      <c r="DI360" s="67">
        <f t="shared" si="675"/>
        <v>41.599999999999994</v>
      </c>
      <c r="DJ360" s="202" t="str">
        <f>IF($D358="","",$D358)</f>
        <v>10</v>
      </c>
      <c r="DK360" s="493"/>
    </row>
    <row r="361" spans="1:115" ht="14.5" customHeight="1" x14ac:dyDescent="0.2">
      <c r="A361" s="459">
        <f>$A358+1</f>
        <v>120</v>
      </c>
      <c r="B361" s="507" t="str">
        <f>IF(OR(C361="W",C362="W",C363="W",C361="1/2W",C362="1/2W",C363="1/2W",C361="1/2L",C362="1/2L",C363="1/2L"),"OK",IF(OR(C361="L",C362="L",C363="L"),"LOSS",IF(OR(C361="X",C362="X",C363="X"),"Anulado"," ")))</f>
        <v>LOSS</v>
      </c>
      <c r="C361" s="93" t="s">
        <v>55</v>
      </c>
      <c r="D361" s="468" t="str">
        <f>IF(G361="","",$D358)</f>
        <v>10</v>
      </c>
      <c r="E361" s="485" t="str">
        <f>IF(G361=""," ","– "&amp;COUNTIF(D$4:D363,$D361))</f>
        <v>– 7</v>
      </c>
      <c r="F361" s="509" t="str">
        <f ca="1">IF(G361="","",IF(OR(AND($C361&lt;&gt;" ",$C362=" "),AND($C362&lt;&gt;" ",$C361=" "),AND(L363&gt;0,OR(AND($C363&lt;&gt;" ",OR($C361=" ",$C362=" ")),AND($C363=" ",OR($C361&lt;&gt;" ",$C362&lt;&gt;" "))))),IF(SUM(F$4:F360)=0,1,LARGE(F$4:F360,1)+1),IF(MONTH(G361)=MONTH(TODAY()),IF(AND(DAY(G361)&lt;DAY(TODAY()),$B361=" "),IF(SUM(F$4:F360)=0,1,LARGE(F$4:F360,1)+1),IF($B361=" ",IF(AND(DAY(G361)=DAY(TODAY()),HOUR(G361)&lt;=HOUR(NOW())+1),IF(AND(HOUR(G361)+2&lt;=HOUR(NOW()),DAY(G361)&lt;=DAY(TODAY()),MINUTE(G361)&lt;=MINUTE(NOW())),IF(SUM(F$4:F360)=0,1,LARGE(F$4:F360,1)+1),IF(OR(MINUTE(G361)&lt;=MINUTE(NOW()),HOUR(G361)&lt;=HOUR(NOW())),"!!!","")),""),"")),"")))</f>
        <v/>
      </c>
      <c r="G361" s="482">
        <f>IF(H361="","",_xlfn.XLOOKUP(H361,$H$4:H360,$G$4:G360,""))</f>
        <v>44996.0625</v>
      </c>
      <c r="H361" s="475" t="s">
        <v>161</v>
      </c>
      <c r="I361" s="175">
        <v>1</v>
      </c>
      <c r="J361" s="176"/>
      <c r="K361" s="96" t="s">
        <v>37</v>
      </c>
      <c r="L361" s="97">
        <v>2.5</v>
      </c>
      <c r="M361" s="98">
        <v>28.95</v>
      </c>
      <c r="N361" s="478">
        <v>0</v>
      </c>
      <c r="O361" s="99">
        <f>IF(OR(AE361="",AE362=""),"",ROUND(IF(L363&gt;0,IF(M361&gt;0,M361,IF(M362&gt;0,ROUND((M362*AE361)/AE362,IF(N361=0,2,IF(N361=0.1,1,0))),ROUND((M363*AE361)/AE363,IF(N361=0,2,IF(N361=0.1,1,0))))),IF(M361&gt;0,M361,ROUND((M362*AE361)/AE362,IF(N361=0,2,IF(N361=0.1,1,0))))),2))</f>
        <v>28.95</v>
      </c>
      <c r="P361" s="100">
        <f>IF(OR(L361="",O361=""),"",IF($C361="1/2W",O361/2+O361/2*L361,IF($C361="1/2L",O361/2,IF(I361="Lay",(O361*(L361/(L361-1))-O361)*(1-_xlfn.XLOOKUP(K361,'Fevereiro 2023 - Valor Real'!A3:A15,'Fevereiro 2023 - Valor Real'!C3:C15,0))+O361,(O361*L361-O361)*(1-_xlfn.XLOOKUP(K361,'Fevereiro 2023 - Valor Real'!A3:A15,'Fevereiro 2023 - Valor Real'!C3:C15,0))+O361))))</f>
        <v>72.375</v>
      </c>
      <c r="Q361" s="101">
        <f>IF(K361="","",IF(_xlfn.XLOOKUP(K361,K$4:K360,$DJ$4:DJ360,0,,-1)=DJ361,_xlfn.XLOOKUP(K361,K$4:K360,Q$4:Q360,1,,-1)+1,1))</f>
        <v>4</v>
      </c>
      <c r="R361" s="102">
        <f>IF(K361="","",_xlfn.XLOOKUP(K361,K$4:K360,R$4:R360,0,,-1)+IF($C361=" ",1,0))</f>
        <v>0</v>
      </c>
      <c r="S361" s="474">
        <f>IF($B361="Anulado",0,ROUND(IF(OR($B361="LOSS",$B361="OK"),IF(OR($C361="W",$C361="1/2W",$C361="1/2L"),P361-O361,IF($C361="L",-O361,0))+IF(OR($C362="W",$C362="1/2W",$C362="1/2L"),P362-O362,IF($C362="L",-O362,0))+IF(OR($C363="W",$C363="1/2W",$C363="1/2L"),P363-O363,IF($C363="L",-O363,0)),IF(AND(OR($C361="W",$C361="1/2W",$C361="1/2L"),C362="W"),P361+P362-SUM(O361:O363)+_xlfn.XLOOKUP("X",C361:C363,O361:O363,0),IF(AND(C361=TRUE,C363="W"),P361+P363-SUM(O361:O363),IF(AND(C362="W",C363="W"),P362+P363-SUM(O361:O363)+_xlfn.XLOOKUP("X",C361:C363,O361:O363,0),IF(L363&gt;0,IF(OR($C361="W",$C361="1/2W",$C361="1/2L"),P361-SUM(O361:O363)+_xlfn.XLOOKUP("X",C361:C363,O361:O363,0),IF(OR($C361="W",$C361="1/2W",$C361="1/2L"),P362-SUM(O361:O363)+_xlfn.XLOOKUP("X",C361:C363,O361:O363,0),IF(OR($C361="W",$C361="1/2W",$C361="1/2L"),P363-SUM(O361:O363)+_xlfn.XLOOKUP("X",C361:C363,O361:O363,0),IF(SUM(P361:P363)/3-SUM(O361:O363)+_xlfn.XLOOKUP("X",C361:C363,O361:O363,0)&gt;0,SUM(P361:P363)/3-SUM(O361:O363)+_xlfn.XLOOKUP("X",C361:C363,O361:O363,0),LARGE(P361:P363,1)-SUM(O361:O363))))),IF(OR($C361="W",$C361="1/2W",$C361="1/2L"),P361-SUM(O361:O362)+_xlfn.XLOOKUP("X",C361:C363,O361:O363,0),IF(OR($C361="W",$C361="1/2W",$C361="1/2L"),P362-SUM(O361:O362)+_xlfn.XLOOKUP("X",C361:C363,O361:O363,0),SUM(P361:P362)/2-SUM(O361:O362)+_xlfn.XLOOKUP("X",C361:C363,O361:O363,0)))))))),2))</f>
        <v>-64.959999999999994</v>
      </c>
      <c r="T361" s="458">
        <f>IF(S361=0,0,S361/SUM(O361:O363))</f>
        <v>-1</v>
      </c>
      <c r="U361" s="470">
        <f>IF($D361=$D358,IF(OR($B361="LOSS",$B361="OK",$B361="Anulada"),S361,0)+U358,IF(OR($B361="LOSS",$B361="OK",$B361="Anulada"),S361,0))</f>
        <v>-53.55</v>
      </c>
      <c r="V361" s="470">
        <f>IF($D361="",0,IF($D361=$D358,IF($B361=" ",IF(I363="",IF(OR(AND(I361="DNB1",I362="DNB2"),AND(OR(I361="DNB1",I361="DNB2"),J362=0),AND(OR(I362="DNB1",I362="DNB2"),J361=0),AND(I361="DNB2",I362="DNB1"),AND(IF(J361=0,(J361+1)/ROUND(J361+1,0),J361/ROUND(J361,0))=1,IF(J362=0,(J362+1)/ROUND(IF(J362="",0,J362)+1,0),IF(J362="",0,J362)/ROUND(IF(J362="",1,J362),0))=1,OR(J361&lt;&gt;""),J362&lt;&gt;"")),0,IF(S361&lt;0,IF(I363="",SMALL(P361:P362,1)-SUM(O361:O362),0),SMALL(P361:P362,1)-SUM(O361:O362))),IF(S361&lt;0,IF(I363="",SMALL(P361:P363,1)-SUM(O361:O363),0),LARGE(P361:P363,1)-SUM(O361:O363))),S361)+V358,IF(I363="",IF(OR(AND(I361="DNB1",I362="DNB2"),AND(OR(I361="DNB1",I361="DNB2"),J362=0),AND(OR(I362="DNB1",I362="DNB2"),J361=0),AND(I361="DNB2",I362="DNB1"),AND(IF(J361=0,(J361+1)/ROUND(J361+1,0),J361/ROUND(J361,0))=1,IF(J362=0,(IF(J362="",0,J362)+1)/ROUND(IF(J362="",0,J362)+1,0),IF(J362="",0,J362)/ROUND(IF(J362="",0,J362)+1,0))=1,OR(J361&lt;&gt;""),J362&lt;&gt;"")),0,IF(S361&lt;0,IF(I363="",SMALL(P361:P362,1)-SUM(O361:O362),0),SMALL(P361:P363,1)-SUM(O361:O363))),IF(S361&lt;0,IF(I363="",SMALL(P361:P363,1)-SUM(O361:O363),0),LARGE(P361:P363,1)-SUM(O361:O363)))))</f>
        <v>-38.529999999999987</v>
      </c>
      <c r="W361" s="470">
        <f>IF($D361=$D358,IF(S361&lt;0,IF(I363="",S361,0),S361)+W358,S361)</f>
        <v>-53.55</v>
      </c>
      <c r="X361" s="480" t="str">
        <f>IF(OR(SUM(R361:R363)=0,V361=W361),ROUND(IF(W361=0,0,W361/Y361)*100,2)&amp;"%",ROUND(IF(V361=0,0,V361/Y361)*100,2)&amp;"% a "&amp;ROUND(IF(W361=0,0,W361/Y361)*100,2)&amp;"%")</f>
        <v>-6,56%</v>
      </c>
      <c r="Y361" s="471">
        <f>IF($D361=$D358,Y358+SUM(O361:O363),SUM(O361:O363))</f>
        <v>816.76</v>
      </c>
      <c r="Z361" s="470">
        <f>IF($B361=" ",SUM(O361:O363),0)+Z358</f>
        <v>0</v>
      </c>
      <c r="AA361" s="470">
        <f>IF(G361="","",IF($B361="Anulado",LARGE(P361:P363,1)-SUM(O361:O363)+AA358,AA358))</f>
        <v>8.7641999999999936</v>
      </c>
      <c r="AB361" s="470">
        <f>IF($D361="","",AB358+S361)</f>
        <v>439.7000000000001</v>
      </c>
      <c r="AC361" s="472">
        <f ca="1">IF($D361="","",IF($B361=" ",IF(DAY(G361)=DAY(TODAY()),1+AC358,0+AC358),0+AC358))</f>
        <v>0</v>
      </c>
      <c r="AD361" s="103">
        <f>(((L362/(L362-1)-1)*(1-_xlfn.XLOOKUP(K362,'Fevereiro 2023 - Valor Real'!A3:A15,'Fevereiro 2023 - Valor Real'!C3:C15,0))+1))/(((L361-1)*(1-_xlfn.XLOOKUP(K361,'Fevereiro 2023 - Valor Real'!A3:A15,'Fevereiro 2023 - Valor Real'!C3:C15,0))+1)+((L362/(L362-1)-1)*(1-_xlfn.XLOOKUP(K362,'Fevereiro 2023 - Valor Real'!A3:A15,'Fevereiro 2023 - Valor Real'!C3:C15,0))+1))</f>
        <v>0.44321940463065057</v>
      </c>
      <c r="AE361" s="104">
        <f>IF(L361="","",IF(L363&gt;0,(SUM(((L361-1)*(1-_xlfn.XLOOKUP(K361,'Fevereiro 2023 - Valor Real'!A3:A15,'Fevereiro 2023 - Valor Real'!C3:C15,0))+1),((L362-1)*(1-_xlfn.XLOOKUP(K362,'Fevereiro 2023 - Valor Real'!A3:A15,'Fevereiro 2023 - Valor Real'!C3:C15,0))+1),((L363-1)*(1-_xlfn.XLOOKUP(K363,'Fevereiro 2023 - Valor Real'!A3:A15,'Fevereiro 2023 - Valor Real'!C3:C15,0))+1))/((L361-1)*(1-_xlfn.XLOOKUP(K361,'Fevereiro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Real'!C3:C15,0))+1))/((L361-1)*(1-_xlfn.XLOOKUP(K361,'Fevereiro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Real'!C3:C15,0))+1))/((L362-1)*(1-_xlfn.XLOOKUP(K362,'Fevereiro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Real'!C3:C15,0))+1))/((L363-1)*(1-_xlfn.XLOOKUP(K363,'Fevereiro 2023 - Valor Real'!A3:A15,'Fevereiro 2023 - Valor Real'!C3:C15,0))+1)),IF(I361="Lay",IF(I362="Lay",((L362/(L362-1)-1)*(1-_xlfn.XLOOKUP(K362,'Fevereiro 2023 - Valor Real'!A3:A15,'Fevereiro 2023 - Valor Real'!C3:C15,0))+1)/(((L362/(L362-1)-1)*(1-_xlfn.XLOOKUP(K362,'Fevereiro 2023 - Valor Real'!A3:A15,'Fevereiro 2023 - Valor Real'!C3:C15,0))+1)+((L361/(L361-1)-1)*(1-_xlfn.XLOOKUP(K361,'Fevereiro 2023 - Valor Real'!A3:A15,'Fevereiro 2023 - Valor Real'!C3:C15,0))+1)),((L362-1)*(1-_xlfn.XLOOKUP(K362,'Fevereiro 2023 - Valor Real'!A3:A15,'Fevereiro 2023 - Valor Real'!C3:C15,0))+1)/(((L362-1)*(1-_xlfn.XLOOKUP(K362,'Fevereiro 2023 - Valor Real'!A3:A15,'Fevereiro 2023 - Valor Real'!C3:C15,0))+1)+((L361/(L361-1)-1)*(1-_xlfn.XLOOKUP(K361,'Fevereiro 2023 - Valor Real'!A3:A15,'Fevereiro 2023 - Valor Real'!C3:C15,0))+1))),IF(I362="Lay",(((L362/(L362-1)-1)*(1-_xlfn.XLOOKUP(K362,'Fevereiro 2023 - Valor Real'!A3:A15,'Fevereiro 2023 - Valor Real'!C3:C15,0))+1))/(((L361-1)*(1-_xlfn.XLOOKUP(K361,'Fevereiro 2023 - Valor Real'!A3:A15,'Fevereiro 2023 - Valor Real'!C3:C15,0))+1)+((L362/(L362-1)-1)*(1-_xlfn.XLOOKUP(K362,'Fevereiro 2023 - Valor Real'!A3:A15,'Fevereiro 2023 - Valor Real'!C3:C15,0))+1)),((L362-1)*(1-_xlfn.XLOOKUP(K362,'Fevereiro 2023 - Valor Real'!A3:A15,'Fevereiro 2023 - Valor Real'!C3:C15,0))+1)/(((L362-1)*(1-_xlfn.XLOOKUP(K362,'Fevereiro 2023 - Valor Real'!A3:A15,'Fevereiro 2023 - Valor Real'!C3:C15,0))+1)+((L361-1)*(1-_xlfn.XLOOKUP(K361,'Fevereiro 2023 - Valor Real'!A3:A15,'Fevereiro 2023 - Valor Real'!C3:C15,0))+1))))))</f>
        <v>0.44567627494456757</v>
      </c>
      <c r="AF361" s="105">
        <f t="shared" si="717"/>
        <v>0</v>
      </c>
      <c r="AG361" s="106">
        <f t="shared" si="717"/>
        <v>-28.95</v>
      </c>
      <c r="AH361" s="106">
        <f t="shared" si="717"/>
        <v>0</v>
      </c>
      <c r="AI361" s="106">
        <f t="shared" si="717"/>
        <v>0</v>
      </c>
      <c r="AJ361" s="106">
        <f t="shared" si="717"/>
        <v>0</v>
      </c>
      <c r="AK361" s="106">
        <f t="shared" si="717"/>
        <v>0</v>
      </c>
      <c r="AL361" s="106">
        <f t="shared" si="717"/>
        <v>0</v>
      </c>
      <c r="AM361" s="106">
        <f t="shared" si="717"/>
        <v>0</v>
      </c>
      <c r="AN361" s="106">
        <f t="shared" si="717"/>
        <v>0</v>
      </c>
      <c r="AO361" s="106">
        <f t="shared" si="717"/>
        <v>0</v>
      </c>
      <c r="AP361" s="106">
        <f t="shared" si="717"/>
        <v>0</v>
      </c>
      <c r="AQ361" s="106">
        <f t="shared" si="717"/>
        <v>0</v>
      </c>
      <c r="AR361" s="107">
        <f t="shared" si="717"/>
        <v>0</v>
      </c>
      <c r="AS361" s="105">
        <f t="shared" ref="AS361:BE361" si="728">IF(AND($B361=" ",$K361=AS$3),$O361,0)</f>
        <v>0</v>
      </c>
      <c r="AT361" s="106">
        <f t="shared" si="728"/>
        <v>0</v>
      </c>
      <c r="AU361" s="106">
        <f t="shared" si="728"/>
        <v>0</v>
      </c>
      <c r="AV361" s="106">
        <f t="shared" si="728"/>
        <v>0</v>
      </c>
      <c r="AW361" s="106">
        <f t="shared" si="728"/>
        <v>0</v>
      </c>
      <c r="AX361" s="106">
        <f t="shared" si="728"/>
        <v>0</v>
      </c>
      <c r="AY361" s="108">
        <f t="shared" si="728"/>
        <v>0</v>
      </c>
      <c r="AZ361" s="109">
        <f t="shared" si="728"/>
        <v>0</v>
      </c>
      <c r="BA361" s="109">
        <f t="shared" si="728"/>
        <v>0</v>
      </c>
      <c r="BB361" s="109">
        <f t="shared" si="728"/>
        <v>0</v>
      </c>
      <c r="BC361" s="110">
        <f t="shared" si="728"/>
        <v>0</v>
      </c>
      <c r="BD361" s="106">
        <f t="shared" si="728"/>
        <v>0</v>
      </c>
      <c r="BE361" s="107">
        <f t="shared" si="728"/>
        <v>0</v>
      </c>
      <c r="BF361" s="111">
        <f t="shared" si="719"/>
        <v>0</v>
      </c>
      <c r="BG361" s="106">
        <f t="shared" si="719"/>
        <v>28.95</v>
      </c>
      <c r="BH361" s="106">
        <f t="shared" si="719"/>
        <v>0</v>
      </c>
      <c r="BI361" s="106">
        <f t="shared" si="719"/>
        <v>0</v>
      </c>
      <c r="BJ361" s="106">
        <f t="shared" si="719"/>
        <v>0</v>
      </c>
      <c r="BK361" s="106">
        <f t="shared" si="719"/>
        <v>0</v>
      </c>
      <c r="BL361" s="106">
        <f t="shared" si="719"/>
        <v>0</v>
      </c>
      <c r="BM361" s="108">
        <f t="shared" si="719"/>
        <v>0</v>
      </c>
      <c r="BN361" s="109">
        <f t="shared" si="719"/>
        <v>0</v>
      </c>
      <c r="BO361" s="109">
        <f t="shared" si="719"/>
        <v>0</v>
      </c>
      <c r="BP361" s="109">
        <f t="shared" si="719"/>
        <v>0</v>
      </c>
      <c r="BQ361" s="110">
        <f t="shared" si="719"/>
        <v>0</v>
      </c>
      <c r="BR361" s="107">
        <f t="shared" si="719"/>
        <v>0</v>
      </c>
      <c r="BS361" s="463">
        <f>IF($B361="LOSS",IF(AND($K361=BS$3,$C361="L"),-$O361,0)+IF(AND($K362=BS$3,$C362="L"),-$O362,0)+IF(AND($K363=BS$3,$C363="L"),-$O363,0),IF(OR(AND($K361=BS$3,OR($C361="W",$C361="1/2W")),AND($K362=BS$3,OR($C362="W",$C362="1/2W")),AND($K363=BS$3,OR($C363="W",$C363="1/2W"))),$S361,0))</f>
        <v>0</v>
      </c>
      <c r="BT361" s="462">
        <f>IF($B361="LOSS",IF(AND($K361=BT$3,$C361="L"),-$O361,0)+IF(AND($K362=BT$3,$C362="L"),-$O362,0)+IF(AND($K362=BT$3,$C363="L"),-$O363,0),IF(OR(AND($K362=BT$3,OR($C361="W",$C361="1/2W")),AND($K362=BT$3,OR($C362="W",$C362="1/2W")),AND($K362=BT$3,OR($C363="W",$C363="1/2W"))),$S361,0))</f>
        <v>-28.95</v>
      </c>
      <c r="BU361" s="462">
        <f>IF($B361="LOSS",IF(AND($K361=BU$3,$C361="L"),-$O361,0)+IF(AND($K362=BU$3,$C362="L"),-$O362,0)+IF(AND($K362=BU$3,$C363="L"),-$O363,0),IF(OR(AND($K362=BU$3,OR($C361="W",$C361="1/2W")),AND($K362=BU$3,OR($C362="W",$C362="1/2W")),AND($K362=BU$3,OR($C363="W",$C363="1/2W"))),$S361,0))</f>
        <v>0</v>
      </c>
      <c r="BV361" s="462">
        <f t="shared" ref="BV361:CE361" si="729">IF($B361="LOSS",IF(AND($K361=BV$3,$C361="L"),-$O361,0)+IF(AND($K362=BV$3,$C362="L"),-$O362,0)+IF(AND($K363=BV$3,$C363="L"),-$O363,0),IF(OR(AND($K361=BV$3,OR($C361="W",$C361="1/2W")),AND($K362=BV$3,OR($C362="W",$C362="1/2W")),AND($K363=BV$3,OR($C363="W",$C363="1/2W"))),$S361,0))</f>
        <v>0</v>
      </c>
      <c r="BW361" s="462">
        <f t="shared" si="729"/>
        <v>0</v>
      </c>
      <c r="BX361" s="462">
        <f t="shared" si="729"/>
        <v>0</v>
      </c>
      <c r="BY361" s="462">
        <f t="shared" si="729"/>
        <v>0</v>
      </c>
      <c r="BZ361" s="460">
        <f t="shared" si="729"/>
        <v>-36.01</v>
      </c>
      <c r="CA361" s="460">
        <f t="shared" si="729"/>
        <v>0</v>
      </c>
      <c r="CB361" s="460">
        <f t="shared" si="729"/>
        <v>0</v>
      </c>
      <c r="CC361" s="460">
        <f t="shared" si="729"/>
        <v>0</v>
      </c>
      <c r="CD361" s="473">
        <f t="shared" si="729"/>
        <v>0</v>
      </c>
      <c r="CE361" s="479">
        <f t="shared" si="729"/>
        <v>0</v>
      </c>
      <c r="CF361" s="113">
        <f t="shared" si="644"/>
        <v>0</v>
      </c>
      <c r="CG361" s="114">
        <f t="shared" si="645"/>
        <v>0</v>
      </c>
      <c r="CH361" s="114">
        <f t="shared" si="646"/>
        <v>0</v>
      </c>
      <c r="CI361" s="114">
        <f t="shared" si="647"/>
        <v>1</v>
      </c>
      <c r="CJ361" s="114">
        <f t="shared" si="648"/>
        <v>0</v>
      </c>
      <c r="CK361" s="114">
        <f t="shared" si="649"/>
        <v>0</v>
      </c>
      <c r="CL361" s="114">
        <f t="shared" si="650"/>
        <v>0</v>
      </c>
      <c r="CM361" s="114">
        <f t="shared" si="651"/>
        <v>0</v>
      </c>
      <c r="CN361" s="114">
        <f t="shared" si="652"/>
        <v>0</v>
      </c>
      <c r="CO361" s="114">
        <f t="shared" si="653"/>
        <v>0</v>
      </c>
      <c r="CP361" s="114">
        <f t="shared" si="654"/>
        <v>0</v>
      </c>
      <c r="CQ361" s="114">
        <f t="shared" si="655"/>
        <v>0</v>
      </c>
      <c r="CR361" s="114">
        <f t="shared" si="656"/>
        <v>0</v>
      </c>
      <c r="CS361" s="114">
        <f t="shared" si="657"/>
        <v>0</v>
      </c>
      <c r="CT361" s="115">
        <f t="shared" si="658"/>
        <v>0</v>
      </c>
      <c r="CU361" s="116">
        <f t="shared" si="659"/>
        <v>0</v>
      </c>
      <c r="CV361" s="116">
        <f t="shared" si="660"/>
        <v>0</v>
      </c>
      <c r="CW361" s="116">
        <f t="shared" si="661"/>
        <v>0</v>
      </c>
      <c r="CX361" s="116">
        <f t="shared" si="662"/>
        <v>0</v>
      </c>
      <c r="CY361" s="116">
        <f t="shared" si="663"/>
        <v>0</v>
      </c>
      <c r="CZ361" s="116">
        <f t="shared" si="664"/>
        <v>0</v>
      </c>
      <c r="DA361" s="116">
        <f t="shared" si="665"/>
        <v>0</v>
      </c>
      <c r="DB361" s="116">
        <f t="shared" si="666"/>
        <v>0</v>
      </c>
      <c r="DC361" s="116">
        <f t="shared" si="667"/>
        <v>0</v>
      </c>
      <c r="DD361" s="116">
        <f t="shared" si="668"/>
        <v>0</v>
      </c>
      <c r="DE361" s="117">
        <f t="shared" si="669"/>
        <v>0</v>
      </c>
      <c r="DF361" s="118">
        <f t="shared" si="672"/>
        <v>26</v>
      </c>
      <c r="DG361" s="106">
        <f t="shared" si="673"/>
        <v>33.83</v>
      </c>
      <c r="DH361" s="116">
        <f t="shared" si="674"/>
        <v>10</v>
      </c>
      <c r="DI361" s="106">
        <f t="shared" si="675"/>
        <v>41.599999999999994</v>
      </c>
      <c r="DJ361" s="201" t="str">
        <f>IF($D361="","",$D361)</f>
        <v>10</v>
      </c>
      <c r="DK361" s="465">
        <f>IF(AND($B361=" ",$D361&lt;&gt;""),1,0)</f>
        <v>0</v>
      </c>
    </row>
    <row r="362" spans="1:115" ht="14.5" customHeight="1" x14ac:dyDescent="0.2">
      <c r="A362" s="389"/>
      <c r="B362" s="456"/>
      <c r="C362" s="120" t="s">
        <v>55</v>
      </c>
      <c r="D362" s="374"/>
      <c r="E362" s="386"/>
      <c r="F362" s="377"/>
      <c r="G362" s="483"/>
      <c r="H362" s="476"/>
      <c r="I362" s="121" t="s">
        <v>76</v>
      </c>
      <c r="J362" s="122">
        <v>0.5</v>
      </c>
      <c r="K362" s="123" t="s">
        <v>43</v>
      </c>
      <c r="L362" s="124">
        <v>2.0099999999999998</v>
      </c>
      <c r="M362" s="125"/>
      <c r="N362" s="406"/>
      <c r="O362" s="126">
        <f>IF(OR(AE361="",AE362=""),"",ROUND(IF(L363&gt;0,IF(M362&gt;0,M362,IF(M361&gt;0,IF(N361=TRUE,ROUND((M361*AE362)/AE361,0),(M361*AE362)/AE361),IF(M362&gt;0,ROUND(M362,IF(N361=0,2,IF(N361=0.1,1,0))),IF(M363&gt;0,ROUND(O363*AE362/AE363,IF(N361=0,2,IF(N361=0.1,1,0))),0)))),IF(M362&gt;0,M362,ROUND((M361*AE362)/AE361,IF(N361=0,2,IF(N361=0.1,1,0))))),2))</f>
        <v>36.01</v>
      </c>
      <c r="P362" s="127">
        <f>IF(OR(L362="",O362=""),"",IF($C362="1/2W",O362/2+O362/2*L362,IF($C362="1/2L",O362/2,IF(I362="Lay",((O362*(L362/(L362-1)))-O362)*(1-_xlfn.XLOOKUP(K362,'Fevereiro 2023 - Valor Real'!A3:A15,'Fevereiro 2023 - Valor Real'!C3:C15,0))+O362,(O362*L362-O362)*(1-_xlfn.XLOOKUP(K362,'Fevereiro 2023 - Valor Real'!A3:A15,'Fevereiro 2023 - Valor Real'!C3:C15,0))+O362))))</f>
        <v>72.380099999999985</v>
      </c>
      <c r="Q362" s="128">
        <f>IF(K362="","",IF(_xlfn.XLOOKUP(K362,K$4:K361,$DJ$4:DJ361,0,,-1)=DJ362,_xlfn.XLOOKUP(K362,K$4:K361,Q$4:Q361,1,,-1)+1,1))</f>
        <v>3</v>
      </c>
      <c r="R362" s="129">
        <f>IF(K362="","",_xlfn.XLOOKUP(K362,K$4:K361,R$4:R361,0,,-1)+IF($C362=" ",1,0))</f>
        <v>0</v>
      </c>
      <c r="S362" s="403"/>
      <c r="T362" s="380"/>
      <c r="U362" s="380"/>
      <c r="V362" s="481"/>
      <c r="W362" s="380"/>
      <c r="X362" s="452"/>
      <c r="Y362" s="383"/>
      <c r="Z362" s="384"/>
      <c r="AA362" s="384"/>
      <c r="AB362" s="384"/>
      <c r="AC362" s="384"/>
      <c r="AD362" s="130">
        <f>(((L362/(L362-1)-1)*(1-_xlfn.XLOOKUP(K362,'Fevereiro 2023 - Valor Real'!A3:A15,'Fevereiro 2023 - Valor Real'!C3:C15,0))+1))</f>
        <v>1.9900990099009903</v>
      </c>
      <c r="AE362" s="131">
        <f>IF(L362="","",IF(L363&gt;0,(SUM(((L361-1)*(1-_xlfn.XLOOKUP(K361,'Fevereiro 2023 - Valor Real'!A3:A15,'Fevereiro 2023 - Valor Real'!C3:C15,0))+1),((L362-1)*(1-_xlfn.XLOOKUP(K362,'Fevereiro 2023 - Valor Real'!A3:A15,'Fevereiro 2023 - Valor Real'!C3:C15,0))+1),((L363-1)*(1-_xlfn.XLOOKUP(K363,'Fevereiro 2023 - Valor Real'!A3:A15,'Fevereiro 2023 - Valor Real'!C3:C15,0))+1))/((L362-1)*(1-_xlfn.XLOOKUP(K362,'Fevereiro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Real'!C3:C15,0))+1))/((L361-1)*(1-_xlfn.XLOOKUP(K361,'Fevereiro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Real'!C3:C15,0))+1))/((L362-1)*(1-_xlfn.XLOOKUP(K362,'Fevereiro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Real'!C3:C15,0))+1))/((L363-1)*(1-_xlfn.XLOOKUP(K363,'Fevereiro 2023 - Valor Real'!A3:A15,'Fevereiro 2023 - Valor Real'!C3:C15,0))+1)),IF(I362="Lay",IF(I361="Lay",((L361/(L361-1)-1)*(1-_xlfn.XLOOKUP(K361,'Fevereiro 2023 - Valor Real'!A3:A15,'Fevereiro 2023 - Valor Real'!C3:C15,0))+1)/(((L361/(L361-1)-1)*(1-_xlfn.XLOOKUP(K361,'Fevereiro 2023 - Valor Real'!A3:A15,'Fevereiro 2023 - Valor Real'!C3:C15,0))+1)+((L362/(L362-1)-1)*(1-_xlfn.XLOOKUP(K362,'Fevereiro 2023 - Valor Real'!A3:A15,'Fevereiro 2023 - Valor Real'!C3:C15,0))+1)),((L361-1)*(1-_xlfn.XLOOKUP(K361,'Fevereiro 2023 - Valor Real'!A3:A15,'Fevereiro 2023 - Valor Real'!C3:C15,0))+1)/(((L361-1)*(1-_xlfn.XLOOKUP(K361,'Fevereiro 2023 - Valor Real'!A3:A15,'Fevereiro 2023 - Valor Real'!C3:C15,0))+1)+((L362/(L362-1)-1)*(1-_xlfn.XLOOKUP(K362,'Fevereiro 2023 - Valor Real'!A3:A15,'Fevereiro 2023 - Valor Real'!C3:C15,0))+1))),IF(I361="Lay",((L361/(L361-1)-1)*(1-_xlfn.XLOOKUP(K361,'Fevereiro 2023 - Valor Real'!A3:A15,'Fevereiro 2023 - Valor Real'!C3:C15,0))+1)/((((L361/(L361-1)-1)*(1-_xlfn.XLOOKUP(K361,'Fevereiro 2023 - Valor Real'!A3:A15,'Fevereiro 2023 - Valor Real'!C3:C15,0))+1))+((L362-1)*(1-_xlfn.XLOOKUP(K362,'Fevereiro 2023 - Valor Real'!A3:A15,'Fevereiro 2023 - Valor Real'!C3:C15,0))+1)),((L361-1)*(1-_xlfn.XLOOKUP(K361,'Fevereiro 2023 - Valor Real'!A3:A15,'Fevereiro 2023 - Valor Real'!C3:C15,0))+1)/(((L361-1)*(1-_xlfn.XLOOKUP(K361,'Fevereiro 2023 - Valor Real'!A3:A15,'Fevereiro 2023 - Valor Real'!C3:C15,0))+1)+((L362-1)*(1-_xlfn.XLOOKUP(K362,'Fevereiro 2023 - Valor Real'!A3:A15,'Fevereiro 2023 - Valor Real'!C3:C15,0))+1))))))</f>
        <v>0.55432372505543237</v>
      </c>
      <c r="AF362" s="105">
        <f t="shared" si="717"/>
        <v>0</v>
      </c>
      <c r="AG362" s="106">
        <f t="shared" si="717"/>
        <v>0</v>
      </c>
      <c r="AH362" s="106">
        <f t="shared" si="717"/>
        <v>0</v>
      </c>
      <c r="AI362" s="106">
        <f t="shared" si="717"/>
        <v>0</v>
      </c>
      <c r="AJ362" s="106">
        <f t="shared" si="717"/>
        <v>0</v>
      </c>
      <c r="AK362" s="106">
        <f t="shared" si="717"/>
        <v>0</v>
      </c>
      <c r="AL362" s="106">
        <f t="shared" si="717"/>
        <v>0</v>
      </c>
      <c r="AM362" s="106">
        <f t="shared" si="717"/>
        <v>-36.01</v>
      </c>
      <c r="AN362" s="106">
        <f t="shared" si="717"/>
        <v>0</v>
      </c>
      <c r="AO362" s="106">
        <f t="shared" si="717"/>
        <v>0</v>
      </c>
      <c r="AP362" s="106">
        <f t="shared" si="717"/>
        <v>0</v>
      </c>
      <c r="AQ362" s="106">
        <f t="shared" si="717"/>
        <v>0</v>
      </c>
      <c r="AR362" s="107">
        <f t="shared" si="717"/>
        <v>0</v>
      </c>
      <c r="AS362" s="105">
        <f>IF(AND($B361=" ",$K362=AS$3),$O362,0)</f>
        <v>0</v>
      </c>
      <c r="AT362" s="106">
        <f>IF(AND($B361=" ",K362=AT$3),$O362,0)</f>
        <v>0</v>
      </c>
      <c r="AU362" s="106">
        <f t="shared" ref="AU362:BE362" si="730">IF(AND($B361=" ",$K362=AU$3),$O362,0)</f>
        <v>0</v>
      </c>
      <c r="AV362" s="106">
        <f t="shared" si="730"/>
        <v>0</v>
      </c>
      <c r="AW362" s="106">
        <f t="shared" si="730"/>
        <v>0</v>
      </c>
      <c r="AX362" s="106">
        <f t="shared" si="730"/>
        <v>0</v>
      </c>
      <c r="AY362" s="108">
        <f t="shared" si="730"/>
        <v>0</v>
      </c>
      <c r="AZ362" s="109">
        <f t="shared" si="730"/>
        <v>0</v>
      </c>
      <c r="BA362" s="109">
        <f t="shared" si="730"/>
        <v>0</v>
      </c>
      <c r="BB362" s="109">
        <f t="shared" si="730"/>
        <v>0</v>
      </c>
      <c r="BC362" s="110">
        <f t="shared" si="730"/>
        <v>0</v>
      </c>
      <c r="BD362" s="106">
        <f t="shared" si="730"/>
        <v>0</v>
      </c>
      <c r="BE362" s="107">
        <f t="shared" si="730"/>
        <v>0</v>
      </c>
      <c r="BF362" s="105">
        <f t="shared" si="719"/>
        <v>0</v>
      </c>
      <c r="BG362" s="106">
        <f t="shared" si="719"/>
        <v>0</v>
      </c>
      <c r="BH362" s="106">
        <f t="shared" si="719"/>
        <v>0</v>
      </c>
      <c r="BI362" s="106">
        <f t="shared" si="719"/>
        <v>0</v>
      </c>
      <c r="BJ362" s="106">
        <f t="shared" si="719"/>
        <v>0</v>
      </c>
      <c r="BK362" s="106">
        <f t="shared" si="719"/>
        <v>0</v>
      </c>
      <c r="BL362" s="106">
        <f t="shared" si="719"/>
        <v>0</v>
      </c>
      <c r="BM362" s="132">
        <f t="shared" si="719"/>
        <v>36.01</v>
      </c>
      <c r="BN362" s="112">
        <f t="shared" si="719"/>
        <v>0</v>
      </c>
      <c r="BO362" s="112">
        <f t="shared" si="719"/>
        <v>0</v>
      </c>
      <c r="BP362" s="112">
        <f t="shared" si="719"/>
        <v>0</v>
      </c>
      <c r="BQ362" s="110">
        <f t="shared" si="719"/>
        <v>0</v>
      </c>
      <c r="BR362" s="107">
        <f t="shared" si="719"/>
        <v>0</v>
      </c>
      <c r="BS362" s="464"/>
      <c r="BT362" s="461"/>
      <c r="BU362" s="392"/>
      <c r="BV362" s="461"/>
      <c r="BW362" s="392"/>
      <c r="BX362" s="392"/>
      <c r="BY362" s="392"/>
      <c r="BZ362" s="461"/>
      <c r="CA362" s="392"/>
      <c r="CB362" s="392"/>
      <c r="CC362" s="392"/>
      <c r="CD362" s="401"/>
      <c r="CE362" s="409"/>
      <c r="CF362" s="133">
        <f t="shared" si="644"/>
        <v>0</v>
      </c>
      <c r="CG362" s="134">
        <f t="shared" si="645"/>
        <v>0</v>
      </c>
      <c r="CH362" s="134">
        <f t="shared" si="646"/>
        <v>0</v>
      </c>
      <c r="CI362" s="134">
        <f t="shared" si="647"/>
        <v>0</v>
      </c>
      <c r="CJ362" s="134">
        <f t="shared" si="648"/>
        <v>0</v>
      </c>
      <c r="CK362" s="134">
        <f t="shared" si="649"/>
        <v>0</v>
      </c>
      <c r="CL362" s="134">
        <f t="shared" si="650"/>
        <v>0</v>
      </c>
      <c r="CM362" s="134">
        <f t="shared" si="651"/>
        <v>0</v>
      </c>
      <c r="CN362" s="134">
        <f t="shared" si="652"/>
        <v>0</v>
      </c>
      <c r="CO362" s="134">
        <f t="shared" si="653"/>
        <v>0</v>
      </c>
      <c r="CP362" s="134">
        <f t="shared" si="654"/>
        <v>0</v>
      </c>
      <c r="CQ362" s="134">
        <f t="shared" si="655"/>
        <v>0</v>
      </c>
      <c r="CR362" s="134">
        <f t="shared" si="656"/>
        <v>0</v>
      </c>
      <c r="CS362" s="134">
        <f t="shared" si="657"/>
        <v>0</v>
      </c>
      <c r="CT362" s="115">
        <f t="shared" si="658"/>
        <v>0</v>
      </c>
      <c r="CU362" s="116">
        <f t="shared" si="659"/>
        <v>1</v>
      </c>
      <c r="CV362" s="116">
        <f t="shared" si="660"/>
        <v>0</v>
      </c>
      <c r="CW362" s="116">
        <f t="shared" si="661"/>
        <v>0</v>
      </c>
      <c r="CX362" s="116">
        <f t="shared" si="662"/>
        <v>0</v>
      </c>
      <c r="CY362" s="116">
        <f t="shared" si="663"/>
        <v>0</v>
      </c>
      <c r="CZ362" s="116">
        <f t="shared" si="664"/>
        <v>0</v>
      </c>
      <c r="DA362" s="116">
        <f t="shared" si="665"/>
        <v>0</v>
      </c>
      <c r="DB362" s="116">
        <f t="shared" si="666"/>
        <v>0</v>
      </c>
      <c r="DC362" s="116">
        <f t="shared" si="667"/>
        <v>0</v>
      </c>
      <c r="DD362" s="116">
        <f t="shared" si="668"/>
        <v>0</v>
      </c>
      <c r="DE362" s="117">
        <f t="shared" si="669"/>
        <v>0</v>
      </c>
      <c r="DF362" s="118">
        <f t="shared" si="672"/>
        <v>26</v>
      </c>
      <c r="DG362" s="106">
        <f t="shared" si="673"/>
        <v>33.83</v>
      </c>
      <c r="DH362" s="116">
        <f t="shared" si="674"/>
        <v>10</v>
      </c>
      <c r="DI362" s="106">
        <f t="shared" si="675"/>
        <v>41.599999999999994</v>
      </c>
      <c r="DJ362" s="201" t="str">
        <f>IF($D361="","",$D361)</f>
        <v>10</v>
      </c>
      <c r="DK362" s="466"/>
    </row>
    <row r="363" spans="1:115" ht="14.5" customHeight="1" x14ac:dyDescent="0.2">
      <c r="A363" s="390"/>
      <c r="B363" s="457"/>
      <c r="C363" s="135" t="s">
        <v>53</v>
      </c>
      <c r="D363" s="375"/>
      <c r="E363" s="387"/>
      <c r="F363" s="378"/>
      <c r="G363" s="484"/>
      <c r="H363" s="477"/>
      <c r="I363" s="136"/>
      <c r="J363" s="137"/>
      <c r="K363" s="138"/>
      <c r="L363" s="139"/>
      <c r="M363" s="140"/>
      <c r="N363" s="407"/>
      <c r="O363" s="141" t="str">
        <f>IF(OR(AE361="",AE362=""),"",IF(L363&gt;0,ROUND(IF(M363&gt;0,M363,IF(M361&gt;0,ROUND((M361*AE363)/AE361,IF(N361=0,2,IF(N361=0.1,1,0))),IF(M362&gt;0,ROUND((M362*AE363)/AE362,IF(N361=0,2,IF(N361=0.1,1,0))),IF(M363&gt;0,M363,0)))),2),""))</f>
        <v/>
      </c>
      <c r="P363" s="142" t="str">
        <f>IF(I362="Lay",O362*(L362/(L362-1))-O362,IF(I361="Lay",O361*(L361/(L361-1))-O361,IF(OR(L363="",O363=""),"",IF($C363="1/2W",O363/2+O363/2*L363,IF($C363="1/2L",O363/2,(O363*L363-O363)*(1-_xlfn.XLOOKUP(K363,'Fevereiro 2023 - Valor Real'!A3:A15,'Fevereiro 2023 - Valor Real'!C3:C15,0))+O363)))))</f>
        <v/>
      </c>
      <c r="Q363" s="143" t="str">
        <f>IF(K363="","",IF(_xlfn.XLOOKUP(K363,K$4:K362,$DJ$4:DJ362,0,,-1)=DJ363,_xlfn.XLOOKUP(K363,K$4:K362,Q$4:Q362,1,,-1)+1,1))</f>
        <v/>
      </c>
      <c r="R363" s="144" t="str">
        <f>IF(K363="","",_xlfn.XLOOKUP(K363,K$4:K362,R$4:R362,0,,-1)+IF($C363=" ",1,0))</f>
        <v/>
      </c>
      <c r="S363" s="404"/>
      <c r="T363" s="378"/>
      <c r="U363" s="378"/>
      <c r="V363" s="404"/>
      <c r="W363" s="378"/>
      <c r="X363" s="453"/>
      <c r="Y363" s="383"/>
      <c r="Z363" s="384"/>
      <c r="AA363" s="384"/>
      <c r="AB363" s="384"/>
      <c r="AC363" s="384"/>
      <c r="AD363" s="145">
        <f>((L362/(L362-1)-1))</f>
        <v>0.99009900990099031</v>
      </c>
      <c r="AE363" s="146" t="str">
        <f>IF(L363="","",(SUM(((L361-1)*(1-_xlfn.XLOOKUP(K361,'Fevereiro 2023 - Valor Real'!A3:A15,'Fevereiro 2023 - Valor Real'!C3:C15,0))+1),((L362-1)*(1-_xlfn.XLOOKUP(K362,'Fevereiro 2023 - Valor Real'!A3:A15,'Fevereiro 2023 - Valor Real'!C3:C15,0))+1),((L363-1)*(1-_xlfn.XLOOKUP(K363,'Fevereiro 2023 - Valor Real'!A3:A15,'Fevereiro 2023 - Valor Real'!C3:C15,0))+1))/((L363-1)*(1-_xlfn.XLOOKUP(K363,'Fevereiro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Real'!C3:C15,0))+1))/((L361-1)*(1-_xlfn.XLOOKUP(K361,'Fevereiro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Real'!C3:C15,0))+1))/((L362-1)*(1-_xlfn.XLOOKUP(K362,'Fevereiro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Real'!C3:C15,0))+1))/((L363-1)*(1-_xlfn.XLOOKUP(K363,'Fevereiro 2023 - Valor Real'!A3:A15,'Fevereiro 2023 - Valor Real'!C3:C15,0))+1)))</f>
        <v/>
      </c>
      <c r="AF363" s="105">
        <f t="shared" si="717"/>
        <v>0</v>
      </c>
      <c r="AG363" s="106">
        <f t="shared" si="717"/>
        <v>0</v>
      </c>
      <c r="AH363" s="106">
        <f t="shared" si="717"/>
        <v>0</v>
      </c>
      <c r="AI363" s="106">
        <f t="shared" si="717"/>
        <v>0</v>
      </c>
      <c r="AJ363" s="106">
        <f t="shared" si="717"/>
        <v>0</v>
      </c>
      <c r="AK363" s="106">
        <f t="shared" si="717"/>
        <v>0</v>
      </c>
      <c r="AL363" s="106">
        <f t="shared" si="717"/>
        <v>0</v>
      </c>
      <c r="AM363" s="106">
        <f t="shared" si="717"/>
        <v>0</v>
      </c>
      <c r="AN363" s="106">
        <f t="shared" si="717"/>
        <v>0</v>
      </c>
      <c r="AO363" s="106">
        <f t="shared" si="717"/>
        <v>0</v>
      </c>
      <c r="AP363" s="106">
        <f t="shared" si="717"/>
        <v>0</v>
      </c>
      <c r="AQ363" s="106">
        <f t="shared" si="717"/>
        <v>0</v>
      </c>
      <c r="AR363" s="107">
        <f t="shared" si="717"/>
        <v>0</v>
      </c>
      <c r="AS363" s="105">
        <f>IF(AND($B361=" ",$K363=AS$3),$O363,0)</f>
        <v>0</v>
      </c>
      <c r="AT363" s="106">
        <f>IF(AND($B361=" ",K363=AT$3),$O363,0)</f>
        <v>0</v>
      </c>
      <c r="AU363" s="106">
        <f t="shared" ref="AU363:BE363" si="731">IF(AND($B361=" ",$K363=AU$3),$O363,0)</f>
        <v>0</v>
      </c>
      <c r="AV363" s="106">
        <f t="shared" si="731"/>
        <v>0</v>
      </c>
      <c r="AW363" s="106">
        <f t="shared" si="731"/>
        <v>0</v>
      </c>
      <c r="AX363" s="106">
        <f t="shared" si="731"/>
        <v>0</v>
      </c>
      <c r="AY363" s="108">
        <f t="shared" si="731"/>
        <v>0</v>
      </c>
      <c r="AZ363" s="109">
        <f t="shared" si="731"/>
        <v>0</v>
      </c>
      <c r="BA363" s="109">
        <f t="shared" si="731"/>
        <v>0</v>
      </c>
      <c r="BB363" s="109">
        <f t="shared" si="731"/>
        <v>0</v>
      </c>
      <c r="BC363" s="110">
        <f t="shared" si="731"/>
        <v>0</v>
      </c>
      <c r="BD363" s="106">
        <f t="shared" si="731"/>
        <v>0</v>
      </c>
      <c r="BE363" s="107">
        <f t="shared" si="731"/>
        <v>0</v>
      </c>
      <c r="BF363" s="105">
        <f t="shared" si="719"/>
        <v>0</v>
      </c>
      <c r="BG363" s="106">
        <f t="shared" si="719"/>
        <v>0</v>
      </c>
      <c r="BH363" s="106">
        <f t="shared" si="719"/>
        <v>0</v>
      </c>
      <c r="BI363" s="106">
        <f t="shared" si="719"/>
        <v>0</v>
      </c>
      <c r="BJ363" s="106">
        <f t="shared" si="719"/>
        <v>0</v>
      </c>
      <c r="BK363" s="106">
        <f t="shared" si="719"/>
        <v>0</v>
      </c>
      <c r="BL363" s="106">
        <f t="shared" si="719"/>
        <v>0</v>
      </c>
      <c r="BM363" s="108">
        <f t="shared" si="719"/>
        <v>0</v>
      </c>
      <c r="BN363" s="109">
        <f t="shared" si="719"/>
        <v>0</v>
      </c>
      <c r="BO363" s="109">
        <f t="shared" si="719"/>
        <v>0</v>
      </c>
      <c r="BP363" s="109">
        <f t="shared" si="719"/>
        <v>0</v>
      </c>
      <c r="BQ363" s="110">
        <f t="shared" si="719"/>
        <v>0</v>
      </c>
      <c r="BR363" s="107">
        <f t="shared" si="719"/>
        <v>0</v>
      </c>
      <c r="BS363" s="464"/>
      <c r="BT363" s="461"/>
      <c r="BU363" s="392"/>
      <c r="BV363" s="461"/>
      <c r="BW363" s="392"/>
      <c r="BX363" s="392"/>
      <c r="BY363" s="392"/>
      <c r="BZ363" s="461"/>
      <c r="CA363" s="392"/>
      <c r="CB363" s="392"/>
      <c r="CC363" s="392"/>
      <c r="CD363" s="401"/>
      <c r="CE363" s="409"/>
      <c r="CF363" s="133">
        <f t="shared" si="644"/>
        <v>0</v>
      </c>
      <c r="CG363" s="134">
        <f t="shared" si="645"/>
        <v>0</v>
      </c>
      <c r="CH363" s="134">
        <f t="shared" si="646"/>
        <v>0</v>
      </c>
      <c r="CI363" s="134">
        <f t="shared" si="647"/>
        <v>0</v>
      </c>
      <c r="CJ363" s="134">
        <f t="shared" si="648"/>
        <v>0</v>
      </c>
      <c r="CK363" s="134">
        <f t="shared" si="649"/>
        <v>0</v>
      </c>
      <c r="CL363" s="134">
        <f t="shared" si="650"/>
        <v>0</v>
      </c>
      <c r="CM363" s="134">
        <f t="shared" si="651"/>
        <v>0</v>
      </c>
      <c r="CN363" s="134">
        <f t="shared" si="652"/>
        <v>0</v>
      </c>
      <c r="CO363" s="134">
        <f t="shared" si="653"/>
        <v>0</v>
      </c>
      <c r="CP363" s="134">
        <f t="shared" si="654"/>
        <v>0</v>
      </c>
      <c r="CQ363" s="134">
        <f t="shared" si="655"/>
        <v>0</v>
      </c>
      <c r="CR363" s="134">
        <f t="shared" si="656"/>
        <v>0</v>
      </c>
      <c r="CS363" s="134">
        <f t="shared" si="657"/>
        <v>0</v>
      </c>
      <c r="CT363" s="115">
        <f t="shared" si="658"/>
        <v>0</v>
      </c>
      <c r="CU363" s="116">
        <f t="shared" si="659"/>
        <v>0</v>
      </c>
      <c r="CV363" s="116">
        <f t="shared" si="660"/>
        <v>0</v>
      </c>
      <c r="CW363" s="116">
        <f t="shared" si="661"/>
        <v>0</v>
      </c>
      <c r="CX363" s="116">
        <f t="shared" si="662"/>
        <v>0</v>
      </c>
      <c r="CY363" s="116">
        <f t="shared" si="663"/>
        <v>0</v>
      </c>
      <c r="CZ363" s="116">
        <f t="shared" si="664"/>
        <v>0</v>
      </c>
      <c r="DA363" s="116">
        <f t="shared" si="665"/>
        <v>0</v>
      </c>
      <c r="DB363" s="116">
        <f t="shared" si="666"/>
        <v>0</v>
      </c>
      <c r="DC363" s="116">
        <f t="shared" si="667"/>
        <v>0</v>
      </c>
      <c r="DD363" s="116">
        <f t="shared" si="668"/>
        <v>0</v>
      </c>
      <c r="DE363" s="117">
        <f t="shared" si="669"/>
        <v>0</v>
      </c>
      <c r="DF363" s="118">
        <f t="shared" si="672"/>
        <v>26</v>
      </c>
      <c r="DG363" s="106">
        <f t="shared" si="673"/>
        <v>33.83</v>
      </c>
      <c r="DH363" s="116">
        <f t="shared" si="674"/>
        <v>10</v>
      </c>
      <c r="DI363" s="106">
        <f t="shared" si="675"/>
        <v>41.599999999999994</v>
      </c>
      <c r="DJ363" s="201" t="str">
        <f>IF($D361="","",$D361)</f>
        <v>10</v>
      </c>
      <c r="DK363" s="466"/>
    </row>
    <row r="364" spans="1:115" ht="14.5" customHeight="1" x14ac:dyDescent="0.2">
      <c r="A364" s="487">
        <f>$A361+1</f>
        <v>121</v>
      </c>
      <c r="B364" s="506" t="str">
        <f>IF(OR(C364="W",C365="W",C366="W",C364="1/2W",C365="1/2W",C366="1/2W",C364="1/2L",C365="1/2L",C366="1/2L"),"OK",IF(OR(C364="L",C365="L",C366="L"),"LOSS",IF(OR(C364="X",C365="X",C366="X"),"Anulado"," ")))</f>
        <v>OK</v>
      </c>
      <c r="C364" s="147" t="s">
        <v>54</v>
      </c>
      <c r="D364" s="494" t="str">
        <f>IF(G364="","",$D361)</f>
        <v>10</v>
      </c>
      <c r="E364" s="511" t="str">
        <f>IF(G364=""," ","– "&amp;COUNTIF(D$4:D366,$D364))</f>
        <v>– 8</v>
      </c>
      <c r="F364" s="510" t="str">
        <f ca="1">IF(G364="","",IF(OR(AND($C364&lt;&gt;" ",$C365=" "),AND($C365&lt;&gt;" ",$C364=" "),AND(L366&gt;0,OR(AND($C366&lt;&gt;" ",OR($C364=" ",$C365=" ")),AND($C366=" ",OR($C364&lt;&gt;" ",$C365&lt;&gt;" "))))),IF(SUM(F$4:F363)=0,1,LARGE(F$4:F363,1)+1),IF(MONTH(G364)=MONTH(TODAY()),IF(AND(DAY(G364)&lt;DAY(TODAY()),$B364=" "),IF(SUM(F$4:F363)=0,1,LARGE(F$4:F363,1)+1),IF($B364=" ",IF(AND(DAY(G364)=DAY(TODAY()),HOUR(G364)&lt;=HOUR(NOW())+1),IF(AND(HOUR(G364)+2&lt;=HOUR(NOW()),DAY(G364)&lt;=DAY(TODAY()),MINUTE(G364)&lt;=MINUTE(NOW())),IF(SUM(F$4:F363)=0,1,LARGE(F$4:F363,1)+1),IF(OR(MINUTE(G364)&lt;=MINUTE(NOW()),HOUR(G364)&lt;=HOUR(NOW())),"!!!","")),""),"")),"")))</f>
        <v/>
      </c>
      <c r="G364" s="508">
        <v>45001.614583333336</v>
      </c>
      <c r="H364" s="502" t="s">
        <v>159</v>
      </c>
      <c r="I364" s="148">
        <v>1</v>
      </c>
      <c r="J364" s="149"/>
      <c r="K364" s="150" t="s">
        <v>40</v>
      </c>
      <c r="L364" s="151">
        <v>2.94</v>
      </c>
      <c r="M364" s="152">
        <v>34.79</v>
      </c>
      <c r="N364" s="503">
        <v>0</v>
      </c>
      <c r="O364" s="153">
        <f>IF(OR(AE364="",AE365=""),"",ROUND(IF(L366&gt;0,IF(M364&gt;0,M364,IF(M365&gt;0,ROUND((M365*AE364)/AE365,IF(N364=0,2,IF(N364=0.1,1,0))),ROUND((M366*AE364)/AE366,IF(N364=0,2,IF(N364=0.1,1,0))))),IF(M364&gt;0,M364,ROUND((M365*AE364)/AE365,IF(N364=0,2,IF(N364=0.1,1,0))))),2))</f>
        <v>34.79</v>
      </c>
      <c r="P364" s="154">
        <f>IF(OR(L364="",O364=""),"",IF($C364="1/2W",O364/2+O364/2*L364,IF($C364="1/2L",O364/2,IF(I364="Lay",(O364*(L364/(L364-1))-O364)*(1-_xlfn.XLOOKUP(K364,'Fevereiro 2023 - Valor Real'!A3:A15,'Fevereiro 2023 - Valor Real'!C3:C15,0))+O364,(O364*L364-O364)*(1-_xlfn.XLOOKUP(K364,'Fevereiro 2023 - Valor Real'!A3:A15,'Fevereiro 2023 - Valor Real'!C3:C15,0))+O364))))</f>
        <v>102.2826</v>
      </c>
      <c r="Q364" s="155">
        <f>IF(K364="","",IF(_xlfn.XLOOKUP(K364,K$9:K356,$DJ$9:DJ356,0,,-1)=DJ364,_xlfn.XLOOKUP(K364,K$9:K356,Q$9:Q356,1,,-1)+1,1))</f>
        <v>3</v>
      </c>
      <c r="R364" s="156">
        <f>IF(K364="","",_xlfn.XLOOKUP(K364,K$9:K356,R$9:R356,0,,-1)+IF($C364=" ",1,0))</f>
        <v>0</v>
      </c>
      <c r="S364" s="501">
        <f>IF($B364="Anulado",0,ROUND(IF(OR($B364="LOSS",$B364="OK"),IF(OR($C364="W",$C364="1/2W",$C364="1/2L"),P364-O364,IF($C364="L",-O364,0))+IF(OR($C365="W",$C365="1/2W",$C365="1/2L"),P365-O365,IF($C365="L",-O365,0))+IF(OR($C366="W",$C366="1/2W",$C366="1/2L"),P366-O366,IF($C366="L",-O366,0)),IF(AND(OR($C364="W",$C364="1/2W",$C364="1/2L"),C365="W"),P364+P365-SUM(O364:O366)+_xlfn.XLOOKUP("X",C364:C366,O364:O366,0),IF(AND(C364=TRUE,C366="W"),P364+P366-SUM(O364:O366),IF(AND(C365="W",C366="W"),P365+P366-SUM(O364:O366)+_xlfn.XLOOKUP("X",C364:C366,O364:O366,0),IF(L366&gt;0,IF(OR($C364="W",$C364="1/2W",$C364="1/2L"),P364-SUM(O364:O366)+_xlfn.XLOOKUP("X",C364:C366,O364:O366,0),IF(OR($C364="W",$C364="1/2W",$C364="1/2L"),P365-SUM(O364:O366)+_xlfn.XLOOKUP("X",C364:C366,O364:O366,0),IF(OR($C364="W",$C364="1/2W",$C364="1/2L"),P366-SUM(O364:O366)+_xlfn.XLOOKUP("X",C364:C366,O364:O366,0),IF(SUM(P364:P366)/3-SUM(O364:O366)+_xlfn.XLOOKUP("X",C364:C366,O364:O366,0)&gt;0,SUM(P364:P366)/3-SUM(O364:O366)+_xlfn.XLOOKUP("X",C364:C366,O364:O366,0),LARGE(P364:P366,1)-SUM(O364:O366))))),IF(OR($C364="W",$C364="1/2W",$C364="1/2L"),P364-SUM(O364:O365)+_xlfn.XLOOKUP("X",C364:C366,O364:O366,0),IF(OR($C364="W",$C364="1/2W",$C364="1/2L"),P365-SUM(O364:O365)+_xlfn.XLOOKUP("X",C364:C366,O364:O366,0),SUM(P364:P365)/2-SUM(O364:O365)+_xlfn.XLOOKUP("X",C364:C366,O364:O366,0)))))))),2))</f>
        <v>4.1500000000000004</v>
      </c>
      <c r="T364" s="486">
        <f>IF(S364=0,0,S364/SUM(O364:O366))</f>
        <v>4.2290838683379198E-2</v>
      </c>
      <c r="U364" s="496">
        <f>IF($D364=$D361,IF(OR($B364="LOSS",$B364="OK",$B364="Anulada"),S364,0)+U361,IF(OR($B364="LOSS",$B364="OK",$B364="Anulada"),S364,0))</f>
        <v>-49.4</v>
      </c>
      <c r="V364" s="496">
        <f>IF($D364="",0,IF($D364=$D361,IF($B364=" ",IF(I366="",IF(OR(AND(I364="DNB1",I365="DNB2"),AND(OR(I364="DNB1",I364="DNB2"),J365=0),AND(OR(I365="DNB1",I365="DNB2"),J364=0),AND(I364="DNB2",I365="DNB1"),AND(IF(J364=0,(J364+1)/ROUND(J364+1,0),J364/ROUND(J364,0))=1,IF(J365=0,(J365+1)/ROUND(IF(J365="",0,J365)+1,0),IF(J365="",0,J365)/ROUND(IF(J365="",1,J365),0))=1,OR(J364&lt;&gt;""),J365&lt;&gt;"")),0,IF(S364&lt;0,IF(I366="",SMALL(P364:P365,1)-SUM(O364:O365),0),SMALL(P364:P365,1)-SUM(O364:O365))),IF(S364&lt;0,IF(I366="",SMALL(P364:P366,1)-SUM(O364:O366),0),LARGE(P364:P366,1)-SUM(O364:O366))),S364)+V361,IF(I366="",IF(OR(AND(I364="DNB1",I365="DNB2"),AND(OR(I364="DNB1",I364="DNB2"),J365=0),AND(OR(I365="DNB1",I365="DNB2"),J364=0),AND(I364="DNB2",I365="DNB1"),AND(IF(J364=0,(J364+1)/ROUND(J364+1,0),J364/ROUND(J364,0))=1,IF(J365=0,(IF(J365="",0,J365)+1)/ROUND(IF(J365="",0,J365)+1,0),IF(J365="",0,J365)/ROUND(IF(J365="",0,J365)+1,0))=1,OR(J364&lt;&gt;""),J365&lt;&gt;"")),0,IF(S364&lt;0,IF(I366="",SMALL(P364:P365,1)-SUM(O364:O365),0),SMALL(P364:P366,1)-SUM(O364:O366))),IF(S364&lt;0,IF(I366="",SMALL(P364:P366,1)-SUM(O364:O366),0),LARGE(P364:P366,1)-SUM(O364:O366)))))</f>
        <v>-34.379999999999988</v>
      </c>
      <c r="W364" s="496">
        <f>IF($D364=$D361,IF(S364&lt;0,IF(I366="",S364,0),S364)+W361,S364)</f>
        <v>-49.4</v>
      </c>
      <c r="X364" s="505" t="str">
        <f>IF(OR(SUM(R364:R366)=0,V364=W364),ROUND(IF(W364=0,0,W364/Y364)*100,2)&amp;"%",ROUND(IF(V364=0,0,V364/Y364)*100,2)&amp;"% a "&amp;ROUND(IF(W364=0,0,W364/Y364)*100,2)&amp;"%")</f>
        <v>-5,4%</v>
      </c>
      <c r="Y364" s="497">
        <f>IF($D364=$D361,Y361+SUM(O364:O366),SUM(O364:O366))</f>
        <v>914.89</v>
      </c>
      <c r="Z364" s="496">
        <f>IF($B364=" ",SUM(O364:O366),0)+Z361</f>
        <v>0</v>
      </c>
      <c r="AA364" s="496">
        <f>IF(G364="","",IF($B364="Anulado",LARGE(P364:P366,1)-SUM(O364:O366)+AA361,AA361))</f>
        <v>8.7641999999999936</v>
      </c>
      <c r="AB364" s="496">
        <f>IF($D364="","",AB361+S364)</f>
        <v>443.85000000000008</v>
      </c>
      <c r="AC364" s="499">
        <f ca="1">IF($D364="","",IF($B364=" ",IF(DAY(G364)=DAY(TODAY()),1+AC361,0+AC361),0+AC361))</f>
        <v>0</v>
      </c>
      <c r="AD364" s="157">
        <f>(1-_xlfn.XLOOKUP(K362,'Fevereiro 2023 - Valor Real'!A3:A15,'Fevereiro 2023 - Valor Real'!C3:C15,0))+1</f>
        <v>2</v>
      </c>
      <c r="AE364" s="158">
        <f>IF(L364="","",IF(L366&gt;0,(SUM(((L364-1)*(1-_xlfn.XLOOKUP(K364,'Fevereiro 2023 - Valor Real'!A3:A15,'Fevereiro 2023 - Valor Real'!C3:C15,0))+1),((L365-1)*(1-_xlfn.XLOOKUP(K365,'Fevereiro 2023 - Valor Real'!A3:A15,'Fevereiro 2023 - Valor Real'!C3:C15,0))+1),((L366-1)*(1-_xlfn.XLOOKUP(K366,'Fevereiro 2023 - Valor Real'!A3:A15,'Fevereiro 2023 - Valor Real'!C3:C15,0))+1))/((L364-1)*(1-_xlfn.XLOOKUP(K364,'Fevereiro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Real'!C3:C15,0))+1))/((L364-1)*(1-_xlfn.XLOOKUP(K364,'Fevereiro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Real'!C3:C15,0))+1))/((L365-1)*(1-_xlfn.XLOOKUP(K365,'Fevereiro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Real'!C3:C15,0))+1))/((L366-1)*(1-_xlfn.XLOOKUP(K366,'Fevereiro 2023 - Valor Real'!A3:A15,'Fevereiro 2023 - Valor Real'!C3:C15,0))+1)),IF(I364="Lay",IF(I365="Lay",((L365/(L365-1)-1)*(1-_xlfn.XLOOKUP(K365,'Fevereiro 2023 - Valor Real'!A3:A15,'Fevereiro 2023 - Valor Real'!C3:C15,0))+1)/(((L365/(L365-1)-1)*(1-_xlfn.XLOOKUP(K365,'Fevereiro 2023 - Valor Real'!A3:A15,'Fevereiro 2023 - Valor Real'!C3:C15,0))+1)+((L364/(L364-1)-1)*(1-_xlfn.XLOOKUP(K364,'Fevereiro 2023 - Valor Real'!A3:A15,'Fevereiro 2023 - Valor Real'!C3:C15,0))+1)),((L365-1)*(1-_xlfn.XLOOKUP(K365,'Fevereiro 2023 - Valor Real'!A3:A15,'Fevereiro 2023 - Valor Real'!C3:C15,0))+1)/(((L365-1)*(1-_xlfn.XLOOKUP(K365,'Fevereiro 2023 - Valor Real'!A3:A15,'Fevereiro 2023 - Valor Real'!C3:C15,0))+1)+((L364/(L364-1)-1)*(1-_xlfn.XLOOKUP(K364,'Fevereiro 2023 - Valor Real'!A3:A15,'Fevereiro 2023 - Valor Real'!C3:C15,0))+1))),IF(I365="Lay",(((L365/(L365-1)-1)*(1-_xlfn.XLOOKUP(K365,'Fevereiro 2023 - Valor Real'!A3:A15,'Fevereiro 2023 - Valor Real'!C3:C15,0))+1))/(((L364-1)*(1-_xlfn.XLOOKUP(K364,'Fevereiro 2023 - Valor Real'!A3:A15,'Fevereiro 2023 - Valor Real'!C3:C15,0))+1)+((L365/(L365-1)-1)*(1-_xlfn.XLOOKUP(K365,'Fevereiro 2023 - Valor Real'!A3:A15,'Fevereiro 2023 - Valor Real'!C3:C15,0))+1)),((L365-1)*(1-_xlfn.XLOOKUP(K365,'Fevereiro 2023 - Valor Real'!A3:A15,'Fevereiro 2023 - Valor Real'!C3:C15,0))+1)/(((L365-1)*(1-_xlfn.XLOOKUP(K365,'Fevereiro 2023 - Valor Real'!A3:A15,'Fevereiro 2023 - Valor Real'!C3:C15,0))+1)+((L364-1)*(1-_xlfn.XLOOKUP(K364,'Fevereiro 2023 - Valor Real'!A3:A15,'Fevereiro 2023 - Valor Real'!C3:C15,0))+1))))))</f>
        <v>0.354574077818539</v>
      </c>
      <c r="AF364" s="66">
        <f t="shared" ref="AF364:AR373" si="732">IF($K364=AF$3,ROUND(IF(OR($C364="W",$C364="1/2W",$C364="1/2L"),$P364-$O364,IF($C364="X",0,-$O364)),2),0)</f>
        <v>0</v>
      </c>
      <c r="AG364" s="67">
        <f t="shared" si="732"/>
        <v>0</v>
      </c>
      <c r="AH364" s="67">
        <f t="shared" si="732"/>
        <v>0</v>
      </c>
      <c r="AI364" s="67">
        <f t="shared" si="732"/>
        <v>0</v>
      </c>
      <c r="AJ364" s="67">
        <f t="shared" si="732"/>
        <v>67.489999999999995</v>
      </c>
      <c r="AK364" s="67">
        <f t="shared" si="732"/>
        <v>0</v>
      </c>
      <c r="AL364" s="67">
        <f t="shared" si="732"/>
        <v>0</v>
      </c>
      <c r="AM364" s="67">
        <f t="shared" si="732"/>
        <v>0</v>
      </c>
      <c r="AN364" s="67">
        <f t="shared" si="732"/>
        <v>0</v>
      </c>
      <c r="AO364" s="67">
        <f t="shared" si="732"/>
        <v>0</v>
      </c>
      <c r="AP364" s="67">
        <f t="shared" si="732"/>
        <v>0</v>
      </c>
      <c r="AQ364" s="67">
        <f t="shared" si="732"/>
        <v>0</v>
      </c>
      <c r="AR364" s="68">
        <f t="shared" si="732"/>
        <v>0</v>
      </c>
      <c r="AS364" s="66">
        <f t="shared" ref="AS364:BE364" si="733">IF(AND($B364=" ",$K364=AS$3),$O364,0)</f>
        <v>0</v>
      </c>
      <c r="AT364" s="67">
        <f t="shared" si="733"/>
        <v>0</v>
      </c>
      <c r="AU364" s="67">
        <f t="shared" si="733"/>
        <v>0</v>
      </c>
      <c r="AV364" s="67">
        <f t="shared" si="733"/>
        <v>0</v>
      </c>
      <c r="AW364" s="67">
        <f t="shared" si="733"/>
        <v>0</v>
      </c>
      <c r="AX364" s="67">
        <f t="shared" si="733"/>
        <v>0</v>
      </c>
      <c r="AY364" s="69">
        <f t="shared" si="733"/>
        <v>0</v>
      </c>
      <c r="AZ364" s="70">
        <f t="shared" si="733"/>
        <v>0</v>
      </c>
      <c r="BA364" s="70">
        <f t="shared" si="733"/>
        <v>0</v>
      </c>
      <c r="BB364" s="70">
        <f t="shared" si="733"/>
        <v>0</v>
      </c>
      <c r="BC364" s="71">
        <f t="shared" si="733"/>
        <v>0</v>
      </c>
      <c r="BD364" s="67">
        <f t="shared" si="733"/>
        <v>0</v>
      </c>
      <c r="BE364" s="68">
        <f t="shared" si="733"/>
        <v>0</v>
      </c>
      <c r="BF364" s="66">
        <f t="shared" ref="BF364:BR373" si="734">IF($K364=BF$3,IF($C364="X",0,$O364),0)</f>
        <v>0</v>
      </c>
      <c r="BG364" s="67">
        <f t="shared" si="734"/>
        <v>0</v>
      </c>
      <c r="BH364" s="67">
        <f t="shared" si="734"/>
        <v>0</v>
      </c>
      <c r="BI364" s="67">
        <f t="shared" si="734"/>
        <v>0</v>
      </c>
      <c r="BJ364" s="67">
        <f t="shared" si="734"/>
        <v>34.79</v>
      </c>
      <c r="BK364" s="67">
        <f t="shared" si="734"/>
        <v>0</v>
      </c>
      <c r="BL364" s="67">
        <f t="shared" si="734"/>
        <v>0</v>
      </c>
      <c r="BM364" s="69">
        <f t="shared" si="734"/>
        <v>0</v>
      </c>
      <c r="BN364" s="70">
        <f t="shared" si="734"/>
        <v>0</v>
      </c>
      <c r="BO364" s="70">
        <f t="shared" si="734"/>
        <v>0</v>
      </c>
      <c r="BP364" s="70">
        <f t="shared" si="734"/>
        <v>0</v>
      </c>
      <c r="BQ364" s="71">
        <f t="shared" si="734"/>
        <v>0</v>
      </c>
      <c r="BR364" s="68">
        <f t="shared" si="734"/>
        <v>0</v>
      </c>
      <c r="BS364" s="490">
        <f>IF($B364="LOSS",IF(AND($K364=BS$3,$C364="L"),-$O364,0)+IF(AND($K365=BS$3,$C365="L"),-$O365,0)+IF(AND($K366=BS$3,$C366="L"),-$O366,0),IF(OR(AND($K364=BS$3,OR($C364="W",$C364="1/2W")),AND($K365=BS$3,OR($C365="W",$C365="1/2W")),AND($K366=BS$3,OR($C366="W",$C366="1/2W"))),$S364,0))</f>
        <v>0</v>
      </c>
      <c r="BT364" s="498">
        <f>IF($B364="LOSS",IF(AND($K364=BT$3,$C364="L"),-$O364,0)+IF(AND($K365=BT$3,$C365="L"),-$O365,0)+IF(AND($K365=BT$3,$C366="L"),-$O366,0),IF(OR(AND($K365=BT$3,OR($C364="W",$C364="1/2W")),AND($K365=BT$3,OR($C365="W",$C365="1/2W")),AND($K365=BT$3,OR($C366="W",$C366="1/2W"))),$S364,0))</f>
        <v>0</v>
      </c>
      <c r="BU364" s="488">
        <f>IF($B364="LOSS",IF(AND($K364=BU$3,$C364="L"),-$O364,0)+IF(AND($K365=BU$3,$C365="L"),-$O365,0)+IF(AND($K365=BU$3,$C366="L"),-$O366,0),IF(OR(AND($K365=BU$3,OR($C364="W",$C364="1/2W")),AND($K365=BU$3,OR($C365="W",$C365="1/2W")),AND($K365=BU$3,OR($C366="W",$C366="1/2W"))),$S364,0))</f>
        <v>4.1500000000000004</v>
      </c>
      <c r="BV364" s="488">
        <f t="shared" ref="BV364:CE364" si="735">IF($B364="LOSS",IF(AND($K364=BV$3,$C364="L"),-$O364,0)+IF(AND($K365=BV$3,$C365="L"),-$O365,0)+IF(AND($K366=BV$3,$C366="L"),-$O366,0),IF(OR(AND($K364=BV$3,OR($C364="W",$C364="1/2W")),AND($K365=BV$3,OR($C365="W",$C365="1/2W")),AND($K366=BV$3,OR($C366="W",$C366="1/2W"))),$S364,0))</f>
        <v>0</v>
      </c>
      <c r="BW364" s="488">
        <f t="shared" si="735"/>
        <v>4.1500000000000004</v>
      </c>
      <c r="BX364" s="488">
        <f t="shared" si="735"/>
        <v>0</v>
      </c>
      <c r="BY364" s="488">
        <f t="shared" si="735"/>
        <v>0</v>
      </c>
      <c r="BZ364" s="488">
        <f t="shared" si="735"/>
        <v>0</v>
      </c>
      <c r="CA364" s="488">
        <f t="shared" si="735"/>
        <v>0</v>
      </c>
      <c r="CB364" s="488">
        <f t="shared" si="735"/>
        <v>0</v>
      </c>
      <c r="CC364" s="488">
        <f t="shared" si="735"/>
        <v>0</v>
      </c>
      <c r="CD364" s="500">
        <f t="shared" si="735"/>
        <v>0</v>
      </c>
      <c r="CE364" s="504">
        <f t="shared" si="735"/>
        <v>0</v>
      </c>
      <c r="CF364" s="160">
        <f t="shared" si="644"/>
        <v>0</v>
      </c>
      <c r="CG364" s="161">
        <f t="shared" si="645"/>
        <v>0</v>
      </c>
      <c r="CH364" s="161">
        <f t="shared" si="646"/>
        <v>0</v>
      </c>
      <c r="CI364" s="161">
        <f t="shared" si="647"/>
        <v>0</v>
      </c>
      <c r="CJ364" s="161">
        <f t="shared" si="648"/>
        <v>0</v>
      </c>
      <c r="CK364" s="161">
        <f t="shared" si="649"/>
        <v>0</v>
      </c>
      <c r="CL364" s="161">
        <f t="shared" si="650"/>
        <v>0</v>
      </c>
      <c r="CM364" s="161">
        <f t="shared" si="651"/>
        <v>0</v>
      </c>
      <c r="CN364" s="161">
        <f t="shared" si="652"/>
        <v>1</v>
      </c>
      <c r="CO364" s="161">
        <f t="shared" si="653"/>
        <v>0</v>
      </c>
      <c r="CP364" s="161">
        <f t="shared" si="654"/>
        <v>0</v>
      </c>
      <c r="CQ364" s="161">
        <f t="shared" si="655"/>
        <v>0</v>
      </c>
      <c r="CR364" s="161">
        <f t="shared" si="656"/>
        <v>0</v>
      </c>
      <c r="CS364" s="161">
        <f t="shared" si="657"/>
        <v>0</v>
      </c>
      <c r="CT364" s="75">
        <f t="shared" si="658"/>
        <v>0</v>
      </c>
      <c r="CU364" s="76">
        <f t="shared" si="659"/>
        <v>0</v>
      </c>
      <c r="CV364" s="76">
        <f t="shared" si="660"/>
        <v>0</v>
      </c>
      <c r="CW364" s="76">
        <f t="shared" si="661"/>
        <v>0</v>
      </c>
      <c r="CX364" s="76">
        <f t="shared" si="662"/>
        <v>0</v>
      </c>
      <c r="CY364" s="76">
        <f t="shared" si="663"/>
        <v>0</v>
      </c>
      <c r="CZ364" s="76">
        <f t="shared" si="664"/>
        <v>0</v>
      </c>
      <c r="DA364" s="76">
        <f t="shared" si="665"/>
        <v>0</v>
      </c>
      <c r="DB364" s="76">
        <f t="shared" si="666"/>
        <v>0</v>
      </c>
      <c r="DC364" s="76">
        <f t="shared" si="667"/>
        <v>0</v>
      </c>
      <c r="DD364" s="76">
        <f t="shared" si="668"/>
        <v>0</v>
      </c>
      <c r="DE364" s="77">
        <f t="shared" si="669"/>
        <v>0</v>
      </c>
      <c r="DF364" s="73">
        <f t="shared" si="672"/>
        <v>26</v>
      </c>
      <c r="DG364" s="67">
        <f t="shared" si="673"/>
        <v>33.83</v>
      </c>
      <c r="DH364" s="76">
        <f t="shared" si="674"/>
        <v>10</v>
      </c>
      <c r="DI364" s="67">
        <f t="shared" si="675"/>
        <v>41.599999999999994</v>
      </c>
      <c r="DJ364" s="202" t="str">
        <f>IF($D364="","",$D364)</f>
        <v>10</v>
      </c>
      <c r="DK364" s="492">
        <f>IF(AND($B364=" ",$D364&lt;&gt;""),1,0)</f>
        <v>0</v>
      </c>
    </row>
    <row r="365" spans="1:115" ht="14.5" customHeight="1" x14ac:dyDescent="0.2">
      <c r="A365" s="389"/>
      <c r="B365" s="456"/>
      <c r="C365" s="53" t="s">
        <v>55</v>
      </c>
      <c r="D365" s="374"/>
      <c r="E365" s="386"/>
      <c r="F365" s="377"/>
      <c r="G365" s="508"/>
      <c r="H365" s="476"/>
      <c r="I365" s="182" t="s">
        <v>88</v>
      </c>
      <c r="J365" s="163" t="str">
        <f>IF(OR(I364="TO",I364="TU",I364="TO1",I364="TU1",I364="TO2",I364="TU2"),J364,IF(OR(I364="AH1",I364="AH2"),IF(OR(I365="AH1",I365="AH2"),-J364,IF(OR(I365="EH1",I365="EH2"),-J364+0.5,"")),IF(OR(I364="EH1",I364="EH2"),IF(OR(I365="AH1",I365="AH2"),-J364+0.5,IF(OR(I365="EH1",I365="EH2"),-J364+1,"")),IF(AND(OR(I364="DNB1",I364="DNB2"),OR(I365="AH1",I365="AH2")),0,IF(AND(I364="Not ScoreBoth",OR(I365="TO1",I365="TO2")),0.5,"")))))</f>
        <v/>
      </c>
      <c r="K365" s="57" t="s">
        <v>38</v>
      </c>
      <c r="L365" s="164">
        <v>2.52</v>
      </c>
      <c r="M365" s="165">
        <v>63.34</v>
      </c>
      <c r="N365" s="406"/>
      <c r="O365" s="60">
        <f>IF(OR(AE364="",AE365=""),"",ROUND(IF(L366&gt;0,IF(M365&gt;0,M365,IF(M364&gt;0,IF(N364=TRUE,ROUND((M364*AE365)/AE364,0),(M364*AE365)/AE364),IF(M365&gt;0,ROUND(M365,IF(N364=0,2,IF(N364=0.1,1,0))),IF(M366&gt;0,ROUND(O366*AE365/AE366,IF(N364=0,2,IF(N364=0.1,1,0))),0)))),IF(M365&gt;0,M365,ROUND((M364*AE365)/AE364,IF(N364=0,2,IF(N364=0.1,1,0))))),2))</f>
        <v>63.34</v>
      </c>
      <c r="P365" s="61">
        <f>IF(OR(L365="",O365=""),"",IF($C365="1/2W",O365/2+O365/2*L365,IF($C365="1/2L",O365/2,IF(I365="Lay",((O365*(L365/(L365-1)))-O365)*(1-_xlfn.XLOOKUP(K365,'Fevereiro 2023 - Valor Real'!A3:A15,'Fevereiro 2023 - Valor Real'!C3:C15,0))+O365,(O365*L365-O365)*(1-_xlfn.XLOOKUP(K365,'Fevereiro 2023 - Valor Real'!A3:A15,'Fevereiro 2023 - Valor Real'!C3:C15,0))+O365))))</f>
        <v>102.30243421052634</v>
      </c>
      <c r="Q365" s="166">
        <f>IF(K365="","",IF(_xlfn.XLOOKUP(K365,K$10:K356,$DJ$10:DJ356,0,,-1)=DJ365,_xlfn.XLOOKUP(K365,K$10:K356,Q$10:Q356,1,,-1)+1,1))</f>
        <v>3</v>
      </c>
      <c r="R365" s="167">
        <f>IF(K365="","",_xlfn.XLOOKUP(K365,K$10:K356,R$10:R356,0,,-1)+IF($C365=" ",1,0))</f>
        <v>0</v>
      </c>
      <c r="S365" s="403"/>
      <c r="T365" s="380"/>
      <c r="U365" s="380"/>
      <c r="V365" s="481"/>
      <c r="W365" s="380"/>
      <c r="X365" s="452"/>
      <c r="Y365" s="383"/>
      <c r="Z365" s="384"/>
      <c r="AA365" s="384"/>
      <c r="AB365" s="384"/>
      <c r="AC365" s="384"/>
      <c r="AD365" s="64"/>
      <c r="AE365" s="65">
        <f>IF(L365="","",IF(L366&gt;0,(SUM(((L364-1)*(1-_xlfn.XLOOKUP(K364,'Fevereiro 2023 - Valor Real'!A3:A15,'Fevereiro 2023 - Valor Real'!C3:C15,0))+1),((L365-1)*(1-_xlfn.XLOOKUP(K365,'Fevereiro 2023 - Valor Real'!A3:A15,'Fevereiro 2023 - Valor Real'!C3:C15,0))+1),((L366-1)*(1-_xlfn.XLOOKUP(K366,'Fevereiro 2023 - Valor Real'!A3:A15,'Fevereiro 2023 - Valor Real'!C3:C15,0))+1))/((L365-1)*(1-_xlfn.XLOOKUP(K365,'Fevereiro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Real'!C3:C15,0))+1))/((L364-1)*(1-_xlfn.XLOOKUP(K364,'Fevereiro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Real'!C3:C15,0))+1))/((L365-1)*(1-_xlfn.XLOOKUP(K365,'Fevereiro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Real'!C3:C15,0))+1))/((L366-1)*(1-_xlfn.XLOOKUP(K366,'Fevereiro 2023 - Valor Real'!A3:A15,'Fevereiro 2023 - Valor Real'!C3:C15,0))+1)),IF(I365="Lay",IF(I364="Lay",((L364/(L364-1)-1)*(1-_xlfn.XLOOKUP(K364,'Fevereiro 2023 - Valor Real'!A3:A15,'Fevereiro 2023 - Valor Real'!C3:C15,0))+1)/(((L364/(L364-1)-1)*(1-_xlfn.XLOOKUP(K364,'Fevereiro 2023 - Valor Real'!A3:A15,'Fevereiro 2023 - Valor Real'!C3:C15,0))+1)+((L365/(L365-1)-1)*(1-_xlfn.XLOOKUP(K365,'Fevereiro 2023 - Valor Real'!A3:A15,'Fevereiro 2023 - Valor Real'!C3:C15,0))+1)),((L364-1)*(1-_xlfn.XLOOKUP(K364,'Fevereiro 2023 - Valor Real'!A3:A15,'Fevereiro 2023 - Valor Real'!C3:C15,0))+1)/(((L364-1)*(1-_xlfn.XLOOKUP(K364,'Fevereiro 2023 - Valor Real'!A3:A15,'Fevereiro 2023 - Valor Real'!C3:C15,0))+1)+((L365/(L365-1)-1)*(1-_xlfn.XLOOKUP(K365,'Fevereiro 2023 - Valor Real'!A3:A15,'Fevereiro 2023 - Valor Real'!C3:C15,0))+1))),IF(I364="Lay",((L364/(L364-1)-1)*(1-_xlfn.XLOOKUP(K364,'Fevereiro 2023 - Valor Real'!A3:A15,'Fevereiro 2023 - Valor Real'!C3:C15,0))+1)/((((L364/(L364-1)-1)*(1-_xlfn.XLOOKUP(K364,'Fevereiro 2023 - Valor Real'!A3:A15,'Fevereiro 2023 - Valor Real'!C3:C15,0))+1))+((L365-1)*(1-_xlfn.XLOOKUP(K365,'Fevereiro 2023 - Valor Real'!A3:A15,'Fevereiro 2023 - Valor Real'!C3:C15,0))+1)),((L364-1)*(1-_xlfn.XLOOKUP(K364,'Fevereiro 2023 - Valor Real'!A3:A15,'Fevereiro 2023 - Valor Real'!C3:C15,0))+1)/(((L364-1)*(1-_xlfn.XLOOKUP(K364,'Fevereiro 2023 - Valor Real'!A3:A15,'Fevereiro 2023 - Valor Real'!C3:C15,0))+1)+((L365-1)*(1-_xlfn.XLOOKUP(K365,'Fevereiro 2023 - Valor Real'!A3:A15,'Fevereiro 2023 - Valor Real'!C3:C15,0))+1))))))</f>
        <v>0.645425922181461</v>
      </c>
      <c r="AF365" s="66">
        <f t="shared" si="732"/>
        <v>0</v>
      </c>
      <c r="AG365" s="67">
        <f t="shared" si="732"/>
        <v>0</v>
      </c>
      <c r="AH365" s="67">
        <f t="shared" si="732"/>
        <v>-63.34</v>
      </c>
      <c r="AI365" s="67">
        <f t="shared" si="732"/>
        <v>0</v>
      </c>
      <c r="AJ365" s="67">
        <f t="shared" si="732"/>
        <v>0</v>
      </c>
      <c r="AK365" s="67">
        <f t="shared" si="732"/>
        <v>0</v>
      </c>
      <c r="AL365" s="67">
        <f t="shared" si="732"/>
        <v>0</v>
      </c>
      <c r="AM365" s="67">
        <f t="shared" si="732"/>
        <v>0</v>
      </c>
      <c r="AN365" s="67">
        <f t="shared" si="732"/>
        <v>0</v>
      </c>
      <c r="AO365" s="67">
        <f t="shared" si="732"/>
        <v>0</v>
      </c>
      <c r="AP365" s="67">
        <f t="shared" si="732"/>
        <v>0</v>
      </c>
      <c r="AQ365" s="67">
        <f t="shared" si="732"/>
        <v>0</v>
      </c>
      <c r="AR365" s="68">
        <f t="shared" si="732"/>
        <v>0</v>
      </c>
      <c r="AS365" s="66">
        <f>IF(AND($B364=" ",$K365=AS$3),$O365,0)</f>
        <v>0</v>
      </c>
      <c r="AT365" s="67">
        <f>IF(AND($B364=" ",K365=AT$3),$O365,0)</f>
        <v>0</v>
      </c>
      <c r="AU365" s="67">
        <f t="shared" ref="AU365:BE365" si="736">IF(AND($B364=" ",$K365=AU$3),$O365,0)</f>
        <v>0</v>
      </c>
      <c r="AV365" s="67">
        <f t="shared" si="736"/>
        <v>0</v>
      </c>
      <c r="AW365" s="67">
        <f t="shared" si="736"/>
        <v>0</v>
      </c>
      <c r="AX365" s="67">
        <f t="shared" si="736"/>
        <v>0</v>
      </c>
      <c r="AY365" s="69">
        <f t="shared" si="736"/>
        <v>0</v>
      </c>
      <c r="AZ365" s="70">
        <f t="shared" si="736"/>
        <v>0</v>
      </c>
      <c r="BA365" s="70">
        <f t="shared" si="736"/>
        <v>0</v>
      </c>
      <c r="BB365" s="70">
        <f t="shared" si="736"/>
        <v>0</v>
      </c>
      <c r="BC365" s="71">
        <f t="shared" si="736"/>
        <v>0</v>
      </c>
      <c r="BD365" s="67">
        <f t="shared" si="736"/>
        <v>0</v>
      </c>
      <c r="BE365" s="68">
        <f t="shared" si="736"/>
        <v>0</v>
      </c>
      <c r="BF365" s="66">
        <f t="shared" si="734"/>
        <v>0</v>
      </c>
      <c r="BG365" s="168">
        <f t="shared" si="734"/>
        <v>0</v>
      </c>
      <c r="BH365" s="67">
        <f t="shared" si="734"/>
        <v>63.34</v>
      </c>
      <c r="BI365" s="67">
        <f t="shared" si="734"/>
        <v>0</v>
      </c>
      <c r="BJ365" s="67">
        <f t="shared" si="734"/>
        <v>0</v>
      </c>
      <c r="BK365" s="67">
        <f t="shared" si="734"/>
        <v>0</v>
      </c>
      <c r="BL365" s="67">
        <f t="shared" si="734"/>
        <v>0</v>
      </c>
      <c r="BM365" s="69">
        <f t="shared" si="734"/>
        <v>0</v>
      </c>
      <c r="BN365" s="70">
        <f t="shared" si="734"/>
        <v>0</v>
      </c>
      <c r="BO365" s="70">
        <f t="shared" si="734"/>
        <v>0</v>
      </c>
      <c r="BP365" s="70">
        <f t="shared" si="734"/>
        <v>0</v>
      </c>
      <c r="BQ365" s="71">
        <f t="shared" si="734"/>
        <v>0</v>
      </c>
      <c r="BR365" s="68">
        <f t="shared" si="734"/>
        <v>0</v>
      </c>
      <c r="BS365" s="491"/>
      <c r="BT365" s="489"/>
      <c r="BU365" s="392"/>
      <c r="BV365" s="489"/>
      <c r="BW365" s="392"/>
      <c r="BX365" s="392"/>
      <c r="BY365" s="392"/>
      <c r="BZ365" s="489"/>
      <c r="CA365" s="392"/>
      <c r="CB365" s="392"/>
      <c r="CC365" s="392"/>
      <c r="CD365" s="401"/>
      <c r="CE365" s="409"/>
      <c r="CF365" s="169">
        <f t="shared" si="644"/>
        <v>0</v>
      </c>
      <c r="CG365" s="170">
        <f t="shared" si="645"/>
        <v>0</v>
      </c>
      <c r="CH365" s="170">
        <f t="shared" si="646"/>
        <v>0</v>
      </c>
      <c r="CI365" s="170">
        <f t="shared" si="647"/>
        <v>0</v>
      </c>
      <c r="CJ365" s="170">
        <f t="shared" si="648"/>
        <v>0</v>
      </c>
      <c r="CK365" s="170">
        <f t="shared" si="649"/>
        <v>1</v>
      </c>
      <c r="CL365" s="170">
        <f t="shared" si="650"/>
        <v>0</v>
      </c>
      <c r="CM365" s="170">
        <f t="shared" si="651"/>
        <v>0</v>
      </c>
      <c r="CN365" s="170">
        <f t="shared" si="652"/>
        <v>0</v>
      </c>
      <c r="CO365" s="170">
        <f t="shared" si="653"/>
        <v>0</v>
      </c>
      <c r="CP365" s="170">
        <f t="shared" si="654"/>
        <v>0</v>
      </c>
      <c r="CQ365" s="170">
        <f t="shared" si="655"/>
        <v>0</v>
      </c>
      <c r="CR365" s="170">
        <f t="shared" si="656"/>
        <v>0</v>
      </c>
      <c r="CS365" s="170">
        <f t="shared" si="657"/>
        <v>0</v>
      </c>
      <c r="CT365" s="75">
        <f t="shared" si="658"/>
        <v>0</v>
      </c>
      <c r="CU365" s="76">
        <f t="shared" si="659"/>
        <v>0</v>
      </c>
      <c r="CV365" s="76">
        <f t="shared" si="660"/>
        <v>0</v>
      </c>
      <c r="CW365" s="76">
        <f t="shared" si="661"/>
        <v>0</v>
      </c>
      <c r="CX365" s="76">
        <f t="shared" si="662"/>
        <v>0</v>
      </c>
      <c r="CY365" s="76">
        <f t="shared" si="663"/>
        <v>0</v>
      </c>
      <c r="CZ365" s="76">
        <f t="shared" si="664"/>
        <v>0</v>
      </c>
      <c r="DA365" s="76">
        <f t="shared" si="665"/>
        <v>0</v>
      </c>
      <c r="DB365" s="76">
        <f t="shared" si="666"/>
        <v>0</v>
      </c>
      <c r="DC365" s="76">
        <f t="shared" si="667"/>
        <v>0</v>
      </c>
      <c r="DD365" s="76">
        <f t="shared" si="668"/>
        <v>0</v>
      </c>
      <c r="DE365" s="77">
        <f t="shared" si="669"/>
        <v>0</v>
      </c>
      <c r="DF365" s="73">
        <f t="shared" si="672"/>
        <v>26</v>
      </c>
      <c r="DG365" s="67">
        <f t="shared" si="673"/>
        <v>33.83</v>
      </c>
      <c r="DH365" s="76">
        <f t="shared" si="674"/>
        <v>10</v>
      </c>
      <c r="DI365" s="67">
        <f t="shared" si="675"/>
        <v>41.599999999999994</v>
      </c>
      <c r="DJ365" s="202" t="str">
        <f>IF($D364="","",$D364)</f>
        <v>10</v>
      </c>
      <c r="DK365" s="493"/>
    </row>
    <row r="366" spans="1:115" ht="14.5" customHeight="1" x14ac:dyDescent="0.2">
      <c r="A366" s="390"/>
      <c r="B366" s="457"/>
      <c r="C366" s="79" t="s">
        <v>53</v>
      </c>
      <c r="D366" s="375"/>
      <c r="E366" s="387"/>
      <c r="F366" s="378"/>
      <c r="G366" s="508"/>
      <c r="H366" s="477"/>
      <c r="I366" s="171"/>
      <c r="J366" s="172"/>
      <c r="K366" s="81"/>
      <c r="L366" s="173"/>
      <c r="M366" s="174"/>
      <c r="N366" s="407"/>
      <c r="O366" s="86" t="str">
        <f>IF(OR(AE364="",AE365=""),"",IF(L366&gt;0,ROUND(IF(M366&gt;0,M366,IF(M364&gt;0,ROUND((M364*AE366)/AE364,IF(N364=0,2,IF(N364=0.1,1,0))),IF(M365&gt;0,ROUND((M365*AE366)/AE365,IF(N364=0,2,IF(N364=0.1,1,0))),IF(M366&gt;0,M366,0)))),2),""))</f>
        <v/>
      </c>
      <c r="P366" s="188">
        <f>IF(I365="Lay",O365*(L365/(L365-1))-O365,IF(I364="Lay",O364*(L364/(L364-1))-O364,IF(OR(L366="",O366=""),"",IF($C366="1/2W",O366/2+O366/2*L366,IF($C366="1/2L",O366/2,(O366*L366-O366)*(1-_xlfn.XLOOKUP(K366,'Fevereiro 2023 - Valor Real'!A3:A15,'Fevereiro 2023 - Valor Real'!C3:C15,0))+O366)))))</f>
        <v>41.671052631578959</v>
      </c>
      <c r="Q366" s="54" t="str">
        <f>IF(K366="","",IF(_xlfn.XLOOKUP(K366,K$11:K356,$DJ$11:DJ356,0,,-1)=DJ366,_xlfn.XLOOKUP(K366,K$11:K356,Q$11:Q356,1,,-1)+1,1))</f>
        <v/>
      </c>
      <c r="R366" s="87" t="str">
        <f>IF(K366="","",_xlfn.XLOOKUP(K366,K$11:K356,R$11:R356,0,,-1)+IF($C366=" ",1,0))</f>
        <v/>
      </c>
      <c r="S366" s="404"/>
      <c r="T366" s="378"/>
      <c r="U366" s="378"/>
      <c r="V366" s="404"/>
      <c r="W366" s="378"/>
      <c r="X366" s="453"/>
      <c r="Y366" s="383"/>
      <c r="Z366" s="384"/>
      <c r="AA366" s="384"/>
      <c r="AB366" s="384"/>
      <c r="AC366" s="384"/>
      <c r="AD366" s="90"/>
      <c r="AE366" s="91" t="str">
        <f>IF(L366="","",(SUM(((L364-1)*(1-_xlfn.XLOOKUP(K364,'Fevereiro 2023 - Valor Real'!A3:A15,'Fevereiro 2023 - Valor Real'!C3:C15,0))+1),((L365-1)*(1-_xlfn.XLOOKUP(K365,'Fevereiro 2023 - Valor Real'!A3:A15,'Fevereiro 2023 - Valor Real'!C3:C15,0))+1),((L366-1)*(1-_xlfn.XLOOKUP(K366,'Fevereiro 2023 - Valor Real'!A3:A15,'Fevereiro 2023 - Valor Real'!C3:C15,0))+1))/((L366-1)*(1-_xlfn.XLOOKUP(K366,'Fevereiro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Real'!C3:C15,0))+1))/((L364-1)*(1-_xlfn.XLOOKUP(K364,'Fevereiro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Real'!C3:C15,0))+1))/((L365-1)*(1-_xlfn.XLOOKUP(K365,'Fevereiro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Real'!C3:C15,0))+1))/((L366-1)*(1-_xlfn.XLOOKUP(K366,'Fevereiro 2023 - Valor Real'!A3:A15,'Fevereiro 2023 - Valor Real'!C3:C15,0))+1)))</f>
        <v/>
      </c>
      <c r="AF366" s="66">
        <f t="shared" si="732"/>
        <v>0</v>
      </c>
      <c r="AG366" s="67">
        <f t="shared" si="732"/>
        <v>0</v>
      </c>
      <c r="AH366" s="67">
        <f t="shared" si="732"/>
        <v>0</v>
      </c>
      <c r="AI366" s="67">
        <f t="shared" si="732"/>
        <v>0</v>
      </c>
      <c r="AJ366" s="67">
        <f t="shared" si="732"/>
        <v>0</v>
      </c>
      <c r="AK366" s="67">
        <f t="shared" si="732"/>
        <v>0</v>
      </c>
      <c r="AL366" s="67">
        <f t="shared" si="732"/>
        <v>0</v>
      </c>
      <c r="AM366" s="67">
        <f t="shared" si="732"/>
        <v>0</v>
      </c>
      <c r="AN366" s="67">
        <f t="shared" si="732"/>
        <v>0</v>
      </c>
      <c r="AO366" s="67">
        <f t="shared" si="732"/>
        <v>0</v>
      </c>
      <c r="AP366" s="67">
        <f t="shared" si="732"/>
        <v>0</v>
      </c>
      <c r="AQ366" s="67">
        <f t="shared" si="732"/>
        <v>0</v>
      </c>
      <c r="AR366" s="68">
        <f t="shared" si="732"/>
        <v>0</v>
      </c>
      <c r="AS366" s="66">
        <f>IF(AND($B364=" ",$K366=AS$3),$O366,0)</f>
        <v>0</v>
      </c>
      <c r="AT366" s="67">
        <f>IF(AND($B364=" ",K366=AT$3),$O366,0)</f>
        <v>0</v>
      </c>
      <c r="AU366" s="67">
        <f t="shared" ref="AU366:BE366" si="737">IF(AND($B364=" ",$K366=AU$3),$O366,0)</f>
        <v>0</v>
      </c>
      <c r="AV366" s="67">
        <f t="shared" si="737"/>
        <v>0</v>
      </c>
      <c r="AW366" s="67">
        <f t="shared" si="737"/>
        <v>0</v>
      </c>
      <c r="AX366" s="67">
        <f t="shared" si="737"/>
        <v>0</v>
      </c>
      <c r="AY366" s="69">
        <f t="shared" si="737"/>
        <v>0</v>
      </c>
      <c r="AZ366" s="70">
        <f t="shared" si="737"/>
        <v>0</v>
      </c>
      <c r="BA366" s="70">
        <f t="shared" si="737"/>
        <v>0</v>
      </c>
      <c r="BB366" s="70">
        <f t="shared" si="737"/>
        <v>0</v>
      </c>
      <c r="BC366" s="71">
        <f t="shared" si="737"/>
        <v>0</v>
      </c>
      <c r="BD366" s="67">
        <f t="shared" si="737"/>
        <v>0</v>
      </c>
      <c r="BE366" s="68">
        <f t="shared" si="737"/>
        <v>0</v>
      </c>
      <c r="BF366" s="66">
        <f t="shared" si="734"/>
        <v>0</v>
      </c>
      <c r="BG366" s="168">
        <f t="shared" si="734"/>
        <v>0</v>
      </c>
      <c r="BH366" s="67">
        <f t="shared" si="734"/>
        <v>0</v>
      </c>
      <c r="BI366" s="67">
        <f t="shared" si="734"/>
        <v>0</v>
      </c>
      <c r="BJ366" s="67">
        <f t="shared" si="734"/>
        <v>0</v>
      </c>
      <c r="BK366" s="67">
        <f t="shared" si="734"/>
        <v>0</v>
      </c>
      <c r="BL366" s="67">
        <f t="shared" si="734"/>
        <v>0</v>
      </c>
      <c r="BM366" s="69">
        <f t="shared" si="734"/>
        <v>0</v>
      </c>
      <c r="BN366" s="70">
        <f t="shared" si="734"/>
        <v>0</v>
      </c>
      <c r="BO366" s="70">
        <f t="shared" si="734"/>
        <v>0</v>
      </c>
      <c r="BP366" s="70">
        <f t="shared" si="734"/>
        <v>0</v>
      </c>
      <c r="BQ366" s="71">
        <f t="shared" si="734"/>
        <v>0</v>
      </c>
      <c r="BR366" s="68">
        <f t="shared" si="734"/>
        <v>0</v>
      </c>
      <c r="BS366" s="491"/>
      <c r="BT366" s="489"/>
      <c r="BU366" s="392"/>
      <c r="BV366" s="489"/>
      <c r="BW366" s="392"/>
      <c r="BX366" s="392"/>
      <c r="BY366" s="392"/>
      <c r="BZ366" s="489"/>
      <c r="CA366" s="392"/>
      <c r="CB366" s="392"/>
      <c r="CC366" s="392"/>
      <c r="CD366" s="401"/>
      <c r="CE366" s="409"/>
      <c r="CF366" s="169">
        <f t="shared" si="644"/>
        <v>0</v>
      </c>
      <c r="CG366" s="170">
        <f t="shared" si="645"/>
        <v>0</v>
      </c>
      <c r="CH366" s="170">
        <f t="shared" si="646"/>
        <v>0</v>
      </c>
      <c r="CI366" s="170">
        <f t="shared" si="647"/>
        <v>0</v>
      </c>
      <c r="CJ366" s="170">
        <f t="shared" si="648"/>
        <v>0</v>
      </c>
      <c r="CK366" s="170">
        <f t="shared" si="649"/>
        <v>0</v>
      </c>
      <c r="CL366" s="170">
        <f t="shared" si="650"/>
        <v>0</v>
      </c>
      <c r="CM366" s="170">
        <f t="shared" si="651"/>
        <v>0</v>
      </c>
      <c r="CN366" s="170">
        <f t="shared" si="652"/>
        <v>0</v>
      </c>
      <c r="CO366" s="170">
        <f t="shared" si="653"/>
        <v>0</v>
      </c>
      <c r="CP366" s="170">
        <f t="shared" si="654"/>
        <v>0</v>
      </c>
      <c r="CQ366" s="170">
        <f t="shared" si="655"/>
        <v>0</v>
      </c>
      <c r="CR366" s="170">
        <f t="shared" si="656"/>
        <v>0</v>
      </c>
      <c r="CS366" s="170">
        <f t="shared" si="657"/>
        <v>0</v>
      </c>
      <c r="CT366" s="75">
        <f t="shared" si="658"/>
        <v>0</v>
      </c>
      <c r="CU366" s="76">
        <f t="shared" si="659"/>
        <v>0</v>
      </c>
      <c r="CV366" s="76">
        <f t="shared" si="660"/>
        <v>0</v>
      </c>
      <c r="CW366" s="76">
        <f t="shared" si="661"/>
        <v>0</v>
      </c>
      <c r="CX366" s="76">
        <f t="shared" si="662"/>
        <v>0</v>
      </c>
      <c r="CY366" s="76">
        <f t="shared" si="663"/>
        <v>0</v>
      </c>
      <c r="CZ366" s="76">
        <f t="shared" si="664"/>
        <v>0</v>
      </c>
      <c r="DA366" s="76">
        <f t="shared" si="665"/>
        <v>0</v>
      </c>
      <c r="DB366" s="76">
        <f t="shared" si="666"/>
        <v>0</v>
      </c>
      <c r="DC366" s="76">
        <f t="shared" si="667"/>
        <v>0</v>
      </c>
      <c r="DD366" s="76">
        <f t="shared" si="668"/>
        <v>0</v>
      </c>
      <c r="DE366" s="77">
        <f t="shared" si="669"/>
        <v>0</v>
      </c>
      <c r="DF366" s="73">
        <f t="shared" si="672"/>
        <v>26</v>
      </c>
      <c r="DG366" s="67">
        <f t="shared" si="673"/>
        <v>33.83</v>
      </c>
      <c r="DH366" s="76">
        <f t="shared" si="674"/>
        <v>10</v>
      </c>
      <c r="DI366" s="67">
        <f t="shared" si="675"/>
        <v>41.599999999999994</v>
      </c>
      <c r="DJ366" s="202" t="str">
        <f>IF($D364="","",$D364)</f>
        <v>10</v>
      </c>
      <c r="DK366" s="493"/>
    </row>
    <row r="367" spans="1:115" ht="14.5" customHeight="1" x14ac:dyDescent="0.2">
      <c r="A367" s="459">
        <f>$A364+1</f>
        <v>122</v>
      </c>
      <c r="B367" s="507" t="str">
        <f>IF(OR(C367="W",C368="W",C369="W",C367="1/2W",C368="1/2W",C369="1/2W",C367="1/2L",C368="1/2L",C369="1/2L"),"OK",IF(OR(C367="L",C368="L",C369="L"),"LOSS",IF(OR(C367="X",C368="X",C369="X"),"Anulado"," ")))</f>
        <v>OK</v>
      </c>
      <c r="C367" s="93" t="s">
        <v>55</v>
      </c>
      <c r="D367" s="468" t="str">
        <f>IF(G367="","",$D364)</f>
        <v>10</v>
      </c>
      <c r="E367" s="485" t="str">
        <f>IF(G367=""," ","– "&amp;COUNTIF(D$4:D369,$D367))</f>
        <v>– 9</v>
      </c>
      <c r="F367" s="509" t="str">
        <f ca="1">IF(G367="","",IF(OR(AND($C367&lt;&gt;" ",$C368=" "),AND($C368&lt;&gt;" ",$C367=" "),AND(L369&gt;0,OR(AND($C369&lt;&gt;" ",OR($C367=" ",$C368=" ")),AND($C369=" ",OR($C367&lt;&gt;" ",$C368&lt;&gt;" "))))),IF(SUM(F$4:F366)=0,1,LARGE(F$4:F366,1)+1),IF(MONTH(G367)=MONTH(TODAY()),IF(AND(DAY(G367)&lt;DAY(TODAY()),$B367=" "),IF(SUM(F$4:F366)=0,1,LARGE(F$4:F366,1)+1),IF($B367=" ",IF(AND(DAY(G367)=DAY(TODAY()),HOUR(G367)&lt;=HOUR(NOW())+1),IF(AND(HOUR(G367)+2&lt;=HOUR(NOW()),DAY(G367)&lt;=DAY(TODAY()),MINUTE(G367)&lt;=MINUTE(NOW())),IF(SUM(F$4:F366)=0,1,LARGE(F$4:F366,1)+1),IF(OR(MINUTE(G367)&lt;=MINUTE(NOW()),HOUR(G367)&lt;=HOUR(NOW())),"!!!","")),""),"")),"")))</f>
        <v/>
      </c>
      <c r="G367" s="482">
        <f>IF(H367="","",_xlfn.XLOOKUP(H367,$H$4:H366,$G$4:G366,""))</f>
        <v>45001.614583333336</v>
      </c>
      <c r="H367" s="475" t="s">
        <v>159</v>
      </c>
      <c r="I367" s="175">
        <v>1</v>
      </c>
      <c r="J367" s="176"/>
      <c r="K367" s="96" t="s">
        <v>47</v>
      </c>
      <c r="L367" s="97">
        <v>9.8000000000000007</v>
      </c>
      <c r="M367" s="98"/>
      <c r="N367" s="478">
        <v>0.1</v>
      </c>
      <c r="O367" s="99">
        <f>IF(OR(AE367="",AE368=""),"",ROUND(IF(L369&gt;0,IF(M367&gt;0,M367,IF(M368&gt;0,ROUND((M368*AE367)/AE368,IF(N367=0,2,IF(N367=0.1,1,0))),ROUND((M369*AE367)/AE369,IF(N367=0,2,IF(N367=0.1,1,0))))),IF(M367&gt;0,M367,ROUND((M368*AE367)/AE368,IF(N367=0,2,IF(N367=0.1,1,0))))),2))</f>
        <v>20.8</v>
      </c>
      <c r="P367" s="100">
        <f>IF(OR(L367="",O367=""),"",IF($C367="1/2W",O367/2+O367/2*L367,IF($C367="1/2L",O367/2,IF(I367="Lay",(O367*(L367/(L367-1))-O367)*(1-_xlfn.XLOOKUP(K367,'Fevereiro 2023 - Valor Real'!A3:A15,'Fevereiro 2023 - Valor Real'!C3:C15,0))+O367,(O367*L367-O367)*(1-_xlfn.XLOOKUP(K367,'Fevereiro 2023 - Valor Real'!A3:A15,'Fevereiro 2023 - Valor Real'!C3:C15,0))+O367))))</f>
        <v>203.84000000000003</v>
      </c>
      <c r="Q367" s="101">
        <f>IF(K367="","",IF(_xlfn.XLOOKUP(K367,K$4:K366,$DJ$4:DJ366,0,,-1)=DJ367,_xlfn.XLOOKUP(K367,K$4:K366,Q$4:Q366,1,,-1)+1,1))</f>
        <v>2</v>
      </c>
      <c r="R367" s="102">
        <f>IF(K367="","",_xlfn.XLOOKUP(K367,K$4:K366,R$4:R366,0,,-1)+IF($C367=" ",1,0))</f>
        <v>0</v>
      </c>
      <c r="S367" s="474">
        <f>IF($B367="Anulado",0,ROUND(IF(OR($B367="LOSS",$B367="OK"),IF(OR($C367="W",$C367="1/2W",$C367="1/2L"),P367-O367,IF($C367="L",-O367,0))+IF(OR($C368="W",$C368="1/2W",$C368="1/2L"),P368-O368,IF($C368="L",-O368,0))+IF(OR($C369="W",$C369="1/2W",$C369="1/2L"),P369-O369,IF($C369="L",-O369,0)),IF(AND(OR($C367="W",$C367="1/2W",$C367="1/2L"),C368="W"),P367+P368-SUM(O367:O369)+_xlfn.XLOOKUP("X",C367:C369,O367:O369,0),IF(AND(C367=TRUE,C369="W"),P367+P369-SUM(O367:O369),IF(AND(C368="W",C369="W"),P368+P369-SUM(O367:O369)+_xlfn.XLOOKUP("X",C367:C369,O367:O369,0),IF(L369&gt;0,IF(OR($C367="W",$C367="1/2W",$C367="1/2L"),P367-SUM(O367:O369)+_xlfn.XLOOKUP("X",C367:C369,O367:O369,0),IF(OR($C367="W",$C367="1/2W",$C367="1/2L"),P368-SUM(O367:O369)+_xlfn.XLOOKUP("X",C367:C369,O367:O369,0),IF(OR($C367="W",$C367="1/2W",$C367="1/2L"),P369-SUM(O367:O369)+_xlfn.XLOOKUP("X",C367:C369,O367:O369,0),IF(SUM(P367:P369)/3-SUM(O367:O369)+_xlfn.XLOOKUP("X",C367:C369,O367:O369,0)&gt;0,SUM(P367:P369)/3-SUM(O367:O369)+_xlfn.XLOOKUP("X",C367:C369,O367:O369,0),LARGE(P367:P369,1)-SUM(O367:O369))))),IF(OR($C367="W",$C367="1/2W",$C367="1/2L"),P367-SUM(O367:O368)+_xlfn.XLOOKUP("X",C367:C369,O367:O369,0),IF(OR($C367="W",$C367="1/2W",$C367="1/2L"),P368-SUM(O367:O368)+_xlfn.XLOOKUP("X",C367:C369,O367:O369,0),SUM(P367:P368)/2-SUM(O367:O368)+_xlfn.XLOOKUP("X",C367:C369,O367:O369,0)))))))),2))</f>
        <v>8.59</v>
      </c>
      <c r="T367" s="458">
        <f>IF(S367=0,0,S367/SUM(O367:O369))</f>
        <v>4.3956606283901335E-2</v>
      </c>
      <c r="U367" s="470">
        <f>IF($D367=$D364,IF(OR($B367="LOSS",$B367="OK",$B367="Anulada"),S367,0)+U364,IF(OR($B367="LOSS",$B367="OK",$B367="Anulada"),S367,0))</f>
        <v>-40.81</v>
      </c>
      <c r="V367" s="470">
        <f>IF($D367="",0,IF($D367=$D364,IF($B367=" ",IF(I369="",IF(OR(AND(I367="DNB1",I368="DNB2"),AND(OR(I367="DNB1",I367="DNB2"),J368=0),AND(OR(I368="DNB1",I368="DNB2"),J367=0),AND(I367="DNB2",I368="DNB1"),AND(IF(J367=0,(J367+1)/ROUND(J367+1,0),J367/ROUND(J367,0))=1,IF(J368=0,(J368+1)/ROUND(IF(J368="",0,J368)+1,0),IF(J368="",0,J368)/ROUND(IF(J368="",1,J368),0))=1,OR(J367&lt;&gt;""),J368&lt;&gt;"")),0,IF(S367&lt;0,IF(I369="",SMALL(P367:P368,1)-SUM(O367:O368),0),SMALL(P367:P368,1)-SUM(O367:O368))),IF(S367&lt;0,IF(I369="",SMALL(P367:P369,1)-SUM(O367:O369),0),LARGE(P367:P369,1)-SUM(O367:O369))),S367)+V364,IF(I369="",IF(OR(AND(I367="DNB1",I368="DNB2"),AND(OR(I367="DNB1",I367="DNB2"),J368=0),AND(OR(I368="DNB1",I368="DNB2"),J367=0),AND(I367="DNB2",I368="DNB1"),AND(IF(J367=0,(J367+1)/ROUND(J367+1,0),J367/ROUND(J367,0))=1,IF(J368=0,(IF(J368="",0,J368)+1)/ROUND(IF(J368="",0,J368)+1,0),IF(J368="",0,J368)/ROUND(IF(J368="",0,J368)+1,0))=1,OR(J367&lt;&gt;""),J368&lt;&gt;"")),0,IF(S367&lt;0,IF(I369="",SMALL(P367:P368,1)-SUM(O367:O368),0),SMALL(P367:P369,1)-SUM(O367:O369))),IF(S367&lt;0,IF(I369="",SMALL(P367:P369,1)-SUM(O367:O369),0),LARGE(P367:P369,1)-SUM(O367:O369)))))</f>
        <v>-25.789999999999988</v>
      </c>
      <c r="W367" s="470">
        <f>IF($D367=$D364,IF(S367&lt;0,IF(I369="",S367,0),S367)+W364,S367)</f>
        <v>-40.81</v>
      </c>
      <c r="X367" s="480" t="str">
        <f>IF(OR(SUM(R367:R369)=0,V367=W367),ROUND(IF(W367=0,0,W367/Y367)*100,2)&amp;"%",ROUND(IF(V367=0,0,V367/Y367)*100,2)&amp;"% a "&amp;ROUND(IF(W367=0,0,W367/Y367)*100,2)&amp;"%")</f>
        <v>-3,68%</v>
      </c>
      <c r="Y367" s="471">
        <f>IF($D367=$D364,Y364+SUM(O367:O369),SUM(O367:O369))</f>
        <v>1110.31</v>
      </c>
      <c r="Z367" s="470">
        <f>IF($B367=" ",SUM(O367:O369),0)+Z364</f>
        <v>0</v>
      </c>
      <c r="AA367" s="470">
        <f>IF(G367="","",IF($B367="Anulado",LARGE(P367:P369,1)-SUM(O367:O369)+AA364,AA364))</f>
        <v>8.7641999999999936</v>
      </c>
      <c r="AB367" s="470">
        <f>IF($D367="","",AB364+S367)</f>
        <v>452.44000000000005</v>
      </c>
      <c r="AC367" s="472">
        <f ca="1">IF($D367="","",IF($B367=" ",IF(DAY(G367)=DAY(TODAY()),1+AC364,0+AC364),0+AC364))</f>
        <v>0</v>
      </c>
      <c r="AD367" s="103">
        <f>(((L368/(L368-1)-1)*(1-_xlfn.XLOOKUP(K368,'Fevereiro 2023 - Valor Real'!A3:A15,'Fevereiro 2023 - Valor Real'!C3:C15,0))+1))/(((L367-1)*(1-_xlfn.XLOOKUP(K367,'Fevereiro 2023 - Valor Real'!A3:A15,'Fevereiro 2023 - Valor Real'!C3:C15,0))+1)+((L368/(L368-1)-1)*(1-_xlfn.XLOOKUP(K368,'Fevereiro 2023 - Valor Real'!A3:A15,'Fevereiro 2023 - Valor Real'!C3:C15,0))+1))</f>
        <v>0.38728725251823554</v>
      </c>
      <c r="AE367" s="104">
        <f>IF(L367="","",IF(L369&gt;0,(SUM(((L367-1)*(1-_xlfn.XLOOKUP(K367,'Fevereiro 2023 - Valor Real'!A3:A15,'Fevereiro 2023 - Valor Real'!C3:C15,0))+1),((L368-1)*(1-_xlfn.XLOOKUP(K368,'Fevereiro 2023 - Valor Real'!A3:A15,'Fevereiro 2023 - Valor Real'!C3:C15,0))+1),((L369-1)*(1-_xlfn.XLOOKUP(K369,'Fevereiro 2023 - Valor Real'!A3:A15,'Fevereiro 2023 - Valor Real'!C3:C15,0))+1))/((L367-1)*(1-_xlfn.XLOOKUP(K367,'Fevereiro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Real'!C3:C15,0))+1))/((L367-1)*(1-_xlfn.XLOOKUP(K367,'Fevereiro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Real'!C3:C15,0))+1))/((L368-1)*(1-_xlfn.XLOOKUP(K368,'Fevereiro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Real'!C3:C15,0))+1))/((L369-1)*(1-_xlfn.XLOOKUP(K369,'Fevereiro 2023 - Valor Real'!A3:A15,'Fevereiro 2023 - Valor Real'!C3:C15,0))+1)),IF(I367="Lay",IF(I368="Lay",((L368/(L368-1)-1)*(1-_xlfn.XLOOKUP(K368,'Fevereiro 2023 - Valor Real'!A3:A15,'Fevereiro 2023 - Valor Real'!C3:C15,0))+1)/(((L368/(L368-1)-1)*(1-_xlfn.XLOOKUP(K368,'Fevereiro 2023 - Valor Real'!A3:A15,'Fevereiro 2023 - Valor Real'!C3:C15,0))+1)+((L367/(L367-1)-1)*(1-_xlfn.XLOOKUP(K367,'Fevereiro 2023 - Valor Real'!A3:A15,'Fevereiro 2023 - Valor Real'!C3:C15,0))+1)),((L368-1)*(1-_xlfn.XLOOKUP(K368,'Fevereiro 2023 - Valor Real'!A3:A15,'Fevereiro 2023 - Valor Real'!C3:C15,0))+1)/(((L368-1)*(1-_xlfn.XLOOKUP(K368,'Fevereiro 2023 - Valor Real'!A3:A15,'Fevereiro 2023 - Valor Real'!C3:C15,0))+1)+((L367/(L367-1)-1)*(1-_xlfn.XLOOKUP(K367,'Fevereiro 2023 - Valor Real'!A3:A15,'Fevereiro 2023 - Valor Real'!C3:C15,0))+1))),IF(I368="Lay",(((L368/(L368-1)-1)*(1-_xlfn.XLOOKUP(K368,'Fevereiro 2023 - Valor Real'!A3:A15,'Fevereiro 2023 - Valor Real'!C3:C15,0))+1))/(((L367-1)*(1-_xlfn.XLOOKUP(K367,'Fevereiro 2023 - Valor Real'!A3:A15,'Fevereiro 2023 - Valor Real'!C3:C15,0))+1)+((L368/(L368-1)-1)*(1-_xlfn.XLOOKUP(K368,'Fevereiro 2023 - Valor Real'!A3:A15,'Fevereiro 2023 - Valor Real'!C3:C15,0))+1)),((L368-1)*(1-_xlfn.XLOOKUP(K368,'Fevereiro 2023 - Valor Real'!A3:A15,'Fevereiro 2023 - Valor Real'!C3:C15,0))+1)/(((L368-1)*(1-_xlfn.XLOOKUP(K368,'Fevereiro 2023 - Valor Real'!A3:A15,'Fevereiro 2023 - Valor Real'!C3:C15,0))+1)+((L367-1)*(1-_xlfn.XLOOKUP(K367,'Fevereiro 2023 - Valor Real'!A3:A15,'Fevereiro 2023 - Valor Real'!C3:C15,0))+1))))))</f>
        <v>0.10651605080094452</v>
      </c>
      <c r="AF367" s="105">
        <f t="shared" si="732"/>
        <v>0</v>
      </c>
      <c r="AG367" s="106">
        <f t="shared" si="732"/>
        <v>0</v>
      </c>
      <c r="AH367" s="106">
        <f t="shared" si="732"/>
        <v>0</v>
      </c>
      <c r="AI367" s="106">
        <f t="shared" si="732"/>
        <v>0</v>
      </c>
      <c r="AJ367" s="106">
        <f t="shared" si="732"/>
        <v>0</v>
      </c>
      <c r="AK367" s="106">
        <f t="shared" si="732"/>
        <v>0</v>
      </c>
      <c r="AL367" s="106">
        <f t="shared" si="732"/>
        <v>0</v>
      </c>
      <c r="AM367" s="106">
        <f t="shared" si="732"/>
        <v>0</v>
      </c>
      <c r="AN367" s="106">
        <f t="shared" si="732"/>
        <v>0</v>
      </c>
      <c r="AO367" s="106">
        <f t="shared" si="732"/>
        <v>0</v>
      </c>
      <c r="AP367" s="106">
        <f t="shared" si="732"/>
        <v>0</v>
      </c>
      <c r="AQ367" s="106">
        <f t="shared" si="732"/>
        <v>-20.8</v>
      </c>
      <c r="AR367" s="107">
        <f t="shared" si="732"/>
        <v>0</v>
      </c>
      <c r="AS367" s="105">
        <f t="shared" ref="AS367:BE367" si="738">IF(AND($B367=" ",$K367=AS$3),$O367,0)</f>
        <v>0</v>
      </c>
      <c r="AT367" s="106">
        <f t="shared" si="738"/>
        <v>0</v>
      </c>
      <c r="AU367" s="106">
        <f t="shared" si="738"/>
        <v>0</v>
      </c>
      <c r="AV367" s="106">
        <f t="shared" si="738"/>
        <v>0</v>
      </c>
      <c r="AW367" s="106">
        <f t="shared" si="738"/>
        <v>0</v>
      </c>
      <c r="AX367" s="106">
        <f t="shared" si="738"/>
        <v>0</v>
      </c>
      <c r="AY367" s="108">
        <f t="shared" si="738"/>
        <v>0</v>
      </c>
      <c r="AZ367" s="109">
        <f t="shared" si="738"/>
        <v>0</v>
      </c>
      <c r="BA367" s="109">
        <f t="shared" si="738"/>
        <v>0</v>
      </c>
      <c r="BB367" s="109">
        <f t="shared" si="738"/>
        <v>0</v>
      </c>
      <c r="BC367" s="110">
        <f t="shared" si="738"/>
        <v>0</v>
      </c>
      <c r="BD367" s="106">
        <f t="shared" si="738"/>
        <v>0</v>
      </c>
      <c r="BE367" s="107">
        <f t="shared" si="738"/>
        <v>0</v>
      </c>
      <c r="BF367" s="111">
        <f t="shared" si="734"/>
        <v>0</v>
      </c>
      <c r="BG367" s="106">
        <f t="shared" si="734"/>
        <v>0</v>
      </c>
      <c r="BH367" s="106">
        <f t="shared" si="734"/>
        <v>0</v>
      </c>
      <c r="BI367" s="106">
        <f t="shared" si="734"/>
        <v>0</v>
      </c>
      <c r="BJ367" s="106">
        <f t="shared" si="734"/>
        <v>0</v>
      </c>
      <c r="BK367" s="106">
        <f t="shared" si="734"/>
        <v>0</v>
      </c>
      <c r="BL367" s="106">
        <f t="shared" si="734"/>
        <v>0</v>
      </c>
      <c r="BM367" s="108">
        <f t="shared" si="734"/>
        <v>0</v>
      </c>
      <c r="BN367" s="109">
        <f t="shared" si="734"/>
        <v>0</v>
      </c>
      <c r="BO367" s="109">
        <f t="shared" si="734"/>
        <v>0</v>
      </c>
      <c r="BP367" s="109">
        <f t="shared" si="734"/>
        <v>0</v>
      </c>
      <c r="BQ367" s="110">
        <f t="shared" si="734"/>
        <v>20.8</v>
      </c>
      <c r="BR367" s="107">
        <f t="shared" si="734"/>
        <v>0</v>
      </c>
      <c r="BS367" s="463">
        <f>IF($B367="LOSS",IF(AND($K367=BS$3,$C367="L"),-$O367,0)+IF(AND($K368=BS$3,$C368="L"),-$O368,0)+IF(AND($K369=BS$3,$C369="L"),-$O369,0),IF(OR(AND($K367=BS$3,OR($C367="W",$C367="1/2W")),AND($K368=BS$3,OR($C368="W",$C368="1/2W")),AND($K369=BS$3,OR($C369="W",$C369="1/2W"))),$S367,0))</f>
        <v>0</v>
      </c>
      <c r="BT367" s="462">
        <f>IF($B367="LOSS",IF(AND($K367=BT$3,$C367="L"),-$O367,0)+IF(AND($K368=BT$3,$C368="L"),-$O368,0)+IF(AND($K368=BT$3,$C369="L"),-$O369,0),IF(OR(AND($K368=BT$3,OR($C367="W",$C367="1/2W")),AND($K368=BT$3,OR($C368="W",$C368="1/2W")),AND($K368=BT$3,OR($C369="W",$C369="1/2W"))),$S367,0))</f>
        <v>0</v>
      </c>
      <c r="BU367" s="462">
        <f>IF($B367="LOSS",IF(AND($K367=BU$3,$C367="L"),-$O367,0)+IF(AND($K368=BU$3,$C368="L"),-$O368,0)+IF(AND($K368=BU$3,$C369="L"),-$O369,0),IF(OR(AND($K368=BU$3,OR($C367="W",$C367="1/2W")),AND($K368=BU$3,OR($C368="W",$C368="1/2W")),AND($K368=BU$3,OR($C369="W",$C369="1/2W"))),$S367,0))</f>
        <v>8.59</v>
      </c>
      <c r="BV367" s="462">
        <f t="shared" ref="BV367:CE367" si="739">IF($B367="LOSS",IF(AND($K367=BV$3,$C367="L"),-$O367,0)+IF(AND($K368=BV$3,$C368="L"),-$O368,0)+IF(AND($K369=BV$3,$C369="L"),-$O369,0),IF(OR(AND($K367=BV$3,OR($C367="W",$C367="1/2W")),AND($K368=BV$3,OR($C368="W",$C368="1/2W")),AND($K369=BV$3,OR($C369="W",$C369="1/2W"))),$S367,0))</f>
        <v>0</v>
      </c>
      <c r="BW367" s="462">
        <f t="shared" si="739"/>
        <v>0</v>
      </c>
      <c r="BX367" s="462">
        <f t="shared" si="739"/>
        <v>0</v>
      </c>
      <c r="BY367" s="462">
        <f t="shared" si="739"/>
        <v>0</v>
      </c>
      <c r="BZ367" s="460">
        <f t="shared" si="739"/>
        <v>0</v>
      </c>
      <c r="CA367" s="460">
        <f t="shared" si="739"/>
        <v>0</v>
      </c>
      <c r="CB367" s="460">
        <f t="shared" si="739"/>
        <v>0</v>
      </c>
      <c r="CC367" s="460">
        <f t="shared" si="739"/>
        <v>0</v>
      </c>
      <c r="CD367" s="473">
        <f t="shared" si="739"/>
        <v>0</v>
      </c>
      <c r="CE367" s="479">
        <f t="shared" si="739"/>
        <v>0</v>
      </c>
      <c r="CF367" s="113">
        <f t="shared" si="644"/>
        <v>0</v>
      </c>
      <c r="CG367" s="114">
        <f t="shared" si="645"/>
        <v>0</v>
      </c>
      <c r="CH367" s="114">
        <f t="shared" si="646"/>
        <v>0</v>
      </c>
      <c r="CI367" s="114">
        <f t="shared" si="647"/>
        <v>0</v>
      </c>
      <c r="CJ367" s="114">
        <f t="shared" si="648"/>
        <v>0</v>
      </c>
      <c r="CK367" s="114">
        <f t="shared" si="649"/>
        <v>0</v>
      </c>
      <c r="CL367" s="114">
        <f t="shared" si="650"/>
        <v>0</v>
      </c>
      <c r="CM367" s="114">
        <f t="shared" si="651"/>
        <v>0</v>
      </c>
      <c r="CN367" s="114">
        <f t="shared" si="652"/>
        <v>0</v>
      </c>
      <c r="CO367" s="114">
        <f t="shared" si="653"/>
        <v>0</v>
      </c>
      <c r="CP367" s="114">
        <f t="shared" si="654"/>
        <v>0</v>
      </c>
      <c r="CQ367" s="114">
        <f t="shared" si="655"/>
        <v>0</v>
      </c>
      <c r="CR367" s="114">
        <f t="shared" si="656"/>
        <v>0</v>
      </c>
      <c r="CS367" s="114">
        <f t="shared" si="657"/>
        <v>0</v>
      </c>
      <c r="CT367" s="115">
        <f t="shared" si="658"/>
        <v>0</v>
      </c>
      <c r="CU367" s="116">
        <f t="shared" si="659"/>
        <v>0</v>
      </c>
      <c r="CV367" s="116">
        <f t="shared" si="660"/>
        <v>0</v>
      </c>
      <c r="CW367" s="116">
        <f t="shared" si="661"/>
        <v>0</v>
      </c>
      <c r="CX367" s="116">
        <f t="shared" si="662"/>
        <v>0</v>
      </c>
      <c r="CY367" s="116">
        <f t="shared" si="663"/>
        <v>0</v>
      </c>
      <c r="CZ367" s="116">
        <f t="shared" si="664"/>
        <v>0</v>
      </c>
      <c r="DA367" s="116">
        <f t="shared" si="665"/>
        <v>0</v>
      </c>
      <c r="DB367" s="116">
        <f t="shared" si="666"/>
        <v>0</v>
      </c>
      <c r="DC367" s="116">
        <f t="shared" si="667"/>
        <v>1</v>
      </c>
      <c r="DD367" s="116">
        <f t="shared" si="668"/>
        <v>0</v>
      </c>
      <c r="DE367" s="117">
        <f t="shared" si="669"/>
        <v>0</v>
      </c>
      <c r="DF367" s="118">
        <f t="shared" si="672"/>
        <v>26</v>
      </c>
      <c r="DG367" s="106">
        <f t="shared" si="673"/>
        <v>33.83</v>
      </c>
      <c r="DH367" s="116">
        <f t="shared" si="674"/>
        <v>10</v>
      </c>
      <c r="DI367" s="106">
        <f t="shared" si="675"/>
        <v>41.599999999999994</v>
      </c>
      <c r="DJ367" s="201" t="str">
        <f>IF($D367="","",$D367)</f>
        <v>10</v>
      </c>
      <c r="DK367" s="465">
        <f>IF(AND($B367=" ",$D367&lt;&gt;""),1,0)</f>
        <v>0</v>
      </c>
    </row>
    <row r="368" spans="1:115" ht="14.5" customHeight="1" x14ac:dyDescent="0.2">
      <c r="A368" s="389"/>
      <c r="B368" s="456"/>
      <c r="C368" s="120" t="s">
        <v>54</v>
      </c>
      <c r="D368" s="374"/>
      <c r="E368" s="386"/>
      <c r="F368" s="377"/>
      <c r="G368" s="483"/>
      <c r="H368" s="476"/>
      <c r="I368" s="178">
        <v>2</v>
      </c>
      <c r="J368" s="179" t="str">
        <f>IF(OR(I367="TO",I367="TU",I367="TO1",I367="TU1",I367="TO2",I367="TU2"),J367,IF(OR(I367="AH1",I367="AH2"),IF(OR(I368="AH1",I368="AH2"),-J367,IF(OR(I368="EH1",I368="EH2"),-J367+0.5,"")),IF(OR(I367="EH1",I367="EH2"),IF(OR(I368="AH1",I368="AH2"),-J367+0.5,IF(OR(I368="EH1",I368="EH2"),-J367+1,"")),IF(AND(OR(I367="DNB1",I367="DNB2"),OR(I368="AH1",I368="AH2")),0,IF(AND(I367="Not ScoreBoth",OR(I368="TO1",I368="TO2")),0.5,"")))))</f>
        <v/>
      </c>
      <c r="K368" s="123" t="s">
        <v>38</v>
      </c>
      <c r="L368" s="124">
        <v>1.18</v>
      </c>
      <c r="M368" s="125">
        <v>174.62</v>
      </c>
      <c r="N368" s="406"/>
      <c r="O368" s="126">
        <f>IF(OR(AE367="",AE368=""),"",ROUND(IF(L369&gt;0,IF(M368&gt;0,M368,IF(M367&gt;0,IF(N367=TRUE,ROUND((M367*AE368)/AE367,0),(M367*AE368)/AE367),IF(M368&gt;0,ROUND(M368,IF(N367=0,2,IF(N367=0.1,1,0))),IF(M369&gt;0,ROUND(O369*AE368/AE369,IF(N367=0,2,IF(N367=0.1,1,0))),0)))),IF(M368&gt;0,M368,ROUND((M367*AE368)/AE367,IF(N367=0,2,IF(N367=0.1,1,0))))),2))</f>
        <v>174.62</v>
      </c>
      <c r="P368" s="127">
        <f>IF(OR(L368="",O368=""),"",IF($C368="1/2W",O368/2+O368/2*L368,IF($C368="1/2L",O368/2,IF(I368="Lay",((O368*(L368/(L368-1)))-O368)*(1-_xlfn.XLOOKUP(K368,'Fevereiro 2023 - Valor Real'!A3:A15,'Fevereiro 2023 - Valor Real'!C3:C15,0))+O368,(O368*L368-O368)*(1-_xlfn.XLOOKUP(K368,'Fevereiro 2023 - Valor Real'!A3:A15,'Fevereiro 2023 - Valor Real'!C3:C15,0))+O368))))</f>
        <v>204.00854600000002</v>
      </c>
      <c r="Q368" s="128">
        <f>IF(K368="","",IF(_xlfn.XLOOKUP(K368,K$4:K367,$DJ$4:DJ367,0,,-1)=DJ368,_xlfn.XLOOKUP(K368,K$4:K367,Q$4:Q367,1,,-1)+1,1))</f>
        <v>4</v>
      </c>
      <c r="R368" s="129">
        <f>IF(K368="","",_xlfn.XLOOKUP(K368,K$4:K367,R$4:R367,0,,-1)+IF($C368=" ",1,0))</f>
        <v>0</v>
      </c>
      <c r="S368" s="403"/>
      <c r="T368" s="380"/>
      <c r="U368" s="380"/>
      <c r="V368" s="481"/>
      <c r="W368" s="380"/>
      <c r="X368" s="452"/>
      <c r="Y368" s="383"/>
      <c r="Z368" s="384"/>
      <c r="AA368" s="384"/>
      <c r="AB368" s="384"/>
      <c r="AC368" s="384"/>
      <c r="AD368" s="130">
        <f>(((L368/(L368-1)-1)*(1-_xlfn.XLOOKUP(K368,'Fevereiro 2023 - Valor Real'!A3:A15,'Fevereiro 2023 - Valor Real'!C3:C15,0))+1))</f>
        <v>6.1944444444444464</v>
      </c>
      <c r="AE368" s="131">
        <f>IF(L368="","",IF(L369&gt;0,(SUM(((L367-1)*(1-_xlfn.XLOOKUP(K367,'Fevereiro 2023 - Valor Real'!A3:A15,'Fevereiro 2023 - Valor Real'!C3:C15,0))+1),((L368-1)*(1-_xlfn.XLOOKUP(K368,'Fevereiro 2023 - Valor Real'!A3:A15,'Fevereiro 2023 - Valor Real'!C3:C15,0))+1),((L369-1)*(1-_xlfn.XLOOKUP(K369,'Fevereiro 2023 - Valor Real'!A3:A15,'Fevereiro 2023 - Valor Real'!C3:C15,0))+1))/((L368-1)*(1-_xlfn.XLOOKUP(K368,'Fevereiro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Real'!C3:C15,0))+1))/((L367-1)*(1-_xlfn.XLOOKUP(K367,'Fevereiro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Real'!C3:C15,0))+1))/((L368-1)*(1-_xlfn.XLOOKUP(K368,'Fevereiro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Real'!C3:C15,0))+1))/((L369-1)*(1-_xlfn.XLOOKUP(K369,'Fevereiro 2023 - Valor Real'!A3:A15,'Fevereiro 2023 - Valor Real'!C3:C15,0))+1)),IF(I368="Lay",IF(I367="Lay",((L367/(L367-1)-1)*(1-_xlfn.XLOOKUP(K367,'Fevereiro 2023 - Valor Real'!A3:A15,'Fevereiro 2023 - Valor Real'!C3:C15,0))+1)/(((L367/(L367-1)-1)*(1-_xlfn.XLOOKUP(K367,'Fevereiro 2023 - Valor Real'!A3:A15,'Fevereiro 2023 - Valor Real'!C3:C15,0))+1)+((L368/(L368-1)-1)*(1-_xlfn.XLOOKUP(K368,'Fevereiro 2023 - Valor Real'!A3:A15,'Fevereiro 2023 - Valor Real'!C3:C15,0))+1)),((L367-1)*(1-_xlfn.XLOOKUP(K367,'Fevereiro 2023 - Valor Real'!A3:A15,'Fevereiro 2023 - Valor Real'!C3:C15,0))+1)/(((L367-1)*(1-_xlfn.XLOOKUP(K367,'Fevereiro 2023 - Valor Real'!A3:A15,'Fevereiro 2023 - Valor Real'!C3:C15,0))+1)+((L368/(L368-1)-1)*(1-_xlfn.XLOOKUP(K368,'Fevereiro 2023 - Valor Real'!A3:A15,'Fevereiro 2023 - Valor Real'!C3:C15,0))+1))),IF(I367="Lay",((L367/(L367-1)-1)*(1-_xlfn.XLOOKUP(K367,'Fevereiro 2023 - Valor Real'!A3:A15,'Fevereiro 2023 - Valor Real'!C3:C15,0))+1)/((((L367/(L367-1)-1)*(1-_xlfn.XLOOKUP(K367,'Fevereiro 2023 - Valor Real'!A3:A15,'Fevereiro 2023 - Valor Real'!C3:C15,0))+1))+((L368-1)*(1-_xlfn.XLOOKUP(K368,'Fevereiro 2023 - Valor Real'!A3:A15,'Fevereiro 2023 - Valor Real'!C3:C15,0))+1)),((L367-1)*(1-_xlfn.XLOOKUP(K367,'Fevereiro 2023 - Valor Real'!A3:A15,'Fevereiro 2023 - Valor Real'!C3:C15,0))+1)/(((L367-1)*(1-_xlfn.XLOOKUP(K367,'Fevereiro 2023 - Valor Real'!A3:A15,'Fevereiro 2023 - Valor Real'!C3:C15,0))+1)+((L368-1)*(1-_xlfn.XLOOKUP(K368,'Fevereiro 2023 - Valor Real'!A3:A15,'Fevereiro 2023 - Valor Real'!C3:C15,0))+1))))))</f>
        <v>0.89348394919905549</v>
      </c>
      <c r="AF368" s="105">
        <f t="shared" si="732"/>
        <v>0</v>
      </c>
      <c r="AG368" s="106">
        <f t="shared" si="732"/>
        <v>0</v>
      </c>
      <c r="AH368" s="106">
        <f t="shared" si="732"/>
        <v>29.39</v>
      </c>
      <c r="AI368" s="106">
        <f t="shared" si="732"/>
        <v>0</v>
      </c>
      <c r="AJ368" s="106">
        <f t="shared" si="732"/>
        <v>0</v>
      </c>
      <c r="AK368" s="106">
        <f t="shared" si="732"/>
        <v>0</v>
      </c>
      <c r="AL368" s="106">
        <f t="shared" si="732"/>
        <v>0</v>
      </c>
      <c r="AM368" s="106">
        <f t="shared" si="732"/>
        <v>0</v>
      </c>
      <c r="AN368" s="106">
        <f t="shared" si="732"/>
        <v>0</v>
      </c>
      <c r="AO368" s="106">
        <f t="shared" si="732"/>
        <v>0</v>
      </c>
      <c r="AP368" s="106">
        <f t="shared" si="732"/>
        <v>0</v>
      </c>
      <c r="AQ368" s="106">
        <f t="shared" si="732"/>
        <v>0</v>
      </c>
      <c r="AR368" s="107">
        <f t="shared" si="732"/>
        <v>0</v>
      </c>
      <c r="AS368" s="105">
        <f>IF(AND($B367=" ",$K368=AS$3),$O368,0)</f>
        <v>0</v>
      </c>
      <c r="AT368" s="106">
        <f>IF(AND($B367=" ",K368=AT$3),$O368,0)</f>
        <v>0</v>
      </c>
      <c r="AU368" s="106">
        <f t="shared" ref="AU368:BE368" si="740">IF(AND($B367=" ",$K368=AU$3),$O368,0)</f>
        <v>0</v>
      </c>
      <c r="AV368" s="106">
        <f t="shared" si="740"/>
        <v>0</v>
      </c>
      <c r="AW368" s="106">
        <f t="shared" si="740"/>
        <v>0</v>
      </c>
      <c r="AX368" s="106">
        <f t="shared" si="740"/>
        <v>0</v>
      </c>
      <c r="AY368" s="108">
        <f t="shared" si="740"/>
        <v>0</v>
      </c>
      <c r="AZ368" s="109">
        <f t="shared" si="740"/>
        <v>0</v>
      </c>
      <c r="BA368" s="109">
        <f t="shared" si="740"/>
        <v>0</v>
      </c>
      <c r="BB368" s="109">
        <f t="shared" si="740"/>
        <v>0</v>
      </c>
      <c r="BC368" s="110">
        <f t="shared" si="740"/>
        <v>0</v>
      </c>
      <c r="BD368" s="106">
        <f t="shared" si="740"/>
        <v>0</v>
      </c>
      <c r="BE368" s="107">
        <f t="shared" si="740"/>
        <v>0</v>
      </c>
      <c r="BF368" s="105">
        <f t="shared" si="734"/>
        <v>0</v>
      </c>
      <c r="BG368" s="106">
        <f t="shared" si="734"/>
        <v>0</v>
      </c>
      <c r="BH368" s="106">
        <f t="shared" si="734"/>
        <v>174.62</v>
      </c>
      <c r="BI368" s="106">
        <f t="shared" si="734"/>
        <v>0</v>
      </c>
      <c r="BJ368" s="106">
        <f t="shared" si="734"/>
        <v>0</v>
      </c>
      <c r="BK368" s="106">
        <f t="shared" si="734"/>
        <v>0</v>
      </c>
      <c r="BL368" s="106">
        <f t="shared" si="734"/>
        <v>0</v>
      </c>
      <c r="BM368" s="132">
        <f t="shared" si="734"/>
        <v>0</v>
      </c>
      <c r="BN368" s="112">
        <f t="shared" si="734"/>
        <v>0</v>
      </c>
      <c r="BO368" s="112">
        <f t="shared" si="734"/>
        <v>0</v>
      </c>
      <c r="BP368" s="112">
        <f t="shared" si="734"/>
        <v>0</v>
      </c>
      <c r="BQ368" s="110">
        <f t="shared" si="734"/>
        <v>0</v>
      </c>
      <c r="BR368" s="107">
        <f t="shared" si="734"/>
        <v>0</v>
      </c>
      <c r="BS368" s="464"/>
      <c r="BT368" s="461"/>
      <c r="BU368" s="392"/>
      <c r="BV368" s="461"/>
      <c r="BW368" s="392"/>
      <c r="BX368" s="392"/>
      <c r="BY368" s="392"/>
      <c r="BZ368" s="461"/>
      <c r="CA368" s="392"/>
      <c r="CB368" s="392"/>
      <c r="CC368" s="392"/>
      <c r="CD368" s="401"/>
      <c r="CE368" s="409"/>
      <c r="CF368" s="133">
        <f t="shared" si="644"/>
        <v>0</v>
      </c>
      <c r="CG368" s="134">
        <f t="shared" si="645"/>
        <v>0</v>
      </c>
      <c r="CH368" s="134">
        <f t="shared" si="646"/>
        <v>0</v>
      </c>
      <c r="CI368" s="134">
        <f t="shared" si="647"/>
        <v>0</v>
      </c>
      <c r="CJ368" s="134">
        <f t="shared" si="648"/>
        <v>1</v>
      </c>
      <c r="CK368" s="134">
        <f t="shared" si="649"/>
        <v>0</v>
      </c>
      <c r="CL368" s="134">
        <f t="shared" si="650"/>
        <v>0</v>
      </c>
      <c r="CM368" s="134">
        <f t="shared" si="651"/>
        <v>0</v>
      </c>
      <c r="CN368" s="134">
        <f t="shared" si="652"/>
        <v>0</v>
      </c>
      <c r="CO368" s="134">
        <f t="shared" si="653"/>
        <v>0</v>
      </c>
      <c r="CP368" s="134">
        <f t="shared" si="654"/>
        <v>0</v>
      </c>
      <c r="CQ368" s="134">
        <f t="shared" si="655"/>
        <v>0</v>
      </c>
      <c r="CR368" s="134">
        <f t="shared" si="656"/>
        <v>0</v>
      </c>
      <c r="CS368" s="134">
        <f t="shared" si="657"/>
        <v>0</v>
      </c>
      <c r="CT368" s="115">
        <f t="shared" si="658"/>
        <v>0</v>
      </c>
      <c r="CU368" s="116">
        <f t="shared" si="659"/>
        <v>0</v>
      </c>
      <c r="CV368" s="116">
        <f t="shared" si="660"/>
        <v>0</v>
      </c>
      <c r="CW368" s="116">
        <f t="shared" si="661"/>
        <v>0</v>
      </c>
      <c r="CX368" s="116">
        <f t="shared" si="662"/>
        <v>0</v>
      </c>
      <c r="CY368" s="116">
        <f t="shared" si="663"/>
        <v>0</v>
      </c>
      <c r="CZ368" s="116">
        <f t="shared" si="664"/>
        <v>0</v>
      </c>
      <c r="DA368" s="116">
        <f t="shared" si="665"/>
        <v>0</v>
      </c>
      <c r="DB368" s="116">
        <f t="shared" si="666"/>
        <v>0</v>
      </c>
      <c r="DC368" s="116">
        <f t="shared" si="667"/>
        <v>0</v>
      </c>
      <c r="DD368" s="116">
        <f t="shared" si="668"/>
        <v>0</v>
      </c>
      <c r="DE368" s="117">
        <f t="shared" si="669"/>
        <v>0</v>
      </c>
      <c r="DF368" s="118">
        <f t="shared" si="672"/>
        <v>27</v>
      </c>
      <c r="DG368" s="106">
        <f t="shared" si="673"/>
        <v>35.01</v>
      </c>
      <c r="DH368" s="116">
        <f t="shared" si="674"/>
        <v>10</v>
      </c>
      <c r="DI368" s="106">
        <f t="shared" si="675"/>
        <v>41.599999999999994</v>
      </c>
      <c r="DJ368" s="201" t="str">
        <f>IF($D367="","",$D367)</f>
        <v>10</v>
      </c>
      <c r="DK368" s="466"/>
    </row>
    <row r="369" spans="1:115" ht="14.5" customHeight="1" x14ac:dyDescent="0.2">
      <c r="A369" s="390"/>
      <c r="B369" s="457"/>
      <c r="C369" s="135" t="s">
        <v>53</v>
      </c>
      <c r="D369" s="375"/>
      <c r="E369" s="387"/>
      <c r="F369" s="378"/>
      <c r="G369" s="484"/>
      <c r="H369" s="477"/>
      <c r="I369" s="136"/>
      <c r="J369" s="137"/>
      <c r="K369" s="138"/>
      <c r="L369" s="139"/>
      <c r="M369" s="140"/>
      <c r="N369" s="407"/>
      <c r="O369" s="141" t="str">
        <f>IF(OR(AE367="",AE368=""),"",IF(L369&gt;0,ROUND(IF(M369&gt;0,M369,IF(M367&gt;0,ROUND((M367*AE369)/AE367,IF(N367=0,2,IF(N367=0.1,1,0))),IF(M368&gt;0,ROUND((M368*AE369)/AE368,IF(N367=0,2,IF(N367=0.1,1,0))),IF(M369&gt;0,M369,0)))),2),""))</f>
        <v/>
      </c>
      <c r="P369" s="142" t="str">
        <f>IF(I368="Lay",O368*(L368/(L368-1))-O368,IF(I367="Lay",O367*(L367/(L367-1))-O367,IF(OR(L369="",O369=""),"",IF($C369="1/2W",O369/2+O369/2*L369,IF($C369="1/2L",O369/2,(O369*L369-O369)*(1-_xlfn.XLOOKUP(K369,'Fevereiro 2023 - Valor Real'!A3:A15,'Fevereiro 2023 - Valor Real'!C3:C15,0))+O369)))))</f>
        <v/>
      </c>
      <c r="Q369" s="143" t="str">
        <f>IF(K369="","",IF(_xlfn.XLOOKUP(K369,K$4:K368,$DJ$4:DJ368,0,,-1)=DJ369,_xlfn.XLOOKUP(K369,K$4:K368,Q$4:Q368,1,,-1)+1,1))</f>
        <v/>
      </c>
      <c r="R369" s="144" t="str">
        <f>IF(K369="","",_xlfn.XLOOKUP(K369,K$4:K368,R$4:R368,0,,-1)+IF($C369=" ",1,0))</f>
        <v/>
      </c>
      <c r="S369" s="404"/>
      <c r="T369" s="378"/>
      <c r="U369" s="378"/>
      <c r="V369" s="404"/>
      <c r="W369" s="378"/>
      <c r="X369" s="453"/>
      <c r="Y369" s="383"/>
      <c r="Z369" s="384"/>
      <c r="AA369" s="384"/>
      <c r="AB369" s="384"/>
      <c r="AC369" s="384"/>
      <c r="AD369" s="145">
        <f>((L368/(L368-1)-1))</f>
        <v>5.5555555555555571</v>
      </c>
      <c r="AE369" s="146" t="str">
        <f>IF(L369="","",(SUM(((L367-1)*(1-_xlfn.XLOOKUP(K367,'Fevereiro 2023 - Valor Real'!A3:A15,'Fevereiro 2023 - Valor Real'!C3:C15,0))+1),((L368-1)*(1-_xlfn.XLOOKUP(K368,'Fevereiro 2023 - Valor Real'!A3:A15,'Fevereiro 2023 - Valor Real'!C3:C15,0))+1),((L369-1)*(1-_xlfn.XLOOKUP(K369,'Fevereiro 2023 - Valor Real'!A3:A15,'Fevereiro 2023 - Valor Real'!C3:C15,0))+1))/((L369-1)*(1-_xlfn.XLOOKUP(K369,'Fevereiro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Real'!C3:C15,0))+1))/((L367-1)*(1-_xlfn.XLOOKUP(K367,'Fevereiro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Real'!C3:C15,0))+1))/((L368-1)*(1-_xlfn.XLOOKUP(K368,'Fevereiro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Real'!C3:C15,0))+1))/((L369-1)*(1-_xlfn.XLOOKUP(K369,'Fevereiro 2023 - Valor Real'!A3:A15,'Fevereiro 2023 - Valor Real'!C3:C15,0))+1)))</f>
        <v/>
      </c>
      <c r="AF369" s="105">
        <f t="shared" si="732"/>
        <v>0</v>
      </c>
      <c r="AG369" s="106">
        <f t="shared" si="732"/>
        <v>0</v>
      </c>
      <c r="AH369" s="106">
        <f t="shared" si="732"/>
        <v>0</v>
      </c>
      <c r="AI369" s="106">
        <f t="shared" si="732"/>
        <v>0</v>
      </c>
      <c r="AJ369" s="106">
        <f t="shared" si="732"/>
        <v>0</v>
      </c>
      <c r="AK369" s="106">
        <f t="shared" si="732"/>
        <v>0</v>
      </c>
      <c r="AL369" s="106">
        <f t="shared" si="732"/>
        <v>0</v>
      </c>
      <c r="AM369" s="106">
        <f t="shared" si="732"/>
        <v>0</v>
      </c>
      <c r="AN369" s="106">
        <f t="shared" si="732"/>
        <v>0</v>
      </c>
      <c r="AO369" s="106">
        <f t="shared" si="732"/>
        <v>0</v>
      </c>
      <c r="AP369" s="106">
        <f t="shared" si="732"/>
        <v>0</v>
      </c>
      <c r="AQ369" s="106">
        <f t="shared" si="732"/>
        <v>0</v>
      </c>
      <c r="AR369" s="107">
        <f t="shared" si="732"/>
        <v>0</v>
      </c>
      <c r="AS369" s="105">
        <f>IF(AND($B367=" ",$K369=AS$3),$O369,0)</f>
        <v>0</v>
      </c>
      <c r="AT369" s="106">
        <f>IF(AND($B367=" ",K369=AT$3),$O369,0)</f>
        <v>0</v>
      </c>
      <c r="AU369" s="106">
        <f t="shared" ref="AU369:BE369" si="741">IF(AND($B367=" ",$K369=AU$3),$O369,0)</f>
        <v>0</v>
      </c>
      <c r="AV369" s="106">
        <f t="shared" si="741"/>
        <v>0</v>
      </c>
      <c r="AW369" s="106">
        <f t="shared" si="741"/>
        <v>0</v>
      </c>
      <c r="AX369" s="106">
        <f t="shared" si="741"/>
        <v>0</v>
      </c>
      <c r="AY369" s="108">
        <f t="shared" si="741"/>
        <v>0</v>
      </c>
      <c r="AZ369" s="109">
        <f t="shared" si="741"/>
        <v>0</v>
      </c>
      <c r="BA369" s="109">
        <f t="shared" si="741"/>
        <v>0</v>
      </c>
      <c r="BB369" s="109">
        <f t="shared" si="741"/>
        <v>0</v>
      </c>
      <c r="BC369" s="110">
        <f t="shared" si="741"/>
        <v>0</v>
      </c>
      <c r="BD369" s="106">
        <f t="shared" si="741"/>
        <v>0</v>
      </c>
      <c r="BE369" s="107">
        <f t="shared" si="741"/>
        <v>0</v>
      </c>
      <c r="BF369" s="105">
        <f t="shared" si="734"/>
        <v>0</v>
      </c>
      <c r="BG369" s="106">
        <f t="shared" si="734"/>
        <v>0</v>
      </c>
      <c r="BH369" s="106">
        <f t="shared" si="734"/>
        <v>0</v>
      </c>
      <c r="BI369" s="106">
        <f t="shared" si="734"/>
        <v>0</v>
      </c>
      <c r="BJ369" s="106">
        <f t="shared" si="734"/>
        <v>0</v>
      </c>
      <c r="BK369" s="106">
        <f t="shared" si="734"/>
        <v>0</v>
      </c>
      <c r="BL369" s="106">
        <f t="shared" si="734"/>
        <v>0</v>
      </c>
      <c r="BM369" s="108">
        <f t="shared" si="734"/>
        <v>0</v>
      </c>
      <c r="BN369" s="109">
        <f t="shared" si="734"/>
        <v>0</v>
      </c>
      <c r="BO369" s="109">
        <f t="shared" si="734"/>
        <v>0</v>
      </c>
      <c r="BP369" s="109">
        <f t="shared" si="734"/>
        <v>0</v>
      </c>
      <c r="BQ369" s="110">
        <f t="shared" si="734"/>
        <v>0</v>
      </c>
      <c r="BR369" s="107">
        <f t="shared" si="734"/>
        <v>0</v>
      </c>
      <c r="BS369" s="464"/>
      <c r="BT369" s="461"/>
      <c r="BU369" s="392"/>
      <c r="BV369" s="461"/>
      <c r="BW369" s="392"/>
      <c r="BX369" s="392"/>
      <c r="BY369" s="392"/>
      <c r="BZ369" s="461"/>
      <c r="CA369" s="392"/>
      <c r="CB369" s="392"/>
      <c r="CC369" s="392"/>
      <c r="CD369" s="401"/>
      <c r="CE369" s="409"/>
      <c r="CF369" s="133">
        <f t="shared" si="644"/>
        <v>0</v>
      </c>
      <c r="CG369" s="134">
        <f t="shared" si="645"/>
        <v>0</v>
      </c>
      <c r="CH369" s="134">
        <f t="shared" si="646"/>
        <v>0</v>
      </c>
      <c r="CI369" s="134">
        <f t="shared" si="647"/>
        <v>0</v>
      </c>
      <c r="CJ369" s="134">
        <f t="shared" si="648"/>
        <v>0</v>
      </c>
      <c r="CK369" s="134">
        <f t="shared" si="649"/>
        <v>0</v>
      </c>
      <c r="CL369" s="134">
        <f t="shared" si="650"/>
        <v>0</v>
      </c>
      <c r="CM369" s="134">
        <f t="shared" si="651"/>
        <v>0</v>
      </c>
      <c r="CN369" s="134">
        <f t="shared" si="652"/>
        <v>0</v>
      </c>
      <c r="CO369" s="134">
        <f t="shared" si="653"/>
        <v>0</v>
      </c>
      <c r="CP369" s="134">
        <f t="shared" si="654"/>
        <v>0</v>
      </c>
      <c r="CQ369" s="134">
        <f t="shared" si="655"/>
        <v>0</v>
      </c>
      <c r="CR369" s="134">
        <f t="shared" si="656"/>
        <v>0</v>
      </c>
      <c r="CS369" s="134">
        <f t="shared" si="657"/>
        <v>0</v>
      </c>
      <c r="CT369" s="115">
        <f t="shared" si="658"/>
        <v>0</v>
      </c>
      <c r="CU369" s="116">
        <f t="shared" si="659"/>
        <v>0</v>
      </c>
      <c r="CV369" s="116">
        <f t="shared" si="660"/>
        <v>0</v>
      </c>
      <c r="CW369" s="116">
        <f t="shared" si="661"/>
        <v>0</v>
      </c>
      <c r="CX369" s="116">
        <f t="shared" si="662"/>
        <v>0</v>
      </c>
      <c r="CY369" s="116">
        <f t="shared" si="663"/>
        <v>0</v>
      </c>
      <c r="CZ369" s="116">
        <f t="shared" si="664"/>
        <v>0</v>
      </c>
      <c r="DA369" s="116">
        <f t="shared" si="665"/>
        <v>0</v>
      </c>
      <c r="DB369" s="116">
        <f t="shared" si="666"/>
        <v>0</v>
      </c>
      <c r="DC369" s="116">
        <f t="shared" si="667"/>
        <v>0</v>
      </c>
      <c r="DD369" s="116">
        <f t="shared" si="668"/>
        <v>0</v>
      </c>
      <c r="DE369" s="117">
        <f t="shared" si="669"/>
        <v>0</v>
      </c>
      <c r="DF369" s="118">
        <f t="shared" si="672"/>
        <v>27</v>
      </c>
      <c r="DG369" s="106">
        <f t="shared" si="673"/>
        <v>35.01</v>
      </c>
      <c r="DH369" s="116">
        <f t="shared" si="674"/>
        <v>10</v>
      </c>
      <c r="DI369" s="106">
        <f t="shared" si="675"/>
        <v>41.599999999999994</v>
      </c>
      <c r="DJ369" s="201" t="str">
        <f>IF($D367="","",$D367)</f>
        <v>10</v>
      </c>
      <c r="DK369" s="466"/>
    </row>
    <row r="370" spans="1:115" ht="14.5" customHeight="1" x14ac:dyDescent="0.2">
      <c r="A370" s="487">
        <f>$A367+1</f>
        <v>123</v>
      </c>
      <c r="B370" s="506" t="str">
        <f>IF(OR(C370="W",C371="W",C372="W",C370="1/2W",C371="1/2W",C372="1/2W",C370="1/2L",C371="1/2L",C372="1/2L"),"OK",IF(OR(C370="L",C371="L",C372="L"),"LOSS",IF(OR(C370="X",C371="X",C372="X"),"Anulado"," ")))</f>
        <v>Anulado</v>
      </c>
      <c r="C370" s="147" t="s">
        <v>49</v>
      </c>
      <c r="D370" s="494" t="str">
        <f>IF(G370="","",$D367)</f>
        <v>10</v>
      </c>
      <c r="E370" s="511" t="str">
        <f>IF(G370=""," ","– "&amp;COUNTIF(D$4:D372,$D370))</f>
        <v>– 10</v>
      </c>
      <c r="F370" s="510" t="str">
        <f ca="1">IF(G370="","",IF(OR(AND($C370&lt;&gt;" ",$C371=" "),AND($C371&lt;&gt;" ",$C370=" "),AND(L372&gt;0,OR(AND($C372&lt;&gt;" ",OR($C370=" ",$C371=" ")),AND($C372=" ",OR($C370&lt;&gt;" ",$C371&lt;&gt;" "))))),IF(SUM(F$4:F369)=0,1,LARGE(F$4:F369,1)+1),IF(MONTH(G370)=MONTH(TODAY()),IF(AND(DAY(G370)&lt;DAY(TODAY()),$B370=" "),IF(SUM(F$4:F369)=0,1,LARGE(F$4:F369,1)+1),IF($B370=" ",IF(AND(DAY(G370)=DAY(TODAY()),HOUR(G370)&lt;=HOUR(NOW())+1),IF(AND(HOUR(G370)+2&lt;=HOUR(NOW()),DAY(G370)&lt;=DAY(TODAY()),MINUTE(G370)&lt;=MINUTE(NOW())),IF(SUM(F$4:F369)=0,1,LARGE(F$4:F369,1)+1),IF(OR(MINUTE(G370)&lt;=MINUTE(NOW()),HOUR(G370)&lt;=HOUR(NOW())),"!!!","")),""),"")),"")))</f>
        <v/>
      </c>
      <c r="G370" s="508">
        <v>44996.375</v>
      </c>
      <c r="H370" s="502" t="s">
        <v>162</v>
      </c>
      <c r="I370" s="180" t="s">
        <v>66</v>
      </c>
      <c r="J370" s="181">
        <v>0</v>
      </c>
      <c r="K370" s="150" t="s">
        <v>36</v>
      </c>
      <c r="L370" s="151">
        <v>1.7</v>
      </c>
      <c r="M370" s="152">
        <v>25</v>
      </c>
      <c r="N370" s="503">
        <v>0</v>
      </c>
      <c r="O370" s="153">
        <f>IF(OR(AE370="",AE371=""),"",ROUND(IF(L372&gt;0,IF(M370&gt;0,M370,IF(M371&gt;0,ROUND((M371*AE370)/AE371,IF(N370=0,2,IF(N370=0.1,1,0))),ROUND((M372*AE370)/AE372,IF(N370=0,2,IF(N370=0.1,1,0))))),IF(M370&gt;0,M370,ROUND((M371*AE370)/AE371,IF(N370=0,2,IF(N370=0.1,1,0))))),2))</f>
        <v>25</v>
      </c>
      <c r="P370" s="154">
        <f>IF(OR(L370="",O370=""),"",IF($C370="1/2W",O370/2+O370/2*L370,IF($C370="1/2L",O370/2,IF(I370="Lay",(O370*(L370/(L370-1))-O370)*(1-_xlfn.XLOOKUP(K370,'Fevereiro 2023 - Valor Real'!A3:A15,'Fevereiro 2023 - Valor Real'!C3:C15,0))+O370,(O370*L370-O370)*(1-_xlfn.XLOOKUP(K370,'Fevereiro 2023 - Valor Real'!A3:A15,'Fevereiro 2023 - Valor Real'!C3:C15,0))+O370))))</f>
        <v>42.5</v>
      </c>
      <c r="Q370" s="155">
        <f>IF(K370="","",IF(_xlfn.XLOOKUP(K370,K$9:K362,$DJ$9:DJ362,0,,-1)=DJ370,_xlfn.XLOOKUP(K370,K$9:K362,Q$9:Q362,1,,-1)+1,1))</f>
        <v>1</v>
      </c>
      <c r="R370" s="156">
        <f>IF(K370="","",_xlfn.XLOOKUP(K370,K$9:K362,R$9:R362,0,,-1)+IF($C370=" ",1,0))</f>
        <v>0</v>
      </c>
      <c r="S370" s="501">
        <f>IF($B370="Anulado",0,ROUND(IF(OR($B370="LOSS",$B370="OK"),IF(OR($C370="W",$C370="1/2W",$C370="1/2L"),P370-O370,IF($C370="L",-O370,0))+IF(OR($C371="W",$C371="1/2W",$C371="1/2L"),P371-O371,IF($C371="L",-O371,0))+IF(OR($C372="W",$C372="1/2W",$C372="1/2L"),P372-O372,IF($C372="L",-O372,0)),IF(AND(OR($C370="W",$C370="1/2W",$C370="1/2L"),C371="W"),P370+P371-SUM(O370:O372)+_xlfn.XLOOKUP("X",C370:C372,O370:O372,0),IF(AND(C370=TRUE,C372="W"),P370+P372-SUM(O370:O372),IF(AND(C371="W",C372="W"),P371+P372-SUM(O370:O372)+_xlfn.XLOOKUP("X",C370:C372,O370:O372,0),IF(L372&gt;0,IF(OR($C370="W",$C370="1/2W",$C370="1/2L"),P370-SUM(O370:O372)+_xlfn.XLOOKUP("X",C370:C372,O370:O372,0),IF(OR($C370="W",$C370="1/2W",$C370="1/2L"),P371-SUM(O370:O372)+_xlfn.XLOOKUP("X",C370:C372,O370:O372,0),IF(OR($C370="W",$C370="1/2W",$C370="1/2L"),P372-SUM(O370:O372)+_xlfn.XLOOKUP("X",C370:C372,O370:O372,0),IF(SUM(P370:P372)/3-SUM(O370:O372)+_xlfn.XLOOKUP("X",C370:C372,O370:O372,0)&gt;0,SUM(P370:P372)/3-SUM(O370:O372)+_xlfn.XLOOKUP("X",C370:C372,O370:O372,0),LARGE(P370:P372,1)-SUM(O370:O372))))),IF(OR($C370="W",$C370="1/2W",$C370="1/2L"),P370-SUM(O370:O371)+_xlfn.XLOOKUP("X",C370:C372,O370:O372,0),IF(OR($C370="W",$C370="1/2W",$C370="1/2L"),P371-SUM(O370:O371)+_xlfn.XLOOKUP("X",C370:C372,O370:O372,0),SUM(P370:P371)/2-SUM(O370:O371)+_xlfn.XLOOKUP("X",C370:C372,O370:O372,0)))))))),2))</f>
        <v>0</v>
      </c>
      <c r="T370" s="486">
        <f>IF(S370=0,0,S370/SUM(O370:O372))</f>
        <v>0</v>
      </c>
      <c r="U370" s="496">
        <f>IF($D370=$D367,IF(OR($B370="LOSS",$B370="OK",$B370="Anulada"),S370,0)+U367,IF(OR($B370="LOSS",$B370="OK",$B370="Anulada"),S370,0))</f>
        <v>-40.81</v>
      </c>
      <c r="V370" s="496">
        <f>IF($D370="",0,IF($D370=$D367,IF($B370=" ",IF(I372="",IF(OR(AND(I370="DNB1",I371="DNB2"),AND(OR(I370="DNB1",I370="DNB2"),J371=0),AND(OR(I371="DNB1",I371="DNB2"),J370=0),AND(I370="DNB2",I371="DNB1"),AND(IF(J370=0,(J370+1)/ROUND(J370+1,0),J370/ROUND(J370,0))=1,IF(J371=0,(J371+1)/ROUND(IF(J371="",0,J371)+1,0),IF(J371="",0,J371)/ROUND(IF(J371="",1,J371),0))=1,OR(J370&lt;&gt;""),J371&lt;&gt;"")),0,IF(S370&lt;0,IF(I372="",SMALL(P370:P371,1)-SUM(O370:O371),0),SMALL(P370:P371,1)-SUM(O370:O371))),IF(S370&lt;0,IF(I372="",SMALL(P370:P372,1)-SUM(O370:O372),0),LARGE(P370:P372,1)-SUM(O370:O372))),S370)+V367,IF(I372="",IF(OR(AND(I370="DNB1",I371="DNB2"),AND(OR(I370="DNB1",I370="DNB2"),J371=0),AND(OR(I371="DNB1",I371="DNB2"),J370=0),AND(I370="DNB2",I371="DNB1"),AND(IF(J370=0,(J370+1)/ROUND(J370+1,0),J370/ROUND(J370,0))=1,IF(J371=0,(IF(J371="",0,J371)+1)/ROUND(IF(J371="",0,J371)+1,0),IF(J371="",0,J371)/ROUND(IF(J371="",0,J371)+1,0))=1,OR(J370&lt;&gt;""),J371&lt;&gt;"")),0,IF(S370&lt;0,IF(I372="",SMALL(P370:P371,1)-SUM(O370:O371),0),SMALL(P370:P372,1)-SUM(O370:O372))),IF(S370&lt;0,IF(I372="",SMALL(P370:P372,1)-SUM(O370:O372),0),LARGE(P370:P372,1)-SUM(O370:O372)))))</f>
        <v>-25.789999999999988</v>
      </c>
      <c r="W370" s="496">
        <f>IF($D370=$D367,IF(S370&lt;0,IF(I372="",S370,0),S370)+W367,S370)</f>
        <v>-40.81</v>
      </c>
      <c r="X370" s="505" t="str">
        <f>IF(OR(SUM(R370:R372)=0,V370=W370),ROUND(IF(W370=0,0,W370/Y370)*100,2)&amp;"%",ROUND(IF(V370=0,0,V370/Y370)*100,2)&amp;"% a "&amp;ROUND(IF(W370=0,0,W370/Y370)*100,2)&amp;"%")</f>
        <v>-3,55%</v>
      </c>
      <c r="Y370" s="497">
        <f>IF($D370=$D367,Y367+SUM(O370:O372),SUM(O370:O372))</f>
        <v>1150.8799999999999</v>
      </c>
      <c r="Z370" s="496">
        <f>IF($B370=" ",SUM(O370:O372),0)+Z367</f>
        <v>0</v>
      </c>
      <c r="AA370" s="496">
        <f>IF(G370="","",IF($B370="Anulado",LARGE(P370:P372,1)-SUM(O370:O372)+AA367,AA367))</f>
        <v>10.700299999999997</v>
      </c>
      <c r="AB370" s="496">
        <f>IF($D370="","",AB367+S370)</f>
        <v>452.44000000000005</v>
      </c>
      <c r="AC370" s="499">
        <f ca="1">IF($D370="","",IF($B370=" ",IF(DAY(G370)=DAY(TODAY()),1+AC367,0+AC367),0+AC367))</f>
        <v>0</v>
      </c>
      <c r="AD370" s="157">
        <f>(1-_xlfn.XLOOKUP(K368,'Fevereiro 2023 - Valor Real'!A3:A15,'Fevereiro 2023 - Valor Real'!C3:C15,0))+1</f>
        <v>1.9350000000000001</v>
      </c>
      <c r="AE370" s="158">
        <f>IF(L370="","",IF(L372&gt;0,(SUM(((L370-1)*(1-_xlfn.XLOOKUP(K370,'Fevereiro 2023 - Valor Real'!A3:A15,'Fevereiro 2023 - Valor Real'!C3:C15,0))+1),((L371-1)*(1-_xlfn.XLOOKUP(K371,'Fevereiro 2023 - Valor Real'!A3:A15,'Fevereiro 2023 - Valor Real'!C3:C15,0))+1),((L372-1)*(1-_xlfn.XLOOKUP(K372,'Fevereiro 2023 - Valor Real'!A3:A15,'Fevereiro 2023 - Valor Real'!C3:C15,0))+1))/((L370-1)*(1-_xlfn.XLOOKUP(K370,'Fevereiro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Real'!C3:C15,0))+1))/((L370-1)*(1-_xlfn.XLOOKUP(K370,'Fevereiro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Real'!C3:C15,0))+1))/((L371-1)*(1-_xlfn.XLOOKUP(K371,'Fevereiro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Real'!C3:C15,0))+1))/((L372-1)*(1-_xlfn.XLOOKUP(K372,'Fevereiro 2023 - Valor Real'!A3:A15,'Fevereiro 2023 - Valor Real'!C3:C15,0))+1)),IF(I370="Lay",IF(I371="Lay",((L371/(L371-1)-1)*(1-_xlfn.XLOOKUP(K371,'Fevereiro 2023 - Valor Real'!A3:A15,'Fevereiro 2023 - Valor Real'!C3:C15,0))+1)/(((L371/(L371-1)-1)*(1-_xlfn.XLOOKUP(K371,'Fevereiro 2023 - Valor Real'!A3:A15,'Fevereiro 2023 - Valor Real'!C3:C15,0))+1)+((L370/(L370-1)-1)*(1-_xlfn.XLOOKUP(K370,'Fevereiro 2023 - Valor Real'!A3:A15,'Fevereiro 2023 - Valor Real'!C3:C15,0))+1)),((L371-1)*(1-_xlfn.XLOOKUP(K371,'Fevereiro 2023 - Valor Real'!A3:A15,'Fevereiro 2023 - Valor Real'!C3:C15,0))+1)/(((L371-1)*(1-_xlfn.XLOOKUP(K371,'Fevereiro 2023 - Valor Real'!A3:A15,'Fevereiro 2023 - Valor Real'!C3:C15,0))+1)+((L370/(L370-1)-1)*(1-_xlfn.XLOOKUP(K370,'Fevereiro 2023 - Valor Real'!A3:A15,'Fevereiro 2023 - Valor Real'!C3:C15,0))+1))),IF(I371="Lay",(((L371/(L371-1)-1)*(1-_xlfn.XLOOKUP(K371,'Fevereiro 2023 - Valor Real'!A3:A15,'Fevereiro 2023 - Valor Real'!C3:C15,0))+1))/(((L370-1)*(1-_xlfn.XLOOKUP(K370,'Fevereiro 2023 - Valor Real'!A3:A15,'Fevereiro 2023 - Valor Real'!C3:C15,0))+1)+((L371/(L371-1)-1)*(1-_xlfn.XLOOKUP(K371,'Fevereiro 2023 - Valor Real'!A3:A15,'Fevereiro 2023 - Valor Real'!C3:C15,0))+1)),((L371-1)*(1-_xlfn.XLOOKUP(K371,'Fevereiro 2023 - Valor Real'!A3:A15,'Fevereiro 2023 - Valor Real'!C3:C15,0))+1)/(((L371-1)*(1-_xlfn.XLOOKUP(K371,'Fevereiro 2023 - Valor Real'!A3:A15,'Fevereiro 2023 - Valor Real'!C3:C15,0))+1)+((L370-1)*(1-_xlfn.XLOOKUP(K370,'Fevereiro 2023 - Valor Real'!A3:A15,'Fevereiro 2023 - Valor Real'!C3:C15,0))+1))))))</f>
        <v>0.61625282167042894</v>
      </c>
      <c r="AF370" s="66">
        <f t="shared" si="732"/>
        <v>0</v>
      </c>
      <c r="AG370" s="67">
        <f t="shared" si="732"/>
        <v>0</v>
      </c>
      <c r="AH370" s="67">
        <f t="shared" si="732"/>
        <v>0</v>
      </c>
      <c r="AI370" s="67">
        <f t="shared" si="732"/>
        <v>0</v>
      </c>
      <c r="AJ370" s="67">
        <f t="shared" si="732"/>
        <v>0</v>
      </c>
      <c r="AK370" s="67">
        <f t="shared" si="732"/>
        <v>0</v>
      </c>
      <c r="AL370" s="67">
        <f t="shared" si="732"/>
        <v>0</v>
      </c>
      <c r="AM370" s="67">
        <f t="shared" si="732"/>
        <v>0</v>
      </c>
      <c r="AN370" s="67">
        <f t="shared" si="732"/>
        <v>0</v>
      </c>
      <c r="AO370" s="67">
        <f t="shared" si="732"/>
        <v>0</v>
      </c>
      <c r="AP370" s="67">
        <f t="shared" si="732"/>
        <v>0</v>
      </c>
      <c r="AQ370" s="67">
        <f t="shared" si="732"/>
        <v>0</v>
      </c>
      <c r="AR370" s="68">
        <f t="shared" si="732"/>
        <v>0</v>
      </c>
      <c r="AS370" s="66">
        <f t="shared" ref="AS370:BE370" si="742">IF(AND($B370=" ",$K370=AS$3),$O370,0)</f>
        <v>0</v>
      </c>
      <c r="AT370" s="67">
        <f t="shared" si="742"/>
        <v>0</v>
      </c>
      <c r="AU370" s="67">
        <f t="shared" si="742"/>
        <v>0</v>
      </c>
      <c r="AV370" s="67">
        <f t="shared" si="742"/>
        <v>0</v>
      </c>
      <c r="AW370" s="67">
        <f t="shared" si="742"/>
        <v>0</v>
      </c>
      <c r="AX370" s="67">
        <f t="shared" si="742"/>
        <v>0</v>
      </c>
      <c r="AY370" s="69">
        <f t="shared" si="742"/>
        <v>0</v>
      </c>
      <c r="AZ370" s="70">
        <f t="shared" si="742"/>
        <v>0</v>
      </c>
      <c r="BA370" s="70">
        <f t="shared" si="742"/>
        <v>0</v>
      </c>
      <c r="BB370" s="70">
        <f t="shared" si="742"/>
        <v>0</v>
      </c>
      <c r="BC370" s="71">
        <f t="shared" si="742"/>
        <v>0</v>
      </c>
      <c r="BD370" s="67">
        <f t="shared" si="742"/>
        <v>0</v>
      </c>
      <c r="BE370" s="68">
        <f t="shared" si="742"/>
        <v>0</v>
      </c>
      <c r="BF370" s="66">
        <f t="shared" si="734"/>
        <v>0</v>
      </c>
      <c r="BG370" s="67">
        <f t="shared" si="734"/>
        <v>0</v>
      </c>
      <c r="BH370" s="67">
        <f t="shared" si="734"/>
        <v>0</v>
      </c>
      <c r="BI370" s="67">
        <f t="shared" si="734"/>
        <v>0</v>
      </c>
      <c r="BJ370" s="67">
        <f t="shared" si="734"/>
        <v>0</v>
      </c>
      <c r="BK370" s="67">
        <f t="shared" si="734"/>
        <v>0</v>
      </c>
      <c r="BL370" s="67">
        <f t="shared" si="734"/>
        <v>0</v>
      </c>
      <c r="BM370" s="69">
        <f t="shared" si="734"/>
        <v>0</v>
      </c>
      <c r="BN370" s="70">
        <f t="shared" si="734"/>
        <v>0</v>
      </c>
      <c r="BO370" s="70">
        <f t="shared" si="734"/>
        <v>0</v>
      </c>
      <c r="BP370" s="70">
        <f t="shared" si="734"/>
        <v>0</v>
      </c>
      <c r="BQ370" s="71">
        <f t="shared" si="734"/>
        <v>0</v>
      </c>
      <c r="BR370" s="68">
        <f t="shared" si="734"/>
        <v>0</v>
      </c>
      <c r="BS370" s="490">
        <f>IF($B370="LOSS",IF(AND($K370=BS$3,$C370="L"),-$O370,0)+IF(AND($K371=BS$3,$C371="L"),-$O371,0)+IF(AND($K372=BS$3,$C372="L"),-$O372,0),IF(OR(AND($K370=BS$3,OR($C370="W",$C370="1/2W")),AND($K371=BS$3,OR($C371="W",$C371="1/2W")),AND($K372=BS$3,OR($C372="W",$C372="1/2W"))),$S370,0))</f>
        <v>0</v>
      </c>
      <c r="BT370" s="498">
        <f>IF($B370="LOSS",IF(AND($K370=BT$3,$C370="L"),-$O370,0)+IF(AND($K371=BT$3,$C371="L"),-$O371,0)+IF(AND($K371=BT$3,$C372="L"),-$O372,0),IF(OR(AND($K371=BT$3,OR($C370="W",$C370="1/2W")),AND($K371=BT$3,OR($C371="W",$C371="1/2W")),AND($K371=BT$3,OR($C372="W",$C372="1/2W"))),$S370,0))</f>
        <v>0</v>
      </c>
      <c r="BU370" s="488">
        <f>IF($B370="LOSS",IF(AND($K370=BU$3,$C370="L"),-$O370,0)+IF(AND($K371=BU$3,$C371="L"),-$O371,0)+IF(AND($K371=BU$3,$C372="L"),-$O372,0),IF(OR(AND($K371=BU$3,OR($C370="W",$C370="1/2W")),AND($K371=BU$3,OR($C371="W",$C371="1/2W")),AND($K371=BU$3,OR($C372="W",$C372="1/2W"))),$S370,0))</f>
        <v>0</v>
      </c>
      <c r="BV370" s="488">
        <f t="shared" ref="BV370:CE370" si="743">IF($B370="LOSS",IF(AND($K370=BV$3,$C370="L"),-$O370,0)+IF(AND($K371=BV$3,$C371="L"),-$O371,0)+IF(AND($K372=BV$3,$C372="L"),-$O372,0),IF(OR(AND($K370=BV$3,OR($C370="W",$C370="1/2W")),AND($K371=BV$3,OR($C371="W",$C371="1/2W")),AND($K372=BV$3,OR($C372="W",$C372="1/2W"))),$S370,0))</f>
        <v>0</v>
      </c>
      <c r="BW370" s="488">
        <f t="shared" si="743"/>
        <v>0</v>
      </c>
      <c r="BX370" s="488">
        <f t="shared" si="743"/>
        <v>0</v>
      </c>
      <c r="BY370" s="488">
        <f t="shared" si="743"/>
        <v>0</v>
      </c>
      <c r="BZ370" s="488">
        <f t="shared" si="743"/>
        <v>0</v>
      </c>
      <c r="CA370" s="488">
        <f t="shared" si="743"/>
        <v>0</v>
      </c>
      <c r="CB370" s="488">
        <f t="shared" si="743"/>
        <v>0</v>
      </c>
      <c r="CC370" s="488">
        <f t="shared" si="743"/>
        <v>0</v>
      </c>
      <c r="CD370" s="500">
        <f t="shared" si="743"/>
        <v>0</v>
      </c>
      <c r="CE370" s="504">
        <f t="shared" si="743"/>
        <v>0</v>
      </c>
      <c r="CF370" s="160">
        <f t="shared" si="644"/>
        <v>0</v>
      </c>
      <c r="CG370" s="161">
        <f t="shared" si="645"/>
        <v>0</v>
      </c>
      <c r="CH370" s="161">
        <f t="shared" si="646"/>
        <v>0</v>
      </c>
      <c r="CI370" s="161">
        <f t="shared" si="647"/>
        <v>0</v>
      </c>
      <c r="CJ370" s="161">
        <f t="shared" si="648"/>
        <v>0</v>
      </c>
      <c r="CK370" s="161">
        <f t="shared" si="649"/>
        <v>0</v>
      </c>
      <c r="CL370" s="161">
        <f t="shared" si="650"/>
        <v>0</v>
      </c>
      <c r="CM370" s="161">
        <f t="shared" si="651"/>
        <v>0</v>
      </c>
      <c r="CN370" s="161">
        <f t="shared" si="652"/>
        <v>0</v>
      </c>
      <c r="CO370" s="161">
        <f t="shared" si="653"/>
        <v>0</v>
      </c>
      <c r="CP370" s="161">
        <f t="shared" si="654"/>
        <v>0</v>
      </c>
      <c r="CQ370" s="161">
        <f t="shared" si="655"/>
        <v>0</v>
      </c>
      <c r="CR370" s="161">
        <f t="shared" si="656"/>
        <v>0</v>
      </c>
      <c r="CS370" s="161">
        <f t="shared" si="657"/>
        <v>0</v>
      </c>
      <c r="CT370" s="75">
        <f t="shared" si="658"/>
        <v>0</v>
      </c>
      <c r="CU370" s="76">
        <f t="shared" si="659"/>
        <v>0</v>
      </c>
      <c r="CV370" s="76">
        <f t="shared" si="660"/>
        <v>0</v>
      </c>
      <c r="CW370" s="76">
        <f t="shared" si="661"/>
        <v>0</v>
      </c>
      <c r="CX370" s="76">
        <f t="shared" si="662"/>
        <v>0</v>
      </c>
      <c r="CY370" s="76">
        <f t="shared" si="663"/>
        <v>0</v>
      </c>
      <c r="CZ370" s="76">
        <f t="shared" si="664"/>
        <v>0</v>
      </c>
      <c r="DA370" s="76">
        <f t="shared" si="665"/>
        <v>0</v>
      </c>
      <c r="DB370" s="76">
        <f t="shared" si="666"/>
        <v>0</v>
      </c>
      <c r="DC370" s="76">
        <f t="shared" si="667"/>
        <v>0</v>
      </c>
      <c r="DD370" s="76">
        <f t="shared" si="668"/>
        <v>0</v>
      </c>
      <c r="DE370" s="77">
        <f t="shared" si="669"/>
        <v>0</v>
      </c>
      <c r="DF370" s="73">
        <f t="shared" si="672"/>
        <v>27</v>
      </c>
      <c r="DG370" s="67">
        <f t="shared" si="673"/>
        <v>35.01</v>
      </c>
      <c r="DH370" s="76">
        <f t="shared" si="674"/>
        <v>10</v>
      </c>
      <c r="DI370" s="67">
        <f t="shared" si="675"/>
        <v>41.599999999999994</v>
      </c>
      <c r="DJ370" s="202" t="str">
        <f>IF($D370="","",$D370)</f>
        <v>10</v>
      </c>
      <c r="DK370" s="492">
        <f>IF(AND($B370=" ",$D370&lt;&gt;""),1,0)</f>
        <v>0</v>
      </c>
    </row>
    <row r="371" spans="1:115" ht="14.5" customHeight="1" x14ac:dyDescent="0.2">
      <c r="A371" s="389"/>
      <c r="B371" s="456"/>
      <c r="C371" s="53" t="s">
        <v>49</v>
      </c>
      <c r="D371" s="374"/>
      <c r="E371" s="386"/>
      <c r="F371" s="377"/>
      <c r="G371" s="508"/>
      <c r="H371" s="476"/>
      <c r="I371" s="182" t="s">
        <v>76</v>
      </c>
      <c r="J371" s="56">
        <f>IF(OR(I370="TO",I370="TU",I370="TO1",I370="TU1",I370="TO2",I370="TU2"),J370,IF(OR(I370="AH1",I370="AH2"),IF(OR(I371="AH1",I371="AH2"),-J370,IF(OR(I371="EH1",I371="EH2"),-J370+0.5,"")),IF(OR(I370="EH1",I370="EH2"),IF(OR(I371="AH1",I371="AH2"),-J370+0.5,IF(OR(I371="EH1",I371="EH2"),-J370+1,"")),IF(AND(OR(I370="DNB1",I370="DNB2"),OR(I371="AH1",I371="AH2")),0,IF(AND(I370="Not ScoreBoth",OR(I371="TO1",I371="TO2")),0.5,"")))))</f>
        <v>0</v>
      </c>
      <c r="K371" s="57" t="s">
        <v>43</v>
      </c>
      <c r="L371" s="164">
        <v>2.73</v>
      </c>
      <c r="M371" s="165"/>
      <c r="N371" s="406"/>
      <c r="O371" s="60">
        <f>IF(OR(AE370="",AE371=""),"",ROUND(IF(L372&gt;0,IF(M371&gt;0,M371,IF(M370&gt;0,IF(N370=TRUE,ROUND((M370*AE371)/AE370,0),(M370*AE371)/AE370),IF(M371&gt;0,ROUND(M371,IF(N370=0,2,IF(N370=0.1,1,0))),IF(M372&gt;0,ROUND(O372*AE371/AE372,IF(N370=0,2,IF(N370=0.1,1,0))),0)))),IF(M371&gt;0,M371,ROUND((M370*AE371)/AE370,IF(N370=0,2,IF(N370=0.1,1,0))))),2))</f>
        <v>15.57</v>
      </c>
      <c r="P371" s="61">
        <f>IF(OR(L371="",O371=""),"",IF($C371="1/2W",O371/2+O371/2*L371,IF($C371="1/2L",O371/2,IF(I371="Lay",((O371*(L371/(L371-1)))-O371)*(1-_xlfn.XLOOKUP(K371,'Fevereiro 2023 - Valor Real'!A3:A15,'Fevereiro 2023 - Valor Real'!C3:C15,0))+O371,(O371*L371-O371)*(1-_xlfn.XLOOKUP(K371,'Fevereiro 2023 - Valor Real'!A3:A15,'Fevereiro 2023 - Valor Real'!C3:C15,0))+O371))))</f>
        <v>42.506100000000004</v>
      </c>
      <c r="Q371" s="166">
        <f>IF(K371="","",IF(_xlfn.XLOOKUP(K371,K$10:K362,$DJ$10:DJ362,0,,-1)=DJ371,_xlfn.XLOOKUP(K371,K$10:K362,Q$10:Q362,1,,-1)+1,1))</f>
        <v>4</v>
      </c>
      <c r="R371" s="167">
        <f>IF(K371="","",_xlfn.XLOOKUP(K371,K$10:K362,R$10:R362,0,,-1)+IF($C371=" ",1,0))</f>
        <v>0</v>
      </c>
      <c r="S371" s="403"/>
      <c r="T371" s="380"/>
      <c r="U371" s="380"/>
      <c r="V371" s="481"/>
      <c r="W371" s="380"/>
      <c r="X371" s="452"/>
      <c r="Y371" s="383"/>
      <c r="Z371" s="384"/>
      <c r="AA371" s="384"/>
      <c r="AB371" s="384"/>
      <c r="AC371" s="384"/>
      <c r="AD371" s="64"/>
      <c r="AE371" s="65">
        <f>IF(L371="","",IF(L372&gt;0,(SUM(((L370-1)*(1-_xlfn.XLOOKUP(K370,'Fevereiro 2023 - Valor Real'!A3:A15,'Fevereiro 2023 - Valor Real'!C3:C15,0))+1),((L371-1)*(1-_xlfn.XLOOKUP(K371,'Fevereiro 2023 - Valor Real'!A3:A15,'Fevereiro 2023 - Valor Real'!C3:C15,0))+1),((L372-1)*(1-_xlfn.XLOOKUP(K372,'Fevereiro 2023 - Valor Real'!A3:A15,'Fevereiro 2023 - Valor Real'!C3:C15,0))+1))/((L371-1)*(1-_xlfn.XLOOKUP(K371,'Fevereiro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Real'!C3:C15,0))+1))/((L370-1)*(1-_xlfn.XLOOKUP(K370,'Fevereiro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Real'!C3:C15,0))+1))/((L371-1)*(1-_xlfn.XLOOKUP(K371,'Fevereiro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Real'!C3:C15,0))+1))/((L372-1)*(1-_xlfn.XLOOKUP(K372,'Fevereiro 2023 - Valor Real'!A3:A15,'Fevereiro 2023 - Valor Real'!C3:C15,0))+1)),IF(I371="Lay",IF(I370="Lay",((L370/(L370-1)-1)*(1-_xlfn.XLOOKUP(K370,'Fevereiro 2023 - Valor Real'!A3:A15,'Fevereiro 2023 - Valor Real'!C3:C15,0))+1)/(((L370/(L370-1)-1)*(1-_xlfn.XLOOKUP(K370,'Fevereiro 2023 - Valor Real'!A3:A15,'Fevereiro 2023 - Valor Real'!C3:C15,0))+1)+((L371/(L371-1)-1)*(1-_xlfn.XLOOKUP(K371,'Fevereiro 2023 - Valor Real'!A3:A15,'Fevereiro 2023 - Valor Real'!C3:C15,0))+1)),((L370-1)*(1-_xlfn.XLOOKUP(K370,'Fevereiro 2023 - Valor Real'!A3:A15,'Fevereiro 2023 - Valor Real'!C3:C15,0))+1)/(((L370-1)*(1-_xlfn.XLOOKUP(K370,'Fevereiro 2023 - Valor Real'!A3:A15,'Fevereiro 2023 - Valor Real'!C3:C15,0))+1)+((L371/(L371-1)-1)*(1-_xlfn.XLOOKUP(K371,'Fevereiro 2023 - Valor Real'!A3:A15,'Fevereiro 2023 - Valor Real'!C3:C15,0))+1))),IF(I370="Lay",((L370/(L370-1)-1)*(1-_xlfn.XLOOKUP(K370,'Fevereiro 2023 - Valor Real'!A3:A15,'Fevereiro 2023 - Valor Real'!C3:C15,0))+1)/((((L370/(L370-1)-1)*(1-_xlfn.XLOOKUP(K370,'Fevereiro 2023 - Valor Real'!A3:A15,'Fevereiro 2023 - Valor Real'!C3:C15,0))+1))+((L371-1)*(1-_xlfn.XLOOKUP(K371,'Fevereiro 2023 - Valor Real'!A3:A15,'Fevereiro 2023 - Valor Real'!C3:C15,0))+1)),((L370-1)*(1-_xlfn.XLOOKUP(K370,'Fevereiro 2023 - Valor Real'!A3:A15,'Fevereiro 2023 - Valor Real'!C3:C15,0))+1)/(((L370-1)*(1-_xlfn.XLOOKUP(K370,'Fevereiro 2023 - Valor Real'!A3:A15,'Fevereiro 2023 - Valor Real'!C3:C15,0))+1)+((L371-1)*(1-_xlfn.XLOOKUP(K371,'Fevereiro 2023 - Valor Real'!A3:A15,'Fevereiro 2023 - Valor Real'!C3:C15,0))+1))))))</f>
        <v>0.38374717832957111</v>
      </c>
      <c r="AF371" s="66">
        <f t="shared" si="732"/>
        <v>0</v>
      </c>
      <c r="AG371" s="67">
        <f t="shared" si="732"/>
        <v>0</v>
      </c>
      <c r="AH371" s="67">
        <f t="shared" si="732"/>
        <v>0</v>
      </c>
      <c r="AI371" s="67">
        <f t="shared" si="732"/>
        <v>0</v>
      </c>
      <c r="AJ371" s="67">
        <f t="shared" si="732"/>
        <v>0</v>
      </c>
      <c r="AK371" s="67">
        <f t="shared" si="732"/>
        <v>0</v>
      </c>
      <c r="AL371" s="67">
        <f t="shared" si="732"/>
        <v>0</v>
      </c>
      <c r="AM371" s="67">
        <f t="shared" si="732"/>
        <v>0</v>
      </c>
      <c r="AN371" s="67">
        <f t="shared" si="732"/>
        <v>0</v>
      </c>
      <c r="AO371" s="67">
        <f t="shared" si="732"/>
        <v>0</v>
      </c>
      <c r="AP371" s="67">
        <f t="shared" si="732"/>
        <v>0</v>
      </c>
      <c r="AQ371" s="67">
        <f t="shared" si="732"/>
        <v>0</v>
      </c>
      <c r="AR371" s="68">
        <f t="shared" si="732"/>
        <v>0</v>
      </c>
      <c r="AS371" s="66">
        <f>IF(AND($B370=" ",$K371=AS$3),$O371,0)</f>
        <v>0</v>
      </c>
      <c r="AT371" s="67">
        <f>IF(AND($B370=" ",K371=AT$3),$O371,0)</f>
        <v>0</v>
      </c>
      <c r="AU371" s="67">
        <f t="shared" ref="AU371:BE371" si="744">IF(AND($B370=" ",$K371=AU$3),$O371,0)</f>
        <v>0</v>
      </c>
      <c r="AV371" s="67">
        <f t="shared" si="744"/>
        <v>0</v>
      </c>
      <c r="AW371" s="67">
        <f t="shared" si="744"/>
        <v>0</v>
      </c>
      <c r="AX371" s="67">
        <f t="shared" si="744"/>
        <v>0</v>
      </c>
      <c r="AY371" s="69">
        <f t="shared" si="744"/>
        <v>0</v>
      </c>
      <c r="AZ371" s="70">
        <f t="shared" si="744"/>
        <v>0</v>
      </c>
      <c r="BA371" s="70">
        <f t="shared" si="744"/>
        <v>0</v>
      </c>
      <c r="BB371" s="70">
        <f t="shared" si="744"/>
        <v>0</v>
      </c>
      <c r="BC371" s="71">
        <f t="shared" si="744"/>
        <v>0</v>
      </c>
      <c r="BD371" s="67">
        <f t="shared" si="744"/>
        <v>0</v>
      </c>
      <c r="BE371" s="68">
        <f t="shared" si="744"/>
        <v>0</v>
      </c>
      <c r="BF371" s="66">
        <f t="shared" si="734"/>
        <v>0</v>
      </c>
      <c r="BG371" s="168">
        <f t="shared" si="734"/>
        <v>0</v>
      </c>
      <c r="BH371" s="67">
        <f t="shared" si="734"/>
        <v>0</v>
      </c>
      <c r="BI371" s="67">
        <f t="shared" si="734"/>
        <v>0</v>
      </c>
      <c r="BJ371" s="67">
        <f t="shared" si="734"/>
        <v>0</v>
      </c>
      <c r="BK371" s="67">
        <f t="shared" si="734"/>
        <v>0</v>
      </c>
      <c r="BL371" s="67">
        <f t="shared" si="734"/>
        <v>0</v>
      </c>
      <c r="BM371" s="69">
        <f t="shared" si="734"/>
        <v>0</v>
      </c>
      <c r="BN371" s="70">
        <f t="shared" si="734"/>
        <v>0</v>
      </c>
      <c r="BO371" s="70">
        <f t="shared" si="734"/>
        <v>0</v>
      </c>
      <c r="BP371" s="70">
        <f t="shared" si="734"/>
        <v>0</v>
      </c>
      <c r="BQ371" s="71">
        <f t="shared" si="734"/>
        <v>0</v>
      </c>
      <c r="BR371" s="68">
        <f t="shared" si="734"/>
        <v>0</v>
      </c>
      <c r="BS371" s="491"/>
      <c r="BT371" s="489"/>
      <c r="BU371" s="392"/>
      <c r="BV371" s="489"/>
      <c r="BW371" s="392"/>
      <c r="BX371" s="392"/>
      <c r="BY371" s="392"/>
      <c r="BZ371" s="489"/>
      <c r="CA371" s="392"/>
      <c r="CB371" s="392"/>
      <c r="CC371" s="392"/>
      <c r="CD371" s="401"/>
      <c r="CE371" s="409"/>
      <c r="CF371" s="169">
        <f t="shared" si="644"/>
        <v>0</v>
      </c>
      <c r="CG371" s="170">
        <f t="shared" si="645"/>
        <v>0</v>
      </c>
      <c r="CH371" s="170">
        <f t="shared" si="646"/>
        <v>0</v>
      </c>
      <c r="CI371" s="170">
        <f t="shared" si="647"/>
        <v>0</v>
      </c>
      <c r="CJ371" s="170">
        <f t="shared" si="648"/>
        <v>0</v>
      </c>
      <c r="CK371" s="170">
        <f t="shared" si="649"/>
        <v>0</v>
      </c>
      <c r="CL371" s="170">
        <f t="shared" si="650"/>
        <v>0</v>
      </c>
      <c r="CM371" s="170">
        <f t="shared" si="651"/>
        <v>0</v>
      </c>
      <c r="CN371" s="170">
        <f t="shared" si="652"/>
        <v>0</v>
      </c>
      <c r="CO371" s="170">
        <f t="shared" si="653"/>
        <v>0</v>
      </c>
      <c r="CP371" s="170">
        <f t="shared" si="654"/>
        <v>0</v>
      </c>
      <c r="CQ371" s="170">
        <f t="shared" si="655"/>
        <v>0</v>
      </c>
      <c r="CR371" s="170">
        <f t="shared" si="656"/>
        <v>0</v>
      </c>
      <c r="CS371" s="170">
        <f t="shared" si="657"/>
        <v>0</v>
      </c>
      <c r="CT371" s="75">
        <f t="shared" si="658"/>
        <v>0</v>
      </c>
      <c r="CU371" s="76">
        <f t="shared" si="659"/>
        <v>0</v>
      </c>
      <c r="CV371" s="76">
        <f t="shared" si="660"/>
        <v>0</v>
      </c>
      <c r="CW371" s="76">
        <f t="shared" si="661"/>
        <v>0</v>
      </c>
      <c r="CX371" s="76">
        <f t="shared" si="662"/>
        <v>0</v>
      </c>
      <c r="CY371" s="76">
        <f t="shared" si="663"/>
        <v>0</v>
      </c>
      <c r="CZ371" s="76">
        <f t="shared" si="664"/>
        <v>0</v>
      </c>
      <c r="DA371" s="76">
        <f t="shared" si="665"/>
        <v>0</v>
      </c>
      <c r="DB371" s="76">
        <f t="shared" si="666"/>
        <v>0</v>
      </c>
      <c r="DC371" s="76">
        <f t="shared" si="667"/>
        <v>0</v>
      </c>
      <c r="DD371" s="76">
        <f t="shared" si="668"/>
        <v>0</v>
      </c>
      <c r="DE371" s="77">
        <f t="shared" si="669"/>
        <v>0</v>
      </c>
      <c r="DF371" s="73">
        <f t="shared" si="672"/>
        <v>27</v>
      </c>
      <c r="DG371" s="67">
        <f t="shared" si="673"/>
        <v>35.01</v>
      </c>
      <c r="DH371" s="76">
        <f t="shared" si="674"/>
        <v>10</v>
      </c>
      <c r="DI371" s="67">
        <f t="shared" si="675"/>
        <v>41.599999999999994</v>
      </c>
      <c r="DJ371" s="202" t="str">
        <f>IF($D370="","",$D370)</f>
        <v>10</v>
      </c>
      <c r="DK371" s="493"/>
    </row>
    <row r="372" spans="1:115" ht="14.5" customHeight="1" x14ac:dyDescent="0.2">
      <c r="A372" s="390"/>
      <c r="B372" s="457"/>
      <c r="C372" s="79" t="s">
        <v>53</v>
      </c>
      <c r="D372" s="375"/>
      <c r="E372" s="387"/>
      <c r="F372" s="378"/>
      <c r="G372" s="508"/>
      <c r="H372" s="477"/>
      <c r="I372" s="171"/>
      <c r="J372" s="172"/>
      <c r="K372" s="81"/>
      <c r="L372" s="173"/>
      <c r="M372" s="174"/>
      <c r="N372" s="407"/>
      <c r="O372" s="86" t="str">
        <f>IF(OR(AE370="",AE371=""),"",IF(L372&gt;0,ROUND(IF(M372&gt;0,M372,IF(M370&gt;0,ROUND((M370*AE372)/AE370,IF(N370=0,2,IF(N370=0.1,1,0))),IF(M371&gt;0,ROUND((M371*AE372)/AE371,IF(N370=0,2,IF(N370=0.1,1,0))),IF(M372&gt;0,M372,0)))),2),""))</f>
        <v/>
      </c>
      <c r="P372" s="87" t="str">
        <f>IF(I371="Lay",O371*(L371/(L371-1))-O371,IF(I370="Lay",O370*(L370/(L370-1))-O370,IF(OR(L372="",O372=""),"",IF($C372="1/2W",O372/2+O372/2*L372,IF($C372="1/2L",O372/2,(O372*L372-O372)*(1-_xlfn.XLOOKUP(K372,'Fevereiro 2023 - Valor Real'!A3:A15,'Fevereiro 2023 - Valor Real'!C3:C15,0))+O372)))))</f>
        <v/>
      </c>
      <c r="Q372" s="54" t="str">
        <f>IF(K372="","",IF(_xlfn.XLOOKUP(K372,K$11:K362,$DJ$11:DJ362,0,,-1)=DJ372,_xlfn.XLOOKUP(K372,K$11:K362,Q$11:Q362,1,,-1)+1,1))</f>
        <v/>
      </c>
      <c r="R372" s="87" t="str">
        <f>IF(K372="","",_xlfn.XLOOKUP(K372,K$11:K362,R$11:R362,0,,-1)+IF($C372=" ",1,0))</f>
        <v/>
      </c>
      <c r="S372" s="404"/>
      <c r="T372" s="378"/>
      <c r="U372" s="378"/>
      <c r="V372" s="404"/>
      <c r="W372" s="378"/>
      <c r="X372" s="453"/>
      <c r="Y372" s="383"/>
      <c r="Z372" s="384"/>
      <c r="AA372" s="384"/>
      <c r="AB372" s="384"/>
      <c r="AC372" s="384"/>
      <c r="AD372" s="90"/>
      <c r="AE372" s="91" t="str">
        <f>IF(L372="","",(SUM(((L370-1)*(1-_xlfn.XLOOKUP(K370,'Fevereiro 2023 - Valor Real'!A3:A15,'Fevereiro 2023 - Valor Real'!C3:C15,0))+1),((L371-1)*(1-_xlfn.XLOOKUP(K371,'Fevereiro 2023 - Valor Real'!A3:A15,'Fevereiro 2023 - Valor Real'!C3:C15,0))+1),((L372-1)*(1-_xlfn.XLOOKUP(K372,'Fevereiro 2023 - Valor Real'!A3:A15,'Fevereiro 2023 - Valor Real'!C3:C15,0))+1))/((L372-1)*(1-_xlfn.XLOOKUP(K372,'Fevereiro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Real'!C3:C15,0))+1))/((L370-1)*(1-_xlfn.XLOOKUP(K370,'Fevereiro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Real'!C3:C15,0))+1))/((L371-1)*(1-_xlfn.XLOOKUP(K371,'Fevereiro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Real'!C3:C15,0))+1))/((L372-1)*(1-_xlfn.XLOOKUP(K372,'Fevereiro 2023 - Valor Real'!A3:A15,'Fevereiro 2023 - Valor Real'!C3:C15,0))+1)))</f>
        <v/>
      </c>
      <c r="AF372" s="66">
        <f t="shared" si="732"/>
        <v>0</v>
      </c>
      <c r="AG372" s="67">
        <f t="shared" si="732"/>
        <v>0</v>
      </c>
      <c r="AH372" s="67">
        <f t="shared" si="732"/>
        <v>0</v>
      </c>
      <c r="AI372" s="67">
        <f t="shared" si="732"/>
        <v>0</v>
      </c>
      <c r="AJ372" s="67">
        <f t="shared" si="732"/>
        <v>0</v>
      </c>
      <c r="AK372" s="67">
        <f t="shared" si="732"/>
        <v>0</v>
      </c>
      <c r="AL372" s="67">
        <f t="shared" si="732"/>
        <v>0</v>
      </c>
      <c r="AM372" s="67">
        <f t="shared" si="732"/>
        <v>0</v>
      </c>
      <c r="AN372" s="67">
        <f t="shared" si="732"/>
        <v>0</v>
      </c>
      <c r="AO372" s="67">
        <f t="shared" si="732"/>
        <v>0</v>
      </c>
      <c r="AP372" s="67">
        <f t="shared" si="732"/>
        <v>0</v>
      </c>
      <c r="AQ372" s="67">
        <f t="shared" si="732"/>
        <v>0</v>
      </c>
      <c r="AR372" s="68">
        <f t="shared" si="732"/>
        <v>0</v>
      </c>
      <c r="AS372" s="66">
        <f>IF(AND($B370=" ",$K372=AS$3),$O372,0)</f>
        <v>0</v>
      </c>
      <c r="AT372" s="67">
        <f>IF(AND($B370=" ",K372=AT$3),$O372,0)</f>
        <v>0</v>
      </c>
      <c r="AU372" s="67">
        <f t="shared" ref="AU372:BE372" si="745">IF(AND($B370=" ",$K372=AU$3),$O372,0)</f>
        <v>0</v>
      </c>
      <c r="AV372" s="67">
        <f t="shared" si="745"/>
        <v>0</v>
      </c>
      <c r="AW372" s="67">
        <f t="shared" si="745"/>
        <v>0</v>
      </c>
      <c r="AX372" s="67">
        <f t="shared" si="745"/>
        <v>0</v>
      </c>
      <c r="AY372" s="69">
        <f t="shared" si="745"/>
        <v>0</v>
      </c>
      <c r="AZ372" s="70">
        <f t="shared" si="745"/>
        <v>0</v>
      </c>
      <c r="BA372" s="70">
        <f t="shared" si="745"/>
        <v>0</v>
      </c>
      <c r="BB372" s="70">
        <f t="shared" si="745"/>
        <v>0</v>
      </c>
      <c r="BC372" s="71">
        <f t="shared" si="745"/>
        <v>0</v>
      </c>
      <c r="BD372" s="67">
        <f t="shared" si="745"/>
        <v>0</v>
      </c>
      <c r="BE372" s="68">
        <f t="shared" si="745"/>
        <v>0</v>
      </c>
      <c r="BF372" s="66">
        <f t="shared" si="734"/>
        <v>0</v>
      </c>
      <c r="BG372" s="168">
        <f t="shared" si="734"/>
        <v>0</v>
      </c>
      <c r="BH372" s="67">
        <f t="shared" si="734"/>
        <v>0</v>
      </c>
      <c r="BI372" s="67">
        <f t="shared" si="734"/>
        <v>0</v>
      </c>
      <c r="BJ372" s="67">
        <f t="shared" si="734"/>
        <v>0</v>
      </c>
      <c r="BK372" s="67">
        <f t="shared" si="734"/>
        <v>0</v>
      </c>
      <c r="BL372" s="67">
        <f t="shared" si="734"/>
        <v>0</v>
      </c>
      <c r="BM372" s="69">
        <f t="shared" si="734"/>
        <v>0</v>
      </c>
      <c r="BN372" s="70">
        <f t="shared" si="734"/>
        <v>0</v>
      </c>
      <c r="BO372" s="70">
        <f t="shared" si="734"/>
        <v>0</v>
      </c>
      <c r="BP372" s="70">
        <f t="shared" si="734"/>
        <v>0</v>
      </c>
      <c r="BQ372" s="71">
        <f t="shared" si="734"/>
        <v>0</v>
      </c>
      <c r="BR372" s="68">
        <f t="shared" si="734"/>
        <v>0</v>
      </c>
      <c r="BS372" s="491"/>
      <c r="BT372" s="489"/>
      <c r="BU372" s="392"/>
      <c r="BV372" s="489"/>
      <c r="BW372" s="392"/>
      <c r="BX372" s="392"/>
      <c r="BY372" s="392"/>
      <c r="BZ372" s="489"/>
      <c r="CA372" s="392"/>
      <c r="CB372" s="392"/>
      <c r="CC372" s="392"/>
      <c r="CD372" s="401"/>
      <c r="CE372" s="409"/>
      <c r="CF372" s="169">
        <f t="shared" si="644"/>
        <v>0</v>
      </c>
      <c r="CG372" s="170">
        <f t="shared" si="645"/>
        <v>0</v>
      </c>
      <c r="CH372" s="170">
        <f t="shared" si="646"/>
        <v>0</v>
      </c>
      <c r="CI372" s="170">
        <f t="shared" si="647"/>
        <v>0</v>
      </c>
      <c r="CJ372" s="170">
        <f t="shared" si="648"/>
        <v>0</v>
      </c>
      <c r="CK372" s="170">
        <f t="shared" si="649"/>
        <v>0</v>
      </c>
      <c r="CL372" s="170">
        <f t="shared" si="650"/>
        <v>0</v>
      </c>
      <c r="CM372" s="170">
        <f t="shared" si="651"/>
        <v>0</v>
      </c>
      <c r="CN372" s="170">
        <f t="shared" si="652"/>
        <v>0</v>
      </c>
      <c r="CO372" s="170">
        <f t="shared" si="653"/>
        <v>0</v>
      </c>
      <c r="CP372" s="170">
        <f t="shared" si="654"/>
        <v>0</v>
      </c>
      <c r="CQ372" s="170">
        <f t="shared" si="655"/>
        <v>0</v>
      </c>
      <c r="CR372" s="170">
        <f t="shared" si="656"/>
        <v>0</v>
      </c>
      <c r="CS372" s="170">
        <f t="shared" si="657"/>
        <v>0</v>
      </c>
      <c r="CT372" s="75">
        <f t="shared" si="658"/>
        <v>0</v>
      </c>
      <c r="CU372" s="76">
        <f t="shared" si="659"/>
        <v>0</v>
      </c>
      <c r="CV372" s="76">
        <f t="shared" si="660"/>
        <v>0</v>
      </c>
      <c r="CW372" s="76">
        <f t="shared" si="661"/>
        <v>0</v>
      </c>
      <c r="CX372" s="76">
        <f t="shared" si="662"/>
        <v>0</v>
      </c>
      <c r="CY372" s="76">
        <f t="shared" si="663"/>
        <v>0</v>
      </c>
      <c r="CZ372" s="76">
        <f t="shared" si="664"/>
        <v>0</v>
      </c>
      <c r="DA372" s="76">
        <f t="shared" si="665"/>
        <v>0</v>
      </c>
      <c r="DB372" s="76">
        <f t="shared" si="666"/>
        <v>0</v>
      </c>
      <c r="DC372" s="76">
        <f t="shared" si="667"/>
        <v>0</v>
      </c>
      <c r="DD372" s="76">
        <f t="shared" si="668"/>
        <v>0</v>
      </c>
      <c r="DE372" s="77">
        <f t="shared" si="669"/>
        <v>0</v>
      </c>
      <c r="DF372" s="73">
        <f t="shared" si="672"/>
        <v>27</v>
      </c>
      <c r="DG372" s="67">
        <f t="shared" si="673"/>
        <v>35.01</v>
      </c>
      <c r="DH372" s="76">
        <f t="shared" si="674"/>
        <v>10</v>
      </c>
      <c r="DI372" s="67">
        <f t="shared" si="675"/>
        <v>41.599999999999994</v>
      </c>
      <c r="DJ372" s="202" t="str">
        <f>IF($D370="","",$D370)</f>
        <v>10</v>
      </c>
      <c r="DK372" s="493"/>
    </row>
    <row r="373" spans="1:115" ht="14.5" customHeight="1" x14ac:dyDescent="0.2">
      <c r="A373" s="459">
        <f>$A370+1</f>
        <v>124</v>
      </c>
      <c r="B373" s="507" t="str">
        <f>IF(OR(C373="W",C374="W",C375="W",C373="1/2W",C374="1/2W",C375="1/2W",C373="1/2L",C374="1/2L",C375="1/2L"),"OK",IF(OR(C373="L",C374="L",C375="L"),"LOSS",IF(OR(C373="X",C374="X",C375="X"),"Anulado"," ")))</f>
        <v>OK</v>
      </c>
      <c r="C373" s="93" t="s">
        <v>54</v>
      </c>
      <c r="D373" s="468" t="str">
        <f>IF(G373="","",$D370)</f>
        <v>10</v>
      </c>
      <c r="E373" s="485" t="str">
        <f>IF(G373=""," ","– "&amp;COUNTIF(D$4:D375,$D373))</f>
        <v>– 11</v>
      </c>
      <c r="F373" s="509" t="str">
        <f ca="1">IF(G373="","",IF(OR(AND($C373&lt;&gt;" ",$C374=" "),AND($C374&lt;&gt;" ",$C373=" "),AND(L375&gt;0,OR(AND($C375&lt;&gt;" ",OR($C373=" ",$C374=" ")),AND($C375=" ",OR($C373&lt;&gt;" ",$C374&lt;&gt;" "))))),IF(SUM(F$4:F372)=0,1,LARGE(F$4:F372,1)+1),IF(MONTH(G373)=MONTH(TODAY()),IF(AND(DAY(G373)&lt;DAY(TODAY()),$B373=" "),IF(SUM(F$4:F372)=0,1,LARGE(F$4:F372,1)+1),IF($B373=" ",IF(AND(DAY(G373)=DAY(TODAY()),HOUR(G373)&lt;=HOUR(NOW())+1),IF(AND(HOUR(G373)+2&lt;=HOUR(NOW()),DAY(G373)&lt;=DAY(TODAY()),MINUTE(G373)&lt;=MINUTE(NOW())),IF(SUM(F$4:F372)=0,1,LARGE(F$4:F372,1)+1),IF(OR(MINUTE(G373)&lt;=MINUTE(NOW()),HOUR(G373)&lt;=HOUR(NOW())),"!!!","")),""),"")),"")))</f>
        <v/>
      </c>
      <c r="G373" s="482">
        <f>IF(H373="","",_xlfn.XLOOKUP(H373,$H$4:H372,$G$4:G372,""))</f>
        <v>44996.375</v>
      </c>
      <c r="H373" s="475" t="s">
        <v>162</v>
      </c>
      <c r="I373" s="94" t="s">
        <v>66</v>
      </c>
      <c r="J373" s="176"/>
      <c r="K373" s="96" t="s">
        <v>36</v>
      </c>
      <c r="L373" s="97">
        <v>1.875</v>
      </c>
      <c r="M373" s="98">
        <v>40</v>
      </c>
      <c r="N373" s="478">
        <v>0</v>
      </c>
      <c r="O373" s="99">
        <f>IF(OR(AE373="",AE374=""),"",ROUND(IF(L375&gt;0,IF(M373&gt;0,M373,IF(M374&gt;0,ROUND((M374*AE373)/AE374,IF(N373=0,2,IF(N373=0.1,1,0))),ROUND((M375*AE373)/AE375,IF(N373=0,2,IF(N373=0.1,1,0))))),IF(M373&gt;0,M373,ROUND((M374*AE373)/AE374,IF(N373=0,2,IF(N373=0.1,1,0))))),2))</f>
        <v>40</v>
      </c>
      <c r="P373" s="100">
        <f>IF(OR(L373="",O373=""),"",IF($C373="1/2W",O373/2+O373/2*L373,IF($C373="1/2L",O373/2,IF(I373="Lay",(O373*(L373/(L373-1))-O373)*(1-_xlfn.XLOOKUP(K373,'Fevereiro 2023 - Valor Real'!A3:A15,'Fevereiro 2023 - Valor Real'!C3:C15,0))+O373,(O373*L373-O373)*(1-_xlfn.XLOOKUP(K373,'Fevereiro 2023 - Valor Real'!A3:A15,'Fevereiro 2023 - Valor Real'!C3:C15,0))+O373))))</f>
        <v>75</v>
      </c>
      <c r="Q373" s="101">
        <f>IF(K373="","",IF(_xlfn.XLOOKUP(K373,K$4:K372,$DJ$4:DJ372,0,,-1)=DJ373,_xlfn.XLOOKUP(K373,K$4:K372,Q$4:Q372,1,,-1)+1,1))</f>
        <v>2</v>
      </c>
      <c r="R373" s="102">
        <f>IF(K373="","",_xlfn.XLOOKUP(K373,K$4:K372,R$4:R372,0,,-1)+IF($C373=" ",1,0))</f>
        <v>0</v>
      </c>
      <c r="S373" s="474">
        <f>IF($B373="Anulado",0,ROUND(IF(OR($B373="LOSS",$B373="OK"),IF(OR($C373="W",$C373="1/2W",$C373="1/2L"),P373-O373,IF($C373="L",-O373,0))+IF(OR($C374="W",$C374="1/2W",$C374="1/2L"),P374-O374,IF($C374="L",-O374,0))+IF(OR($C375="W",$C375="1/2W",$C375="1/2L"),P375-O375,IF($C375="L",-O375,0)),IF(AND(OR($C373="W",$C373="1/2W",$C373="1/2L"),C374="W"),P373+P374-SUM(O373:O375)+_xlfn.XLOOKUP("X",C373:C375,O373:O375,0),IF(AND(C373=TRUE,C375="W"),P373+P375-SUM(O373:O375),IF(AND(C374="W",C375="W"),P374+P375-SUM(O373:O375)+_xlfn.XLOOKUP("X",C373:C375,O373:O375,0),IF(L375&gt;0,IF(OR($C373="W",$C373="1/2W",$C373="1/2L"),P373-SUM(O373:O375)+_xlfn.XLOOKUP("X",C373:C375,O373:O375,0),IF(OR($C373="W",$C373="1/2W",$C373="1/2L"),P374-SUM(O373:O375)+_xlfn.XLOOKUP("X",C373:C375,O373:O375,0),IF(OR($C373="W",$C373="1/2W",$C373="1/2L"),P375-SUM(O373:O375)+_xlfn.XLOOKUP("X",C373:C375,O373:O375,0),IF(SUM(P373:P375)/3-SUM(O373:O375)+_xlfn.XLOOKUP("X",C373:C375,O373:O375,0)&gt;0,SUM(P373:P375)/3-SUM(O373:O375)+_xlfn.XLOOKUP("X",C373:C375,O373:O375,0),LARGE(P373:P375,1)-SUM(O373:O375))))),IF(OR($C373="W",$C373="1/2W",$C373="1/2L"),P373-SUM(O373:O374)+_xlfn.XLOOKUP("X",C373:C375,O373:O375,0),IF(OR($C373="W",$C373="1/2W",$C373="1/2L"),P374-SUM(O373:O374)+_xlfn.XLOOKUP("X",C373:C375,O373:O375,0),SUM(P373:P374)/2-SUM(O373:O374)+_xlfn.XLOOKUP("X",C373:C375,O373:O375,0)))))))),2))</f>
        <v>3.36</v>
      </c>
      <c r="T373" s="458">
        <f>IF(S373=0,0,S373/SUM(O373:O375))</f>
        <v>4.6901172529313237E-2</v>
      </c>
      <c r="U373" s="470">
        <f>IF($D373=$D370,IF(OR($B373="LOSS",$B373="OK",$B373="Anulada"),S373,0)+U370,IF(OR($B373="LOSS",$B373="OK",$B373="Anulada"),S373,0))</f>
        <v>-37.450000000000003</v>
      </c>
      <c r="V373" s="470">
        <f>IF($D373="",0,IF($D373=$D370,IF($B373=" ",IF(I375="",IF(OR(AND(I373="DNB1",I374="DNB2"),AND(OR(I373="DNB1",I373="DNB2"),J374=0),AND(OR(I374="DNB1",I374="DNB2"),J373=0),AND(I373="DNB2",I374="DNB1"),AND(IF(J373=0,(J373+1)/ROUND(J373+1,0),J373/ROUND(J373,0))=1,IF(J374=0,(J374+1)/ROUND(IF(J374="",0,J374)+1,0),IF(J374="",0,J374)/ROUND(IF(J374="",1,J374),0))=1,OR(J373&lt;&gt;""),J374&lt;&gt;"")),0,IF(S373&lt;0,IF(I375="",SMALL(P373:P374,1)-SUM(O373:O374),0),SMALL(P373:P374,1)-SUM(O373:O374))),IF(S373&lt;0,IF(I375="",SMALL(P373:P375,1)-SUM(O373:O375),0),LARGE(P373:P375,1)-SUM(O373:O375))),S373)+V370,IF(I375="",IF(OR(AND(I373="DNB1",I374="DNB2"),AND(OR(I373="DNB1",I373="DNB2"),J374=0),AND(OR(I374="DNB1",I374="DNB2"),J373=0),AND(I373="DNB2",I374="DNB1"),AND(IF(J373=0,(J373+1)/ROUND(J373+1,0),J373/ROUND(J373,0))=1,IF(J374=0,(IF(J374="",0,J374)+1)/ROUND(IF(J374="",0,J374)+1,0),IF(J374="",0,J374)/ROUND(IF(J374="",0,J374)+1,0))=1,OR(J373&lt;&gt;""),J374&lt;&gt;"")),0,IF(S373&lt;0,IF(I375="",SMALL(P373:P374,1)-SUM(O373:O374),0),SMALL(P373:P375,1)-SUM(O373:O375))),IF(S373&lt;0,IF(I375="",SMALL(P373:P375,1)-SUM(O373:O375),0),LARGE(P373:P375,1)-SUM(O373:O375)))))</f>
        <v>-22.429999999999989</v>
      </c>
      <c r="W373" s="470">
        <f>IF($D373=$D370,IF(S373&lt;0,IF(I375="",S373,0),S373)+W370,S373)</f>
        <v>-37.450000000000003</v>
      </c>
      <c r="X373" s="480" t="str">
        <f>IF(OR(SUM(R373:R375)=0,V373=W373),ROUND(IF(W373=0,0,W373/Y373)*100,2)&amp;"%",ROUND(IF(V373=0,0,V373/Y373)*100,2)&amp;"% a "&amp;ROUND(IF(W373=0,0,W373/Y373)*100,2)&amp;"%")</f>
        <v>-3,06%</v>
      </c>
      <c r="Y373" s="471">
        <f>IF($D373=$D370,Y370+SUM(O373:O375),SUM(O373:O375))</f>
        <v>1222.52</v>
      </c>
      <c r="Z373" s="470">
        <f>IF($B373=" ",SUM(O373:O375),0)+Z370</f>
        <v>0</v>
      </c>
      <c r="AA373" s="470">
        <f>IF(G373="","",IF($B373="Anulado",LARGE(P373:P375,1)-SUM(O373:O375)+AA370,AA370))</f>
        <v>10.700299999999997</v>
      </c>
      <c r="AB373" s="470">
        <f>IF($D373="","",AB370+S373)</f>
        <v>455.80000000000007</v>
      </c>
      <c r="AC373" s="472">
        <f ca="1">IF($D373="","",IF($B373=" ",IF(DAY(G373)=DAY(TODAY()),1+AC370,0+AC370),0+AC370))</f>
        <v>0</v>
      </c>
      <c r="AD373" s="103">
        <f>(((L374/(L374-1)-1)*(1-_xlfn.XLOOKUP(K374,'Fevereiro 2023 - Valor Real'!A3:A15,'Fevereiro 2023 - Valor Real'!C3:C15,0))+1))/(((L373-1)*(1-_xlfn.XLOOKUP(K373,'Fevereiro 2023 - Valor Real'!A3:A15,'Fevereiro 2023 - Valor Real'!C3:C15,0))+1)+((L374/(L374-1)-1)*(1-_xlfn.XLOOKUP(K374,'Fevereiro 2023 - Valor Real'!A3:A15,'Fevereiro 2023 - Valor Real'!C3:C15,0))+1))</f>
        <v>0.50559419413365592</v>
      </c>
      <c r="AE373" s="104">
        <f>IF(L373="","",IF(L375&gt;0,(SUM(((L373-1)*(1-_xlfn.XLOOKUP(K373,'Fevereiro 2023 - Valor Real'!A3:A15,'Fevereiro 2023 - Valor Real'!C3:C15,0))+1),((L374-1)*(1-_xlfn.XLOOKUP(K374,'Fevereiro 2023 - Valor Real'!A3:A15,'Fevereiro 2023 - Valor Real'!C3:C15,0))+1),((L375-1)*(1-_xlfn.XLOOKUP(K375,'Fevereiro 2023 - Valor Real'!A3:A15,'Fevereiro 2023 - Valor Real'!C3:C15,0))+1))/((L373-1)*(1-_xlfn.XLOOKUP(K373,'Fevereiro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Real'!C3:C15,0))+1))/((L373-1)*(1-_xlfn.XLOOKUP(K373,'Fevereiro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Real'!C3:C15,0))+1))/((L374-1)*(1-_xlfn.XLOOKUP(K374,'Fevereiro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Real'!C3:C15,0))+1))/((L375-1)*(1-_xlfn.XLOOKUP(K375,'Fevereiro 2023 - Valor Real'!A3:A15,'Fevereiro 2023 - Valor Real'!C3:C15,0))+1)),IF(I373="Lay",IF(I374="Lay",((L374/(L374-1)-1)*(1-_xlfn.XLOOKUP(K374,'Fevereiro 2023 - Valor Real'!A3:A15,'Fevereiro 2023 - Valor Real'!C3:C15,0))+1)/(((L374/(L374-1)-1)*(1-_xlfn.XLOOKUP(K374,'Fevereiro 2023 - Valor Real'!A3:A15,'Fevereiro 2023 - Valor Real'!C3:C15,0))+1)+((L373/(L373-1)-1)*(1-_xlfn.XLOOKUP(K373,'Fevereiro 2023 - Valor Real'!A3:A15,'Fevereiro 2023 - Valor Real'!C3:C15,0))+1)),((L374-1)*(1-_xlfn.XLOOKUP(K374,'Fevereiro 2023 - Valor Real'!A3:A15,'Fevereiro 2023 - Valor Real'!C3:C15,0))+1)/(((L374-1)*(1-_xlfn.XLOOKUP(K374,'Fevereiro 2023 - Valor Real'!A3:A15,'Fevereiro 2023 - Valor Real'!C3:C15,0))+1)+((L373/(L373-1)-1)*(1-_xlfn.XLOOKUP(K373,'Fevereiro 2023 - Valor Real'!A3:A15,'Fevereiro 2023 - Valor Real'!C3:C15,0))+1))),IF(I374="Lay",(((L374/(L374-1)-1)*(1-_xlfn.XLOOKUP(K374,'Fevereiro 2023 - Valor Real'!A3:A15,'Fevereiro 2023 - Valor Real'!C3:C15,0))+1))/(((L373-1)*(1-_xlfn.XLOOKUP(K373,'Fevereiro 2023 - Valor Real'!A3:A15,'Fevereiro 2023 - Valor Real'!C3:C15,0))+1)+((L374/(L374-1)-1)*(1-_xlfn.XLOOKUP(K374,'Fevereiro 2023 - Valor Real'!A3:A15,'Fevereiro 2023 - Valor Real'!C3:C15,0))+1)),((L374-1)*(1-_xlfn.XLOOKUP(K374,'Fevereiro 2023 - Valor Real'!A3:A15,'Fevereiro 2023 - Valor Real'!C3:C15,0))+1)/(((L374-1)*(1-_xlfn.XLOOKUP(K374,'Fevereiro 2023 - Valor Real'!A3:A15,'Fevereiro 2023 - Valor Real'!C3:C15,0))+1)+((L373-1)*(1-_xlfn.XLOOKUP(K373,'Fevereiro 2023 - Valor Real'!A3:A15,'Fevereiro 2023 - Valor Real'!C3:C15,0))+1))))))</f>
        <v>0.41739721625418608</v>
      </c>
      <c r="AF373" s="105">
        <f t="shared" si="732"/>
        <v>35</v>
      </c>
      <c r="AG373" s="106">
        <f t="shared" si="732"/>
        <v>0</v>
      </c>
      <c r="AH373" s="106">
        <f t="shared" si="732"/>
        <v>0</v>
      </c>
      <c r="AI373" s="106">
        <f t="shared" si="732"/>
        <v>0</v>
      </c>
      <c r="AJ373" s="106">
        <f t="shared" si="732"/>
        <v>0</v>
      </c>
      <c r="AK373" s="106">
        <f t="shared" si="732"/>
        <v>0</v>
      </c>
      <c r="AL373" s="106">
        <f t="shared" si="732"/>
        <v>0</v>
      </c>
      <c r="AM373" s="106">
        <f t="shared" si="732"/>
        <v>0</v>
      </c>
      <c r="AN373" s="106">
        <f t="shared" si="732"/>
        <v>0</v>
      </c>
      <c r="AO373" s="106">
        <f t="shared" si="732"/>
        <v>0</v>
      </c>
      <c r="AP373" s="106">
        <f t="shared" si="732"/>
        <v>0</v>
      </c>
      <c r="AQ373" s="106">
        <f t="shared" si="732"/>
        <v>0</v>
      </c>
      <c r="AR373" s="107">
        <f t="shared" si="732"/>
        <v>0</v>
      </c>
      <c r="AS373" s="105">
        <f t="shared" ref="AS373:BE373" si="746">IF(AND($B373=" ",$K373=AS$3),$O373,0)</f>
        <v>0</v>
      </c>
      <c r="AT373" s="106">
        <f t="shared" si="746"/>
        <v>0</v>
      </c>
      <c r="AU373" s="106">
        <f t="shared" si="746"/>
        <v>0</v>
      </c>
      <c r="AV373" s="106">
        <f t="shared" si="746"/>
        <v>0</v>
      </c>
      <c r="AW373" s="106">
        <f t="shared" si="746"/>
        <v>0</v>
      </c>
      <c r="AX373" s="106">
        <f t="shared" si="746"/>
        <v>0</v>
      </c>
      <c r="AY373" s="108">
        <f t="shared" si="746"/>
        <v>0</v>
      </c>
      <c r="AZ373" s="109">
        <f t="shared" si="746"/>
        <v>0</v>
      </c>
      <c r="BA373" s="109">
        <f t="shared" si="746"/>
        <v>0</v>
      </c>
      <c r="BB373" s="109">
        <f t="shared" si="746"/>
        <v>0</v>
      </c>
      <c r="BC373" s="110">
        <f t="shared" si="746"/>
        <v>0</v>
      </c>
      <c r="BD373" s="106">
        <f t="shared" si="746"/>
        <v>0</v>
      </c>
      <c r="BE373" s="107">
        <f t="shared" si="746"/>
        <v>0</v>
      </c>
      <c r="BF373" s="111">
        <f t="shared" si="734"/>
        <v>40</v>
      </c>
      <c r="BG373" s="106">
        <f t="shared" si="734"/>
        <v>0</v>
      </c>
      <c r="BH373" s="106">
        <f t="shared" si="734"/>
        <v>0</v>
      </c>
      <c r="BI373" s="106">
        <f t="shared" si="734"/>
        <v>0</v>
      </c>
      <c r="BJ373" s="106">
        <f t="shared" si="734"/>
        <v>0</v>
      </c>
      <c r="BK373" s="106">
        <f t="shared" si="734"/>
        <v>0</v>
      </c>
      <c r="BL373" s="106">
        <f t="shared" si="734"/>
        <v>0</v>
      </c>
      <c r="BM373" s="108">
        <f t="shared" si="734"/>
        <v>0</v>
      </c>
      <c r="BN373" s="109">
        <f t="shared" si="734"/>
        <v>0</v>
      </c>
      <c r="BO373" s="109">
        <f t="shared" si="734"/>
        <v>0</v>
      </c>
      <c r="BP373" s="109">
        <f t="shared" si="734"/>
        <v>0</v>
      </c>
      <c r="BQ373" s="110">
        <f t="shared" si="734"/>
        <v>0</v>
      </c>
      <c r="BR373" s="107">
        <f t="shared" si="734"/>
        <v>0</v>
      </c>
      <c r="BS373" s="463">
        <f>IF($B373="LOSS",IF(AND($K373=BS$3,$C373="L"),-$O373,0)+IF(AND($K374=BS$3,$C374="L"),-$O374,0)+IF(AND($K375=BS$3,$C375="L"),-$O375,0),IF(OR(AND($K373=BS$3,OR($C373="W",$C373="1/2W")),AND($K374=BS$3,OR($C374="W",$C374="1/2W")),AND($K375=BS$3,OR($C375="W",$C375="1/2W"))),$S373,0))</f>
        <v>3.36</v>
      </c>
      <c r="BT373" s="462">
        <f>IF($B373="LOSS",IF(AND($K373=BT$3,$C373="L"),-$O373,0)+IF(AND($K374=BT$3,$C374="L"),-$O374,0)+IF(AND($K374=BT$3,$C375="L"),-$O375,0),IF(OR(AND($K374=BT$3,OR($C373="W",$C373="1/2W")),AND($K374=BT$3,OR($C374="W",$C374="1/2W")),AND($K374=BT$3,OR($C375="W",$C375="1/2W"))),$S373,0))</f>
        <v>0</v>
      </c>
      <c r="BU373" s="462">
        <f>IF($B373="LOSS",IF(AND($K373=BU$3,$C373="L"),-$O373,0)+IF(AND($K374=BU$3,$C374="L"),-$O374,0)+IF(AND($K374=BU$3,$C375="L"),-$O375,0),IF(OR(AND($K374=BU$3,OR($C373="W",$C373="1/2W")),AND($K374=BU$3,OR($C374="W",$C374="1/2W")),AND($K374=BU$3,OR($C375="W",$C375="1/2W"))),$S373,0))</f>
        <v>0</v>
      </c>
      <c r="BV373" s="462">
        <f t="shared" ref="BV373:CE373" si="747">IF($B373="LOSS",IF(AND($K373=BV$3,$C373="L"),-$O373,0)+IF(AND($K374=BV$3,$C374="L"),-$O374,0)+IF(AND($K375=BV$3,$C375="L"),-$O375,0),IF(OR(AND($K373=BV$3,OR($C373="W",$C373="1/2W")),AND($K374=BV$3,OR($C374="W",$C374="1/2W")),AND($K375=BV$3,OR($C375="W",$C375="1/2W"))),$S373,0))</f>
        <v>0</v>
      </c>
      <c r="BW373" s="462">
        <f t="shared" si="747"/>
        <v>0</v>
      </c>
      <c r="BX373" s="462">
        <f t="shared" si="747"/>
        <v>0</v>
      </c>
      <c r="BY373" s="462">
        <f t="shared" si="747"/>
        <v>0</v>
      </c>
      <c r="BZ373" s="460">
        <f t="shared" si="747"/>
        <v>0</v>
      </c>
      <c r="CA373" s="460">
        <f t="shared" si="747"/>
        <v>0</v>
      </c>
      <c r="CB373" s="460">
        <f t="shared" si="747"/>
        <v>0</v>
      </c>
      <c r="CC373" s="460">
        <f t="shared" si="747"/>
        <v>0</v>
      </c>
      <c r="CD373" s="473">
        <f t="shared" si="747"/>
        <v>0</v>
      </c>
      <c r="CE373" s="479">
        <f t="shared" si="747"/>
        <v>0</v>
      </c>
      <c r="CF373" s="113">
        <f t="shared" si="644"/>
        <v>1</v>
      </c>
      <c r="CG373" s="114">
        <f t="shared" si="645"/>
        <v>0</v>
      </c>
      <c r="CH373" s="114">
        <f t="shared" si="646"/>
        <v>0</v>
      </c>
      <c r="CI373" s="114">
        <f t="shared" si="647"/>
        <v>0</v>
      </c>
      <c r="CJ373" s="114">
        <f t="shared" si="648"/>
        <v>0</v>
      </c>
      <c r="CK373" s="114">
        <f t="shared" si="649"/>
        <v>0</v>
      </c>
      <c r="CL373" s="114">
        <f t="shared" si="650"/>
        <v>0</v>
      </c>
      <c r="CM373" s="114">
        <f t="shared" si="651"/>
        <v>0</v>
      </c>
      <c r="CN373" s="114">
        <f t="shared" si="652"/>
        <v>0</v>
      </c>
      <c r="CO373" s="114">
        <f t="shared" si="653"/>
        <v>0</v>
      </c>
      <c r="CP373" s="114">
        <f t="shared" si="654"/>
        <v>0</v>
      </c>
      <c r="CQ373" s="114">
        <f t="shared" si="655"/>
        <v>0</v>
      </c>
      <c r="CR373" s="114">
        <f t="shared" si="656"/>
        <v>0</v>
      </c>
      <c r="CS373" s="114">
        <f t="shared" si="657"/>
        <v>0</v>
      </c>
      <c r="CT373" s="115">
        <f t="shared" si="658"/>
        <v>0</v>
      </c>
      <c r="CU373" s="116">
        <f t="shared" si="659"/>
        <v>0</v>
      </c>
      <c r="CV373" s="116">
        <f t="shared" si="660"/>
        <v>0</v>
      </c>
      <c r="CW373" s="116">
        <f t="shared" si="661"/>
        <v>0</v>
      </c>
      <c r="CX373" s="116">
        <f t="shared" si="662"/>
        <v>0</v>
      </c>
      <c r="CY373" s="116">
        <f t="shared" si="663"/>
        <v>0</v>
      </c>
      <c r="CZ373" s="116">
        <f t="shared" si="664"/>
        <v>0</v>
      </c>
      <c r="DA373" s="116">
        <f t="shared" si="665"/>
        <v>0</v>
      </c>
      <c r="DB373" s="116">
        <f t="shared" si="666"/>
        <v>0</v>
      </c>
      <c r="DC373" s="116">
        <f t="shared" si="667"/>
        <v>0</v>
      </c>
      <c r="DD373" s="116">
        <f t="shared" si="668"/>
        <v>0</v>
      </c>
      <c r="DE373" s="117">
        <f t="shared" si="669"/>
        <v>0</v>
      </c>
      <c r="DF373" s="118">
        <f t="shared" si="672"/>
        <v>27</v>
      </c>
      <c r="DG373" s="106">
        <f t="shared" si="673"/>
        <v>35.01</v>
      </c>
      <c r="DH373" s="116">
        <f t="shared" si="674"/>
        <v>10</v>
      </c>
      <c r="DI373" s="106">
        <f t="shared" si="675"/>
        <v>41.599999999999994</v>
      </c>
      <c r="DJ373" s="201" t="str">
        <f>IF($D373="","",$D373)</f>
        <v>10</v>
      </c>
      <c r="DK373" s="465">
        <f>IF(AND($B373=" ",$D373&lt;&gt;""),1,0)</f>
        <v>0</v>
      </c>
    </row>
    <row r="374" spans="1:115" ht="14.5" customHeight="1" x14ac:dyDescent="0.2">
      <c r="A374" s="389"/>
      <c r="B374" s="456"/>
      <c r="C374" s="120" t="s">
        <v>55</v>
      </c>
      <c r="D374" s="374"/>
      <c r="E374" s="386"/>
      <c r="F374" s="377"/>
      <c r="G374" s="483"/>
      <c r="H374" s="476"/>
      <c r="I374" s="121" t="s">
        <v>76</v>
      </c>
      <c r="J374" s="122">
        <f>IF(OR(I373="TO",I373="TU",I373="TO1",I373="TU1",I373="TO2",I373="TU2"),J373,IF(OR(I373="AH1",I373="AH2"),IF(OR(I374="AH1",I374="AH2"),-J373,IF(OR(I374="EH1",I374="EH2"),-J373+0.5,"")),IF(OR(I373="EH1",I373="EH2"),IF(OR(I374="AH1",I374="AH2"),-J373+0.5,IF(OR(I374="EH1",I374="EH2"),-J373+1,"")),IF(AND(OR(I373="DNB1",I373="DNB2"),OR(I374="AH1",I374="AH2")),0,IF(AND(I373="Not ScoreBoth",OR(I374="TO1",I374="TO2")),0.5,"")))))</f>
        <v>0</v>
      </c>
      <c r="K374" s="123" t="s">
        <v>43</v>
      </c>
      <c r="L374" s="124">
        <v>2.09</v>
      </c>
      <c r="M374" s="125">
        <v>26.32</v>
      </c>
      <c r="N374" s="406"/>
      <c r="O374" s="126">
        <f>IF(OR(AE373="",AE374=""),"",ROUND(IF(L375&gt;0,IF(M374&gt;0,M374,IF(M373&gt;0,IF(N373=TRUE,ROUND((M373*AE374)/AE373,0),(M373*AE374)/AE373),IF(M374&gt;0,ROUND(M374,IF(N373=0,2,IF(N373=0.1,1,0))),IF(M375&gt;0,ROUND(O375*AE374/AE375,IF(N373=0,2,IF(N373=0.1,1,0))),0)))),IF(M374&gt;0,M374,ROUND((M373*AE374)/AE373,IF(N373=0,2,IF(N373=0.1,1,0))))),2))</f>
        <v>26.32</v>
      </c>
      <c r="P374" s="127">
        <f>IF(OR(L374="",O374=""),"",IF($C374="1/2W",O374/2+O374/2*L374,IF($C374="1/2L",O374/2,IF(I374="Lay",((O374*(L374/(L374-1)))-O374)*(1-_xlfn.XLOOKUP(K374,'Fevereiro 2023 - Valor Real'!A3:A15,'Fevereiro 2023 - Valor Real'!C3:C15,0))+O374,(O374*L374-O374)*(1-_xlfn.XLOOKUP(K374,'Fevereiro 2023 - Valor Real'!A3:A15,'Fevereiro 2023 - Valor Real'!C3:C15,0))+O374))))</f>
        <v>55.008799999999994</v>
      </c>
      <c r="Q374" s="128">
        <f>IF(K374="","",IF(_xlfn.XLOOKUP(K374,K$4:K373,$DJ$4:DJ373,0,,-1)=DJ374,_xlfn.XLOOKUP(K374,K$4:K373,Q$4:Q373,1,,-1)+1,1))</f>
        <v>5</v>
      </c>
      <c r="R374" s="129">
        <f>IF(K374="","",_xlfn.XLOOKUP(K374,K$4:K373,R$4:R373,0,,-1)+IF($C374=" ",1,0))</f>
        <v>0</v>
      </c>
      <c r="S374" s="403"/>
      <c r="T374" s="380"/>
      <c r="U374" s="380"/>
      <c r="V374" s="481"/>
      <c r="W374" s="380"/>
      <c r="X374" s="452"/>
      <c r="Y374" s="383"/>
      <c r="Z374" s="384"/>
      <c r="AA374" s="384"/>
      <c r="AB374" s="384"/>
      <c r="AC374" s="384"/>
      <c r="AD374" s="130">
        <f>(((L374/(L374-1)-1)*(1-_xlfn.XLOOKUP(K374,'Fevereiro 2023 - Valor Real'!A3:A15,'Fevereiro 2023 - Valor Real'!C3:C15,0))+1))</f>
        <v>1.9174311926605505</v>
      </c>
      <c r="AE374" s="131">
        <f>IF(L374="","",IF(L375&gt;0,(SUM(((L373-1)*(1-_xlfn.XLOOKUP(K373,'Fevereiro 2023 - Valor Real'!A3:A15,'Fevereiro 2023 - Valor Real'!C3:C15,0))+1),((L374-1)*(1-_xlfn.XLOOKUP(K374,'Fevereiro 2023 - Valor Real'!A3:A15,'Fevereiro 2023 - Valor Real'!C3:C15,0))+1),((L375-1)*(1-_xlfn.XLOOKUP(K375,'Fevereiro 2023 - Valor Real'!A3:A15,'Fevereiro 2023 - Valor Real'!C3:C15,0))+1))/((L374-1)*(1-_xlfn.XLOOKUP(K374,'Fevereiro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Real'!C3:C15,0))+1))/((L373-1)*(1-_xlfn.XLOOKUP(K373,'Fevereiro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Real'!C3:C15,0))+1))/((L374-1)*(1-_xlfn.XLOOKUP(K374,'Fevereiro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Real'!C3:C15,0))+1))/((L375-1)*(1-_xlfn.XLOOKUP(K375,'Fevereiro 2023 - Valor Real'!A3:A15,'Fevereiro 2023 - Valor Real'!C3:C15,0))+1)),IF(I374="Lay",IF(I373="Lay",((L373/(L373-1)-1)*(1-_xlfn.XLOOKUP(K373,'Fevereiro 2023 - Valor Real'!A3:A15,'Fevereiro 2023 - Valor Real'!C3:C15,0))+1)/(((L373/(L373-1)-1)*(1-_xlfn.XLOOKUP(K373,'Fevereiro 2023 - Valor Real'!A3:A15,'Fevereiro 2023 - Valor Real'!C3:C15,0))+1)+((L374/(L374-1)-1)*(1-_xlfn.XLOOKUP(K374,'Fevereiro 2023 - Valor Real'!A3:A15,'Fevereiro 2023 - Valor Real'!C3:C15,0))+1)),((L373-1)*(1-_xlfn.XLOOKUP(K373,'Fevereiro 2023 - Valor Real'!A3:A15,'Fevereiro 2023 - Valor Real'!C3:C15,0))+1)/(((L373-1)*(1-_xlfn.XLOOKUP(K373,'Fevereiro 2023 - Valor Real'!A3:A15,'Fevereiro 2023 - Valor Real'!C3:C15,0))+1)+((L374/(L374-1)-1)*(1-_xlfn.XLOOKUP(K374,'Fevereiro 2023 - Valor Real'!A3:A15,'Fevereiro 2023 - Valor Real'!C3:C15,0))+1))),IF(I373="Lay",((L373/(L373-1)-1)*(1-_xlfn.XLOOKUP(K373,'Fevereiro 2023 - Valor Real'!A3:A15,'Fevereiro 2023 - Valor Real'!C3:C15,0))+1)/((((L373/(L373-1)-1)*(1-_xlfn.XLOOKUP(K373,'Fevereiro 2023 - Valor Real'!A3:A15,'Fevereiro 2023 - Valor Real'!C3:C15,0))+1))+((L374-1)*(1-_xlfn.XLOOKUP(K374,'Fevereiro 2023 - Valor Real'!A3:A15,'Fevereiro 2023 - Valor Real'!C3:C15,0))+1)),((L373-1)*(1-_xlfn.XLOOKUP(K373,'Fevereiro 2023 - Valor Real'!A3:A15,'Fevereiro 2023 - Valor Real'!C3:C15,0))+1)/(((L373-1)*(1-_xlfn.XLOOKUP(K373,'Fevereiro 2023 - Valor Real'!A3:A15,'Fevereiro 2023 - Valor Real'!C3:C15,0))+1)+((L374-1)*(1-_xlfn.XLOOKUP(K374,'Fevereiro 2023 - Valor Real'!A3:A15,'Fevereiro 2023 - Valor Real'!C3:C15,0))+1))))))</f>
        <v>0.3744592251084205</v>
      </c>
      <c r="AF374" s="105">
        <f t="shared" ref="AF374:AR383" si="748">IF($K374=AF$3,ROUND(IF(OR($C374="W",$C374="1/2W",$C374="1/2L"),$P374-$O374,IF($C374="X",0,-$O374)),2),0)</f>
        <v>0</v>
      </c>
      <c r="AG374" s="106">
        <f t="shared" si="748"/>
        <v>0</v>
      </c>
      <c r="AH374" s="106">
        <f t="shared" si="748"/>
        <v>0</v>
      </c>
      <c r="AI374" s="106">
        <f t="shared" si="748"/>
        <v>0</v>
      </c>
      <c r="AJ374" s="106">
        <f t="shared" si="748"/>
        <v>0</v>
      </c>
      <c r="AK374" s="106">
        <f t="shared" si="748"/>
        <v>0</v>
      </c>
      <c r="AL374" s="106">
        <f t="shared" si="748"/>
        <v>0</v>
      </c>
      <c r="AM374" s="106">
        <f t="shared" si="748"/>
        <v>-26.32</v>
      </c>
      <c r="AN374" s="106">
        <f t="shared" si="748"/>
        <v>0</v>
      </c>
      <c r="AO374" s="106">
        <f t="shared" si="748"/>
        <v>0</v>
      </c>
      <c r="AP374" s="106">
        <f t="shared" si="748"/>
        <v>0</v>
      </c>
      <c r="AQ374" s="106">
        <f t="shared" si="748"/>
        <v>0</v>
      </c>
      <c r="AR374" s="107">
        <f t="shared" si="748"/>
        <v>0</v>
      </c>
      <c r="AS374" s="105">
        <f>IF(AND($B373=" ",$K374=AS$3),$O374,0)</f>
        <v>0</v>
      </c>
      <c r="AT374" s="106">
        <f>IF(AND($B373=" ",K374=AT$3),$O374,0)</f>
        <v>0</v>
      </c>
      <c r="AU374" s="106">
        <f t="shared" ref="AU374:BE374" si="749">IF(AND($B373=" ",$K374=AU$3),$O374,0)</f>
        <v>0</v>
      </c>
      <c r="AV374" s="106">
        <f t="shared" si="749"/>
        <v>0</v>
      </c>
      <c r="AW374" s="106">
        <f t="shared" si="749"/>
        <v>0</v>
      </c>
      <c r="AX374" s="106">
        <f t="shared" si="749"/>
        <v>0</v>
      </c>
      <c r="AY374" s="108">
        <f t="shared" si="749"/>
        <v>0</v>
      </c>
      <c r="AZ374" s="109">
        <f t="shared" si="749"/>
        <v>0</v>
      </c>
      <c r="BA374" s="109">
        <f t="shared" si="749"/>
        <v>0</v>
      </c>
      <c r="BB374" s="109">
        <f t="shared" si="749"/>
        <v>0</v>
      </c>
      <c r="BC374" s="110">
        <f t="shared" si="749"/>
        <v>0</v>
      </c>
      <c r="BD374" s="106">
        <f t="shared" si="749"/>
        <v>0</v>
      </c>
      <c r="BE374" s="107">
        <f t="shared" si="749"/>
        <v>0</v>
      </c>
      <c r="BF374" s="105">
        <f t="shared" ref="BF374:BR383" si="750">IF($K374=BF$3,IF($C374="X",0,$O374),0)</f>
        <v>0</v>
      </c>
      <c r="BG374" s="106">
        <f t="shared" si="750"/>
        <v>0</v>
      </c>
      <c r="BH374" s="106">
        <f t="shared" si="750"/>
        <v>0</v>
      </c>
      <c r="BI374" s="106">
        <f t="shared" si="750"/>
        <v>0</v>
      </c>
      <c r="BJ374" s="106">
        <f t="shared" si="750"/>
        <v>0</v>
      </c>
      <c r="BK374" s="106">
        <f t="shared" si="750"/>
        <v>0</v>
      </c>
      <c r="BL374" s="106">
        <f t="shared" si="750"/>
        <v>0</v>
      </c>
      <c r="BM374" s="132">
        <f t="shared" si="750"/>
        <v>26.32</v>
      </c>
      <c r="BN374" s="112">
        <f t="shared" si="750"/>
        <v>0</v>
      </c>
      <c r="BO374" s="112">
        <f t="shared" si="750"/>
        <v>0</v>
      </c>
      <c r="BP374" s="112">
        <f t="shared" si="750"/>
        <v>0</v>
      </c>
      <c r="BQ374" s="110">
        <f t="shared" si="750"/>
        <v>0</v>
      </c>
      <c r="BR374" s="107">
        <f t="shared" si="750"/>
        <v>0</v>
      </c>
      <c r="BS374" s="464"/>
      <c r="BT374" s="461"/>
      <c r="BU374" s="392"/>
      <c r="BV374" s="461"/>
      <c r="BW374" s="392"/>
      <c r="BX374" s="392"/>
      <c r="BY374" s="392"/>
      <c r="BZ374" s="461"/>
      <c r="CA374" s="392"/>
      <c r="CB374" s="392"/>
      <c r="CC374" s="392"/>
      <c r="CD374" s="401"/>
      <c r="CE374" s="409"/>
      <c r="CF374" s="133">
        <f t="shared" si="644"/>
        <v>0</v>
      </c>
      <c r="CG374" s="134">
        <f t="shared" si="645"/>
        <v>0</v>
      </c>
      <c r="CH374" s="134">
        <f t="shared" si="646"/>
        <v>0</v>
      </c>
      <c r="CI374" s="134">
        <f t="shared" si="647"/>
        <v>0</v>
      </c>
      <c r="CJ374" s="134">
        <f t="shared" si="648"/>
        <v>0</v>
      </c>
      <c r="CK374" s="134">
        <f t="shared" si="649"/>
        <v>0</v>
      </c>
      <c r="CL374" s="134">
        <f t="shared" si="650"/>
        <v>0</v>
      </c>
      <c r="CM374" s="134">
        <f t="shared" si="651"/>
        <v>0</v>
      </c>
      <c r="CN374" s="134">
        <f t="shared" si="652"/>
        <v>0</v>
      </c>
      <c r="CO374" s="134">
        <f t="shared" si="653"/>
        <v>0</v>
      </c>
      <c r="CP374" s="134">
        <f t="shared" si="654"/>
        <v>0</v>
      </c>
      <c r="CQ374" s="134">
        <f t="shared" si="655"/>
        <v>0</v>
      </c>
      <c r="CR374" s="134">
        <f t="shared" si="656"/>
        <v>0</v>
      </c>
      <c r="CS374" s="134">
        <f t="shared" si="657"/>
        <v>0</v>
      </c>
      <c r="CT374" s="115">
        <f t="shared" si="658"/>
        <v>0</v>
      </c>
      <c r="CU374" s="116">
        <f t="shared" si="659"/>
        <v>1</v>
      </c>
      <c r="CV374" s="116">
        <f t="shared" si="660"/>
        <v>0</v>
      </c>
      <c r="CW374" s="116">
        <f t="shared" si="661"/>
        <v>0</v>
      </c>
      <c r="CX374" s="116">
        <f t="shared" si="662"/>
        <v>0</v>
      </c>
      <c r="CY374" s="116">
        <f t="shared" si="663"/>
        <v>0</v>
      </c>
      <c r="CZ374" s="116">
        <f t="shared" si="664"/>
        <v>0</v>
      </c>
      <c r="DA374" s="116">
        <f t="shared" si="665"/>
        <v>0</v>
      </c>
      <c r="DB374" s="116">
        <f t="shared" si="666"/>
        <v>0</v>
      </c>
      <c r="DC374" s="116">
        <f t="shared" si="667"/>
        <v>0</v>
      </c>
      <c r="DD374" s="116">
        <f t="shared" si="668"/>
        <v>0</v>
      </c>
      <c r="DE374" s="117">
        <f t="shared" si="669"/>
        <v>0</v>
      </c>
      <c r="DF374" s="118">
        <f t="shared" si="672"/>
        <v>27</v>
      </c>
      <c r="DG374" s="106">
        <f t="shared" si="673"/>
        <v>35.01</v>
      </c>
      <c r="DH374" s="116">
        <f t="shared" si="674"/>
        <v>10</v>
      </c>
      <c r="DI374" s="106">
        <f t="shared" si="675"/>
        <v>41.599999999999994</v>
      </c>
      <c r="DJ374" s="201" t="str">
        <f>IF($D373="","",$D373)</f>
        <v>10</v>
      </c>
      <c r="DK374" s="466"/>
    </row>
    <row r="375" spans="1:115" ht="14.5" customHeight="1" x14ac:dyDescent="0.2">
      <c r="A375" s="390"/>
      <c r="B375" s="457"/>
      <c r="C375" s="135" t="s">
        <v>55</v>
      </c>
      <c r="D375" s="375"/>
      <c r="E375" s="387"/>
      <c r="F375" s="378"/>
      <c r="G375" s="484"/>
      <c r="H375" s="477"/>
      <c r="I375" s="192">
        <v>2</v>
      </c>
      <c r="J375" s="137"/>
      <c r="K375" s="193" t="s">
        <v>43</v>
      </c>
      <c r="L375" s="194">
        <v>3.76</v>
      </c>
      <c r="M375" s="140">
        <v>5.32</v>
      </c>
      <c r="N375" s="407"/>
      <c r="O375" s="195">
        <f>IF(OR(AE373="",AE374=""),"",IF(L375&gt;0,ROUND(IF(M375&gt;0,M375,IF(M373&gt;0,ROUND((M373*AE375)/AE373,IF(N373=0,2,IF(N373=0.1,1,0))),IF(M374&gt;0,ROUND((M374*AE375)/AE374,IF(N373=0,2,IF(N373=0.1,1,0))),IF(M375&gt;0,M375,0)))),2),""))</f>
        <v>5.32</v>
      </c>
      <c r="P375" s="196">
        <f>IF(I374="Lay",O374*(L374/(L374-1))-O374,IF(I373="Lay",O373*(L373/(L373-1))-O373,IF(OR(L375="",O375=""),"",IF($C375="1/2W",O375/2+O375/2*L375,IF($C375="1/2L",O375/2,(O375*L375-O375)*(1-_xlfn.XLOOKUP(K375,'Fevereiro 2023 - Valor Real'!A3:A15,'Fevereiro 2023 - Valor Real'!C3:C15,0))+O375)))))</f>
        <v>20.0032</v>
      </c>
      <c r="Q375" s="197">
        <f>IF(K375="","",IF(_xlfn.XLOOKUP(K375,K$4:K374,$DJ$4:DJ374,0,,-1)=DJ375,_xlfn.XLOOKUP(K375,K$4:K374,Q$4:Q374,1,,-1)+1,1))</f>
        <v>6</v>
      </c>
      <c r="R375" s="198">
        <f>IF(K375="","",_xlfn.XLOOKUP(K375,K$4:K374,R$4:R374,0,,-1)+IF($C375=" ",1,0))</f>
        <v>0</v>
      </c>
      <c r="S375" s="404"/>
      <c r="T375" s="378"/>
      <c r="U375" s="378"/>
      <c r="V375" s="404"/>
      <c r="W375" s="378"/>
      <c r="X375" s="453"/>
      <c r="Y375" s="383"/>
      <c r="Z375" s="384"/>
      <c r="AA375" s="384"/>
      <c r="AB375" s="384"/>
      <c r="AC375" s="384"/>
      <c r="AD375" s="145">
        <f>((L374/(L374-1)-1))</f>
        <v>0.91743119266055051</v>
      </c>
      <c r="AE375" s="199">
        <f>IF(L375="","",(SUM(((L373-1)*(1-_xlfn.XLOOKUP(K373,'Fevereiro 2023 - Valor Real'!A3:A15,'Fevereiro 2023 - Valor Real'!C3:C15,0))+1),((L374-1)*(1-_xlfn.XLOOKUP(K374,'Fevereiro 2023 - Valor Real'!A3:A15,'Fevereiro 2023 - Valor Real'!C3:C15,0))+1),((L375-1)*(1-_xlfn.XLOOKUP(K375,'Fevereiro 2023 - Valor Real'!A3:A15,'Fevereiro 2023 - Valor Real'!C3:C15,0))+1))/((L375-1)*(1-_xlfn.XLOOKUP(K375,'Fevereiro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Real'!C3:C15,0))+1))/((L373-1)*(1-_xlfn.XLOOKUP(K373,'Fevereiro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Real'!C3:C15,0))+1))/((L374-1)*(1-_xlfn.XLOOKUP(K374,'Fevereiro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Real'!C3:C15,0))+1))/((L375-1)*(1-_xlfn.XLOOKUP(K375,'Fevereiro 2023 - Valor Real'!A3:A15,'Fevereiro 2023 - Valor Real'!C3:C15,0))+1)))</f>
        <v>0.20814355863739331</v>
      </c>
      <c r="AF375" s="105">
        <f t="shared" si="748"/>
        <v>0</v>
      </c>
      <c r="AG375" s="106">
        <f t="shared" si="748"/>
        <v>0</v>
      </c>
      <c r="AH375" s="106">
        <f t="shared" si="748"/>
        <v>0</v>
      </c>
      <c r="AI375" s="106">
        <f t="shared" si="748"/>
        <v>0</v>
      </c>
      <c r="AJ375" s="106">
        <f t="shared" si="748"/>
        <v>0</v>
      </c>
      <c r="AK375" s="106">
        <f t="shared" si="748"/>
        <v>0</v>
      </c>
      <c r="AL375" s="106">
        <f t="shared" si="748"/>
        <v>0</v>
      </c>
      <c r="AM375" s="106">
        <f t="shared" si="748"/>
        <v>-5.32</v>
      </c>
      <c r="AN375" s="106">
        <f t="shared" si="748"/>
        <v>0</v>
      </c>
      <c r="AO375" s="106">
        <f t="shared" si="748"/>
        <v>0</v>
      </c>
      <c r="AP375" s="106">
        <f t="shared" si="748"/>
        <v>0</v>
      </c>
      <c r="AQ375" s="106">
        <f t="shared" si="748"/>
        <v>0</v>
      </c>
      <c r="AR375" s="107">
        <f t="shared" si="748"/>
        <v>0</v>
      </c>
      <c r="AS375" s="105">
        <f>IF(AND($B373=" ",$K375=AS$3),$O375,0)</f>
        <v>0</v>
      </c>
      <c r="AT375" s="106">
        <f>IF(AND($B373=" ",K375=AT$3),$O375,0)</f>
        <v>0</v>
      </c>
      <c r="AU375" s="106">
        <f t="shared" ref="AU375:BE375" si="751">IF(AND($B373=" ",$K375=AU$3),$O375,0)</f>
        <v>0</v>
      </c>
      <c r="AV375" s="106">
        <f t="shared" si="751"/>
        <v>0</v>
      </c>
      <c r="AW375" s="106">
        <f t="shared" si="751"/>
        <v>0</v>
      </c>
      <c r="AX375" s="106">
        <f t="shared" si="751"/>
        <v>0</v>
      </c>
      <c r="AY375" s="108">
        <f t="shared" si="751"/>
        <v>0</v>
      </c>
      <c r="AZ375" s="109">
        <f t="shared" si="751"/>
        <v>0</v>
      </c>
      <c r="BA375" s="109">
        <f t="shared" si="751"/>
        <v>0</v>
      </c>
      <c r="BB375" s="109">
        <f t="shared" si="751"/>
        <v>0</v>
      </c>
      <c r="BC375" s="110">
        <f t="shared" si="751"/>
        <v>0</v>
      </c>
      <c r="BD375" s="106">
        <f t="shared" si="751"/>
        <v>0</v>
      </c>
      <c r="BE375" s="107">
        <f t="shared" si="751"/>
        <v>0</v>
      </c>
      <c r="BF375" s="105">
        <f t="shared" si="750"/>
        <v>0</v>
      </c>
      <c r="BG375" s="106">
        <f t="shared" si="750"/>
        <v>0</v>
      </c>
      <c r="BH375" s="106">
        <f t="shared" si="750"/>
        <v>0</v>
      </c>
      <c r="BI375" s="106">
        <f t="shared" si="750"/>
        <v>0</v>
      </c>
      <c r="BJ375" s="106">
        <f t="shared" si="750"/>
        <v>0</v>
      </c>
      <c r="BK375" s="106">
        <f t="shared" si="750"/>
        <v>0</v>
      </c>
      <c r="BL375" s="106">
        <f t="shared" si="750"/>
        <v>0</v>
      </c>
      <c r="BM375" s="108">
        <f t="shared" si="750"/>
        <v>5.32</v>
      </c>
      <c r="BN375" s="109">
        <f t="shared" si="750"/>
        <v>0</v>
      </c>
      <c r="BO375" s="109">
        <f t="shared" si="750"/>
        <v>0</v>
      </c>
      <c r="BP375" s="109">
        <f t="shared" si="750"/>
        <v>0</v>
      </c>
      <c r="BQ375" s="110">
        <f t="shared" si="750"/>
        <v>0</v>
      </c>
      <c r="BR375" s="107">
        <f t="shared" si="750"/>
        <v>0</v>
      </c>
      <c r="BS375" s="464"/>
      <c r="BT375" s="461"/>
      <c r="BU375" s="392"/>
      <c r="BV375" s="461"/>
      <c r="BW375" s="392"/>
      <c r="BX375" s="392"/>
      <c r="BY375" s="392"/>
      <c r="BZ375" s="461"/>
      <c r="CA375" s="392"/>
      <c r="CB375" s="392"/>
      <c r="CC375" s="392"/>
      <c r="CD375" s="401"/>
      <c r="CE375" s="409"/>
      <c r="CF375" s="133">
        <f t="shared" si="644"/>
        <v>0</v>
      </c>
      <c r="CG375" s="134">
        <f t="shared" si="645"/>
        <v>0</v>
      </c>
      <c r="CH375" s="134">
        <f t="shared" si="646"/>
        <v>0</v>
      </c>
      <c r="CI375" s="134">
        <f t="shared" si="647"/>
        <v>0</v>
      </c>
      <c r="CJ375" s="134">
        <f t="shared" si="648"/>
        <v>0</v>
      </c>
      <c r="CK375" s="134">
        <f t="shared" si="649"/>
        <v>0</v>
      </c>
      <c r="CL375" s="134">
        <f t="shared" si="650"/>
        <v>0</v>
      </c>
      <c r="CM375" s="134">
        <f t="shared" si="651"/>
        <v>0</v>
      </c>
      <c r="CN375" s="134">
        <f t="shared" si="652"/>
        <v>0</v>
      </c>
      <c r="CO375" s="134">
        <f t="shared" si="653"/>
        <v>0</v>
      </c>
      <c r="CP375" s="134">
        <f t="shared" si="654"/>
        <v>0</v>
      </c>
      <c r="CQ375" s="134">
        <f t="shared" si="655"/>
        <v>0</v>
      </c>
      <c r="CR375" s="134">
        <f t="shared" si="656"/>
        <v>0</v>
      </c>
      <c r="CS375" s="134">
        <f t="shared" si="657"/>
        <v>0</v>
      </c>
      <c r="CT375" s="115">
        <f t="shared" si="658"/>
        <v>0</v>
      </c>
      <c r="CU375" s="116">
        <f t="shared" si="659"/>
        <v>1</v>
      </c>
      <c r="CV375" s="116">
        <f t="shared" si="660"/>
        <v>0</v>
      </c>
      <c r="CW375" s="116">
        <f t="shared" si="661"/>
        <v>0</v>
      </c>
      <c r="CX375" s="116">
        <f t="shared" si="662"/>
        <v>0</v>
      </c>
      <c r="CY375" s="116">
        <f t="shared" si="663"/>
        <v>0</v>
      </c>
      <c r="CZ375" s="116">
        <f t="shared" si="664"/>
        <v>0</v>
      </c>
      <c r="DA375" s="116">
        <f t="shared" si="665"/>
        <v>0</v>
      </c>
      <c r="DB375" s="116">
        <f t="shared" si="666"/>
        <v>0</v>
      </c>
      <c r="DC375" s="116">
        <f t="shared" si="667"/>
        <v>0</v>
      </c>
      <c r="DD375" s="116">
        <f t="shared" si="668"/>
        <v>0</v>
      </c>
      <c r="DE375" s="117">
        <f t="shared" si="669"/>
        <v>0</v>
      </c>
      <c r="DF375" s="118">
        <f t="shared" si="672"/>
        <v>27</v>
      </c>
      <c r="DG375" s="106">
        <f t="shared" si="673"/>
        <v>35.01</v>
      </c>
      <c r="DH375" s="116">
        <f t="shared" si="674"/>
        <v>10</v>
      </c>
      <c r="DI375" s="106">
        <f t="shared" si="675"/>
        <v>41.599999999999994</v>
      </c>
      <c r="DJ375" s="201" t="str">
        <f>IF($D373="","",$D373)</f>
        <v>10</v>
      </c>
      <c r="DK375" s="466"/>
    </row>
    <row r="376" spans="1:115" ht="14.5" customHeight="1" x14ac:dyDescent="0.2">
      <c r="A376" s="487">
        <f>$A373+1</f>
        <v>125</v>
      </c>
      <c r="B376" s="506" t="str">
        <f>IF(OR(C376="W",C377="W",C378="W",C376="1/2W",C377="1/2W",C378="1/2W",C376="1/2L",C377="1/2L",C378="1/2L"),"OK",IF(OR(C376="L",C377="L",C378="L"),"LOSS",IF(OR(C376="X",C377="X",C378="X"),"Anulado"," ")))</f>
        <v>OK</v>
      </c>
      <c r="C376" s="147" t="s">
        <v>54</v>
      </c>
      <c r="D376" s="494" t="str">
        <f>IF(G376="","",$D373)</f>
        <v>10</v>
      </c>
      <c r="E376" s="511" t="str">
        <f>IF(G376=""," ","– "&amp;COUNTIF(D$4:D378,$D376))</f>
        <v>– 12</v>
      </c>
      <c r="F376" s="510" t="str">
        <f ca="1">IF(G376="","",IF(OR(AND($C376&lt;&gt;" ",$C377=" "),AND($C377&lt;&gt;" ",$C376=" "),AND(L378&gt;0,OR(AND($C378&lt;&gt;" ",OR($C376=" ",$C377=" ")),AND($C378=" ",OR($C376&lt;&gt;" ",$C377&lt;&gt;" "))))),IF(SUM(F$4:F375)=0,1,LARGE(F$4:F375,1)+1),IF(MONTH(G376)=MONTH(TODAY()),IF(AND(DAY(G376)&lt;DAY(TODAY()),$B376=" "),IF(SUM(F$4:F375)=0,1,LARGE(F$4:F375,1)+1),IF($B376=" ",IF(AND(DAY(G376)=DAY(TODAY()),HOUR(G376)&lt;=HOUR(NOW())+1),IF(AND(HOUR(G376)+2&lt;=HOUR(NOW()),DAY(G376)&lt;=DAY(TODAY()),MINUTE(G376)&lt;=MINUTE(NOW())),IF(SUM(F$4:F375)=0,1,LARGE(F$4:F375,1)+1),IF(OR(MINUTE(G376)&lt;=MINUTE(NOW()),HOUR(G376)&lt;=HOUR(NOW())),"!!!","")),""),"")),"")))</f>
        <v/>
      </c>
      <c r="G376" s="508">
        <v>44996.375</v>
      </c>
      <c r="H376" s="502" t="s">
        <v>163</v>
      </c>
      <c r="I376" s="180" t="s">
        <v>51</v>
      </c>
      <c r="J376" s="181">
        <v>3</v>
      </c>
      <c r="K376" s="150" t="s">
        <v>43</v>
      </c>
      <c r="L376" s="151">
        <v>1.613</v>
      </c>
      <c r="M376" s="152">
        <v>34.9</v>
      </c>
      <c r="N376" s="503">
        <v>0</v>
      </c>
      <c r="O376" s="153">
        <f>IF(OR(AE376="",AE377=""),"",ROUND(IF(L378&gt;0,IF(M376&gt;0,M376,IF(M377&gt;0,ROUND((M377*AE376)/AE377,IF(N376=0,2,IF(N376=0.1,1,0))),ROUND((M378*AE376)/AE378,IF(N376=0,2,IF(N376=0.1,1,0))))),IF(M376&gt;0,M376,ROUND((M377*AE376)/AE377,IF(N376=0,2,IF(N376=0.1,1,0))))),2))</f>
        <v>34.9</v>
      </c>
      <c r="P376" s="154">
        <f>IF(OR(L376="",O376=""),"",IF($C376="1/2W",O376/2+O376/2*L376,IF($C376="1/2L",O376/2,IF(I376="Lay",(O376*(L376/(L376-1))-O376)*(1-_xlfn.XLOOKUP(K376,'Fevereiro 2023 - Valor Real'!A3:A15,'Fevereiro 2023 - Valor Real'!C3:C15,0))+O376,(O376*L376-O376)*(1-_xlfn.XLOOKUP(K376,'Fevereiro 2023 - Valor Real'!A3:A15,'Fevereiro 2023 - Valor Real'!C3:C15,0))+O376))))</f>
        <v>56.293699999999994</v>
      </c>
      <c r="Q376" s="155">
        <f>IF(K376="","",IF(_xlfn.XLOOKUP(K376,K$9:K368,$DJ$9:DJ368,0,,-1)=DJ376,_xlfn.XLOOKUP(K376,K$9:K368,Q$9:Q368,1,,-1)+1,1))</f>
        <v>4</v>
      </c>
      <c r="R376" s="156">
        <f>IF(K376="","",_xlfn.XLOOKUP(K376,K$9:K368,R$9:R368,0,,-1)+IF($C376=" ",1,0))</f>
        <v>0</v>
      </c>
      <c r="S376" s="501">
        <f>IF($B376="Anulado",0,ROUND(IF(OR($B376="LOSS",$B376="OK"),IF(OR($C376="W",$C376="1/2W",$C376="1/2L"),P376-O376,IF($C376="L",-O376,0))+IF(OR($C377="W",$C377="1/2W",$C377="1/2L"),P377-O377,IF($C377="L",-O377,0))+IF(OR($C378="W",$C378="1/2W",$C378="1/2L"),P378-O378,IF($C378="L",-O378,0)),IF(AND(OR($C376="W",$C376="1/2W",$C376="1/2L"),C377="W"),P376+P377-SUM(O376:O378)+_xlfn.XLOOKUP("X",C376:C378,O376:O378,0),IF(AND(C376=TRUE,C378="W"),P376+P378-SUM(O376:O378),IF(AND(C377="W",C378="W"),P377+P378-SUM(O376:O378)+_xlfn.XLOOKUP("X",C376:C378,O376:O378,0),IF(L378&gt;0,IF(OR($C376="W",$C376="1/2W",$C376="1/2L"),P376-SUM(O376:O378)+_xlfn.XLOOKUP("X",C376:C378,O376:O378,0),IF(OR($C376="W",$C376="1/2W",$C376="1/2L"),P377-SUM(O376:O378)+_xlfn.XLOOKUP("X",C376:C378,O376:O378,0),IF(OR($C376="W",$C376="1/2W",$C376="1/2L"),P378-SUM(O376:O378)+_xlfn.XLOOKUP("X",C376:C378,O376:O378,0),IF(SUM(P376:P378)/3-SUM(O376:O378)+_xlfn.XLOOKUP("X",C376:C378,O376:O378,0)&gt;0,SUM(P376:P378)/3-SUM(O376:O378)+_xlfn.XLOOKUP("X",C376:C378,O376:O378,0),LARGE(P376:P378,1)-SUM(O376:O378))))),IF(OR($C376="W",$C376="1/2W",$C376="1/2L"),P376-SUM(O376:O377)+_xlfn.XLOOKUP("X",C376:C378,O376:O378,0),IF(OR($C376="W",$C376="1/2W",$C376="1/2L"),P377-SUM(O376:O377)+_xlfn.XLOOKUP("X",C376:C378,O376:O378,0),SUM(P376:P377)/2-SUM(O376:O377)+_xlfn.XLOOKUP("X",C376:C378,O376:O378,0)))))))),2))</f>
        <v>2.5499999999999998</v>
      </c>
      <c r="T376" s="486">
        <f>IF(S376=0,0,S376/SUM(O376:O378))</f>
        <v>4.7450688500186085E-2</v>
      </c>
      <c r="U376" s="496">
        <f>IF($D376=$D373,IF(OR($B376="LOSS",$B376="OK",$B376="Anulada"),S376,0)+U373,IF(OR($B376="LOSS",$B376="OK",$B376="Anulada"),S376,0))</f>
        <v>-34.900000000000006</v>
      </c>
      <c r="V376" s="496">
        <f>IF($D376="",0,IF($D376=$D373,IF($B376=" ",IF(I378="",IF(OR(AND(I376="DNB1",I377="DNB2"),AND(OR(I376="DNB1",I376="DNB2"),J377=0),AND(OR(I377="DNB1",I377="DNB2"),J376=0),AND(I376="DNB2",I377="DNB1"),AND(IF(J376=0,(J376+1)/ROUND(J376+1,0),J376/ROUND(J376,0))=1,IF(J377=0,(J377+1)/ROUND(IF(J377="",0,J377)+1,0),IF(J377="",0,J377)/ROUND(IF(J377="",1,J377),0))=1,OR(J376&lt;&gt;""),J377&lt;&gt;"")),0,IF(S376&lt;0,IF(I378="",SMALL(P376:P377,1)-SUM(O376:O377),0),SMALL(P376:P377,1)-SUM(O376:O377))),IF(S376&lt;0,IF(I378="",SMALL(P376:P378,1)-SUM(O376:O378),0),LARGE(P376:P378,1)-SUM(O376:O378))),S376)+V373,IF(I378="",IF(OR(AND(I376="DNB1",I377="DNB2"),AND(OR(I376="DNB1",I376="DNB2"),J377=0),AND(OR(I377="DNB1",I377="DNB2"),J376=0),AND(I376="DNB2",I377="DNB1"),AND(IF(J376=0,(J376+1)/ROUND(J376+1,0),J376/ROUND(J376,0))=1,IF(J377=0,(IF(J377="",0,J377)+1)/ROUND(IF(J377="",0,J377)+1,0),IF(J377="",0,J377)/ROUND(IF(J377="",0,J377)+1,0))=1,OR(J376&lt;&gt;""),J377&lt;&gt;"")),0,IF(S376&lt;0,IF(I378="",SMALL(P376:P377,1)-SUM(O376:O377),0),SMALL(P376:P378,1)-SUM(O376:O378))),IF(S376&lt;0,IF(I378="",SMALL(P376:P378,1)-SUM(O376:O378),0),LARGE(P376:P378,1)-SUM(O376:O378)))))</f>
        <v>-19.879999999999988</v>
      </c>
      <c r="W376" s="496">
        <f>IF($D376=$D373,IF(S376&lt;0,IF(I378="",S376,0),S376)+W373,S376)</f>
        <v>-34.900000000000006</v>
      </c>
      <c r="X376" s="505" t="str">
        <f>IF(OR(SUM(R376:R378)=0,V376=W376),ROUND(IF(W376=0,0,W376/Y376)*100,2)&amp;"%",ROUND(IF(V376=0,0,V376/Y376)*100,2)&amp;"% a "&amp;ROUND(IF(W376=0,0,W376/Y376)*100,2)&amp;"%")</f>
        <v>-2,73%</v>
      </c>
      <c r="Y376" s="497">
        <f>IF($D376=$D373,Y373+SUM(O376:O378),SUM(O376:O378))</f>
        <v>1276.26</v>
      </c>
      <c r="Z376" s="496">
        <f>IF($B376=" ",SUM(O376:O378),0)+Z373</f>
        <v>0</v>
      </c>
      <c r="AA376" s="496">
        <f>IF(G376="","",IF($B376="Anulado",LARGE(P376:P378,1)-SUM(O376:O378)+AA373,AA373))</f>
        <v>10.700299999999997</v>
      </c>
      <c r="AB376" s="496">
        <f>IF($D376="","",AB373+S376)</f>
        <v>458.35000000000008</v>
      </c>
      <c r="AC376" s="499">
        <f ca="1">IF($D376="","",IF($B376=" ",IF(DAY(G376)=DAY(TODAY()),1+AC373,0+AC373),0+AC373))</f>
        <v>0</v>
      </c>
      <c r="AD376" s="157">
        <f>(1-_xlfn.XLOOKUP(K374,'Fevereiro 2023 - Valor Real'!A3:A15,'Fevereiro 2023 - Valor Real'!C3:C15,0))+1</f>
        <v>2</v>
      </c>
      <c r="AE376" s="158">
        <f>IF(L376="","",IF(L378&gt;0,(SUM(((L376-1)*(1-_xlfn.XLOOKUP(K376,'Fevereiro 2023 - Valor Real'!A3:A15,'Fevereiro 2023 - Valor Real'!C3:C15,0))+1),((L377-1)*(1-_xlfn.XLOOKUP(K377,'Fevereiro 2023 - Valor Real'!A3:A15,'Fevereiro 2023 - Valor Real'!C3:C15,0))+1),((L378-1)*(1-_xlfn.XLOOKUP(K378,'Fevereiro 2023 - Valor Real'!A3:A15,'Fevereiro 2023 - Valor Real'!C3:C15,0))+1))/((L376-1)*(1-_xlfn.XLOOKUP(K376,'Fevereiro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Real'!C3:C15,0))+1))/((L376-1)*(1-_xlfn.XLOOKUP(K376,'Fevereiro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Real'!C3:C15,0))+1))/((L377-1)*(1-_xlfn.XLOOKUP(K377,'Fevereiro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Real'!C3:C15,0))+1))/((L378-1)*(1-_xlfn.XLOOKUP(K378,'Fevereiro 2023 - Valor Real'!A3:A15,'Fevereiro 2023 - Valor Real'!C3:C15,0))+1)),IF(I376="Lay",IF(I377="Lay",((L377/(L377-1)-1)*(1-_xlfn.XLOOKUP(K377,'Fevereiro 2023 - Valor Real'!A3:A15,'Fevereiro 2023 - Valor Real'!C3:C15,0))+1)/(((L377/(L377-1)-1)*(1-_xlfn.XLOOKUP(K377,'Fevereiro 2023 - Valor Real'!A3:A15,'Fevereiro 2023 - Valor Real'!C3:C15,0))+1)+((L376/(L376-1)-1)*(1-_xlfn.XLOOKUP(K376,'Fevereiro 2023 - Valor Real'!A3:A15,'Fevereiro 2023 - Valor Real'!C3:C15,0))+1)),((L377-1)*(1-_xlfn.XLOOKUP(K377,'Fevereiro 2023 - Valor Real'!A3:A15,'Fevereiro 2023 - Valor Real'!C3:C15,0))+1)/(((L377-1)*(1-_xlfn.XLOOKUP(K377,'Fevereiro 2023 - Valor Real'!A3:A15,'Fevereiro 2023 - Valor Real'!C3:C15,0))+1)+((L376/(L376-1)-1)*(1-_xlfn.XLOOKUP(K376,'Fevereiro 2023 - Valor Real'!A3:A15,'Fevereiro 2023 - Valor Real'!C3:C15,0))+1))),IF(I377="Lay",(((L377/(L377-1)-1)*(1-_xlfn.XLOOKUP(K377,'Fevereiro 2023 - Valor Real'!A3:A15,'Fevereiro 2023 - Valor Real'!C3:C15,0))+1))/(((L376-1)*(1-_xlfn.XLOOKUP(K376,'Fevereiro 2023 - Valor Real'!A3:A15,'Fevereiro 2023 - Valor Real'!C3:C15,0))+1)+((L377/(L377-1)-1)*(1-_xlfn.XLOOKUP(K377,'Fevereiro 2023 - Valor Real'!A3:A15,'Fevereiro 2023 - Valor Real'!C3:C15,0))+1)),((L377-1)*(1-_xlfn.XLOOKUP(K377,'Fevereiro 2023 - Valor Real'!A3:A15,'Fevereiro 2023 - Valor Real'!C3:C15,0))+1)/(((L377-1)*(1-_xlfn.XLOOKUP(K377,'Fevereiro 2023 - Valor Real'!A3:A15,'Fevereiro 2023 - Valor Real'!C3:C15,0))+1)+((L376-1)*(1-_xlfn.XLOOKUP(K376,'Fevereiro 2023 - Valor Real'!A3:A15,'Fevereiro 2023 - Valor Real'!C3:C15,0))+1))))))</f>
        <v>0.4613173890966214</v>
      </c>
      <c r="AF376" s="66">
        <f t="shared" si="748"/>
        <v>0</v>
      </c>
      <c r="AG376" s="67">
        <f t="shared" si="748"/>
        <v>0</v>
      </c>
      <c r="AH376" s="67">
        <f t="shared" si="748"/>
        <v>0</v>
      </c>
      <c r="AI376" s="67">
        <f t="shared" si="748"/>
        <v>0</v>
      </c>
      <c r="AJ376" s="67">
        <f t="shared" si="748"/>
        <v>0</v>
      </c>
      <c r="AK376" s="67">
        <f t="shared" si="748"/>
        <v>0</v>
      </c>
      <c r="AL376" s="67">
        <f t="shared" si="748"/>
        <v>0</v>
      </c>
      <c r="AM376" s="67">
        <f t="shared" si="748"/>
        <v>21.39</v>
      </c>
      <c r="AN376" s="67">
        <f t="shared" si="748"/>
        <v>0</v>
      </c>
      <c r="AO376" s="67">
        <f t="shared" si="748"/>
        <v>0</v>
      </c>
      <c r="AP376" s="67">
        <f t="shared" si="748"/>
        <v>0</v>
      </c>
      <c r="AQ376" s="67">
        <f t="shared" si="748"/>
        <v>0</v>
      </c>
      <c r="AR376" s="68">
        <f t="shared" si="748"/>
        <v>0</v>
      </c>
      <c r="AS376" s="66">
        <f t="shared" ref="AS376:BE376" si="752">IF(AND($B376=" ",$K376=AS$3),$O376,0)</f>
        <v>0</v>
      </c>
      <c r="AT376" s="67">
        <f t="shared" si="752"/>
        <v>0</v>
      </c>
      <c r="AU376" s="67">
        <f t="shared" si="752"/>
        <v>0</v>
      </c>
      <c r="AV376" s="67">
        <f t="shared" si="752"/>
        <v>0</v>
      </c>
      <c r="AW376" s="67">
        <f t="shared" si="752"/>
        <v>0</v>
      </c>
      <c r="AX376" s="67">
        <f t="shared" si="752"/>
        <v>0</v>
      </c>
      <c r="AY376" s="69">
        <f t="shared" si="752"/>
        <v>0</v>
      </c>
      <c r="AZ376" s="70">
        <f t="shared" si="752"/>
        <v>0</v>
      </c>
      <c r="BA376" s="70">
        <f t="shared" si="752"/>
        <v>0</v>
      </c>
      <c r="BB376" s="70">
        <f t="shared" si="752"/>
        <v>0</v>
      </c>
      <c r="BC376" s="71">
        <f t="shared" si="752"/>
        <v>0</v>
      </c>
      <c r="BD376" s="67">
        <f t="shared" si="752"/>
        <v>0</v>
      </c>
      <c r="BE376" s="68">
        <f t="shared" si="752"/>
        <v>0</v>
      </c>
      <c r="BF376" s="66">
        <f t="shared" si="750"/>
        <v>0</v>
      </c>
      <c r="BG376" s="67">
        <f t="shared" si="750"/>
        <v>0</v>
      </c>
      <c r="BH376" s="67">
        <f t="shared" si="750"/>
        <v>0</v>
      </c>
      <c r="BI376" s="67">
        <f t="shared" si="750"/>
        <v>0</v>
      </c>
      <c r="BJ376" s="67">
        <f t="shared" si="750"/>
        <v>0</v>
      </c>
      <c r="BK376" s="67">
        <f t="shared" si="750"/>
        <v>0</v>
      </c>
      <c r="BL376" s="67">
        <f t="shared" si="750"/>
        <v>0</v>
      </c>
      <c r="BM376" s="69">
        <f t="shared" si="750"/>
        <v>34.9</v>
      </c>
      <c r="BN376" s="70">
        <f t="shared" si="750"/>
        <v>0</v>
      </c>
      <c r="BO376" s="70">
        <f t="shared" si="750"/>
        <v>0</v>
      </c>
      <c r="BP376" s="70">
        <f t="shared" si="750"/>
        <v>0</v>
      </c>
      <c r="BQ376" s="71">
        <f t="shared" si="750"/>
        <v>0</v>
      </c>
      <c r="BR376" s="68">
        <f t="shared" si="750"/>
        <v>0</v>
      </c>
      <c r="BS376" s="490">
        <f>IF($B376="LOSS",IF(AND($K376=BS$3,$C376="L"),-$O376,0)+IF(AND($K377=BS$3,$C377="L"),-$O377,0)+IF(AND($K378=BS$3,$C378="L"),-$O378,0),IF(OR(AND($K376=BS$3,OR($C376="W",$C376="1/2W")),AND($K377=BS$3,OR($C377="W",$C377="1/2W")),AND($K378=BS$3,OR($C378="W",$C378="1/2W"))),$S376,0))</f>
        <v>0</v>
      </c>
      <c r="BT376" s="498">
        <f>IF($B376="LOSS",IF(AND($K376=BT$3,$C376="L"),-$O376,0)+IF(AND($K377=BT$3,$C377="L"),-$O377,0)+IF(AND($K377=BT$3,$C378="L"),-$O378,0),IF(OR(AND($K377=BT$3,OR($C376="W",$C376="1/2W")),AND($K377=BT$3,OR($C377="W",$C377="1/2W")),AND($K377=BT$3,OR($C378="W",$C378="1/2W"))),$S376,0))</f>
        <v>0</v>
      </c>
      <c r="BU376" s="488">
        <f>IF($B376="LOSS",IF(AND($K376=BU$3,$C376="L"),-$O376,0)+IF(AND($K377=BU$3,$C377="L"),-$O377,0)+IF(AND($K377=BU$3,$C378="L"),-$O378,0),IF(OR(AND($K377=BU$3,OR($C376="W",$C376="1/2W")),AND($K377=BU$3,OR($C377="W",$C377="1/2W")),AND($K377=BU$3,OR($C378="W",$C378="1/2W"))),$S376,0))</f>
        <v>0</v>
      </c>
      <c r="BV376" s="488">
        <f t="shared" ref="BV376:CE376" si="753">IF($B376="LOSS",IF(AND($K376=BV$3,$C376="L"),-$O376,0)+IF(AND($K377=BV$3,$C377="L"),-$O377,0)+IF(AND($K378=BV$3,$C378="L"),-$O378,0),IF(OR(AND($K376=BV$3,OR($C376="W",$C376="1/2W")),AND($K377=BV$3,OR($C377="W",$C377="1/2W")),AND($K378=BV$3,OR($C378="W",$C378="1/2W"))),$S376,0))</f>
        <v>0</v>
      </c>
      <c r="BW376" s="488">
        <f t="shared" si="753"/>
        <v>0</v>
      </c>
      <c r="BX376" s="488">
        <f t="shared" si="753"/>
        <v>0</v>
      </c>
      <c r="BY376" s="488">
        <f t="shared" si="753"/>
        <v>0</v>
      </c>
      <c r="BZ376" s="488">
        <f t="shared" si="753"/>
        <v>2.5499999999999998</v>
      </c>
      <c r="CA376" s="488">
        <f t="shared" si="753"/>
        <v>0</v>
      </c>
      <c r="CB376" s="488">
        <f t="shared" si="753"/>
        <v>0</v>
      </c>
      <c r="CC376" s="488">
        <f t="shared" si="753"/>
        <v>0</v>
      </c>
      <c r="CD376" s="500">
        <f t="shared" si="753"/>
        <v>0</v>
      </c>
      <c r="CE376" s="504">
        <f t="shared" si="753"/>
        <v>0</v>
      </c>
      <c r="CF376" s="160">
        <f t="shared" si="644"/>
        <v>0</v>
      </c>
      <c r="CG376" s="161">
        <f t="shared" si="645"/>
        <v>0</v>
      </c>
      <c r="CH376" s="161">
        <f t="shared" si="646"/>
        <v>0</v>
      </c>
      <c r="CI376" s="161">
        <f t="shared" si="647"/>
        <v>0</v>
      </c>
      <c r="CJ376" s="161">
        <f t="shared" si="648"/>
        <v>0</v>
      </c>
      <c r="CK376" s="161">
        <f t="shared" si="649"/>
        <v>0</v>
      </c>
      <c r="CL376" s="161">
        <f t="shared" si="650"/>
        <v>0</v>
      </c>
      <c r="CM376" s="161">
        <f t="shared" si="651"/>
        <v>0</v>
      </c>
      <c r="CN376" s="161">
        <f t="shared" si="652"/>
        <v>0</v>
      </c>
      <c r="CO376" s="161">
        <f t="shared" si="653"/>
        <v>0</v>
      </c>
      <c r="CP376" s="161">
        <f t="shared" si="654"/>
        <v>0</v>
      </c>
      <c r="CQ376" s="161">
        <f t="shared" si="655"/>
        <v>0</v>
      </c>
      <c r="CR376" s="161">
        <f t="shared" si="656"/>
        <v>0</v>
      </c>
      <c r="CS376" s="161">
        <f t="shared" si="657"/>
        <v>0</v>
      </c>
      <c r="CT376" s="75">
        <f t="shared" si="658"/>
        <v>1</v>
      </c>
      <c r="CU376" s="76">
        <f t="shared" si="659"/>
        <v>0</v>
      </c>
      <c r="CV376" s="76">
        <f t="shared" si="660"/>
        <v>0</v>
      </c>
      <c r="CW376" s="76">
        <f t="shared" si="661"/>
        <v>0</v>
      </c>
      <c r="CX376" s="76">
        <f t="shared" si="662"/>
        <v>0</v>
      </c>
      <c r="CY376" s="76">
        <f t="shared" si="663"/>
        <v>0</v>
      </c>
      <c r="CZ376" s="76">
        <f t="shared" si="664"/>
        <v>0</v>
      </c>
      <c r="DA376" s="76">
        <f t="shared" si="665"/>
        <v>0</v>
      </c>
      <c r="DB376" s="76">
        <f t="shared" si="666"/>
        <v>0</v>
      </c>
      <c r="DC376" s="76">
        <f t="shared" si="667"/>
        <v>0</v>
      </c>
      <c r="DD376" s="76">
        <f t="shared" si="668"/>
        <v>0</v>
      </c>
      <c r="DE376" s="77">
        <f t="shared" si="669"/>
        <v>0</v>
      </c>
      <c r="DF376" s="73">
        <f t="shared" si="672"/>
        <v>27</v>
      </c>
      <c r="DG376" s="67">
        <f t="shared" si="673"/>
        <v>35.01</v>
      </c>
      <c r="DH376" s="76">
        <f t="shared" si="674"/>
        <v>10</v>
      </c>
      <c r="DI376" s="67">
        <f t="shared" si="675"/>
        <v>41.599999999999994</v>
      </c>
      <c r="DJ376" s="202" t="str">
        <f>IF($D376="","",$D376)</f>
        <v>10</v>
      </c>
      <c r="DK376" s="492">
        <f>IF(AND($B376=" ",$D376&lt;&gt;""),1,0)</f>
        <v>0</v>
      </c>
    </row>
    <row r="377" spans="1:115" ht="14.5" customHeight="1" x14ac:dyDescent="0.2">
      <c r="A377" s="389"/>
      <c r="B377" s="456"/>
      <c r="C377" s="53" t="s">
        <v>55</v>
      </c>
      <c r="D377" s="374"/>
      <c r="E377" s="386"/>
      <c r="F377" s="377"/>
      <c r="G377" s="508"/>
      <c r="H377" s="476"/>
      <c r="I377" s="182" t="s">
        <v>52</v>
      </c>
      <c r="J377" s="56">
        <v>3.5</v>
      </c>
      <c r="K377" s="57" t="s">
        <v>40</v>
      </c>
      <c r="L377" s="164">
        <v>2.11</v>
      </c>
      <c r="M377" s="165">
        <v>10.14</v>
      </c>
      <c r="N377" s="406"/>
      <c r="O377" s="60">
        <f>IF(OR(AE376="",AE377=""),"",ROUND(IF(L378&gt;0,IF(M377&gt;0,M377,IF(M376&gt;0,IF(N376=TRUE,ROUND((M376*AE377)/AE376,0),(M376*AE377)/AE376),IF(M377&gt;0,ROUND(M377,IF(N376=0,2,IF(N376=0.1,1,0))),IF(M378&gt;0,ROUND(O378*AE377/AE378,IF(N376=0,2,IF(N376=0.1,1,0))),0)))),IF(M377&gt;0,M377,ROUND((M376*AE377)/AE376,IF(N376=0,2,IF(N376=0.1,1,0))))),2))</f>
        <v>10.14</v>
      </c>
      <c r="P377" s="61">
        <f>IF(OR(L377="",O377=""),"",IF($C377="1/2W",O377/2+O377/2*L377,IF($C377="1/2L",O377/2,IF(I377="Lay",((O377*(L377/(L377-1)))-O377)*(1-_xlfn.XLOOKUP(K377,'Fevereiro 2023 - Valor Real'!A3:A15,'Fevereiro 2023 - Valor Real'!C3:C15,0))+O377,(O377*L377-O377)*(1-_xlfn.XLOOKUP(K377,'Fevereiro 2023 - Valor Real'!A3:A15,'Fevereiro 2023 - Valor Real'!C3:C15,0))+O377))))</f>
        <v>21.395399999999999</v>
      </c>
      <c r="Q377" s="166">
        <f>IF(K377="","",IF(_xlfn.XLOOKUP(K377,K$10:K368,$DJ$10:DJ368,0,,-1)=DJ377,_xlfn.XLOOKUP(K377,K$10:K368,Q$10:Q368,1,,-1)+1,1))</f>
        <v>4</v>
      </c>
      <c r="R377" s="167">
        <f>IF(K377="","",_xlfn.XLOOKUP(K377,K$10:K368,R$10:R368,0,,-1)+IF($C377=" ",1,0))</f>
        <v>0</v>
      </c>
      <c r="S377" s="403"/>
      <c r="T377" s="380"/>
      <c r="U377" s="380"/>
      <c r="V377" s="481"/>
      <c r="W377" s="380"/>
      <c r="X377" s="452"/>
      <c r="Y377" s="383"/>
      <c r="Z377" s="384"/>
      <c r="AA377" s="384"/>
      <c r="AB377" s="384"/>
      <c r="AC377" s="384"/>
      <c r="AD377" s="64"/>
      <c r="AE377" s="65">
        <f>IF(L377="","",IF(L378&gt;0,(SUM(((L376-1)*(1-_xlfn.XLOOKUP(K376,'Fevereiro 2023 - Valor Real'!A3:A15,'Fevereiro 2023 - Valor Real'!C3:C15,0))+1),((L377-1)*(1-_xlfn.XLOOKUP(K377,'Fevereiro 2023 - Valor Real'!A3:A15,'Fevereiro 2023 - Valor Real'!C3:C15,0))+1),((L378-1)*(1-_xlfn.XLOOKUP(K378,'Fevereiro 2023 - Valor Real'!A3:A15,'Fevereiro 2023 - Valor Real'!C3:C15,0))+1))/((L377-1)*(1-_xlfn.XLOOKUP(K377,'Fevereiro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Real'!C3:C15,0))+1))/((L376-1)*(1-_xlfn.XLOOKUP(K376,'Fevereiro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Real'!C3:C15,0))+1))/((L377-1)*(1-_xlfn.XLOOKUP(K377,'Fevereiro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Real'!C3:C15,0))+1))/((L378-1)*(1-_xlfn.XLOOKUP(K378,'Fevereiro 2023 - Valor Real'!A3:A15,'Fevereiro 2023 - Valor Real'!C3:C15,0))+1)),IF(I377="Lay",IF(I376="Lay",((L376/(L376-1)-1)*(1-_xlfn.XLOOKUP(K376,'Fevereiro 2023 - Valor Real'!A3:A15,'Fevereiro 2023 - Valor Real'!C3:C15,0))+1)/(((L376/(L376-1)-1)*(1-_xlfn.XLOOKUP(K376,'Fevereiro 2023 - Valor Real'!A3:A15,'Fevereiro 2023 - Valor Real'!C3:C15,0))+1)+((L377/(L377-1)-1)*(1-_xlfn.XLOOKUP(K377,'Fevereiro 2023 - Valor Real'!A3:A15,'Fevereiro 2023 - Valor Real'!C3:C15,0))+1)),((L376-1)*(1-_xlfn.XLOOKUP(K376,'Fevereiro 2023 - Valor Real'!A3:A15,'Fevereiro 2023 - Valor Real'!C3:C15,0))+1)/(((L376-1)*(1-_xlfn.XLOOKUP(K376,'Fevereiro 2023 - Valor Real'!A3:A15,'Fevereiro 2023 - Valor Real'!C3:C15,0))+1)+((L377/(L377-1)-1)*(1-_xlfn.XLOOKUP(K377,'Fevereiro 2023 - Valor Real'!A3:A15,'Fevereiro 2023 - Valor Real'!C3:C15,0))+1))),IF(I376="Lay",((L376/(L376-1)-1)*(1-_xlfn.XLOOKUP(K376,'Fevereiro 2023 - Valor Real'!A3:A15,'Fevereiro 2023 - Valor Real'!C3:C15,0))+1)/((((L376/(L376-1)-1)*(1-_xlfn.XLOOKUP(K376,'Fevereiro 2023 - Valor Real'!A3:A15,'Fevereiro 2023 - Valor Real'!C3:C15,0))+1))+((L377-1)*(1-_xlfn.XLOOKUP(K377,'Fevereiro 2023 - Valor Real'!A3:A15,'Fevereiro 2023 - Valor Real'!C3:C15,0))+1)),((L376-1)*(1-_xlfn.XLOOKUP(K376,'Fevereiro 2023 - Valor Real'!A3:A15,'Fevereiro 2023 - Valor Real'!C3:C15,0))+1)/(((L376-1)*(1-_xlfn.XLOOKUP(K376,'Fevereiro 2023 - Valor Real'!A3:A15,'Fevereiro 2023 - Valor Real'!C3:C15,0))+1)+((L377-1)*(1-_xlfn.XLOOKUP(K377,'Fevereiro 2023 - Valor Real'!A3:A15,'Fevereiro 2023 - Valor Real'!C3:C15,0))+1))))))</f>
        <v>0.35265637375016606</v>
      </c>
      <c r="AF377" s="66">
        <f t="shared" si="748"/>
        <v>0</v>
      </c>
      <c r="AG377" s="67">
        <f t="shared" si="748"/>
        <v>0</v>
      </c>
      <c r="AH377" s="67">
        <f t="shared" si="748"/>
        <v>0</v>
      </c>
      <c r="AI377" s="67">
        <f t="shared" si="748"/>
        <v>0</v>
      </c>
      <c r="AJ377" s="67">
        <f t="shared" si="748"/>
        <v>-10.14</v>
      </c>
      <c r="AK377" s="67">
        <f t="shared" si="748"/>
        <v>0</v>
      </c>
      <c r="AL377" s="67">
        <f t="shared" si="748"/>
        <v>0</v>
      </c>
      <c r="AM377" s="67">
        <f t="shared" si="748"/>
        <v>0</v>
      </c>
      <c r="AN377" s="67">
        <f t="shared" si="748"/>
        <v>0</v>
      </c>
      <c r="AO377" s="67">
        <f t="shared" si="748"/>
        <v>0</v>
      </c>
      <c r="AP377" s="67">
        <f t="shared" si="748"/>
        <v>0</v>
      </c>
      <c r="AQ377" s="67">
        <f t="shared" si="748"/>
        <v>0</v>
      </c>
      <c r="AR377" s="68">
        <f t="shared" si="748"/>
        <v>0</v>
      </c>
      <c r="AS377" s="66">
        <f>IF(AND($B376=" ",$K377=AS$3),$O377,0)</f>
        <v>0</v>
      </c>
      <c r="AT377" s="67">
        <f>IF(AND($B376=" ",K377=AT$3),$O377,0)</f>
        <v>0</v>
      </c>
      <c r="AU377" s="67">
        <f t="shared" ref="AU377:BE377" si="754">IF(AND($B376=" ",$K377=AU$3),$O377,0)</f>
        <v>0</v>
      </c>
      <c r="AV377" s="67">
        <f t="shared" si="754"/>
        <v>0</v>
      </c>
      <c r="AW377" s="67">
        <f t="shared" si="754"/>
        <v>0</v>
      </c>
      <c r="AX377" s="67">
        <f t="shared" si="754"/>
        <v>0</v>
      </c>
      <c r="AY377" s="69">
        <f t="shared" si="754"/>
        <v>0</v>
      </c>
      <c r="AZ377" s="70">
        <f t="shared" si="754"/>
        <v>0</v>
      </c>
      <c r="BA377" s="70">
        <f t="shared" si="754"/>
        <v>0</v>
      </c>
      <c r="BB377" s="70">
        <f t="shared" si="754"/>
        <v>0</v>
      </c>
      <c r="BC377" s="71">
        <f t="shared" si="754"/>
        <v>0</v>
      </c>
      <c r="BD377" s="67">
        <f t="shared" si="754"/>
        <v>0</v>
      </c>
      <c r="BE377" s="68">
        <f t="shared" si="754"/>
        <v>0</v>
      </c>
      <c r="BF377" s="66">
        <f t="shared" si="750"/>
        <v>0</v>
      </c>
      <c r="BG377" s="168">
        <f t="shared" si="750"/>
        <v>0</v>
      </c>
      <c r="BH377" s="67">
        <f t="shared" si="750"/>
        <v>0</v>
      </c>
      <c r="BI377" s="67">
        <f t="shared" si="750"/>
        <v>0</v>
      </c>
      <c r="BJ377" s="67">
        <f t="shared" si="750"/>
        <v>10.14</v>
      </c>
      <c r="BK377" s="67">
        <f t="shared" si="750"/>
        <v>0</v>
      </c>
      <c r="BL377" s="67">
        <f t="shared" si="750"/>
        <v>0</v>
      </c>
      <c r="BM377" s="69">
        <f t="shared" si="750"/>
        <v>0</v>
      </c>
      <c r="BN377" s="70">
        <f t="shared" si="750"/>
        <v>0</v>
      </c>
      <c r="BO377" s="70">
        <f t="shared" si="750"/>
        <v>0</v>
      </c>
      <c r="BP377" s="70">
        <f t="shared" si="750"/>
        <v>0</v>
      </c>
      <c r="BQ377" s="71">
        <f t="shared" si="750"/>
        <v>0</v>
      </c>
      <c r="BR377" s="68">
        <f t="shared" si="750"/>
        <v>0</v>
      </c>
      <c r="BS377" s="491"/>
      <c r="BT377" s="489"/>
      <c r="BU377" s="392"/>
      <c r="BV377" s="489"/>
      <c r="BW377" s="392"/>
      <c r="BX377" s="392"/>
      <c r="BY377" s="392"/>
      <c r="BZ377" s="489"/>
      <c r="CA377" s="392"/>
      <c r="CB377" s="392"/>
      <c r="CC377" s="392"/>
      <c r="CD377" s="401"/>
      <c r="CE377" s="409"/>
      <c r="CF377" s="169">
        <f t="shared" si="644"/>
        <v>0</v>
      </c>
      <c r="CG377" s="170">
        <f t="shared" si="645"/>
        <v>0</v>
      </c>
      <c r="CH377" s="170">
        <f t="shared" si="646"/>
        <v>0</v>
      </c>
      <c r="CI377" s="170">
        <f t="shared" si="647"/>
        <v>0</v>
      </c>
      <c r="CJ377" s="170">
        <f t="shared" si="648"/>
        <v>0</v>
      </c>
      <c r="CK377" s="170">
        <f t="shared" si="649"/>
        <v>0</v>
      </c>
      <c r="CL377" s="170">
        <f t="shared" si="650"/>
        <v>0</v>
      </c>
      <c r="CM377" s="170">
        <f t="shared" si="651"/>
        <v>0</v>
      </c>
      <c r="CN377" s="170">
        <f t="shared" si="652"/>
        <v>0</v>
      </c>
      <c r="CO377" s="170">
        <f t="shared" si="653"/>
        <v>1</v>
      </c>
      <c r="CP377" s="170">
        <f t="shared" si="654"/>
        <v>0</v>
      </c>
      <c r="CQ377" s="170">
        <f t="shared" si="655"/>
        <v>0</v>
      </c>
      <c r="CR377" s="170">
        <f t="shared" si="656"/>
        <v>0</v>
      </c>
      <c r="CS377" s="170">
        <f t="shared" si="657"/>
        <v>0</v>
      </c>
      <c r="CT377" s="75">
        <f t="shared" si="658"/>
        <v>0</v>
      </c>
      <c r="CU377" s="76">
        <f t="shared" si="659"/>
        <v>0</v>
      </c>
      <c r="CV377" s="76">
        <f t="shared" si="660"/>
        <v>0</v>
      </c>
      <c r="CW377" s="76">
        <f t="shared" si="661"/>
        <v>0</v>
      </c>
      <c r="CX377" s="76">
        <f t="shared" si="662"/>
        <v>0</v>
      </c>
      <c r="CY377" s="76">
        <f t="shared" si="663"/>
        <v>0</v>
      </c>
      <c r="CZ377" s="76">
        <f t="shared" si="664"/>
        <v>0</v>
      </c>
      <c r="DA377" s="76">
        <f t="shared" si="665"/>
        <v>0</v>
      </c>
      <c r="DB377" s="76">
        <f t="shared" si="666"/>
        <v>0</v>
      </c>
      <c r="DC377" s="76">
        <f t="shared" si="667"/>
        <v>0</v>
      </c>
      <c r="DD377" s="76">
        <f t="shared" si="668"/>
        <v>0</v>
      </c>
      <c r="DE377" s="77">
        <f t="shared" si="669"/>
        <v>0</v>
      </c>
      <c r="DF377" s="73">
        <f t="shared" si="672"/>
        <v>27</v>
      </c>
      <c r="DG377" s="67">
        <f t="shared" si="673"/>
        <v>35.01</v>
      </c>
      <c r="DH377" s="76">
        <f t="shared" si="674"/>
        <v>10</v>
      </c>
      <c r="DI377" s="67">
        <f t="shared" si="675"/>
        <v>41.599999999999994</v>
      </c>
      <c r="DJ377" s="202" t="str">
        <f>IF($D376="","",$D376)</f>
        <v>10</v>
      </c>
      <c r="DK377" s="493"/>
    </row>
    <row r="378" spans="1:115" ht="14.5" customHeight="1" x14ac:dyDescent="0.2">
      <c r="A378" s="390"/>
      <c r="B378" s="457"/>
      <c r="C378" s="79" t="s">
        <v>55</v>
      </c>
      <c r="D378" s="375"/>
      <c r="E378" s="387"/>
      <c r="F378" s="378"/>
      <c r="G378" s="508"/>
      <c r="H378" s="477"/>
      <c r="I378" s="183" t="s">
        <v>52</v>
      </c>
      <c r="J378" s="184">
        <v>2.5</v>
      </c>
      <c r="K378" s="185" t="s">
        <v>36</v>
      </c>
      <c r="L378" s="186">
        <v>4</v>
      </c>
      <c r="M378" s="174">
        <v>8.6999999999999993</v>
      </c>
      <c r="N378" s="407"/>
      <c r="O378" s="187">
        <f>IF(OR(AE376="",AE377=""),"",IF(L378&gt;0,ROUND(IF(M378&gt;0,M378,IF(M376&gt;0,ROUND((M376*AE378)/AE376,IF(N376=0,2,IF(N376=0.1,1,0))),IF(M377&gt;0,ROUND((M377*AE378)/AE377,IF(N376=0,2,IF(N376=0.1,1,0))),IF(M378&gt;0,M378,0)))),2),""))</f>
        <v>8.6999999999999993</v>
      </c>
      <c r="P378" s="188">
        <f>IF(I377="Lay",O377*(L377/(L377-1))-O377,IF(I376="Lay",O376*(L376/(L376-1))-O376,IF(OR(L378="",O378=""),"",IF($C378="1/2W",O378/2+O378/2*L378,IF($C378="1/2L",O378/2,(O378*L378-O378)*(1-_xlfn.XLOOKUP(K378,'Fevereiro 2023 - Valor Real'!A3:A15,'Fevereiro 2023 - Valor Real'!C3:C15,0))+O378)))))</f>
        <v>34.799999999999997</v>
      </c>
      <c r="Q378" s="166">
        <f>IF(K378="","",IF(_xlfn.XLOOKUP(K378,K$11:K368,$DJ$11:DJ368,0,,-1)=DJ378,_xlfn.XLOOKUP(K378,K$11:K368,Q$11:Q368,1,,-1)+1,1))</f>
        <v>1</v>
      </c>
      <c r="R378" s="189">
        <f>IF(K378="","",_xlfn.XLOOKUP(K378,K$11:K368,R$11:R368,0,,-1)+IF($C378=" ",1,0))</f>
        <v>0</v>
      </c>
      <c r="S378" s="404"/>
      <c r="T378" s="378"/>
      <c r="U378" s="378"/>
      <c r="V378" s="404"/>
      <c r="W378" s="378"/>
      <c r="X378" s="453"/>
      <c r="Y378" s="383"/>
      <c r="Z378" s="384"/>
      <c r="AA378" s="384"/>
      <c r="AB378" s="384"/>
      <c r="AC378" s="384"/>
      <c r="AD378" s="90"/>
      <c r="AE378" s="190">
        <f>IF(L378="","",(SUM(((L376-1)*(1-_xlfn.XLOOKUP(K376,'Fevereiro 2023 - Valor Real'!A3:A15,'Fevereiro 2023 - Valor Real'!C3:C15,0))+1),((L377-1)*(1-_xlfn.XLOOKUP(K377,'Fevereiro 2023 - Valor Real'!A3:A15,'Fevereiro 2023 - Valor Real'!C3:C15,0))+1),((L378-1)*(1-_xlfn.XLOOKUP(K378,'Fevereiro 2023 - Valor Real'!A3:A15,'Fevereiro 2023 - Valor Real'!C3:C15,0))+1))/((L378-1)*(1-_xlfn.XLOOKUP(K378,'Fevereiro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Real'!C3:C15,0))+1))/((L376-1)*(1-_xlfn.XLOOKUP(K376,'Fevereiro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Real'!C3:C15,0))+1))/((L377-1)*(1-_xlfn.XLOOKUP(K377,'Fevereiro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Real'!C3:C15,0))+1))/((L378-1)*(1-_xlfn.XLOOKUP(K378,'Fevereiro 2023 - Valor Real'!A3:A15,'Fevereiro 2023 - Valor Real'!C3:C15,0))+1)))</f>
        <v>0.18602623715321259</v>
      </c>
      <c r="AF378" s="66">
        <f t="shared" si="748"/>
        <v>-8.6999999999999993</v>
      </c>
      <c r="AG378" s="67">
        <f t="shared" si="748"/>
        <v>0</v>
      </c>
      <c r="AH378" s="67">
        <f t="shared" si="748"/>
        <v>0</v>
      </c>
      <c r="AI378" s="67">
        <f t="shared" si="748"/>
        <v>0</v>
      </c>
      <c r="AJ378" s="67">
        <f t="shared" si="748"/>
        <v>0</v>
      </c>
      <c r="AK378" s="67">
        <f t="shared" si="748"/>
        <v>0</v>
      </c>
      <c r="AL378" s="67">
        <f t="shared" si="748"/>
        <v>0</v>
      </c>
      <c r="AM378" s="67">
        <f t="shared" si="748"/>
        <v>0</v>
      </c>
      <c r="AN378" s="67">
        <f t="shared" si="748"/>
        <v>0</v>
      </c>
      <c r="AO378" s="67">
        <f t="shared" si="748"/>
        <v>0</v>
      </c>
      <c r="AP378" s="67">
        <f t="shared" si="748"/>
        <v>0</v>
      </c>
      <c r="AQ378" s="67">
        <f t="shared" si="748"/>
        <v>0</v>
      </c>
      <c r="AR378" s="68">
        <f t="shared" si="748"/>
        <v>0</v>
      </c>
      <c r="AS378" s="66">
        <f>IF(AND($B376=" ",$K378=AS$3),$O378,0)</f>
        <v>0</v>
      </c>
      <c r="AT378" s="67">
        <f>IF(AND($B376=" ",K378=AT$3),$O378,0)</f>
        <v>0</v>
      </c>
      <c r="AU378" s="67">
        <f t="shared" ref="AU378:BE378" si="755">IF(AND($B376=" ",$K378=AU$3),$O378,0)</f>
        <v>0</v>
      </c>
      <c r="AV378" s="67">
        <f t="shared" si="755"/>
        <v>0</v>
      </c>
      <c r="AW378" s="67">
        <f t="shared" si="755"/>
        <v>0</v>
      </c>
      <c r="AX378" s="67">
        <f t="shared" si="755"/>
        <v>0</v>
      </c>
      <c r="AY378" s="69">
        <f t="shared" si="755"/>
        <v>0</v>
      </c>
      <c r="AZ378" s="70">
        <f t="shared" si="755"/>
        <v>0</v>
      </c>
      <c r="BA378" s="70">
        <f t="shared" si="755"/>
        <v>0</v>
      </c>
      <c r="BB378" s="70">
        <f t="shared" si="755"/>
        <v>0</v>
      </c>
      <c r="BC378" s="71">
        <f t="shared" si="755"/>
        <v>0</v>
      </c>
      <c r="BD378" s="67">
        <f t="shared" si="755"/>
        <v>0</v>
      </c>
      <c r="BE378" s="68">
        <f t="shared" si="755"/>
        <v>0</v>
      </c>
      <c r="BF378" s="66">
        <f t="shared" si="750"/>
        <v>8.6999999999999993</v>
      </c>
      <c r="BG378" s="168">
        <f t="shared" si="750"/>
        <v>0</v>
      </c>
      <c r="BH378" s="67">
        <f t="shared" si="750"/>
        <v>0</v>
      </c>
      <c r="BI378" s="67">
        <f t="shared" si="750"/>
        <v>0</v>
      </c>
      <c r="BJ378" s="67">
        <f t="shared" si="750"/>
        <v>0</v>
      </c>
      <c r="BK378" s="67">
        <f t="shared" si="750"/>
        <v>0</v>
      </c>
      <c r="BL378" s="67">
        <f t="shared" si="750"/>
        <v>0</v>
      </c>
      <c r="BM378" s="69">
        <f t="shared" si="750"/>
        <v>0</v>
      </c>
      <c r="BN378" s="70">
        <f t="shared" si="750"/>
        <v>0</v>
      </c>
      <c r="BO378" s="70">
        <f t="shared" si="750"/>
        <v>0</v>
      </c>
      <c r="BP378" s="70">
        <f t="shared" si="750"/>
        <v>0</v>
      </c>
      <c r="BQ378" s="71">
        <f t="shared" si="750"/>
        <v>0</v>
      </c>
      <c r="BR378" s="68">
        <f t="shared" si="750"/>
        <v>0</v>
      </c>
      <c r="BS378" s="491"/>
      <c r="BT378" s="489"/>
      <c r="BU378" s="392"/>
      <c r="BV378" s="489"/>
      <c r="BW378" s="392"/>
      <c r="BX378" s="392"/>
      <c r="BY378" s="392"/>
      <c r="BZ378" s="489"/>
      <c r="CA378" s="392"/>
      <c r="CB378" s="392"/>
      <c r="CC378" s="392"/>
      <c r="CD378" s="401"/>
      <c r="CE378" s="409"/>
      <c r="CF378" s="169">
        <f t="shared" si="644"/>
        <v>0</v>
      </c>
      <c r="CG378" s="170">
        <f t="shared" si="645"/>
        <v>1</v>
      </c>
      <c r="CH378" s="170">
        <f t="shared" si="646"/>
        <v>0</v>
      </c>
      <c r="CI378" s="170">
        <f t="shared" si="647"/>
        <v>0</v>
      </c>
      <c r="CJ378" s="170">
        <f t="shared" si="648"/>
        <v>0</v>
      </c>
      <c r="CK378" s="170">
        <f t="shared" si="649"/>
        <v>0</v>
      </c>
      <c r="CL378" s="170">
        <f t="shared" si="650"/>
        <v>0</v>
      </c>
      <c r="CM378" s="170">
        <f t="shared" si="651"/>
        <v>0</v>
      </c>
      <c r="CN378" s="170">
        <f t="shared" si="652"/>
        <v>0</v>
      </c>
      <c r="CO378" s="170">
        <f t="shared" si="653"/>
        <v>0</v>
      </c>
      <c r="CP378" s="170">
        <f t="shared" si="654"/>
        <v>0</v>
      </c>
      <c r="CQ378" s="170">
        <f t="shared" si="655"/>
        <v>0</v>
      </c>
      <c r="CR378" s="170">
        <f t="shared" si="656"/>
        <v>0</v>
      </c>
      <c r="CS378" s="170">
        <f t="shared" si="657"/>
        <v>0</v>
      </c>
      <c r="CT378" s="75">
        <f t="shared" si="658"/>
        <v>0</v>
      </c>
      <c r="CU378" s="76">
        <f t="shared" si="659"/>
        <v>0</v>
      </c>
      <c r="CV378" s="76">
        <f t="shared" si="660"/>
        <v>0</v>
      </c>
      <c r="CW378" s="76">
        <f t="shared" si="661"/>
        <v>0</v>
      </c>
      <c r="CX378" s="76">
        <f t="shared" si="662"/>
        <v>0</v>
      </c>
      <c r="CY378" s="76">
        <f t="shared" si="663"/>
        <v>0</v>
      </c>
      <c r="CZ378" s="76">
        <f t="shared" si="664"/>
        <v>0</v>
      </c>
      <c r="DA378" s="76">
        <f t="shared" si="665"/>
        <v>0</v>
      </c>
      <c r="DB378" s="76">
        <f t="shared" si="666"/>
        <v>0</v>
      </c>
      <c r="DC378" s="76">
        <f t="shared" si="667"/>
        <v>0</v>
      </c>
      <c r="DD378" s="76">
        <f t="shared" si="668"/>
        <v>0</v>
      </c>
      <c r="DE378" s="77">
        <f t="shared" si="669"/>
        <v>0</v>
      </c>
      <c r="DF378" s="73">
        <f t="shared" si="672"/>
        <v>27</v>
      </c>
      <c r="DG378" s="67">
        <f t="shared" si="673"/>
        <v>35.01</v>
      </c>
      <c r="DH378" s="76">
        <f t="shared" si="674"/>
        <v>10</v>
      </c>
      <c r="DI378" s="67">
        <f t="shared" si="675"/>
        <v>41.599999999999994</v>
      </c>
      <c r="DJ378" s="202" t="str">
        <f>IF($D376="","",$D376)</f>
        <v>10</v>
      </c>
      <c r="DK378" s="493"/>
    </row>
    <row r="379" spans="1:115" ht="14.5" customHeight="1" x14ac:dyDescent="0.2">
      <c r="A379" s="459">
        <f>$A376+1</f>
        <v>126</v>
      </c>
      <c r="B379" s="507" t="str">
        <f>IF(OR(C379="W",C380="W",C381="W",C379="1/2W",C380="1/2W",C381="1/2W",C379="1/2L",C380="1/2L",C381="1/2L"),"OK",IF(OR(C379="L",C380="L",C381="L"),"LOSS",IF(OR(C379="X",C380="X",C381="X"),"Anulado"," ")))</f>
        <v>OK</v>
      </c>
      <c r="C379" s="93" t="s">
        <v>55</v>
      </c>
      <c r="D379" s="468" t="s">
        <v>164</v>
      </c>
      <c r="E379" s="485" t="str">
        <f>IF(G379=""," ","– "&amp;COUNTIF(D$4:D381,$D379))</f>
        <v>– 1</v>
      </c>
      <c r="F379" s="509" t="str">
        <f ca="1">IF(G379="","",IF(OR(AND($C379&lt;&gt;" ",$C380=" "),AND($C380&lt;&gt;" ",$C379=" "),AND(L381&gt;0,OR(AND($C381&lt;&gt;" ",OR($C379=" ",$C380=" ")),AND($C381=" ",OR($C379&lt;&gt;" ",$C380&lt;&gt;" "))))),IF(SUM(F$4:F378)=0,1,LARGE(F$4:F378,1)+1),IF(MONTH(G379)=MONTH(TODAY()),IF(AND(DAY(G379)&lt;DAY(TODAY()),$B379=" "),IF(SUM(F$4:F378)=0,1,LARGE(F$4:F378,1)+1),IF($B379=" ",IF(AND(DAY(G379)=DAY(TODAY()),HOUR(G379)&lt;=HOUR(NOW())+1),IF(AND(HOUR(G379)+2&lt;=HOUR(NOW()),DAY(G379)&lt;=DAY(TODAY()),MINUTE(G379)&lt;=MINUTE(NOW())),IF(SUM(F$4:F378)=0,1,LARGE(F$4:F378,1)+1),IF(OR(MINUTE(G379)&lt;=MINUTE(NOW()),HOUR(G379)&lt;=HOUR(NOW())),"!!!","")),""),"")),"")))</f>
        <v/>
      </c>
      <c r="G379" s="482">
        <v>44998.458333333336</v>
      </c>
      <c r="H379" s="475" t="s">
        <v>165</v>
      </c>
      <c r="I379" s="94" t="s">
        <v>71</v>
      </c>
      <c r="J379" s="176"/>
      <c r="K379" s="96" t="s">
        <v>36</v>
      </c>
      <c r="L379" s="97">
        <v>4.3330000000000002</v>
      </c>
      <c r="M379" s="98"/>
      <c r="N379" s="478">
        <v>1</v>
      </c>
      <c r="O379" s="99">
        <f>IF(OR(AE379="",AE380=""),"",ROUND(IF(L381&gt;0,IF(M379&gt;0,M379,IF(M380&gt;0,ROUND((M380*AE379)/AE380,IF(N379=0,2,IF(N379=0.1,1,0))),ROUND((M381*AE379)/AE381,IF(N379=0,2,IF(N379=0.1,1,0))))),IF(M379&gt;0,M379,ROUND((M380*AE379)/AE380,IF(N379=0,2,IF(N379=0.1,1,0))))),2))</f>
        <v>9</v>
      </c>
      <c r="P379" s="100">
        <f>IF(OR(L379="",O379=""),"",IF($C379="1/2W",O379/2+O379/2*L379,IF($C379="1/2L",O379/2,IF(I379="Lay",(O379*(L379/(L379-1))-O379)*(1-_xlfn.XLOOKUP(K379,'Fevereiro 2023 - Valor Real'!A3:A15,'Fevereiro 2023 - Valor Real'!C3:C15,0))+O379,(O379*L379-O379)*(1-_xlfn.XLOOKUP(K379,'Fevereiro 2023 - Valor Real'!A3:A15,'Fevereiro 2023 - Valor Real'!C3:C15,0))+O379))))</f>
        <v>38.997</v>
      </c>
      <c r="Q379" s="101">
        <f>IF(K379="","",IF(_xlfn.XLOOKUP(K379,K$4:K378,$DJ$4:DJ378,0,,-1)=DJ379,_xlfn.XLOOKUP(K379,K$4:K378,Q$4:Q378,1,,-1)+1,1))</f>
        <v>1</v>
      </c>
      <c r="R379" s="102">
        <f>IF(K379="","",_xlfn.XLOOKUP(K379,K$4:K378,R$4:R378,0,,-1)+IF($C379=" ",1,0))</f>
        <v>0</v>
      </c>
      <c r="S379" s="474">
        <f>IF($B379="Anulado",0,ROUND(IF(OR($B379="LOSS",$B379="OK"),IF(OR($C379="W",$C379="1/2W",$C379="1/2L"),P379-O379,IF($C379="L",-O379,0))+IF(OR($C380="W",$C380="1/2W",$C380="1/2L"),P380-O380,IF($C380="L",-O380,0))+IF(OR($C381="W",$C381="1/2W",$C381="1/2L"),P381-O381,IF($C381="L",-O381,0)),IF(AND(OR($C379="W",$C379="1/2W",$C379="1/2L"),C380="W"),P379+P380-SUM(O379:O381)+_xlfn.XLOOKUP("X",C379:C381,O379:O381,0),IF(AND(C379=TRUE,C381="W"),P379+P381-SUM(O379:O381),IF(AND(C380="W",C381="W"),P380+P381-SUM(O379:O381)+_xlfn.XLOOKUP("X",C379:C381,O379:O381,0),IF(L381&gt;0,IF(OR($C379="W",$C379="1/2W",$C379="1/2L"),P379-SUM(O379:O381)+_xlfn.XLOOKUP("X",C379:C381,O379:O381,0),IF(OR($C379="W",$C379="1/2W",$C379="1/2L"),P380-SUM(O379:O381)+_xlfn.XLOOKUP("X",C379:C381,O379:O381,0),IF(OR($C379="W",$C379="1/2W",$C379="1/2L"),P381-SUM(O379:O381)+_xlfn.XLOOKUP("X",C379:C381,O379:O381,0),IF(SUM(P379:P381)/3-SUM(O379:O381)+_xlfn.XLOOKUP("X",C379:C381,O379:O381,0)&gt;0,SUM(P379:P381)/3-SUM(O379:O381)+_xlfn.XLOOKUP("X",C379:C381,O379:O381,0),LARGE(P379:P381,1)-SUM(O379:O381))))),IF(OR($C379="W",$C379="1/2W",$C379="1/2L"),P379-SUM(O379:O380)+_xlfn.XLOOKUP("X",C379:C381,O379:O381,0),IF(OR($C379="W",$C379="1/2W",$C379="1/2L"),P380-SUM(O379:O380)+_xlfn.XLOOKUP("X",C379:C381,O379:O381,0),SUM(P379:P380)/2-SUM(O379:O380)+_xlfn.XLOOKUP("X",C379:C381,O379:O381,0)))))))),2))</f>
        <v>2.25</v>
      </c>
      <c r="T379" s="458">
        <f>IF(S379=0,0,S379/SUM(O379:O381))</f>
        <v>6.0597899272825217E-2</v>
      </c>
      <c r="U379" s="470">
        <f>IF($D379=$D376,IF(OR($B379="LOSS",$B379="OK",$B379="Anulada"),S379,0)+U376,IF(OR($B379="LOSS",$B379="OK",$B379="Anulada"),S379,0))</f>
        <v>2.25</v>
      </c>
      <c r="V379" s="470">
        <f>IF($D379="",0,IF($D379=$D376,IF($B379=" ",IF(I381="",IF(OR(AND(I379="DNB1",I380="DNB2"),AND(OR(I379="DNB1",I379="DNB2"),J380=0),AND(OR(I380="DNB1",I380="DNB2"),J379=0),AND(I379="DNB2",I380="DNB1"),AND(IF(J379=0,(J379+1)/ROUND(J379+1,0),J379/ROUND(J379,0))=1,IF(J380=0,(J380+1)/ROUND(IF(J380="",0,J380)+1,0),IF(J380="",0,J380)/ROUND(IF(J380="",1,J380),0))=1,OR(J379&lt;&gt;""),J380&lt;&gt;"")),0,IF(S379&lt;0,IF(I381="",SMALL(P379:P380,1)-SUM(O379:O380),0),SMALL(P379:P380,1)-SUM(O379:O380))),IF(S379&lt;0,IF(I381="",SMALL(P379:P381,1)-SUM(O379:O381),0),LARGE(P379:P381,1)-SUM(O379:O381))),S379)+V376,IF(I381="",IF(OR(AND(I379="DNB1",I380="DNB2"),AND(OR(I379="DNB1",I379="DNB2"),J380=0),AND(OR(I380="DNB1",I380="DNB2"),J379=0),AND(I379="DNB2",I380="DNB1"),AND(IF(J379=0,(J379+1)/ROUND(J379+1,0),J379/ROUND(J379,0))=1,IF(J380=0,(IF(J380="",0,J380)+1)/ROUND(IF(J380="",0,J380)+1,0),IF(J380="",0,J380)/ROUND(IF(J380="",0,J380)+1,0))=1,OR(J379&lt;&gt;""),J380&lt;&gt;"")),0,IF(S379&lt;0,IF(I381="",SMALL(P379:P380,1)-SUM(O379:O380),0),SMALL(P379:P381,1)-SUM(O379:O381))),IF(S379&lt;0,IF(I381="",SMALL(P379:P381,1)-SUM(O379:O381),0),LARGE(P379:P381,1)-SUM(O379:O381)))))</f>
        <v>1.8670000000000044</v>
      </c>
      <c r="W379" s="470">
        <f>IF($D379=$D376,IF(S379&lt;0,IF(I381="",S379,0),S379)+W376,S379)</f>
        <v>2.25</v>
      </c>
      <c r="X379" s="480" t="str">
        <f>IF(OR(SUM(R379:R381)=0,V379=W379),ROUND(IF(W379=0,0,W379/Y379)*100,2)&amp;"%",ROUND(IF(V379=0,0,V379/Y379)*100,2)&amp;"% a "&amp;ROUND(IF(W379=0,0,W379/Y379)*100,2)&amp;"%")</f>
        <v>6,06%</v>
      </c>
      <c r="Y379" s="471">
        <f>IF($D379=$D376,Y376+SUM(O379:O381),SUM(O379:O381))</f>
        <v>37.129999999999995</v>
      </c>
      <c r="Z379" s="470">
        <f>IF($B379=" ",SUM(O379:O381),0)+Z376</f>
        <v>0</v>
      </c>
      <c r="AA379" s="470">
        <f>IF(G379="","",IF($B379="Anulado",LARGE(P379:P381,1)-SUM(O379:O381)+AA376,AA376))</f>
        <v>10.700299999999997</v>
      </c>
      <c r="AB379" s="470">
        <f>IF($D379="","",AB376+S379)</f>
        <v>460.60000000000008</v>
      </c>
      <c r="AC379" s="472">
        <f ca="1">IF($D379="","",IF($B379=" ",IF(DAY(G379)=DAY(TODAY()),1+AC376,0+AC376),0+AC376))</f>
        <v>0</v>
      </c>
      <c r="AD379" s="103">
        <f>(((L380/(L380-1)-1)*(1-_xlfn.XLOOKUP(K380,'Fevereiro 2023 - Valor Real'!A3:A15,'Fevereiro 2023 - Valor Real'!C3:C15,0))+1))/(((L379-1)*(1-_xlfn.XLOOKUP(K379,'Fevereiro 2023 - Valor Real'!A3:A15,'Fevereiro 2023 - Valor Real'!C3:C15,0))+1)+((L380/(L380-1)-1)*(1-_xlfn.XLOOKUP(K380,'Fevereiro 2023 - Valor Real'!A3:A15,'Fevereiro 2023 - Valor Real'!C3:C15,0))+1))</f>
        <v>0.44682752457551389</v>
      </c>
      <c r="AE379" s="104">
        <f>IF(L379="","",IF(L381&gt;0,(SUM(((L379-1)*(1-_xlfn.XLOOKUP(K379,'Fevereiro 2023 - Valor Real'!A3:A15,'Fevereiro 2023 - Valor Real'!C3:C15,0))+1),((L380-1)*(1-_xlfn.XLOOKUP(K380,'Fevereiro 2023 - Valor Real'!A3:A15,'Fevereiro 2023 - Valor Real'!C3:C15,0))+1),((L381-1)*(1-_xlfn.XLOOKUP(K381,'Fevereiro 2023 - Valor Real'!A3:A15,'Fevereiro 2023 - Valor Real'!C3:C15,0))+1))/((L379-1)*(1-_xlfn.XLOOKUP(K379,'Fevereiro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Real'!C3:C15,0))+1))/((L379-1)*(1-_xlfn.XLOOKUP(K379,'Fevereiro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Real'!C3:C15,0))+1))/((L380-1)*(1-_xlfn.XLOOKUP(K380,'Fevereiro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Real'!C3:C15,0))+1))/((L381-1)*(1-_xlfn.XLOOKUP(K381,'Fevereiro 2023 - Valor Real'!A3:A15,'Fevereiro 2023 - Valor Real'!C3:C15,0))+1)),IF(I379="Lay",IF(I380="Lay",((L380/(L380-1)-1)*(1-_xlfn.XLOOKUP(K380,'Fevereiro 2023 - Valor Real'!A3:A15,'Fevereiro 2023 - Valor Real'!C3:C15,0))+1)/(((L380/(L380-1)-1)*(1-_xlfn.XLOOKUP(K380,'Fevereiro 2023 - Valor Real'!A3:A15,'Fevereiro 2023 - Valor Real'!C3:C15,0))+1)+((L379/(L379-1)-1)*(1-_xlfn.XLOOKUP(K379,'Fevereiro 2023 - Valor Real'!A3:A15,'Fevereiro 2023 - Valor Real'!C3:C15,0))+1)),((L380-1)*(1-_xlfn.XLOOKUP(K380,'Fevereiro 2023 - Valor Real'!A3:A15,'Fevereiro 2023 - Valor Real'!C3:C15,0))+1)/(((L380-1)*(1-_xlfn.XLOOKUP(K380,'Fevereiro 2023 - Valor Real'!A3:A15,'Fevereiro 2023 - Valor Real'!C3:C15,0))+1)+((L379/(L379-1)-1)*(1-_xlfn.XLOOKUP(K379,'Fevereiro 2023 - Valor Real'!A3:A15,'Fevereiro 2023 - Valor Real'!C3:C15,0))+1))),IF(I380="Lay",(((L380/(L380-1)-1)*(1-_xlfn.XLOOKUP(K380,'Fevereiro 2023 - Valor Real'!A3:A15,'Fevereiro 2023 - Valor Real'!C3:C15,0))+1))/(((L379-1)*(1-_xlfn.XLOOKUP(K379,'Fevereiro 2023 - Valor Real'!A3:A15,'Fevereiro 2023 - Valor Real'!C3:C15,0))+1)+((L380/(L380-1)-1)*(1-_xlfn.XLOOKUP(K380,'Fevereiro 2023 - Valor Real'!A3:A15,'Fevereiro 2023 - Valor Real'!C3:C15,0))+1)),((L380-1)*(1-_xlfn.XLOOKUP(K380,'Fevereiro 2023 - Valor Real'!A3:A15,'Fevereiro 2023 - Valor Real'!C3:C15,0))+1)/(((L380-1)*(1-_xlfn.XLOOKUP(K380,'Fevereiro 2023 - Valor Real'!A3:A15,'Fevereiro 2023 - Valor Real'!C3:C15,0))+1)+((L379-1)*(1-_xlfn.XLOOKUP(K379,'Fevereiro 2023 - Valor Real'!A3:A15,'Fevereiro 2023 - Valor Real'!C3:C15,0))+1))))))</f>
        <v>0.24420024420024417</v>
      </c>
      <c r="AF379" s="105">
        <f t="shared" si="748"/>
        <v>-9</v>
      </c>
      <c r="AG379" s="106">
        <f t="shared" si="748"/>
        <v>0</v>
      </c>
      <c r="AH379" s="106">
        <f t="shared" si="748"/>
        <v>0</v>
      </c>
      <c r="AI379" s="106">
        <f t="shared" si="748"/>
        <v>0</v>
      </c>
      <c r="AJ379" s="106">
        <f t="shared" si="748"/>
        <v>0</v>
      </c>
      <c r="AK379" s="106">
        <f t="shared" si="748"/>
        <v>0</v>
      </c>
      <c r="AL379" s="106">
        <f t="shared" si="748"/>
        <v>0</v>
      </c>
      <c r="AM379" s="106">
        <f t="shared" si="748"/>
        <v>0</v>
      </c>
      <c r="AN379" s="106">
        <f t="shared" si="748"/>
        <v>0</v>
      </c>
      <c r="AO379" s="106">
        <f t="shared" si="748"/>
        <v>0</v>
      </c>
      <c r="AP379" s="106">
        <f t="shared" si="748"/>
        <v>0</v>
      </c>
      <c r="AQ379" s="106">
        <f t="shared" si="748"/>
        <v>0</v>
      </c>
      <c r="AR379" s="107">
        <f t="shared" si="748"/>
        <v>0</v>
      </c>
      <c r="AS379" s="105">
        <f t="shared" ref="AS379:BE379" si="756">IF(AND($B379=" ",$K379=AS$3),$O379,0)</f>
        <v>0</v>
      </c>
      <c r="AT379" s="106">
        <f t="shared" si="756"/>
        <v>0</v>
      </c>
      <c r="AU379" s="106">
        <f t="shared" si="756"/>
        <v>0</v>
      </c>
      <c r="AV379" s="106">
        <f t="shared" si="756"/>
        <v>0</v>
      </c>
      <c r="AW379" s="106">
        <f t="shared" si="756"/>
        <v>0</v>
      </c>
      <c r="AX379" s="106">
        <f t="shared" si="756"/>
        <v>0</v>
      </c>
      <c r="AY379" s="108">
        <f t="shared" si="756"/>
        <v>0</v>
      </c>
      <c r="AZ379" s="109">
        <f t="shared" si="756"/>
        <v>0</v>
      </c>
      <c r="BA379" s="109">
        <f t="shared" si="756"/>
        <v>0</v>
      </c>
      <c r="BB379" s="109">
        <f t="shared" si="756"/>
        <v>0</v>
      </c>
      <c r="BC379" s="110">
        <f t="shared" si="756"/>
        <v>0</v>
      </c>
      <c r="BD379" s="106">
        <f t="shared" si="756"/>
        <v>0</v>
      </c>
      <c r="BE379" s="107">
        <f t="shared" si="756"/>
        <v>0</v>
      </c>
      <c r="BF379" s="111">
        <f t="shared" si="750"/>
        <v>9</v>
      </c>
      <c r="BG379" s="106">
        <f t="shared" si="750"/>
        <v>0</v>
      </c>
      <c r="BH379" s="106">
        <f t="shared" si="750"/>
        <v>0</v>
      </c>
      <c r="BI379" s="106">
        <f t="shared" si="750"/>
        <v>0</v>
      </c>
      <c r="BJ379" s="106">
        <f t="shared" si="750"/>
        <v>0</v>
      </c>
      <c r="BK379" s="106">
        <f t="shared" si="750"/>
        <v>0</v>
      </c>
      <c r="BL379" s="106">
        <f t="shared" si="750"/>
        <v>0</v>
      </c>
      <c r="BM379" s="108">
        <f t="shared" si="750"/>
        <v>0</v>
      </c>
      <c r="BN379" s="109">
        <f t="shared" si="750"/>
        <v>0</v>
      </c>
      <c r="BO379" s="109">
        <f t="shared" si="750"/>
        <v>0</v>
      </c>
      <c r="BP379" s="109">
        <f t="shared" si="750"/>
        <v>0</v>
      </c>
      <c r="BQ379" s="110">
        <f t="shared" si="750"/>
        <v>0</v>
      </c>
      <c r="BR379" s="107">
        <f t="shared" si="750"/>
        <v>0</v>
      </c>
      <c r="BS379" s="463">
        <f>IF($B379="LOSS",IF(AND($K379=BS$3,$C379="L"),-$O379,0)+IF(AND($K380=BS$3,$C380="L"),-$O380,0)+IF(AND($K381=BS$3,$C381="L"),-$O381,0),IF(OR(AND($K379=BS$3,OR($C379="W",$C379="1/2W")),AND($K380=BS$3,OR($C380="W",$C380="1/2W")),AND($K381=BS$3,OR($C381="W",$C381="1/2W"))),$S379,0))</f>
        <v>0</v>
      </c>
      <c r="BT379" s="462">
        <f>IF($B379="LOSS",IF(AND($K379=BT$3,$C379="L"),-$O379,0)+IF(AND($K380=BT$3,$C380="L"),-$O380,0)+IF(AND($K380=BT$3,$C381="L"),-$O381,0),IF(OR(AND($K380=BT$3,OR($C379="W",$C379="1/2W")),AND($K380=BT$3,OR($C380="W",$C380="1/2W")),AND($K380=BT$3,OR($C381="W",$C381="1/2W"))),$S379,0))</f>
        <v>0</v>
      </c>
      <c r="BU379" s="462">
        <f>IF($B379="LOSS",IF(AND($K379=BU$3,$C379="L"),-$O379,0)+IF(AND($K380=BU$3,$C380="L"),-$O380,0)+IF(AND($K380=BU$3,$C381="L"),-$O381,0),IF(OR(AND($K380=BU$3,OR($C379="W",$C379="1/2W")),AND($K380=BU$3,OR($C380="W",$C380="1/2W")),AND($K380=BU$3,OR($C381="W",$C381="1/2W"))),$S379,0))</f>
        <v>0</v>
      </c>
      <c r="BV379" s="462">
        <f t="shared" ref="BV379:CE379" si="757">IF($B379="LOSS",IF(AND($K379=BV$3,$C379="L"),-$O379,0)+IF(AND($K380=BV$3,$C380="L"),-$O380,0)+IF(AND($K381=BV$3,$C381="L"),-$O381,0),IF(OR(AND($K379=BV$3,OR($C379="W",$C379="1/2W")),AND($K380=BV$3,OR($C380="W",$C380="1/2W")),AND($K381=BV$3,OR($C381="W",$C381="1/2W"))),$S379,0))</f>
        <v>0</v>
      </c>
      <c r="BW379" s="462">
        <f t="shared" si="757"/>
        <v>2.25</v>
      </c>
      <c r="BX379" s="462">
        <f t="shared" si="757"/>
        <v>0</v>
      </c>
      <c r="BY379" s="462">
        <f t="shared" si="757"/>
        <v>0</v>
      </c>
      <c r="BZ379" s="460">
        <f t="shared" si="757"/>
        <v>0</v>
      </c>
      <c r="CA379" s="460">
        <f t="shared" si="757"/>
        <v>0</v>
      </c>
      <c r="CB379" s="460">
        <f t="shared" si="757"/>
        <v>0</v>
      </c>
      <c r="CC379" s="460">
        <f t="shared" si="757"/>
        <v>0</v>
      </c>
      <c r="CD379" s="473">
        <f t="shared" si="757"/>
        <v>0</v>
      </c>
      <c r="CE379" s="479">
        <f t="shared" si="757"/>
        <v>0</v>
      </c>
      <c r="CF379" s="113">
        <f t="shared" si="644"/>
        <v>0</v>
      </c>
      <c r="CG379" s="114">
        <f t="shared" si="645"/>
        <v>1</v>
      </c>
      <c r="CH379" s="114">
        <f t="shared" si="646"/>
        <v>0</v>
      </c>
      <c r="CI379" s="114">
        <f t="shared" si="647"/>
        <v>0</v>
      </c>
      <c r="CJ379" s="114">
        <f t="shared" si="648"/>
        <v>0</v>
      </c>
      <c r="CK379" s="114">
        <f t="shared" si="649"/>
        <v>0</v>
      </c>
      <c r="CL379" s="114">
        <f t="shared" si="650"/>
        <v>0</v>
      </c>
      <c r="CM379" s="114">
        <f t="shared" si="651"/>
        <v>0</v>
      </c>
      <c r="CN379" s="114">
        <f t="shared" si="652"/>
        <v>0</v>
      </c>
      <c r="CO379" s="114">
        <f t="shared" si="653"/>
        <v>0</v>
      </c>
      <c r="CP379" s="114">
        <f t="shared" si="654"/>
        <v>0</v>
      </c>
      <c r="CQ379" s="114">
        <f t="shared" si="655"/>
        <v>0</v>
      </c>
      <c r="CR379" s="114">
        <f t="shared" si="656"/>
        <v>0</v>
      </c>
      <c r="CS379" s="114">
        <f t="shared" si="657"/>
        <v>0</v>
      </c>
      <c r="CT379" s="115">
        <f t="shared" si="658"/>
        <v>0</v>
      </c>
      <c r="CU379" s="116">
        <f t="shared" si="659"/>
        <v>0</v>
      </c>
      <c r="CV379" s="116">
        <f t="shared" si="660"/>
        <v>0</v>
      </c>
      <c r="CW379" s="116">
        <f t="shared" si="661"/>
        <v>0</v>
      </c>
      <c r="CX379" s="116">
        <f t="shared" si="662"/>
        <v>0</v>
      </c>
      <c r="CY379" s="116">
        <f t="shared" si="663"/>
        <v>0</v>
      </c>
      <c r="CZ379" s="116">
        <f t="shared" si="664"/>
        <v>0</v>
      </c>
      <c r="DA379" s="116">
        <f t="shared" si="665"/>
        <v>0</v>
      </c>
      <c r="DB379" s="116">
        <f t="shared" si="666"/>
        <v>0</v>
      </c>
      <c r="DC379" s="116">
        <f t="shared" si="667"/>
        <v>0</v>
      </c>
      <c r="DD379" s="116">
        <f t="shared" si="668"/>
        <v>0</v>
      </c>
      <c r="DE379" s="117">
        <f t="shared" si="669"/>
        <v>0</v>
      </c>
      <c r="DF379" s="118">
        <f t="shared" si="672"/>
        <v>27</v>
      </c>
      <c r="DG379" s="106">
        <f t="shared" si="673"/>
        <v>35.01</v>
      </c>
      <c r="DH379" s="116">
        <f t="shared" si="674"/>
        <v>10</v>
      </c>
      <c r="DI379" s="106">
        <f t="shared" si="675"/>
        <v>41.599999999999994</v>
      </c>
      <c r="DJ379" s="201" t="str">
        <f>IF($D379="","",$D379)</f>
        <v>13</v>
      </c>
      <c r="DK379" s="465">
        <f>IF(AND($B379=" ",$D379&lt;&gt;""),1,0)</f>
        <v>0</v>
      </c>
    </row>
    <row r="380" spans="1:115" ht="14.5" customHeight="1" x14ac:dyDescent="0.2">
      <c r="A380" s="389"/>
      <c r="B380" s="456"/>
      <c r="C380" s="120" t="s">
        <v>54</v>
      </c>
      <c r="D380" s="374"/>
      <c r="E380" s="386"/>
      <c r="F380" s="377"/>
      <c r="G380" s="483"/>
      <c r="H380" s="476"/>
      <c r="I380" s="121" t="s">
        <v>72</v>
      </c>
      <c r="J380" s="179" t="str">
        <f>IF(OR(I379="TO",I379="TU",I379="TO1",I379="TU1",I379="TO2",I379="TU2"),J379,IF(OR(I379="AH1",I379="AH2"),IF(OR(I380="AH1",I380="AH2"),-J379,IF(OR(I380="EH1",I380="EH2"),-J379+0.5,"")),IF(OR(I379="EH1",I379="EH2"),IF(OR(I380="AH1",I380="AH2"),-J379+0.5,IF(OR(I380="EH1",I380="EH2"),-J379+1,"")),IF(AND(OR(I379="DNB1",I379="DNB2"),OR(I380="AH1",I380="AH2")),0,IF(AND(I379="Not ScoreBoth",OR(I380="TO1",I380="TO2")),0.5,"")))))</f>
        <v/>
      </c>
      <c r="K380" s="123" t="s">
        <v>40</v>
      </c>
      <c r="L380" s="124">
        <v>1.4</v>
      </c>
      <c r="M380" s="125">
        <v>28.13</v>
      </c>
      <c r="N380" s="406"/>
      <c r="O380" s="126">
        <f>IF(OR(AE379="",AE380=""),"",ROUND(IF(L381&gt;0,IF(M380&gt;0,M380,IF(M379&gt;0,IF(N379=TRUE,ROUND((M379*AE380)/AE379,0),(M379*AE380)/AE379),IF(M380&gt;0,ROUND(M380,IF(N379=0,2,IF(N379=0.1,1,0))),IF(M381&gt;0,ROUND(O381*AE380/AE381,IF(N379=0,2,IF(N379=0.1,1,0))),0)))),IF(M380&gt;0,M380,ROUND((M379*AE380)/AE379,IF(N379=0,2,IF(N379=0.1,1,0))))),2))</f>
        <v>28.13</v>
      </c>
      <c r="P380" s="127">
        <f>IF(OR(L380="",O380=""),"",IF($C380="1/2W",O380/2+O380/2*L380,IF($C380="1/2L",O380/2,IF(I380="Lay",((O380*(L380/(L380-1)))-O380)*(1-_xlfn.XLOOKUP(K380,'Fevereiro 2023 - Valor Real'!A3:A15,'Fevereiro 2023 - Valor Real'!C3:C15,0))+O380,(O380*L380-O380)*(1-_xlfn.XLOOKUP(K380,'Fevereiro 2023 - Valor Real'!A3:A15,'Fevereiro 2023 - Valor Real'!C3:C15,0))+O380))))</f>
        <v>39.381999999999998</v>
      </c>
      <c r="Q380" s="128">
        <f>IF(K380="","",IF(_xlfn.XLOOKUP(K380,K$4:K379,$DJ$4:DJ379,0,,-1)=DJ380,_xlfn.XLOOKUP(K380,K$4:K379,Q$4:Q379,1,,-1)+1,1))</f>
        <v>1</v>
      </c>
      <c r="R380" s="129">
        <f>IF(K380="","",_xlfn.XLOOKUP(K380,K$4:K379,R$4:R379,0,,-1)+IF($C380=" ",1,0))</f>
        <v>0</v>
      </c>
      <c r="S380" s="403"/>
      <c r="T380" s="380"/>
      <c r="U380" s="380"/>
      <c r="V380" s="481"/>
      <c r="W380" s="380"/>
      <c r="X380" s="452"/>
      <c r="Y380" s="383"/>
      <c r="Z380" s="384"/>
      <c r="AA380" s="384"/>
      <c r="AB380" s="384"/>
      <c r="AC380" s="384"/>
      <c r="AD380" s="130">
        <f>(((L380/(L380-1)-1)*(1-_xlfn.XLOOKUP(K380,'Fevereiro 2023 - Valor Real'!A3:A15,'Fevereiro 2023 - Valor Real'!C3:C15,0))+1))</f>
        <v>3.5000000000000004</v>
      </c>
      <c r="AE380" s="131">
        <f>IF(L380="","",IF(L381&gt;0,(SUM(((L379-1)*(1-_xlfn.XLOOKUP(K379,'Fevereiro 2023 - Valor Real'!A3:A15,'Fevereiro 2023 - Valor Real'!C3:C15,0))+1),((L380-1)*(1-_xlfn.XLOOKUP(K380,'Fevereiro 2023 - Valor Real'!A3:A15,'Fevereiro 2023 - Valor Real'!C3:C15,0))+1),((L381-1)*(1-_xlfn.XLOOKUP(K381,'Fevereiro 2023 - Valor Real'!A3:A15,'Fevereiro 2023 - Valor Real'!C3:C15,0))+1))/((L380-1)*(1-_xlfn.XLOOKUP(K380,'Fevereiro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Real'!C3:C15,0))+1))/((L379-1)*(1-_xlfn.XLOOKUP(K379,'Fevereiro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Real'!C3:C15,0))+1))/((L380-1)*(1-_xlfn.XLOOKUP(K380,'Fevereiro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Real'!C3:C15,0))+1))/((L381-1)*(1-_xlfn.XLOOKUP(K381,'Fevereiro 2023 - Valor Real'!A3:A15,'Fevereiro 2023 - Valor Real'!C3:C15,0))+1)),IF(I380="Lay",IF(I379="Lay",((L379/(L379-1)-1)*(1-_xlfn.XLOOKUP(K379,'Fevereiro 2023 - Valor Real'!A3:A15,'Fevereiro 2023 - Valor Real'!C3:C15,0))+1)/(((L379/(L379-1)-1)*(1-_xlfn.XLOOKUP(K379,'Fevereiro 2023 - Valor Real'!A3:A15,'Fevereiro 2023 - Valor Real'!C3:C15,0))+1)+((L380/(L380-1)-1)*(1-_xlfn.XLOOKUP(K380,'Fevereiro 2023 - Valor Real'!A3:A15,'Fevereiro 2023 - Valor Real'!C3:C15,0))+1)),((L379-1)*(1-_xlfn.XLOOKUP(K379,'Fevereiro 2023 - Valor Real'!A3:A15,'Fevereiro 2023 - Valor Real'!C3:C15,0))+1)/(((L379-1)*(1-_xlfn.XLOOKUP(K379,'Fevereiro 2023 - Valor Real'!A3:A15,'Fevereiro 2023 - Valor Real'!C3:C15,0))+1)+((L380/(L380-1)-1)*(1-_xlfn.XLOOKUP(K380,'Fevereiro 2023 - Valor Real'!A3:A15,'Fevereiro 2023 - Valor Real'!C3:C15,0))+1))),IF(I379="Lay",((L379/(L379-1)-1)*(1-_xlfn.XLOOKUP(K379,'Fevereiro 2023 - Valor Real'!A3:A15,'Fevereiro 2023 - Valor Real'!C3:C15,0))+1)/((((L379/(L379-1)-1)*(1-_xlfn.XLOOKUP(K379,'Fevereiro 2023 - Valor Real'!A3:A15,'Fevereiro 2023 - Valor Real'!C3:C15,0))+1))+((L380-1)*(1-_xlfn.XLOOKUP(K380,'Fevereiro 2023 - Valor Real'!A3:A15,'Fevereiro 2023 - Valor Real'!C3:C15,0))+1)),((L379-1)*(1-_xlfn.XLOOKUP(K379,'Fevereiro 2023 - Valor Real'!A3:A15,'Fevereiro 2023 - Valor Real'!C3:C15,0))+1)/(((L379-1)*(1-_xlfn.XLOOKUP(K379,'Fevereiro 2023 - Valor Real'!A3:A15,'Fevereiro 2023 - Valor Real'!C3:C15,0))+1)+((L380-1)*(1-_xlfn.XLOOKUP(K380,'Fevereiro 2023 - Valor Real'!A3:A15,'Fevereiro 2023 - Valor Real'!C3:C15,0))+1))))))</f>
        <v>0.75579975579975578</v>
      </c>
      <c r="AF380" s="105">
        <f t="shared" si="748"/>
        <v>0</v>
      </c>
      <c r="AG380" s="106">
        <f t="shared" si="748"/>
        <v>0</v>
      </c>
      <c r="AH380" s="106">
        <f t="shared" si="748"/>
        <v>0</v>
      </c>
      <c r="AI380" s="106">
        <f t="shared" si="748"/>
        <v>0</v>
      </c>
      <c r="AJ380" s="106">
        <f t="shared" si="748"/>
        <v>11.25</v>
      </c>
      <c r="AK380" s="106">
        <f t="shared" si="748"/>
        <v>0</v>
      </c>
      <c r="AL380" s="106">
        <f t="shared" si="748"/>
        <v>0</v>
      </c>
      <c r="AM380" s="106">
        <f t="shared" si="748"/>
        <v>0</v>
      </c>
      <c r="AN380" s="106">
        <f t="shared" si="748"/>
        <v>0</v>
      </c>
      <c r="AO380" s="106">
        <f t="shared" si="748"/>
        <v>0</v>
      </c>
      <c r="AP380" s="106">
        <f t="shared" si="748"/>
        <v>0</v>
      </c>
      <c r="AQ380" s="106">
        <f t="shared" si="748"/>
        <v>0</v>
      </c>
      <c r="AR380" s="107">
        <f t="shared" si="748"/>
        <v>0</v>
      </c>
      <c r="AS380" s="105">
        <f>IF(AND($B379=" ",$K380=AS$3),$O380,0)</f>
        <v>0</v>
      </c>
      <c r="AT380" s="106">
        <f>IF(AND($B379=" ",K380=AT$3),$O380,0)</f>
        <v>0</v>
      </c>
      <c r="AU380" s="106">
        <f t="shared" ref="AU380:BE380" si="758">IF(AND($B379=" ",$K380=AU$3),$O380,0)</f>
        <v>0</v>
      </c>
      <c r="AV380" s="106">
        <f t="shared" si="758"/>
        <v>0</v>
      </c>
      <c r="AW380" s="106">
        <f t="shared" si="758"/>
        <v>0</v>
      </c>
      <c r="AX380" s="106">
        <f t="shared" si="758"/>
        <v>0</v>
      </c>
      <c r="AY380" s="108">
        <f t="shared" si="758"/>
        <v>0</v>
      </c>
      <c r="AZ380" s="109">
        <f t="shared" si="758"/>
        <v>0</v>
      </c>
      <c r="BA380" s="109">
        <f t="shared" si="758"/>
        <v>0</v>
      </c>
      <c r="BB380" s="109">
        <f t="shared" si="758"/>
        <v>0</v>
      </c>
      <c r="BC380" s="110">
        <f t="shared" si="758"/>
        <v>0</v>
      </c>
      <c r="BD380" s="106">
        <f t="shared" si="758"/>
        <v>0</v>
      </c>
      <c r="BE380" s="107">
        <f t="shared" si="758"/>
        <v>0</v>
      </c>
      <c r="BF380" s="105">
        <f t="shared" si="750"/>
        <v>0</v>
      </c>
      <c r="BG380" s="106">
        <f t="shared" si="750"/>
        <v>0</v>
      </c>
      <c r="BH380" s="106">
        <f t="shared" si="750"/>
        <v>0</v>
      </c>
      <c r="BI380" s="106">
        <f t="shared" si="750"/>
        <v>0</v>
      </c>
      <c r="BJ380" s="106">
        <f t="shared" si="750"/>
        <v>28.13</v>
      </c>
      <c r="BK380" s="106">
        <f t="shared" si="750"/>
        <v>0</v>
      </c>
      <c r="BL380" s="106">
        <f t="shared" si="750"/>
        <v>0</v>
      </c>
      <c r="BM380" s="132">
        <f t="shared" si="750"/>
        <v>0</v>
      </c>
      <c r="BN380" s="112">
        <f t="shared" si="750"/>
        <v>0</v>
      </c>
      <c r="BO380" s="112">
        <f t="shared" si="750"/>
        <v>0</v>
      </c>
      <c r="BP380" s="112">
        <f t="shared" si="750"/>
        <v>0</v>
      </c>
      <c r="BQ380" s="110">
        <f t="shared" si="750"/>
        <v>0</v>
      </c>
      <c r="BR380" s="107">
        <f t="shared" si="750"/>
        <v>0</v>
      </c>
      <c r="BS380" s="464"/>
      <c r="BT380" s="461"/>
      <c r="BU380" s="392"/>
      <c r="BV380" s="461"/>
      <c r="BW380" s="392"/>
      <c r="BX380" s="392"/>
      <c r="BY380" s="392"/>
      <c r="BZ380" s="461"/>
      <c r="CA380" s="392"/>
      <c r="CB380" s="392"/>
      <c r="CC380" s="392"/>
      <c r="CD380" s="401"/>
      <c r="CE380" s="409"/>
      <c r="CF380" s="133">
        <f t="shared" si="644"/>
        <v>0</v>
      </c>
      <c r="CG380" s="134">
        <f t="shared" si="645"/>
        <v>0</v>
      </c>
      <c r="CH380" s="134">
        <f t="shared" si="646"/>
        <v>0</v>
      </c>
      <c r="CI380" s="134">
        <f t="shared" si="647"/>
        <v>0</v>
      </c>
      <c r="CJ380" s="134">
        <f t="shared" si="648"/>
        <v>0</v>
      </c>
      <c r="CK380" s="134">
        <f t="shared" si="649"/>
        <v>0</v>
      </c>
      <c r="CL380" s="134">
        <f t="shared" si="650"/>
        <v>0</v>
      </c>
      <c r="CM380" s="134">
        <f t="shared" si="651"/>
        <v>0</v>
      </c>
      <c r="CN380" s="134">
        <f t="shared" si="652"/>
        <v>1</v>
      </c>
      <c r="CO380" s="134">
        <f t="shared" si="653"/>
        <v>0</v>
      </c>
      <c r="CP380" s="134">
        <f t="shared" si="654"/>
        <v>0</v>
      </c>
      <c r="CQ380" s="134">
        <f t="shared" si="655"/>
        <v>0</v>
      </c>
      <c r="CR380" s="134">
        <f t="shared" si="656"/>
        <v>0</v>
      </c>
      <c r="CS380" s="134">
        <f t="shared" si="657"/>
        <v>0</v>
      </c>
      <c r="CT380" s="115">
        <f t="shared" si="658"/>
        <v>0</v>
      </c>
      <c r="CU380" s="116">
        <f t="shared" si="659"/>
        <v>0</v>
      </c>
      <c r="CV380" s="116">
        <f t="shared" si="660"/>
        <v>0</v>
      </c>
      <c r="CW380" s="116">
        <f t="shared" si="661"/>
        <v>0</v>
      </c>
      <c r="CX380" s="116">
        <f t="shared" si="662"/>
        <v>0</v>
      </c>
      <c r="CY380" s="116">
        <f t="shared" si="663"/>
        <v>0</v>
      </c>
      <c r="CZ380" s="116">
        <f t="shared" si="664"/>
        <v>0</v>
      </c>
      <c r="DA380" s="116">
        <f t="shared" si="665"/>
        <v>0</v>
      </c>
      <c r="DB380" s="116">
        <f t="shared" si="666"/>
        <v>0</v>
      </c>
      <c r="DC380" s="116">
        <f t="shared" si="667"/>
        <v>0</v>
      </c>
      <c r="DD380" s="116">
        <f t="shared" si="668"/>
        <v>0</v>
      </c>
      <c r="DE380" s="117">
        <f t="shared" si="669"/>
        <v>0</v>
      </c>
      <c r="DF380" s="118">
        <f t="shared" si="672"/>
        <v>28</v>
      </c>
      <c r="DG380" s="106">
        <f t="shared" si="673"/>
        <v>36.409999999999997</v>
      </c>
      <c r="DH380" s="116">
        <f t="shared" si="674"/>
        <v>10</v>
      </c>
      <c r="DI380" s="106">
        <f t="shared" si="675"/>
        <v>41.599999999999994</v>
      </c>
      <c r="DJ380" s="201" t="str">
        <f>IF($D379="","",$D379)</f>
        <v>13</v>
      </c>
      <c r="DK380" s="466"/>
    </row>
    <row r="381" spans="1:115" ht="14.5" customHeight="1" x14ac:dyDescent="0.2">
      <c r="A381" s="390"/>
      <c r="B381" s="457"/>
      <c r="C381" s="135" t="s">
        <v>53</v>
      </c>
      <c r="D381" s="375"/>
      <c r="E381" s="387"/>
      <c r="F381" s="378"/>
      <c r="G381" s="484"/>
      <c r="H381" s="477"/>
      <c r="I381" s="136"/>
      <c r="J381" s="137"/>
      <c r="K381" s="138"/>
      <c r="L381" s="139"/>
      <c r="M381" s="140"/>
      <c r="N381" s="407"/>
      <c r="O381" s="141" t="str">
        <f>IF(OR(AE379="",AE380=""),"",IF(L381&gt;0,ROUND(IF(M381&gt;0,M381,IF(M379&gt;0,ROUND((M379*AE381)/AE379,IF(N379=0,2,IF(N379=0.1,1,0))),IF(M380&gt;0,ROUND((M380*AE381)/AE380,IF(N379=0,2,IF(N379=0.1,1,0))),IF(M381&gt;0,M381,0)))),2),""))</f>
        <v/>
      </c>
      <c r="P381" s="142" t="str">
        <f>IF(I380="Lay",O380*(L380/(L380-1))-O380,IF(I379="Lay",O379*(L379/(L379-1))-O379,IF(OR(L381="",O381=""),"",IF($C381="1/2W",O381/2+O381/2*L381,IF($C381="1/2L",O381/2,(O381*L381-O381)*(1-_xlfn.XLOOKUP(K381,'Fevereiro 2023 - Valor Real'!A3:A15,'Fevereiro 2023 - Valor Real'!C3:C15,0))+O381)))))</f>
        <v/>
      </c>
      <c r="Q381" s="143" t="str">
        <f>IF(K381="","",IF(_xlfn.XLOOKUP(K381,K$4:K380,$DJ$4:DJ380,0,,-1)=DJ381,_xlfn.XLOOKUP(K381,K$4:K380,Q$4:Q380,1,,-1)+1,1))</f>
        <v/>
      </c>
      <c r="R381" s="144" t="str">
        <f>IF(K381="","",_xlfn.XLOOKUP(K381,K$4:K380,R$4:R380,0,,-1)+IF($C381=" ",1,0))</f>
        <v/>
      </c>
      <c r="S381" s="404"/>
      <c r="T381" s="378"/>
      <c r="U381" s="378"/>
      <c r="V381" s="404"/>
      <c r="W381" s="378"/>
      <c r="X381" s="453"/>
      <c r="Y381" s="383"/>
      <c r="Z381" s="384"/>
      <c r="AA381" s="384"/>
      <c r="AB381" s="384"/>
      <c r="AC381" s="384"/>
      <c r="AD381" s="145">
        <f>((L380/(L380-1)-1))</f>
        <v>2.5000000000000004</v>
      </c>
      <c r="AE381" s="146" t="str">
        <f>IF(L381="","",(SUM(((L379-1)*(1-_xlfn.XLOOKUP(K379,'Fevereiro 2023 - Valor Real'!A3:A15,'Fevereiro 2023 - Valor Real'!C3:C15,0))+1),((L380-1)*(1-_xlfn.XLOOKUP(K380,'Fevereiro 2023 - Valor Real'!A3:A15,'Fevereiro 2023 - Valor Real'!C3:C15,0))+1),((L381-1)*(1-_xlfn.XLOOKUP(K381,'Fevereiro 2023 - Valor Real'!A3:A15,'Fevereiro 2023 - Valor Real'!C3:C15,0))+1))/((L381-1)*(1-_xlfn.XLOOKUP(K381,'Fevereiro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Real'!C3:C15,0))+1))/((L379-1)*(1-_xlfn.XLOOKUP(K379,'Fevereiro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Real'!C3:C15,0))+1))/((L380-1)*(1-_xlfn.XLOOKUP(K380,'Fevereiro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Real'!C3:C15,0))+1))/((L381-1)*(1-_xlfn.XLOOKUP(K381,'Fevereiro 2023 - Valor Real'!A3:A15,'Fevereiro 2023 - Valor Real'!C3:C15,0))+1)))</f>
        <v/>
      </c>
      <c r="AF381" s="105">
        <f t="shared" si="748"/>
        <v>0</v>
      </c>
      <c r="AG381" s="106">
        <f t="shared" si="748"/>
        <v>0</v>
      </c>
      <c r="AH381" s="106">
        <f t="shared" si="748"/>
        <v>0</v>
      </c>
      <c r="AI381" s="106">
        <f t="shared" si="748"/>
        <v>0</v>
      </c>
      <c r="AJ381" s="106">
        <f t="shared" si="748"/>
        <v>0</v>
      </c>
      <c r="AK381" s="106">
        <f t="shared" si="748"/>
        <v>0</v>
      </c>
      <c r="AL381" s="106">
        <f t="shared" si="748"/>
        <v>0</v>
      </c>
      <c r="AM381" s="106">
        <f t="shared" si="748"/>
        <v>0</v>
      </c>
      <c r="AN381" s="106">
        <f t="shared" si="748"/>
        <v>0</v>
      </c>
      <c r="AO381" s="106">
        <f t="shared" si="748"/>
        <v>0</v>
      </c>
      <c r="AP381" s="106">
        <f t="shared" si="748"/>
        <v>0</v>
      </c>
      <c r="AQ381" s="106">
        <f t="shared" si="748"/>
        <v>0</v>
      </c>
      <c r="AR381" s="107">
        <f t="shared" si="748"/>
        <v>0</v>
      </c>
      <c r="AS381" s="105">
        <f>IF(AND($B379=" ",$K381=AS$3),$O381,0)</f>
        <v>0</v>
      </c>
      <c r="AT381" s="106">
        <f>IF(AND($B379=" ",K381=AT$3),$O381,0)</f>
        <v>0</v>
      </c>
      <c r="AU381" s="106">
        <f t="shared" ref="AU381:BE381" si="759">IF(AND($B379=" ",$K381=AU$3),$O381,0)</f>
        <v>0</v>
      </c>
      <c r="AV381" s="106">
        <f t="shared" si="759"/>
        <v>0</v>
      </c>
      <c r="AW381" s="106">
        <f t="shared" si="759"/>
        <v>0</v>
      </c>
      <c r="AX381" s="106">
        <f t="shared" si="759"/>
        <v>0</v>
      </c>
      <c r="AY381" s="108">
        <f t="shared" si="759"/>
        <v>0</v>
      </c>
      <c r="AZ381" s="109">
        <f t="shared" si="759"/>
        <v>0</v>
      </c>
      <c r="BA381" s="109">
        <f t="shared" si="759"/>
        <v>0</v>
      </c>
      <c r="BB381" s="109">
        <f t="shared" si="759"/>
        <v>0</v>
      </c>
      <c r="BC381" s="110">
        <f t="shared" si="759"/>
        <v>0</v>
      </c>
      <c r="BD381" s="106">
        <f t="shared" si="759"/>
        <v>0</v>
      </c>
      <c r="BE381" s="107">
        <f t="shared" si="759"/>
        <v>0</v>
      </c>
      <c r="BF381" s="105">
        <f t="shared" si="750"/>
        <v>0</v>
      </c>
      <c r="BG381" s="106">
        <f t="shared" si="750"/>
        <v>0</v>
      </c>
      <c r="BH381" s="106">
        <f t="shared" si="750"/>
        <v>0</v>
      </c>
      <c r="BI381" s="106">
        <f t="shared" si="750"/>
        <v>0</v>
      </c>
      <c r="BJ381" s="106">
        <f t="shared" si="750"/>
        <v>0</v>
      </c>
      <c r="BK381" s="106">
        <f t="shared" si="750"/>
        <v>0</v>
      </c>
      <c r="BL381" s="106">
        <f t="shared" si="750"/>
        <v>0</v>
      </c>
      <c r="BM381" s="108">
        <f t="shared" si="750"/>
        <v>0</v>
      </c>
      <c r="BN381" s="109">
        <f t="shared" si="750"/>
        <v>0</v>
      </c>
      <c r="BO381" s="109">
        <f t="shared" si="750"/>
        <v>0</v>
      </c>
      <c r="BP381" s="109">
        <f t="shared" si="750"/>
        <v>0</v>
      </c>
      <c r="BQ381" s="110">
        <f t="shared" si="750"/>
        <v>0</v>
      </c>
      <c r="BR381" s="107">
        <f t="shared" si="750"/>
        <v>0</v>
      </c>
      <c r="BS381" s="464"/>
      <c r="BT381" s="461"/>
      <c r="BU381" s="392"/>
      <c r="BV381" s="461"/>
      <c r="BW381" s="392"/>
      <c r="BX381" s="392"/>
      <c r="BY381" s="392"/>
      <c r="BZ381" s="461"/>
      <c r="CA381" s="392"/>
      <c r="CB381" s="392"/>
      <c r="CC381" s="392"/>
      <c r="CD381" s="401"/>
      <c r="CE381" s="409"/>
      <c r="CF381" s="133">
        <f t="shared" si="644"/>
        <v>0</v>
      </c>
      <c r="CG381" s="134">
        <f t="shared" si="645"/>
        <v>0</v>
      </c>
      <c r="CH381" s="134">
        <f t="shared" si="646"/>
        <v>0</v>
      </c>
      <c r="CI381" s="134">
        <f t="shared" si="647"/>
        <v>0</v>
      </c>
      <c r="CJ381" s="134">
        <f t="shared" si="648"/>
        <v>0</v>
      </c>
      <c r="CK381" s="134">
        <f t="shared" si="649"/>
        <v>0</v>
      </c>
      <c r="CL381" s="134">
        <f t="shared" si="650"/>
        <v>0</v>
      </c>
      <c r="CM381" s="134">
        <f t="shared" si="651"/>
        <v>0</v>
      </c>
      <c r="CN381" s="134">
        <f t="shared" si="652"/>
        <v>0</v>
      </c>
      <c r="CO381" s="134">
        <f t="shared" si="653"/>
        <v>0</v>
      </c>
      <c r="CP381" s="134">
        <f t="shared" si="654"/>
        <v>0</v>
      </c>
      <c r="CQ381" s="134">
        <f t="shared" si="655"/>
        <v>0</v>
      </c>
      <c r="CR381" s="134">
        <f t="shared" si="656"/>
        <v>0</v>
      </c>
      <c r="CS381" s="134">
        <f t="shared" si="657"/>
        <v>0</v>
      </c>
      <c r="CT381" s="115">
        <f t="shared" si="658"/>
        <v>0</v>
      </c>
      <c r="CU381" s="116">
        <f t="shared" si="659"/>
        <v>0</v>
      </c>
      <c r="CV381" s="116">
        <f t="shared" si="660"/>
        <v>0</v>
      </c>
      <c r="CW381" s="116">
        <f t="shared" si="661"/>
        <v>0</v>
      </c>
      <c r="CX381" s="116">
        <f t="shared" si="662"/>
        <v>0</v>
      </c>
      <c r="CY381" s="116">
        <f t="shared" si="663"/>
        <v>0</v>
      </c>
      <c r="CZ381" s="116">
        <f t="shared" si="664"/>
        <v>0</v>
      </c>
      <c r="DA381" s="116">
        <f t="shared" si="665"/>
        <v>0</v>
      </c>
      <c r="DB381" s="116">
        <f t="shared" si="666"/>
        <v>0</v>
      </c>
      <c r="DC381" s="116">
        <f t="shared" si="667"/>
        <v>0</v>
      </c>
      <c r="DD381" s="116">
        <f t="shared" si="668"/>
        <v>0</v>
      </c>
      <c r="DE381" s="117">
        <f t="shared" si="669"/>
        <v>0</v>
      </c>
      <c r="DF381" s="118">
        <f t="shared" si="672"/>
        <v>28</v>
      </c>
      <c r="DG381" s="106">
        <f t="shared" si="673"/>
        <v>36.409999999999997</v>
      </c>
      <c r="DH381" s="116">
        <f t="shared" si="674"/>
        <v>10</v>
      </c>
      <c r="DI381" s="106">
        <f t="shared" si="675"/>
        <v>41.599999999999994</v>
      </c>
      <c r="DJ381" s="201" t="str">
        <f>IF($D379="","",$D379)</f>
        <v>13</v>
      </c>
      <c r="DK381" s="466"/>
    </row>
    <row r="382" spans="1:115" ht="14.5" customHeight="1" x14ac:dyDescent="0.2">
      <c r="A382" s="487">
        <f>$A379+1</f>
        <v>127</v>
      </c>
      <c r="B382" s="506" t="str">
        <f>IF(OR(C382="W",C383="W",C384="W",C382="1/2W",C383="1/2W",C384="1/2W",C382="1/2L",C383="1/2L",C384="1/2L"),"OK",IF(OR(C382="L",C383="L",C384="L"),"LOSS",IF(OR(C382="X",C383="X",C384="X"),"Anulado"," ")))</f>
        <v>OK</v>
      </c>
      <c r="C382" s="147" t="s">
        <v>55</v>
      </c>
      <c r="D382" s="494" t="str">
        <f>IF(G382="","",$D379)</f>
        <v>13</v>
      </c>
      <c r="E382" s="511" t="str">
        <f>IF(G382=""," ","– "&amp;COUNTIF(D$4:D384,$D382))</f>
        <v>– 2</v>
      </c>
      <c r="F382" s="510" t="str">
        <f ca="1">IF(G382="","",IF(OR(AND($C382&lt;&gt;" ",$C383=" "),AND($C383&lt;&gt;" ",$C382=" "),AND(L384&gt;0,OR(AND($C384&lt;&gt;" ",OR($C382=" ",$C383=" ")),AND($C384=" ",OR($C382&lt;&gt;" ",$C383&lt;&gt;" "))))),IF(SUM(F$4:F381)=0,1,LARGE(F$4:F381,1)+1),IF(MONTH(G382)=MONTH(TODAY()),IF(AND(DAY(G382)&lt;DAY(TODAY()),$B382=" "),IF(SUM(F$4:F381)=0,1,LARGE(F$4:F381,1)+1),IF($B382=" ",IF(AND(DAY(G382)=DAY(TODAY()),HOUR(G382)&lt;=HOUR(NOW())+1),IF(AND(HOUR(G382)+2&lt;=HOUR(NOW()),DAY(G382)&lt;=DAY(TODAY()),MINUTE(G382)&lt;=MINUTE(NOW())),IF(SUM(F$4:F381)=0,1,LARGE(F$4:F381,1)+1),IF(OR(MINUTE(G382)&lt;=MINUTE(NOW()),HOUR(G382)&lt;=HOUR(NOW())),"!!!","")),""),"")),"")))</f>
        <v/>
      </c>
      <c r="G382" s="508">
        <v>44998.447916666664</v>
      </c>
      <c r="H382" s="502" t="s">
        <v>166</v>
      </c>
      <c r="I382" s="180" t="s">
        <v>61</v>
      </c>
      <c r="J382" s="149"/>
      <c r="K382" s="150" t="s">
        <v>39</v>
      </c>
      <c r="L382" s="151">
        <v>3.3</v>
      </c>
      <c r="M382" s="152">
        <v>5.55</v>
      </c>
      <c r="N382" s="503">
        <v>0</v>
      </c>
      <c r="O382" s="153">
        <f>IF(OR(AE382="",AE383=""),"",ROUND(IF(L384&gt;0,IF(M382&gt;0,M382,IF(M383&gt;0,ROUND((M383*AE382)/AE383,IF(N382=0,2,IF(N382=0.1,1,0))),ROUND((M384*AE382)/AE384,IF(N382=0,2,IF(N382=0.1,1,0))))),IF(M382&gt;0,M382,ROUND((M383*AE382)/AE383,IF(N382=0,2,IF(N382=0.1,1,0))))),2))</f>
        <v>5.55</v>
      </c>
      <c r="P382" s="154">
        <f>IF(OR(L382="",O382=""),"",IF($C382="1/2W",O382/2+O382/2*L382,IF($C382="1/2L",O382/2,IF(I382="Lay",(O382*(L382/(L382-1))-O382)*(1-_xlfn.XLOOKUP(K382,'Fevereiro 2023 - Valor Real'!A3:A15,'Fevereiro 2023 - Valor Real'!C3:C15,0))+O382,(O382*L382-O382)*(1-_xlfn.XLOOKUP(K382,'Fevereiro 2023 - Valor Real'!A3:A15,'Fevereiro 2023 - Valor Real'!C3:C15,0))+O382))))</f>
        <v>18.314999999999998</v>
      </c>
      <c r="Q382" s="155">
        <f>IF(K382="","",IF(_xlfn.XLOOKUP(K382,K$9:K374,$DJ$9:DJ374,0,,-1)=DJ382,_xlfn.XLOOKUP(K382,K$9:K374,Q$9:Q374,1,,-1)+1,1))</f>
        <v>1</v>
      </c>
      <c r="R382" s="156">
        <f>IF(K382="","",_xlfn.XLOOKUP(K382,K$9:K374,R$9:R374,0,,-1)+IF($C382=" ",1,0))</f>
        <v>0</v>
      </c>
      <c r="S382" s="501">
        <f>IF($B382="Anulado",0,ROUND(IF(OR($B382="LOSS",$B382="OK"),IF(OR($C382="W",$C382="1/2W",$C382="1/2L"),P382-O382,IF($C382="L",-O382,0))+IF(OR($C383="W",$C383="1/2W",$C383="1/2L"),P383-O383,IF($C383="L",-O383,0))+IF(OR($C384="W",$C384="1/2W",$C384="1/2L"),P384-O384,IF($C384="L",-O384,0)),IF(AND(OR($C382="W",$C382="1/2W",$C382="1/2L"),C383="W"),P382+P383-SUM(O382:O384)+_xlfn.XLOOKUP("X",C382:C384,O382:O384,0),IF(AND(C382=TRUE,C384="W"),P382+P384-SUM(O382:O384),IF(AND(C383="W",C384="W"),P383+P384-SUM(O382:O384)+_xlfn.XLOOKUP("X",C382:C384,O382:O384,0),IF(L384&gt;0,IF(OR($C382="W",$C382="1/2W",$C382="1/2L"),P382-SUM(O382:O384)+_xlfn.XLOOKUP("X",C382:C384,O382:O384,0),IF(OR($C382="W",$C382="1/2W",$C382="1/2L"),P383-SUM(O382:O384)+_xlfn.XLOOKUP("X",C382:C384,O382:O384,0),IF(OR($C382="W",$C382="1/2W",$C382="1/2L"),P384-SUM(O382:O384)+_xlfn.XLOOKUP("X",C382:C384,O382:O384,0),IF(SUM(P382:P384)/3-SUM(O382:O384)+_xlfn.XLOOKUP("X",C382:C384,O382:O384,0)&gt;0,SUM(P382:P384)/3-SUM(O382:O384)+_xlfn.XLOOKUP("X",C382:C384,O382:O384,0),LARGE(P382:P384,1)-SUM(O382:O384))))),IF(OR($C382="W",$C382="1/2W",$C382="1/2L"),P382-SUM(O382:O383)+_xlfn.XLOOKUP("X",C382:C384,O382:O384,0),IF(OR($C382="W",$C382="1/2W",$C382="1/2L"),P383-SUM(O382:O383)+_xlfn.XLOOKUP("X",C382:C384,O382:O384,0),SUM(P382:P383)/2-SUM(O382:O383)+_xlfn.XLOOKUP("X",C382:C384,O382:O384,0)))))))),2))</f>
        <v>0.97</v>
      </c>
      <c r="T382" s="486">
        <f>IF(S382=0,0,S382/SUM(O382:O384))</f>
        <v>5.5747126436781612E-2</v>
      </c>
      <c r="U382" s="496">
        <f>IF($D382=$D379,IF(OR($B382="LOSS",$B382="OK",$B382="Anulada"),S382,0)+U379,IF(OR($B382="LOSS",$B382="OK",$B382="Anulada"),S382,0))</f>
        <v>3.2199999999999998</v>
      </c>
      <c r="V382" s="496">
        <f>IF($D382="",0,IF($D382=$D379,IF($B382=" ",IF(I384="",IF(OR(AND(I382="DNB1",I383="DNB2"),AND(OR(I382="DNB1",I382="DNB2"),J383=0),AND(OR(I383="DNB1",I383="DNB2"),J382=0),AND(I382="DNB2",I383="DNB1"),AND(IF(J382=0,(J382+1)/ROUND(J382+1,0),J382/ROUND(J382,0))=1,IF(J383=0,(J383+1)/ROUND(IF(J383="",0,J383)+1,0),IF(J383="",0,J383)/ROUND(IF(J383="",1,J383),0))=1,OR(J382&lt;&gt;""),J383&lt;&gt;"")),0,IF(S382&lt;0,IF(I384="",SMALL(P382:P383,1)-SUM(O382:O383),0),SMALL(P382:P383,1)-SUM(O382:O383))),IF(S382&lt;0,IF(I384="",SMALL(P382:P384,1)-SUM(O382:O384),0),LARGE(P382:P384,1)-SUM(O382:O384))),S382)+V379,IF(I384="",IF(OR(AND(I382="DNB1",I383="DNB2"),AND(OR(I382="DNB1",I382="DNB2"),J383=0),AND(OR(I383="DNB1",I383="DNB2"),J382=0),AND(I382="DNB2",I383="DNB1"),AND(IF(J382=0,(J382+1)/ROUND(J382+1,0),J382/ROUND(J382,0))=1,IF(J383=0,(IF(J383="",0,J383)+1)/ROUND(IF(J383="",0,J383)+1,0),IF(J383="",0,J383)/ROUND(IF(J383="",0,J383)+1,0))=1,OR(J382&lt;&gt;""),J383&lt;&gt;"")),0,IF(S382&lt;0,IF(I384="",SMALL(P382:P383,1)-SUM(O382:O383),0),SMALL(P382:P384,1)-SUM(O382:O384))),IF(S382&lt;0,IF(I384="",SMALL(P382:P384,1)-SUM(O382:O384),0),LARGE(P382:P384,1)-SUM(O382:O384)))))</f>
        <v>2.8370000000000042</v>
      </c>
      <c r="W382" s="496">
        <f>IF($D382=$D379,IF(S382&lt;0,IF(I384="",S382,0),S382)+W379,S382)</f>
        <v>3.2199999999999998</v>
      </c>
      <c r="X382" s="505" t="str">
        <f>IF(OR(SUM(R382:R384)=0,V382=W382),ROUND(IF(W382=0,0,W382/Y382)*100,2)&amp;"%",ROUND(IF(V382=0,0,V382/Y382)*100,2)&amp;"% a "&amp;ROUND(IF(W382=0,0,W382/Y382)*100,2)&amp;"%")</f>
        <v>5,91%</v>
      </c>
      <c r="Y382" s="497">
        <f>IF($D382=$D379,Y379+SUM(O382:O384),SUM(O382:O384))</f>
        <v>54.529999999999994</v>
      </c>
      <c r="Z382" s="496">
        <f>IF($B382=" ",SUM(O382:O384),0)+Z379</f>
        <v>0</v>
      </c>
      <c r="AA382" s="496">
        <f>IF(G382="","",IF($B382="Anulado",LARGE(P382:P384,1)-SUM(O382:O384)+AA379,AA379))</f>
        <v>10.700299999999997</v>
      </c>
      <c r="AB382" s="496">
        <f>IF($D382="","",AB379+S382)</f>
        <v>461.57000000000011</v>
      </c>
      <c r="AC382" s="499">
        <f ca="1">IF($D382="","",IF($B382=" ",IF(DAY(G382)=DAY(TODAY()),1+AC379,0+AC379),0+AC379))</f>
        <v>0</v>
      </c>
      <c r="AD382" s="157">
        <f>(1-_xlfn.XLOOKUP(K380,'Fevereiro 2023 - Valor Real'!A3:A15,'Fevereiro 2023 - Valor Real'!C3:C15,0))+1</f>
        <v>2</v>
      </c>
      <c r="AE382" s="158">
        <f>IF(L382="","",IF(L384&gt;0,(SUM(((L382-1)*(1-_xlfn.XLOOKUP(K382,'Fevereiro 2023 - Valor Real'!A3:A15,'Fevereiro 2023 - Valor Real'!C3:C15,0))+1),((L383-1)*(1-_xlfn.XLOOKUP(K383,'Fevereiro 2023 - Valor Real'!A3:A15,'Fevereiro 2023 - Valor Real'!C3:C15,0))+1),((L384-1)*(1-_xlfn.XLOOKUP(K384,'Fevereiro 2023 - Valor Real'!A3:A15,'Fevereiro 2023 - Valor Real'!C3:C15,0))+1))/((L382-1)*(1-_xlfn.XLOOKUP(K382,'Fevereiro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Real'!C3:C15,0))+1))/((L382-1)*(1-_xlfn.XLOOKUP(K382,'Fevereiro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Real'!C3:C15,0))+1))/((L383-1)*(1-_xlfn.XLOOKUP(K383,'Fevereiro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Real'!C3:C15,0))+1))/((L384-1)*(1-_xlfn.XLOOKUP(K384,'Fevereiro 2023 - Valor Real'!A3:A15,'Fevereiro 2023 - Valor Real'!C3:C15,0))+1)),IF(I382="Lay",IF(I383="Lay",((L383/(L383-1)-1)*(1-_xlfn.XLOOKUP(K383,'Fevereiro 2023 - Valor Real'!A3:A15,'Fevereiro 2023 - Valor Real'!C3:C15,0))+1)/(((L383/(L383-1)-1)*(1-_xlfn.XLOOKUP(K383,'Fevereiro 2023 - Valor Real'!A3:A15,'Fevereiro 2023 - Valor Real'!C3:C15,0))+1)+((L382/(L382-1)-1)*(1-_xlfn.XLOOKUP(K382,'Fevereiro 2023 - Valor Real'!A3:A15,'Fevereiro 2023 - Valor Real'!C3:C15,0))+1)),((L383-1)*(1-_xlfn.XLOOKUP(K383,'Fevereiro 2023 - Valor Real'!A3:A15,'Fevereiro 2023 - Valor Real'!C3:C15,0))+1)/(((L383-1)*(1-_xlfn.XLOOKUP(K383,'Fevereiro 2023 - Valor Real'!A3:A15,'Fevereiro 2023 - Valor Real'!C3:C15,0))+1)+((L382/(L382-1)-1)*(1-_xlfn.XLOOKUP(K382,'Fevereiro 2023 - Valor Real'!A3:A15,'Fevereiro 2023 - Valor Real'!C3:C15,0))+1))),IF(I383="Lay",(((L383/(L383-1)-1)*(1-_xlfn.XLOOKUP(K383,'Fevereiro 2023 - Valor Real'!A3:A15,'Fevereiro 2023 - Valor Real'!C3:C15,0))+1))/(((L382-1)*(1-_xlfn.XLOOKUP(K382,'Fevereiro 2023 - Valor Real'!A3:A15,'Fevereiro 2023 - Valor Real'!C3:C15,0))+1)+((L383/(L383-1)-1)*(1-_xlfn.XLOOKUP(K383,'Fevereiro 2023 - Valor Real'!A3:A15,'Fevereiro 2023 - Valor Real'!C3:C15,0))+1)),((L383-1)*(1-_xlfn.XLOOKUP(K383,'Fevereiro 2023 - Valor Real'!A3:A15,'Fevereiro 2023 - Valor Real'!C3:C15,0))+1)/(((L383-1)*(1-_xlfn.XLOOKUP(K383,'Fevereiro 2023 - Valor Real'!A3:A15,'Fevereiro 2023 - Valor Real'!C3:C15,0))+1)+((L382-1)*(1-_xlfn.XLOOKUP(K382,'Fevereiro 2023 - Valor Real'!A3:A15,'Fevereiro 2023 - Valor Real'!C3:C15,0))+1))))))</f>
        <v>0.31958762886597941</v>
      </c>
      <c r="AF382" s="66">
        <f t="shared" si="748"/>
        <v>0</v>
      </c>
      <c r="AG382" s="67">
        <f t="shared" si="748"/>
        <v>0</v>
      </c>
      <c r="AH382" s="67">
        <f t="shared" si="748"/>
        <v>0</v>
      </c>
      <c r="AI382" s="67">
        <f t="shared" si="748"/>
        <v>-5.55</v>
      </c>
      <c r="AJ382" s="67">
        <f t="shared" si="748"/>
        <v>0</v>
      </c>
      <c r="AK382" s="67">
        <f t="shared" si="748"/>
        <v>0</v>
      </c>
      <c r="AL382" s="67">
        <f t="shared" si="748"/>
        <v>0</v>
      </c>
      <c r="AM382" s="67">
        <f t="shared" si="748"/>
        <v>0</v>
      </c>
      <c r="AN382" s="67">
        <f t="shared" si="748"/>
        <v>0</v>
      </c>
      <c r="AO382" s="67">
        <f t="shared" si="748"/>
        <v>0</v>
      </c>
      <c r="AP382" s="67">
        <f t="shared" si="748"/>
        <v>0</v>
      </c>
      <c r="AQ382" s="67">
        <f t="shared" si="748"/>
        <v>0</v>
      </c>
      <c r="AR382" s="68">
        <f t="shared" si="748"/>
        <v>0</v>
      </c>
      <c r="AS382" s="66">
        <f t="shared" ref="AS382:BE382" si="760">IF(AND($B382=" ",$K382=AS$3),$O382,0)</f>
        <v>0</v>
      </c>
      <c r="AT382" s="67">
        <f t="shared" si="760"/>
        <v>0</v>
      </c>
      <c r="AU382" s="67">
        <f t="shared" si="760"/>
        <v>0</v>
      </c>
      <c r="AV382" s="67">
        <f t="shared" si="760"/>
        <v>0</v>
      </c>
      <c r="AW382" s="67">
        <f t="shared" si="760"/>
        <v>0</v>
      </c>
      <c r="AX382" s="67">
        <f t="shared" si="760"/>
        <v>0</v>
      </c>
      <c r="AY382" s="69">
        <f t="shared" si="760"/>
        <v>0</v>
      </c>
      <c r="AZ382" s="70">
        <f t="shared" si="760"/>
        <v>0</v>
      </c>
      <c r="BA382" s="70">
        <f t="shared" si="760"/>
        <v>0</v>
      </c>
      <c r="BB382" s="70">
        <f t="shared" si="760"/>
        <v>0</v>
      </c>
      <c r="BC382" s="71">
        <f t="shared" si="760"/>
        <v>0</v>
      </c>
      <c r="BD382" s="67">
        <f t="shared" si="760"/>
        <v>0</v>
      </c>
      <c r="BE382" s="68">
        <f t="shared" si="760"/>
        <v>0</v>
      </c>
      <c r="BF382" s="66">
        <f t="shared" si="750"/>
        <v>0</v>
      </c>
      <c r="BG382" s="67">
        <f t="shared" si="750"/>
        <v>0</v>
      </c>
      <c r="BH382" s="67">
        <f t="shared" si="750"/>
        <v>0</v>
      </c>
      <c r="BI382" s="67">
        <f t="shared" si="750"/>
        <v>5.55</v>
      </c>
      <c r="BJ382" s="67">
        <f t="shared" si="750"/>
        <v>0</v>
      </c>
      <c r="BK382" s="67">
        <f t="shared" si="750"/>
        <v>0</v>
      </c>
      <c r="BL382" s="67">
        <f t="shared" si="750"/>
        <v>0</v>
      </c>
      <c r="BM382" s="69">
        <f t="shared" si="750"/>
        <v>0</v>
      </c>
      <c r="BN382" s="70">
        <f t="shared" si="750"/>
        <v>0</v>
      </c>
      <c r="BO382" s="70">
        <f t="shared" si="750"/>
        <v>0</v>
      </c>
      <c r="BP382" s="70">
        <f t="shared" si="750"/>
        <v>0</v>
      </c>
      <c r="BQ382" s="71">
        <f t="shared" si="750"/>
        <v>0</v>
      </c>
      <c r="BR382" s="68">
        <f t="shared" si="750"/>
        <v>0</v>
      </c>
      <c r="BS382" s="490">
        <f>IF($B382="LOSS",IF(AND($K382=BS$3,$C382="L"),-$O382,0)+IF(AND($K383=BS$3,$C383="L"),-$O383,0)+IF(AND($K384=BS$3,$C384="L"),-$O384,0),IF(OR(AND($K382=BS$3,OR($C382="W",$C382="1/2W")),AND($K383=BS$3,OR($C383="W",$C383="1/2W")),AND($K384=BS$3,OR($C384="W",$C384="1/2W"))),$S382,0))</f>
        <v>0</v>
      </c>
      <c r="BT382" s="498">
        <f>IF($B382="LOSS",IF(AND($K382=BT$3,$C382="L"),-$O382,0)+IF(AND($K383=BT$3,$C383="L"),-$O383,0)+IF(AND($K383=BT$3,$C384="L"),-$O384,0),IF(OR(AND($K383=BT$3,OR($C382="W",$C382="1/2W")),AND($K383=BT$3,OR($C383="W",$C383="1/2W")),AND($K383=BT$3,OR($C384="W",$C384="1/2W"))),$S382,0))</f>
        <v>0.97</v>
      </c>
      <c r="BU382" s="488">
        <f>IF($B382="LOSS",IF(AND($K382=BU$3,$C382="L"),-$O382,0)+IF(AND($K383=BU$3,$C383="L"),-$O383,0)+IF(AND($K383=BU$3,$C384="L"),-$O384,0),IF(OR(AND($K383=BU$3,OR($C382="W",$C382="1/2W")),AND($K383=BU$3,OR($C383="W",$C383="1/2W")),AND($K383=BU$3,OR($C384="W",$C384="1/2W"))),$S382,0))</f>
        <v>0</v>
      </c>
      <c r="BV382" s="488">
        <f t="shared" ref="BV382:CE382" si="761">IF($B382="LOSS",IF(AND($K382=BV$3,$C382="L"),-$O382,0)+IF(AND($K383=BV$3,$C383="L"),-$O383,0)+IF(AND($K384=BV$3,$C384="L"),-$O384,0),IF(OR(AND($K382=BV$3,OR($C382="W",$C382="1/2W")),AND($K383=BV$3,OR($C383="W",$C383="1/2W")),AND($K384=BV$3,OR($C384="W",$C384="1/2W"))),$S382,0))</f>
        <v>0</v>
      </c>
      <c r="BW382" s="488">
        <f t="shared" si="761"/>
        <v>0</v>
      </c>
      <c r="BX382" s="488">
        <f t="shared" si="761"/>
        <v>0</v>
      </c>
      <c r="BY382" s="488">
        <f t="shared" si="761"/>
        <v>0</v>
      </c>
      <c r="BZ382" s="488">
        <f t="shared" si="761"/>
        <v>0</v>
      </c>
      <c r="CA382" s="488">
        <f t="shared" si="761"/>
        <v>0</v>
      </c>
      <c r="CB382" s="488">
        <f t="shared" si="761"/>
        <v>0</v>
      </c>
      <c r="CC382" s="488">
        <f t="shared" si="761"/>
        <v>0</v>
      </c>
      <c r="CD382" s="500">
        <f t="shared" si="761"/>
        <v>0</v>
      </c>
      <c r="CE382" s="504">
        <f t="shared" si="761"/>
        <v>0</v>
      </c>
      <c r="CF382" s="160">
        <f t="shared" si="644"/>
        <v>0</v>
      </c>
      <c r="CG382" s="161">
        <f t="shared" si="645"/>
        <v>0</v>
      </c>
      <c r="CH382" s="161">
        <f t="shared" si="646"/>
        <v>0</v>
      </c>
      <c r="CI382" s="161">
        <f t="shared" si="647"/>
        <v>0</v>
      </c>
      <c r="CJ382" s="161">
        <f t="shared" si="648"/>
        <v>0</v>
      </c>
      <c r="CK382" s="161">
        <f t="shared" si="649"/>
        <v>0</v>
      </c>
      <c r="CL382" s="161">
        <f t="shared" si="650"/>
        <v>0</v>
      </c>
      <c r="CM382" s="161">
        <f t="shared" si="651"/>
        <v>1</v>
      </c>
      <c r="CN382" s="161">
        <f t="shared" si="652"/>
        <v>0</v>
      </c>
      <c r="CO382" s="161">
        <f t="shared" si="653"/>
        <v>0</v>
      </c>
      <c r="CP382" s="161">
        <f t="shared" si="654"/>
        <v>0</v>
      </c>
      <c r="CQ382" s="161">
        <f t="shared" si="655"/>
        <v>0</v>
      </c>
      <c r="CR382" s="161">
        <f t="shared" si="656"/>
        <v>0</v>
      </c>
      <c r="CS382" s="161">
        <f t="shared" si="657"/>
        <v>0</v>
      </c>
      <c r="CT382" s="75">
        <f t="shared" si="658"/>
        <v>0</v>
      </c>
      <c r="CU382" s="76">
        <f t="shared" si="659"/>
        <v>0</v>
      </c>
      <c r="CV382" s="76">
        <f t="shared" si="660"/>
        <v>0</v>
      </c>
      <c r="CW382" s="76">
        <f t="shared" si="661"/>
        <v>0</v>
      </c>
      <c r="CX382" s="76">
        <f t="shared" si="662"/>
        <v>0</v>
      </c>
      <c r="CY382" s="76">
        <f t="shared" si="663"/>
        <v>0</v>
      </c>
      <c r="CZ382" s="76">
        <f t="shared" si="664"/>
        <v>0</v>
      </c>
      <c r="DA382" s="76">
        <f t="shared" si="665"/>
        <v>0</v>
      </c>
      <c r="DB382" s="76">
        <f t="shared" si="666"/>
        <v>0</v>
      </c>
      <c r="DC382" s="76">
        <f t="shared" si="667"/>
        <v>0</v>
      </c>
      <c r="DD382" s="76">
        <f t="shared" si="668"/>
        <v>0</v>
      </c>
      <c r="DE382" s="77">
        <f t="shared" si="669"/>
        <v>0</v>
      </c>
      <c r="DF382" s="73">
        <f t="shared" si="672"/>
        <v>28</v>
      </c>
      <c r="DG382" s="67">
        <f t="shared" si="673"/>
        <v>36.409999999999997</v>
      </c>
      <c r="DH382" s="76">
        <f t="shared" si="674"/>
        <v>10</v>
      </c>
      <c r="DI382" s="67">
        <f t="shared" si="675"/>
        <v>41.599999999999994</v>
      </c>
      <c r="DJ382" s="202" t="str">
        <f>IF($D382="","",$D382)</f>
        <v>13</v>
      </c>
      <c r="DK382" s="492">
        <f>IF(AND($B382=" ",$D382&lt;&gt;""),1,0)</f>
        <v>0</v>
      </c>
    </row>
    <row r="383" spans="1:115" ht="14.5" customHeight="1" x14ac:dyDescent="0.2">
      <c r="A383" s="389"/>
      <c r="B383" s="456"/>
      <c r="C383" s="53" t="s">
        <v>54</v>
      </c>
      <c r="D383" s="374"/>
      <c r="E383" s="386"/>
      <c r="F383" s="377"/>
      <c r="G383" s="508"/>
      <c r="H383" s="476"/>
      <c r="I383" s="182" t="s">
        <v>63</v>
      </c>
      <c r="J383" s="163" t="str">
        <f>IF(OR(I382="TO",I382="TU",I382="TO1",I382="TU1",I382="TO2",I382="TU2"),J382,IF(OR(I382="AH1",I382="AH2"),IF(OR(I383="AH1",I383="AH2"),-J382,IF(OR(I383="EH1",I383="EH2"),-J382+0.5,"")),IF(OR(I382="EH1",I382="EH2"),IF(OR(I383="AH1",I383="AH2"),-J382+0.5,IF(OR(I383="EH1",I383="EH2"),-J382+1,"")),IF(AND(OR(I382="DNB1",I382="DNB2"),OR(I383="AH1",I383="AH2")),0,IF(AND(I382="Not ScoreBoth",OR(I383="TO1",I383="TO2")),0.5,"")))))</f>
        <v/>
      </c>
      <c r="K383" s="57" t="s">
        <v>37</v>
      </c>
      <c r="L383" s="164">
        <v>1.55</v>
      </c>
      <c r="M383" s="165">
        <v>11.85</v>
      </c>
      <c r="N383" s="406"/>
      <c r="O383" s="60">
        <f>IF(OR(AE382="",AE383=""),"",ROUND(IF(L384&gt;0,IF(M383&gt;0,M383,IF(M382&gt;0,IF(N382=TRUE,ROUND((M382*AE383)/AE382,0),(M382*AE383)/AE382),IF(M383&gt;0,ROUND(M383,IF(N382=0,2,IF(N382=0.1,1,0))),IF(M384&gt;0,ROUND(O384*AE383/AE384,IF(N382=0,2,IF(N382=0.1,1,0))),0)))),IF(M383&gt;0,M383,ROUND((M382*AE383)/AE382,IF(N382=0,2,IF(N382=0.1,1,0))))),2))</f>
        <v>11.85</v>
      </c>
      <c r="P383" s="61">
        <f>IF(OR(L383="",O383=""),"",IF($C383="1/2W",O383/2+O383/2*L383,IF($C383="1/2L",O383/2,IF(I383="Lay",((O383*(L383/(L383-1)))-O383)*(1-_xlfn.XLOOKUP(K383,'Fevereiro 2023 - Valor Real'!A3:A15,'Fevereiro 2023 - Valor Real'!C3:C15,0))+O383,(O383*L383-O383)*(1-_xlfn.XLOOKUP(K383,'Fevereiro 2023 - Valor Real'!A3:A15,'Fevereiro 2023 - Valor Real'!C3:C15,0))+O383))))</f>
        <v>18.3675</v>
      </c>
      <c r="Q383" s="166">
        <f>IF(K383="","",IF(_xlfn.XLOOKUP(K383,K$10:K374,$DJ$10:DJ374,0,,-1)=DJ383,_xlfn.XLOOKUP(K383,K$10:K374,Q$10:Q374,1,,-1)+1,1))</f>
        <v>1</v>
      </c>
      <c r="R383" s="167">
        <f>IF(K383="","",_xlfn.XLOOKUP(K383,K$10:K374,R$10:R374,0,,-1)+IF($C383=" ",1,0))</f>
        <v>0</v>
      </c>
      <c r="S383" s="403"/>
      <c r="T383" s="380"/>
      <c r="U383" s="380"/>
      <c r="V383" s="481"/>
      <c r="W383" s="380"/>
      <c r="X383" s="452"/>
      <c r="Y383" s="383"/>
      <c r="Z383" s="384"/>
      <c r="AA383" s="384"/>
      <c r="AB383" s="384"/>
      <c r="AC383" s="384"/>
      <c r="AD383" s="64"/>
      <c r="AE383" s="65">
        <f>IF(L383="","",IF(L384&gt;0,(SUM(((L382-1)*(1-_xlfn.XLOOKUP(K382,'Fevereiro 2023 - Valor Real'!A3:A15,'Fevereiro 2023 - Valor Real'!C3:C15,0))+1),((L383-1)*(1-_xlfn.XLOOKUP(K383,'Fevereiro 2023 - Valor Real'!A3:A15,'Fevereiro 2023 - Valor Real'!C3:C15,0))+1),((L384-1)*(1-_xlfn.XLOOKUP(K384,'Fevereiro 2023 - Valor Real'!A3:A15,'Fevereiro 2023 - Valor Real'!C3:C15,0))+1))/((L383-1)*(1-_xlfn.XLOOKUP(K383,'Fevereiro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Real'!C3:C15,0))+1))/((L382-1)*(1-_xlfn.XLOOKUP(K382,'Fevereiro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Real'!C3:C15,0))+1))/((L383-1)*(1-_xlfn.XLOOKUP(K383,'Fevereiro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Real'!C3:C15,0))+1))/((L384-1)*(1-_xlfn.XLOOKUP(K384,'Fevereiro 2023 - Valor Real'!A3:A15,'Fevereiro 2023 - Valor Real'!C3:C15,0))+1)),IF(I383="Lay",IF(I382="Lay",((L382/(L382-1)-1)*(1-_xlfn.XLOOKUP(K382,'Fevereiro 2023 - Valor Real'!A3:A15,'Fevereiro 2023 - Valor Real'!C3:C15,0))+1)/(((L382/(L382-1)-1)*(1-_xlfn.XLOOKUP(K382,'Fevereiro 2023 - Valor Real'!A3:A15,'Fevereiro 2023 - Valor Real'!C3:C15,0))+1)+((L383/(L383-1)-1)*(1-_xlfn.XLOOKUP(K383,'Fevereiro 2023 - Valor Real'!A3:A15,'Fevereiro 2023 - Valor Real'!C3:C15,0))+1)),((L382-1)*(1-_xlfn.XLOOKUP(K382,'Fevereiro 2023 - Valor Real'!A3:A15,'Fevereiro 2023 - Valor Real'!C3:C15,0))+1)/(((L382-1)*(1-_xlfn.XLOOKUP(K382,'Fevereiro 2023 - Valor Real'!A3:A15,'Fevereiro 2023 - Valor Real'!C3:C15,0))+1)+((L383/(L383-1)-1)*(1-_xlfn.XLOOKUP(K383,'Fevereiro 2023 - Valor Real'!A3:A15,'Fevereiro 2023 - Valor Real'!C3:C15,0))+1))),IF(I382="Lay",((L382/(L382-1)-1)*(1-_xlfn.XLOOKUP(K382,'Fevereiro 2023 - Valor Real'!A3:A15,'Fevereiro 2023 - Valor Real'!C3:C15,0))+1)/((((L382/(L382-1)-1)*(1-_xlfn.XLOOKUP(K382,'Fevereiro 2023 - Valor Real'!A3:A15,'Fevereiro 2023 - Valor Real'!C3:C15,0))+1))+((L383-1)*(1-_xlfn.XLOOKUP(K383,'Fevereiro 2023 - Valor Real'!A3:A15,'Fevereiro 2023 - Valor Real'!C3:C15,0))+1)),((L382-1)*(1-_xlfn.XLOOKUP(K382,'Fevereiro 2023 - Valor Real'!A3:A15,'Fevereiro 2023 - Valor Real'!C3:C15,0))+1)/(((L382-1)*(1-_xlfn.XLOOKUP(K382,'Fevereiro 2023 - Valor Real'!A3:A15,'Fevereiro 2023 - Valor Real'!C3:C15,0))+1)+((L383-1)*(1-_xlfn.XLOOKUP(K383,'Fevereiro 2023 - Valor Real'!A3:A15,'Fevereiro 2023 - Valor Real'!C3:C15,0))+1))))))</f>
        <v>0.68041237113402064</v>
      </c>
      <c r="AF383" s="66">
        <f t="shared" si="748"/>
        <v>0</v>
      </c>
      <c r="AG383" s="67">
        <f t="shared" si="748"/>
        <v>6.52</v>
      </c>
      <c r="AH383" s="67">
        <f t="shared" si="748"/>
        <v>0</v>
      </c>
      <c r="AI383" s="67">
        <f t="shared" si="748"/>
        <v>0</v>
      </c>
      <c r="AJ383" s="67">
        <f t="shared" si="748"/>
        <v>0</v>
      </c>
      <c r="AK383" s="67">
        <f t="shared" si="748"/>
        <v>0</v>
      </c>
      <c r="AL383" s="67">
        <f t="shared" si="748"/>
        <v>0</v>
      </c>
      <c r="AM383" s="67">
        <f t="shared" si="748"/>
        <v>0</v>
      </c>
      <c r="AN383" s="67">
        <f t="shared" si="748"/>
        <v>0</v>
      </c>
      <c r="AO383" s="67">
        <f t="shared" si="748"/>
        <v>0</v>
      </c>
      <c r="AP383" s="67">
        <f t="shared" si="748"/>
        <v>0</v>
      </c>
      <c r="AQ383" s="67">
        <f t="shared" si="748"/>
        <v>0</v>
      </c>
      <c r="AR383" s="68">
        <f t="shared" si="748"/>
        <v>0</v>
      </c>
      <c r="AS383" s="66">
        <f>IF(AND($B382=" ",$K383=AS$3),$O383,0)</f>
        <v>0</v>
      </c>
      <c r="AT383" s="67">
        <f>IF(AND($B382=" ",K383=AT$3),$O383,0)</f>
        <v>0</v>
      </c>
      <c r="AU383" s="67">
        <f t="shared" ref="AU383:BE383" si="762">IF(AND($B382=" ",$K383=AU$3),$O383,0)</f>
        <v>0</v>
      </c>
      <c r="AV383" s="67">
        <f t="shared" si="762"/>
        <v>0</v>
      </c>
      <c r="AW383" s="67">
        <f t="shared" si="762"/>
        <v>0</v>
      </c>
      <c r="AX383" s="67">
        <f t="shared" si="762"/>
        <v>0</v>
      </c>
      <c r="AY383" s="69">
        <f t="shared" si="762"/>
        <v>0</v>
      </c>
      <c r="AZ383" s="70">
        <f t="shared" si="762"/>
        <v>0</v>
      </c>
      <c r="BA383" s="70">
        <f t="shared" si="762"/>
        <v>0</v>
      </c>
      <c r="BB383" s="70">
        <f t="shared" si="762"/>
        <v>0</v>
      </c>
      <c r="BC383" s="71">
        <f t="shared" si="762"/>
        <v>0</v>
      </c>
      <c r="BD383" s="67">
        <f t="shared" si="762"/>
        <v>0</v>
      </c>
      <c r="BE383" s="68">
        <f t="shared" si="762"/>
        <v>0</v>
      </c>
      <c r="BF383" s="66">
        <f t="shared" si="750"/>
        <v>0</v>
      </c>
      <c r="BG383" s="168">
        <f t="shared" si="750"/>
        <v>11.85</v>
      </c>
      <c r="BH383" s="67">
        <f t="shared" si="750"/>
        <v>0</v>
      </c>
      <c r="BI383" s="67">
        <f t="shared" si="750"/>
        <v>0</v>
      </c>
      <c r="BJ383" s="67">
        <f t="shared" si="750"/>
        <v>0</v>
      </c>
      <c r="BK383" s="67">
        <f t="shared" si="750"/>
        <v>0</v>
      </c>
      <c r="BL383" s="67">
        <f t="shared" si="750"/>
        <v>0</v>
      </c>
      <c r="BM383" s="69">
        <f t="shared" si="750"/>
        <v>0</v>
      </c>
      <c r="BN383" s="70">
        <f t="shared" si="750"/>
        <v>0</v>
      </c>
      <c r="BO383" s="70">
        <f t="shared" si="750"/>
        <v>0</v>
      </c>
      <c r="BP383" s="70">
        <f t="shared" si="750"/>
        <v>0</v>
      </c>
      <c r="BQ383" s="71">
        <f t="shared" si="750"/>
        <v>0</v>
      </c>
      <c r="BR383" s="68">
        <f t="shared" si="750"/>
        <v>0</v>
      </c>
      <c r="BS383" s="491"/>
      <c r="BT383" s="489"/>
      <c r="BU383" s="392"/>
      <c r="BV383" s="489"/>
      <c r="BW383" s="392"/>
      <c r="BX383" s="392"/>
      <c r="BY383" s="392"/>
      <c r="BZ383" s="489"/>
      <c r="CA383" s="392"/>
      <c r="CB383" s="392"/>
      <c r="CC383" s="392"/>
      <c r="CD383" s="401"/>
      <c r="CE383" s="409"/>
      <c r="CF383" s="169">
        <f t="shared" si="644"/>
        <v>0</v>
      </c>
      <c r="CG383" s="170">
        <f t="shared" si="645"/>
        <v>0</v>
      </c>
      <c r="CH383" s="170">
        <f t="shared" si="646"/>
        <v>1</v>
      </c>
      <c r="CI383" s="170">
        <f t="shared" si="647"/>
        <v>0</v>
      </c>
      <c r="CJ383" s="170">
        <f t="shared" si="648"/>
        <v>0</v>
      </c>
      <c r="CK383" s="170">
        <f t="shared" si="649"/>
        <v>0</v>
      </c>
      <c r="CL383" s="170">
        <f t="shared" si="650"/>
        <v>0</v>
      </c>
      <c r="CM383" s="170">
        <f t="shared" si="651"/>
        <v>0</v>
      </c>
      <c r="CN383" s="170">
        <f t="shared" si="652"/>
        <v>0</v>
      </c>
      <c r="CO383" s="170">
        <f t="shared" si="653"/>
        <v>0</v>
      </c>
      <c r="CP383" s="170">
        <f t="shared" si="654"/>
        <v>0</v>
      </c>
      <c r="CQ383" s="170">
        <f t="shared" si="655"/>
        <v>0</v>
      </c>
      <c r="CR383" s="170">
        <f t="shared" si="656"/>
        <v>0</v>
      </c>
      <c r="CS383" s="170">
        <f t="shared" si="657"/>
        <v>0</v>
      </c>
      <c r="CT383" s="75">
        <f t="shared" si="658"/>
        <v>0</v>
      </c>
      <c r="CU383" s="76">
        <f t="shared" si="659"/>
        <v>0</v>
      </c>
      <c r="CV383" s="76">
        <f t="shared" si="660"/>
        <v>0</v>
      </c>
      <c r="CW383" s="76">
        <f t="shared" si="661"/>
        <v>0</v>
      </c>
      <c r="CX383" s="76">
        <f t="shared" si="662"/>
        <v>0</v>
      </c>
      <c r="CY383" s="76">
        <f t="shared" si="663"/>
        <v>0</v>
      </c>
      <c r="CZ383" s="76">
        <f t="shared" si="664"/>
        <v>0</v>
      </c>
      <c r="DA383" s="76">
        <f t="shared" si="665"/>
        <v>0</v>
      </c>
      <c r="DB383" s="76">
        <f t="shared" si="666"/>
        <v>0</v>
      </c>
      <c r="DC383" s="76">
        <f t="shared" si="667"/>
        <v>0</v>
      </c>
      <c r="DD383" s="76">
        <f t="shared" si="668"/>
        <v>0</v>
      </c>
      <c r="DE383" s="77">
        <f t="shared" si="669"/>
        <v>0</v>
      </c>
      <c r="DF383" s="73">
        <f t="shared" si="672"/>
        <v>28</v>
      </c>
      <c r="DG383" s="67">
        <f t="shared" si="673"/>
        <v>36.409999999999997</v>
      </c>
      <c r="DH383" s="76">
        <f t="shared" si="674"/>
        <v>10</v>
      </c>
      <c r="DI383" s="67">
        <f t="shared" si="675"/>
        <v>41.599999999999994</v>
      </c>
      <c r="DJ383" s="202" t="str">
        <f>IF($D382="","",$D382)</f>
        <v>13</v>
      </c>
      <c r="DK383" s="493"/>
    </row>
    <row r="384" spans="1:115" ht="14.5" customHeight="1" x14ac:dyDescent="0.2">
      <c r="A384" s="390"/>
      <c r="B384" s="457"/>
      <c r="C384" s="79" t="s">
        <v>53</v>
      </c>
      <c r="D384" s="375"/>
      <c r="E384" s="387"/>
      <c r="F384" s="378"/>
      <c r="G384" s="508"/>
      <c r="H384" s="477"/>
      <c r="I384" s="171"/>
      <c r="J384" s="172"/>
      <c r="K384" s="81"/>
      <c r="L384" s="173"/>
      <c r="M384" s="174"/>
      <c r="N384" s="407"/>
      <c r="O384" s="86" t="str">
        <f>IF(OR(AE382="",AE383=""),"",IF(L384&gt;0,ROUND(IF(M384&gt;0,M384,IF(M382&gt;0,ROUND((M382*AE384)/AE382,IF(N382=0,2,IF(N382=0.1,1,0))),IF(M383&gt;0,ROUND((M383*AE384)/AE383,IF(N382=0,2,IF(N382=0.1,1,0))),IF(M384&gt;0,M384,0)))),2),""))</f>
        <v/>
      </c>
      <c r="P384" s="87" t="str">
        <f>IF(I383="Lay",O383*(L383/(L383-1))-O383,IF(I382="Lay",O382*(L382/(L382-1))-O382,IF(OR(L384="",O384=""),"",IF($C384="1/2W",O384/2+O384/2*L384,IF($C384="1/2L",O384/2,(O384*L384-O384)*(1-_xlfn.XLOOKUP(K384,'Fevereiro 2023 - Valor Real'!A3:A15,'Fevereiro 2023 - Valor Real'!C3:C15,0))+O384)))))</f>
        <v/>
      </c>
      <c r="Q384" s="54" t="str">
        <f>IF(K384="","",IF(_xlfn.XLOOKUP(K384,K$11:K374,$DJ$11:DJ374,0,,-1)=DJ384,_xlfn.XLOOKUP(K384,K$11:K374,Q$11:Q374,1,,-1)+1,1))</f>
        <v/>
      </c>
      <c r="R384" s="87" t="str">
        <f>IF(K384="","",_xlfn.XLOOKUP(K384,K$11:K374,R$11:R374,0,,-1)+IF($C384=" ",1,0))</f>
        <v/>
      </c>
      <c r="S384" s="404"/>
      <c r="T384" s="378"/>
      <c r="U384" s="378"/>
      <c r="V384" s="404"/>
      <c r="W384" s="378"/>
      <c r="X384" s="453"/>
      <c r="Y384" s="383"/>
      <c r="Z384" s="384"/>
      <c r="AA384" s="384"/>
      <c r="AB384" s="384"/>
      <c r="AC384" s="384"/>
      <c r="AD384" s="90"/>
      <c r="AE384" s="91" t="str">
        <f>IF(L384="","",(SUM(((L382-1)*(1-_xlfn.XLOOKUP(K382,'Fevereiro 2023 - Valor Real'!A3:A15,'Fevereiro 2023 - Valor Real'!C3:C15,0))+1),((L383-1)*(1-_xlfn.XLOOKUP(K383,'Fevereiro 2023 - Valor Real'!A3:A15,'Fevereiro 2023 - Valor Real'!C3:C15,0))+1),((L384-1)*(1-_xlfn.XLOOKUP(K384,'Fevereiro 2023 - Valor Real'!A3:A15,'Fevereiro 2023 - Valor Real'!C3:C15,0))+1))/((L384-1)*(1-_xlfn.XLOOKUP(K384,'Fevereiro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Real'!C3:C15,0))+1))/((L382-1)*(1-_xlfn.XLOOKUP(K382,'Fevereiro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Real'!C3:C15,0))+1))/((L383-1)*(1-_xlfn.XLOOKUP(K383,'Fevereiro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Real'!C3:C15,0))+1))/((L384-1)*(1-_xlfn.XLOOKUP(K384,'Fevereiro 2023 - Valor Real'!A3:A15,'Fevereiro 2023 - Valor Real'!C3:C15,0))+1)))</f>
        <v/>
      </c>
      <c r="AF384" s="66">
        <f t="shared" ref="AF384:AR393" si="763">IF($K384=AF$3,ROUND(IF(OR($C384="W",$C384="1/2W",$C384="1/2L"),$P384-$O384,IF($C384="X",0,-$O384)),2),0)</f>
        <v>0</v>
      </c>
      <c r="AG384" s="67">
        <f t="shared" si="763"/>
        <v>0</v>
      </c>
      <c r="AH384" s="67">
        <f t="shared" si="763"/>
        <v>0</v>
      </c>
      <c r="AI384" s="67">
        <f t="shared" si="763"/>
        <v>0</v>
      </c>
      <c r="AJ384" s="67">
        <f t="shared" si="763"/>
        <v>0</v>
      </c>
      <c r="AK384" s="67">
        <f t="shared" si="763"/>
        <v>0</v>
      </c>
      <c r="AL384" s="67">
        <f t="shared" si="763"/>
        <v>0</v>
      </c>
      <c r="AM384" s="67">
        <f t="shared" si="763"/>
        <v>0</v>
      </c>
      <c r="AN384" s="67">
        <f t="shared" si="763"/>
        <v>0</v>
      </c>
      <c r="AO384" s="67">
        <f t="shared" si="763"/>
        <v>0</v>
      </c>
      <c r="AP384" s="67">
        <f t="shared" si="763"/>
        <v>0</v>
      </c>
      <c r="AQ384" s="67">
        <f t="shared" si="763"/>
        <v>0</v>
      </c>
      <c r="AR384" s="68">
        <f t="shared" si="763"/>
        <v>0</v>
      </c>
      <c r="AS384" s="66">
        <f>IF(AND($B382=" ",$K384=AS$3),$O384,0)</f>
        <v>0</v>
      </c>
      <c r="AT384" s="67">
        <f>IF(AND($B382=" ",K384=AT$3),$O384,0)</f>
        <v>0</v>
      </c>
      <c r="AU384" s="67">
        <f t="shared" ref="AU384:BE384" si="764">IF(AND($B382=" ",$K384=AU$3),$O384,0)</f>
        <v>0</v>
      </c>
      <c r="AV384" s="67">
        <f t="shared" si="764"/>
        <v>0</v>
      </c>
      <c r="AW384" s="67">
        <f t="shared" si="764"/>
        <v>0</v>
      </c>
      <c r="AX384" s="67">
        <f t="shared" si="764"/>
        <v>0</v>
      </c>
      <c r="AY384" s="69">
        <f t="shared" si="764"/>
        <v>0</v>
      </c>
      <c r="AZ384" s="70">
        <f t="shared" si="764"/>
        <v>0</v>
      </c>
      <c r="BA384" s="70">
        <f t="shared" si="764"/>
        <v>0</v>
      </c>
      <c r="BB384" s="70">
        <f t="shared" si="764"/>
        <v>0</v>
      </c>
      <c r="BC384" s="71">
        <f t="shared" si="764"/>
        <v>0</v>
      </c>
      <c r="BD384" s="67">
        <f t="shared" si="764"/>
        <v>0</v>
      </c>
      <c r="BE384" s="68">
        <f t="shared" si="764"/>
        <v>0</v>
      </c>
      <c r="BF384" s="66">
        <f t="shared" ref="BF384:BR393" si="765">IF($K384=BF$3,IF($C384="X",0,$O384),0)</f>
        <v>0</v>
      </c>
      <c r="BG384" s="168">
        <f t="shared" si="765"/>
        <v>0</v>
      </c>
      <c r="BH384" s="67">
        <f t="shared" si="765"/>
        <v>0</v>
      </c>
      <c r="BI384" s="67">
        <f t="shared" si="765"/>
        <v>0</v>
      </c>
      <c r="BJ384" s="67">
        <f t="shared" si="765"/>
        <v>0</v>
      </c>
      <c r="BK384" s="67">
        <f t="shared" si="765"/>
        <v>0</v>
      </c>
      <c r="BL384" s="67">
        <f t="shared" si="765"/>
        <v>0</v>
      </c>
      <c r="BM384" s="69">
        <f t="shared" si="765"/>
        <v>0</v>
      </c>
      <c r="BN384" s="70">
        <f t="shared" si="765"/>
        <v>0</v>
      </c>
      <c r="BO384" s="70">
        <f t="shared" si="765"/>
        <v>0</v>
      </c>
      <c r="BP384" s="70">
        <f t="shared" si="765"/>
        <v>0</v>
      </c>
      <c r="BQ384" s="71">
        <f t="shared" si="765"/>
        <v>0</v>
      </c>
      <c r="BR384" s="68">
        <f t="shared" si="765"/>
        <v>0</v>
      </c>
      <c r="BS384" s="491"/>
      <c r="BT384" s="489"/>
      <c r="BU384" s="392"/>
      <c r="BV384" s="489"/>
      <c r="BW384" s="392"/>
      <c r="BX384" s="392"/>
      <c r="BY384" s="392"/>
      <c r="BZ384" s="489"/>
      <c r="CA384" s="392"/>
      <c r="CB384" s="392"/>
      <c r="CC384" s="392"/>
      <c r="CD384" s="401"/>
      <c r="CE384" s="409"/>
      <c r="CF384" s="169">
        <f t="shared" si="644"/>
        <v>0</v>
      </c>
      <c r="CG384" s="170">
        <f t="shared" si="645"/>
        <v>0</v>
      </c>
      <c r="CH384" s="170">
        <f t="shared" si="646"/>
        <v>0</v>
      </c>
      <c r="CI384" s="170">
        <f t="shared" si="647"/>
        <v>0</v>
      </c>
      <c r="CJ384" s="170">
        <f t="shared" si="648"/>
        <v>0</v>
      </c>
      <c r="CK384" s="170">
        <f t="shared" si="649"/>
        <v>0</v>
      </c>
      <c r="CL384" s="170">
        <f t="shared" si="650"/>
        <v>0</v>
      </c>
      <c r="CM384" s="170">
        <f t="shared" si="651"/>
        <v>0</v>
      </c>
      <c r="CN384" s="170">
        <f t="shared" si="652"/>
        <v>0</v>
      </c>
      <c r="CO384" s="170">
        <f t="shared" si="653"/>
        <v>0</v>
      </c>
      <c r="CP384" s="170">
        <f t="shared" si="654"/>
        <v>0</v>
      </c>
      <c r="CQ384" s="170">
        <f t="shared" si="655"/>
        <v>0</v>
      </c>
      <c r="CR384" s="170">
        <f t="shared" si="656"/>
        <v>0</v>
      </c>
      <c r="CS384" s="170">
        <f t="shared" si="657"/>
        <v>0</v>
      </c>
      <c r="CT384" s="75">
        <f t="shared" si="658"/>
        <v>0</v>
      </c>
      <c r="CU384" s="76">
        <f t="shared" si="659"/>
        <v>0</v>
      </c>
      <c r="CV384" s="76">
        <f t="shared" si="660"/>
        <v>0</v>
      </c>
      <c r="CW384" s="76">
        <f t="shared" si="661"/>
        <v>0</v>
      </c>
      <c r="CX384" s="76">
        <f t="shared" si="662"/>
        <v>0</v>
      </c>
      <c r="CY384" s="76">
        <f t="shared" si="663"/>
        <v>0</v>
      </c>
      <c r="CZ384" s="76">
        <f t="shared" si="664"/>
        <v>0</v>
      </c>
      <c r="DA384" s="76">
        <f t="shared" si="665"/>
        <v>0</v>
      </c>
      <c r="DB384" s="76">
        <f t="shared" si="666"/>
        <v>0</v>
      </c>
      <c r="DC384" s="76">
        <f t="shared" si="667"/>
        <v>0</v>
      </c>
      <c r="DD384" s="76">
        <f t="shared" si="668"/>
        <v>0</v>
      </c>
      <c r="DE384" s="77">
        <f t="shared" si="669"/>
        <v>0</v>
      </c>
      <c r="DF384" s="73">
        <f t="shared" si="672"/>
        <v>28</v>
      </c>
      <c r="DG384" s="67">
        <f t="shared" si="673"/>
        <v>36.409999999999997</v>
      </c>
      <c r="DH384" s="76">
        <f t="shared" si="674"/>
        <v>10</v>
      </c>
      <c r="DI384" s="67">
        <f t="shared" si="675"/>
        <v>41.599999999999994</v>
      </c>
      <c r="DJ384" s="202" t="str">
        <f>IF($D382="","",$D382)</f>
        <v>13</v>
      </c>
      <c r="DK384" s="493"/>
    </row>
    <row r="385" spans="1:115" ht="14.5" customHeight="1" x14ac:dyDescent="0.2">
      <c r="A385" s="459">
        <f>$A382+1</f>
        <v>128</v>
      </c>
      <c r="B385" s="507" t="str">
        <f>IF(OR(C385="W",C386="W",C387="W",C385="1/2W",C386="1/2W",C387="1/2W",C385="1/2L",C386="1/2L",C387="1/2L"),"OK",IF(OR(C385="L",C386="L",C387="L"),"LOSS",IF(OR(C385="X",C386="X",C387="X"),"Anulado"," ")))</f>
        <v>OK</v>
      </c>
      <c r="C385" s="93" t="s">
        <v>55</v>
      </c>
      <c r="D385" s="468" t="str">
        <f>IF(G385="","",$D382)</f>
        <v>13</v>
      </c>
      <c r="E385" s="485" t="str">
        <f>IF(G385=""," ","– "&amp;COUNTIF(D$4:D387,$D385))</f>
        <v>– 3</v>
      </c>
      <c r="F385" s="509" t="str">
        <f ca="1">IF(G385="","",IF(OR(AND($C385&lt;&gt;" ",$C386=" "),AND($C386&lt;&gt;" ",$C385=" "),AND(L387&gt;0,OR(AND($C387&lt;&gt;" ",OR($C385=" ",$C386=" ")),AND($C387=" ",OR($C385&lt;&gt;" ",$C386&lt;&gt;" "))))),IF(SUM(F$4:F384)=0,1,LARGE(F$4:F384,1)+1),IF(MONTH(G385)=MONTH(TODAY()),IF(AND(DAY(G385)&lt;DAY(TODAY()),$B385=" "),IF(SUM(F$4:F384)=0,1,LARGE(F$4:F384,1)+1),IF($B385=" ",IF(AND(DAY(G385)=DAY(TODAY()),HOUR(G385)&lt;=HOUR(NOW())+1),IF(AND(HOUR(G385)+2&lt;=HOUR(NOW()),DAY(G385)&lt;=DAY(TODAY()),MINUTE(G385)&lt;=MINUTE(NOW())),IF(SUM(F$4:F384)=0,1,LARGE(F$4:F384,1)+1),IF(OR(MINUTE(G385)&lt;=MINUTE(NOW()),HOUR(G385)&lt;=HOUR(NOW())),"!!!","")),""),"")),"")))</f>
        <v/>
      </c>
      <c r="G385" s="482">
        <f>IF(H385="","",_xlfn.XLOOKUP(H385,$H$4:H384,$G$4:G384,""))</f>
        <v>44998.447916666664</v>
      </c>
      <c r="H385" s="475" t="s">
        <v>166</v>
      </c>
      <c r="I385" s="94" t="s">
        <v>61</v>
      </c>
      <c r="J385" s="176"/>
      <c r="K385" s="96" t="s">
        <v>36</v>
      </c>
      <c r="L385" s="97">
        <v>3.4</v>
      </c>
      <c r="M385" s="98"/>
      <c r="N385" s="478">
        <v>0.1</v>
      </c>
      <c r="O385" s="99">
        <f>IF(OR(AE385="",AE386=""),"",ROUND(IF(L387&gt;0,IF(M385&gt;0,M385,IF(M386&gt;0,ROUND((M386*AE385)/AE386,IF(N385=0,2,IF(N385=0.1,1,0))),ROUND((M387*AE385)/AE387,IF(N385=0,2,IF(N385=0.1,1,0))))),IF(M385&gt;0,M385,ROUND((M386*AE385)/AE386,IF(N385=0,2,IF(N385=0.1,1,0))))),2))</f>
        <v>6.5</v>
      </c>
      <c r="P385" s="100">
        <f>IF(OR(L385="",O385=""),"",IF($C385="1/2W",O385/2+O385/2*L385,IF($C385="1/2L",O385/2,IF(I385="Lay",(O385*(L385/(L385-1))-O385)*(1-_xlfn.XLOOKUP(K385,'Fevereiro 2023 - Valor Real'!A3:A15,'Fevereiro 2023 - Valor Real'!C3:C15,0))+O385,(O385*L385-O385)*(1-_xlfn.XLOOKUP(K385,'Fevereiro 2023 - Valor Real'!A3:A15,'Fevereiro 2023 - Valor Real'!C3:C15,0))+O385))))</f>
        <v>22.099999999999998</v>
      </c>
      <c r="Q385" s="101">
        <f>IF(K385="","",IF(_xlfn.XLOOKUP(K385,K$4:K384,$DJ$4:DJ384,0,,-1)=DJ385,_xlfn.XLOOKUP(K385,K$4:K384,Q$4:Q384,1,,-1)+1,1))</f>
        <v>2</v>
      </c>
      <c r="R385" s="102">
        <f>IF(K385="","",_xlfn.XLOOKUP(K385,K$4:K384,R$4:R384,0,,-1)+IF($C385=" ",1,0))</f>
        <v>0</v>
      </c>
      <c r="S385" s="474">
        <f>IF($B385="Anulado",0,ROUND(IF(OR($B385="LOSS",$B385="OK"),IF(OR($C385="W",$C385="1/2W",$C385="1/2L"),P385-O385,IF($C385="L",-O385,0))+IF(OR($C386="W",$C386="1/2W",$C386="1/2L"),P386-O386,IF($C386="L",-O386,0))+IF(OR($C387="W",$C387="1/2W",$C387="1/2L"),P387-O387,IF($C387="L",-O387,0)),IF(AND(OR($C385="W",$C385="1/2W",$C385="1/2L"),C386="W"),P385+P386-SUM(O385:O387)+_xlfn.XLOOKUP("X",C385:C387,O385:O387,0),IF(AND(C385=TRUE,C387="W"),P385+P387-SUM(O385:O387),IF(AND(C386="W",C387="W"),P386+P387-SUM(O385:O387)+_xlfn.XLOOKUP("X",C385:C387,O385:O387,0),IF(L387&gt;0,IF(OR($C385="W",$C385="1/2W",$C385="1/2L"),P385-SUM(O385:O387)+_xlfn.XLOOKUP("X",C385:C387,O385:O387,0),IF(OR($C385="W",$C385="1/2W",$C385="1/2L"),P386-SUM(O385:O387)+_xlfn.XLOOKUP("X",C385:C387,O385:O387,0),IF(OR($C385="W",$C385="1/2W",$C385="1/2L"),P387-SUM(O385:O387)+_xlfn.XLOOKUP("X",C385:C387,O385:O387,0),IF(SUM(P385:P387)/3-SUM(O385:O387)+_xlfn.XLOOKUP("X",C385:C387,O385:O387,0)&gt;0,SUM(P385:P387)/3-SUM(O385:O387)+_xlfn.XLOOKUP("X",C385:C387,O385:O387,0),LARGE(P385:P387,1)-SUM(O385:O387))))),IF(OR($C385="W",$C385="1/2W",$C385="1/2L"),P385-SUM(O385:O386)+_xlfn.XLOOKUP("X",C385:C387,O385:O387,0),IF(OR($C385="W",$C385="1/2W",$C385="1/2L"),P386-SUM(O385:O386)+_xlfn.XLOOKUP("X",C385:C387,O385:O387,0),SUM(P385:P386)/2-SUM(O385:O386)+_xlfn.XLOOKUP("X",C385:C387,O385:O387,0)))))))),2))</f>
        <v>1.32</v>
      </c>
      <c r="T385" s="458">
        <f>IF(S385=0,0,S385/SUM(O385:O387))</f>
        <v>6.3737324963785605E-2</v>
      </c>
      <c r="U385" s="470">
        <f>IF($D385=$D382,IF(OR($B385="LOSS",$B385="OK",$B385="Anulada"),S385,0)+U382,IF(OR($B385="LOSS",$B385="OK",$B385="Anulada"),S385,0))</f>
        <v>4.54</v>
      </c>
      <c r="V385" s="470">
        <f>IF($D385="",0,IF($D385=$D382,IF($B385=" ",IF(I387="",IF(OR(AND(I385="DNB1",I386="DNB2"),AND(OR(I385="DNB1",I385="DNB2"),J386=0),AND(OR(I386="DNB1",I386="DNB2"),J385=0),AND(I385="DNB2",I386="DNB1"),AND(IF(J385=0,(J385+1)/ROUND(J385+1,0),J385/ROUND(J385,0))=1,IF(J386=0,(J386+1)/ROUND(IF(J386="",0,J386)+1,0),IF(J386="",0,J386)/ROUND(IF(J386="",1,J386),0))=1,OR(J385&lt;&gt;""),J386&lt;&gt;"")),0,IF(S385&lt;0,IF(I387="",SMALL(P385:P386,1)-SUM(O385:O386),0),SMALL(P385:P386,1)-SUM(O385:O386))),IF(S385&lt;0,IF(I387="",SMALL(P385:P387,1)-SUM(O385:O387),0),LARGE(P385:P387,1)-SUM(O385:O387))),S385)+V382,IF(I387="",IF(OR(AND(I385="DNB1",I386="DNB2"),AND(OR(I385="DNB1",I385="DNB2"),J386=0),AND(OR(I386="DNB1",I386="DNB2"),J385=0),AND(I385="DNB2",I386="DNB1"),AND(IF(J385=0,(J385+1)/ROUND(J385+1,0),J385/ROUND(J385,0))=1,IF(J386=0,(IF(J386="",0,J386)+1)/ROUND(IF(J386="",0,J386)+1,0),IF(J386="",0,J386)/ROUND(IF(J386="",0,J386)+1,0))=1,OR(J385&lt;&gt;""),J386&lt;&gt;"")),0,IF(S385&lt;0,IF(I387="",SMALL(P385:P386,1)-SUM(O385:O386),0),SMALL(P385:P387,1)-SUM(O385:O387))),IF(S385&lt;0,IF(I387="",SMALL(P385:P387,1)-SUM(O385:O387),0),LARGE(P385:P387,1)-SUM(O385:O387)))))</f>
        <v>4.1570000000000045</v>
      </c>
      <c r="W385" s="470">
        <f>IF($D385=$D382,IF(S385&lt;0,IF(I387="",S385,0),S385)+W382,S385)</f>
        <v>4.54</v>
      </c>
      <c r="X385" s="480" t="str">
        <f>IF(OR(SUM(R385:R387)=0,V385=W385),ROUND(IF(W385=0,0,W385/Y385)*100,2)&amp;"%",ROUND(IF(V385=0,0,V385/Y385)*100,2)&amp;"% a "&amp;ROUND(IF(W385=0,0,W385/Y385)*100,2)&amp;"%")</f>
        <v>6,03%</v>
      </c>
      <c r="Y385" s="471">
        <f>IF($D385=$D382,Y382+SUM(O385:O387),SUM(O385:O387))</f>
        <v>75.239999999999995</v>
      </c>
      <c r="Z385" s="470">
        <f>IF($B385=" ",SUM(O385:O387),0)+Z382</f>
        <v>0</v>
      </c>
      <c r="AA385" s="470">
        <f>IF(G385="","",IF($B385="Anulado",LARGE(P385:P387,1)-SUM(O385:O387)+AA382,AA382))</f>
        <v>10.700299999999997</v>
      </c>
      <c r="AB385" s="470">
        <f>IF($D385="","",AB382+S385)</f>
        <v>462.8900000000001</v>
      </c>
      <c r="AC385" s="472">
        <f ca="1">IF($D385="","",IF($B385=" ",IF(DAY(G385)=DAY(TODAY()),1+AC382,0+AC382),0+AC382))</f>
        <v>0</v>
      </c>
      <c r="AD385" s="103">
        <f>(((L386/(L386-1)-1)*(1-_xlfn.XLOOKUP(K386,'Fevereiro 2023 - Valor Real'!A3:A15,'Fevereiro 2023 - Valor Real'!C3:C15,0))+1))/(((L385-1)*(1-_xlfn.XLOOKUP(K385,'Fevereiro 2023 - Valor Real'!A3:A15,'Fevereiro 2023 - Valor Real'!C3:C15,0))+1)+((L386/(L386-1)-1)*(1-_xlfn.XLOOKUP(K386,'Fevereiro 2023 - Valor Real'!A3:A15,'Fevereiro 2023 - Valor Real'!C3:C15,0))+1))</f>
        <v>0.45321637426900585</v>
      </c>
      <c r="AE385" s="104">
        <f>IF(L385="","",IF(L387&gt;0,(SUM(((L385-1)*(1-_xlfn.XLOOKUP(K385,'Fevereiro 2023 - Valor Real'!A3:A15,'Fevereiro 2023 - Valor Real'!C3:C15,0))+1),((L386-1)*(1-_xlfn.XLOOKUP(K386,'Fevereiro 2023 - Valor Real'!A3:A15,'Fevereiro 2023 - Valor Real'!C3:C15,0))+1),((L387-1)*(1-_xlfn.XLOOKUP(K387,'Fevereiro 2023 - Valor Real'!A3:A15,'Fevereiro 2023 - Valor Real'!C3:C15,0))+1))/((L385-1)*(1-_xlfn.XLOOKUP(K385,'Fevereiro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Real'!C3:C15,0))+1))/((L385-1)*(1-_xlfn.XLOOKUP(K385,'Fevereiro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Real'!C3:C15,0))+1))/((L386-1)*(1-_xlfn.XLOOKUP(K386,'Fevereiro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Real'!C3:C15,0))+1))/((L387-1)*(1-_xlfn.XLOOKUP(K387,'Fevereiro 2023 - Valor Real'!A3:A15,'Fevereiro 2023 - Valor Real'!C3:C15,0))+1)),IF(I385="Lay",IF(I386="Lay",((L386/(L386-1)-1)*(1-_xlfn.XLOOKUP(K386,'Fevereiro 2023 - Valor Real'!A3:A15,'Fevereiro 2023 - Valor Real'!C3:C15,0))+1)/(((L386/(L386-1)-1)*(1-_xlfn.XLOOKUP(K386,'Fevereiro 2023 - Valor Real'!A3:A15,'Fevereiro 2023 - Valor Real'!C3:C15,0))+1)+((L385/(L385-1)-1)*(1-_xlfn.XLOOKUP(K385,'Fevereiro 2023 - Valor Real'!A3:A15,'Fevereiro 2023 - Valor Real'!C3:C15,0))+1)),((L386-1)*(1-_xlfn.XLOOKUP(K386,'Fevereiro 2023 - Valor Real'!A3:A15,'Fevereiro 2023 - Valor Real'!C3:C15,0))+1)/(((L386-1)*(1-_xlfn.XLOOKUP(K386,'Fevereiro 2023 - Valor Real'!A3:A15,'Fevereiro 2023 - Valor Real'!C3:C15,0))+1)+((L385/(L385-1)-1)*(1-_xlfn.XLOOKUP(K385,'Fevereiro 2023 - Valor Real'!A3:A15,'Fevereiro 2023 - Valor Real'!C3:C15,0))+1))),IF(I386="Lay",(((L386/(L386-1)-1)*(1-_xlfn.XLOOKUP(K386,'Fevereiro 2023 - Valor Real'!A3:A15,'Fevereiro 2023 - Valor Real'!C3:C15,0))+1))/(((L385-1)*(1-_xlfn.XLOOKUP(K385,'Fevereiro 2023 - Valor Real'!A3:A15,'Fevereiro 2023 - Valor Real'!C3:C15,0))+1)+((L386/(L386-1)-1)*(1-_xlfn.XLOOKUP(K386,'Fevereiro 2023 - Valor Real'!A3:A15,'Fevereiro 2023 - Valor Real'!C3:C15,0))+1)),((L386-1)*(1-_xlfn.XLOOKUP(K386,'Fevereiro 2023 - Valor Real'!A3:A15,'Fevereiro 2023 - Valor Real'!C3:C15,0))+1)/(((L386-1)*(1-_xlfn.XLOOKUP(K386,'Fevereiro 2023 - Valor Real'!A3:A15,'Fevereiro 2023 - Valor Real'!C3:C15,0))+1)+((L385-1)*(1-_xlfn.XLOOKUP(K385,'Fevereiro 2023 - Valor Real'!A3:A15,'Fevereiro 2023 - Valor Real'!C3:C15,0))+1))))))</f>
        <v>0.31313131313131315</v>
      </c>
      <c r="AF385" s="105">
        <f t="shared" si="763"/>
        <v>-6.5</v>
      </c>
      <c r="AG385" s="106">
        <f t="shared" si="763"/>
        <v>0</v>
      </c>
      <c r="AH385" s="106">
        <f t="shared" si="763"/>
        <v>0</v>
      </c>
      <c r="AI385" s="106">
        <f t="shared" si="763"/>
        <v>0</v>
      </c>
      <c r="AJ385" s="106">
        <f t="shared" si="763"/>
        <v>0</v>
      </c>
      <c r="AK385" s="106">
        <f t="shared" si="763"/>
        <v>0</v>
      </c>
      <c r="AL385" s="106">
        <f t="shared" si="763"/>
        <v>0</v>
      </c>
      <c r="AM385" s="106">
        <f t="shared" si="763"/>
        <v>0</v>
      </c>
      <c r="AN385" s="106">
        <f t="shared" si="763"/>
        <v>0</v>
      </c>
      <c r="AO385" s="106">
        <f t="shared" si="763"/>
        <v>0</v>
      </c>
      <c r="AP385" s="106">
        <f t="shared" si="763"/>
        <v>0</v>
      </c>
      <c r="AQ385" s="106">
        <f t="shared" si="763"/>
        <v>0</v>
      </c>
      <c r="AR385" s="107">
        <f t="shared" si="763"/>
        <v>0</v>
      </c>
      <c r="AS385" s="105">
        <f t="shared" ref="AS385:BE385" si="766">IF(AND($B385=" ",$K385=AS$3),$O385,0)</f>
        <v>0</v>
      </c>
      <c r="AT385" s="106">
        <f t="shared" si="766"/>
        <v>0</v>
      </c>
      <c r="AU385" s="106">
        <f t="shared" si="766"/>
        <v>0</v>
      </c>
      <c r="AV385" s="106">
        <f t="shared" si="766"/>
        <v>0</v>
      </c>
      <c r="AW385" s="106">
        <f t="shared" si="766"/>
        <v>0</v>
      </c>
      <c r="AX385" s="106">
        <f t="shared" si="766"/>
        <v>0</v>
      </c>
      <c r="AY385" s="108">
        <f t="shared" si="766"/>
        <v>0</v>
      </c>
      <c r="AZ385" s="109">
        <f t="shared" si="766"/>
        <v>0</v>
      </c>
      <c r="BA385" s="109">
        <f t="shared" si="766"/>
        <v>0</v>
      </c>
      <c r="BB385" s="109">
        <f t="shared" si="766"/>
        <v>0</v>
      </c>
      <c r="BC385" s="110">
        <f t="shared" si="766"/>
        <v>0</v>
      </c>
      <c r="BD385" s="106">
        <f t="shared" si="766"/>
        <v>0</v>
      </c>
      <c r="BE385" s="107">
        <f t="shared" si="766"/>
        <v>0</v>
      </c>
      <c r="BF385" s="111">
        <f t="shared" si="765"/>
        <v>6.5</v>
      </c>
      <c r="BG385" s="106">
        <f t="shared" si="765"/>
        <v>0</v>
      </c>
      <c r="BH385" s="106">
        <f t="shared" si="765"/>
        <v>0</v>
      </c>
      <c r="BI385" s="106">
        <f t="shared" si="765"/>
        <v>0</v>
      </c>
      <c r="BJ385" s="106">
        <f t="shared" si="765"/>
        <v>0</v>
      </c>
      <c r="BK385" s="106">
        <f t="shared" si="765"/>
        <v>0</v>
      </c>
      <c r="BL385" s="106">
        <f t="shared" si="765"/>
        <v>0</v>
      </c>
      <c r="BM385" s="108">
        <f t="shared" si="765"/>
        <v>0</v>
      </c>
      <c r="BN385" s="109">
        <f t="shared" si="765"/>
        <v>0</v>
      </c>
      <c r="BO385" s="109">
        <f t="shared" si="765"/>
        <v>0</v>
      </c>
      <c r="BP385" s="109">
        <f t="shared" si="765"/>
        <v>0</v>
      </c>
      <c r="BQ385" s="110">
        <f t="shared" si="765"/>
        <v>0</v>
      </c>
      <c r="BR385" s="107">
        <f t="shared" si="765"/>
        <v>0</v>
      </c>
      <c r="BS385" s="463">
        <f>IF($B385="LOSS",IF(AND($K385=BS$3,$C385="L"),-$O385,0)+IF(AND($K386=BS$3,$C386="L"),-$O386,0)+IF(AND($K387=BS$3,$C387="L"),-$O387,0),IF(OR(AND($K385=BS$3,OR($C385="W",$C385="1/2W")),AND($K386=BS$3,OR($C386="W",$C386="1/2W")),AND($K387=BS$3,OR($C387="W",$C387="1/2W"))),$S385,0))</f>
        <v>0</v>
      </c>
      <c r="BT385" s="462">
        <f>IF($B385="LOSS",IF(AND($K385=BT$3,$C385="L"),-$O385,0)+IF(AND($K386=BT$3,$C386="L"),-$O386,0)+IF(AND($K386=BT$3,$C387="L"),-$O387,0),IF(OR(AND($K386=BT$3,OR($C385="W",$C385="1/2W")),AND($K386=BT$3,OR($C386="W",$C386="1/2W")),AND($K386=BT$3,OR($C387="W",$C387="1/2W"))),$S385,0))</f>
        <v>1.32</v>
      </c>
      <c r="BU385" s="462">
        <f>IF($B385="LOSS",IF(AND($K385=BU$3,$C385="L"),-$O385,0)+IF(AND($K386=BU$3,$C386="L"),-$O386,0)+IF(AND($K386=BU$3,$C387="L"),-$O387,0),IF(OR(AND($K386=BU$3,OR($C385="W",$C385="1/2W")),AND($K386=BU$3,OR($C386="W",$C386="1/2W")),AND($K386=BU$3,OR($C387="W",$C387="1/2W"))),$S385,0))</f>
        <v>0</v>
      </c>
      <c r="BV385" s="462">
        <f t="shared" ref="BV385:CE385" si="767">IF($B385="LOSS",IF(AND($K385=BV$3,$C385="L"),-$O385,0)+IF(AND($K386=BV$3,$C386="L"),-$O386,0)+IF(AND($K387=BV$3,$C387="L"),-$O387,0),IF(OR(AND($K385=BV$3,OR($C385="W",$C385="1/2W")),AND($K386=BV$3,OR($C386="W",$C386="1/2W")),AND($K387=BV$3,OR($C387="W",$C387="1/2W"))),$S385,0))</f>
        <v>0</v>
      </c>
      <c r="BW385" s="462">
        <f t="shared" si="767"/>
        <v>0</v>
      </c>
      <c r="BX385" s="462">
        <f t="shared" si="767"/>
        <v>0</v>
      </c>
      <c r="BY385" s="462">
        <f t="shared" si="767"/>
        <v>0</v>
      </c>
      <c r="BZ385" s="460">
        <f t="shared" si="767"/>
        <v>0</v>
      </c>
      <c r="CA385" s="460">
        <f t="shared" si="767"/>
        <v>0</v>
      </c>
      <c r="CB385" s="460">
        <f t="shared" si="767"/>
        <v>0</v>
      </c>
      <c r="CC385" s="460">
        <f t="shared" si="767"/>
        <v>0</v>
      </c>
      <c r="CD385" s="473">
        <f t="shared" si="767"/>
        <v>0</v>
      </c>
      <c r="CE385" s="479">
        <f t="shared" si="767"/>
        <v>0</v>
      </c>
      <c r="CF385" s="113">
        <f t="shared" si="644"/>
        <v>0</v>
      </c>
      <c r="CG385" s="114">
        <f t="shared" si="645"/>
        <v>1</v>
      </c>
      <c r="CH385" s="114">
        <f t="shared" si="646"/>
        <v>0</v>
      </c>
      <c r="CI385" s="114">
        <f t="shared" si="647"/>
        <v>0</v>
      </c>
      <c r="CJ385" s="114">
        <f t="shared" si="648"/>
        <v>0</v>
      </c>
      <c r="CK385" s="114">
        <f t="shared" si="649"/>
        <v>0</v>
      </c>
      <c r="CL385" s="114">
        <f t="shared" si="650"/>
        <v>0</v>
      </c>
      <c r="CM385" s="114">
        <f t="shared" si="651"/>
        <v>0</v>
      </c>
      <c r="CN385" s="114">
        <f t="shared" si="652"/>
        <v>0</v>
      </c>
      <c r="CO385" s="114">
        <f t="shared" si="653"/>
        <v>0</v>
      </c>
      <c r="CP385" s="114">
        <f t="shared" si="654"/>
        <v>0</v>
      </c>
      <c r="CQ385" s="114">
        <f t="shared" si="655"/>
        <v>0</v>
      </c>
      <c r="CR385" s="114">
        <f t="shared" si="656"/>
        <v>0</v>
      </c>
      <c r="CS385" s="114">
        <f t="shared" si="657"/>
        <v>0</v>
      </c>
      <c r="CT385" s="115">
        <f t="shared" si="658"/>
        <v>0</v>
      </c>
      <c r="CU385" s="116">
        <f t="shared" si="659"/>
        <v>0</v>
      </c>
      <c r="CV385" s="116">
        <f t="shared" si="660"/>
        <v>0</v>
      </c>
      <c r="CW385" s="116">
        <f t="shared" si="661"/>
        <v>0</v>
      </c>
      <c r="CX385" s="116">
        <f t="shared" si="662"/>
        <v>0</v>
      </c>
      <c r="CY385" s="116">
        <f t="shared" si="663"/>
        <v>0</v>
      </c>
      <c r="CZ385" s="116">
        <f t="shared" si="664"/>
        <v>0</v>
      </c>
      <c r="DA385" s="116">
        <f t="shared" si="665"/>
        <v>0</v>
      </c>
      <c r="DB385" s="116">
        <f t="shared" si="666"/>
        <v>0</v>
      </c>
      <c r="DC385" s="116">
        <f t="shared" si="667"/>
        <v>0</v>
      </c>
      <c r="DD385" s="116">
        <f t="shared" si="668"/>
        <v>0</v>
      </c>
      <c r="DE385" s="117">
        <f t="shared" si="669"/>
        <v>0</v>
      </c>
      <c r="DF385" s="118">
        <f t="shared" si="672"/>
        <v>28</v>
      </c>
      <c r="DG385" s="106">
        <f t="shared" si="673"/>
        <v>36.409999999999997</v>
      </c>
      <c r="DH385" s="116">
        <f t="shared" si="674"/>
        <v>10</v>
      </c>
      <c r="DI385" s="106">
        <f t="shared" si="675"/>
        <v>41.599999999999994</v>
      </c>
      <c r="DJ385" s="201" t="str">
        <f>IF($D385="","",$D385)</f>
        <v>13</v>
      </c>
      <c r="DK385" s="465">
        <f>IF(AND($B385=" ",$D385&lt;&gt;""),1,0)</f>
        <v>0</v>
      </c>
    </row>
    <row r="386" spans="1:115" ht="14.5" customHeight="1" x14ac:dyDescent="0.2">
      <c r="A386" s="389"/>
      <c r="B386" s="456"/>
      <c r="C386" s="120" t="s">
        <v>54</v>
      </c>
      <c r="D386" s="374"/>
      <c r="E386" s="386"/>
      <c r="F386" s="377"/>
      <c r="G386" s="483"/>
      <c r="H386" s="476"/>
      <c r="I386" s="121" t="s">
        <v>63</v>
      </c>
      <c r="J386" s="179" t="str">
        <f>IF(OR(I385="TO",I385="TU",I385="TO1",I385="TU1",I385="TO2",I385="TU2"),J385,IF(OR(I385="AH1",I385="AH2"),IF(OR(I386="AH1",I386="AH2"),-J385,IF(OR(I386="EH1",I386="EH2"),-J385+0.5,"")),IF(OR(I385="EH1",I385="EH2"),IF(OR(I386="AH1",I386="AH2"),-J385+0.5,IF(OR(I386="EH1",I386="EH2"),-J385+1,"")),IF(AND(OR(I385="DNB1",I385="DNB2"),OR(I386="AH1",I386="AH2")),0,IF(AND(I385="Not ScoreBoth",OR(I386="TO1",I386="TO2")),0.5,"")))))</f>
        <v/>
      </c>
      <c r="K386" s="123" t="s">
        <v>37</v>
      </c>
      <c r="L386" s="124">
        <v>1.55</v>
      </c>
      <c r="M386" s="125">
        <v>14.21</v>
      </c>
      <c r="N386" s="406"/>
      <c r="O386" s="126">
        <f>IF(OR(AE385="",AE386=""),"",ROUND(IF(L387&gt;0,IF(M386&gt;0,M386,IF(M385&gt;0,IF(N385=TRUE,ROUND((M385*AE386)/AE385,0),(M385*AE386)/AE385),IF(M386&gt;0,ROUND(M386,IF(N385=0,2,IF(N385=0.1,1,0))),IF(M387&gt;0,ROUND(O387*AE386/AE387,IF(N385=0,2,IF(N385=0.1,1,0))),0)))),IF(M386&gt;0,M386,ROUND((M385*AE386)/AE385,IF(N385=0,2,IF(N385=0.1,1,0))))),2))</f>
        <v>14.21</v>
      </c>
      <c r="P386" s="127">
        <f>IF(OR(L386="",O386=""),"",IF($C386="1/2W",O386/2+O386/2*L386,IF($C386="1/2L",O386/2,IF(I386="Lay",((O386*(L386/(L386-1)))-O386)*(1-_xlfn.XLOOKUP(K386,'Fevereiro 2023 - Valor Real'!A3:A15,'Fevereiro 2023 - Valor Real'!C3:C15,0))+O386,(O386*L386-O386)*(1-_xlfn.XLOOKUP(K386,'Fevereiro 2023 - Valor Real'!A3:A15,'Fevereiro 2023 - Valor Real'!C3:C15,0))+O386))))</f>
        <v>22.025500000000001</v>
      </c>
      <c r="Q386" s="128">
        <f>IF(K386="","",IF(_xlfn.XLOOKUP(K386,K$4:K385,$DJ$4:DJ385,0,,-1)=DJ386,_xlfn.XLOOKUP(K386,K$4:K385,Q$4:Q385,1,,-1)+1,1))</f>
        <v>2</v>
      </c>
      <c r="R386" s="129">
        <f>IF(K386="","",_xlfn.XLOOKUP(K386,K$4:K385,R$4:R385,0,,-1)+IF($C386=" ",1,0))</f>
        <v>0</v>
      </c>
      <c r="S386" s="403"/>
      <c r="T386" s="380"/>
      <c r="U386" s="380"/>
      <c r="V386" s="481"/>
      <c r="W386" s="380"/>
      <c r="X386" s="452"/>
      <c r="Y386" s="383"/>
      <c r="Z386" s="384"/>
      <c r="AA386" s="384"/>
      <c r="AB386" s="384"/>
      <c r="AC386" s="384"/>
      <c r="AD386" s="130">
        <f>(((L386/(L386-1)-1)*(1-_xlfn.XLOOKUP(K386,'Fevereiro 2023 - Valor Real'!A3:A15,'Fevereiro 2023 - Valor Real'!C3:C15,0))+1))</f>
        <v>2.8181818181818179</v>
      </c>
      <c r="AE386" s="131">
        <f>IF(L386="","",IF(L387&gt;0,(SUM(((L385-1)*(1-_xlfn.XLOOKUP(K385,'Fevereiro 2023 - Valor Real'!A3:A15,'Fevereiro 2023 - Valor Real'!C3:C15,0))+1),((L386-1)*(1-_xlfn.XLOOKUP(K386,'Fevereiro 2023 - Valor Real'!A3:A15,'Fevereiro 2023 - Valor Real'!C3:C15,0))+1),((L387-1)*(1-_xlfn.XLOOKUP(K387,'Fevereiro 2023 - Valor Real'!A3:A15,'Fevereiro 2023 - Valor Real'!C3:C15,0))+1))/((L386-1)*(1-_xlfn.XLOOKUP(K386,'Fevereiro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Real'!C3:C15,0))+1))/((L385-1)*(1-_xlfn.XLOOKUP(K385,'Fevereiro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Real'!C3:C15,0))+1))/((L386-1)*(1-_xlfn.XLOOKUP(K386,'Fevereiro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Real'!C3:C15,0))+1))/((L387-1)*(1-_xlfn.XLOOKUP(K387,'Fevereiro 2023 - Valor Real'!A3:A15,'Fevereiro 2023 - Valor Real'!C3:C15,0))+1)),IF(I386="Lay",IF(I385="Lay",((L385/(L385-1)-1)*(1-_xlfn.XLOOKUP(K385,'Fevereiro 2023 - Valor Real'!A3:A15,'Fevereiro 2023 - Valor Real'!C3:C15,0))+1)/(((L385/(L385-1)-1)*(1-_xlfn.XLOOKUP(K385,'Fevereiro 2023 - Valor Real'!A3:A15,'Fevereiro 2023 - Valor Real'!C3:C15,0))+1)+((L386/(L386-1)-1)*(1-_xlfn.XLOOKUP(K386,'Fevereiro 2023 - Valor Real'!A3:A15,'Fevereiro 2023 - Valor Real'!C3:C15,0))+1)),((L385-1)*(1-_xlfn.XLOOKUP(K385,'Fevereiro 2023 - Valor Real'!A3:A15,'Fevereiro 2023 - Valor Real'!C3:C15,0))+1)/(((L385-1)*(1-_xlfn.XLOOKUP(K385,'Fevereiro 2023 - Valor Real'!A3:A15,'Fevereiro 2023 - Valor Real'!C3:C15,0))+1)+((L386/(L386-1)-1)*(1-_xlfn.XLOOKUP(K386,'Fevereiro 2023 - Valor Real'!A3:A15,'Fevereiro 2023 - Valor Real'!C3:C15,0))+1))),IF(I385="Lay",((L385/(L385-1)-1)*(1-_xlfn.XLOOKUP(K385,'Fevereiro 2023 - Valor Real'!A3:A15,'Fevereiro 2023 - Valor Real'!C3:C15,0))+1)/((((L385/(L385-1)-1)*(1-_xlfn.XLOOKUP(K385,'Fevereiro 2023 - Valor Real'!A3:A15,'Fevereiro 2023 - Valor Real'!C3:C15,0))+1))+((L386-1)*(1-_xlfn.XLOOKUP(K386,'Fevereiro 2023 - Valor Real'!A3:A15,'Fevereiro 2023 - Valor Real'!C3:C15,0))+1)),((L385-1)*(1-_xlfn.XLOOKUP(K385,'Fevereiro 2023 - Valor Real'!A3:A15,'Fevereiro 2023 - Valor Real'!C3:C15,0))+1)/(((L385-1)*(1-_xlfn.XLOOKUP(K385,'Fevereiro 2023 - Valor Real'!A3:A15,'Fevereiro 2023 - Valor Real'!C3:C15,0))+1)+((L386-1)*(1-_xlfn.XLOOKUP(K386,'Fevereiro 2023 - Valor Real'!A3:A15,'Fevereiro 2023 - Valor Real'!C3:C15,0))+1))))))</f>
        <v>0.68686868686868685</v>
      </c>
      <c r="AF386" s="105">
        <f t="shared" si="763"/>
        <v>0</v>
      </c>
      <c r="AG386" s="106">
        <f t="shared" si="763"/>
        <v>7.82</v>
      </c>
      <c r="AH386" s="106">
        <f t="shared" si="763"/>
        <v>0</v>
      </c>
      <c r="AI386" s="106">
        <f t="shared" si="763"/>
        <v>0</v>
      </c>
      <c r="AJ386" s="106">
        <f t="shared" si="763"/>
        <v>0</v>
      </c>
      <c r="AK386" s="106">
        <f t="shared" si="763"/>
        <v>0</v>
      </c>
      <c r="AL386" s="106">
        <f t="shared" si="763"/>
        <v>0</v>
      </c>
      <c r="AM386" s="106">
        <f t="shared" si="763"/>
        <v>0</v>
      </c>
      <c r="AN386" s="106">
        <f t="shared" si="763"/>
        <v>0</v>
      </c>
      <c r="AO386" s="106">
        <f t="shared" si="763"/>
        <v>0</v>
      </c>
      <c r="AP386" s="106">
        <f t="shared" si="763"/>
        <v>0</v>
      </c>
      <c r="AQ386" s="106">
        <f t="shared" si="763"/>
        <v>0</v>
      </c>
      <c r="AR386" s="107">
        <f t="shared" si="763"/>
        <v>0</v>
      </c>
      <c r="AS386" s="105">
        <f>IF(AND($B385=" ",$K386=AS$3),$O386,0)</f>
        <v>0</v>
      </c>
      <c r="AT386" s="106">
        <f>IF(AND($B385=" ",K386=AT$3),$O386,0)</f>
        <v>0</v>
      </c>
      <c r="AU386" s="106">
        <f t="shared" ref="AU386:BE386" si="768">IF(AND($B385=" ",$K386=AU$3),$O386,0)</f>
        <v>0</v>
      </c>
      <c r="AV386" s="106">
        <f t="shared" si="768"/>
        <v>0</v>
      </c>
      <c r="AW386" s="106">
        <f t="shared" si="768"/>
        <v>0</v>
      </c>
      <c r="AX386" s="106">
        <f t="shared" si="768"/>
        <v>0</v>
      </c>
      <c r="AY386" s="108">
        <f t="shared" si="768"/>
        <v>0</v>
      </c>
      <c r="AZ386" s="109">
        <f t="shared" si="768"/>
        <v>0</v>
      </c>
      <c r="BA386" s="109">
        <f t="shared" si="768"/>
        <v>0</v>
      </c>
      <c r="BB386" s="109">
        <f t="shared" si="768"/>
        <v>0</v>
      </c>
      <c r="BC386" s="110">
        <f t="shared" si="768"/>
        <v>0</v>
      </c>
      <c r="BD386" s="106">
        <f t="shared" si="768"/>
        <v>0</v>
      </c>
      <c r="BE386" s="107">
        <f t="shared" si="768"/>
        <v>0</v>
      </c>
      <c r="BF386" s="105">
        <f t="shared" si="765"/>
        <v>0</v>
      </c>
      <c r="BG386" s="106">
        <f t="shared" si="765"/>
        <v>14.21</v>
      </c>
      <c r="BH386" s="106">
        <f t="shared" si="765"/>
        <v>0</v>
      </c>
      <c r="BI386" s="106">
        <f t="shared" si="765"/>
        <v>0</v>
      </c>
      <c r="BJ386" s="106">
        <f t="shared" si="765"/>
        <v>0</v>
      </c>
      <c r="BK386" s="106">
        <f t="shared" si="765"/>
        <v>0</v>
      </c>
      <c r="BL386" s="106">
        <f t="shared" si="765"/>
        <v>0</v>
      </c>
      <c r="BM386" s="132">
        <f t="shared" si="765"/>
        <v>0</v>
      </c>
      <c r="BN386" s="112">
        <f t="shared" si="765"/>
        <v>0</v>
      </c>
      <c r="BO386" s="112">
        <f t="shared" si="765"/>
        <v>0</v>
      </c>
      <c r="BP386" s="112">
        <f t="shared" si="765"/>
        <v>0</v>
      </c>
      <c r="BQ386" s="110">
        <f t="shared" si="765"/>
        <v>0</v>
      </c>
      <c r="BR386" s="107">
        <f t="shared" si="765"/>
        <v>0</v>
      </c>
      <c r="BS386" s="464"/>
      <c r="BT386" s="461"/>
      <c r="BU386" s="392"/>
      <c r="BV386" s="461"/>
      <c r="BW386" s="392"/>
      <c r="BX386" s="392"/>
      <c r="BY386" s="392"/>
      <c r="BZ386" s="461"/>
      <c r="CA386" s="392"/>
      <c r="CB386" s="392"/>
      <c r="CC386" s="392"/>
      <c r="CD386" s="401"/>
      <c r="CE386" s="409"/>
      <c r="CF386" s="133">
        <f t="shared" si="644"/>
        <v>0</v>
      </c>
      <c r="CG386" s="134">
        <f t="shared" si="645"/>
        <v>0</v>
      </c>
      <c r="CH386" s="134">
        <f t="shared" si="646"/>
        <v>1</v>
      </c>
      <c r="CI386" s="134">
        <f t="shared" si="647"/>
        <v>0</v>
      </c>
      <c r="CJ386" s="134">
        <f t="shared" si="648"/>
        <v>0</v>
      </c>
      <c r="CK386" s="134">
        <f t="shared" si="649"/>
        <v>0</v>
      </c>
      <c r="CL386" s="134">
        <f t="shared" si="650"/>
        <v>0</v>
      </c>
      <c r="CM386" s="134">
        <f t="shared" si="651"/>
        <v>0</v>
      </c>
      <c r="CN386" s="134">
        <f t="shared" si="652"/>
        <v>0</v>
      </c>
      <c r="CO386" s="134">
        <f t="shared" si="653"/>
        <v>0</v>
      </c>
      <c r="CP386" s="134">
        <f t="shared" si="654"/>
        <v>0</v>
      </c>
      <c r="CQ386" s="134">
        <f t="shared" si="655"/>
        <v>0</v>
      </c>
      <c r="CR386" s="134">
        <f t="shared" si="656"/>
        <v>0</v>
      </c>
      <c r="CS386" s="134">
        <f t="shared" si="657"/>
        <v>0</v>
      </c>
      <c r="CT386" s="115">
        <f t="shared" si="658"/>
        <v>0</v>
      </c>
      <c r="CU386" s="116">
        <f t="shared" si="659"/>
        <v>0</v>
      </c>
      <c r="CV386" s="116">
        <f t="shared" si="660"/>
        <v>0</v>
      </c>
      <c r="CW386" s="116">
        <f t="shared" si="661"/>
        <v>0</v>
      </c>
      <c r="CX386" s="116">
        <f t="shared" si="662"/>
        <v>0</v>
      </c>
      <c r="CY386" s="116">
        <f t="shared" si="663"/>
        <v>0</v>
      </c>
      <c r="CZ386" s="116">
        <f t="shared" si="664"/>
        <v>0</v>
      </c>
      <c r="DA386" s="116">
        <f t="shared" si="665"/>
        <v>0</v>
      </c>
      <c r="DB386" s="116">
        <f t="shared" si="666"/>
        <v>0</v>
      </c>
      <c r="DC386" s="116">
        <f t="shared" si="667"/>
        <v>0</v>
      </c>
      <c r="DD386" s="116">
        <f t="shared" si="668"/>
        <v>0</v>
      </c>
      <c r="DE386" s="117">
        <f t="shared" si="669"/>
        <v>0</v>
      </c>
      <c r="DF386" s="118">
        <f t="shared" si="672"/>
        <v>28</v>
      </c>
      <c r="DG386" s="106">
        <f t="shared" si="673"/>
        <v>36.409999999999997</v>
      </c>
      <c r="DH386" s="116">
        <f t="shared" si="674"/>
        <v>10</v>
      </c>
      <c r="DI386" s="106">
        <f t="shared" si="675"/>
        <v>41.599999999999994</v>
      </c>
      <c r="DJ386" s="201" t="str">
        <f>IF($D385="","",$D385)</f>
        <v>13</v>
      </c>
      <c r="DK386" s="466"/>
    </row>
    <row r="387" spans="1:115" ht="14.5" customHeight="1" x14ac:dyDescent="0.2">
      <c r="A387" s="390"/>
      <c r="B387" s="457"/>
      <c r="C387" s="135" t="s">
        <v>53</v>
      </c>
      <c r="D387" s="375"/>
      <c r="E387" s="387"/>
      <c r="F387" s="378"/>
      <c r="G387" s="484"/>
      <c r="H387" s="477"/>
      <c r="I387" s="136"/>
      <c r="J387" s="137"/>
      <c r="K387" s="138"/>
      <c r="L387" s="139"/>
      <c r="M387" s="140"/>
      <c r="N387" s="407"/>
      <c r="O387" s="141" t="str">
        <f>IF(OR(AE385="",AE386=""),"",IF(L387&gt;0,ROUND(IF(M387&gt;0,M387,IF(M385&gt;0,ROUND((M385*AE387)/AE385,IF(N385=0,2,IF(N385=0.1,1,0))),IF(M386&gt;0,ROUND((M386*AE387)/AE386,IF(N385=0,2,IF(N385=0.1,1,0))),IF(M387&gt;0,M387,0)))),2),""))</f>
        <v/>
      </c>
      <c r="P387" s="142" t="str">
        <f>IF(I386="Lay",O386*(L386/(L386-1))-O386,IF(I385="Lay",O385*(L385/(L385-1))-O385,IF(OR(L387="",O387=""),"",IF($C387="1/2W",O387/2+O387/2*L387,IF($C387="1/2L",O387/2,(O387*L387-O387)*(1-_xlfn.XLOOKUP(K387,'Fevereiro 2023 - Valor Real'!A3:A15,'Fevereiro 2023 - Valor Real'!C3:C15,0))+O387)))))</f>
        <v/>
      </c>
      <c r="Q387" s="143" t="str">
        <f>IF(K387="","",IF(_xlfn.XLOOKUP(K387,K$4:K386,$DJ$4:DJ386,0,,-1)=DJ387,_xlfn.XLOOKUP(K387,K$4:K386,Q$4:Q386,1,,-1)+1,1))</f>
        <v/>
      </c>
      <c r="R387" s="144" t="str">
        <f>IF(K387="","",_xlfn.XLOOKUP(K387,K$4:K386,R$4:R386,0,,-1)+IF($C387=" ",1,0))</f>
        <v/>
      </c>
      <c r="S387" s="404"/>
      <c r="T387" s="378"/>
      <c r="U387" s="378"/>
      <c r="V387" s="404"/>
      <c r="W387" s="378"/>
      <c r="X387" s="453"/>
      <c r="Y387" s="383"/>
      <c r="Z387" s="384"/>
      <c r="AA387" s="384"/>
      <c r="AB387" s="384"/>
      <c r="AC387" s="384"/>
      <c r="AD387" s="145">
        <f>((L386/(L386-1)-1))</f>
        <v>1.8181818181818179</v>
      </c>
      <c r="AE387" s="146" t="str">
        <f>IF(L387="","",(SUM(((L385-1)*(1-_xlfn.XLOOKUP(K385,'Fevereiro 2023 - Valor Real'!A3:A15,'Fevereiro 2023 - Valor Real'!C3:C15,0))+1),((L386-1)*(1-_xlfn.XLOOKUP(K386,'Fevereiro 2023 - Valor Real'!A3:A15,'Fevereiro 2023 - Valor Real'!C3:C15,0))+1),((L387-1)*(1-_xlfn.XLOOKUP(K387,'Fevereiro 2023 - Valor Real'!A3:A15,'Fevereiro 2023 - Valor Real'!C3:C15,0))+1))/((L387-1)*(1-_xlfn.XLOOKUP(K387,'Fevereiro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Real'!C3:C15,0))+1))/((L385-1)*(1-_xlfn.XLOOKUP(K385,'Fevereiro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Real'!C3:C15,0))+1))/((L386-1)*(1-_xlfn.XLOOKUP(K386,'Fevereiro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Real'!C3:C15,0))+1))/((L387-1)*(1-_xlfn.XLOOKUP(K387,'Fevereiro 2023 - Valor Real'!A3:A15,'Fevereiro 2023 - Valor Real'!C3:C15,0))+1)))</f>
        <v/>
      </c>
      <c r="AF387" s="105">
        <f t="shared" si="763"/>
        <v>0</v>
      </c>
      <c r="AG387" s="106">
        <f t="shared" si="763"/>
        <v>0</v>
      </c>
      <c r="AH387" s="106">
        <f t="shared" si="763"/>
        <v>0</v>
      </c>
      <c r="AI387" s="106">
        <f t="shared" si="763"/>
        <v>0</v>
      </c>
      <c r="AJ387" s="106">
        <f t="shared" si="763"/>
        <v>0</v>
      </c>
      <c r="AK387" s="106">
        <f t="shared" si="763"/>
        <v>0</v>
      </c>
      <c r="AL387" s="106">
        <f t="shared" si="763"/>
        <v>0</v>
      </c>
      <c r="AM387" s="106">
        <f t="shared" si="763"/>
        <v>0</v>
      </c>
      <c r="AN387" s="106">
        <f t="shared" si="763"/>
        <v>0</v>
      </c>
      <c r="AO387" s="106">
        <f t="shared" si="763"/>
        <v>0</v>
      </c>
      <c r="AP387" s="106">
        <f t="shared" si="763"/>
        <v>0</v>
      </c>
      <c r="AQ387" s="106">
        <f t="shared" si="763"/>
        <v>0</v>
      </c>
      <c r="AR387" s="107">
        <f t="shared" si="763"/>
        <v>0</v>
      </c>
      <c r="AS387" s="105">
        <f>IF(AND($B385=" ",$K387=AS$3),$O387,0)</f>
        <v>0</v>
      </c>
      <c r="AT387" s="106">
        <f>IF(AND($B385=" ",K387=AT$3),$O387,0)</f>
        <v>0</v>
      </c>
      <c r="AU387" s="106">
        <f t="shared" ref="AU387:BE387" si="769">IF(AND($B385=" ",$K387=AU$3),$O387,0)</f>
        <v>0</v>
      </c>
      <c r="AV387" s="106">
        <f t="shared" si="769"/>
        <v>0</v>
      </c>
      <c r="AW387" s="106">
        <f t="shared" si="769"/>
        <v>0</v>
      </c>
      <c r="AX387" s="106">
        <f t="shared" si="769"/>
        <v>0</v>
      </c>
      <c r="AY387" s="108">
        <f t="shared" si="769"/>
        <v>0</v>
      </c>
      <c r="AZ387" s="109">
        <f t="shared" si="769"/>
        <v>0</v>
      </c>
      <c r="BA387" s="109">
        <f t="shared" si="769"/>
        <v>0</v>
      </c>
      <c r="BB387" s="109">
        <f t="shared" si="769"/>
        <v>0</v>
      </c>
      <c r="BC387" s="110">
        <f t="shared" si="769"/>
        <v>0</v>
      </c>
      <c r="BD387" s="106">
        <f t="shared" si="769"/>
        <v>0</v>
      </c>
      <c r="BE387" s="107">
        <f t="shared" si="769"/>
        <v>0</v>
      </c>
      <c r="BF387" s="105">
        <f t="shared" si="765"/>
        <v>0</v>
      </c>
      <c r="BG387" s="106">
        <f t="shared" si="765"/>
        <v>0</v>
      </c>
      <c r="BH387" s="106">
        <f t="shared" si="765"/>
        <v>0</v>
      </c>
      <c r="BI387" s="106">
        <f t="shared" si="765"/>
        <v>0</v>
      </c>
      <c r="BJ387" s="106">
        <f t="shared" si="765"/>
        <v>0</v>
      </c>
      <c r="BK387" s="106">
        <f t="shared" si="765"/>
        <v>0</v>
      </c>
      <c r="BL387" s="106">
        <f t="shared" si="765"/>
        <v>0</v>
      </c>
      <c r="BM387" s="108">
        <f t="shared" si="765"/>
        <v>0</v>
      </c>
      <c r="BN387" s="109">
        <f t="shared" si="765"/>
        <v>0</v>
      </c>
      <c r="BO387" s="109">
        <f t="shared" si="765"/>
        <v>0</v>
      </c>
      <c r="BP387" s="109">
        <f t="shared" si="765"/>
        <v>0</v>
      </c>
      <c r="BQ387" s="110">
        <f t="shared" si="765"/>
        <v>0</v>
      </c>
      <c r="BR387" s="107">
        <f t="shared" si="765"/>
        <v>0</v>
      </c>
      <c r="BS387" s="464"/>
      <c r="BT387" s="461"/>
      <c r="BU387" s="392"/>
      <c r="BV387" s="461"/>
      <c r="BW387" s="392"/>
      <c r="BX387" s="392"/>
      <c r="BY387" s="392"/>
      <c r="BZ387" s="461"/>
      <c r="CA387" s="392"/>
      <c r="CB387" s="392"/>
      <c r="CC387" s="392"/>
      <c r="CD387" s="401"/>
      <c r="CE387" s="409"/>
      <c r="CF387" s="133">
        <f t="shared" si="644"/>
        <v>0</v>
      </c>
      <c r="CG387" s="134">
        <f t="shared" si="645"/>
        <v>0</v>
      </c>
      <c r="CH387" s="134">
        <f t="shared" si="646"/>
        <v>0</v>
      </c>
      <c r="CI387" s="134">
        <f t="shared" si="647"/>
        <v>0</v>
      </c>
      <c r="CJ387" s="134">
        <f t="shared" si="648"/>
        <v>0</v>
      </c>
      <c r="CK387" s="134">
        <f t="shared" si="649"/>
        <v>0</v>
      </c>
      <c r="CL387" s="134">
        <f t="shared" si="650"/>
        <v>0</v>
      </c>
      <c r="CM387" s="134">
        <f t="shared" si="651"/>
        <v>0</v>
      </c>
      <c r="CN387" s="134">
        <f t="shared" si="652"/>
        <v>0</v>
      </c>
      <c r="CO387" s="134">
        <f t="shared" si="653"/>
        <v>0</v>
      </c>
      <c r="CP387" s="134">
        <f t="shared" si="654"/>
        <v>0</v>
      </c>
      <c r="CQ387" s="134">
        <f t="shared" si="655"/>
        <v>0</v>
      </c>
      <c r="CR387" s="134">
        <f t="shared" si="656"/>
        <v>0</v>
      </c>
      <c r="CS387" s="134">
        <f t="shared" si="657"/>
        <v>0</v>
      </c>
      <c r="CT387" s="115">
        <f t="shared" si="658"/>
        <v>0</v>
      </c>
      <c r="CU387" s="116">
        <f t="shared" si="659"/>
        <v>0</v>
      </c>
      <c r="CV387" s="116">
        <f t="shared" si="660"/>
        <v>0</v>
      </c>
      <c r="CW387" s="116">
        <f t="shared" si="661"/>
        <v>0</v>
      </c>
      <c r="CX387" s="116">
        <f t="shared" si="662"/>
        <v>0</v>
      </c>
      <c r="CY387" s="116">
        <f t="shared" si="663"/>
        <v>0</v>
      </c>
      <c r="CZ387" s="116">
        <f t="shared" si="664"/>
        <v>0</v>
      </c>
      <c r="DA387" s="116">
        <f t="shared" si="665"/>
        <v>0</v>
      </c>
      <c r="DB387" s="116">
        <f t="shared" si="666"/>
        <v>0</v>
      </c>
      <c r="DC387" s="116">
        <f t="shared" si="667"/>
        <v>0</v>
      </c>
      <c r="DD387" s="116">
        <f t="shared" si="668"/>
        <v>0</v>
      </c>
      <c r="DE387" s="117">
        <f t="shared" si="669"/>
        <v>0</v>
      </c>
      <c r="DF387" s="118">
        <f t="shared" si="672"/>
        <v>28</v>
      </c>
      <c r="DG387" s="106">
        <f t="shared" si="673"/>
        <v>36.409999999999997</v>
      </c>
      <c r="DH387" s="116">
        <f t="shared" si="674"/>
        <v>10</v>
      </c>
      <c r="DI387" s="106">
        <f t="shared" si="675"/>
        <v>41.599999999999994</v>
      </c>
      <c r="DJ387" s="201" t="str">
        <f>IF($D385="","",$D385)</f>
        <v>13</v>
      </c>
      <c r="DK387" s="466"/>
    </row>
    <row r="388" spans="1:115" ht="14.5" customHeight="1" x14ac:dyDescent="0.2">
      <c r="A388" s="487">
        <f>$A385+1</f>
        <v>129</v>
      </c>
      <c r="B388" s="506" t="str">
        <f>IF(OR(C388="W",C389="W",C390="W",C388="1/2W",C389="1/2W",C390="1/2W",C388="1/2L",C389="1/2L",C390="1/2L"),"OK",IF(OR(C388="L",C389="L",C390="L"),"LOSS",IF(OR(C388="X",C389="X",C390="X"),"Anulado"," ")))</f>
        <v>OK</v>
      </c>
      <c r="C388" s="147" t="s">
        <v>54</v>
      </c>
      <c r="D388" s="494" t="str">
        <f>IF(G388="","",$D385)</f>
        <v>13</v>
      </c>
      <c r="E388" s="511" t="str">
        <f>IF(G388=""," ","– "&amp;COUNTIF(D$4:D390,$D388))</f>
        <v>– 4</v>
      </c>
      <c r="F388" s="510" t="str">
        <f ca="1">IF(G388="","",IF(OR(AND($C388&lt;&gt;" ",$C389=" "),AND($C389&lt;&gt;" ",$C388=" "),AND(L390&gt;0,OR(AND($C390&lt;&gt;" ",OR($C388=" ",$C389=" ")),AND($C390=" ",OR($C388&lt;&gt;" ",$C389&lt;&gt;" "))))),IF(SUM(F$4:F387)=0,1,LARGE(F$4:F387,1)+1),IF(MONTH(G388)=MONTH(TODAY()),IF(AND(DAY(G388)&lt;DAY(TODAY()),$B388=" "),IF(SUM(F$4:F387)=0,1,LARGE(F$4:F387,1)+1),IF($B388=" ",IF(AND(DAY(G388)=DAY(TODAY()),HOUR(G388)&lt;=HOUR(NOW())+1),IF(AND(HOUR(G388)+2&lt;=HOUR(NOW()),DAY(G388)&lt;=DAY(TODAY()),MINUTE(G388)&lt;=MINUTE(NOW())),IF(SUM(F$4:F387)=0,1,LARGE(F$4:F387,1)+1),IF(OR(MINUTE(G388)&lt;=MINUTE(NOW()),HOUR(G388)&lt;=HOUR(NOW())),"!!!","")),""),"")),"")))</f>
        <v/>
      </c>
      <c r="G388" s="508">
        <v>44998.461805555555</v>
      </c>
      <c r="H388" s="502" t="s">
        <v>167</v>
      </c>
      <c r="I388" s="180" t="s">
        <v>66</v>
      </c>
      <c r="J388" s="181">
        <v>1.5</v>
      </c>
      <c r="K388" s="150" t="s">
        <v>36</v>
      </c>
      <c r="L388" s="151">
        <v>1.875</v>
      </c>
      <c r="M388" s="152">
        <v>11.95</v>
      </c>
      <c r="N388" s="503">
        <v>0</v>
      </c>
      <c r="O388" s="153">
        <f>IF(OR(AE388="",AE389=""),"",ROUND(IF(L390&gt;0,IF(M388&gt;0,M388,IF(M389&gt;0,ROUND((M389*AE388)/AE389,IF(N388=0,2,IF(N388=0.1,1,0))),ROUND((M390*AE388)/AE390,IF(N388=0,2,IF(N388=0.1,1,0))))),IF(M388&gt;0,M388,ROUND((M389*AE388)/AE389,IF(N388=0,2,IF(N388=0.1,1,0))))),2))</f>
        <v>11.95</v>
      </c>
      <c r="P388" s="154">
        <f>IF(OR(L388="",O388=""),"",IF($C388="1/2W",O388/2+O388/2*L388,IF($C388="1/2L",O388/2,IF(I388="Lay",(O388*(L388/(L388-1))-O388)*(1-_xlfn.XLOOKUP(K388,'Fevereiro 2023 - Valor Real'!A3:A15,'Fevereiro 2023 - Valor Real'!C3:C15,0))+O388,(O388*L388-O388)*(1-_xlfn.XLOOKUP(K388,'Fevereiro 2023 - Valor Real'!A3:A15,'Fevereiro 2023 - Valor Real'!C3:C15,0))+O388))))</f>
        <v>22.40625</v>
      </c>
      <c r="Q388" s="155">
        <f>IF(K388="","",IF(_xlfn.XLOOKUP(K388,K$9:K380,$DJ$9:DJ380,0,,-1)=DJ388,_xlfn.XLOOKUP(K388,K$9:K380,Q$9:Q380,1,,-1)+1,1))</f>
        <v>2</v>
      </c>
      <c r="R388" s="156">
        <f>IF(K388="","",_xlfn.XLOOKUP(K388,K$9:K380,R$9:R380,0,,-1)+IF($C388=" ",1,0))</f>
        <v>0</v>
      </c>
      <c r="S388" s="501">
        <f>IF($B388="Anulado",0,ROUND(IF(OR($B388="LOSS",$B388="OK"),IF(OR($C388="W",$C388="1/2W",$C388="1/2L"),P388-O388,IF($C388="L",-O388,0))+IF(OR($C389="W",$C389="1/2W",$C389="1/2L"),P389-O389,IF($C389="L",-O389,0))+IF(OR($C390="W",$C390="1/2W",$C390="1/2L"),P390-O390,IF($C390="L",-O390,0)),IF(AND(OR($C388="W",$C388="1/2W",$C388="1/2L"),C389="W"),P388+P389-SUM(O388:O390)+_xlfn.XLOOKUP("X",C388:C390,O388:O390,0),IF(AND(C388=TRUE,C390="W"),P388+P390-SUM(O388:O390),IF(AND(C389="W",C390="W"),P389+P390-SUM(O388:O390)+_xlfn.XLOOKUP("X",C388:C390,O388:O390,0),IF(L390&gt;0,IF(OR($C388="W",$C388="1/2W",$C388="1/2L"),P388-SUM(O388:O390)+_xlfn.XLOOKUP("X",C388:C390,O388:O390,0),IF(OR($C388="W",$C388="1/2W",$C388="1/2L"),P389-SUM(O388:O390)+_xlfn.XLOOKUP("X",C388:C390,O388:O390,0),IF(OR($C388="W",$C388="1/2W",$C388="1/2L"),P390-SUM(O388:O390)+_xlfn.XLOOKUP("X",C388:C390,O388:O390,0),IF(SUM(P388:P390)/3-SUM(O388:O390)+_xlfn.XLOOKUP("X",C388:C390,O388:O390,0)&gt;0,SUM(P388:P390)/3-SUM(O388:O390)+_xlfn.XLOOKUP("X",C388:C390,O388:O390,0),LARGE(P388:P390,1)-SUM(O388:O390))))),IF(OR($C388="W",$C388="1/2W",$C388="1/2L"),P388-SUM(O388:O389)+_xlfn.XLOOKUP("X",C388:C390,O388:O390,0),IF(OR($C388="W",$C388="1/2W",$C388="1/2L"),P389-SUM(O388:O389)+_xlfn.XLOOKUP("X",C388:C390,O388:O390,0),SUM(P388:P389)/2-SUM(O388:O389)+_xlfn.XLOOKUP("X",C388:C390,O388:O390,0)))))))),2))</f>
        <v>2.4700000000000002</v>
      </c>
      <c r="T388" s="486">
        <f>IF(S388=0,0,S388/SUM(O388:O390))</f>
        <v>0.12387161484453363</v>
      </c>
      <c r="U388" s="496">
        <f>IF($D388=$D385,IF(OR($B388="LOSS",$B388="OK",$B388="Anulada"),S388,0)+U385,IF(OR($B388="LOSS",$B388="OK",$B388="Anulada"),S388,0))</f>
        <v>7.01</v>
      </c>
      <c r="V388" s="496">
        <f>IF($D388="",0,IF($D388=$D385,IF($B388=" ",IF(I390="",IF(OR(AND(I388="DNB1",I389="DNB2"),AND(OR(I388="DNB1",I388="DNB2"),J389=0),AND(OR(I389="DNB1",I389="DNB2"),J388=0),AND(I388="DNB2",I389="DNB1"),AND(IF(J388=0,(J388+1)/ROUND(J388+1,0),J388/ROUND(J388,0))=1,IF(J389=0,(J389+1)/ROUND(IF(J389="",0,J389)+1,0),IF(J389="",0,J389)/ROUND(IF(J389="",1,J389),0))=1,OR(J388&lt;&gt;""),J389&lt;&gt;"")),0,IF(S388&lt;0,IF(I390="",SMALL(P388:P389,1)-SUM(O388:O389),0),SMALL(P388:P389,1)-SUM(O388:O389))),IF(S388&lt;0,IF(I390="",SMALL(P388:P390,1)-SUM(O388:O390),0),LARGE(P388:P390,1)-SUM(O388:O390))),S388)+V385,IF(I390="",IF(OR(AND(I388="DNB1",I389="DNB2"),AND(OR(I388="DNB1",I388="DNB2"),J389=0),AND(OR(I389="DNB1",I389="DNB2"),J388=0),AND(I388="DNB2",I389="DNB1"),AND(IF(J388=0,(J388+1)/ROUND(J388+1,0),J388/ROUND(J388,0))=1,IF(J389=0,(IF(J389="",0,J389)+1)/ROUND(IF(J389="",0,J389)+1,0),IF(J389="",0,J389)/ROUND(IF(J389="",0,J389)+1,0))=1,OR(J388&lt;&gt;""),J389&lt;&gt;"")),0,IF(S388&lt;0,IF(I390="",SMALL(P388:P389,1)-SUM(O388:O389),0),SMALL(P388:P390,1)-SUM(O388:O390))),IF(S388&lt;0,IF(I390="",SMALL(P388:P390,1)-SUM(O388:O390),0),LARGE(P388:P390,1)-SUM(O388:O390)))))</f>
        <v>6.6270000000000042</v>
      </c>
      <c r="W388" s="496">
        <f>IF($D388=$D385,IF(S388&lt;0,IF(I390="",S388,0),S388)+W385,S388)</f>
        <v>7.01</v>
      </c>
      <c r="X388" s="505" t="str">
        <f>IF(OR(SUM(R388:R390)=0,V388=W388),ROUND(IF(W388=0,0,W388/Y388)*100,2)&amp;"%",ROUND(IF(V388=0,0,V388/Y388)*100,2)&amp;"% a "&amp;ROUND(IF(W388=0,0,W388/Y388)*100,2)&amp;"%")</f>
        <v>7,36%</v>
      </c>
      <c r="Y388" s="497">
        <f>IF($D388=$D385,Y385+SUM(O388:O390),SUM(O388:O390))</f>
        <v>95.179999999999993</v>
      </c>
      <c r="Z388" s="496">
        <f>IF($B388=" ",SUM(O388:O390),0)+Z385</f>
        <v>0</v>
      </c>
      <c r="AA388" s="496">
        <f>IF(G388="","",IF($B388="Anulado",LARGE(P388:P390,1)-SUM(O388:O390)+AA385,AA385))</f>
        <v>10.700299999999997</v>
      </c>
      <c r="AB388" s="496">
        <f>IF($D388="","",AB385+S388)</f>
        <v>465.36000000000013</v>
      </c>
      <c r="AC388" s="499">
        <f ca="1">IF($D388="","",IF($B388=" ",IF(DAY(G388)=DAY(TODAY()),1+AC385,0+AC385),0+AC385))</f>
        <v>0</v>
      </c>
      <c r="AD388" s="157">
        <f>(1-_xlfn.XLOOKUP(K386,'Fevereiro 2023 - Valor Real'!A3:A15,'Fevereiro 2023 - Valor Real'!C3:C15,0))+1</f>
        <v>2</v>
      </c>
      <c r="AE388" s="158">
        <f>IF(L388="","",IF(L390&gt;0,(SUM(((L388-1)*(1-_xlfn.XLOOKUP(K388,'Fevereiro 2023 - Valor Real'!A3:A15,'Fevereiro 2023 - Valor Real'!C3:C15,0))+1),((L389-1)*(1-_xlfn.XLOOKUP(K389,'Fevereiro 2023 - Valor Real'!A3:A15,'Fevereiro 2023 - Valor Real'!C3:C15,0))+1),((L390-1)*(1-_xlfn.XLOOKUP(K390,'Fevereiro 2023 - Valor Real'!A3:A15,'Fevereiro 2023 - Valor Real'!C3:C15,0))+1))/((L388-1)*(1-_xlfn.XLOOKUP(K388,'Fevereiro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Real'!C3:C15,0))+1))/((L388-1)*(1-_xlfn.XLOOKUP(K388,'Fevereiro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Real'!C3:C15,0))+1))/((L389-1)*(1-_xlfn.XLOOKUP(K389,'Fevereiro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Real'!C3:C15,0))+1))/((L390-1)*(1-_xlfn.XLOOKUP(K390,'Fevereiro 2023 - Valor Real'!A3:A15,'Fevereiro 2023 - Valor Real'!C3:C15,0))+1)),IF(I388="Lay",IF(I389="Lay",((L389/(L389-1)-1)*(1-_xlfn.XLOOKUP(K389,'Fevereiro 2023 - Valor Real'!A3:A15,'Fevereiro 2023 - Valor Real'!C3:C15,0))+1)/(((L389/(L389-1)-1)*(1-_xlfn.XLOOKUP(K389,'Fevereiro 2023 - Valor Real'!A3:A15,'Fevereiro 2023 - Valor Real'!C3:C15,0))+1)+((L388/(L388-1)-1)*(1-_xlfn.XLOOKUP(K388,'Fevereiro 2023 - Valor Real'!A3:A15,'Fevereiro 2023 - Valor Real'!C3:C15,0))+1)),((L389-1)*(1-_xlfn.XLOOKUP(K389,'Fevereiro 2023 - Valor Real'!A3:A15,'Fevereiro 2023 - Valor Real'!C3:C15,0))+1)/(((L389-1)*(1-_xlfn.XLOOKUP(K389,'Fevereiro 2023 - Valor Real'!A3:A15,'Fevereiro 2023 - Valor Real'!C3:C15,0))+1)+((L388/(L388-1)-1)*(1-_xlfn.XLOOKUP(K388,'Fevereiro 2023 - Valor Real'!A3:A15,'Fevereiro 2023 - Valor Real'!C3:C15,0))+1))),IF(I389="Lay",(((L389/(L389-1)-1)*(1-_xlfn.XLOOKUP(K389,'Fevereiro 2023 - Valor Real'!A3:A15,'Fevereiro 2023 - Valor Real'!C3:C15,0))+1))/(((L388-1)*(1-_xlfn.XLOOKUP(K388,'Fevereiro 2023 - Valor Real'!A3:A15,'Fevereiro 2023 - Valor Real'!C3:C15,0))+1)+((L389/(L389-1)-1)*(1-_xlfn.XLOOKUP(K389,'Fevereiro 2023 - Valor Real'!A3:A15,'Fevereiro 2023 - Valor Real'!C3:C15,0))+1)),((L389-1)*(1-_xlfn.XLOOKUP(K389,'Fevereiro 2023 - Valor Real'!A3:A15,'Fevereiro 2023 - Valor Real'!C3:C15,0))+1)/(((L389-1)*(1-_xlfn.XLOOKUP(K389,'Fevereiro 2023 - Valor Real'!A3:A15,'Fevereiro 2023 - Valor Real'!C3:C15,0))+1)+((L388-1)*(1-_xlfn.XLOOKUP(K388,'Fevereiro 2023 - Valor Real'!A3:A15,'Fevereiro 2023 - Valor Real'!C3:C15,0))+1))))))</f>
        <v>0.59893048128342241</v>
      </c>
      <c r="AF388" s="66">
        <f t="shared" si="763"/>
        <v>10.46</v>
      </c>
      <c r="AG388" s="67">
        <f t="shared" si="763"/>
        <v>0</v>
      </c>
      <c r="AH388" s="67">
        <f t="shared" si="763"/>
        <v>0</v>
      </c>
      <c r="AI388" s="67">
        <f t="shared" si="763"/>
        <v>0</v>
      </c>
      <c r="AJ388" s="67">
        <f t="shared" si="763"/>
        <v>0</v>
      </c>
      <c r="AK388" s="67">
        <f t="shared" si="763"/>
        <v>0</v>
      </c>
      <c r="AL388" s="67">
        <f t="shared" si="763"/>
        <v>0</v>
      </c>
      <c r="AM388" s="67">
        <f t="shared" si="763"/>
        <v>0</v>
      </c>
      <c r="AN388" s="67">
        <f t="shared" si="763"/>
        <v>0</v>
      </c>
      <c r="AO388" s="67">
        <f t="shared" si="763"/>
        <v>0</v>
      </c>
      <c r="AP388" s="67">
        <f t="shared" si="763"/>
        <v>0</v>
      </c>
      <c r="AQ388" s="67">
        <f t="shared" si="763"/>
        <v>0</v>
      </c>
      <c r="AR388" s="68">
        <f t="shared" si="763"/>
        <v>0</v>
      </c>
      <c r="AS388" s="66">
        <f t="shared" ref="AS388:BE388" si="770">IF(AND($B388=" ",$K388=AS$3),$O388,0)</f>
        <v>0</v>
      </c>
      <c r="AT388" s="67">
        <f t="shared" si="770"/>
        <v>0</v>
      </c>
      <c r="AU388" s="67">
        <f t="shared" si="770"/>
        <v>0</v>
      </c>
      <c r="AV388" s="67">
        <f t="shared" si="770"/>
        <v>0</v>
      </c>
      <c r="AW388" s="67">
        <f t="shared" si="770"/>
        <v>0</v>
      </c>
      <c r="AX388" s="67">
        <f t="shared" si="770"/>
        <v>0</v>
      </c>
      <c r="AY388" s="69">
        <f t="shared" si="770"/>
        <v>0</v>
      </c>
      <c r="AZ388" s="70">
        <f t="shared" si="770"/>
        <v>0</v>
      </c>
      <c r="BA388" s="70">
        <f t="shared" si="770"/>
        <v>0</v>
      </c>
      <c r="BB388" s="70">
        <f t="shared" si="770"/>
        <v>0</v>
      </c>
      <c r="BC388" s="71">
        <f t="shared" si="770"/>
        <v>0</v>
      </c>
      <c r="BD388" s="67">
        <f t="shared" si="770"/>
        <v>0</v>
      </c>
      <c r="BE388" s="68">
        <f t="shared" si="770"/>
        <v>0</v>
      </c>
      <c r="BF388" s="66">
        <f t="shared" si="765"/>
        <v>11.95</v>
      </c>
      <c r="BG388" s="67">
        <f t="shared" si="765"/>
        <v>0</v>
      </c>
      <c r="BH388" s="67">
        <f t="shared" si="765"/>
        <v>0</v>
      </c>
      <c r="BI388" s="67">
        <f t="shared" si="765"/>
        <v>0</v>
      </c>
      <c r="BJ388" s="67">
        <f t="shared" si="765"/>
        <v>0</v>
      </c>
      <c r="BK388" s="67">
        <f t="shared" si="765"/>
        <v>0</v>
      </c>
      <c r="BL388" s="67">
        <f t="shared" si="765"/>
        <v>0</v>
      </c>
      <c r="BM388" s="69">
        <f t="shared" si="765"/>
        <v>0</v>
      </c>
      <c r="BN388" s="70">
        <f t="shared" si="765"/>
        <v>0</v>
      </c>
      <c r="BO388" s="70">
        <f t="shared" si="765"/>
        <v>0</v>
      </c>
      <c r="BP388" s="70">
        <f t="shared" si="765"/>
        <v>0</v>
      </c>
      <c r="BQ388" s="71">
        <f t="shared" si="765"/>
        <v>0</v>
      </c>
      <c r="BR388" s="68">
        <f t="shared" si="765"/>
        <v>0</v>
      </c>
      <c r="BS388" s="490">
        <f>IF($B388="LOSS",IF(AND($K388=BS$3,$C388="L"),-$O388,0)+IF(AND($K389=BS$3,$C389="L"),-$O389,0)+IF(AND($K390=BS$3,$C390="L"),-$O390,0),IF(OR(AND($K388=BS$3,OR($C388="W",$C388="1/2W")),AND($K389=BS$3,OR($C389="W",$C389="1/2W")),AND($K390=BS$3,OR($C390="W",$C390="1/2W"))),$S388,0))</f>
        <v>2.4700000000000002</v>
      </c>
      <c r="BT388" s="498">
        <f>IF($B388="LOSS",IF(AND($K388=BT$3,$C388="L"),-$O388,0)+IF(AND($K389=BT$3,$C389="L"),-$O389,0)+IF(AND($K389=BT$3,$C390="L"),-$O390,0),IF(OR(AND($K389=BT$3,OR($C388="W",$C388="1/2W")),AND($K389=BT$3,OR($C389="W",$C389="1/2W")),AND($K389=BT$3,OR($C390="W",$C390="1/2W"))),$S388,0))</f>
        <v>2.4700000000000002</v>
      </c>
      <c r="BU388" s="488">
        <f>IF($B388="LOSS",IF(AND($K388=BU$3,$C388="L"),-$O388,0)+IF(AND($K389=BU$3,$C389="L"),-$O389,0)+IF(AND($K389=BU$3,$C390="L"),-$O390,0),IF(OR(AND($K389=BU$3,OR($C388="W",$C388="1/2W")),AND($K389=BU$3,OR($C389="W",$C389="1/2W")),AND($K389=BU$3,OR($C390="W",$C390="1/2W"))),$S388,0))</f>
        <v>0</v>
      </c>
      <c r="BV388" s="488">
        <f t="shared" ref="BV388:CE388" si="771">IF($B388="LOSS",IF(AND($K388=BV$3,$C388="L"),-$O388,0)+IF(AND($K389=BV$3,$C389="L"),-$O389,0)+IF(AND($K390=BV$3,$C390="L"),-$O390,0),IF(OR(AND($K388=BV$3,OR($C388="W",$C388="1/2W")),AND($K389=BV$3,OR($C389="W",$C389="1/2W")),AND($K390=BV$3,OR($C390="W",$C390="1/2W"))),$S388,0))</f>
        <v>0</v>
      </c>
      <c r="BW388" s="488">
        <f t="shared" si="771"/>
        <v>0</v>
      </c>
      <c r="BX388" s="488">
        <f t="shared" si="771"/>
        <v>0</v>
      </c>
      <c r="BY388" s="488">
        <f t="shared" si="771"/>
        <v>0</v>
      </c>
      <c r="BZ388" s="488">
        <f t="shared" si="771"/>
        <v>0</v>
      </c>
      <c r="CA388" s="488">
        <f t="shared" si="771"/>
        <v>0</v>
      </c>
      <c r="CB388" s="488">
        <f t="shared" si="771"/>
        <v>0</v>
      </c>
      <c r="CC388" s="488">
        <f t="shared" si="771"/>
        <v>0</v>
      </c>
      <c r="CD388" s="500">
        <f t="shared" si="771"/>
        <v>0</v>
      </c>
      <c r="CE388" s="504">
        <f t="shared" si="771"/>
        <v>0</v>
      </c>
      <c r="CF388" s="160">
        <f t="shared" ref="CF388:CF451" si="772">IF(CF$3=$K388,IF($C388="W",1,IF($C388="1/2W",0.5,0)),0)</f>
        <v>1</v>
      </c>
      <c r="CG388" s="161">
        <f t="shared" ref="CG388:CG451" si="773">IF(CF$3=$K388,IF($C388="L",1,IF($C388="1/2L",0.5,0)),0)</f>
        <v>0</v>
      </c>
      <c r="CH388" s="161">
        <f t="shared" ref="CH388:CH451" si="774">IF(CH$3=$K388,IF($C388="W",1,IF($C388="1/2W",0.5,0)),0)</f>
        <v>0</v>
      </c>
      <c r="CI388" s="161">
        <f t="shared" ref="CI388:CI451" si="775">IF(CH$3=$K388,IF($C388="L",1,IF($C388="1/2L",0.5,0)),0)</f>
        <v>0</v>
      </c>
      <c r="CJ388" s="161">
        <f t="shared" ref="CJ388:CJ451" si="776">IF(CJ$3=$K388,IF($C388="W",1,IF($C388="1/2W",0.5,0)),0)</f>
        <v>0</v>
      </c>
      <c r="CK388" s="161">
        <f t="shared" ref="CK388:CK451" si="777">IF(CJ$3=$K388,IF($C388="L",1,IF($C388="1/2L",0.5,0)),0)</f>
        <v>0</v>
      </c>
      <c r="CL388" s="161">
        <f t="shared" ref="CL388:CL451" si="778">IF(CL$3=$K388,IF($C388="W",1,IF($C388="1/2W",0.5,0)),0)</f>
        <v>0</v>
      </c>
      <c r="CM388" s="161">
        <f t="shared" ref="CM388:CM451" si="779">IF(CL$3=$K388,IF($C388="L",1,IF($C388="1/2L",0.5,0)),0)</f>
        <v>0</v>
      </c>
      <c r="CN388" s="161">
        <f t="shared" ref="CN388:CN451" si="780">IF(CN$3=$K388,IF($C388="W",1,IF($C388="1/2W",0.5,0)),0)</f>
        <v>0</v>
      </c>
      <c r="CO388" s="161">
        <f t="shared" ref="CO388:CO451" si="781">IF(CN$3=$K388,IF($C388="L",1,IF($C388="1/2L",0.5,0)),0)</f>
        <v>0</v>
      </c>
      <c r="CP388" s="161">
        <f t="shared" ref="CP388:CP451" si="782">IF(CP$3=$K388,IF($C388="W",1,IF($C388="1/2W",0.5,0)),0)</f>
        <v>0</v>
      </c>
      <c r="CQ388" s="161">
        <f t="shared" ref="CQ388:CQ451" si="783">IF(CP$3=$K388,IF($C388="L",1,IF($C388="1/2L",0.5,0)),0)</f>
        <v>0</v>
      </c>
      <c r="CR388" s="161">
        <f t="shared" ref="CR388:CR451" si="784">IF(CR$3=$K388,IF($C388="W",1,IF($C388="1/2W",0.5,0)),0)</f>
        <v>0</v>
      </c>
      <c r="CS388" s="161">
        <f t="shared" ref="CS388:CS451" si="785">IF(CR$3=$K388,IF($C388="L",1,IF($C388="1/2L",0.5,0)),0)</f>
        <v>0</v>
      </c>
      <c r="CT388" s="75">
        <f t="shared" ref="CT388:CT451" si="786">IF(CT$3=$K388,IF($C388="W",1,IF($C388="1/2W",0.5,0)),0)</f>
        <v>0</v>
      </c>
      <c r="CU388" s="76">
        <f t="shared" ref="CU388:CU451" si="787">IF(CT$3=$K388,IF($C388="L",1,IF($C388="1/2L",0.5,0)),0)</f>
        <v>0</v>
      </c>
      <c r="CV388" s="76">
        <f t="shared" ref="CV388:CV451" si="788">IF(CV$3=$K388,IF($C388="W",1,IF($C388="1/2W",0.5,0)),0)</f>
        <v>0</v>
      </c>
      <c r="CW388" s="76">
        <f t="shared" ref="CW388:CW451" si="789">IF(CV$3=$K388,IF($C388="L",1,IF($C388="1/2L",0.5,0)),0)</f>
        <v>0</v>
      </c>
      <c r="CX388" s="76">
        <f t="shared" ref="CX388:CX451" si="790">IF(CX$3=$K388,IF($C388="W",1,IF($C388="1/2W",0.5,0)),0)</f>
        <v>0</v>
      </c>
      <c r="CY388" s="76">
        <f t="shared" ref="CY388:CY451" si="791">IF(CX$3=$K388,IF($C388="L",1,IF($C388="1/2L",0.5,0)),0)</f>
        <v>0</v>
      </c>
      <c r="CZ388" s="76">
        <f t="shared" ref="CZ388:CZ451" si="792">IF(CZ$3=$K388,IF($C388="W",1,IF($C388="1/2W",0.5,0)),0)</f>
        <v>0</v>
      </c>
      <c r="DA388" s="76">
        <f t="shared" ref="DA388:DA451" si="793">IF(CZ$3=$K388,IF($C388="L",1,IF($C388="1/2L",0.5,0)),0)</f>
        <v>0</v>
      </c>
      <c r="DB388" s="76">
        <f t="shared" ref="DB388:DB451" si="794">IF(DB$3=$K388,IF($C388="W",1,IF($C388="1/2W",0.5,0)),0)</f>
        <v>0</v>
      </c>
      <c r="DC388" s="76">
        <f t="shared" ref="DC388:DC451" si="795">IF(DB$3=$K388,IF($C388="L",1,IF($C388="1/2L",0.5,0)),0)</f>
        <v>0</v>
      </c>
      <c r="DD388" s="76">
        <f t="shared" ref="DD388:DD451" si="796">IF(DD$3=$K388,IF($C388="W",1,IF($C388="1/2W",0.5,0)),0)</f>
        <v>0</v>
      </c>
      <c r="DE388" s="77">
        <f t="shared" ref="DE388:DE451" si="797">IF(DD$3=$K388,IF($C388="L",1,IF($C388="1/2L",0.5,0)),0)</f>
        <v>0</v>
      </c>
      <c r="DF388" s="73">
        <f t="shared" si="672"/>
        <v>28</v>
      </c>
      <c r="DG388" s="67">
        <f t="shared" si="673"/>
        <v>36.409999999999997</v>
      </c>
      <c r="DH388" s="76">
        <f t="shared" si="674"/>
        <v>10</v>
      </c>
      <c r="DI388" s="67">
        <f t="shared" si="675"/>
        <v>41.599999999999994</v>
      </c>
      <c r="DJ388" s="202" t="str">
        <f>IF($D388="","",$D388)</f>
        <v>13</v>
      </c>
      <c r="DK388" s="492">
        <f>IF(AND($B388=" ",$D388&lt;&gt;""),1,0)</f>
        <v>0</v>
      </c>
    </row>
    <row r="389" spans="1:115" ht="14.5" customHeight="1" x14ac:dyDescent="0.2">
      <c r="A389" s="389"/>
      <c r="B389" s="456"/>
      <c r="C389" s="53" t="s">
        <v>55</v>
      </c>
      <c r="D389" s="374"/>
      <c r="E389" s="386"/>
      <c r="F389" s="377"/>
      <c r="G389" s="508"/>
      <c r="H389" s="476"/>
      <c r="I389" s="182" t="s">
        <v>67</v>
      </c>
      <c r="J389" s="56">
        <f>IF(OR(I388="TO",I388="TU",I388="TO1",I388="TU1",I388="TO2",I388="TU2"),J388,IF(OR(I388="AH1",I388="AH2"),IF(OR(I389="AH1",I389="AH2"),-J388,IF(OR(I389="EH1",I389="EH2"),-J388+0.5,"")),IF(OR(I388="EH1",I388="EH2"),IF(OR(I389="AH1",I389="AH2"),-J388+0.5,IF(OR(I389="EH1",I389="EH2"),-J388+1,"")),IF(AND(OR(I388="DNB1",I388="DNB2"),OR(I389="AH1",I389="AH2")),0,IF(AND(I388="Not ScoreBoth",OR(I389="TO1",I389="TO2")),0.5,"")))))</f>
        <v>-1</v>
      </c>
      <c r="K389" s="57" t="s">
        <v>37</v>
      </c>
      <c r="L389" s="164">
        <v>2.8</v>
      </c>
      <c r="M389" s="165">
        <v>7.99</v>
      </c>
      <c r="N389" s="406"/>
      <c r="O389" s="60">
        <f>IF(OR(AE388="",AE389=""),"",ROUND(IF(L390&gt;0,IF(M389&gt;0,M389,IF(M388&gt;0,IF(N388=TRUE,ROUND((M388*AE389)/AE388,0),(M388*AE389)/AE388),IF(M389&gt;0,ROUND(M389,IF(N388=0,2,IF(N388=0.1,1,0))),IF(M390&gt;0,ROUND(O390*AE389/AE390,IF(N388=0,2,IF(N388=0.1,1,0))),0)))),IF(M389&gt;0,M389,ROUND((M388*AE389)/AE388,IF(N388=0,2,IF(N388=0.1,1,0))))),2))</f>
        <v>7.99</v>
      </c>
      <c r="P389" s="61">
        <f>IF(OR(L389="",O389=""),"",IF($C389="1/2W",O389/2+O389/2*L389,IF($C389="1/2L",O389/2,IF(I389="Lay",((O389*(L389/(L389-1)))-O389)*(1-_xlfn.XLOOKUP(K389,'Fevereiro 2023 - Valor Real'!A3:A15,'Fevereiro 2023 - Valor Real'!C3:C15,0))+O389,(O389*L389-O389)*(1-_xlfn.XLOOKUP(K389,'Fevereiro 2023 - Valor Real'!A3:A15,'Fevereiro 2023 - Valor Real'!C3:C15,0))+O389))))</f>
        <v>22.372</v>
      </c>
      <c r="Q389" s="166">
        <f>IF(K389="","",IF(_xlfn.XLOOKUP(K389,K$10:K380,$DJ$10:DJ380,0,,-1)=DJ389,_xlfn.XLOOKUP(K389,K$10:K380,Q$10:Q380,1,,-1)+1,1))</f>
        <v>1</v>
      </c>
      <c r="R389" s="167">
        <f>IF(K389="","",_xlfn.XLOOKUP(K389,K$10:K380,R$10:R380,0,,-1)+IF($C389=" ",1,0))</f>
        <v>0</v>
      </c>
      <c r="S389" s="403"/>
      <c r="T389" s="380"/>
      <c r="U389" s="380"/>
      <c r="V389" s="481"/>
      <c r="W389" s="380"/>
      <c r="X389" s="452"/>
      <c r="Y389" s="383"/>
      <c r="Z389" s="384"/>
      <c r="AA389" s="384"/>
      <c r="AB389" s="384"/>
      <c r="AC389" s="384"/>
      <c r="AD389" s="64"/>
      <c r="AE389" s="65">
        <f>IF(L389="","",IF(L390&gt;0,(SUM(((L388-1)*(1-_xlfn.XLOOKUP(K388,'Fevereiro 2023 - Valor Real'!A3:A15,'Fevereiro 2023 - Valor Real'!C3:C15,0))+1),((L389-1)*(1-_xlfn.XLOOKUP(K389,'Fevereiro 2023 - Valor Real'!A3:A15,'Fevereiro 2023 - Valor Real'!C3:C15,0))+1),((L390-1)*(1-_xlfn.XLOOKUP(K390,'Fevereiro 2023 - Valor Real'!A3:A15,'Fevereiro 2023 - Valor Real'!C3:C15,0))+1))/((L389-1)*(1-_xlfn.XLOOKUP(K389,'Fevereiro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Real'!C3:C15,0))+1))/((L388-1)*(1-_xlfn.XLOOKUP(K388,'Fevereiro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Real'!C3:C15,0))+1))/((L389-1)*(1-_xlfn.XLOOKUP(K389,'Fevereiro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Real'!C3:C15,0))+1))/((L390-1)*(1-_xlfn.XLOOKUP(K390,'Fevereiro 2023 - Valor Real'!A3:A15,'Fevereiro 2023 - Valor Real'!C3:C15,0))+1)),IF(I389="Lay",IF(I388="Lay",((L388/(L388-1)-1)*(1-_xlfn.XLOOKUP(K388,'Fevereiro 2023 - Valor Real'!A3:A15,'Fevereiro 2023 - Valor Real'!C3:C15,0))+1)/(((L388/(L388-1)-1)*(1-_xlfn.XLOOKUP(K388,'Fevereiro 2023 - Valor Real'!A3:A15,'Fevereiro 2023 - Valor Real'!C3:C15,0))+1)+((L389/(L389-1)-1)*(1-_xlfn.XLOOKUP(K389,'Fevereiro 2023 - Valor Real'!A3:A15,'Fevereiro 2023 - Valor Real'!C3:C15,0))+1)),((L388-1)*(1-_xlfn.XLOOKUP(K388,'Fevereiro 2023 - Valor Real'!A3:A15,'Fevereiro 2023 - Valor Real'!C3:C15,0))+1)/(((L388-1)*(1-_xlfn.XLOOKUP(K388,'Fevereiro 2023 - Valor Real'!A3:A15,'Fevereiro 2023 - Valor Real'!C3:C15,0))+1)+((L389/(L389-1)-1)*(1-_xlfn.XLOOKUP(K389,'Fevereiro 2023 - Valor Real'!A3:A15,'Fevereiro 2023 - Valor Real'!C3:C15,0))+1))),IF(I388="Lay",((L388/(L388-1)-1)*(1-_xlfn.XLOOKUP(K388,'Fevereiro 2023 - Valor Real'!A3:A15,'Fevereiro 2023 - Valor Real'!C3:C15,0))+1)/((((L388/(L388-1)-1)*(1-_xlfn.XLOOKUP(K388,'Fevereiro 2023 - Valor Real'!A3:A15,'Fevereiro 2023 - Valor Real'!C3:C15,0))+1))+((L389-1)*(1-_xlfn.XLOOKUP(K389,'Fevereiro 2023 - Valor Real'!A3:A15,'Fevereiro 2023 - Valor Real'!C3:C15,0))+1)),((L388-1)*(1-_xlfn.XLOOKUP(K388,'Fevereiro 2023 - Valor Real'!A3:A15,'Fevereiro 2023 - Valor Real'!C3:C15,0))+1)/(((L388-1)*(1-_xlfn.XLOOKUP(K388,'Fevereiro 2023 - Valor Real'!A3:A15,'Fevereiro 2023 - Valor Real'!C3:C15,0))+1)+((L389-1)*(1-_xlfn.XLOOKUP(K389,'Fevereiro 2023 - Valor Real'!A3:A15,'Fevereiro 2023 - Valor Real'!C3:C15,0))+1))))))</f>
        <v>0.40106951871657753</v>
      </c>
      <c r="AF389" s="66">
        <f t="shared" si="763"/>
        <v>0</v>
      </c>
      <c r="AG389" s="67">
        <f t="shared" si="763"/>
        <v>-7.99</v>
      </c>
      <c r="AH389" s="67">
        <f t="shared" si="763"/>
        <v>0</v>
      </c>
      <c r="AI389" s="67">
        <f t="shared" si="763"/>
        <v>0</v>
      </c>
      <c r="AJ389" s="67">
        <f t="shared" si="763"/>
        <v>0</v>
      </c>
      <c r="AK389" s="67">
        <f t="shared" si="763"/>
        <v>0</v>
      </c>
      <c r="AL389" s="67">
        <f t="shared" si="763"/>
        <v>0</v>
      </c>
      <c r="AM389" s="67">
        <f t="shared" si="763"/>
        <v>0</v>
      </c>
      <c r="AN389" s="67">
        <f t="shared" si="763"/>
        <v>0</v>
      </c>
      <c r="AO389" s="67">
        <f t="shared" si="763"/>
        <v>0</v>
      </c>
      <c r="AP389" s="67">
        <f t="shared" si="763"/>
        <v>0</v>
      </c>
      <c r="AQ389" s="67">
        <f t="shared" si="763"/>
        <v>0</v>
      </c>
      <c r="AR389" s="68">
        <f t="shared" si="763"/>
        <v>0</v>
      </c>
      <c r="AS389" s="66">
        <f>IF(AND($B388=" ",$K389=AS$3),$O389,0)</f>
        <v>0</v>
      </c>
      <c r="AT389" s="67">
        <f>IF(AND($B388=" ",K389=AT$3),$O389,0)</f>
        <v>0</v>
      </c>
      <c r="AU389" s="67">
        <f t="shared" ref="AU389:BE389" si="798">IF(AND($B388=" ",$K389=AU$3),$O389,0)</f>
        <v>0</v>
      </c>
      <c r="AV389" s="67">
        <f t="shared" si="798"/>
        <v>0</v>
      </c>
      <c r="AW389" s="67">
        <f t="shared" si="798"/>
        <v>0</v>
      </c>
      <c r="AX389" s="67">
        <f t="shared" si="798"/>
        <v>0</v>
      </c>
      <c r="AY389" s="69">
        <f t="shared" si="798"/>
        <v>0</v>
      </c>
      <c r="AZ389" s="70">
        <f t="shared" si="798"/>
        <v>0</v>
      </c>
      <c r="BA389" s="70">
        <f t="shared" si="798"/>
        <v>0</v>
      </c>
      <c r="BB389" s="70">
        <f t="shared" si="798"/>
        <v>0</v>
      </c>
      <c r="BC389" s="71">
        <f t="shared" si="798"/>
        <v>0</v>
      </c>
      <c r="BD389" s="67">
        <f t="shared" si="798"/>
        <v>0</v>
      </c>
      <c r="BE389" s="68">
        <f t="shared" si="798"/>
        <v>0</v>
      </c>
      <c r="BF389" s="66">
        <f t="shared" si="765"/>
        <v>0</v>
      </c>
      <c r="BG389" s="168">
        <f t="shared" si="765"/>
        <v>7.99</v>
      </c>
      <c r="BH389" s="67">
        <f t="shared" si="765"/>
        <v>0</v>
      </c>
      <c r="BI389" s="67">
        <f t="shared" si="765"/>
        <v>0</v>
      </c>
      <c r="BJ389" s="67">
        <f t="shared" si="765"/>
        <v>0</v>
      </c>
      <c r="BK389" s="67">
        <f t="shared" si="765"/>
        <v>0</v>
      </c>
      <c r="BL389" s="67">
        <f t="shared" si="765"/>
        <v>0</v>
      </c>
      <c r="BM389" s="69">
        <f t="shared" si="765"/>
        <v>0</v>
      </c>
      <c r="BN389" s="70">
        <f t="shared" si="765"/>
        <v>0</v>
      </c>
      <c r="BO389" s="70">
        <f t="shared" si="765"/>
        <v>0</v>
      </c>
      <c r="BP389" s="70">
        <f t="shared" si="765"/>
        <v>0</v>
      </c>
      <c r="BQ389" s="71">
        <f t="shared" si="765"/>
        <v>0</v>
      </c>
      <c r="BR389" s="68">
        <f t="shared" si="765"/>
        <v>0</v>
      </c>
      <c r="BS389" s="491"/>
      <c r="BT389" s="489"/>
      <c r="BU389" s="392"/>
      <c r="BV389" s="489"/>
      <c r="BW389" s="392"/>
      <c r="BX389" s="392"/>
      <c r="BY389" s="392"/>
      <c r="BZ389" s="489"/>
      <c r="CA389" s="392"/>
      <c r="CB389" s="392"/>
      <c r="CC389" s="392"/>
      <c r="CD389" s="401"/>
      <c r="CE389" s="409"/>
      <c r="CF389" s="169">
        <f t="shared" si="772"/>
        <v>0</v>
      </c>
      <c r="CG389" s="170">
        <f t="shared" si="773"/>
        <v>0</v>
      </c>
      <c r="CH389" s="170">
        <f t="shared" si="774"/>
        <v>0</v>
      </c>
      <c r="CI389" s="170">
        <f t="shared" si="775"/>
        <v>1</v>
      </c>
      <c r="CJ389" s="170">
        <f t="shared" si="776"/>
        <v>0</v>
      </c>
      <c r="CK389" s="170">
        <f t="shared" si="777"/>
        <v>0</v>
      </c>
      <c r="CL389" s="170">
        <f t="shared" si="778"/>
        <v>0</v>
      </c>
      <c r="CM389" s="170">
        <f t="shared" si="779"/>
        <v>0</v>
      </c>
      <c r="CN389" s="170">
        <f t="shared" si="780"/>
        <v>0</v>
      </c>
      <c r="CO389" s="170">
        <f t="shared" si="781"/>
        <v>0</v>
      </c>
      <c r="CP389" s="170">
        <f t="shared" si="782"/>
        <v>0</v>
      </c>
      <c r="CQ389" s="170">
        <f t="shared" si="783"/>
        <v>0</v>
      </c>
      <c r="CR389" s="170">
        <f t="shared" si="784"/>
        <v>0</v>
      </c>
      <c r="CS389" s="170">
        <f t="shared" si="785"/>
        <v>0</v>
      </c>
      <c r="CT389" s="75">
        <f t="shared" si="786"/>
        <v>0</v>
      </c>
      <c r="CU389" s="76">
        <f t="shared" si="787"/>
        <v>0</v>
      </c>
      <c r="CV389" s="76">
        <f t="shared" si="788"/>
        <v>0</v>
      </c>
      <c r="CW389" s="76">
        <f t="shared" si="789"/>
        <v>0</v>
      </c>
      <c r="CX389" s="76">
        <f t="shared" si="790"/>
        <v>0</v>
      </c>
      <c r="CY389" s="76">
        <f t="shared" si="791"/>
        <v>0</v>
      </c>
      <c r="CZ389" s="76">
        <f t="shared" si="792"/>
        <v>0</v>
      </c>
      <c r="DA389" s="76">
        <f t="shared" si="793"/>
        <v>0</v>
      </c>
      <c r="DB389" s="76">
        <f t="shared" si="794"/>
        <v>0</v>
      </c>
      <c r="DC389" s="76">
        <f t="shared" si="795"/>
        <v>0</v>
      </c>
      <c r="DD389" s="76">
        <f t="shared" si="796"/>
        <v>0</v>
      </c>
      <c r="DE389" s="77">
        <f t="shared" si="797"/>
        <v>0</v>
      </c>
      <c r="DF389" s="73">
        <f t="shared" ref="DF389:DF452" si="799">IF(AND(L389&lt;DF$3,$C389="W"),1+DF388,DF388)</f>
        <v>28</v>
      </c>
      <c r="DG389" s="67">
        <f t="shared" ref="DG389:DG452" si="800">IF(DF389&gt;DF388,L389+DG388,DG388)</f>
        <v>36.409999999999997</v>
      </c>
      <c r="DH389" s="76">
        <f t="shared" ref="DH389:DH452" si="801">IF(AND(L389&gt;DH$3,$C389="W"),1+DH388,0+DH388)</f>
        <v>10</v>
      </c>
      <c r="DI389" s="67">
        <f t="shared" ref="DI389:DI452" si="802">IF(DH389&gt;DH388,L389+DI388,DI388)</f>
        <v>41.599999999999994</v>
      </c>
      <c r="DJ389" s="202" t="str">
        <f>IF($D388="","",$D388)</f>
        <v>13</v>
      </c>
      <c r="DK389" s="493"/>
    </row>
    <row r="390" spans="1:115" ht="14.5" customHeight="1" x14ac:dyDescent="0.2">
      <c r="A390" s="390"/>
      <c r="B390" s="457"/>
      <c r="C390" s="79" t="s">
        <v>53</v>
      </c>
      <c r="D390" s="375"/>
      <c r="E390" s="387"/>
      <c r="F390" s="378"/>
      <c r="G390" s="508"/>
      <c r="H390" s="477"/>
      <c r="I390" s="171"/>
      <c r="J390" s="172"/>
      <c r="K390" s="81"/>
      <c r="L390" s="173"/>
      <c r="M390" s="174"/>
      <c r="N390" s="407"/>
      <c r="O390" s="86" t="str">
        <f>IF(OR(AE388="",AE389=""),"",IF(L390&gt;0,ROUND(IF(M390&gt;0,M390,IF(M388&gt;0,ROUND((M388*AE390)/AE388,IF(N388=0,2,IF(N388=0.1,1,0))),IF(M389&gt;0,ROUND((M389*AE390)/AE389,IF(N388=0,2,IF(N388=0.1,1,0))),IF(M390&gt;0,M390,0)))),2),""))</f>
        <v/>
      </c>
      <c r="P390" s="87" t="str">
        <f>IF(I389="Lay",O389*(L389/(L389-1))-O389,IF(I388="Lay",O388*(L388/(L388-1))-O388,IF(OR(L390="",O390=""),"",IF($C390="1/2W",O390/2+O390/2*L390,IF($C390="1/2L",O390/2,(O390*L390-O390)*(1-_xlfn.XLOOKUP(K390,'Fevereiro 2023 - Valor Real'!A3:A15,'Fevereiro 2023 - Valor Real'!C3:C15,0))+O390)))))</f>
        <v/>
      </c>
      <c r="Q390" s="54" t="str">
        <f>IF(K390="","",IF(_xlfn.XLOOKUP(K390,K$11:K380,$DJ$11:DJ380,0,,-1)=DJ390,_xlfn.XLOOKUP(K390,K$11:K380,Q$11:Q380,1,,-1)+1,1))</f>
        <v/>
      </c>
      <c r="R390" s="87" t="str">
        <f>IF(K390="","",_xlfn.XLOOKUP(K390,K$11:K380,R$11:R380,0,,-1)+IF($C390=" ",1,0))</f>
        <v/>
      </c>
      <c r="S390" s="404"/>
      <c r="T390" s="378"/>
      <c r="U390" s="378"/>
      <c r="V390" s="404"/>
      <c r="W390" s="378"/>
      <c r="X390" s="453"/>
      <c r="Y390" s="383"/>
      <c r="Z390" s="384"/>
      <c r="AA390" s="384"/>
      <c r="AB390" s="384"/>
      <c r="AC390" s="384"/>
      <c r="AD390" s="90"/>
      <c r="AE390" s="91" t="str">
        <f>IF(L390="","",(SUM(((L388-1)*(1-_xlfn.XLOOKUP(K388,'Fevereiro 2023 - Valor Real'!A3:A15,'Fevereiro 2023 - Valor Real'!C3:C15,0))+1),((L389-1)*(1-_xlfn.XLOOKUP(K389,'Fevereiro 2023 - Valor Real'!A3:A15,'Fevereiro 2023 - Valor Real'!C3:C15,0))+1),((L390-1)*(1-_xlfn.XLOOKUP(K390,'Fevereiro 2023 - Valor Real'!A3:A15,'Fevereiro 2023 - Valor Real'!C3:C15,0))+1))/((L390-1)*(1-_xlfn.XLOOKUP(K390,'Fevereiro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Real'!C3:C15,0))+1))/((L388-1)*(1-_xlfn.XLOOKUP(K388,'Fevereiro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Real'!C3:C15,0))+1))/((L389-1)*(1-_xlfn.XLOOKUP(K389,'Fevereiro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Real'!C3:C15,0))+1))/((L390-1)*(1-_xlfn.XLOOKUP(K390,'Fevereiro 2023 - Valor Real'!A3:A15,'Fevereiro 2023 - Valor Real'!C3:C15,0))+1)))</f>
        <v/>
      </c>
      <c r="AF390" s="66">
        <f t="shared" si="763"/>
        <v>0</v>
      </c>
      <c r="AG390" s="67">
        <f t="shared" si="763"/>
        <v>0</v>
      </c>
      <c r="AH390" s="67">
        <f t="shared" si="763"/>
        <v>0</v>
      </c>
      <c r="AI390" s="67">
        <f t="shared" si="763"/>
        <v>0</v>
      </c>
      <c r="AJ390" s="67">
        <f t="shared" si="763"/>
        <v>0</v>
      </c>
      <c r="AK390" s="67">
        <f t="shared" si="763"/>
        <v>0</v>
      </c>
      <c r="AL390" s="67">
        <f t="shared" si="763"/>
        <v>0</v>
      </c>
      <c r="AM390" s="67">
        <f t="shared" si="763"/>
        <v>0</v>
      </c>
      <c r="AN390" s="67">
        <f t="shared" si="763"/>
        <v>0</v>
      </c>
      <c r="AO390" s="67">
        <f t="shared" si="763"/>
        <v>0</v>
      </c>
      <c r="AP390" s="67">
        <f t="shared" si="763"/>
        <v>0</v>
      </c>
      <c r="AQ390" s="67">
        <f t="shared" si="763"/>
        <v>0</v>
      </c>
      <c r="AR390" s="68">
        <f t="shared" si="763"/>
        <v>0</v>
      </c>
      <c r="AS390" s="66">
        <f>IF(AND($B388=" ",$K390=AS$3),$O390,0)</f>
        <v>0</v>
      </c>
      <c r="AT390" s="67">
        <f>IF(AND($B388=" ",K390=AT$3),$O390,0)</f>
        <v>0</v>
      </c>
      <c r="AU390" s="67">
        <f t="shared" ref="AU390:BE390" si="803">IF(AND($B388=" ",$K390=AU$3),$O390,0)</f>
        <v>0</v>
      </c>
      <c r="AV390" s="67">
        <f t="shared" si="803"/>
        <v>0</v>
      </c>
      <c r="AW390" s="67">
        <f t="shared" si="803"/>
        <v>0</v>
      </c>
      <c r="AX390" s="67">
        <f t="shared" si="803"/>
        <v>0</v>
      </c>
      <c r="AY390" s="69">
        <f t="shared" si="803"/>
        <v>0</v>
      </c>
      <c r="AZ390" s="70">
        <f t="shared" si="803"/>
        <v>0</v>
      </c>
      <c r="BA390" s="70">
        <f t="shared" si="803"/>
        <v>0</v>
      </c>
      <c r="BB390" s="70">
        <f t="shared" si="803"/>
        <v>0</v>
      </c>
      <c r="BC390" s="71">
        <f t="shared" si="803"/>
        <v>0</v>
      </c>
      <c r="BD390" s="67">
        <f t="shared" si="803"/>
        <v>0</v>
      </c>
      <c r="BE390" s="68">
        <f t="shared" si="803"/>
        <v>0</v>
      </c>
      <c r="BF390" s="66">
        <f t="shared" si="765"/>
        <v>0</v>
      </c>
      <c r="BG390" s="168">
        <f t="shared" si="765"/>
        <v>0</v>
      </c>
      <c r="BH390" s="67">
        <f t="shared" si="765"/>
        <v>0</v>
      </c>
      <c r="BI390" s="67">
        <f t="shared" si="765"/>
        <v>0</v>
      </c>
      <c r="BJ390" s="67">
        <f t="shared" si="765"/>
        <v>0</v>
      </c>
      <c r="BK390" s="67">
        <f t="shared" si="765"/>
        <v>0</v>
      </c>
      <c r="BL390" s="67">
        <f t="shared" si="765"/>
        <v>0</v>
      </c>
      <c r="BM390" s="69">
        <f t="shared" si="765"/>
        <v>0</v>
      </c>
      <c r="BN390" s="70">
        <f t="shared" si="765"/>
        <v>0</v>
      </c>
      <c r="BO390" s="70">
        <f t="shared" si="765"/>
        <v>0</v>
      </c>
      <c r="BP390" s="70">
        <f t="shared" si="765"/>
        <v>0</v>
      </c>
      <c r="BQ390" s="71">
        <f t="shared" si="765"/>
        <v>0</v>
      </c>
      <c r="BR390" s="68">
        <f t="shared" si="765"/>
        <v>0</v>
      </c>
      <c r="BS390" s="491"/>
      <c r="BT390" s="489"/>
      <c r="BU390" s="392"/>
      <c r="BV390" s="489"/>
      <c r="BW390" s="392"/>
      <c r="BX390" s="392"/>
      <c r="BY390" s="392"/>
      <c r="BZ390" s="489"/>
      <c r="CA390" s="392"/>
      <c r="CB390" s="392"/>
      <c r="CC390" s="392"/>
      <c r="CD390" s="401"/>
      <c r="CE390" s="409"/>
      <c r="CF390" s="169">
        <f t="shared" si="772"/>
        <v>0</v>
      </c>
      <c r="CG390" s="170">
        <f t="shared" si="773"/>
        <v>0</v>
      </c>
      <c r="CH390" s="170">
        <f t="shared" si="774"/>
        <v>0</v>
      </c>
      <c r="CI390" s="170">
        <f t="shared" si="775"/>
        <v>0</v>
      </c>
      <c r="CJ390" s="170">
        <f t="shared" si="776"/>
        <v>0</v>
      </c>
      <c r="CK390" s="170">
        <f t="shared" si="777"/>
        <v>0</v>
      </c>
      <c r="CL390" s="170">
        <f t="shared" si="778"/>
        <v>0</v>
      </c>
      <c r="CM390" s="170">
        <f t="shared" si="779"/>
        <v>0</v>
      </c>
      <c r="CN390" s="170">
        <f t="shared" si="780"/>
        <v>0</v>
      </c>
      <c r="CO390" s="170">
        <f t="shared" si="781"/>
        <v>0</v>
      </c>
      <c r="CP390" s="170">
        <f t="shared" si="782"/>
        <v>0</v>
      </c>
      <c r="CQ390" s="170">
        <f t="shared" si="783"/>
        <v>0</v>
      </c>
      <c r="CR390" s="170">
        <f t="shared" si="784"/>
        <v>0</v>
      </c>
      <c r="CS390" s="170">
        <f t="shared" si="785"/>
        <v>0</v>
      </c>
      <c r="CT390" s="75">
        <f t="shared" si="786"/>
        <v>0</v>
      </c>
      <c r="CU390" s="76">
        <f t="shared" si="787"/>
        <v>0</v>
      </c>
      <c r="CV390" s="76">
        <f t="shared" si="788"/>
        <v>0</v>
      </c>
      <c r="CW390" s="76">
        <f t="shared" si="789"/>
        <v>0</v>
      </c>
      <c r="CX390" s="76">
        <f t="shared" si="790"/>
        <v>0</v>
      </c>
      <c r="CY390" s="76">
        <f t="shared" si="791"/>
        <v>0</v>
      </c>
      <c r="CZ390" s="76">
        <f t="shared" si="792"/>
        <v>0</v>
      </c>
      <c r="DA390" s="76">
        <f t="shared" si="793"/>
        <v>0</v>
      </c>
      <c r="DB390" s="76">
        <f t="shared" si="794"/>
        <v>0</v>
      </c>
      <c r="DC390" s="76">
        <f t="shared" si="795"/>
        <v>0</v>
      </c>
      <c r="DD390" s="76">
        <f t="shared" si="796"/>
        <v>0</v>
      </c>
      <c r="DE390" s="77">
        <f t="shared" si="797"/>
        <v>0</v>
      </c>
      <c r="DF390" s="73">
        <f t="shared" si="799"/>
        <v>28</v>
      </c>
      <c r="DG390" s="67">
        <f t="shared" si="800"/>
        <v>36.409999999999997</v>
      </c>
      <c r="DH390" s="76">
        <f t="shared" si="801"/>
        <v>10</v>
      </c>
      <c r="DI390" s="67">
        <f t="shared" si="802"/>
        <v>41.599999999999994</v>
      </c>
      <c r="DJ390" s="202" t="str">
        <f>IF($D388="","",$D388)</f>
        <v>13</v>
      </c>
      <c r="DK390" s="493"/>
    </row>
    <row r="391" spans="1:115" ht="14.5" customHeight="1" x14ac:dyDescent="0.2">
      <c r="A391" s="459">
        <f>$A388+1</f>
        <v>130</v>
      </c>
      <c r="B391" s="507" t="str">
        <f>IF(OR(C391="W",C392="W",C393="W",C391="1/2W",C392="1/2W",C393="1/2W",C391="1/2L",C392="1/2L",C393="1/2L"),"OK",IF(OR(C391="L",C392="L",C393="L"),"LOSS",IF(OR(C391="X",C392="X",C393="X"),"Anulado"," ")))</f>
        <v>OK</v>
      </c>
      <c r="C391" s="93" t="s">
        <v>54</v>
      </c>
      <c r="D391" s="468" t="str">
        <f>IF(G391="","",$D388)</f>
        <v>13</v>
      </c>
      <c r="E391" s="485" t="str">
        <f>IF(G391=""," ","– "&amp;COUNTIF(D$4:D393,$D391))</f>
        <v>– 5</v>
      </c>
      <c r="F391" s="509" t="str">
        <f ca="1">IF(G391="","",IF(OR(AND($C391&lt;&gt;" ",$C392=" "),AND($C392&lt;&gt;" ",$C391=" "),AND(L393&gt;0,OR(AND($C393&lt;&gt;" ",OR($C391=" ",$C392=" ")),AND($C393=" ",OR($C391&lt;&gt;" ",$C392&lt;&gt;" "))))),IF(SUM(F$4:F390)=0,1,LARGE(F$4:F390,1)+1),IF(MONTH(G391)=MONTH(TODAY()),IF(AND(DAY(G391)&lt;DAY(TODAY()),$B391=" "),IF(SUM(F$4:F390)=0,1,LARGE(F$4:F390,1)+1),IF($B391=" ",IF(AND(DAY(G391)=DAY(TODAY()),HOUR(G391)&lt;=HOUR(NOW())+1),IF(AND(HOUR(G391)+2&lt;=HOUR(NOW()),DAY(G391)&lt;=DAY(TODAY()),MINUTE(G391)&lt;=MINUTE(NOW())),IF(SUM(F$4:F390)=0,1,LARGE(F$4:F390,1)+1),IF(OR(MINUTE(G391)&lt;=MINUTE(NOW()),HOUR(G391)&lt;=HOUR(NOW())),"!!!","")),""),"")),"")))</f>
        <v/>
      </c>
      <c r="G391" s="482">
        <v>44998.625</v>
      </c>
      <c r="H391" s="475" t="s">
        <v>168</v>
      </c>
      <c r="I391" s="175">
        <v>2</v>
      </c>
      <c r="J391" s="176"/>
      <c r="K391" s="96" t="s">
        <v>43</v>
      </c>
      <c r="L391" s="97">
        <v>1.5229999999999999</v>
      </c>
      <c r="M391" s="98"/>
      <c r="N391" s="478">
        <v>0.1</v>
      </c>
      <c r="O391" s="99">
        <f>IF(OR(AE391="",AE392=""),"",ROUND(IF(L393&gt;0,IF(M391&gt;0,M391,IF(M392&gt;0,ROUND((M392*AE391)/AE392,IF(N391=0,2,IF(N391=0.1,1,0))),ROUND((M393*AE391)/AE393,IF(N391=0,2,IF(N391=0.1,1,0))))),IF(M391&gt;0,M391,ROUND((M392*AE391)/AE392,IF(N391=0,2,IF(N391=0.1,1,0))))),2))</f>
        <v>209.3</v>
      </c>
      <c r="P391" s="100">
        <f>IF(OR(L391="",O391=""),"",IF($C391="1/2W",O391/2+O391/2*L391,IF($C391="1/2L",O391/2,IF(I391="Lay",(O391*(L391/(L391-1))-O391)*(1-_xlfn.XLOOKUP(K391,'Fevereiro 2023 - Valor Real'!A3:A15,'Fevereiro 2023 - Valor Real'!C3:C15,0))+O391,(O391*L391-O391)*(1-_xlfn.XLOOKUP(K391,'Fevereiro 2023 - Valor Real'!A3:A15,'Fevereiro 2023 - Valor Real'!C3:C15,0))+O391))))</f>
        <v>318.76389999999998</v>
      </c>
      <c r="Q391" s="101">
        <f>IF(K391="","",IF(_xlfn.XLOOKUP(K391,K$4:K390,$DJ$4:DJ390,0,,-1)=DJ391,_xlfn.XLOOKUP(K391,K$4:K390,Q$4:Q390,1,,-1)+1,1))</f>
        <v>1</v>
      </c>
      <c r="R391" s="102">
        <f>IF(K391="","",_xlfn.XLOOKUP(K391,K$4:K390,R$4:R390,0,,-1)+IF($C391=" ",1,0))</f>
        <v>0</v>
      </c>
      <c r="S391" s="474">
        <f>IF($B391="Anulado",0,ROUND(IF(OR($B391="LOSS",$B391="OK"),IF(OR($C391="W",$C391="1/2W",$C391="1/2L"),P391-O391,IF($C391="L",-O391,0))+IF(OR($C392="W",$C392="1/2W",$C392="1/2L"),P392-O392,IF($C392="L",-O392,0))+IF(OR($C393="W",$C393="1/2W",$C393="1/2L"),P393-O393,IF($C393="L",-O393,0)),IF(AND(OR($C391="W",$C391="1/2W",$C391="1/2L"),C392="W"),P391+P392-SUM(O391:O393)+_xlfn.XLOOKUP("X",C391:C393,O391:O393,0),IF(AND(C391=TRUE,C393="W"),P391+P393-SUM(O391:O393),IF(AND(C392="W",C393="W"),P392+P393-SUM(O391:O393)+_xlfn.XLOOKUP("X",C391:C393,O391:O393,0),IF(L393&gt;0,IF(OR($C391="W",$C391="1/2W",$C391="1/2L"),P391-SUM(O391:O393)+_xlfn.XLOOKUP("X",C391:C393,O391:O393,0),IF(OR($C391="W",$C391="1/2W",$C391="1/2L"),P392-SUM(O391:O393)+_xlfn.XLOOKUP("X",C391:C393,O391:O393,0),IF(OR($C391="W",$C391="1/2W",$C391="1/2L"),P393-SUM(O391:O393)+_xlfn.XLOOKUP("X",C391:C393,O391:O393,0),IF(SUM(P391:P393)/3-SUM(O391:O393)+_xlfn.XLOOKUP("X",C391:C393,O391:O393,0)&gt;0,SUM(P391:P393)/3-SUM(O391:O393)+_xlfn.XLOOKUP("X",C391:C393,O391:O393,0),LARGE(P391:P393,1)-SUM(O391:O393))))),IF(OR($C391="W",$C391="1/2W",$C391="1/2L"),P391-SUM(O391:O392)+_xlfn.XLOOKUP("X",C391:C393,O391:O393,0),IF(OR($C391="W",$C391="1/2W",$C391="1/2L"),P392-SUM(O391:O392)+_xlfn.XLOOKUP("X",C391:C393,O391:O393,0),SUM(P391:P392)/2-SUM(O391:O392)+_xlfn.XLOOKUP("X",C391:C393,O391:O393,0)))))))),2))</f>
        <v>15.71</v>
      </c>
      <c r="T391" s="458">
        <f>IF(S391=0,0,S391/SUM(O391:O393))</f>
        <v>5.183963042402244E-2</v>
      </c>
      <c r="U391" s="470">
        <f>IF($D391=$D388,IF(OR($B391="LOSS",$B391="OK",$B391="Anulada"),S391,0)+U388,IF(OR($B391="LOSS",$B391="OK",$B391="Anulada"),S391,0))</f>
        <v>22.72</v>
      </c>
      <c r="V391" s="470">
        <f>IF($D391="",0,IF($D391=$D388,IF($B391=" ",IF(I393="",IF(OR(AND(I391="DNB1",I392="DNB2"),AND(OR(I391="DNB1",I391="DNB2"),J392=0),AND(OR(I392="DNB1",I392="DNB2"),J391=0),AND(I391="DNB2",I392="DNB1"),AND(IF(J391=0,(J391+1)/ROUND(J391+1,0),J391/ROUND(J391,0))=1,IF(J392=0,(J392+1)/ROUND(IF(J392="",0,J392)+1,0),IF(J392="",0,J392)/ROUND(IF(J392="",1,J392),0))=1,OR(J391&lt;&gt;""),J392&lt;&gt;"")),0,IF(S391&lt;0,IF(I393="",SMALL(P391:P392,1)-SUM(O391:O392),0),SMALL(P391:P392,1)-SUM(O391:O392))),IF(S391&lt;0,IF(I393="",SMALL(P391:P393,1)-SUM(O391:O393),0),LARGE(P391:P393,1)-SUM(O391:O393))),S391)+V388,IF(I393="",IF(OR(AND(I391="DNB1",I392="DNB2"),AND(OR(I391="DNB1",I391="DNB2"),J392=0),AND(OR(I392="DNB1",I392="DNB2"),J391=0),AND(I391="DNB2",I392="DNB1"),AND(IF(J391=0,(J391+1)/ROUND(J391+1,0),J391/ROUND(J391,0))=1,IF(J392=0,(IF(J392="",0,J392)+1)/ROUND(IF(J392="",0,J392)+1,0),IF(J392="",0,J392)/ROUND(IF(J392="",0,J392)+1,0))=1,OR(J391&lt;&gt;""),J392&lt;&gt;"")),0,IF(S391&lt;0,IF(I393="",SMALL(P391:P392,1)-SUM(O391:O392),0),SMALL(P391:P393,1)-SUM(O391:O393))),IF(S391&lt;0,IF(I393="",SMALL(P391:P393,1)-SUM(O391:O393),0),LARGE(P391:P393,1)-SUM(O391:O393)))))</f>
        <v>22.337000000000003</v>
      </c>
      <c r="W391" s="470">
        <f>IF($D391=$D388,IF(S391&lt;0,IF(I393="",S391,0),S391)+W388,S391)</f>
        <v>22.72</v>
      </c>
      <c r="X391" s="480" t="str">
        <f>IF(OR(SUM(R391:R393)=0,V391=W391),ROUND(IF(W391=0,0,W391/Y391)*100,2)&amp;"%",ROUND(IF(V391=0,0,V391/Y391)*100,2)&amp;"% a "&amp;ROUND(IF(W391=0,0,W391/Y391)*100,2)&amp;"%")</f>
        <v>5,71%</v>
      </c>
      <c r="Y391" s="471">
        <f>IF($D391=$D388,Y388+SUM(O391:O393),SUM(O391:O393))</f>
        <v>398.23</v>
      </c>
      <c r="Z391" s="470">
        <f>IF($B391=" ",SUM(O391:O393),0)+Z388</f>
        <v>0</v>
      </c>
      <c r="AA391" s="470">
        <f>IF(G391="","",IF($B391="Anulado",LARGE(P391:P393,1)-SUM(O391:O393)+AA388,AA388))</f>
        <v>10.700299999999997</v>
      </c>
      <c r="AB391" s="470">
        <f>IF($D391="","",AB388+S391)</f>
        <v>481.07000000000011</v>
      </c>
      <c r="AC391" s="472">
        <f ca="1">IF($D391="","",IF($B391=" ",IF(DAY(G391)=DAY(TODAY()),1+AC388,0+AC388),0+AC388))</f>
        <v>0</v>
      </c>
      <c r="AD391" s="103">
        <f>(((L392/(L392-1)-1)*(1-_xlfn.XLOOKUP(K392,'Fevereiro 2023 - Valor Real'!A3:A15,'Fevereiro 2023 - Valor Real'!C3:C15,0))+1))/(((L391-1)*(1-_xlfn.XLOOKUP(K391,'Fevereiro 2023 - Valor Real'!A3:A15,'Fevereiro 2023 - Valor Real'!C3:C15,0))+1)+((L392/(L392-1)-1)*(1-_xlfn.XLOOKUP(K392,'Fevereiro 2023 - Valor Real'!A3:A15,'Fevereiro 2023 - Valor Real'!C3:C15,0))+1))</f>
        <v>0.48191404921192882</v>
      </c>
      <c r="AE391" s="104">
        <f>IF(L391="","",IF(L393&gt;0,(SUM(((L391-1)*(1-_xlfn.XLOOKUP(K391,'Fevereiro 2023 - Valor Real'!A3:A15,'Fevereiro 2023 - Valor Real'!C3:C15,0))+1),((L392-1)*(1-_xlfn.XLOOKUP(K392,'Fevereiro 2023 - Valor Real'!A3:A15,'Fevereiro 2023 - Valor Real'!C3:C15,0))+1),((L393-1)*(1-_xlfn.XLOOKUP(K393,'Fevereiro 2023 - Valor Real'!A3:A15,'Fevereiro 2023 - Valor Real'!C3:C15,0))+1))/((L391-1)*(1-_xlfn.XLOOKUP(K391,'Fevereiro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Real'!C3:C15,0))+1))/((L391-1)*(1-_xlfn.XLOOKUP(K391,'Fevereiro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Real'!C3:C15,0))+1))/((L392-1)*(1-_xlfn.XLOOKUP(K392,'Fevereiro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Real'!C3:C15,0))+1))/((L393-1)*(1-_xlfn.XLOOKUP(K393,'Fevereiro 2023 - Valor Real'!A3:A15,'Fevereiro 2023 - Valor Real'!C3:C15,0))+1)),IF(I391="Lay",IF(I392="Lay",((L392/(L392-1)-1)*(1-_xlfn.XLOOKUP(K392,'Fevereiro 2023 - Valor Real'!A3:A15,'Fevereiro 2023 - Valor Real'!C3:C15,0))+1)/(((L392/(L392-1)-1)*(1-_xlfn.XLOOKUP(K392,'Fevereiro 2023 - Valor Real'!A3:A15,'Fevereiro 2023 - Valor Real'!C3:C15,0))+1)+((L391/(L391-1)-1)*(1-_xlfn.XLOOKUP(K391,'Fevereiro 2023 - Valor Real'!A3:A15,'Fevereiro 2023 - Valor Real'!C3:C15,0))+1)),((L392-1)*(1-_xlfn.XLOOKUP(K392,'Fevereiro 2023 - Valor Real'!A3:A15,'Fevereiro 2023 - Valor Real'!C3:C15,0))+1)/(((L392-1)*(1-_xlfn.XLOOKUP(K392,'Fevereiro 2023 - Valor Real'!A3:A15,'Fevereiro 2023 - Valor Real'!C3:C15,0))+1)+((L391/(L391-1)-1)*(1-_xlfn.XLOOKUP(K391,'Fevereiro 2023 - Valor Real'!A3:A15,'Fevereiro 2023 - Valor Real'!C3:C15,0))+1))),IF(I392="Lay",(((L392/(L392-1)-1)*(1-_xlfn.XLOOKUP(K392,'Fevereiro 2023 - Valor Real'!A3:A15,'Fevereiro 2023 - Valor Real'!C3:C15,0))+1))/(((L391-1)*(1-_xlfn.XLOOKUP(K391,'Fevereiro 2023 - Valor Real'!A3:A15,'Fevereiro 2023 - Valor Real'!C3:C15,0))+1)+((L392/(L392-1)-1)*(1-_xlfn.XLOOKUP(K392,'Fevereiro 2023 - Valor Real'!A3:A15,'Fevereiro 2023 - Valor Real'!C3:C15,0))+1)),((L392-1)*(1-_xlfn.XLOOKUP(K392,'Fevereiro 2023 - Valor Real'!A3:A15,'Fevereiro 2023 - Valor Real'!C3:C15,0))+1)/(((L392-1)*(1-_xlfn.XLOOKUP(K392,'Fevereiro 2023 - Valor Real'!A3:A15,'Fevereiro 2023 - Valor Real'!C3:C15,0))+1)+((L391-1)*(1-_xlfn.XLOOKUP(K391,'Fevereiro 2023 - Valor Real'!A3:A15,'Fevereiro 2023 - Valor Real'!C3:C15,0))+1))))))</f>
        <v>0.69063579118423724</v>
      </c>
      <c r="AF391" s="105">
        <f t="shared" si="763"/>
        <v>0</v>
      </c>
      <c r="AG391" s="106">
        <f t="shared" si="763"/>
        <v>0</v>
      </c>
      <c r="AH391" s="106">
        <f t="shared" si="763"/>
        <v>0</v>
      </c>
      <c r="AI391" s="106">
        <f t="shared" si="763"/>
        <v>0</v>
      </c>
      <c r="AJ391" s="106">
        <f t="shared" si="763"/>
        <v>0</v>
      </c>
      <c r="AK391" s="106">
        <f t="shared" si="763"/>
        <v>0</v>
      </c>
      <c r="AL391" s="106">
        <f t="shared" si="763"/>
        <v>0</v>
      </c>
      <c r="AM391" s="106">
        <f t="shared" si="763"/>
        <v>109.46</v>
      </c>
      <c r="AN391" s="106">
        <f t="shared" si="763"/>
        <v>0</v>
      </c>
      <c r="AO391" s="106">
        <f t="shared" si="763"/>
        <v>0</v>
      </c>
      <c r="AP391" s="106">
        <f t="shared" si="763"/>
        <v>0</v>
      </c>
      <c r="AQ391" s="106">
        <f t="shared" si="763"/>
        <v>0</v>
      </c>
      <c r="AR391" s="107">
        <f t="shared" si="763"/>
        <v>0</v>
      </c>
      <c r="AS391" s="105">
        <f t="shared" ref="AS391:BE391" si="804">IF(AND($B391=" ",$K391=AS$3),$O391,0)</f>
        <v>0</v>
      </c>
      <c r="AT391" s="106">
        <f t="shared" si="804"/>
        <v>0</v>
      </c>
      <c r="AU391" s="106">
        <f t="shared" si="804"/>
        <v>0</v>
      </c>
      <c r="AV391" s="106">
        <f t="shared" si="804"/>
        <v>0</v>
      </c>
      <c r="AW391" s="106">
        <f t="shared" si="804"/>
        <v>0</v>
      </c>
      <c r="AX391" s="106">
        <f t="shared" si="804"/>
        <v>0</v>
      </c>
      <c r="AY391" s="108">
        <f t="shared" si="804"/>
        <v>0</v>
      </c>
      <c r="AZ391" s="109">
        <f t="shared" si="804"/>
        <v>0</v>
      </c>
      <c r="BA391" s="109">
        <f t="shared" si="804"/>
        <v>0</v>
      </c>
      <c r="BB391" s="109">
        <f t="shared" si="804"/>
        <v>0</v>
      </c>
      <c r="BC391" s="110">
        <f t="shared" si="804"/>
        <v>0</v>
      </c>
      <c r="BD391" s="106">
        <f t="shared" si="804"/>
        <v>0</v>
      </c>
      <c r="BE391" s="107">
        <f t="shared" si="804"/>
        <v>0</v>
      </c>
      <c r="BF391" s="111">
        <f t="shared" si="765"/>
        <v>0</v>
      </c>
      <c r="BG391" s="106">
        <f t="shared" si="765"/>
        <v>0</v>
      </c>
      <c r="BH391" s="106">
        <f t="shared" si="765"/>
        <v>0</v>
      </c>
      <c r="BI391" s="106">
        <f t="shared" si="765"/>
        <v>0</v>
      </c>
      <c r="BJ391" s="106">
        <f t="shared" si="765"/>
        <v>0</v>
      </c>
      <c r="BK391" s="106">
        <f t="shared" si="765"/>
        <v>0</v>
      </c>
      <c r="BL391" s="106">
        <f t="shared" si="765"/>
        <v>0</v>
      </c>
      <c r="BM391" s="108">
        <f t="shared" si="765"/>
        <v>209.3</v>
      </c>
      <c r="BN391" s="109">
        <f t="shared" si="765"/>
        <v>0</v>
      </c>
      <c r="BO391" s="109">
        <f t="shared" si="765"/>
        <v>0</v>
      </c>
      <c r="BP391" s="109">
        <f t="shared" si="765"/>
        <v>0</v>
      </c>
      <c r="BQ391" s="110">
        <f t="shared" si="765"/>
        <v>0</v>
      </c>
      <c r="BR391" s="107">
        <f t="shared" si="765"/>
        <v>0</v>
      </c>
      <c r="BS391" s="463">
        <f>IF($B391="LOSS",IF(AND($K391=BS$3,$C391="L"),-$O391,0)+IF(AND($K392=BS$3,$C392="L"),-$O392,0)+IF(AND($K393=BS$3,$C393="L"),-$O393,0),IF(OR(AND($K391=BS$3,OR($C391="W",$C391="1/2W")),AND($K392=BS$3,OR($C392="W",$C392="1/2W")),AND($K393=BS$3,OR($C393="W",$C393="1/2W"))),$S391,0))</f>
        <v>0</v>
      </c>
      <c r="BT391" s="462">
        <f>IF($B391="LOSS",IF(AND($K391=BT$3,$C391="L"),-$O391,0)+IF(AND($K392=BT$3,$C392="L"),-$O392,0)+IF(AND($K392=BT$3,$C393="L"),-$O393,0),IF(OR(AND($K392=BT$3,OR($C391="W",$C391="1/2W")),AND($K392=BT$3,OR($C392="W",$C392="1/2W")),AND($K392=BT$3,OR($C393="W",$C393="1/2W"))),$S391,0))</f>
        <v>0</v>
      </c>
      <c r="BU391" s="462">
        <f>IF($B391="LOSS",IF(AND($K391=BU$3,$C391="L"),-$O391,0)+IF(AND($K392=BU$3,$C392="L"),-$O392,0)+IF(AND($K392=BU$3,$C393="L"),-$O393,0),IF(OR(AND($K392=BU$3,OR($C391="W",$C391="1/2W")),AND($K392=BU$3,OR($C392="W",$C392="1/2W")),AND($K392=BU$3,OR($C393="W",$C393="1/2W"))),$S391,0))</f>
        <v>0</v>
      </c>
      <c r="BV391" s="462">
        <f t="shared" ref="BV391:CE391" si="805">IF($B391="LOSS",IF(AND($K391=BV$3,$C391="L"),-$O391,0)+IF(AND($K392=BV$3,$C392="L"),-$O392,0)+IF(AND($K393=BV$3,$C393="L"),-$O393,0),IF(OR(AND($K391=BV$3,OR($C391="W",$C391="1/2W")),AND($K392=BV$3,OR($C392="W",$C392="1/2W")),AND($K393=BV$3,OR($C393="W",$C393="1/2W"))),$S391,0))</f>
        <v>0</v>
      </c>
      <c r="BW391" s="462">
        <f t="shared" si="805"/>
        <v>0</v>
      </c>
      <c r="BX391" s="462">
        <f t="shared" si="805"/>
        <v>0</v>
      </c>
      <c r="BY391" s="462">
        <f t="shared" si="805"/>
        <v>0</v>
      </c>
      <c r="BZ391" s="460">
        <f t="shared" si="805"/>
        <v>15.71</v>
      </c>
      <c r="CA391" s="460">
        <f t="shared" si="805"/>
        <v>0</v>
      </c>
      <c r="CB391" s="460">
        <f t="shared" si="805"/>
        <v>0</v>
      </c>
      <c r="CC391" s="460">
        <f t="shared" si="805"/>
        <v>0</v>
      </c>
      <c r="CD391" s="473">
        <f t="shared" si="805"/>
        <v>0</v>
      </c>
      <c r="CE391" s="479">
        <f t="shared" si="805"/>
        <v>0</v>
      </c>
      <c r="CF391" s="113">
        <f t="shared" si="772"/>
        <v>0</v>
      </c>
      <c r="CG391" s="114">
        <f t="shared" si="773"/>
        <v>0</v>
      </c>
      <c r="CH391" s="114">
        <f t="shared" si="774"/>
        <v>0</v>
      </c>
      <c r="CI391" s="114">
        <f t="shared" si="775"/>
        <v>0</v>
      </c>
      <c r="CJ391" s="114">
        <f t="shared" si="776"/>
        <v>0</v>
      </c>
      <c r="CK391" s="114">
        <f t="shared" si="777"/>
        <v>0</v>
      </c>
      <c r="CL391" s="114">
        <f t="shared" si="778"/>
        <v>0</v>
      </c>
      <c r="CM391" s="114">
        <f t="shared" si="779"/>
        <v>0</v>
      </c>
      <c r="CN391" s="114">
        <f t="shared" si="780"/>
        <v>0</v>
      </c>
      <c r="CO391" s="114">
        <f t="shared" si="781"/>
        <v>0</v>
      </c>
      <c r="CP391" s="114">
        <f t="shared" si="782"/>
        <v>0</v>
      </c>
      <c r="CQ391" s="114">
        <f t="shared" si="783"/>
        <v>0</v>
      </c>
      <c r="CR391" s="114">
        <f t="shared" si="784"/>
        <v>0</v>
      </c>
      <c r="CS391" s="114">
        <f t="shared" si="785"/>
        <v>0</v>
      </c>
      <c r="CT391" s="115">
        <f t="shared" si="786"/>
        <v>1</v>
      </c>
      <c r="CU391" s="116">
        <f t="shared" si="787"/>
        <v>0</v>
      </c>
      <c r="CV391" s="116">
        <f t="shared" si="788"/>
        <v>0</v>
      </c>
      <c r="CW391" s="116">
        <f t="shared" si="789"/>
        <v>0</v>
      </c>
      <c r="CX391" s="116">
        <f t="shared" si="790"/>
        <v>0</v>
      </c>
      <c r="CY391" s="116">
        <f t="shared" si="791"/>
        <v>0</v>
      </c>
      <c r="CZ391" s="116">
        <f t="shared" si="792"/>
        <v>0</v>
      </c>
      <c r="DA391" s="116">
        <f t="shared" si="793"/>
        <v>0</v>
      </c>
      <c r="DB391" s="116">
        <f t="shared" si="794"/>
        <v>0</v>
      </c>
      <c r="DC391" s="116">
        <f t="shared" si="795"/>
        <v>0</v>
      </c>
      <c r="DD391" s="116">
        <f t="shared" si="796"/>
        <v>0</v>
      </c>
      <c r="DE391" s="117">
        <f t="shared" si="797"/>
        <v>0</v>
      </c>
      <c r="DF391" s="118">
        <f t="shared" si="799"/>
        <v>28</v>
      </c>
      <c r="DG391" s="106">
        <f t="shared" si="800"/>
        <v>36.409999999999997</v>
      </c>
      <c r="DH391" s="116">
        <f t="shared" si="801"/>
        <v>10</v>
      </c>
      <c r="DI391" s="106">
        <f t="shared" si="802"/>
        <v>41.599999999999994</v>
      </c>
      <c r="DJ391" s="201" t="str">
        <f>IF($D391="","",$D391)</f>
        <v>13</v>
      </c>
      <c r="DK391" s="465">
        <f>IF(AND($B391=" ",$D391&lt;&gt;""),1,0)</f>
        <v>0</v>
      </c>
    </row>
    <row r="392" spans="1:115" ht="14.5" customHeight="1" x14ac:dyDescent="0.2">
      <c r="A392" s="389"/>
      <c r="B392" s="456"/>
      <c r="C392" s="120" t="s">
        <v>55</v>
      </c>
      <c r="D392" s="374"/>
      <c r="E392" s="386"/>
      <c r="F392" s="377"/>
      <c r="G392" s="483"/>
      <c r="H392" s="476"/>
      <c r="I392" s="178">
        <v>1</v>
      </c>
      <c r="J392" s="179" t="str">
        <f>IF(OR(I391="TO",I391="TU",I391="TO1",I391="TU1",I391="TO2",I391="TU2"),J391,IF(OR(I391="AH1",I391="AH2"),IF(OR(I392="AH1",I392="AH2"),-J391,IF(OR(I392="EH1",I392="EH2"),-J391+0.5,"")),IF(OR(I391="EH1",I391="EH2"),IF(OR(I392="AH1",I392="AH2"),-J391+0.5,IF(OR(I392="EH1",I392="EH2"),-J391+1,"")),IF(AND(OR(I391="DNB1",I391="DNB2"),OR(I392="AH1",I392="AH2")),0,IF(AND(I391="Not ScoreBoth",OR(I392="TO1",I392="TO2")),0.5,"")))))</f>
        <v/>
      </c>
      <c r="K392" s="123" t="s">
        <v>40</v>
      </c>
      <c r="L392" s="124">
        <v>3.4</v>
      </c>
      <c r="M392" s="125">
        <v>93.75</v>
      </c>
      <c r="N392" s="406"/>
      <c r="O392" s="126">
        <f>IF(OR(AE391="",AE392=""),"",ROUND(IF(L393&gt;0,IF(M392&gt;0,M392,IF(M391&gt;0,IF(N391=TRUE,ROUND((M391*AE392)/AE391,0),(M391*AE392)/AE391),IF(M392&gt;0,ROUND(M392,IF(N391=0,2,IF(N391=0.1,1,0))),IF(M393&gt;0,ROUND(O393*AE392/AE393,IF(N391=0,2,IF(N391=0.1,1,0))),0)))),IF(M392&gt;0,M392,ROUND((M391*AE392)/AE391,IF(N391=0,2,IF(N391=0.1,1,0))))),2))</f>
        <v>93.75</v>
      </c>
      <c r="P392" s="127">
        <f>IF(OR(L392="",O392=""),"",IF($C392="1/2W",O392/2+O392/2*L392,IF($C392="1/2L",O392/2,IF(I392="Lay",((O392*(L392/(L392-1)))-O392)*(1-_xlfn.XLOOKUP(K392,'Fevereiro 2023 - Valor Real'!A3:A15,'Fevereiro 2023 - Valor Real'!C3:C15,0))+O392,(O392*L392-O392)*(1-_xlfn.XLOOKUP(K392,'Fevereiro 2023 - Valor Real'!A3:A15,'Fevereiro 2023 - Valor Real'!C3:C15,0))+O392))))</f>
        <v>318.75</v>
      </c>
      <c r="Q392" s="128">
        <f>IF(K392="","",IF(_xlfn.XLOOKUP(K392,K$4:K391,$DJ$4:DJ391,0,,-1)=DJ392,_xlfn.XLOOKUP(K392,K$4:K391,Q$4:Q391,1,,-1)+1,1))</f>
        <v>2</v>
      </c>
      <c r="R392" s="129">
        <f>IF(K392="","",_xlfn.XLOOKUP(K392,K$4:K391,R$4:R391,0,,-1)+IF($C392=" ",1,0))</f>
        <v>0</v>
      </c>
      <c r="S392" s="403"/>
      <c r="T392" s="380"/>
      <c r="U392" s="380"/>
      <c r="V392" s="481"/>
      <c r="W392" s="380"/>
      <c r="X392" s="452"/>
      <c r="Y392" s="383"/>
      <c r="Z392" s="384"/>
      <c r="AA392" s="384"/>
      <c r="AB392" s="384"/>
      <c r="AC392" s="384"/>
      <c r="AD392" s="130">
        <f>(((L392/(L392-1)-1)*(1-_xlfn.XLOOKUP(K392,'Fevereiro 2023 - Valor Real'!A3:A15,'Fevereiro 2023 - Valor Real'!C3:C15,0))+1))</f>
        <v>1.4166666666666667</v>
      </c>
      <c r="AE392" s="131">
        <f>IF(L392="","",IF(L393&gt;0,(SUM(((L391-1)*(1-_xlfn.XLOOKUP(K391,'Fevereiro 2023 - Valor Real'!A3:A15,'Fevereiro 2023 - Valor Real'!C3:C15,0))+1),((L392-1)*(1-_xlfn.XLOOKUP(K392,'Fevereiro 2023 - Valor Real'!A3:A15,'Fevereiro 2023 - Valor Real'!C3:C15,0))+1),((L393-1)*(1-_xlfn.XLOOKUP(K393,'Fevereiro 2023 - Valor Real'!A3:A15,'Fevereiro 2023 - Valor Real'!C3:C15,0))+1))/((L392-1)*(1-_xlfn.XLOOKUP(K392,'Fevereiro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Real'!C3:C15,0))+1))/((L391-1)*(1-_xlfn.XLOOKUP(K391,'Fevereiro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Real'!C3:C15,0))+1))/((L392-1)*(1-_xlfn.XLOOKUP(K392,'Fevereiro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Real'!C3:C15,0))+1))/((L393-1)*(1-_xlfn.XLOOKUP(K393,'Fevereiro 2023 - Valor Real'!A3:A15,'Fevereiro 2023 - Valor Real'!C3:C15,0))+1)),IF(I392="Lay",IF(I391="Lay",((L391/(L391-1)-1)*(1-_xlfn.XLOOKUP(K391,'Fevereiro 2023 - Valor Real'!A3:A15,'Fevereiro 2023 - Valor Real'!C3:C15,0))+1)/(((L391/(L391-1)-1)*(1-_xlfn.XLOOKUP(K391,'Fevereiro 2023 - Valor Real'!A3:A15,'Fevereiro 2023 - Valor Real'!C3:C15,0))+1)+((L392/(L392-1)-1)*(1-_xlfn.XLOOKUP(K392,'Fevereiro 2023 - Valor Real'!A3:A15,'Fevereiro 2023 - Valor Real'!C3:C15,0))+1)),((L391-1)*(1-_xlfn.XLOOKUP(K391,'Fevereiro 2023 - Valor Real'!A3:A15,'Fevereiro 2023 - Valor Real'!C3:C15,0))+1)/(((L391-1)*(1-_xlfn.XLOOKUP(K391,'Fevereiro 2023 - Valor Real'!A3:A15,'Fevereiro 2023 - Valor Real'!C3:C15,0))+1)+((L392/(L392-1)-1)*(1-_xlfn.XLOOKUP(K392,'Fevereiro 2023 - Valor Real'!A3:A15,'Fevereiro 2023 - Valor Real'!C3:C15,0))+1))),IF(I391="Lay",((L391/(L391-1)-1)*(1-_xlfn.XLOOKUP(K391,'Fevereiro 2023 - Valor Real'!A3:A15,'Fevereiro 2023 - Valor Real'!C3:C15,0))+1)/((((L391/(L391-1)-1)*(1-_xlfn.XLOOKUP(K391,'Fevereiro 2023 - Valor Real'!A3:A15,'Fevereiro 2023 - Valor Real'!C3:C15,0))+1))+((L392-1)*(1-_xlfn.XLOOKUP(K392,'Fevereiro 2023 - Valor Real'!A3:A15,'Fevereiro 2023 - Valor Real'!C3:C15,0))+1)),((L391-1)*(1-_xlfn.XLOOKUP(K391,'Fevereiro 2023 - Valor Real'!A3:A15,'Fevereiro 2023 - Valor Real'!C3:C15,0))+1)/(((L391-1)*(1-_xlfn.XLOOKUP(K391,'Fevereiro 2023 - Valor Real'!A3:A15,'Fevereiro 2023 - Valor Real'!C3:C15,0))+1)+((L392-1)*(1-_xlfn.XLOOKUP(K392,'Fevereiro 2023 - Valor Real'!A3:A15,'Fevereiro 2023 - Valor Real'!C3:C15,0))+1))))))</f>
        <v>0.30936420881576271</v>
      </c>
      <c r="AF392" s="105">
        <f t="shared" si="763"/>
        <v>0</v>
      </c>
      <c r="AG392" s="106">
        <f t="shared" si="763"/>
        <v>0</v>
      </c>
      <c r="AH392" s="106">
        <f t="shared" si="763"/>
        <v>0</v>
      </c>
      <c r="AI392" s="106">
        <f t="shared" si="763"/>
        <v>0</v>
      </c>
      <c r="AJ392" s="106">
        <f t="shared" si="763"/>
        <v>-93.75</v>
      </c>
      <c r="AK392" s="106">
        <f t="shared" si="763"/>
        <v>0</v>
      </c>
      <c r="AL392" s="106">
        <f t="shared" si="763"/>
        <v>0</v>
      </c>
      <c r="AM392" s="106">
        <f t="shared" si="763"/>
        <v>0</v>
      </c>
      <c r="AN392" s="106">
        <f t="shared" si="763"/>
        <v>0</v>
      </c>
      <c r="AO392" s="106">
        <f t="shared" si="763"/>
        <v>0</v>
      </c>
      <c r="AP392" s="106">
        <f t="shared" si="763"/>
        <v>0</v>
      </c>
      <c r="AQ392" s="106">
        <f t="shared" si="763"/>
        <v>0</v>
      </c>
      <c r="AR392" s="107">
        <f t="shared" si="763"/>
        <v>0</v>
      </c>
      <c r="AS392" s="105">
        <f>IF(AND($B391=" ",$K392=AS$3),$O392,0)</f>
        <v>0</v>
      </c>
      <c r="AT392" s="106">
        <f>IF(AND($B391=" ",K392=AT$3),$O392,0)</f>
        <v>0</v>
      </c>
      <c r="AU392" s="106">
        <f t="shared" ref="AU392:BE392" si="806">IF(AND($B391=" ",$K392=AU$3),$O392,0)</f>
        <v>0</v>
      </c>
      <c r="AV392" s="106">
        <f t="shared" si="806"/>
        <v>0</v>
      </c>
      <c r="AW392" s="106">
        <f t="shared" si="806"/>
        <v>0</v>
      </c>
      <c r="AX392" s="106">
        <f t="shared" si="806"/>
        <v>0</v>
      </c>
      <c r="AY392" s="108">
        <f t="shared" si="806"/>
        <v>0</v>
      </c>
      <c r="AZ392" s="109">
        <f t="shared" si="806"/>
        <v>0</v>
      </c>
      <c r="BA392" s="109">
        <f t="shared" si="806"/>
        <v>0</v>
      </c>
      <c r="BB392" s="109">
        <f t="shared" si="806"/>
        <v>0</v>
      </c>
      <c r="BC392" s="110">
        <f t="shared" si="806"/>
        <v>0</v>
      </c>
      <c r="BD392" s="106">
        <f t="shared" si="806"/>
        <v>0</v>
      </c>
      <c r="BE392" s="107">
        <f t="shared" si="806"/>
        <v>0</v>
      </c>
      <c r="BF392" s="105">
        <f t="shared" si="765"/>
        <v>0</v>
      </c>
      <c r="BG392" s="106">
        <f t="shared" si="765"/>
        <v>0</v>
      </c>
      <c r="BH392" s="106">
        <f t="shared" si="765"/>
        <v>0</v>
      </c>
      <c r="BI392" s="106">
        <f t="shared" si="765"/>
        <v>0</v>
      </c>
      <c r="BJ392" s="106">
        <f t="shared" si="765"/>
        <v>93.75</v>
      </c>
      <c r="BK392" s="106">
        <f t="shared" si="765"/>
        <v>0</v>
      </c>
      <c r="BL392" s="106">
        <f t="shared" si="765"/>
        <v>0</v>
      </c>
      <c r="BM392" s="132">
        <f t="shared" si="765"/>
        <v>0</v>
      </c>
      <c r="BN392" s="112">
        <f t="shared" si="765"/>
        <v>0</v>
      </c>
      <c r="BO392" s="112">
        <f t="shared" si="765"/>
        <v>0</v>
      </c>
      <c r="BP392" s="112">
        <f t="shared" si="765"/>
        <v>0</v>
      </c>
      <c r="BQ392" s="110">
        <f t="shared" si="765"/>
        <v>0</v>
      </c>
      <c r="BR392" s="107">
        <f t="shared" si="765"/>
        <v>0</v>
      </c>
      <c r="BS392" s="464"/>
      <c r="BT392" s="461"/>
      <c r="BU392" s="392"/>
      <c r="BV392" s="461"/>
      <c r="BW392" s="392"/>
      <c r="BX392" s="392"/>
      <c r="BY392" s="392"/>
      <c r="BZ392" s="461"/>
      <c r="CA392" s="392"/>
      <c r="CB392" s="392"/>
      <c r="CC392" s="392"/>
      <c r="CD392" s="401"/>
      <c r="CE392" s="409"/>
      <c r="CF392" s="133">
        <f t="shared" si="772"/>
        <v>0</v>
      </c>
      <c r="CG392" s="134">
        <f t="shared" si="773"/>
        <v>0</v>
      </c>
      <c r="CH392" s="134">
        <f t="shared" si="774"/>
        <v>0</v>
      </c>
      <c r="CI392" s="134">
        <f t="shared" si="775"/>
        <v>0</v>
      </c>
      <c r="CJ392" s="134">
        <f t="shared" si="776"/>
        <v>0</v>
      </c>
      <c r="CK392" s="134">
        <f t="shared" si="777"/>
        <v>0</v>
      </c>
      <c r="CL392" s="134">
        <f t="shared" si="778"/>
        <v>0</v>
      </c>
      <c r="CM392" s="134">
        <f t="shared" si="779"/>
        <v>0</v>
      </c>
      <c r="CN392" s="134">
        <f t="shared" si="780"/>
        <v>0</v>
      </c>
      <c r="CO392" s="134">
        <f t="shared" si="781"/>
        <v>1</v>
      </c>
      <c r="CP392" s="134">
        <f t="shared" si="782"/>
        <v>0</v>
      </c>
      <c r="CQ392" s="134">
        <f t="shared" si="783"/>
        <v>0</v>
      </c>
      <c r="CR392" s="134">
        <f t="shared" si="784"/>
        <v>0</v>
      </c>
      <c r="CS392" s="134">
        <f t="shared" si="785"/>
        <v>0</v>
      </c>
      <c r="CT392" s="115">
        <f t="shared" si="786"/>
        <v>0</v>
      </c>
      <c r="CU392" s="116">
        <f t="shared" si="787"/>
        <v>0</v>
      </c>
      <c r="CV392" s="116">
        <f t="shared" si="788"/>
        <v>0</v>
      </c>
      <c r="CW392" s="116">
        <f t="shared" si="789"/>
        <v>0</v>
      </c>
      <c r="CX392" s="116">
        <f t="shared" si="790"/>
        <v>0</v>
      </c>
      <c r="CY392" s="116">
        <f t="shared" si="791"/>
        <v>0</v>
      </c>
      <c r="CZ392" s="116">
        <f t="shared" si="792"/>
        <v>0</v>
      </c>
      <c r="DA392" s="116">
        <f t="shared" si="793"/>
        <v>0</v>
      </c>
      <c r="DB392" s="116">
        <f t="shared" si="794"/>
        <v>0</v>
      </c>
      <c r="DC392" s="116">
        <f t="shared" si="795"/>
        <v>0</v>
      </c>
      <c r="DD392" s="116">
        <f t="shared" si="796"/>
        <v>0</v>
      </c>
      <c r="DE392" s="117">
        <f t="shared" si="797"/>
        <v>0</v>
      </c>
      <c r="DF392" s="118">
        <f t="shared" si="799"/>
        <v>28</v>
      </c>
      <c r="DG392" s="106">
        <f t="shared" si="800"/>
        <v>36.409999999999997</v>
      </c>
      <c r="DH392" s="116">
        <f t="shared" si="801"/>
        <v>10</v>
      </c>
      <c r="DI392" s="106">
        <f t="shared" si="802"/>
        <v>41.599999999999994</v>
      </c>
      <c r="DJ392" s="201" t="str">
        <f>IF($D391="","",$D391)</f>
        <v>13</v>
      </c>
      <c r="DK392" s="466"/>
    </row>
    <row r="393" spans="1:115" ht="14.5" customHeight="1" x14ac:dyDescent="0.2">
      <c r="A393" s="390"/>
      <c r="B393" s="457"/>
      <c r="C393" s="135" t="s">
        <v>53</v>
      </c>
      <c r="D393" s="375"/>
      <c r="E393" s="387"/>
      <c r="F393" s="378"/>
      <c r="G393" s="484"/>
      <c r="H393" s="477"/>
      <c r="I393" s="136"/>
      <c r="J393" s="137"/>
      <c r="K393" s="138"/>
      <c r="L393" s="139"/>
      <c r="M393" s="140"/>
      <c r="N393" s="407"/>
      <c r="O393" s="141" t="str">
        <f>IF(OR(AE391="",AE392=""),"",IF(L393&gt;0,ROUND(IF(M393&gt;0,M393,IF(M391&gt;0,ROUND((M391*AE393)/AE391,IF(N391=0,2,IF(N391=0.1,1,0))),IF(M392&gt;0,ROUND((M392*AE393)/AE392,IF(N391=0,2,IF(N391=0.1,1,0))),IF(M393&gt;0,M393,0)))),2),""))</f>
        <v/>
      </c>
      <c r="P393" s="142" t="str">
        <f>IF(I392="Lay",O392*(L392/(L392-1))-O392,IF(I391="Lay",O391*(L391/(L391-1))-O391,IF(OR(L393="",O393=""),"",IF($C393="1/2W",O393/2+O393/2*L393,IF($C393="1/2L",O393/2,(O393*L393-O393)*(1-_xlfn.XLOOKUP(K393,'Fevereiro 2023 - Valor Real'!A3:A15,'Fevereiro 2023 - Valor Real'!C3:C15,0))+O393)))))</f>
        <v/>
      </c>
      <c r="Q393" s="143" t="str">
        <f>IF(K393="","",IF(_xlfn.XLOOKUP(K393,K$4:K392,$DJ$4:DJ392,0,,-1)=DJ393,_xlfn.XLOOKUP(K393,K$4:K392,Q$4:Q392,1,,-1)+1,1))</f>
        <v/>
      </c>
      <c r="R393" s="144" t="str">
        <f>IF(K393="","",_xlfn.XLOOKUP(K393,K$4:K392,R$4:R392,0,,-1)+IF($C393=" ",1,0))</f>
        <v/>
      </c>
      <c r="S393" s="404"/>
      <c r="T393" s="378"/>
      <c r="U393" s="378"/>
      <c r="V393" s="404"/>
      <c r="W393" s="378"/>
      <c r="X393" s="453"/>
      <c r="Y393" s="383"/>
      <c r="Z393" s="384"/>
      <c r="AA393" s="384"/>
      <c r="AB393" s="384"/>
      <c r="AC393" s="384"/>
      <c r="AD393" s="145">
        <f>((L392/(L392-1)-1))</f>
        <v>0.41666666666666674</v>
      </c>
      <c r="AE393" s="146" t="str">
        <f>IF(L393="","",(SUM(((L391-1)*(1-_xlfn.XLOOKUP(K391,'Fevereiro 2023 - Valor Real'!A3:A15,'Fevereiro 2023 - Valor Real'!C3:C15,0))+1),((L392-1)*(1-_xlfn.XLOOKUP(K392,'Fevereiro 2023 - Valor Real'!A3:A15,'Fevereiro 2023 - Valor Real'!C3:C15,0))+1),((L393-1)*(1-_xlfn.XLOOKUP(K393,'Fevereiro 2023 - Valor Real'!A3:A15,'Fevereiro 2023 - Valor Real'!C3:C15,0))+1))/((L393-1)*(1-_xlfn.XLOOKUP(K393,'Fevereiro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Real'!C3:C15,0))+1))/((L391-1)*(1-_xlfn.XLOOKUP(K391,'Fevereiro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Real'!C3:C15,0))+1))/((L392-1)*(1-_xlfn.XLOOKUP(K392,'Fevereiro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Real'!C3:C15,0))+1))/((L393-1)*(1-_xlfn.XLOOKUP(K393,'Fevereiro 2023 - Valor Real'!A3:A15,'Fevereiro 2023 - Valor Real'!C3:C15,0))+1)))</f>
        <v/>
      </c>
      <c r="AF393" s="105">
        <f t="shared" si="763"/>
        <v>0</v>
      </c>
      <c r="AG393" s="106">
        <f t="shared" si="763"/>
        <v>0</v>
      </c>
      <c r="AH393" s="106">
        <f t="shared" si="763"/>
        <v>0</v>
      </c>
      <c r="AI393" s="106">
        <f t="shared" si="763"/>
        <v>0</v>
      </c>
      <c r="AJ393" s="106">
        <f t="shared" si="763"/>
        <v>0</v>
      </c>
      <c r="AK393" s="106">
        <f t="shared" si="763"/>
        <v>0</v>
      </c>
      <c r="AL393" s="106">
        <f t="shared" si="763"/>
        <v>0</v>
      </c>
      <c r="AM393" s="106">
        <f t="shared" si="763"/>
        <v>0</v>
      </c>
      <c r="AN393" s="106">
        <f t="shared" si="763"/>
        <v>0</v>
      </c>
      <c r="AO393" s="106">
        <f t="shared" si="763"/>
        <v>0</v>
      </c>
      <c r="AP393" s="106">
        <f t="shared" si="763"/>
        <v>0</v>
      </c>
      <c r="AQ393" s="106">
        <f t="shared" si="763"/>
        <v>0</v>
      </c>
      <c r="AR393" s="107">
        <f t="shared" si="763"/>
        <v>0</v>
      </c>
      <c r="AS393" s="105">
        <f>IF(AND($B391=" ",$K393=AS$3),$O393,0)</f>
        <v>0</v>
      </c>
      <c r="AT393" s="106">
        <f>IF(AND($B391=" ",K393=AT$3),$O393,0)</f>
        <v>0</v>
      </c>
      <c r="AU393" s="106">
        <f t="shared" ref="AU393:BE393" si="807">IF(AND($B391=" ",$K393=AU$3),$O393,0)</f>
        <v>0</v>
      </c>
      <c r="AV393" s="106">
        <f t="shared" si="807"/>
        <v>0</v>
      </c>
      <c r="AW393" s="106">
        <f t="shared" si="807"/>
        <v>0</v>
      </c>
      <c r="AX393" s="106">
        <f t="shared" si="807"/>
        <v>0</v>
      </c>
      <c r="AY393" s="108">
        <f t="shared" si="807"/>
        <v>0</v>
      </c>
      <c r="AZ393" s="109">
        <f t="shared" si="807"/>
        <v>0</v>
      </c>
      <c r="BA393" s="109">
        <f t="shared" si="807"/>
        <v>0</v>
      </c>
      <c r="BB393" s="109">
        <f t="shared" si="807"/>
        <v>0</v>
      </c>
      <c r="BC393" s="110">
        <f t="shared" si="807"/>
        <v>0</v>
      </c>
      <c r="BD393" s="106">
        <f t="shared" si="807"/>
        <v>0</v>
      </c>
      <c r="BE393" s="107">
        <f t="shared" si="807"/>
        <v>0</v>
      </c>
      <c r="BF393" s="105">
        <f t="shared" si="765"/>
        <v>0</v>
      </c>
      <c r="BG393" s="106">
        <f t="shared" si="765"/>
        <v>0</v>
      </c>
      <c r="BH393" s="106">
        <f t="shared" si="765"/>
        <v>0</v>
      </c>
      <c r="BI393" s="106">
        <f t="shared" si="765"/>
        <v>0</v>
      </c>
      <c r="BJ393" s="106">
        <f t="shared" si="765"/>
        <v>0</v>
      </c>
      <c r="BK393" s="106">
        <f t="shared" si="765"/>
        <v>0</v>
      </c>
      <c r="BL393" s="106">
        <f t="shared" si="765"/>
        <v>0</v>
      </c>
      <c r="BM393" s="108">
        <f t="shared" si="765"/>
        <v>0</v>
      </c>
      <c r="BN393" s="109">
        <f t="shared" si="765"/>
        <v>0</v>
      </c>
      <c r="BO393" s="109">
        <f t="shared" si="765"/>
        <v>0</v>
      </c>
      <c r="BP393" s="109">
        <f t="shared" si="765"/>
        <v>0</v>
      </c>
      <c r="BQ393" s="110">
        <f t="shared" si="765"/>
        <v>0</v>
      </c>
      <c r="BR393" s="107">
        <f t="shared" si="765"/>
        <v>0</v>
      </c>
      <c r="BS393" s="464"/>
      <c r="BT393" s="461"/>
      <c r="BU393" s="392"/>
      <c r="BV393" s="461"/>
      <c r="BW393" s="392"/>
      <c r="BX393" s="392"/>
      <c r="BY393" s="392"/>
      <c r="BZ393" s="461"/>
      <c r="CA393" s="392"/>
      <c r="CB393" s="392"/>
      <c r="CC393" s="392"/>
      <c r="CD393" s="401"/>
      <c r="CE393" s="409"/>
      <c r="CF393" s="133">
        <f t="shared" si="772"/>
        <v>0</v>
      </c>
      <c r="CG393" s="134">
        <f t="shared" si="773"/>
        <v>0</v>
      </c>
      <c r="CH393" s="134">
        <f t="shared" si="774"/>
        <v>0</v>
      </c>
      <c r="CI393" s="134">
        <f t="shared" si="775"/>
        <v>0</v>
      </c>
      <c r="CJ393" s="134">
        <f t="shared" si="776"/>
        <v>0</v>
      </c>
      <c r="CK393" s="134">
        <f t="shared" si="777"/>
        <v>0</v>
      </c>
      <c r="CL393" s="134">
        <f t="shared" si="778"/>
        <v>0</v>
      </c>
      <c r="CM393" s="134">
        <f t="shared" si="779"/>
        <v>0</v>
      </c>
      <c r="CN393" s="134">
        <f t="shared" si="780"/>
        <v>0</v>
      </c>
      <c r="CO393" s="134">
        <f t="shared" si="781"/>
        <v>0</v>
      </c>
      <c r="CP393" s="134">
        <f t="shared" si="782"/>
        <v>0</v>
      </c>
      <c r="CQ393" s="134">
        <f t="shared" si="783"/>
        <v>0</v>
      </c>
      <c r="CR393" s="134">
        <f t="shared" si="784"/>
        <v>0</v>
      </c>
      <c r="CS393" s="134">
        <f t="shared" si="785"/>
        <v>0</v>
      </c>
      <c r="CT393" s="115">
        <f t="shared" si="786"/>
        <v>0</v>
      </c>
      <c r="CU393" s="116">
        <f t="shared" si="787"/>
        <v>0</v>
      </c>
      <c r="CV393" s="116">
        <f t="shared" si="788"/>
        <v>0</v>
      </c>
      <c r="CW393" s="116">
        <f t="shared" si="789"/>
        <v>0</v>
      </c>
      <c r="CX393" s="116">
        <f t="shared" si="790"/>
        <v>0</v>
      </c>
      <c r="CY393" s="116">
        <f t="shared" si="791"/>
        <v>0</v>
      </c>
      <c r="CZ393" s="116">
        <f t="shared" si="792"/>
        <v>0</v>
      </c>
      <c r="DA393" s="116">
        <f t="shared" si="793"/>
        <v>0</v>
      </c>
      <c r="DB393" s="116">
        <f t="shared" si="794"/>
        <v>0</v>
      </c>
      <c r="DC393" s="116">
        <f t="shared" si="795"/>
        <v>0</v>
      </c>
      <c r="DD393" s="116">
        <f t="shared" si="796"/>
        <v>0</v>
      </c>
      <c r="DE393" s="117">
        <f t="shared" si="797"/>
        <v>0</v>
      </c>
      <c r="DF393" s="118">
        <f t="shared" si="799"/>
        <v>28</v>
      </c>
      <c r="DG393" s="106">
        <f t="shared" si="800"/>
        <v>36.409999999999997</v>
      </c>
      <c r="DH393" s="116">
        <f t="shared" si="801"/>
        <v>10</v>
      </c>
      <c r="DI393" s="106">
        <f t="shared" si="802"/>
        <v>41.599999999999994</v>
      </c>
      <c r="DJ393" s="201" t="str">
        <f>IF($D391="","",$D391)</f>
        <v>13</v>
      </c>
      <c r="DK393" s="466"/>
    </row>
    <row r="394" spans="1:115" ht="14.5" customHeight="1" x14ac:dyDescent="0.2">
      <c r="A394" s="487">
        <f>$A391+1</f>
        <v>131</v>
      </c>
      <c r="B394" s="506" t="str">
        <f>IF(OR(C394="W",C395="W",C396="W",C394="1/2W",C395="1/2W",C396="1/2W",C394="1/2L",C395="1/2L",C396="1/2L"),"OK",IF(OR(C394="L",C395="L",C396="L"),"LOSS",IF(OR(C394="X",C395="X",C396="X"),"Anulado"," ")))</f>
        <v>OK</v>
      </c>
      <c r="C394" s="147" t="s">
        <v>54</v>
      </c>
      <c r="D394" s="494" t="str">
        <f>IF(G394="","",$D391)</f>
        <v>13</v>
      </c>
      <c r="E394" s="511" t="str">
        <f>IF(G394=""," ","– "&amp;COUNTIF(D$4:D396,$D394))</f>
        <v>– 6</v>
      </c>
      <c r="F394" s="510" t="str">
        <f ca="1">IF(G394="","",IF(OR(AND($C394&lt;&gt;" ",$C395=" "),AND($C395&lt;&gt;" ",$C394=" "),AND(L396&gt;0,OR(AND($C396&lt;&gt;" ",OR($C394=" ",$C395=" ")),AND($C396=" ",OR($C394&lt;&gt;" ",$C395&lt;&gt;" "))))),IF(SUM(F$4:F393)=0,1,LARGE(F$4:F393,1)+1),IF(MONTH(G394)=MONTH(TODAY()),IF(AND(DAY(G394)&lt;DAY(TODAY()),$B394=" "),IF(SUM(F$4:F393)=0,1,LARGE(F$4:F393,1)+1),IF($B394=" ",IF(AND(DAY(G394)=DAY(TODAY()),HOUR(G394)&lt;=HOUR(NOW())+1),IF(AND(HOUR(G394)+2&lt;=HOUR(NOW()),DAY(G394)&lt;=DAY(TODAY()),MINUTE(G394)&lt;=MINUTE(NOW())),IF(SUM(F$4:F393)=0,1,LARGE(F$4:F393,1)+1),IF(OR(MINUTE(G394)&lt;=MINUTE(NOW()),HOUR(G394)&lt;=HOUR(NOW())),"!!!","")),""),"")),"")))</f>
        <v/>
      </c>
      <c r="G394" s="508">
        <f>IF(H394="","",_xlfn.XLOOKUP(H394,$H$4:H393,$G$4:G393,""))</f>
        <v>44998.625</v>
      </c>
      <c r="H394" s="502" t="s">
        <v>168</v>
      </c>
      <c r="I394" s="148">
        <v>2</v>
      </c>
      <c r="J394" s="149"/>
      <c r="K394" s="150" t="s">
        <v>43</v>
      </c>
      <c r="L394" s="151">
        <v>1.6279999999999999</v>
      </c>
      <c r="M394" s="152"/>
      <c r="N394" s="503">
        <v>0</v>
      </c>
      <c r="O394" s="153">
        <f>IF(OR(AE394="",AE395=""),"",ROUND(IF(L396&gt;0,IF(M394&gt;0,M394,IF(M395&gt;0,ROUND((M395*AE394)/AE395,IF(N394=0,2,IF(N394=0.1,1,0))),ROUND((M396*AE394)/AE396,IF(N394=0,2,IF(N394=0.1,1,0))))),IF(M394&gt;0,M394,ROUND((M395*AE394)/AE395,IF(N394=0,2,IF(N394=0.1,1,0))))),2))</f>
        <v>42.5</v>
      </c>
      <c r="P394" s="154">
        <f>IF(OR(L394="",O394=""),"",IF($C394="1/2W",O394/2+O394/2*L394,IF($C394="1/2L",O394/2,IF(I394="Lay",(O394*(L394/(L394-1))-O394)*(1-_xlfn.XLOOKUP(K394,'Fevereiro 2023 - Valor Real'!A3:A15,'Fevereiro 2023 - Valor Real'!C3:C15,0))+O394,(O394*L394-O394)*(1-_xlfn.XLOOKUP(K394,'Fevereiro 2023 - Valor Real'!A3:A15,'Fevereiro 2023 - Valor Real'!C3:C15,0))+O394))))</f>
        <v>69.19</v>
      </c>
      <c r="Q394" s="155">
        <f>IF(K394="","",IF(_xlfn.XLOOKUP(K394,K$9:K386,$DJ$9:DJ386,0,,-1)=DJ394,_xlfn.XLOOKUP(K394,K$9:K386,Q$9:Q386,1,,-1)+1,1))</f>
        <v>1</v>
      </c>
      <c r="R394" s="156">
        <f>IF(K394="","",_xlfn.XLOOKUP(K394,K$9:K386,R$9:R386,0,,-1)+IF($C394=" ",1,0))</f>
        <v>0</v>
      </c>
      <c r="S394" s="501">
        <f>IF($B394="Anulado",0,ROUND(IF(OR($B394="LOSS",$B394="OK"),IF(OR($C394="W",$C394="1/2W",$C394="1/2L"),P394-O394,IF($C394="L",-O394,0))+IF(OR($C395="W",$C395="1/2W",$C395="1/2L"),P395-O395,IF($C395="L",-O395,0))+IF(OR($C396="W",$C396="1/2W",$C396="1/2L"),P396-O396,IF($C396="L",-O396,0)),IF(AND(OR($C394="W",$C394="1/2W",$C394="1/2L"),C395="W"),P394+P395-SUM(O394:O396)+_xlfn.XLOOKUP("X",C394:C396,O394:O396,0),IF(AND(C394=TRUE,C396="W"),P394+P396-SUM(O394:O396),IF(AND(C395="W",C396="W"),P395+P396-SUM(O394:O396)+_xlfn.XLOOKUP("X",C394:C396,O394:O396,0),IF(L396&gt;0,IF(OR($C394="W",$C394="1/2W",$C394="1/2L"),P394-SUM(O394:O396)+_xlfn.XLOOKUP("X",C394:C396,O394:O396,0),IF(OR($C394="W",$C394="1/2W",$C394="1/2L"),P395-SUM(O394:O396)+_xlfn.XLOOKUP("X",C394:C396,O394:O396,0),IF(OR($C394="W",$C394="1/2W",$C394="1/2L"),P396-SUM(O394:O396)+_xlfn.XLOOKUP("X",C394:C396,O394:O396,0),IF(SUM(P394:P396)/3-SUM(O394:O396)+_xlfn.XLOOKUP("X",C394:C396,O394:O396,0)&gt;0,SUM(P394:P396)/3-SUM(O394:O396)+_xlfn.XLOOKUP("X",C394:C396,O394:O396,0),LARGE(P394:P396,1)-SUM(O394:O396))))),IF(OR($C394="W",$C394="1/2W",$C394="1/2L"),P394-SUM(O394:O395)+_xlfn.XLOOKUP("X",C394:C396,O394:O396,0),IF(OR($C394="W",$C394="1/2W",$C394="1/2L"),P395-SUM(O394:O395)+_xlfn.XLOOKUP("X",C394:C396,O394:O396,0),SUM(P394:P395)/2-SUM(O394:O395)+_xlfn.XLOOKUP("X",C394:C396,O394:O396,0)))))))),2))</f>
        <v>2.5</v>
      </c>
      <c r="T394" s="486">
        <f>IF(S394=0,0,S394/SUM(O394:O396))</f>
        <v>3.7486879592142752E-2</v>
      </c>
      <c r="U394" s="496">
        <f>IF($D394=$D391,IF(OR($B394="LOSS",$B394="OK",$B394="Anulada"),S394,0)+U391,IF(OR($B394="LOSS",$B394="OK",$B394="Anulada"),S394,0))</f>
        <v>25.22</v>
      </c>
      <c r="V394" s="496">
        <f>IF($D394="",0,IF($D394=$D391,IF($B394=" ",IF(I396="",IF(OR(AND(I394="DNB1",I395="DNB2"),AND(OR(I394="DNB1",I394="DNB2"),J395=0),AND(OR(I395="DNB1",I395="DNB2"),J394=0),AND(I394="DNB2",I395="DNB1"),AND(IF(J394=0,(J394+1)/ROUND(J394+1,0),J394/ROUND(J394,0))=1,IF(J395=0,(J395+1)/ROUND(IF(J395="",0,J395)+1,0),IF(J395="",0,J395)/ROUND(IF(J395="",1,J395),0))=1,OR(J394&lt;&gt;""),J395&lt;&gt;"")),0,IF(S394&lt;0,IF(I396="",SMALL(P394:P395,1)-SUM(O394:O395),0),SMALL(P394:P395,1)-SUM(O394:O395))),IF(S394&lt;0,IF(I396="",SMALL(P394:P396,1)-SUM(O394:O396),0),LARGE(P394:P396,1)-SUM(O394:O396))),S394)+V391,IF(I396="",IF(OR(AND(I394="DNB1",I395="DNB2"),AND(OR(I394="DNB1",I394="DNB2"),J395=0),AND(OR(I395="DNB1",I395="DNB2"),J394=0),AND(I394="DNB2",I395="DNB1"),AND(IF(J394=0,(J394+1)/ROUND(J394+1,0),J394/ROUND(J394,0))=1,IF(J395=0,(IF(J395="",0,J395)+1)/ROUND(IF(J395="",0,J395)+1,0),IF(J395="",0,J395)/ROUND(IF(J395="",0,J395)+1,0))=1,OR(J394&lt;&gt;""),J395&lt;&gt;"")),0,IF(S394&lt;0,IF(I396="",SMALL(P394:P395,1)-SUM(O394:O395),0),SMALL(P394:P396,1)-SUM(O394:O396))),IF(S394&lt;0,IF(I396="",SMALL(P394:P396,1)-SUM(O394:O396),0),LARGE(P394:P396,1)-SUM(O394:O396)))))</f>
        <v>24.837000000000003</v>
      </c>
      <c r="W394" s="496">
        <f>IF($D394=$D391,IF(S394&lt;0,IF(I396="",S394,0),S394)+W391,S394)</f>
        <v>25.22</v>
      </c>
      <c r="X394" s="505" t="str">
        <f>IF(OR(SUM(R394:R396)=0,V394=W394),ROUND(IF(W394=0,0,W394/Y394)*100,2)&amp;"%",ROUND(IF(V394=0,0,V394/Y394)*100,2)&amp;"% a "&amp;ROUND(IF(W394=0,0,W394/Y394)*100,2)&amp;"%")</f>
        <v>5,42%</v>
      </c>
      <c r="Y394" s="497">
        <f>IF($D394=$D391,Y391+SUM(O394:O396),SUM(O394:O396))</f>
        <v>464.92</v>
      </c>
      <c r="Z394" s="496">
        <f>IF($B394=" ",SUM(O394:O396),0)+Z391</f>
        <v>0</v>
      </c>
      <c r="AA394" s="496">
        <f>IF(G394="","",IF($B394="Anulado",LARGE(P394:P396,1)-SUM(O394:O396)+AA391,AA391))</f>
        <v>10.700299999999997</v>
      </c>
      <c r="AB394" s="496">
        <f>IF($D394="","",AB391+S394)</f>
        <v>483.57000000000011</v>
      </c>
      <c r="AC394" s="499">
        <f ca="1">IF($D394="","",IF($B394=" ",IF(DAY(G394)=DAY(TODAY()),1+AC391,0+AC391),0+AC391))</f>
        <v>0</v>
      </c>
      <c r="AD394" s="157">
        <f>(1-_xlfn.XLOOKUP(K392,'Fevereiro 2023 - Valor Real'!A3:A15,'Fevereiro 2023 - Valor Real'!C3:C15,0))+1</f>
        <v>2</v>
      </c>
      <c r="AE394" s="158">
        <f>IF(L394="","",IF(L396&gt;0,(SUM(((L394-1)*(1-_xlfn.XLOOKUP(K394,'Fevereiro 2023 - Valor Real'!A3:A15,'Fevereiro 2023 - Valor Real'!C3:C15,0))+1),((L395-1)*(1-_xlfn.XLOOKUP(K395,'Fevereiro 2023 - Valor Real'!A3:A15,'Fevereiro 2023 - Valor Real'!C3:C15,0))+1),((L396-1)*(1-_xlfn.XLOOKUP(K396,'Fevereiro 2023 - Valor Real'!A3:A15,'Fevereiro 2023 - Valor Real'!C3:C15,0))+1))/((L394-1)*(1-_xlfn.XLOOKUP(K394,'Fevereiro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Real'!C3:C15,0))+1))/((L394-1)*(1-_xlfn.XLOOKUP(K394,'Fevereiro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Real'!C3:C15,0))+1))/((L395-1)*(1-_xlfn.XLOOKUP(K395,'Fevereiro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Real'!C3:C15,0))+1))/((L396-1)*(1-_xlfn.XLOOKUP(K396,'Fevereiro 2023 - Valor Real'!A3:A15,'Fevereiro 2023 - Valor Real'!C3:C15,0))+1)),IF(I394="Lay",IF(I395="Lay",((L395/(L395-1)-1)*(1-_xlfn.XLOOKUP(K395,'Fevereiro 2023 - Valor Real'!A3:A15,'Fevereiro 2023 - Valor Real'!C3:C15,0))+1)/(((L395/(L395-1)-1)*(1-_xlfn.XLOOKUP(K395,'Fevereiro 2023 - Valor Real'!A3:A15,'Fevereiro 2023 - Valor Real'!C3:C15,0))+1)+((L394/(L394-1)-1)*(1-_xlfn.XLOOKUP(K394,'Fevereiro 2023 - Valor Real'!A3:A15,'Fevereiro 2023 - Valor Real'!C3:C15,0))+1)),((L395-1)*(1-_xlfn.XLOOKUP(K395,'Fevereiro 2023 - Valor Real'!A3:A15,'Fevereiro 2023 - Valor Real'!C3:C15,0))+1)/(((L395-1)*(1-_xlfn.XLOOKUP(K395,'Fevereiro 2023 - Valor Real'!A3:A15,'Fevereiro 2023 - Valor Real'!C3:C15,0))+1)+((L394/(L394-1)-1)*(1-_xlfn.XLOOKUP(K394,'Fevereiro 2023 - Valor Real'!A3:A15,'Fevereiro 2023 - Valor Real'!C3:C15,0))+1))),IF(I395="Lay",(((L395/(L395-1)-1)*(1-_xlfn.XLOOKUP(K395,'Fevereiro 2023 - Valor Real'!A3:A15,'Fevereiro 2023 - Valor Real'!C3:C15,0))+1))/(((L394-1)*(1-_xlfn.XLOOKUP(K394,'Fevereiro 2023 - Valor Real'!A3:A15,'Fevereiro 2023 - Valor Real'!C3:C15,0))+1)+((L395/(L395-1)-1)*(1-_xlfn.XLOOKUP(K395,'Fevereiro 2023 - Valor Real'!A3:A15,'Fevereiro 2023 - Valor Real'!C3:C15,0))+1)),((L395-1)*(1-_xlfn.XLOOKUP(K395,'Fevereiro 2023 - Valor Real'!A3:A15,'Fevereiro 2023 - Valor Real'!C3:C15,0))+1)/(((L395-1)*(1-_xlfn.XLOOKUP(K395,'Fevereiro 2023 - Valor Real'!A3:A15,'Fevereiro 2023 - Valor Real'!C3:C15,0))+1)+((L394-1)*(1-_xlfn.XLOOKUP(K394,'Fevereiro 2023 - Valor Real'!A3:A15,'Fevereiro 2023 - Valor Real'!C3:C15,0))+1))))))</f>
        <v>0.63725490196078438</v>
      </c>
      <c r="AF394" s="66">
        <f t="shared" ref="AF394:AR403" si="808">IF($K394=AF$3,ROUND(IF(OR($C394="W",$C394="1/2W",$C394="1/2L"),$P394-$O394,IF($C394="X",0,-$O394)),2),0)</f>
        <v>0</v>
      </c>
      <c r="AG394" s="67">
        <f t="shared" si="808"/>
        <v>0</v>
      </c>
      <c r="AH394" s="67">
        <f t="shared" si="808"/>
        <v>0</v>
      </c>
      <c r="AI394" s="67">
        <f t="shared" si="808"/>
        <v>0</v>
      </c>
      <c r="AJ394" s="67">
        <f t="shared" si="808"/>
        <v>0</v>
      </c>
      <c r="AK394" s="67">
        <f t="shared" si="808"/>
        <v>0</v>
      </c>
      <c r="AL394" s="67">
        <f t="shared" si="808"/>
        <v>0</v>
      </c>
      <c r="AM394" s="67">
        <f t="shared" si="808"/>
        <v>26.69</v>
      </c>
      <c r="AN394" s="67">
        <f t="shared" si="808"/>
        <v>0</v>
      </c>
      <c r="AO394" s="67">
        <f t="shared" si="808"/>
        <v>0</v>
      </c>
      <c r="AP394" s="67">
        <f t="shared" si="808"/>
        <v>0</v>
      </c>
      <c r="AQ394" s="67">
        <f t="shared" si="808"/>
        <v>0</v>
      </c>
      <c r="AR394" s="68">
        <f t="shared" si="808"/>
        <v>0</v>
      </c>
      <c r="AS394" s="66">
        <f t="shared" ref="AS394:BE394" si="809">IF(AND($B394=" ",$K394=AS$3),$O394,0)</f>
        <v>0</v>
      </c>
      <c r="AT394" s="67">
        <f t="shared" si="809"/>
        <v>0</v>
      </c>
      <c r="AU394" s="67">
        <f t="shared" si="809"/>
        <v>0</v>
      </c>
      <c r="AV394" s="67">
        <f t="shared" si="809"/>
        <v>0</v>
      </c>
      <c r="AW394" s="67">
        <f t="shared" si="809"/>
        <v>0</v>
      </c>
      <c r="AX394" s="67">
        <f t="shared" si="809"/>
        <v>0</v>
      </c>
      <c r="AY394" s="69">
        <f t="shared" si="809"/>
        <v>0</v>
      </c>
      <c r="AZ394" s="70">
        <f t="shared" si="809"/>
        <v>0</v>
      </c>
      <c r="BA394" s="70">
        <f t="shared" si="809"/>
        <v>0</v>
      </c>
      <c r="BB394" s="70">
        <f t="shared" si="809"/>
        <v>0</v>
      </c>
      <c r="BC394" s="71">
        <f t="shared" si="809"/>
        <v>0</v>
      </c>
      <c r="BD394" s="67">
        <f t="shared" si="809"/>
        <v>0</v>
      </c>
      <c r="BE394" s="68">
        <f t="shared" si="809"/>
        <v>0</v>
      </c>
      <c r="BF394" s="66">
        <f t="shared" ref="BF394:BR403" si="810">IF($K394=BF$3,IF($C394="X",0,$O394),0)</f>
        <v>0</v>
      </c>
      <c r="BG394" s="67">
        <f t="shared" si="810"/>
        <v>0</v>
      </c>
      <c r="BH394" s="67">
        <f t="shared" si="810"/>
        <v>0</v>
      </c>
      <c r="BI394" s="67">
        <f t="shared" si="810"/>
        <v>0</v>
      </c>
      <c r="BJ394" s="67">
        <f t="shared" si="810"/>
        <v>0</v>
      </c>
      <c r="BK394" s="67">
        <f t="shared" si="810"/>
        <v>0</v>
      </c>
      <c r="BL394" s="67">
        <f t="shared" si="810"/>
        <v>0</v>
      </c>
      <c r="BM394" s="69">
        <f t="shared" si="810"/>
        <v>42.5</v>
      </c>
      <c r="BN394" s="70">
        <f t="shared" si="810"/>
        <v>0</v>
      </c>
      <c r="BO394" s="70">
        <f t="shared" si="810"/>
        <v>0</v>
      </c>
      <c r="BP394" s="70">
        <f t="shared" si="810"/>
        <v>0</v>
      </c>
      <c r="BQ394" s="71">
        <f t="shared" si="810"/>
        <v>0</v>
      </c>
      <c r="BR394" s="68">
        <f t="shared" si="810"/>
        <v>0</v>
      </c>
      <c r="BS394" s="490">
        <f>IF($B394="LOSS",IF(AND($K394=BS$3,$C394="L"),-$O394,0)+IF(AND($K395=BS$3,$C395="L"),-$O395,0)+IF(AND($K396=BS$3,$C396="L"),-$O396,0),IF(OR(AND($K394=BS$3,OR($C394="W",$C394="1/2W")),AND($K395=BS$3,OR($C395="W",$C395="1/2W")),AND($K396=BS$3,OR($C396="W",$C396="1/2W"))),$S394,0))</f>
        <v>0</v>
      </c>
      <c r="BT394" s="498">
        <f>IF($B394="LOSS",IF(AND($K394=BT$3,$C394="L"),-$O394,0)+IF(AND($K395=BT$3,$C395="L"),-$O395,0)+IF(AND($K395=BT$3,$C396="L"),-$O396,0),IF(OR(AND($K395=BT$3,OR($C394="W",$C394="1/2W")),AND($K395=BT$3,OR($C395="W",$C395="1/2W")),AND($K395=BT$3,OR($C396="W",$C396="1/2W"))),$S394,0))</f>
        <v>0</v>
      </c>
      <c r="BU394" s="488">
        <f>IF($B394="LOSS",IF(AND($K394=BU$3,$C394="L"),-$O394,0)+IF(AND($K395=BU$3,$C395="L"),-$O395,0)+IF(AND($K395=BU$3,$C396="L"),-$O396,0),IF(OR(AND($K395=BU$3,OR($C394="W",$C394="1/2W")),AND($K395=BU$3,OR($C395="W",$C395="1/2W")),AND($K395=BU$3,OR($C396="W",$C396="1/2W"))),$S394,0))</f>
        <v>0</v>
      </c>
      <c r="BV394" s="488">
        <f t="shared" ref="BV394:CE394" si="811">IF($B394="LOSS",IF(AND($K394=BV$3,$C394="L"),-$O394,0)+IF(AND($K395=BV$3,$C395="L"),-$O395,0)+IF(AND($K396=BV$3,$C396="L"),-$O396,0),IF(OR(AND($K394=BV$3,OR($C394="W",$C394="1/2W")),AND($K395=BV$3,OR($C395="W",$C395="1/2W")),AND($K396=BV$3,OR($C396="W",$C396="1/2W"))),$S394,0))</f>
        <v>0</v>
      </c>
      <c r="BW394" s="488">
        <f t="shared" si="811"/>
        <v>0</v>
      </c>
      <c r="BX394" s="488">
        <f t="shared" si="811"/>
        <v>0</v>
      </c>
      <c r="BY394" s="488">
        <f t="shared" si="811"/>
        <v>0</v>
      </c>
      <c r="BZ394" s="488">
        <f t="shared" si="811"/>
        <v>2.5</v>
      </c>
      <c r="CA394" s="488">
        <f t="shared" si="811"/>
        <v>0</v>
      </c>
      <c r="CB394" s="488">
        <f t="shared" si="811"/>
        <v>0</v>
      </c>
      <c r="CC394" s="488">
        <f t="shared" si="811"/>
        <v>0</v>
      </c>
      <c r="CD394" s="500">
        <f t="shared" si="811"/>
        <v>0</v>
      </c>
      <c r="CE394" s="504">
        <f t="shared" si="811"/>
        <v>0</v>
      </c>
      <c r="CF394" s="160">
        <f t="shared" si="772"/>
        <v>0</v>
      </c>
      <c r="CG394" s="161">
        <f t="shared" si="773"/>
        <v>0</v>
      </c>
      <c r="CH394" s="161">
        <f t="shared" si="774"/>
        <v>0</v>
      </c>
      <c r="CI394" s="161">
        <f t="shared" si="775"/>
        <v>0</v>
      </c>
      <c r="CJ394" s="161">
        <f t="shared" si="776"/>
        <v>0</v>
      </c>
      <c r="CK394" s="161">
        <f t="shared" si="777"/>
        <v>0</v>
      </c>
      <c r="CL394" s="161">
        <f t="shared" si="778"/>
        <v>0</v>
      </c>
      <c r="CM394" s="161">
        <f t="shared" si="779"/>
        <v>0</v>
      </c>
      <c r="CN394" s="161">
        <f t="shared" si="780"/>
        <v>0</v>
      </c>
      <c r="CO394" s="161">
        <f t="shared" si="781"/>
        <v>0</v>
      </c>
      <c r="CP394" s="161">
        <f t="shared" si="782"/>
        <v>0</v>
      </c>
      <c r="CQ394" s="161">
        <f t="shared" si="783"/>
        <v>0</v>
      </c>
      <c r="CR394" s="161">
        <f t="shared" si="784"/>
        <v>0</v>
      </c>
      <c r="CS394" s="161">
        <f t="shared" si="785"/>
        <v>0</v>
      </c>
      <c r="CT394" s="75">
        <f t="shared" si="786"/>
        <v>1</v>
      </c>
      <c r="CU394" s="76">
        <f t="shared" si="787"/>
        <v>0</v>
      </c>
      <c r="CV394" s="76">
        <f t="shared" si="788"/>
        <v>0</v>
      </c>
      <c r="CW394" s="76">
        <f t="shared" si="789"/>
        <v>0</v>
      </c>
      <c r="CX394" s="76">
        <f t="shared" si="790"/>
        <v>0</v>
      </c>
      <c r="CY394" s="76">
        <f t="shared" si="791"/>
        <v>0</v>
      </c>
      <c r="CZ394" s="76">
        <f t="shared" si="792"/>
        <v>0</v>
      </c>
      <c r="DA394" s="76">
        <f t="shared" si="793"/>
        <v>0</v>
      </c>
      <c r="DB394" s="76">
        <f t="shared" si="794"/>
        <v>0</v>
      </c>
      <c r="DC394" s="76">
        <f t="shared" si="795"/>
        <v>0</v>
      </c>
      <c r="DD394" s="76">
        <f t="shared" si="796"/>
        <v>0</v>
      </c>
      <c r="DE394" s="77">
        <f t="shared" si="797"/>
        <v>0</v>
      </c>
      <c r="DF394" s="73">
        <f t="shared" si="799"/>
        <v>28</v>
      </c>
      <c r="DG394" s="67">
        <f t="shared" si="800"/>
        <v>36.409999999999997</v>
      </c>
      <c r="DH394" s="76">
        <f t="shared" si="801"/>
        <v>10</v>
      </c>
      <c r="DI394" s="67">
        <f t="shared" si="802"/>
        <v>41.599999999999994</v>
      </c>
      <c r="DJ394" s="202" t="str">
        <f>IF($D394="","",$D394)</f>
        <v>13</v>
      </c>
      <c r="DK394" s="492">
        <f>IF(AND($B394=" ",$D394&lt;&gt;""),1,0)</f>
        <v>0</v>
      </c>
    </row>
    <row r="395" spans="1:115" ht="14.5" customHeight="1" x14ac:dyDescent="0.2">
      <c r="A395" s="389"/>
      <c r="B395" s="456"/>
      <c r="C395" s="53" t="s">
        <v>55</v>
      </c>
      <c r="D395" s="374"/>
      <c r="E395" s="386"/>
      <c r="F395" s="377"/>
      <c r="G395" s="508"/>
      <c r="H395" s="476"/>
      <c r="I395" s="162">
        <v>1</v>
      </c>
      <c r="J395" s="163" t="str">
        <f>IF(OR(I394="TO",I394="TU",I394="TO1",I394="TU1",I394="TO2",I394="TU2"),J394,IF(OR(I394="AH1",I394="AH2"),IF(OR(I395="AH1",I395="AH2"),-J394,IF(OR(I395="EH1",I395="EH2"),-J394+0.5,"")),IF(OR(I394="EH1",I394="EH2"),IF(OR(I395="AH1",I395="AH2"),-J394+0.5,IF(OR(I395="EH1",I395="EH2"),-J394+1,"")),IF(AND(OR(I394="DNB1",I394="DNB2"),OR(I395="AH1",I395="AH2")),0,IF(AND(I394="Not ScoreBoth",OR(I395="TO1",I395="TO2")),0.5,"")))))</f>
        <v/>
      </c>
      <c r="K395" s="57" t="s">
        <v>40</v>
      </c>
      <c r="L395" s="164">
        <v>2.86</v>
      </c>
      <c r="M395" s="165">
        <v>24.19</v>
      </c>
      <c r="N395" s="406"/>
      <c r="O395" s="60">
        <f>IF(OR(AE394="",AE395=""),"",ROUND(IF(L396&gt;0,IF(M395&gt;0,M395,IF(M394&gt;0,IF(N394=TRUE,ROUND((M394*AE395)/AE394,0),(M394*AE395)/AE394),IF(M395&gt;0,ROUND(M395,IF(N394=0,2,IF(N394=0.1,1,0))),IF(M396&gt;0,ROUND(O396*AE395/AE396,IF(N394=0,2,IF(N394=0.1,1,0))),0)))),IF(M395&gt;0,M395,ROUND((M394*AE395)/AE394,IF(N394=0,2,IF(N394=0.1,1,0))))),2))</f>
        <v>24.19</v>
      </c>
      <c r="P395" s="61">
        <f>IF(OR(L395="",O395=""),"",IF($C395="1/2W",O395/2+O395/2*L395,IF($C395="1/2L",O395/2,IF(I395="Lay",((O395*(L395/(L395-1)))-O395)*(1-_xlfn.XLOOKUP(K395,'Fevereiro 2023 - Valor Real'!A3:A15,'Fevereiro 2023 - Valor Real'!C3:C15,0))+O395,(O395*L395-O395)*(1-_xlfn.XLOOKUP(K395,'Fevereiro 2023 - Valor Real'!A3:A15,'Fevereiro 2023 - Valor Real'!C3:C15,0))+O395))))</f>
        <v>69.183400000000006</v>
      </c>
      <c r="Q395" s="166">
        <f>IF(K395="","",IF(_xlfn.XLOOKUP(K395,K$10:K386,$DJ$10:DJ386,0,,-1)=DJ395,_xlfn.XLOOKUP(K395,K$10:K386,Q$10:Q386,1,,-1)+1,1))</f>
        <v>2</v>
      </c>
      <c r="R395" s="167">
        <f>IF(K395="","",_xlfn.XLOOKUP(K395,K$10:K386,R$10:R386,0,,-1)+IF($C395=" ",1,0))</f>
        <v>0</v>
      </c>
      <c r="S395" s="403"/>
      <c r="T395" s="380"/>
      <c r="U395" s="380"/>
      <c r="V395" s="481"/>
      <c r="W395" s="380"/>
      <c r="X395" s="452"/>
      <c r="Y395" s="383"/>
      <c r="Z395" s="384"/>
      <c r="AA395" s="384"/>
      <c r="AB395" s="384"/>
      <c r="AC395" s="384"/>
      <c r="AD395" s="64"/>
      <c r="AE395" s="65">
        <f>IF(L395="","",IF(L396&gt;0,(SUM(((L394-1)*(1-_xlfn.XLOOKUP(K394,'Fevereiro 2023 - Valor Real'!A3:A15,'Fevereiro 2023 - Valor Real'!C3:C15,0))+1),((L395-1)*(1-_xlfn.XLOOKUP(K395,'Fevereiro 2023 - Valor Real'!A3:A15,'Fevereiro 2023 - Valor Real'!C3:C15,0))+1),((L396-1)*(1-_xlfn.XLOOKUP(K396,'Fevereiro 2023 - Valor Real'!A3:A15,'Fevereiro 2023 - Valor Real'!C3:C15,0))+1))/((L395-1)*(1-_xlfn.XLOOKUP(K395,'Fevereiro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Real'!C3:C15,0))+1))/((L394-1)*(1-_xlfn.XLOOKUP(K394,'Fevereiro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Real'!C3:C15,0))+1))/((L395-1)*(1-_xlfn.XLOOKUP(K395,'Fevereiro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Real'!C3:C15,0))+1))/((L396-1)*(1-_xlfn.XLOOKUP(K396,'Fevereiro 2023 - Valor Real'!A3:A15,'Fevereiro 2023 - Valor Real'!C3:C15,0))+1)),IF(I395="Lay",IF(I394="Lay",((L394/(L394-1)-1)*(1-_xlfn.XLOOKUP(K394,'Fevereiro 2023 - Valor Real'!A3:A15,'Fevereiro 2023 - Valor Real'!C3:C15,0))+1)/(((L394/(L394-1)-1)*(1-_xlfn.XLOOKUP(K394,'Fevereiro 2023 - Valor Real'!A3:A15,'Fevereiro 2023 - Valor Real'!C3:C15,0))+1)+((L395/(L395-1)-1)*(1-_xlfn.XLOOKUP(K395,'Fevereiro 2023 - Valor Real'!A3:A15,'Fevereiro 2023 - Valor Real'!C3:C15,0))+1)),((L394-1)*(1-_xlfn.XLOOKUP(K394,'Fevereiro 2023 - Valor Real'!A3:A15,'Fevereiro 2023 - Valor Real'!C3:C15,0))+1)/(((L394-1)*(1-_xlfn.XLOOKUP(K394,'Fevereiro 2023 - Valor Real'!A3:A15,'Fevereiro 2023 - Valor Real'!C3:C15,0))+1)+((L395/(L395-1)-1)*(1-_xlfn.XLOOKUP(K395,'Fevereiro 2023 - Valor Real'!A3:A15,'Fevereiro 2023 - Valor Real'!C3:C15,0))+1))),IF(I394="Lay",((L394/(L394-1)-1)*(1-_xlfn.XLOOKUP(K394,'Fevereiro 2023 - Valor Real'!A3:A15,'Fevereiro 2023 - Valor Real'!C3:C15,0))+1)/((((L394/(L394-1)-1)*(1-_xlfn.XLOOKUP(K394,'Fevereiro 2023 - Valor Real'!A3:A15,'Fevereiro 2023 - Valor Real'!C3:C15,0))+1))+((L395-1)*(1-_xlfn.XLOOKUP(K395,'Fevereiro 2023 - Valor Real'!A3:A15,'Fevereiro 2023 - Valor Real'!C3:C15,0))+1)),((L394-1)*(1-_xlfn.XLOOKUP(K394,'Fevereiro 2023 - Valor Real'!A3:A15,'Fevereiro 2023 - Valor Real'!C3:C15,0))+1)/(((L394-1)*(1-_xlfn.XLOOKUP(K394,'Fevereiro 2023 - Valor Real'!A3:A15,'Fevereiro 2023 - Valor Real'!C3:C15,0))+1)+((L395-1)*(1-_xlfn.XLOOKUP(K395,'Fevereiro 2023 - Valor Real'!A3:A15,'Fevereiro 2023 - Valor Real'!C3:C15,0))+1))))))</f>
        <v>0.36274509803921567</v>
      </c>
      <c r="AF395" s="66">
        <f t="shared" si="808"/>
        <v>0</v>
      </c>
      <c r="AG395" s="67">
        <f t="shared" si="808"/>
        <v>0</v>
      </c>
      <c r="AH395" s="67">
        <f t="shared" si="808"/>
        <v>0</v>
      </c>
      <c r="AI395" s="67">
        <f t="shared" si="808"/>
        <v>0</v>
      </c>
      <c r="AJ395" s="67">
        <f t="shared" si="808"/>
        <v>-24.19</v>
      </c>
      <c r="AK395" s="67">
        <f t="shared" si="808"/>
        <v>0</v>
      </c>
      <c r="AL395" s="67">
        <f t="shared" si="808"/>
        <v>0</v>
      </c>
      <c r="AM395" s="67">
        <f t="shared" si="808"/>
        <v>0</v>
      </c>
      <c r="AN395" s="67">
        <f t="shared" si="808"/>
        <v>0</v>
      </c>
      <c r="AO395" s="67">
        <f t="shared" si="808"/>
        <v>0</v>
      </c>
      <c r="AP395" s="67">
        <f t="shared" si="808"/>
        <v>0</v>
      </c>
      <c r="AQ395" s="67">
        <f t="shared" si="808"/>
        <v>0</v>
      </c>
      <c r="AR395" s="68">
        <f t="shared" si="808"/>
        <v>0</v>
      </c>
      <c r="AS395" s="66">
        <f>IF(AND($B394=" ",$K395=AS$3),$O395,0)</f>
        <v>0</v>
      </c>
      <c r="AT395" s="67">
        <f>IF(AND($B394=" ",K395=AT$3),$O395,0)</f>
        <v>0</v>
      </c>
      <c r="AU395" s="67">
        <f t="shared" ref="AU395:BE395" si="812">IF(AND($B394=" ",$K395=AU$3),$O395,0)</f>
        <v>0</v>
      </c>
      <c r="AV395" s="67">
        <f t="shared" si="812"/>
        <v>0</v>
      </c>
      <c r="AW395" s="67">
        <f t="shared" si="812"/>
        <v>0</v>
      </c>
      <c r="AX395" s="67">
        <f t="shared" si="812"/>
        <v>0</v>
      </c>
      <c r="AY395" s="69">
        <f t="shared" si="812"/>
        <v>0</v>
      </c>
      <c r="AZ395" s="70">
        <f t="shared" si="812"/>
        <v>0</v>
      </c>
      <c r="BA395" s="70">
        <f t="shared" si="812"/>
        <v>0</v>
      </c>
      <c r="BB395" s="70">
        <f t="shared" si="812"/>
        <v>0</v>
      </c>
      <c r="BC395" s="71">
        <f t="shared" si="812"/>
        <v>0</v>
      </c>
      <c r="BD395" s="67">
        <f t="shared" si="812"/>
        <v>0</v>
      </c>
      <c r="BE395" s="68">
        <f t="shared" si="812"/>
        <v>0</v>
      </c>
      <c r="BF395" s="66">
        <f t="shared" si="810"/>
        <v>0</v>
      </c>
      <c r="BG395" s="168">
        <f t="shared" si="810"/>
        <v>0</v>
      </c>
      <c r="BH395" s="67">
        <f t="shared" si="810"/>
        <v>0</v>
      </c>
      <c r="BI395" s="67">
        <f t="shared" si="810"/>
        <v>0</v>
      </c>
      <c r="BJ395" s="67">
        <f t="shared" si="810"/>
        <v>24.19</v>
      </c>
      <c r="BK395" s="67">
        <f t="shared" si="810"/>
        <v>0</v>
      </c>
      <c r="BL395" s="67">
        <f t="shared" si="810"/>
        <v>0</v>
      </c>
      <c r="BM395" s="69">
        <f t="shared" si="810"/>
        <v>0</v>
      </c>
      <c r="BN395" s="70">
        <f t="shared" si="810"/>
        <v>0</v>
      </c>
      <c r="BO395" s="70">
        <f t="shared" si="810"/>
        <v>0</v>
      </c>
      <c r="BP395" s="70">
        <f t="shared" si="810"/>
        <v>0</v>
      </c>
      <c r="BQ395" s="71">
        <f t="shared" si="810"/>
        <v>0</v>
      </c>
      <c r="BR395" s="68">
        <f t="shared" si="810"/>
        <v>0</v>
      </c>
      <c r="BS395" s="491"/>
      <c r="BT395" s="489"/>
      <c r="BU395" s="392"/>
      <c r="BV395" s="489"/>
      <c r="BW395" s="392"/>
      <c r="BX395" s="392"/>
      <c r="BY395" s="392"/>
      <c r="BZ395" s="489"/>
      <c r="CA395" s="392"/>
      <c r="CB395" s="392"/>
      <c r="CC395" s="392"/>
      <c r="CD395" s="401"/>
      <c r="CE395" s="409"/>
      <c r="CF395" s="169">
        <f t="shared" si="772"/>
        <v>0</v>
      </c>
      <c r="CG395" s="170">
        <f t="shared" si="773"/>
        <v>0</v>
      </c>
      <c r="CH395" s="170">
        <f t="shared" si="774"/>
        <v>0</v>
      </c>
      <c r="CI395" s="170">
        <f t="shared" si="775"/>
        <v>0</v>
      </c>
      <c r="CJ395" s="170">
        <f t="shared" si="776"/>
        <v>0</v>
      </c>
      <c r="CK395" s="170">
        <f t="shared" si="777"/>
        <v>0</v>
      </c>
      <c r="CL395" s="170">
        <f t="shared" si="778"/>
        <v>0</v>
      </c>
      <c r="CM395" s="170">
        <f t="shared" si="779"/>
        <v>0</v>
      </c>
      <c r="CN395" s="170">
        <f t="shared" si="780"/>
        <v>0</v>
      </c>
      <c r="CO395" s="170">
        <f t="shared" si="781"/>
        <v>1</v>
      </c>
      <c r="CP395" s="170">
        <f t="shared" si="782"/>
        <v>0</v>
      </c>
      <c r="CQ395" s="170">
        <f t="shared" si="783"/>
        <v>0</v>
      </c>
      <c r="CR395" s="170">
        <f t="shared" si="784"/>
        <v>0</v>
      </c>
      <c r="CS395" s="170">
        <f t="shared" si="785"/>
        <v>0</v>
      </c>
      <c r="CT395" s="75">
        <f t="shared" si="786"/>
        <v>0</v>
      </c>
      <c r="CU395" s="76">
        <f t="shared" si="787"/>
        <v>0</v>
      </c>
      <c r="CV395" s="76">
        <f t="shared" si="788"/>
        <v>0</v>
      </c>
      <c r="CW395" s="76">
        <f t="shared" si="789"/>
        <v>0</v>
      </c>
      <c r="CX395" s="76">
        <f t="shared" si="790"/>
        <v>0</v>
      </c>
      <c r="CY395" s="76">
        <f t="shared" si="791"/>
        <v>0</v>
      </c>
      <c r="CZ395" s="76">
        <f t="shared" si="792"/>
        <v>0</v>
      </c>
      <c r="DA395" s="76">
        <f t="shared" si="793"/>
        <v>0</v>
      </c>
      <c r="DB395" s="76">
        <f t="shared" si="794"/>
        <v>0</v>
      </c>
      <c r="DC395" s="76">
        <f t="shared" si="795"/>
        <v>0</v>
      </c>
      <c r="DD395" s="76">
        <f t="shared" si="796"/>
        <v>0</v>
      </c>
      <c r="DE395" s="77">
        <f t="shared" si="797"/>
        <v>0</v>
      </c>
      <c r="DF395" s="73">
        <f t="shared" si="799"/>
        <v>28</v>
      </c>
      <c r="DG395" s="67">
        <f t="shared" si="800"/>
        <v>36.409999999999997</v>
      </c>
      <c r="DH395" s="76">
        <f t="shared" si="801"/>
        <v>10</v>
      </c>
      <c r="DI395" s="67">
        <f t="shared" si="802"/>
        <v>41.599999999999994</v>
      </c>
      <c r="DJ395" s="202" t="str">
        <f>IF($D394="","",$D394)</f>
        <v>13</v>
      </c>
      <c r="DK395" s="493"/>
    </row>
    <row r="396" spans="1:115" ht="14.5" customHeight="1" x14ac:dyDescent="0.2">
      <c r="A396" s="390"/>
      <c r="B396" s="457"/>
      <c r="C396" s="79" t="s">
        <v>53</v>
      </c>
      <c r="D396" s="375"/>
      <c r="E396" s="387"/>
      <c r="F396" s="378"/>
      <c r="G396" s="508"/>
      <c r="H396" s="477"/>
      <c r="I396" s="171"/>
      <c r="J396" s="172"/>
      <c r="K396" s="81"/>
      <c r="L396" s="173"/>
      <c r="M396" s="174"/>
      <c r="N396" s="407"/>
      <c r="O396" s="86" t="str">
        <f>IF(OR(AE394="",AE395=""),"",IF(L396&gt;0,ROUND(IF(M396&gt;0,M396,IF(M394&gt;0,ROUND((M394*AE396)/AE394,IF(N394=0,2,IF(N394=0.1,1,0))),IF(M395&gt;0,ROUND((M395*AE396)/AE395,IF(N394=0,2,IF(N394=0.1,1,0))),IF(M396&gt;0,M396,0)))),2),""))</f>
        <v/>
      </c>
      <c r="P396" s="87" t="str">
        <f>IF(I395="Lay",O395*(L395/(L395-1))-O395,IF(I394="Lay",O394*(L394/(L394-1))-O394,IF(OR(L396="",O396=""),"",IF($C396="1/2W",O396/2+O396/2*L396,IF($C396="1/2L",O396/2,(O396*L396-O396)*(1-_xlfn.XLOOKUP(K396,'Fevereiro 2023 - Valor Real'!A3:A15,'Fevereiro 2023 - Valor Real'!C3:C15,0))+O396)))))</f>
        <v/>
      </c>
      <c r="Q396" s="54" t="str">
        <f>IF(K396="","",IF(_xlfn.XLOOKUP(K396,K$11:K386,$DJ$11:DJ386,0,,-1)=DJ396,_xlfn.XLOOKUP(K396,K$11:K386,Q$11:Q386,1,,-1)+1,1))</f>
        <v/>
      </c>
      <c r="R396" s="87" t="str">
        <f>IF(K396="","",_xlfn.XLOOKUP(K396,K$11:K386,R$11:R386,0,,-1)+IF($C396=" ",1,0))</f>
        <v/>
      </c>
      <c r="S396" s="404"/>
      <c r="T396" s="378"/>
      <c r="U396" s="378"/>
      <c r="V396" s="404"/>
      <c r="W396" s="378"/>
      <c r="X396" s="453"/>
      <c r="Y396" s="383"/>
      <c r="Z396" s="384"/>
      <c r="AA396" s="384"/>
      <c r="AB396" s="384"/>
      <c r="AC396" s="384"/>
      <c r="AD396" s="90"/>
      <c r="AE396" s="91" t="str">
        <f>IF(L396="","",(SUM(((L394-1)*(1-_xlfn.XLOOKUP(K394,'Fevereiro 2023 - Valor Real'!A3:A15,'Fevereiro 2023 - Valor Real'!C3:C15,0))+1),((L395-1)*(1-_xlfn.XLOOKUP(K395,'Fevereiro 2023 - Valor Real'!A3:A15,'Fevereiro 2023 - Valor Real'!C3:C15,0))+1),((L396-1)*(1-_xlfn.XLOOKUP(K396,'Fevereiro 2023 - Valor Real'!A3:A15,'Fevereiro 2023 - Valor Real'!C3:C15,0))+1))/((L396-1)*(1-_xlfn.XLOOKUP(K396,'Fevereiro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Real'!C3:C15,0))+1))/((L394-1)*(1-_xlfn.XLOOKUP(K394,'Fevereiro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Real'!C3:C15,0))+1))/((L395-1)*(1-_xlfn.XLOOKUP(K395,'Fevereiro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Real'!C3:C15,0))+1))/((L396-1)*(1-_xlfn.XLOOKUP(K396,'Fevereiro 2023 - Valor Real'!A3:A15,'Fevereiro 2023 - Valor Real'!C3:C15,0))+1)))</f>
        <v/>
      </c>
      <c r="AF396" s="66">
        <f t="shared" si="808"/>
        <v>0</v>
      </c>
      <c r="AG396" s="67">
        <f t="shared" si="808"/>
        <v>0</v>
      </c>
      <c r="AH396" s="67">
        <f t="shared" si="808"/>
        <v>0</v>
      </c>
      <c r="AI396" s="67">
        <f t="shared" si="808"/>
        <v>0</v>
      </c>
      <c r="AJ396" s="67">
        <f t="shared" si="808"/>
        <v>0</v>
      </c>
      <c r="AK396" s="67">
        <f t="shared" si="808"/>
        <v>0</v>
      </c>
      <c r="AL396" s="67">
        <f t="shared" si="808"/>
        <v>0</v>
      </c>
      <c r="AM396" s="67">
        <f t="shared" si="808"/>
        <v>0</v>
      </c>
      <c r="AN396" s="67">
        <f t="shared" si="808"/>
        <v>0</v>
      </c>
      <c r="AO396" s="67">
        <f t="shared" si="808"/>
        <v>0</v>
      </c>
      <c r="AP396" s="67">
        <f t="shared" si="808"/>
        <v>0</v>
      </c>
      <c r="AQ396" s="67">
        <f t="shared" si="808"/>
        <v>0</v>
      </c>
      <c r="AR396" s="68">
        <f t="shared" si="808"/>
        <v>0</v>
      </c>
      <c r="AS396" s="66">
        <f>IF(AND($B394=" ",$K396=AS$3),$O396,0)</f>
        <v>0</v>
      </c>
      <c r="AT396" s="67">
        <f>IF(AND($B394=" ",K396=AT$3),$O396,0)</f>
        <v>0</v>
      </c>
      <c r="AU396" s="67">
        <f t="shared" ref="AU396:BE396" si="813">IF(AND($B394=" ",$K396=AU$3),$O396,0)</f>
        <v>0</v>
      </c>
      <c r="AV396" s="67">
        <f t="shared" si="813"/>
        <v>0</v>
      </c>
      <c r="AW396" s="67">
        <f t="shared" si="813"/>
        <v>0</v>
      </c>
      <c r="AX396" s="67">
        <f t="shared" si="813"/>
        <v>0</v>
      </c>
      <c r="AY396" s="69">
        <f t="shared" si="813"/>
        <v>0</v>
      </c>
      <c r="AZ396" s="70">
        <f t="shared" si="813"/>
        <v>0</v>
      </c>
      <c r="BA396" s="70">
        <f t="shared" si="813"/>
        <v>0</v>
      </c>
      <c r="BB396" s="70">
        <f t="shared" si="813"/>
        <v>0</v>
      </c>
      <c r="BC396" s="71">
        <f t="shared" si="813"/>
        <v>0</v>
      </c>
      <c r="BD396" s="67">
        <f t="shared" si="813"/>
        <v>0</v>
      </c>
      <c r="BE396" s="68">
        <f t="shared" si="813"/>
        <v>0</v>
      </c>
      <c r="BF396" s="66">
        <f t="shared" si="810"/>
        <v>0</v>
      </c>
      <c r="BG396" s="168">
        <f t="shared" si="810"/>
        <v>0</v>
      </c>
      <c r="BH396" s="67">
        <f t="shared" si="810"/>
        <v>0</v>
      </c>
      <c r="BI396" s="67">
        <f t="shared" si="810"/>
        <v>0</v>
      </c>
      <c r="BJ396" s="67">
        <f t="shared" si="810"/>
        <v>0</v>
      </c>
      <c r="BK396" s="67">
        <f t="shared" si="810"/>
        <v>0</v>
      </c>
      <c r="BL396" s="67">
        <f t="shared" si="810"/>
        <v>0</v>
      </c>
      <c r="BM396" s="69">
        <f t="shared" si="810"/>
        <v>0</v>
      </c>
      <c r="BN396" s="70">
        <f t="shared" si="810"/>
        <v>0</v>
      </c>
      <c r="BO396" s="70">
        <f t="shared" si="810"/>
        <v>0</v>
      </c>
      <c r="BP396" s="70">
        <f t="shared" si="810"/>
        <v>0</v>
      </c>
      <c r="BQ396" s="71">
        <f t="shared" si="810"/>
        <v>0</v>
      </c>
      <c r="BR396" s="68">
        <f t="shared" si="810"/>
        <v>0</v>
      </c>
      <c r="BS396" s="491"/>
      <c r="BT396" s="489"/>
      <c r="BU396" s="392"/>
      <c r="BV396" s="489"/>
      <c r="BW396" s="392"/>
      <c r="BX396" s="392"/>
      <c r="BY396" s="392"/>
      <c r="BZ396" s="489"/>
      <c r="CA396" s="392"/>
      <c r="CB396" s="392"/>
      <c r="CC396" s="392"/>
      <c r="CD396" s="401"/>
      <c r="CE396" s="409"/>
      <c r="CF396" s="169">
        <f t="shared" si="772"/>
        <v>0</v>
      </c>
      <c r="CG396" s="170">
        <f t="shared" si="773"/>
        <v>0</v>
      </c>
      <c r="CH396" s="170">
        <f t="shared" si="774"/>
        <v>0</v>
      </c>
      <c r="CI396" s="170">
        <f t="shared" si="775"/>
        <v>0</v>
      </c>
      <c r="CJ396" s="170">
        <f t="shared" si="776"/>
        <v>0</v>
      </c>
      <c r="CK396" s="170">
        <f t="shared" si="777"/>
        <v>0</v>
      </c>
      <c r="CL396" s="170">
        <f t="shared" si="778"/>
        <v>0</v>
      </c>
      <c r="CM396" s="170">
        <f t="shared" si="779"/>
        <v>0</v>
      </c>
      <c r="CN396" s="170">
        <f t="shared" si="780"/>
        <v>0</v>
      </c>
      <c r="CO396" s="170">
        <f t="shared" si="781"/>
        <v>0</v>
      </c>
      <c r="CP396" s="170">
        <f t="shared" si="782"/>
        <v>0</v>
      </c>
      <c r="CQ396" s="170">
        <f t="shared" si="783"/>
        <v>0</v>
      </c>
      <c r="CR396" s="170">
        <f t="shared" si="784"/>
        <v>0</v>
      </c>
      <c r="CS396" s="170">
        <f t="shared" si="785"/>
        <v>0</v>
      </c>
      <c r="CT396" s="75">
        <f t="shared" si="786"/>
        <v>0</v>
      </c>
      <c r="CU396" s="76">
        <f t="shared" si="787"/>
        <v>0</v>
      </c>
      <c r="CV396" s="76">
        <f t="shared" si="788"/>
        <v>0</v>
      </c>
      <c r="CW396" s="76">
        <f t="shared" si="789"/>
        <v>0</v>
      </c>
      <c r="CX396" s="76">
        <f t="shared" si="790"/>
        <v>0</v>
      </c>
      <c r="CY396" s="76">
        <f t="shared" si="791"/>
        <v>0</v>
      </c>
      <c r="CZ396" s="76">
        <f t="shared" si="792"/>
        <v>0</v>
      </c>
      <c r="DA396" s="76">
        <f t="shared" si="793"/>
        <v>0</v>
      </c>
      <c r="DB396" s="76">
        <f t="shared" si="794"/>
        <v>0</v>
      </c>
      <c r="DC396" s="76">
        <f t="shared" si="795"/>
        <v>0</v>
      </c>
      <c r="DD396" s="76">
        <f t="shared" si="796"/>
        <v>0</v>
      </c>
      <c r="DE396" s="77">
        <f t="shared" si="797"/>
        <v>0</v>
      </c>
      <c r="DF396" s="73">
        <f t="shared" si="799"/>
        <v>28</v>
      </c>
      <c r="DG396" s="67">
        <f t="shared" si="800"/>
        <v>36.409999999999997</v>
      </c>
      <c r="DH396" s="76">
        <f t="shared" si="801"/>
        <v>10</v>
      </c>
      <c r="DI396" s="67">
        <f t="shared" si="802"/>
        <v>41.599999999999994</v>
      </c>
      <c r="DJ396" s="202" t="str">
        <f>IF($D394="","",$D394)</f>
        <v>13</v>
      </c>
      <c r="DK396" s="493"/>
    </row>
    <row r="397" spans="1:115" ht="14.5" customHeight="1" x14ac:dyDescent="0.2">
      <c r="A397" s="459">
        <f>$A394+1</f>
        <v>132</v>
      </c>
      <c r="B397" s="507" t="str">
        <f>IF(OR(C397="W",C398="W",C399="W",C397="1/2W",C398="1/2W",C399="1/2W",C397="1/2L",C398="1/2L",C399="1/2L"),"OK",IF(OR(C397="L",C398="L",C399="L"),"LOSS",IF(OR(C397="X",C398="X",C399="X"),"Anulado"," ")))</f>
        <v>OK</v>
      </c>
      <c r="C397" s="93" t="s">
        <v>55</v>
      </c>
      <c r="D397" s="468" t="str">
        <f>IF(G397="","",$D394)</f>
        <v>13</v>
      </c>
      <c r="E397" s="485" t="str">
        <f>IF(G397=""," ","– "&amp;COUNTIF(D$4:D399,$D397))</f>
        <v>– 7</v>
      </c>
      <c r="F397" s="509" t="str">
        <f ca="1">IF(G397="","",IF(OR(AND($C397&lt;&gt;" ",$C398=" "),AND($C398&lt;&gt;" ",$C397=" "),AND(L399&gt;0,OR(AND($C399&lt;&gt;" ",OR($C397=" ",$C398=" ")),AND($C399=" ",OR($C397&lt;&gt;" ",$C398&lt;&gt;" "))))),IF(SUM(F$4:F396)=0,1,LARGE(F$4:F396,1)+1),IF(MONTH(G397)=MONTH(TODAY()),IF(AND(DAY(G397)&lt;DAY(TODAY()),$B397=" "),IF(SUM(F$4:F396)=0,1,LARGE(F$4:F396,1)+1),IF($B397=" ",IF(AND(DAY(G397)=DAY(TODAY()),HOUR(G397)&lt;=HOUR(NOW())+1),IF(AND(HOUR(G397)+2&lt;=HOUR(NOW()),DAY(G397)&lt;=DAY(TODAY()),MINUTE(G397)&lt;=MINUTE(NOW())),IF(SUM(F$4:F396)=0,1,LARGE(F$4:F396,1)+1),IF(OR(MINUTE(G397)&lt;=MINUTE(NOW()),HOUR(G397)&lt;=HOUR(NOW())),"!!!","")),""),"")),"")))</f>
        <v/>
      </c>
      <c r="G397" s="482">
        <v>44998.541666666664</v>
      </c>
      <c r="H397" s="475" t="s">
        <v>169</v>
      </c>
      <c r="I397" s="175">
        <v>1</v>
      </c>
      <c r="J397" s="176"/>
      <c r="K397" s="96" t="s">
        <v>43</v>
      </c>
      <c r="L397" s="97">
        <v>1.68</v>
      </c>
      <c r="M397" s="98"/>
      <c r="N397" s="478">
        <v>1</v>
      </c>
      <c r="O397" s="99">
        <f>IF(OR(AE397="",AE398=""),"",ROUND(IF(L399&gt;0,IF(M397&gt;0,M397,IF(M398&gt;0,ROUND((M398*AE397)/AE398,IF(N397=0,2,IF(N397=0.1,1,0))),ROUND((M399*AE397)/AE399,IF(N397=0,2,IF(N397=0.1,1,0))))),IF(M397&gt;0,M397,ROUND((M398*AE397)/AE398,IF(N397=0,2,IF(N397=0.1,1,0))))),2))</f>
        <v>31</v>
      </c>
      <c r="P397" s="100">
        <f>IF(OR(L397="",O397=""),"",IF($C397="1/2W",O397/2+O397/2*L397,IF($C397="1/2L",O397/2,IF(I397="Lay",(O397*(L397/(L397-1))-O397)*(1-_xlfn.XLOOKUP(K397,'Fevereiro 2023 - Valor Real'!A3:A15,'Fevereiro 2023 - Valor Real'!C3:C15,0))+O397,(O397*L397-O397)*(1-_xlfn.XLOOKUP(K397,'Fevereiro 2023 - Valor Real'!A3:A15,'Fevereiro 2023 - Valor Real'!C3:C15,0))+O397))))</f>
        <v>52.08</v>
      </c>
      <c r="Q397" s="101">
        <f>IF(K397="","",IF(_xlfn.XLOOKUP(K397,K$4:K396,$DJ$4:DJ396,0,,-1)=DJ397,_xlfn.XLOOKUP(K397,K$4:K396,Q$4:Q396,1,,-1)+1,1))</f>
        <v>2</v>
      </c>
      <c r="R397" s="102">
        <f>IF(K397="","",_xlfn.XLOOKUP(K397,K$4:K396,R$4:R396,0,,-1)+IF($C397=" ",1,0))</f>
        <v>0</v>
      </c>
      <c r="S397" s="474">
        <f>IF($B397="Anulado",0,ROUND(IF(OR($B397="LOSS",$B397="OK"),IF(OR($C397="W",$C397="1/2W",$C397="1/2L"),P397-O397,IF($C397="L",-O397,0))+IF(OR($C398="W",$C398="1/2W",$C398="1/2L"),P398-O398,IF($C398="L",-O398,0))+IF(OR($C399="W",$C399="1/2W",$C399="1/2L"),P399-O399,IF($C399="L",-O399,0)),IF(AND(OR($C397="W",$C397="1/2W",$C397="1/2L"),C398="W"),P397+P398-SUM(O397:O399)+_xlfn.XLOOKUP("X",C397:C399,O397:O399,0),IF(AND(C397=TRUE,C399="W"),P397+P399-SUM(O397:O399),IF(AND(C398="W",C399="W"),P398+P399-SUM(O397:O399)+_xlfn.XLOOKUP("X",C397:C399,O397:O399,0),IF(L399&gt;0,IF(OR($C397="W",$C397="1/2W",$C397="1/2L"),P397-SUM(O397:O399)+_xlfn.XLOOKUP("X",C397:C399,O397:O399,0),IF(OR($C397="W",$C397="1/2W",$C397="1/2L"),P398-SUM(O397:O399)+_xlfn.XLOOKUP("X",C397:C399,O397:O399,0),IF(OR($C397="W",$C397="1/2W",$C397="1/2L"),P399-SUM(O397:O399)+_xlfn.XLOOKUP("X",C397:C399,O397:O399,0),IF(SUM(P397:P399)/3-SUM(O397:O399)+_xlfn.XLOOKUP("X",C397:C399,O397:O399,0)&gt;0,SUM(P397:P399)/3-SUM(O397:O399)+_xlfn.XLOOKUP("X",C397:C399,O397:O399,0),LARGE(P397:P399,1)-SUM(O397:O399))))),IF(OR($C397="W",$C397="1/2W",$C397="1/2L"),P397-SUM(O397:O398)+_xlfn.XLOOKUP("X",C397:C399,O397:O399,0),IF(OR($C397="W",$C397="1/2W",$C397="1/2L"),P398-SUM(O397:O398)+_xlfn.XLOOKUP("X",C397:C399,O397:O399,0),SUM(P397:P398)/2-SUM(O397:O398)+_xlfn.XLOOKUP("X",C397:C399,O397:O399,0)))))))),2))</f>
        <v>1.57</v>
      </c>
      <c r="T397" s="458">
        <f>IF(S397=0,0,S397/SUM(O397:O399))</f>
        <v>3.1299840510366828E-2</v>
      </c>
      <c r="U397" s="470">
        <f>IF($D397=$D394,IF(OR($B397="LOSS",$B397="OK",$B397="Anulada"),S397,0)+U394,IF(OR($B397="LOSS",$B397="OK",$B397="Anulada"),S397,0))</f>
        <v>26.79</v>
      </c>
      <c r="V397" s="470">
        <f>IF($D397="",0,IF($D397=$D394,IF($B397=" ",IF(I399="",IF(OR(AND(I397="DNB1",I398="DNB2"),AND(OR(I397="DNB1",I397="DNB2"),J398=0),AND(OR(I398="DNB1",I398="DNB2"),J397=0),AND(I397="DNB2",I398="DNB1"),AND(IF(J397=0,(J397+1)/ROUND(J397+1,0),J397/ROUND(J397,0))=1,IF(J398=0,(J398+1)/ROUND(IF(J398="",0,J398)+1,0),IF(J398="",0,J398)/ROUND(IF(J398="",1,J398),0))=1,OR(J397&lt;&gt;""),J398&lt;&gt;"")),0,IF(S397&lt;0,IF(I399="",SMALL(P397:P398,1)-SUM(O397:O398),0),SMALL(P397:P398,1)-SUM(O397:O398))),IF(S397&lt;0,IF(I399="",SMALL(P397:P399,1)-SUM(O397:O399),0),LARGE(P397:P399,1)-SUM(O397:O399))),S397)+V394,IF(I399="",IF(OR(AND(I397="DNB1",I398="DNB2"),AND(OR(I397="DNB1",I397="DNB2"),J398=0),AND(OR(I398="DNB1",I398="DNB2"),J397=0),AND(I397="DNB2",I398="DNB1"),AND(IF(J397=0,(J397+1)/ROUND(J397+1,0),J397/ROUND(J397,0))=1,IF(J398=0,(IF(J398="",0,J398)+1)/ROUND(IF(J398="",0,J398)+1,0),IF(J398="",0,J398)/ROUND(IF(J398="",0,J398)+1,0))=1,OR(J397&lt;&gt;""),J398&lt;&gt;"")),0,IF(S397&lt;0,IF(I399="",SMALL(P397:P398,1)-SUM(O397:O398),0),SMALL(P397:P399,1)-SUM(O397:O399))),IF(S397&lt;0,IF(I399="",SMALL(P397:P399,1)-SUM(O397:O399),0),LARGE(P397:P399,1)-SUM(O397:O399)))))</f>
        <v>26.407000000000004</v>
      </c>
      <c r="W397" s="470">
        <f>IF($D397=$D394,IF(S397&lt;0,IF(I399="",S397,0),S397)+W394,S397)</f>
        <v>26.79</v>
      </c>
      <c r="X397" s="480" t="str">
        <f>IF(OR(SUM(R397:R399)=0,V397=W397),ROUND(IF(W397=0,0,W397/Y397)*100,2)&amp;"%",ROUND(IF(V397=0,0,V397/Y397)*100,2)&amp;"% a "&amp;ROUND(IF(W397=0,0,W397/Y397)*100,2)&amp;"%")</f>
        <v>5,2%</v>
      </c>
      <c r="Y397" s="471">
        <f>IF($D397=$D394,Y394+SUM(O397:O399),SUM(O397:O399))</f>
        <v>515.08000000000004</v>
      </c>
      <c r="Z397" s="470">
        <f>IF($B397=" ",SUM(O397:O399),0)+Z394</f>
        <v>0</v>
      </c>
      <c r="AA397" s="470">
        <f>IF(G397="","",IF($B397="Anulado",LARGE(P397:P399,1)-SUM(O397:O399)+AA394,AA394))</f>
        <v>10.700299999999997</v>
      </c>
      <c r="AB397" s="470">
        <f>IF($D397="","",AB394+S397)</f>
        <v>485.1400000000001</v>
      </c>
      <c r="AC397" s="472">
        <f ca="1">IF($D397="","",IF($B397=" ",IF(DAY(G397)=DAY(TODAY()),1+AC394,0+AC394),0+AC394))</f>
        <v>0</v>
      </c>
      <c r="AD397" s="103">
        <f>(((L398/(L398-1)-1)*(1-_xlfn.XLOOKUP(K398,'Fevereiro 2023 - Valor Real'!A3:A15,'Fevereiro 2023 - Valor Real'!C3:C15,0))+1))/(((L397-1)*(1-_xlfn.XLOOKUP(K397,'Fevereiro 2023 - Valor Real'!A3:A15,'Fevereiro 2023 - Valor Real'!C3:C15,0))+1)+((L398/(L398-1)-1)*(1-_xlfn.XLOOKUP(K398,'Fevereiro 2023 - Valor Real'!A3:A15,'Fevereiro 2023 - Valor Real'!C3:C15,0))+1))</f>
        <v>0.48596112311015116</v>
      </c>
      <c r="AE397" s="104">
        <f>IF(L397="","",IF(L399&gt;0,(SUM(((L397-1)*(1-_xlfn.XLOOKUP(K397,'Fevereiro 2023 - Valor Real'!A3:A15,'Fevereiro 2023 - Valor Real'!C3:C15,0))+1),((L398-1)*(1-_xlfn.XLOOKUP(K398,'Fevereiro 2023 - Valor Real'!A3:A15,'Fevereiro 2023 - Valor Real'!C3:C15,0))+1),((L399-1)*(1-_xlfn.XLOOKUP(K399,'Fevereiro 2023 - Valor Real'!A3:A15,'Fevereiro 2023 - Valor Real'!C3:C15,0))+1))/((L397-1)*(1-_xlfn.XLOOKUP(K397,'Fevereiro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Real'!C3:C15,0))+1))/((L397-1)*(1-_xlfn.XLOOKUP(K397,'Fevereiro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Real'!C3:C15,0))+1))/((L398-1)*(1-_xlfn.XLOOKUP(K398,'Fevereiro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Real'!C3:C15,0))+1))/((L399-1)*(1-_xlfn.XLOOKUP(K399,'Fevereiro 2023 - Valor Real'!A3:A15,'Fevereiro 2023 - Valor Real'!C3:C15,0))+1)),IF(I397="Lay",IF(I398="Lay",((L398/(L398-1)-1)*(1-_xlfn.XLOOKUP(K398,'Fevereiro 2023 - Valor Real'!A3:A15,'Fevereiro 2023 - Valor Real'!C3:C15,0))+1)/(((L398/(L398-1)-1)*(1-_xlfn.XLOOKUP(K398,'Fevereiro 2023 - Valor Real'!A3:A15,'Fevereiro 2023 - Valor Real'!C3:C15,0))+1)+((L397/(L397-1)-1)*(1-_xlfn.XLOOKUP(K397,'Fevereiro 2023 - Valor Real'!A3:A15,'Fevereiro 2023 - Valor Real'!C3:C15,0))+1)),((L398-1)*(1-_xlfn.XLOOKUP(K398,'Fevereiro 2023 - Valor Real'!A3:A15,'Fevereiro 2023 - Valor Real'!C3:C15,0))+1)/(((L398-1)*(1-_xlfn.XLOOKUP(K398,'Fevereiro 2023 - Valor Real'!A3:A15,'Fevereiro 2023 - Valor Real'!C3:C15,0))+1)+((L397/(L397-1)-1)*(1-_xlfn.XLOOKUP(K397,'Fevereiro 2023 - Valor Real'!A3:A15,'Fevereiro 2023 - Valor Real'!C3:C15,0))+1))),IF(I398="Lay",(((L398/(L398-1)-1)*(1-_xlfn.XLOOKUP(K398,'Fevereiro 2023 - Valor Real'!A3:A15,'Fevereiro 2023 - Valor Real'!C3:C15,0))+1))/(((L397-1)*(1-_xlfn.XLOOKUP(K397,'Fevereiro 2023 - Valor Real'!A3:A15,'Fevereiro 2023 - Valor Real'!C3:C15,0))+1)+((L398/(L398-1)-1)*(1-_xlfn.XLOOKUP(K398,'Fevereiro 2023 - Valor Real'!A3:A15,'Fevereiro 2023 - Valor Real'!C3:C15,0))+1)),((L398-1)*(1-_xlfn.XLOOKUP(K398,'Fevereiro 2023 - Valor Real'!A3:A15,'Fevereiro 2023 - Valor Real'!C3:C15,0))+1)/(((L398-1)*(1-_xlfn.XLOOKUP(K398,'Fevereiro 2023 - Valor Real'!A3:A15,'Fevereiro 2023 - Valor Real'!C3:C15,0))+1)+((L397-1)*(1-_xlfn.XLOOKUP(K397,'Fevereiro 2023 - Valor Real'!A3:A15,'Fevereiro 2023 - Valor Real'!C3:C15,0))+1))))))</f>
        <v>0.61643835616438358</v>
      </c>
      <c r="AF397" s="105">
        <f t="shared" si="808"/>
        <v>0</v>
      </c>
      <c r="AG397" s="106">
        <f t="shared" si="808"/>
        <v>0</v>
      </c>
      <c r="AH397" s="106">
        <f t="shared" si="808"/>
        <v>0</v>
      </c>
      <c r="AI397" s="106">
        <f t="shared" si="808"/>
        <v>0</v>
      </c>
      <c r="AJ397" s="106">
        <f t="shared" si="808"/>
        <v>0</v>
      </c>
      <c r="AK397" s="106">
        <f t="shared" si="808"/>
        <v>0</v>
      </c>
      <c r="AL397" s="106">
        <f t="shared" si="808"/>
        <v>0</v>
      </c>
      <c r="AM397" s="106">
        <f t="shared" si="808"/>
        <v>-31</v>
      </c>
      <c r="AN397" s="106">
        <f t="shared" si="808"/>
        <v>0</v>
      </c>
      <c r="AO397" s="106">
        <f t="shared" si="808"/>
        <v>0</v>
      </c>
      <c r="AP397" s="106">
        <f t="shared" si="808"/>
        <v>0</v>
      </c>
      <c r="AQ397" s="106">
        <f t="shared" si="808"/>
        <v>0</v>
      </c>
      <c r="AR397" s="107">
        <f t="shared" si="808"/>
        <v>0</v>
      </c>
      <c r="AS397" s="105">
        <f t="shared" ref="AS397:BE397" si="814">IF(AND($B397=" ",$K397=AS$3),$O397,0)</f>
        <v>0</v>
      </c>
      <c r="AT397" s="106">
        <f t="shared" si="814"/>
        <v>0</v>
      </c>
      <c r="AU397" s="106">
        <f t="shared" si="814"/>
        <v>0</v>
      </c>
      <c r="AV397" s="106">
        <f t="shared" si="814"/>
        <v>0</v>
      </c>
      <c r="AW397" s="106">
        <f t="shared" si="814"/>
        <v>0</v>
      </c>
      <c r="AX397" s="106">
        <f t="shared" si="814"/>
        <v>0</v>
      </c>
      <c r="AY397" s="108">
        <f t="shared" si="814"/>
        <v>0</v>
      </c>
      <c r="AZ397" s="109">
        <f t="shared" si="814"/>
        <v>0</v>
      </c>
      <c r="BA397" s="109">
        <f t="shared" si="814"/>
        <v>0</v>
      </c>
      <c r="BB397" s="109">
        <f t="shared" si="814"/>
        <v>0</v>
      </c>
      <c r="BC397" s="110">
        <f t="shared" si="814"/>
        <v>0</v>
      </c>
      <c r="BD397" s="106">
        <f t="shared" si="814"/>
        <v>0</v>
      </c>
      <c r="BE397" s="107">
        <f t="shared" si="814"/>
        <v>0</v>
      </c>
      <c r="BF397" s="111">
        <f t="shared" si="810"/>
        <v>0</v>
      </c>
      <c r="BG397" s="106">
        <f t="shared" si="810"/>
        <v>0</v>
      </c>
      <c r="BH397" s="106">
        <f t="shared" si="810"/>
        <v>0</v>
      </c>
      <c r="BI397" s="106">
        <f t="shared" si="810"/>
        <v>0</v>
      </c>
      <c r="BJ397" s="106">
        <f t="shared" si="810"/>
        <v>0</v>
      </c>
      <c r="BK397" s="106">
        <f t="shared" si="810"/>
        <v>0</v>
      </c>
      <c r="BL397" s="106">
        <f t="shared" si="810"/>
        <v>0</v>
      </c>
      <c r="BM397" s="108">
        <f t="shared" si="810"/>
        <v>31</v>
      </c>
      <c r="BN397" s="109">
        <f t="shared" si="810"/>
        <v>0</v>
      </c>
      <c r="BO397" s="109">
        <f t="shared" si="810"/>
        <v>0</v>
      </c>
      <c r="BP397" s="109">
        <f t="shared" si="810"/>
        <v>0</v>
      </c>
      <c r="BQ397" s="110">
        <f t="shared" si="810"/>
        <v>0</v>
      </c>
      <c r="BR397" s="107">
        <f t="shared" si="810"/>
        <v>0</v>
      </c>
      <c r="BS397" s="463">
        <f>IF($B397="LOSS",IF(AND($K397=BS$3,$C397="L"),-$O397,0)+IF(AND($K398=BS$3,$C398="L"),-$O398,0)+IF(AND($K399=BS$3,$C399="L"),-$O399,0),IF(OR(AND($K397=BS$3,OR($C397="W",$C397="1/2W")),AND($K398=BS$3,OR($C398="W",$C398="1/2W")),AND($K399=BS$3,OR($C399="W",$C399="1/2W"))),$S397,0))</f>
        <v>0</v>
      </c>
      <c r="BT397" s="462">
        <f>IF($B397="LOSS",IF(AND($K397=BT$3,$C397="L"),-$O397,0)+IF(AND($K398=BT$3,$C398="L"),-$O398,0)+IF(AND($K398=BT$3,$C399="L"),-$O399,0),IF(OR(AND($K398=BT$3,OR($C397="W",$C397="1/2W")),AND($K398=BT$3,OR($C398="W",$C398="1/2W")),AND($K398=BT$3,OR($C399="W",$C399="1/2W"))),$S397,0))</f>
        <v>1.57</v>
      </c>
      <c r="BU397" s="462">
        <f>IF($B397="LOSS",IF(AND($K397=BU$3,$C397="L"),-$O397,0)+IF(AND($K398=BU$3,$C398="L"),-$O398,0)+IF(AND($K398=BU$3,$C399="L"),-$O399,0),IF(OR(AND($K398=BU$3,OR($C397="W",$C397="1/2W")),AND($K398=BU$3,OR($C398="W",$C398="1/2W")),AND($K398=BU$3,OR($C399="W",$C399="1/2W"))),$S397,0))</f>
        <v>0</v>
      </c>
      <c r="BV397" s="462">
        <f t="shared" ref="BV397:CE397" si="815">IF($B397="LOSS",IF(AND($K397=BV$3,$C397="L"),-$O397,0)+IF(AND($K398=BV$3,$C398="L"),-$O398,0)+IF(AND($K399=BV$3,$C399="L"),-$O399,0),IF(OR(AND($K397=BV$3,OR($C397="W",$C397="1/2W")),AND($K398=BV$3,OR($C398="W",$C398="1/2W")),AND($K399=BV$3,OR($C399="W",$C399="1/2W"))),$S397,0))</f>
        <v>0</v>
      </c>
      <c r="BW397" s="462">
        <f t="shared" si="815"/>
        <v>0</v>
      </c>
      <c r="BX397" s="462">
        <f t="shared" si="815"/>
        <v>0</v>
      </c>
      <c r="BY397" s="462">
        <f t="shared" si="815"/>
        <v>0</v>
      </c>
      <c r="BZ397" s="460">
        <f t="shared" si="815"/>
        <v>0</v>
      </c>
      <c r="CA397" s="460">
        <f t="shared" si="815"/>
        <v>0</v>
      </c>
      <c r="CB397" s="460">
        <f t="shared" si="815"/>
        <v>0</v>
      </c>
      <c r="CC397" s="460">
        <f t="shared" si="815"/>
        <v>0</v>
      </c>
      <c r="CD397" s="473">
        <f t="shared" si="815"/>
        <v>0</v>
      </c>
      <c r="CE397" s="479">
        <f t="shared" si="815"/>
        <v>0</v>
      </c>
      <c r="CF397" s="113">
        <f t="shared" si="772"/>
        <v>0</v>
      </c>
      <c r="CG397" s="114">
        <f t="shared" si="773"/>
        <v>0</v>
      </c>
      <c r="CH397" s="114">
        <f t="shared" si="774"/>
        <v>0</v>
      </c>
      <c r="CI397" s="114">
        <f t="shared" si="775"/>
        <v>0</v>
      </c>
      <c r="CJ397" s="114">
        <f t="shared" si="776"/>
        <v>0</v>
      </c>
      <c r="CK397" s="114">
        <f t="shared" si="777"/>
        <v>0</v>
      </c>
      <c r="CL397" s="114">
        <f t="shared" si="778"/>
        <v>0</v>
      </c>
      <c r="CM397" s="114">
        <f t="shared" si="779"/>
        <v>0</v>
      </c>
      <c r="CN397" s="114">
        <f t="shared" si="780"/>
        <v>0</v>
      </c>
      <c r="CO397" s="114">
        <f t="shared" si="781"/>
        <v>0</v>
      </c>
      <c r="CP397" s="114">
        <f t="shared" si="782"/>
        <v>0</v>
      </c>
      <c r="CQ397" s="114">
        <f t="shared" si="783"/>
        <v>0</v>
      </c>
      <c r="CR397" s="114">
        <f t="shared" si="784"/>
        <v>0</v>
      </c>
      <c r="CS397" s="114">
        <f t="shared" si="785"/>
        <v>0</v>
      </c>
      <c r="CT397" s="115">
        <f t="shared" si="786"/>
        <v>0</v>
      </c>
      <c r="CU397" s="116">
        <f t="shared" si="787"/>
        <v>1</v>
      </c>
      <c r="CV397" s="116">
        <f t="shared" si="788"/>
        <v>0</v>
      </c>
      <c r="CW397" s="116">
        <f t="shared" si="789"/>
        <v>0</v>
      </c>
      <c r="CX397" s="116">
        <f t="shared" si="790"/>
        <v>0</v>
      </c>
      <c r="CY397" s="116">
        <f t="shared" si="791"/>
        <v>0</v>
      </c>
      <c r="CZ397" s="116">
        <f t="shared" si="792"/>
        <v>0</v>
      </c>
      <c r="DA397" s="116">
        <f t="shared" si="793"/>
        <v>0</v>
      </c>
      <c r="DB397" s="116">
        <f t="shared" si="794"/>
        <v>0</v>
      </c>
      <c r="DC397" s="116">
        <f t="shared" si="795"/>
        <v>0</v>
      </c>
      <c r="DD397" s="116">
        <f t="shared" si="796"/>
        <v>0</v>
      </c>
      <c r="DE397" s="117">
        <f t="shared" si="797"/>
        <v>0</v>
      </c>
      <c r="DF397" s="118">
        <f t="shared" si="799"/>
        <v>28</v>
      </c>
      <c r="DG397" s="106">
        <f t="shared" si="800"/>
        <v>36.409999999999997</v>
      </c>
      <c r="DH397" s="116">
        <f t="shared" si="801"/>
        <v>10</v>
      </c>
      <c r="DI397" s="106">
        <f t="shared" si="802"/>
        <v>41.599999999999994</v>
      </c>
      <c r="DJ397" s="201" t="str">
        <f>IF($D397="","",$D397)</f>
        <v>13</v>
      </c>
      <c r="DK397" s="465">
        <f>IF(AND($B397=" ",$D397&lt;&gt;""),1,0)</f>
        <v>0</v>
      </c>
    </row>
    <row r="398" spans="1:115" ht="14.5" customHeight="1" x14ac:dyDescent="0.2">
      <c r="A398" s="389"/>
      <c r="B398" s="456"/>
      <c r="C398" s="120" t="s">
        <v>54</v>
      </c>
      <c r="D398" s="374"/>
      <c r="E398" s="386"/>
      <c r="F398" s="377"/>
      <c r="G398" s="483"/>
      <c r="H398" s="476"/>
      <c r="I398" s="121" t="s">
        <v>64</v>
      </c>
      <c r="J398" s="179" t="str">
        <f>IF(OR(I397="TO",I397="TU",I397="TO1",I397="TU1",I397="TO2",I397="TU2"),J397,IF(OR(I397="AH1",I397="AH2"),IF(OR(I398="AH1",I398="AH2"),-J397,IF(OR(I398="EH1",I398="EH2"),-J397+0.5,"")),IF(OR(I397="EH1",I397="EH2"),IF(OR(I398="AH1",I398="AH2"),-J397+0.5,IF(OR(I398="EH1",I398="EH2"),-J397+1,"")),IF(AND(OR(I397="DNB1",I397="DNB2"),OR(I398="AH1",I398="AH2")),0,IF(AND(I397="Not ScoreBoth",OR(I398="TO1",I398="TO2")),0.5,"")))))</f>
        <v/>
      </c>
      <c r="K398" s="123" t="s">
        <v>37</v>
      </c>
      <c r="L398" s="124">
        <v>2.7</v>
      </c>
      <c r="M398" s="125">
        <v>19.16</v>
      </c>
      <c r="N398" s="406"/>
      <c r="O398" s="126">
        <f>IF(OR(AE397="",AE398=""),"",ROUND(IF(L399&gt;0,IF(M398&gt;0,M398,IF(M397&gt;0,IF(N397=TRUE,ROUND((M397*AE398)/AE397,0),(M397*AE398)/AE397),IF(M398&gt;0,ROUND(M398,IF(N397=0,2,IF(N397=0.1,1,0))),IF(M399&gt;0,ROUND(O399*AE398/AE399,IF(N397=0,2,IF(N397=0.1,1,0))),0)))),IF(M398&gt;0,M398,ROUND((M397*AE398)/AE397,IF(N397=0,2,IF(N397=0.1,1,0))))),2))</f>
        <v>19.16</v>
      </c>
      <c r="P398" s="127">
        <f>IF(OR(L398="",O398=""),"",IF($C398="1/2W",O398/2+O398/2*L398,IF($C398="1/2L",O398/2,IF(I398="Lay",((O398*(L398/(L398-1)))-O398)*(1-_xlfn.XLOOKUP(K398,'Fevereiro 2023 - Valor Real'!A3:A15,'Fevereiro 2023 - Valor Real'!C3:C15,0))+O398,(O398*L398-O398)*(1-_xlfn.XLOOKUP(K398,'Fevereiro 2023 - Valor Real'!A3:A15,'Fevereiro 2023 - Valor Real'!C3:C15,0))+O398))))</f>
        <v>51.731999999999999</v>
      </c>
      <c r="Q398" s="128">
        <f>IF(K398="","",IF(_xlfn.XLOOKUP(K398,K$4:K397,$DJ$4:DJ397,0,,-1)=DJ398,_xlfn.XLOOKUP(K398,K$4:K397,Q$4:Q397,1,,-1)+1,1))</f>
        <v>2</v>
      </c>
      <c r="R398" s="129">
        <f>IF(K398="","",_xlfn.XLOOKUP(K398,K$4:K397,R$4:R397,0,,-1)+IF($C398=" ",1,0))</f>
        <v>0</v>
      </c>
      <c r="S398" s="403"/>
      <c r="T398" s="380"/>
      <c r="U398" s="380"/>
      <c r="V398" s="481"/>
      <c r="W398" s="380"/>
      <c r="X398" s="452"/>
      <c r="Y398" s="383"/>
      <c r="Z398" s="384"/>
      <c r="AA398" s="384"/>
      <c r="AB398" s="384"/>
      <c r="AC398" s="384"/>
      <c r="AD398" s="130">
        <f>(((L398/(L398-1)-1)*(1-_xlfn.XLOOKUP(K398,'Fevereiro 2023 - Valor Real'!A3:A15,'Fevereiro 2023 - Valor Real'!C3:C15,0))+1))</f>
        <v>1.588235294117647</v>
      </c>
      <c r="AE398" s="131">
        <f>IF(L398="","",IF(L399&gt;0,(SUM(((L397-1)*(1-_xlfn.XLOOKUP(K397,'Fevereiro 2023 - Valor Real'!A3:A15,'Fevereiro 2023 - Valor Real'!C3:C15,0))+1),((L398-1)*(1-_xlfn.XLOOKUP(K398,'Fevereiro 2023 - Valor Real'!A3:A15,'Fevereiro 2023 - Valor Real'!C3:C15,0))+1),((L399-1)*(1-_xlfn.XLOOKUP(K399,'Fevereiro 2023 - Valor Real'!A3:A15,'Fevereiro 2023 - Valor Real'!C3:C15,0))+1))/((L398-1)*(1-_xlfn.XLOOKUP(K398,'Fevereiro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Real'!C3:C15,0))+1))/((L397-1)*(1-_xlfn.XLOOKUP(K397,'Fevereiro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Real'!C3:C15,0))+1))/((L398-1)*(1-_xlfn.XLOOKUP(K398,'Fevereiro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Real'!C3:C15,0))+1))/((L399-1)*(1-_xlfn.XLOOKUP(K399,'Fevereiro 2023 - Valor Real'!A3:A15,'Fevereiro 2023 - Valor Real'!C3:C15,0))+1)),IF(I398="Lay",IF(I397="Lay",((L397/(L397-1)-1)*(1-_xlfn.XLOOKUP(K397,'Fevereiro 2023 - Valor Real'!A3:A15,'Fevereiro 2023 - Valor Real'!C3:C15,0))+1)/(((L397/(L397-1)-1)*(1-_xlfn.XLOOKUP(K397,'Fevereiro 2023 - Valor Real'!A3:A15,'Fevereiro 2023 - Valor Real'!C3:C15,0))+1)+((L398/(L398-1)-1)*(1-_xlfn.XLOOKUP(K398,'Fevereiro 2023 - Valor Real'!A3:A15,'Fevereiro 2023 - Valor Real'!C3:C15,0))+1)),((L397-1)*(1-_xlfn.XLOOKUP(K397,'Fevereiro 2023 - Valor Real'!A3:A15,'Fevereiro 2023 - Valor Real'!C3:C15,0))+1)/(((L397-1)*(1-_xlfn.XLOOKUP(K397,'Fevereiro 2023 - Valor Real'!A3:A15,'Fevereiro 2023 - Valor Real'!C3:C15,0))+1)+((L398/(L398-1)-1)*(1-_xlfn.XLOOKUP(K398,'Fevereiro 2023 - Valor Real'!A3:A15,'Fevereiro 2023 - Valor Real'!C3:C15,0))+1))),IF(I397="Lay",((L397/(L397-1)-1)*(1-_xlfn.XLOOKUP(K397,'Fevereiro 2023 - Valor Real'!A3:A15,'Fevereiro 2023 - Valor Real'!C3:C15,0))+1)/((((L397/(L397-1)-1)*(1-_xlfn.XLOOKUP(K397,'Fevereiro 2023 - Valor Real'!A3:A15,'Fevereiro 2023 - Valor Real'!C3:C15,0))+1))+((L398-1)*(1-_xlfn.XLOOKUP(K398,'Fevereiro 2023 - Valor Real'!A3:A15,'Fevereiro 2023 - Valor Real'!C3:C15,0))+1)),((L397-1)*(1-_xlfn.XLOOKUP(K397,'Fevereiro 2023 - Valor Real'!A3:A15,'Fevereiro 2023 - Valor Real'!C3:C15,0))+1)/(((L397-1)*(1-_xlfn.XLOOKUP(K397,'Fevereiro 2023 - Valor Real'!A3:A15,'Fevereiro 2023 - Valor Real'!C3:C15,0))+1)+((L398-1)*(1-_xlfn.XLOOKUP(K398,'Fevereiro 2023 - Valor Real'!A3:A15,'Fevereiro 2023 - Valor Real'!C3:C15,0))+1))))))</f>
        <v>0.38356164383561642</v>
      </c>
      <c r="AF398" s="105">
        <f t="shared" si="808"/>
        <v>0</v>
      </c>
      <c r="AG398" s="106">
        <f t="shared" si="808"/>
        <v>32.57</v>
      </c>
      <c r="AH398" s="106">
        <f t="shared" si="808"/>
        <v>0</v>
      </c>
      <c r="AI398" s="106">
        <f t="shared" si="808"/>
        <v>0</v>
      </c>
      <c r="AJ398" s="106">
        <f t="shared" si="808"/>
        <v>0</v>
      </c>
      <c r="AK398" s="106">
        <f t="shared" si="808"/>
        <v>0</v>
      </c>
      <c r="AL398" s="106">
        <f t="shared" si="808"/>
        <v>0</v>
      </c>
      <c r="AM398" s="106">
        <f t="shared" si="808"/>
        <v>0</v>
      </c>
      <c r="AN398" s="106">
        <f t="shared" si="808"/>
        <v>0</v>
      </c>
      <c r="AO398" s="106">
        <f t="shared" si="808"/>
        <v>0</v>
      </c>
      <c r="AP398" s="106">
        <f t="shared" si="808"/>
        <v>0</v>
      </c>
      <c r="AQ398" s="106">
        <f t="shared" si="808"/>
        <v>0</v>
      </c>
      <c r="AR398" s="107">
        <f t="shared" si="808"/>
        <v>0</v>
      </c>
      <c r="AS398" s="105">
        <f>IF(AND($B397=" ",$K398=AS$3),$O398,0)</f>
        <v>0</v>
      </c>
      <c r="AT398" s="106">
        <f>IF(AND($B397=" ",K398=AT$3),$O398,0)</f>
        <v>0</v>
      </c>
      <c r="AU398" s="106">
        <f t="shared" ref="AU398:BE398" si="816">IF(AND($B397=" ",$K398=AU$3),$O398,0)</f>
        <v>0</v>
      </c>
      <c r="AV398" s="106">
        <f t="shared" si="816"/>
        <v>0</v>
      </c>
      <c r="AW398" s="106">
        <f t="shared" si="816"/>
        <v>0</v>
      </c>
      <c r="AX398" s="106">
        <f t="shared" si="816"/>
        <v>0</v>
      </c>
      <c r="AY398" s="108">
        <f t="shared" si="816"/>
        <v>0</v>
      </c>
      <c r="AZ398" s="109">
        <f t="shared" si="816"/>
        <v>0</v>
      </c>
      <c r="BA398" s="109">
        <f t="shared" si="816"/>
        <v>0</v>
      </c>
      <c r="BB398" s="109">
        <f t="shared" si="816"/>
        <v>0</v>
      </c>
      <c r="BC398" s="110">
        <f t="shared" si="816"/>
        <v>0</v>
      </c>
      <c r="BD398" s="106">
        <f t="shared" si="816"/>
        <v>0</v>
      </c>
      <c r="BE398" s="107">
        <f t="shared" si="816"/>
        <v>0</v>
      </c>
      <c r="BF398" s="105">
        <f t="shared" si="810"/>
        <v>0</v>
      </c>
      <c r="BG398" s="106">
        <f t="shared" si="810"/>
        <v>19.16</v>
      </c>
      <c r="BH398" s="106">
        <f t="shared" si="810"/>
        <v>0</v>
      </c>
      <c r="BI398" s="106">
        <f t="shared" si="810"/>
        <v>0</v>
      </c>
      <c r="BJ398" s="106">
        <f t="shared" si="810"/>
        <v>0</v>
      </c>
      <c r="BK398" s="106">
        <f t="shared" si="810"/>
        <v>0</v>
      </c>
      <c r="BL398" s="106">
        <f t="shared" si="810"/>
        <v>0</v>
      </c>
      <c r="BM398" s="132">
        <f t="shared" si="810"/>
        <v>0</v>
      </c>
      <c r="BN398" s="112">
        <f t="shared" si="810"/>
        <v>0</v>
      </c>
      <c r="BO398" s="112">
        <f t="shared" si="810"/>
        <v>0</v>
      </c>
      <c r="BP398" s="112">
        <f t="shared" si="810"/>
        <v>0</v>
      </c>
      <c r="BQ398" s="110">
        <f t="shared" si="810"/>
        <v>0</v>
      </c>
      <c r="BR398" s="107">
        <f t="shared" si="810"/>
        <v>0</v>
      </c>
      <c r="BS398" s="464"/>
      <c r="BT398" s="461"/>
      <c r="BU398" s="392"/>
      <c r="BV398" s="461"/>
      <c r="BW398" s="392"/>
      <c r="BX398" s="392"/>
      <c r="BY398" s="392"/>
      <c r="BZ398" s="461"/>
      <c r="CA398" s="392"/>
      <c r="CB398" s="392"/>
      <c r="CC398" s="392"/>
      <c r="CD398" s="401"/>
      <c r="CE398" s="409"/>
      <c r="CF398" s="133">
        <f t="shared" si="772"/>
        <v>0</v>
      </c>
      <c r="CG398" s="134">
        <f t="shared" si="773"/>
        <v>0</v>
      </c>
      <c r="CH398" s="134">
        <f t="shared" si="774"/>
        <v>1</v>
      </c>
      <c r="CI398" s="134">
        <f t="shared" si="775"/>
        <v>0</v>
      </c>
      <c r="CJ398" s="134">
        <f t="shared" si="776"/>
        <v>0</v>
      </c>
      <c r="CK398" s="134">
        <f t="shared" si="777"/>
        <v>0</v>
      </c>
      <c r="CL398" s="134">
        <f t="shared" si="778"/>
        <v>0</v>
      </c>
      <c r="CM398" s="134">
        <f t="shared" si="779"/>
        <v>0</v>
      </c>
      <c r="CN398" s="134">
        <f t="shared" si="780"/>
        <v>0</v>
      </c>
      <c r="CO398" s="134">
        <f t="shared" si="781"/>
        <v>0</v>
      </c>
      <c r="CP398" s="134">
        <f t="shared" si="782"/>
        <v>0</v>
      </c>
      <c r="CQ398" s="134">
        <f t="shared" si="783"/>
        <v>0</v>
      </c>
      <c r="CR398" s="134">
        <f t="shared" si="784"/>
        <v>0</v>
      </c>
      <c r="CS398" s="134">
        <f t="shared" si="785"/>
        <v>0</v>
      </c>
      <c r="CT398" s="115">
        <f t="shared" si="786"/>
        <v>0</v>
      </c>
      <c r="CU398" s="116">
        <f t="shared" si="787"/>
        <v>0</v>
      </c>
      <c r="CV398" s="116">
        <f t="shared" si="788"/>
        <v>0</v>
      </c>
      <c r="CW398" s="116">
        <f t="shared" si="789"/>
        <v>0</v>
      </c>
      <c r="CX398" s="116">
        <f t="shared" si="790"/>
        <v>0</v>
      </c>
      <c r="CY398" s="116">
        <f t="shared" si="791"/>
        <v>0</v>
      </c>
      <c r="CZ398" s="116">
        <f t="shared" si="792"/>
        <v>0</v>
      </c>
      <c r="DA398" s="116">
        <f t="shared" si="793"/>
        <v>0</v>
      </c>
      <c r="DB398" s="116">
        <f t="shared" si="794"/>
        <v>0</v>
      </c>
      <c r="DC398" s="116">
        <f t="shared" si="795"/>
        <v>0</v>
      </c>
      <c r="DD398" s="116">
        <f t="shared" si="796"/>
        <v>0</v>
      </c>
      <c r="DE398" s="117">
        <f t="shared" si="797"/>
        <v>0</v>
      </c>
      <c r="DF398" s="118">
        <f t="shared" si="799"/>
        <v>28</v>
      </c>
      <c r="DG398" s="106">
        <f t="shared" si="800"/>
        <v>36.409999999999997</v>
      </c>
      <c r="DH398" s="116">
        <f t="shared" si="801"/>
        <v>10</v>
      </c>
      <c r="DI398" s="106">
        <f t="shared" si="802"/>
        <v>41.599999999999994</v>
      </c>
      <c r="DJ398" s="201" t="str">
        <f>IF($D397="","",$D397)</f>
        <v>13</v>
      </c>
      <c r="DK398" s="466"/>
    </row>
    <row r="399" spans="1:115" ht="14.5" customHeight="1" x14ac:dyDescent="0.2">
      <c r="A399" s="390"/>
      <c r="B399" s="457"/>
      <c r="C399" s="135" t="s">
        <v>53</v>
      </c>
      <c r="D399" s="375"/>
      <c r="E399" s="387"/>
      <c r="F399" s="378"/>
      <c r="G399" s="484"/>
      <c r="H399" s="477"/>
      <c r="I399" s="136"/>
      <c r="J399" s="137"/>
      <c r="K399" s="138"/>
      <c r="L399" s="139"/>
      <c r="M399" s="140"/>
      <c r="N399" s="407"/>
      <c r="O399" s="141" t="str">
        <f>IF(OR(AE397="",AE398=""),"",IF(L399&gt;0,ROUND(IF(M399&gt;0,M399,IF(M397&gt;0,ROUND((M397*AE399)/AE397,IF(N397=0,2,IF(N397=0.1,1,0))),IF(M398&gt;0,ROUND((M398*AE399)/AE398,IF(N397=0,2,IF(N397=0.1,1,0))),IF(M399&gt;0,M399,0)))),2),""))</f>
        <v/>
      </c>
      <c r="P399" s="142" t="str">
        <f>IF(I398="Lay",O398*(L398/(L398-1))-O398,IF(I397="Lay",O397*(L397/(L397-1))-O397,IF(OR(L399="",O399=""),"",IF($C399="1/2W",O399/2+O399/2*L399,IF($C399="1/2L",O399/2,(O399*L399-O399)*(1-_xlfn.XLOOKUP(K399,'Fevereiro 2023 - Valor Real'!A3:A15,'Fevereiro 2023 - Valor Real'!C3:C15,0))+O399)))))</f>
        <v/>
      </c>
      <c r="Q399" s="143" t="str">
        <f>IF(K399="","",IF(_xlfn.XLOOKUP(K399,K$4:K398,$DJ$4:DJ398,0,,-1)=DJ399,_xlfn.XLOOKUP(K399,K$4:K398,Q$4:Q398,1,,-1)+1,1))</f>
        <v/>
      </c>
      <c r="R399" s="144" t="str">
        <f>IF(K399="","",_xlfn.XLOOKUP(K399,K$4:K398,R$4:R398,0,,-1)+IF($C399=" ",1,0))</f>
        <v/>
      </c>
      <c r="S399" s="404"/>
      <c r="T399" s="378"/>
      <c r="U399" s="378"/>
      <c r="V399" s="404"/>
      <c r="W399" s="378"/>
      <c r="X399" s="453"/>
      <c r="Y399" s="383"/>
      <c r="Z399" s="384"/>
      <c r="AA399" s="384"/>
      <c r="AB399" s="384"/>
      <c r="AC399" s="384"/>
      <c r="AD399" s="145">
        <f>((L398/(L398-1)-1))</f>
        <v>0.58823529411764697</v>
      </c>
      <c r="AE399" s="146" t="str">
        <f>IF(L399="","",(SUM(((L397-1)*(1-_xlfn.XLOOKUP(K397,'Fevereiro 2023 - Valor Real'!A3:A15,'Fevereiro 2023 - Valor Real'!C3:C15,0))+1),((L398-1)*(1-_xlfn.XLOOKUP(K398,'Fevereiro 2023 - Valor Real'!A3:A15,'Fevereiro 2023 - Valor Real'!C3:C15,0))+1),((L399-1)*(1-_xlfn.XLOOKUP(K399,'Fevereiro 2023 - Valor Real'!A3:A15,'Fevereiro 2023 - Valor Real'!C3:C15,0))+1))/((L399-1)*(1-_xlfn.XLOOKUP(K399,'Fevereiro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Real'!C3:C15,0))+1))/((L397-1)*(1-_xlfn.XLOOKUP(K397,'Fevereiro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Real'!C3:C15,0))+1))/((L398-1)*(1-_xlfn.XLOOKUP(K398,'Fevereiro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Real'!C3:C15,0))+1))/((L399-1)*(1-_xlfn.XLOOKUP(K399,'Fevereiro 2023 - Valor Real'!A3:A15,'Fevereiro 2023 - Valor Real'!C3:C15,0))+1)))</f>
        <v/>
      </c>
      <c r="AF399" s="105">
        <f t="shared" si="808"/>
        <v>0</v>
      </c>
      <c r="AG399" s="106">
        <f t="shared" si="808"/>
        <v>0</v>
      </c>
      <c r="AH399" s="106">
        <f t="shared" si="808"/>
        <v>0</v>
      </c>
      <c r="AI399" s="106">
        <f t="shared" si="808"/>
        <v>0</v>
      </c>
      <c r="AJ399" s="106">
        <f t="shared" si="808"/>
        <v>0</v>
      </c>
      <c r="AK399" s="106">
        <f t="shared" si="808"/>
        <v>0</v>
      </c>
      <c r="AL399" s="106">
        <f t="shared" si="808"/>
        <v>0</v>
      </c>
      <c r="AM399" s="106">
        <f t="shared" si="808"/>
        <v>0</v>
      </c>
      <c r="AN399" s="106">
        <f t="shared" si="808"/>
        <v>0</v>
      </c>
      <c r="AO399" s="106">
        <f t="shared" si="808"/>
        <v>0</v>
      </c>
      <c r="AP399" s="106">
        <f t="shared" si="808"/>
        <v>0</v>
      </c>
      <c r="AQ399" s="106">
        <f t="shared" si="808"/>
        <v>0</v>
      </c>
      <c r="AR399" s="107">
        <f t="shared" si="808"/>
        <v>0</v>
      </c>
      <c r="AS399" s="105">
        <f>IF(AND($B397=" ",$K399=AS$3),$O399,0)</f>
        <v>0</v>
      </c>
      <c r="AT399" s="106">
        <f>IF(AND($B397=" ",K399=AT$3),$O399,0)</f>
        <v>0</v>
      </c>
      <c r="AU399" s="106">
        <f t="shared" ref="AU399:BE399" si="817">IF(AND($B397=" ",$K399=AU$3),$O399,0)</f>
        <v>0</v>
      </c>
      <c r="AV399" s="106">
        <f t="shared" si="817"/>
        <v>0</v>
      </c>
      <c r="AW399" s="106">
        <f t="shared" si="817"/>
        <v>0</v>
      </c>
      <c r="AX399" s="106">
        <f t="shared" si="817"/>
        <v>0</v>
      </c>
      <c r="AY399" s="108">
        <f t="shared" si="817"/>
        <v>0</v>
      </c>
      <c r="AZ399" s="109">
        <f t="shared" si="817"/>
        <v>0</v>
      </c>
      <c r="BA399" s="109">
        <f t="shared" si="817"/>
        <v>0</v>
      </c>
      <c r="BB399" s="109">
        <f t="shared" si="817"/>
        <v>0</v>
      </c>
      <c r="BC399" s="110">
        <f t="shared" si="817"/>
        <v>0</v>
      </c>
      <c r="BD399" s="106">
        <f t="shared" si="817"/>
        <v>0</v>
      </c>
      <c r="BE399" s="107">
        <f t="shared" si="817"/>
        <v>0</v>
      </c>
      <c r="BF399" s="105">
        <f t="shared" si="810"/>
        <v>0</v>
      </c>
      <c r="BG399" s="106">
        <f t="shared" si="810"/>
        <v>0</v>
      </c>
      <c r="BH399" s="106">
        <f t="shared" si="810"/>
        <v>0</v>
      </c>
      <c r="BI399" s="106">
        <f t="shared" si="810"/>
        <v>0</v>
      </c>
      <c r="BJ399" s="106">
        <f t="shared" si="810"/>
        <v>0</v>
      </c>
      <c r="BK399" s="106">
        <f t="shared" si="810"/>
        <v>0</v>
      </c>
      <c r="BL399" s="106">
        <f t="shared" si="810"/>
        <v>0</v>
      </c>
      <c r="BM399" s="108">
        <f t="shared" si="810"/>
        <v>0</v>
      </c>
      <c r="BN399" s="109">
        <f t="shared" si="810"/>
        <v>0</v>
      </c>
      <c r="BO399" s="109">
        <f t="shared" si="810"/>
        <v>0</v>
      </c>
      <c r="BP399" s="109">
        <f t="shared" si="810"/>
        <v>0</v>
      </c>
      <c r="BQ399" s="110">
        <f t="shared" si="810"/>
        <v>0</v>
      </c>
      <c r="BR399" s="107">
        <f t="shared" si="810"/>
        <v>0</v>
      </c>
      <c r="BS399" s="464"/>
      <c r="BT399" s="461"/>
      <c r="BU399" s="392"/>
      <c r="BV399" s="461"/>
      <c r="BW399" s="392"/>
      <c r="BX399" s="392"/>
      <c r="BY399" s="392"/>
      <c r="BZ399" s="461"/>
      <c r="CA399" s="392"/>
      <c r="CB399" s="392"/>
      <c r="CC399" s="392"/>
      <c r="CD399" s="401"/>
      <c r="CE399" s="409"/>
      <c r="CF399" s="133">
        <f t="shared" si="772"/>
        <v>0</v>
      </c>
      <c r="CG399" s="134">
        <f t="shared" si="773"/>
        <v>0</v>
      </c>
      <c r="CH399" s="134">
        <f t="shared" si="774"/>
        <v>0</v>
      </c>
      <c r="CI399" s="134">
        <f t="shared" si="775"/>
        <v>0</v>
      </c>
      <c r="CJ399" s="134">
        <f t="shared" si="776"/>
        <v>0</v>
      </c>
      <c r="CK399" s="134">
        <f t="shared" si="777"/>
        <v>0</v>
      </c>
      <c r="CL399" s="134">
        <f t="shared" si="778"/>
        <v>0</v>
      </c>
      <c r="CM399" s="134">
        <f t="shared" si="779"/>
        <v>0</v>
      </c>
      <c r="CN399" s="134">
        <f t="shared" si="780"/>
        <v>0</v>
      </c>
      <c r="CO399" s="134">
        <f t="shared" si="781"/>
        <v>0</v>
      </c>
      <c r="CP399" s="134">
        <f t="shared" si="782"/>
        <v>0</v>
      </c>
      <c r="CQ399" s="134">
        <f t="shared" si="783"/>
        <v>0</v>
      </c>
      <c r="CR399" s="134">
        <f t="shared" si="784"/>
        <v>0</v>
      </c>
      <c r="CS399" s="134">
        <f t="shared" si="785"/>
        <v>0</v>
      </c>
      <c r="CT399" s="115">
        <f t="shared" si="786"/>
        <v>0</v>
      </c>
      <c r="CU399" s="116">
        <f t="shared" si="787"/>
        <v>0</v>
      </c>
      <c r="CV399" s="116">
        <f t="shared" si="788"/>
        <v>0</v>
      </c>
      <c r="CW399" s="116">
        <f t="shared" si="789"/>
        <v>0</v>
      </c>
      <c r="CX399" s="116">
        <f t="shared" si="790"/>
        <v>0</v>
      </c>
      <c r="CY399" s="116">
        <f t="shared" si="791"/>
        <v>0</v>
      </c>
      <c r="CZ399" s="116">
        <f t="shared" si="792"/>
        <v>0</v>
      </c>
      <c r="DA399" s="116">
        <f t="shared" si="793"/>
        <v>0</v>
      </c>
      <c r="DB399" s="116">
        <f t="shared" si="794"/>
        <v>0</v>
      </c>
      <c r="DC399" s="116">
        <f t="shared" si="795"/>
        <v>0</v>
      </c>
      <c r="DD399" s="116">
        <f t="shared" si="796"/>
        <v>0</v>
      </c>
      <c r="DE399" s="117">
        <f t="shared" si="797"/>
        <v>0</v>
      </c>
      <c r="DF399" s="118">
        <f t="shared" si="799"/>
        <v>28</v>
      </c>
      <c r="DG399" s="106">
        <f t="shared" si="800"/>
        <v>36.409999999999997</v>
      </c>
      <c r="DH399" s="116">
        <f t="shared" si="801"/>
        <v>10</v>
      </c>
      <c r="DI399" s="106">
        <f t="shared" si="802"/>
        <v>41.599999999999994</v>
      </c>
      <c r="DJ399" s="201" t="str">
        <f>IF($D397="","",$D397)</f>
        <v>13</v>
      </c>
      <c r="DK399" s="466"/>
    </row>
    <row r="400" spans="1:115" ht="14.5" customHeight="1" x14ac:dyDescent="0.2">
      <c r="A400" s="487">
        <f>$A397+1</f>
        <v>133</v>
      </c>
      <c r="B400" s="506" t="str">
        <f>IF(OR(C400="W",C401="W",C402="W",C400="1/2W",C401="1/2W",C402="1/2W",C400="1/2L",C401="1/2L",C402="1/2L"),"OK",IF(OR(C400="L",C401="L",C402="L"),"LOSS",IF(OR(C400="X",C401="X",C402="X"),"Anulado"," ")))</f>
        <v>OK</v>
      </c>
      <c r="C400" s="147" t="s">
        <v>55</v>
      </c>
      <c r="D400" s="494" t="str">
        <f>IF(G400="","",$D397)</f>
        <v>13</v>
      </c>
      <c r="E400" s="511" t="str">
        <f>IF(G400=""," ","– "&amp;COUNTIF(D$4:D402,$D400))</f>
        <v>– 8</v>
      </c>
      <c r="F400" s="510" t="str">
        <f ca="1">IF(G400="","",IF(OR(AND($C400&lt;&gt;" ",$C401=" "),AND($C401&lt;&gt;" ",$C400=" "),AND(L402&gt;0,OR(AND($C402&lt;&gt;" ",OR($C400=" ",$C401=" ")),AND($C402=" ",OR($C400&lt;&gt;" ",$C401&lt;&gt;" "))))),IF(SUM(F$4:F399)=0,1,LARGE(F$4:F399,1)+1),IF(MONTH(G400)=MONTH(TODAY()),IF(AND(DAY(G400)&lt;DAY(TODAY()),$B400=" "),IF(SUM(F$4:F399)=0,1,LARGE(F$4:F399,1)+1),IF($B400=" ",IF(AND(DAY(G400)=DAY(TODAY()),HOUR(G400)&lt;=HOUR(NOW())+1),IF(AND(HOUR(G400)+2&lt;=HOUR(NOW()),DAY(G400)&lt;=DAY(TODAY()),MINUTE(G400)&lt;=MINUTE(NOW())),IF(SUM(F$4:F399)=0,1,LARGE(F$4:F399,1)+1),IF(OR(MINUTE(G400)&lt;=MINUTE(NOW()),HOUR(G400)&lt;=HOUR(NOW())),"!!!","")),""),"")),"")))</f>
        <v/>
      </c>
      <c r="G400" s="508">
        <v>44998.666666666664</v>
      </c>
      <c r="H400" s="502" t="s">
        <v>170</v>
      </c>
      <c r="I400" s="148">
        <v>1</v>
      </c>
      <c r="J400" s="149"/>
      <c r="K400" s="150" t="s">
        <v>40</v>
      </c>
      <c r="L400" s="151">
        <v>7</v>
      </c>
      <c r="M400" s="152">
        <v>7.5</v>
      </c>
      <c r="N400" s="503">
        <v>0</v>
      </c>
      <c r="O400" s="153">
        <f>IF(OR(AE400="",AE401=""),"",ROUND(IF(L402&gt;0,IF(M400&gt;0,M400,IF(M401&gt;0,ROUND((M401*AE400)/AE401,IF(N400=0,2,IF(N400=0.1,1,0))),ROUND((M402*AE400)/AE402,IF(N400=0,2,IF(N400=0.1,1,0))))),IF(M400&gt;0,M400,ROUND((M401*AE400)/AE401,IF(N400=0,2,IF(N400=0.1,1,0))))),2))</f>
        <v>7.5</v>
      </c>
      <c r="P400" s="154">
        <f>IF(OR(L400="",O400=""),"",IF($C400="1/2W",O400/2+O400/2*L400,IF($C400="1/2L",O400/2,IF(I400="Lay",(O400*(L400/(L400-1))-O400)*(1-_xlfn.XLOOKUP(K400,'Fevereiro 2023 - Valor Real'!A3:A15,'Fevereiro 2023 - Valor Real'!C3:C15,0))+O400,(O400*L400-O400)*(1-_xlfn.XLOOKUP(K400,'Fevereiro 2023 - Valor Real'!A3:A15,'Fevereiro 2023 - Valor Real'!C3:C15,0))+O400))))</f>
        <v>52.5</v>
      </c>
      <c r="Q400" s="155">
        <f>IF(K400="","",IF(_xlfn.XLOOKUP(K400,K$9:K392,$DJ$9:DJ392,0,,-1)=DJ400,_xlfn.XLOOKUP(K400,K$9:K392,Q$9:Q392,1,,-1)+1,1))</f>
        <v>3</v>
      </c>
      <c r="R400" s="156">
        <f>IF(K400="","",_xlfn.XLOOKUP(K400,K$9:K392,R$9:R392,0,,-1)+IF($C400=" ",1,0))</f>
        <v>0</v>
      </c>
      <c r="S400" s="501">
        <f>IF($B400="Anulado",0,ROUND(IF(OR($B400="LOSS",$B400="OK"),IF(OR($C400="W",$C400="1/2W",$C400="1/2L"),P400-O400,IF($C400="L",-O400,0))+IF(OR($C401="W",$C401="1/2W",$C401="1/2L"),P401-O401,IF($C401="L",-O401,0))+IF(OR($C402="W",$C402="1/2W",$C402="1/2L"),P402-O402,IF($C402="L",-O402,0)),IF(AND(OR($C400="W",$C400="1/2W",$C400="1/2L"),C401="W"),P400+P401-SUM(O400:O402)+_xlfn.XLOOKUP("X",C400:C402,O400:O402,0),IF(AND(C400=TRUE,C402="W"),P400+P402-SUM(O400:O402),IF(AND(C401="W",C402="W"),P401+P402-SUM(O400:O402)+_xlfn.XLOOKUP("X",C400:C402,O400:O402,0),IF(L402&gt;0,IF(OR($C400="W",$C400="1/2W",$C400="1/2L"),P400-SUM(O400:O402)+_xlfn.XLOOKUP("X",C400:C402,O400:O402,0),IF(OR($C400="W",$C400="1/2W",$C400="1/2L"),P401-SUM(O400:O402)+_xlfn.XLOOKUP("X",C400:C402,O400:O402,0),IF(OR($C400="W",$C400="1/2W",$C400="1/2L"),P402-SUM(O400:O402)+_xlfn.XLOOKUP("X",C400:C402,O400:O402,0),IF(SUM(P400:P402)/3-SUM(O400:O402)+_xlfn.XLOOKUP("X",C400:C402,O400:O402,0)&gt;0,SUM(P400:P402)/3-SUM(O400:O402)+_xlfn.XLOOKUP("X",C400:C402,O400:O402,0),LARGE(P400:P402,1)-SUM(O400:O402))))),IF(OR($C400="W",$C400="1/2W",$C400="1/2L"),P400-SUM(O400:O401)+_xlfn.XLOOKUP("X",C400:C402,O400:O402,0),IF(OR($C400="W",$C400="1/2W",$C400="1/2L"),P401-SUM(O400:O401)+_xlfn.XLOOKUP("X",C400:C402,O400:O402,0),SUM(P400:P401)/2-SUM(O400:O401)+_xlfn.XLOOKUP("X",C400:C402,O400:O402,0)))))))),2))</f>
        <v>2.1800000000000002</v>
      </c>
      <c r="T400" s="486">
        <f>IF(S400=0,0,S400/SUM(O400:O402))</f>
        <v>4.2330097087378643E-2</v>
      </c>
      <c r="U400" s="496">
        <f>IF($D400=$D397,IF(OR($B400="LOSS",$B400="OK",$B400="Anulada"),S400,0)+U397,IF(OR($B400="LOSS",$B400="OK",$B400="Anulada"),S400,0))</f>
        <v>28.97</v>
      </c>
      <c r="V400" s="496">
        <f>IF($D400="",0,IF($D400=$D397,IF($B400=" ",IF(I402="",IF(OR(AND(I400="DNB1",I401="DNB2"),AND(OR(I400="DNB1",I400="DNB2"),J401=0),AND(OR(I401="DNB1",I401="DNB2"),J400=0),AND(I400="DNB2",I401="DNB1"),AND(IF(J400=0,(J400+1)/ROUND(J400+1,0),J400/ROUND(J400,0))=1,IF(J401=0,(J401+1)/ROUND(IF(J401="",0,J401)+1,0),IF(J401="",0,J401)/ROUND(IF(J401="",1,J401),0))=1,OR(J400&lt;&gt;""),J401&lt;&gt;"")),0,IF(S400&lt;0,IF(I402="",SMALL(P400:P401,1)-SUM(O400:O401),0),SMALL(P400:P401,1)-SUM(O400:O401))),IF(S400&lt;0,IF(I402="",SMALL(P400:P402,1)-SUM(O400:O402),0),LARGE(P400:P402,1)-SUM(O400:O402))),S400)+V397,IF(I402="",IF(OR(AND(I400="DNB1",I401="DNB2"),AND(OR(I400="DNB1",I400="DNB2"),J401=0),AND(OR(I401="DNB1",I401="DNB2"),J400=0),AND(I400="DNB2",I401="DNB1"),AND(IF(J400=0,(J400+1)/ROUND(J400+1,0),J400/ROUND(J400,0))=1,IF(J401=0,(IF(J401="",0,J401)+1)/ROUND(IF(J401="",0,J401)+1,0),IF(J401="",0,J401)/ROUND(IF(J401="",0,J401)+1,0))=1,OR(J400&lt;&gt;""),J401&lt;&gt;"")),0,IF(S400&lt;0,IF(I402="",SMALL(P400:P401,1)-SUM(O400:O401),0),SMALL(P400:P402,1)-SUM(O400:O402))),IF(S400&lt;0,IF(I402="",SMALL(P400:P402,1)-SUM(O400:O402),0),LARGE(P400:P402,1)-SUM(O400:O402)))))</f>
        <v>28.587000000000003</v>
      </c>
      <c r="W400" s="496">
        <f>IF($D400=$D397,IF(S400&lt;0,IF(I402="",S400,0),S400)+W397,S400)</f>
        <v>28.97</v>
      </c>
      <c r="X400" s="505" t="str">
        <f>IF(OR(SUM(R400:R402)=0,V400=W400),ROUND(IF(W400=0,0,W400/Y400)*100,2)&amp;"%",ROUND(IF(V400=0,0,V400/Y400)*100,2)&amp;"% a "&amp;ROUND(IF(W400=0,0,W400/Y400)*100,2)&amp;"%")</f>
        <v>5,11%</v>
      </c>
      <c r="Y400" s="497">
        <f>IF($D400=$D397,Y397+SUM(O400:O402),SUM(O400:O402))</f>
        <v>566.58000000000004</v>
      </c>
      <c r="Z400" s="496">
        <f>IF($B400=" ",SUM(O400:O402),0)+Z397</f>
        <v>0</v>
      </c>
      <c r="AA400" s="496">
        <f>IF(G400="","",IF($B400="Anulado",LARGE(P400:P402,1)-SUM(O400:O402)+AA397,AA397))</f>
        <v>10.700299999999997</v>
      </c>
      <c r="AB400" s="496">
        <f>IF($D400="","",AB397+S400)</f>
        <v>487.32000000000011</v>
      </c>
      <c r="AC400" s="499">
        <f ca="1">IF($D400="","",IF($B400=" ",IF(DAY(G400)=DAY(TODAY()),1+AC397,0+AC397),0+AC397))</f>
        <v>0</v>
      </c>
      <c r="AD400" s="157">
        <f>(1-_xlfn.XLOOKUP(K398,'Fevereiro 2023 - Valor Real'!A3:A15,'Fevereiro 2023 - Valor Real'!C3:C15,0))+1</f>
        <v>2</v>
      </c>
      <c r="AE400" s="158">
        <f>IF(L400="","",IF(L402&gt;0,(SUM(((L400-1)*(1-_xlfn.XLOOKUP(K400,'Fevereiro 2023 - Valor Real'!A3:A15,'Fevereiro 2023 - Valor Real'!C3:C15,0))+1),((L401-1)*(1-_xlfn.XLOOKUP(K401,'Fevereiro 2023 - Valor Real'!A3:A15,'Fevereiro 2023 - Valor Real'!C3:C15,0))+1),((L402-1)*(1-_xlfn.XLOOKUP(K402,'Fevereiro 2023 - Valor Real'!A3:A15,'Fevereiro 2023 - Valor Real'!C3:C15,0))+1))/((L400-1)*(1-_xlfn.XLOOKUP(K400,'Fevereiro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Real'!C3:C15,0))+1))/((L400-1)*(1-_xlfn.XLOOKUP(K400,'Fevereiro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Real'!C3:C15,0))+1))/((L401-1)*(1-_xlfn.XLOOKUP(K401,'Fevereiro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Real'!C3:C15,0))+1))/((L402-1)*(1-_xlfn.XLOOKUP(K402,'Fevereiro 2023 - Valor Real'!A3:A15,'Fevereiro 2023 - Valor Real'!C3:C15,0))+1)),IF(I400="Lay",IF(I401="Lay",((L401/(L401-1)-1)*(1-_xlfn.XLOOKUP(K401,'Fevereiro 2023 - Valor Real'!A3:A15,'Fevereiro 2023 - Valor Real'!C3:C15,0))+1)/(((L401/(L401-1)-1)*(1-_xlfn.XLOOKUP(K401,'Fevereiro 2023 - Valor Real'!A3:A15,'Fevereiro 2023 - Valor Real'!C3:C15,0))+1)+((L400/(L400-1)-1)*(1-_xlfn.XLOOKUP(K400,'Fevereiro 2023 - Valor Real'!A3:A15,'Fevereiro 2023 - Valor Real'!C3:C15,0))+1)),((L401-1)*(1-_xlfn.XLOOKUP(K401,'Fevereiro 2023 - Valor Real'!A3:A15,'Fevereiro 2023 - Valor Real'!C3:C15,0))+1)/(((L401-1)*(1-_xlfn.XLOOKUP(K401,'Fevereiro 2023 - Valor Real'!A3:A15,'Fevereiro 2023 - Valor Real'!C3:C15,0))+1)+((L400/(L400-1)-1)*(1-_xlfn.XLOOKUP(K400,'Fevereiro 2023 - Valor Real'!A3:A15,'Fevereiro 2023 - Valor Real'!C3:C15,0))+1))),IF(I401="Lay",(((L401/(L401-1)-1)*(1-_xlfn.XLOOKUP(K401,'Fevereiro 2023 - Valor Real'!A3:A15,'Fevereiro 2023 - Valor Real'!C3:C15,0))+1))/(((L400-1)*(1-_xlfn.XLOOKUP(K400,'Fevereiro 2023 - Valor Real'!A3:A15,'Fevereiro 2023 - Valor Real'!C3:C15,0))+1)+((L401/(L401-1)-1)*(1-_xlfn.XLOOKUP(K401,'Fevereiro 2023 - Valor Real'!A3:A15,'Fevereiro 2023 - Valor Real'!C3:C15,0))+1)),((L401-1)*(1-_xlfn.XLOOKUP(K401,'Fevereiro 2023 - Valor Real'!A3:A15,'Fevereiro 2023 - Valor Real'!C3:C15,0))+1)/(((L401-1)*(1-_xlfn.XLOOKUP(K401,'Fevereiro 2023 - Valor Real'!A3:A15,'Fevereiro 2023 - Valor Real'!C3:C15,0))+1)+((L400-1)*(1-_xlfn.XLOOKUP(K400,'Fevereiro 2023 - Valor Real'!A3:A15,'Fevereiro 2023 - Valor Real'!C3:C15,0))+1))))))</f>
        <v>0.1484184914841849</v>
      </c>
      <c r="AF400" s="66">
        <f t="shared" si="808"/>
        <v>0</v>
      </c>
      <c r="AG400" s="67">
        <f t="shared" si="808"/>
        <v>0</v>
      </c>
      <c r="AH400" s="67">
        <f t="shared" si="808"/>
        <v>0</v>
      </c>
      <c r="AI400" s="67">
        <f t="shared" si="808"/>
        <v>0</v>
      </c>
      <c r="AJ400" s="67">
        <f t="shared" si="808"/>
        <v>-7.5</v>
      </c>
      <c r="AK400" s="67">
        <f t="shared" si="808"/>
        <v>0</v>
      </c>
      <c r="AL400" s="67">
        <f t="shared" si="808"/>
        <v>0</v>
      </c>
      <c r="AM400" s="67">
        <f t="shared" si="808"/>
        <v>0</v>
      </c>
      <c r="AN400" s="67">
        <f t="shared" si="808"/>
        <v>0</v>
      </c>
      <c r="AO400" s="67">
        <f t="shared" si="808"/>
        <v>0</v>
      </c>
      <c r="AP400" s="67">
        <f t="shared" si="808"/>
        <v>0</v>
      </c>
      <c r="AQ400" s="67">
        <f t="shared" si="808"/>
        <v>0</v>
      </c>
      <c r="AR400" s="68">
        <f t="shared" si="808"/>
        <v>0</v>
      </c>
      <c r="AS400" s="66">
        <f t="shared" ref="AS400:BE400" si="818">IF(AND($B400=" ",$K400=AS$3),$O400,0)</f>
        <v>0</v>
      </c>
      <c r="AT400" s="67">
        <f t="shared" si="818"/>
        <v>0</v>
      </c>
      <c r="AU400" s="67">
        <f t="shared" si="818"/>
        <v>0</v>
      </c>
      <c r="AV400" s="67">
        <f t="shared" si="818"/>
        <v>0</v>
      </c>
      <c r="AW400" s="67">
        <f t="shared" si="818"/>
        <v>0</v>
      </c>
      <c r="AX400" s="67">
        <f t="shared" si="818"/>
        <v>0</v>
      </c>
      <c r="AY400" s="69">
        <f t="shared" si="818"/>
        <v>0</v>
      </c>
      <c r="AZ400" s="70">
        <f t="shared" si="818"/>
        <v>0</v>
      </c>
      <c r="BA400" s="70">
        <f t="shared" si="818"/>
        <v>0</v>
      </c>
      <c r="BB400" s="70">
        <f t="shared" si="818"/>
        <v>0</v>
      </c>
      <c r="BC400" s="71">
        <f t="shared" si="818"/>
        <v>0</v>
      </c>
      <c r="BD400" s="67">
        <f t="shared" si="818"/>
        <v>0</v>
      </c>
      <c r="BE400" s="68">
        <f t="shared" si="818"/>
        <v>0</v>
      </c>
      <c r="BF400" s="66">
        <f t="shared" si="810"/>
        <v>0</v>
      </c>
      <c r="BG400" s="67">
        <f t="shared" si="810"/>
        <v>0</v>
      </c>
      <c r="BH400" s="67">
        <f t="shared" si="810"/>
        <v>0</v>
      </c>
      <c r="BI400" s="67">
        <f t="shared" si="810"/>
        <v>0</v>
      </c>
      <c r="BJ400" s="67">
        <f t="shared" si="810"/>
        <v>7.5</v>
      </c>
      <c r="BK400" s="67">
        <f t="shared" si="810"/>
        <v>0</v>
      </c>
      <c r="BL400" s="67">
        <f t="shared" si="810"/>
        <v>0</v>
      </c>
      <c r="BM400" s="69">
        <f t="shared" si="810"/>
        <v>0</v>
      </c>
      <c r="BN400" s="70">
        <f t="shared" si="810"/>
        <v>0</v>
      </c>
      <c r="BO400" s="70">
        <f t="shared" si="810"/>
        <v>0</v>
      </c>
      <c r="BP400" s="70">
        <f t="shared" si="810"/>
        <v>0</v>
      </c>
      <c r="BQ400" s="71">
        <f t="shared" si="810"/>
        <v>0</v>
      </c>
      <c r="BR400" s="68">
        <f t="shared" si="810"/>
        <v>0</v>
      </c>
      <c r="BS400" s="490">
        <f>IF($B400="LOSS",IF(AND($K400=BS$3,$C400="L"),-$O400,0)+IF(AND($K401=BS$3,$C401="L"),-$O401,0)+IF(AND($K402=BS$3,$C402="L"),-$O402,0),IF(OR(AND($K400=BS$3,OR($C400="W",$C400="1/2W")),AND($K401=BS$3,OR($C401="W",$C401="1/2W")),AND($K402=BS$3,OR($C402="W",$C402="1/2W"))),$S400,0))</f>
        <v>2.1800000000000002</v>
      </c>
      <c r="BT400" s="498">
        <f>IF($B400="LOSS",IF(AND($K400=BT$3,$C400="L"),-$O400,0)+IF(AND($K401=BT$3,$C401="L"),-$O401,0)+IF(AND($K401=BT$3,$C402="L"),-$O402,0),IF(OR(AND($K401=BT$3,OR($C400="W",$C400="1/2W")),AND($K401=BT$3,OR($C401="W",$C401="1/2W")),AND($K401=BT$3,OR($C402="W",$C402="1/2W"))),$S400,0))</f>
        <v>0</v>
      </c>
      <c r="BU400" s="488">
        <f>IF($B400="LOSS",IF(AND($K400=BU$3,$C400="L"),-$O400,0)+IF(AND($K401=BU$3,$C401="L"),-$O401,0)+IF(AND($K401=BU$3,$C402="L"),-$O402,0),IF(OR(AND($K401=BU$3,OR($C400="W",$C400="1/2W")),AND($K401=BU$3,OR($C401="W",$C401="1/2W")),AND($K401=BU$3,OR($C402="W",$C402="1/2W"))),$S400,0))</f>
        <v>0</v>
      </c>
      <c r="BV400" s="488">
        <f t="shared" ref="BV400:CE400" si="819">IF($B400="LOSS",IF(AND($K400=BV$3,$C400="L"),-$O400,0)+IF(AND($K401=BV$3,$C401="L"),-$O401,0)+IF(AND($K402=BV$3,$C402="L"),-$O402,0),IF(OR(AND($K400=BV$3,OR($C400="W",$C400="1/2W")),AND($K401=BV$3,OR($C401="W",$C401="1/2W")),AND($K402=BV$3,OR($C402="W",$C402="1/2W"))),$S400,0))</f>
        <v>0</v>
      </c>
      <c r="BW400" s="488">
        <f t="shared" si="819"/>
        <v>0</v>
      </c>
      <c r="BX400" s="488">
        <f t="shared" si="819"/>
        <v>0</v>
      </c>
      <c r="BY400" s="488">
        <f t="shared" si="819"/>
        <v>0</v>
      </c>
      <c r="BZ400" s="488">
        <f t="shared" si="819"/>
        <v>0</v>
      </c>
      <c r="CA400" s="488">
        <f t="shared" si="819"/>
        <v>0</v>
      </c>
      <c r="CB400" s="488">
        <f t="shared" si="819"/>
        <v>0</v>
      </c>
      <c r="CC400" s="488">
        <f t="shared" si="819"/>
        <v>0</v>
      </c>
      <c r="CD400" s="500">
        <f t="shared" si="819"/>
        <v>0</v>
      </c>
      <c r="CE400" s="504">
        <f t="shared" si="819"/>
        <v>0</v>
      </c>
      <c r="CF400" s="160">
        <f t="shared" si="772"/>
        <v>0</v>
      </c>
      <c r="CG400" s="161">
        <f t="shared" si="773"/>
        <v>0</v>
      </c>
      <c r="CH400" s="161">
        <f t="shared" si="774"/>
        <v>0</v>
      </c>
      <c r="CI400" s="161">
        <f t="shared" si="775"/>
        <v>0</v>
      </c>
      <c r="CJ400" s="161">
        <f t="shared" si="776"/>
        <v>0</v>
      </c>
      <c r="CK400" s="161">
        <f t="shared" si="777"/>
        <v>0</v>
      </c>
      <c r="CL400" s="161">
        <f t="shared" si="778"/>
        <v>0</v>
      </c>
      <c r="CM400" s="161">
        <f t="shared" si="779"/>
        <v>0</v>
      </c>
      <c r="CN400" s="161">
        <f t="shared" si="780"/>
        <v>0</v>
      </c>
      <c r="CO400" s="161">
        <f t="shared" si="781"/>
        <v>1</v>
      </c>
      <c r="CP400" s="161">
        <f t="shared" si="782"/>
        <v>0</v>
      </c>
      <c r="CQ400" s="161">
        <f t="shared" si="783"/>
        <v>0</v>
      </c>
      <c r="CR400" s="161">
        <f t="shared" si="784"/>
        <v>0</v>
      </c>
      <c r="CS400" s="161">
        <f t="shared" si="785"/>
        <v>0</v>
      </c>
      <c r="CT400" s="75">
        <f t="shared" si="786"/>
        <v>0</v>
      </c>
      <c r="CU400" s="76">
        <f t="shared" si="787"/>
        <v>0</v>
      </c>
      <c r="CV400" s="76">
        <f t="shared" si="788"/>
        <v>0</v>
      </c>
      <c r="CW400" s="76">
        <f t="shared" si="789"/>
        <v>0</v>
      </c>
      <c r="CX400" s="76">
        <f t="shared" si="790"/>
        <v>0</v>
      </c>
      <c r="CY400" s="76">
        <f t="shared" si="791"/>
        <v>0</v>
      </c>
      <c r="CZ400" s="76">
        <f t="shared" si="792"/>
        <v>0</v>
      </c>
      <c r="DA400" s="76">
        <f t="shared" si="793"/>
        <v>0</v>
      </c>
      <c r="DB400" s="76">
        <f t="shared" si="794"/>
        <v>0</v>
      </c>
      <c r="DC400" s="76">
        <f t="shared" si="795"/>
        <v>0</v>
      </c>
      <c r="DD400" s="76">
        <f t="shared" si="796"/>
        <v>0</v>
      </c>
      <c r="DE400" s="77">
        <f t="shared" si="797"/>
        <v>0</v>
      </c>
      <c r="DF400" s="73">
        <f t="shared" si="799"/>
        <v>28</v>
      </c>
      <c r="DG400" s="67">
        <f t="shared" si="800"/>
        <v>36.409999999999997</v>
      </c>
      <c r="DH400" s="76">
        <f t="shared" si="801"/>
        <v>10</v>
      </c>
      <c r="DI400" s="67">
        <f t="shared" si="802"/>
        <v>41.599999999999994</v>
      </c>
      <c r="DJ400" s="202" t="str">
        <f>IF($D400="","",$D400)</f>
        <v>13</v>
      </c>
      <c r="DK400" s="492">
        <f>IF(AND($B400=" ",$D400&lt;&gt;""),1,0)</f>
        <v>0</v>
      </c>
    </row>
    <row r="401" spans="1:115" ht="14.5" customHeight="1" x14ac:dyDescent="0.2">
      <c r="A401" s="389"/>
      <c r="B401" s="456"/>
      <c r="C401" s="53" t="s">
        <v>54</v>
      </c>
      <c r="D401" s="374"/>
      <c r="E401" s="386"/>
      <c r="F401" s="377"/>
      <c r="G401" s="508"/>
      <c r="H401" s="476"/>
      <c r="I401" s="162">
        <v>2</v>
      </c>
      <c r="J401" s="163" t="str">
        <f>IF(OR(I400="TO",I400="TU",I400="TO1",I400="TU1",I400="TO2",I400="TU2"),J400,IF(OR(I400="AH1",I400="AH2"),IF(OR(I401="AH1",I401="AH2"),-J400,IF(OR(I401="EH1",I401="EH2"),-J400+0.5,"")),IF(OR(I400="EH1",I400="EH2"),IF(OR(I401="AH1",I401="AH2"),-J400+0.5,IF(OR(I401="EH1",I401="EH2"),-J400+1,"")),IF(AND(OR(I400="DNB1",I400="DNB2"),OR(I401="AH1",I401="AH2")),0,IF(AND(I400="Not ScoreBoth",OR(I401="TO1",I401="TO2")),0.5,"")))))</f>
        <v/>
      </c>
      <c r="K401" s="57" t="s">
        <v>36</v>
      </c>
      <c r="L401" s="164">
        <v>1.22</v>
      </c>
      <c r="M401" s="165">
        <v>44</v>
      </c>
      <c r="N401" s="406"/>
      <c r="O401" s="60">
        <f>IF(OR(AE400="",AE401=""),"",ROUND(IF(L402&gt;0,IF(M401&gt;0,M401,IF(M400&gt;0,IF(N400=TRUE,ROUND((M400*AE401)/AE400,0),(M400*AE401)/AE400),IF(M401&gt;0,ROUND(M401,IF(N400=0,2,IF(N400=0.1,1,0))),IF(M402&gt;0,ROUND(O402*AE401/AE402,IF(N400=0,2,IF(N400=0.1,1,0))),0)))),IF(M401&gt;0,M401,ROUND((M400*AE401)/AE400,IF(N400=0,2,IF(N400=0.1,1,0))))),2))</f>
        <v>44</v>
      </c>
      <c r="P401" s="61">
        <f>IF(OR(L401="",O401=""),"",IF($C401="1/2W",O401/2+O401/2*L401,IF($C401="1/2L",O401/2,IF(I401="Lay",((O401*(L401/(L401-1)))-O401)*(1-_xlfn.XLOOKUP(K401,'Fevereiro 2023 - Valor Real'!A3:A15,'Fevereiro 2023 - Valor Real'!C3:C15,0))+O401,(O401*L401-O401)*(1-_xlfn.XLOOKUP(K401,'Fevereiro 2023 - Valor Real'!A3:A15,'Fevereiro 2023 - Valor Real'!C3:C15,0))+O401))))</f>
        <v>53.68</v>
      </c>
      <c r="Q401" s="166">
        <f>IF(K401="","",IF(_xlfn.XLOOKUP(K401,K$10:K392,$DJ$10:DJ392,0,,-1)=DJ401,_xlfn.XLOOKUP(K401,K$10:K392,Q$10:Q392,1,,-1)+1,1))</f>
        <v>3</v>
      </c>
      <c r="R401" s="167">
        <f>IF(K401="","",_xlfn.XLOOKUP(K401,K$10:K392,R$10:R392,0,,-1)+IF($C401=" ",1,0))</f>
        <v>0</v>
      </c>
      <c r="S401" s="403"/>
      <c r="T401" s="380"/>
      <c r="U401" s="380"/>
      <c r="V401" s="481"/>
      <c r="W401" s="380"/>
      <c r="X401" s="452"/>
      <c r="Y401" s="383"/>
      <c r="Z401" s="384"/>
      <c r="AA401" s="384"/>
      <c r="AB401" s="384"/>
      <c r="AC401" s="384"/>
      <c r="AD401" s="64"/>
      <c r="AE401" s="65">
        <f>IF(L401="","",IF(L402&gt;0,(SUM(((L400-1)*(1-_xlfn.XLOOKUP(K400,'Fevereiro 2023 - Valor Real'!A3:A15,'Fevereiro 2023 - Valor Real'!C3:C15,0))+1),((L401-1)*(1-_xlfn.XLOOKUP(K401,'Fevereiro 2023 - Valor Real'!A3:A15,'Fevereiro 2023 - Valor Real'!C3:C15,0))+1),((L402-1)*(1-_xlfn.XLOOKUP(K402,'Fevereiro 2023 - Valor Real'!A3:A15,'Fevereiro 2023 - Valor Real'!C3:C15,0))+1))/((L401-1)*(1-_xlfn.XLOOKUP(K401,'Fevereiro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Real'!C3:C15,0))+1))/((L400-1)*(1-_xlfn.XLOOKUP(K400,'Fevereiro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Real'!C3:C15,0))+1))/((L401-1)*(1-_xlfn.XLOOKUP(K401,'Fevereiro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Real'!C3:C15,0))+1))/((L402-1)*(1-_xlfn.XLOOKUP(K402,'Fevereiro 2023 - Valor Real'!A3:A15,'Fevereiro 2023 - Valor Real'!C3:C15,0))+1)),IF(I401="Lay",IF(I400="Lay",((L400/(L400-1)-1)*(1-_xlfn.XLOOKUP(K400,'Fevereiro 2023 - Valor Real'!A3:A15,'Fevereiro 2023 - Valor Real'!C3:C15,0))+1)/(((L400/(L400-1)-1)*(1-_xlfn.XLOOKUP(K400,'Fevereiro 2023 - Valor Real'!A3:A15,'Fevereiro 2023 - Valor Real'!C3:C15,0))+1)+((L401/(L401-1)-1)*(1-_xlfn.XLOOKUP(K401,'Fevereiro 2023 - Valor Real'!A3:A15,'Fevereiro 2023 - Valor Real'!C3:C15,0))+1)),((L400-1)*(1-_xlfn.XLOOKUP(K400,'Fevereiro 2023 - Valor Real'!A3:A15,'Fevereiro 2023 - Valor Real'!C3:C15,0))+1)/(((L400-1)*(1-_xlfn.XLOOKUP(K400,'Fevereiro 2023 - Valor Real'!A3:A15,'Fevereiro 2023 - Valor Real'!C3:C15,0))+1)+((L401/(L401-1)-1)*(1-_xlfn.XLOOKUP(K401,'Fevereiro 2023 - Valor Real'!A3:A15,'Fevereiro 2023 - Valor Real'!C3:C15,0))+1))),IF(I400="Lay",((L400/(L400-1)-1)*(1-_xlfn.XLOOKUP(K400,'Fevereiro 2023 - Valor Real'!A3:A15,'Fevereiro 2023 - Valor Real'!C3:C15,0))+1)/((((L400/(L400-1)-1)*(1-_xlfn.XLOOKUP(K400,'Fevereiro 2023 - Valor Real'!A3:A15,'Fevereiro 2023 - Valor Real'!C3:C15,0))+1))+((L401-1)*(1-_xlfn.XLOOKUP(K401,'Fevereiro 2023 - Valor Real'!A3:A15,'Fevereiro 2023 - Valor Real'!C3:C15,0))+1)),((L400-1)*(1-_xlfn.XLOOKUP(K400,'Fevereiro 2023 - Valor Real'!A3:A15,'Fevereiro 2023 - Valor Real'!C3:C15,0))+1)/(((L400-1)*(1-_xlfn.XLOOKUP(K400,'Fevereiro 2023 - Valor Real'!A3:A15,'Fevereiro 2023 - Valor Real'!C3:C15,0))+1)+((L401-1)*(1-_xlfn.XLOOKUP(K401,'Fevereiro 2023 - Valor Real'!A3:A15,'Fevereiro 2023 - Valor Real'!C3:C15,0))+1))))))</f>
        <v>0.85158150851581504</v>
      </c>
      <c r="AF401" s="66">
        <f t="shared" si="808"/>
        <v>9.68</v>
      </c>
      <c r="AG401" s="67">
        <f t="shared" si="808"/>
        <v>0</v>
      </c>
      <c r="AH401" s="67">
        <f t="shared" si="808"/>
        <v>0</v>
      </c>
      <c r="AI401" s="67">
        <f t="shared" si="808"/>
        <v>0</v>
      </c>
      <c r="AJ401" s="67">
        <f t="shared" si="808"/>
        <v>0</v>
      </c>
      <c r="AK401" s="67">
        <f t="shared" si="808"/>
        <v>0</v>
      </c>
      <c r="AL401" s="67">
        <f t="shared" si="808"/>
        <v>0</v>
      </c>
      <c r="AM401" s="67">
        <f t="shared" si="808"/>
        <v>0</v>
      </c>
      <c r="AN401" s="67">
        <f t="shared" si="808"/>
        <v>0</v>
      </c>
      <c r="AO401" s="67">
        <f t="shared" si="808"/>
        <v>0</v>
      </c>
      <c r="AP401" s="67">
        <f t="shared" si="808"/>
        <v>0</v>
      </c>
      <c r="AQ401" s="67">
        <f t="shared" si="808"/>
        <v>0</v>
      </c>
      <c r="AR401" s="68">
        <f t="shared" si="808"/>
        <v>0</v>
      </c>
      <c r="AS401" s="66">
        <f>IF(AND($B400=" ",$K401=AS$3),$O401,0)</f>
        <v>0</v>
      </c>
      <c r="AT401" s="67">
        <f>IF(AND($B400=" ",K401=AT$3),$O401,0)</f>
        <v>0</v>
      </c>
      <c r="AU401" s="67">
        <f t="shared" ref="AU401:BE401" si="820">IF(AND($B400=" ",$K401=AU$3),$O401,0)</f>
        <v>0</v>
      </c>
      <c r="AV401" s="67">
        <f t="shared" si="820"/>
        <v>0</v>
      </c>
      <c r="AW401" s="67">
        <f t="shared" si="820"/>
        <v>0</v>
      </c>
      <c r="AX401" s="67">
        <f t="shared" si="820"/>
        <v>0</v>
      </c>
      <c r="AY401" s="69">
        <f t="shared" si="820"/>
        <v>0</v>
      </c>
      <c r="AZ401" s="70">
        <f t="shared" si="820"/>
        <v>0</v>
      </c>
      <c r="BA401" s="70">
        <f t="shared" si="820"/>
        <v>0</v>
      </c>
      <c r="BB401" s="70">
        <f t="shared" si="820"/>
        <v>0</v>
      </c>
      <c r="BC401" s="71">
        <f t="shared" si="820"/>
        <v>0</v>
      </c>
      <c r="BD401" s="67">
        <f t="shared" si="820"/>
        <v>0</v>
      </c>
      <c r="BE401" s="68">
        <f t="shared" si="820"/>
        <v>0</v>
      </c>
      <c r="BF401" s="66">
        <f t="shared" si="810"/>
        <v>44</v>
      </c>
      <c r="BG401" s="168">
        <f t="shared" si="810"/>
        <v>0</v>
      </c>
      <c r="BH401" s="67">
        <f t="shared" si="810"/>
        <v>0</v>
      </c>
      <c r="BI401" s="67">
        <f t="shared" si="810"/>
        <v>0</v>
      </c>
      <c r="BJ401" s="67">
        <f t="shared" si="810"/>
        <v>0</v>
      </c>
      <c r="BK401" s="67">
        <f t="shared" si="810"/>
        <v>0</v>
      </c>
      <c r="BL401" s="67">
        <f t="shared" si="810"/>
        <v>0</v>
      </c>
      <c r="BM401" s="69">
        <f t="shared" si="810"/>
        <v>0</v>
      </c>
      <c r="BN401" s="70">
        <f t="shared" si="810"/>
        <v>0</v>
      </c>
      <c r="BO401" s="70">
        <f t="shared" si="810"/>
        <v>0</v>
      </c>
      <c r="BP401" s="70">
        <f t="shared" si="810"/>
        <v>0</v>
      </c>
      <c r="BQ401" s="71">
        <f t="shared" si="810"/>
        <v>0</v>
      </c>
      <c r="BR401" s="68">
        <f t="shared" si="810"/>
        <v>0</v>
      </c>
      <c r="BS401" s="491"/>
      <c r="BT401" s="489"/>
      <c r="BU401" s="392"/>
      <c r="BV401" s="489"/>
      <c r="BW401" s="392"/>
      <c r="BX401" s="392"/>
      <c r="BY401" s="392"/>
      <c r="BZ401" s="489"/>
      <c r="CA401" s="392"/>
      <c r="CB401" s="392"/>
      <c r="CC401" s="392"/>
      <c r="CD401" s="401"/>
      <c r="CE401" s="409"/>
      <c r="CF401" s="169">
        <f t="shared" si="772"/>
        <v>1</v>
      </c>
      <c r="CG401" s="170">
        <f t="shared" si="773"/>
        <v>0</v>
      </c>
      <c r="CH401" s="170">
        <f t="shared" si="774"/>
        <v>0</v>
      </c>
      <c r="CI401" s="170">
        <f t="shared" si="775"/>
        <v>0</v>
      </c>
      <c r="CJ401" s="170">
        <f t="shared" si="776"/>
        <v>0</v>
      </c>
      <c r="CK401" s="170">
        <f t="shared" si="777"/>
        <v>0</v>
      </c>
      <c r="CL401" s="170">
        <f t="shared" si="778"/>
        <v>0</v>
      </c>
      <c r="CM401" s="170">
        <f t="shared" si="779"/>
        <v>0</v>
      </c>
      <c r="CN401" s="170">
        <f t="shared" si="780"/>
        <v>0</v>
      </c>
      <c r="CO401" s="170">
        <f t="shared" si="781"/>
        <v>0</v>
      </c>
      <c r="CP401" s="170">
        <f t="shared" si="782"/>
        <v>0</v>
      </c>
      <c r="CQ401" s="170">
        <f t="shared" si="783"/>
        <v>0</v>
      </c>
      <c r="CR401" s="170">
        <f t="shared" si="784"/>
        <v>0</v>
      </c>
      <c r="CS401" s="170">
        <f t="shared" si="785"/>
        <v>0</v>
      </c>
      <c r="CT401" s="75">
        <f t="shared" si="786"/>
        <v>0</v>
      </c>
      <c r="CU401" s="76">
        <f t="shared" si="787"/>
        <v>0</v>
      </c>
      <c r="CV401" s="76">
        <f t="shared" si="788"/>
        <v>0</v>
      </c>
      <c r="CW401" s="76">
        <f t="shared" si="789"/>
        <v>0</v>
      </c>
      <c r="CX401" s="76">
        <f t="shared" si="790"/>
        <v>0</v>
      </c>
      <c r="CY401" s="76">
        <f t="shared" si="791"/>
        <v>0</v>
      </c>
      <c r="CZ401" s="76">
        <f t="shared" si="792"/>
        <v>0</v>
      </c>
      <c r="DA401" s="76">
        <f t="shared" si="793"/>
        <v>0</v>
      </c>
      <c r="DB401" s="76">
        <f t="shared" si="794"/>
        <v>0</v>
      </c>
      <c r="DC401" s="76">
        <f t="shared" si="795"/>
        <v>0</v>
      </c>
      <c r="DD401" s="76">
        <f t="shared" si="796"/>
        <v>0</v>
      </c>
      <c r="DE401" s="77">
        <f t="shared" si="797"/>
        <v>0</v>
      </c>
      <c r="DF401" s="73">
        <f t="shared" si="799"/>
        <v>29</v>
      </c>
      <c r="DG401" s="67">
        <f t="shared" si="800"/>
        <v>37.629999999999995</v>
      </c>
      <c r="DH401" s="76">
        <f t="shared" si="801"/>
        <v>10</v>
      </c>
      <c r="DI401" s="67">
        <f t="shared" si="802"/>
        <v>41.599999999999994</v>
      </c>
      <c r="DJ401" s="202" t="str">
        <f>IF($D400="","",$D400)</f>
        <v>13</v>
      </c>
      <c r="DK401" s="493"/>
    </row>
    <row r="402" spans="1:115" ht="14.5" customHeight="1" x14ac:dyDescent="0.2">
      <c r="A402" s="390"/>
      <c r="B402" s="457"/>
      <c r="C402" s="79" t="s">
        <v>53</v>
      </c>
      <c r="D402" s="375"/>
      <c r="E402" s="387"/>
      <c r="F402" s="378"/>
      <c r="G402" s="508"/>
      <c r="H402" s="477"/>
      <c r="I402" s="171"/>
      <c r="J402" s="172"/>
      <c r="K402" s="81"/>
      <c r="L402" s="173"/>
      <c r="M402" s="174"/>
      <c r="N402" s="407"/>
      <c r="O402" s="86" t="str">
        <f>IF(OR(AE400="",AE401=""),"",IF(L402&gt;0,ROUND(IF(M402&gt;0,M402,IF(M400&gt;0,ROUND((M400*AE402)/AE400,IF(N400=0,2,IF(N400=0.1,1,0))),IF(M401&gt;0,ROUND((M401*AE402)/AE401,IF(N400=0,2,IF(N400=0.1,1,0))),IF(M402&gt;0,M402,0)))),2),""))</f>
        <v/>
      </c>
      <c r="P402" s="87" t="str">
        <f>IF(I401="Lay",O401*(L401/(L401-1))-O401,IF(I400="Lay",O400*(L400/(L400-1))-O400,IF(OR(L402="",O402=""),"",IF($C402="1/2W",O402/2+O402/2*L402,IF($C402="1/2L",O402/2,(O402*L402-O402)*(1-_xlfn.XLOOKUP(K402,'Fevereiro 2023 - Valor Real'!A3:A15,'Fevereiro 2023 - Valor Real'!C3:C15,0))+O402)))))</f>
        <v/>
      </c>
      <c r="Q402" s="54" t="str">
        <f>IF(K402="","",IF(_xlfn.XLOOKUP(K402,K$11:K392,$DJ$11:DJ392,0,,-1)=DJ402,_xlfn.XLOOKUP(K402,K$11:K392,Q$11:Q392,1,,-1)+1,1))</f>
        <v/>
      </c>
      <c r="R402" s="87" t="str">
        <f>IF(K402="","",_xlfn.XLOOKUP(K402,K$11:K392,R$11:R392,0,,-1)+IF($C402=" ",1,0))</f>
        <v/>
      </c>
      <c r="S402" s="404"/>
      <c r="T402" s="378"/>
      <c r="U402" s="378"/>
      <c r="V402" s="404"/>
      <c r="W402" s="378"/>
      <c r="X402" s="453"/>
      <c r="Y402" s="383"/>
      <c r="Z402" s="384"/>
      <c r="AA402" s="384"/>
      <c r="AB402" s="384"/>
      <c r="AC402" s="384"/>
      <c r="AD402" s="90"/>
      <c r="AE402" s="91" t="str">
        <f>IF(L402="","",(SUM(((L400-1)*(1-_xlfn.XLOOKUP(K400,'Fevereiro 2023 - Valor Real'!A3:A15,'Fevereiro 2023 - Valor Real'!C3:C15,0))+1),((L401-1)*(1-_xlfn.XLOOKUP(K401,'Fevereiro 2023 - Valor Real'!A3:A15,'Fevereiro 2023 - Valor Real'!C3:C15,0))+1),((L402-1)*(1-_xlfn.XLOOKUP(K402,'Fevereiro 2023 - Valor Real'!A3:A15,'Fevereiro 2023 - Valor Real'!C3:C15,0))+1))/((L402-1)*(1-_xlfn.XLOOKUP(K402,'Fevereiro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Real'!C3:C15,0))+1))/((L400-1)*(1-_xlfn.XLOOKUP(K400,'Fevereiro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Real'!C3:C15,0))+1))/((L401-1)*(1-_xlfn.XLOOKUP(K401,'Fevereiro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Real'!C3:C15,0))+1))/((L402-1)*(1-_xlfn.XLOOKUP(K402,'Fevereiro 2023 - Valor Real'!A3:A15,'Fevereiro 2023 - Valor Real'!C3:C15,0))+1)))</f>
        <v/>
      </c>
      <c r="AF402" s="66">
        <f t="shared" si="808"/>
        <v>0</v>
      </c>
      <c r="AG402" s="67">
        <f t="shared" si="808"/>
        <v>0</v>
      </c>
      <c r="AH402" s="67">
        <f t="shared" si="808"/>
        <v>0</v>
      </c>
      <c r="AI402" s="67">
        <f t="shared" si="808"/>
        <v>0</v>
      </c>
      <c r="AJ402" s="67">
        <f t="shared" si="808"/>
        <v>0</v>
      </c>
      <c r="AK402" s="67">
        <f t="shared" si="808"/>
        <v>0</v>
      </c>
      <c r="AL402" s="67">
        <f t="shared" si="808"/>
        <v>0</v>
      </c>
      <c r="AM402" s="67">
        <f t="shared" si="808"/>
        <v>0</v>
      </c>
      <c r="AN402" s="67">
        <f t="shared" si="808"/>
        <v>0</v>
      </c>
      <c r="AO402" s="67">
        <f t="shared" si="808"/>
        <v>0</v>
      </c>
      <c r="AP402" s="67">
        <f t="shared" si="808"/>
        <v>0</v>
      </c>
      <c r="AQ402" s="67">
        <f t="shared" si="808"/>
        <v>0</v>
      </c>
      <c r="AR402" s="68">
        <f t="shared" si="808"/>
        <v>0</v>
      </c>
      <c r="AS402" s="66">
        <f>IF(AND($B400=" ",$K402=AS$3),$O402,0)</f>
        <v>0</v>
      </c>
      <c r="AT402" s="67">
        <f>IF(AND($B400=" ",K402=AT$3),$O402,0)</f>
        <v>0</v>
      </c>
      <c r="AU402" s="67">
        <f t="shared" ref="AU402:BE402" si="821">IF(AND($B400=" ",$K402=AU$3),$O402,0)</f>
        <v>0</v>
      </c>
      <c r="AV402" s="67">
        <f t="shared" si="821"/>
        <v>0</v>
      </c>
      <c r="AW402" s="67">
        <f t="shared" si="821"/>
        <v>0</v>
      </c>
      <c r="AX402" s="67">
        <f t="shared" si="821"/>
        <v>0</v>
      </c>
      <c r="AY402" s="69">
        <f t="shared" si="821"/>
        <v>0</v>
      </c>
      <c r="AZ402" s="70">
        <f t="shared" si="821"/>
        <v>0</v>
      </c>
      <c r="BA402" s="70">
        <f t="shared" si="821"/>
        <v>0</v>
      </c>
      <c r="BB402" s="70">
        <f t="shared" si="821"/>
        <v>0</v>
      </c>
      <c r="BC402" s="71">
        <f t="shared" si="821"/>
        <v>0</v>
      </c>
      <c r="BD402" s="67">
        <f t="shared" si="821"/>
        <v>0</v>
      </c>
      <c r="BE402" s="68">
        <f t="shared" si="821"/>
        <v>0</v>
      </c>
      <c r="BF402" s="66">
        <f t="shared" si="810"/>
        <v>0</v>
      </c>
      <c r="BG402" s="168">
        <f t="shared" si="810"/>
        <v>0</v>
      </c>
      <c r="BH402" s="67">
        <f t="shared" si="810"/>
        <v>0</v>
      </c>
      <c r="BI402" s="67">
        <f t="shared" si="810"/>
        <v>0</v>
      </c>
      <c r="BJ402" s="67">
        <f t="shared" si="810"/>
        <v>0</v>
      </c>
      <c r="BK402" s="67">
        <f t="shared" si="810"/>
        <v>0</v>
      </c>
      <c r="BL402" s="67">
        <f t="shared" si="810"/>
        <v>0</v>
      </c>
      <c r="BM402" s="69">
        <f t="shared" si="810"/>
        <v>0</v>
      </c>
      <c r="BN402" s="70">
        <f t="shared" si="810"/>
        <v>0</v>
      </c>
      <c r="BO402" s="70">
        <f t="shared" si="810"/>
        <v>0</v>
      </c>
      <c r="BP402" s="70">
        <f t="shared" si="810"/>
        <v>0</v>
      </c>
      <c r="BQ402" s="71">
        <f t="shared" si="810"/>
        <v>0</v>
      </c>
      <c r="BR402" s="68">
        <f t="shared" si="810"/>
        <v>0</v>
      </c>
      <c r="BS402" s="491"/>
      <c r="BT402" s="489"/>
      <c r="BU402" s="392"/>
      <c r="BV402" s="489"/>
      <c r="BW402" s="392"/>
      <c r="BX402" s="392"/>
      <c r="BY402" s="392"/>
      <c r="BZ402" s="489"/>
      <c r="CA402" s="392"/>
      <c r="CB402" s="392"/>
      <c r="CC402" s="392"/>
      <c r="CD402" s="401"/>
      <c r="CE402" s="409"/>
      <c r="CF402" s="169">
        <f t="shared" si="772"/>
        <v>0</v>
      </c>
      <c r="CG402" s="170">
        <f t="shared" si="773"/>
        <v>0</v>
      </c>
      <c r="CH402" s="170">
        <f t="shared" si="774"/>
        <v>0</v>
      </c>
      <c r="CI402" s="170">
        <f t="shared" si="775"/>
        <v>0</v>
      </c>
      <c r="CJ402" s="170">
        <f t="shared" si="776"/>
        <v>0</v>
      </c>
      <c r="CK402" s="170">
        <f t="shared" si="777"/>
        <v>0</v>
      </c>
      <c r="CL402" s="170">
        <f t="shared" si="778"/>
        <v>0</v>
      </c>
      <c r="CM402" s="170">
        <f t="shared" si="779"/>
        <v>0</v>
      </c>
      <c r="CN402" s="170">
        <f t="shared" si="780"/>
        <v>0</v>
      </c>
      <c r="CO402" s="170">
        <f t="shared" si="781"/>
        <v>0</v>
      </c>
      <c r="CP402" s="170">
        <f t="shared" si="782"/>
        <v>0</v>
      </c>
      <c r="CQ402" s="170">
        <f t="shared" si="783"/>
        <v>0</v>
      </c>
      <c r="CR402" s="170">
        <f t="shared" si="784"/>
        <v>0</v>
      </c>
      <c r="CS402" s="170">
        <f t="shared" si="785"/>
        <v>0</v>
      </c>
      <c r="CT402" s="75">
        <f t="shared" si="786"/>
        <v>0</v>
      </c>
      <c r="CU402" s="76">
        <f t="shared" si="787"/>
        <v>0</v>
      </c>
      <c r="CV402" s="76">
        <f t="shared" si="788"/>
        <v>0</v>
      </c>
      <c r="CW402" s="76">
        <f t="shared" si="789"/>
        <v>0</v>
      </c>
      <c r="CX402" s="76">
        <f t="shared" si="790"/>
        <v>0</v>
      </c>
      <c r="CY402" s="76">
        <f t="shared" si="791"/>
        <v>0</v>
      </c>
      <c r="CZ402" s="76">
        <f t="shared" si="792"/>
        <v>0</v>
      </c>
      <c r="DA402" s="76">
        <f t="shared" si="793"/>
        <v>0</v>
      </c>
      <c r="DB402" s="76">
        <f t="shared" si="794"/>
        <v>0</v>
      </c>
      <c r="DC402" s="76">
        <f t="shared" si="795"/>
        <v>0</v>
      </c>
      <c r="DD402" s="76">
        <f t="shared" si="796"/>
        <v>0</v>
      </c>
      <c r="DE402" s="77">
        <f t="shared" si="797"/>
        <v>0</v>
      </c>
      <c r="DF402" s="73">
        <f t="shared" si="799"/>
        <v>29</v>
      </c>
      <c r="DG402" s="67">
        <f t="shared" si="800"/>
        <v>37.629999999999995</v>
      </c>
      <c r="DH402" s="76">
        <f t="shared" si="801"/>
        <v>10</v>
      </c>
      <c r="DI402" s="67">
        <f t="shared" si="802"/>
        <v>41.599999999999994</v>
      </c>
      <c r="DJ402" s="202" t="str">
        <f>IF($D400="","",$D400)</f>
        <v>13</v>
      </c>
      <c r="DK402" s="493"/>
    </row>
    <row r="403" spans="1:115" ht="14.5" customHeight="1" x14ac:dyDescent="0.2">
      <c r="A403" s="459">
        <f>$A400+1</f>
        <v>134</v>
      </c>
      <c r="B403" s="507" t="str">
        <f>IF(OR(C403="W",C404="W",C405="W",C403="1/2W",C404="1/2W",C405="1/2W",C403="1/2L",C404="1/2L",C405="1/2L"),"OK",IF(OR(C403="L",C404="L",C405="L"),"LOSS",IF(OR(C403="X",C404="X",C405="X"),"Anulado"," ")))</f>
        <v>Anulado</v>
      </c>
      <c r="C403" s="93" t="s">
        <v>49</v>
      </c>
      <c r="D403" s="468" t="str">
        <f>IF(G403="","",$D400)</f>
        <v>13</v>
      </c>
      <c r="E403" s="485" t="str">
        <f>IF(G403=""," ","– "&amp;COUNTIF(D$4:D405,$D403))</f>
        <v>– 9</v>
      </c>
      <c r="F403" s="509" t="str">
        <f ca="1">IF(G403="","",IF(OR(AND($C403&lt;&gt;" ",$C404=" "),AND($C404&lt;&gt;" ",$C403=" "),AND(L405&gt;0,OR(AND($C405&lt;&gt;" ",OR($C403=" ",$C404=" ")),AND($C405=" ",OR($C403&lt;&gt;" ",$C404&lt;&gt;" "))))),IF(SUM(F$4:F402)=0,1,LARGE(F$4:F402,1)+1),IF(MONTH(G403)=MONTH(TODAY()),IF(AND(DAY(G403)&lt;DAY(TODAY()),$B403=" "),IF(SUM(F$4:F402)=0,1,LARGE(F$4:F402,1)+1),IF($B403=" ",IF(AND(DAY(G403)=DAY(TODAY()),HOUR(G403)&lt;=HOUR(NOW())+1),IF(AND(HOUR(G403)+2&lt;=HOUR(NOW()),DAY(G403)&lt;=DAY(TODAY()),MINUTE(G403)&lt;=MINUTE(NOW())),IF(SUM(F$4:F402)=0,1,LARGE(F$4:F402,1)+1),IF(OR(MINUTE(G403)&lt;=MINUTE(NOW()),HOUR(G403)&lt;=HOUR(NOW())),"!!!","")),""),"")),"")))</f>
        <v/>
      </c>
      <c r="G403" s="482">
        <v>44999.5625</v>
      </c>
      <c r="H403" s="475" t="s">
        <v>171</v>
      </c>
      <c r="I403" s="94" t="s">
        <v>51</v>
      </c>
      <c r="J403" s="95">
        <v>6</v>
      </c>
      <c r="K403" s="96" t="s">
        <v>43</v>
      </c>
      <c r="L403" s="97">
        <v>2.36</v>
      </c>
      <c r="M403" s="98"/>
      <c r="N403" s="478">
        <v>0</v>
      </c>
      <c r="O403" s="99">
        <f>IF(OR(AE403="",AE404=""),"",ROUND(IF(L405&gt;0,IF(M403&gt;0,M403,IF(M404&gt;0,ROUND((M404*AE403)/AE404,IF(N403=0,2,IF(N403=0.1,1,0))),ROUND((M405*AE403)/AE405,IF(N403=0,2,IF(N403=0.1,1,0))))),IF(M403&gt;0,M403,ROUND((M404*AE403)/AE404,IF(N403=0,2,IF(N403=0.1,1,0))))),2))</f>
        <v>24.43</v>
      </c>
      <c r="P403" s="100">
        <f>IF(OR(L403="",O403=""),"",IF($C403="1/2W",O403/2+O403/2*L403,IF($C403="1/2L",O403/2,IF(I403="Lay",(O403*(L403/(L403-1))-O403)*(1-_xlfn.XLOOKUP(K403,'Fevereiro 2023 - Valor Real'!A3:A15,'Fevereiro 2023 - Valor Real'!C3:C15,0))+O403,(O403*L403-O403)*(1-_xlfn.XLOOKUP(K403,'Fevereiro 2023 - Valor Real'!A3:A15,'Fevereiro 2023 - Valor Real'!C3:C15,0))+O403))))</f>
        <v>57.654799999999994</v>
      </c>
      <c r="Q403" s="101">
        <f>IF(K403="","",IF(_xlfn.XLOOKUP(K403,K$4:K402,$DJ$4:DJ402,0,,-1)=DJ403,_xlfn.XLOOKUP(K403,K$4:K402,Q$4:Q402,1,,-1)+1,1))</f>
        <v>3</v>
      </c>
      <c r="R403" s="102">
        <f>IF(K403="","",_xlfn.XLOOKUP(K403,K$4:K402,R$4:R402,0,,-1)+IF($C403=" ",1,0))</f>
        <v>0</v>
      </c>
      <c r="S403" s="474">
        <f>IF($B403="Anulado",0,ROUND(IF(OR($B403="LOSS",$B403="OK"),IF(OR($C403="W",$C403="1/2W",$C403="1/2L"),P403-O403,IF($C403="L",-O403,0))+IF(OR($C404="W",$C404="1/2W",$C404="1/2L"),P404-O404,IF($C404="L",-O404,0))+IF(OR($C405="W",$C405="1/2W",$C405="1/2L"),P405-O405,IF($C405="L",-O405,0)),IF(AND(OR($C403="W",$C403="1/2W",$C403="1/2L"),C404="W"),P403+P404-SUM(O403:O405)+_xlfn.XLOOKUP("X",C403:C405,O403:O405,0),IF(AND(C403=TRUE,C405="W"),P403+P405-SUM(O403:O405),IF(AND(C404="W",C405="W"),P404+P405-SUM(O403:O405)+_xlfn.XLOOKUP("X",C403:C405,O403:O405,0),IF(L405&gt;0,IF(OR($C403="W",$C403="1/2W",$C403="1/2L"),P403-SUM(O403:O405)+_xlfn.XLOOKUP("X",C403:C405,O403:O405,0),IF(OR($C403="W",$C403="1/2W",$C403="1/2L"),P404-SUM(O403:O405)+_xlfn.XLOOKUP("X",C403:C405,O403:O405,0),IF(OR($C403="W",$C403="1/2W",$C403="1/2L"),P405-SUM(O403:O405)+_xlfn.XLOOKUP("X",C403:C405,O403:O405,0),IF(SUM(P403:P405)/3-SUM(O403:O405)+_xlfn.XLOOKUP("X",C403:C405,O403:O405,0)&gt;0,SUM(P403:P405)/3-SUM(O403:O405)+_xlfn.XLOOKUP("X",C403:C405,O403:O405,0),LARGE(P403:P405,1)-SUM(O403:O405))))),IF(OR($C403="W",$C403="1/2W",$C403="1/2L"),P403-SUM(O403:O404)+_xlfn.XLOOKUP("X",C403:C405,O403:O405,0),IF(OR($C403="W",$C403="1/2W",$C403="1/2L"),P404-SUM(O403:O404)+_xlfn.XLOOKUP("X",C403:C405,O403:O405,0),SUM(P403:P404)/2-SUM(O403:O404)+_xlfn.XLOOKUP("X",C403:C405,O403:O405,0)))))))),2))</f>
        <v>0</v>
      </c>
      <c r="T403" s="458">
        <f>IF(S403=0,0,S403/SUM(O403:O405))</f>
        <v>0</v>
      </c>
      <c r="U403" s="470">
        <f>IF($D403=$D400,IF(OR($B403="LOSS",$B403="OK",$B403="Anulada"),S403,0)+U400,IF(OR($B403="LOSS",$B403="OK",$B403="Anulada"),S403,0))</f>
        <v>28.97</v>
      </c>
      <c r="V403" s="470">
        <f>IF($D403="",0,IF($D403=$D400,IF($B403=" ",IF(I405="",IF(OR(AND(I403="DNB1",I404="DNB2"),AND(OR(I403="DNB1",I403="DNB2"),J404=0),AND(OR(I404="DNB1",I404="DNB2"),J403=0),AND(I403="DNB2",I404="DNB1"),AND(IF(J403=0,(J403+1)/ROUND(J403+1,0),J403/ROUND(J403,0))=1,IF(J404=0,(J404+1)/ROUND(IF(J404="",0,J404)+1,0),IF(J404="",0,J404)/ROUND(IF(J404="",1,J404),0))=1,OR(J403&lt;&gt;""),J404&lt;&gt;"")),0,IF(S403&lt;0,IF(I405="",SMALL(P403:P404,1)-SUM(O403:O404),0),SMALL(P403:P404,1)-SUM(O403:O404))),IF(S403&lt;0,IF(I405="",SMALL(P403:P405,1)-SUM(O403:O405),0),LARGE(P403:P405,1)-SUM(O403:O405))),S403)+V400,IF(I405="",IF(OR(AND(I403="DNB1",I404="DNB2"),AND(OR(I403="DNB1",I403="DNB2"),J404=0),AND(OR(I404="DNB1",I404="DNB2"),J403=0),AND(I403="DNB2",I404="DNB1"),AND(IF(J403=0,(J403+1)/ROUND(J403+1,0),J403/ROUND(J403,0))=1,IF(J404=0,(IF(J404="",0,J404)+1)/ROUND(IF(J404="",0,J404)+1,0),IF(J404="",0,J404)/ROUND(IF(J404="",0,J404)+1,0))=1,OR(J403&lt;&gt;""),J404&lt;&gt;"")),0,IF(S403&lt;0,IF(I405="",SMALL(P403:P404,1)-SUM(O403:O404),0),SMALL(P403:P405,1)-SUM(O403:O405))),IF(S403&lt;0,IF(I405="",SMALL(P403:P405,1)-SUM(O403:O405),0),LARGE(P403:P405,1)-SUM(O403:O405)))))</f>
        <v>28.587000000000003</v>
      </c>
      <c r="W403" s="470">
        <f>IF($D403=$D400,IF(S403&lt;0,IF(I405="",S403,0),S403)+W400,S403)</f>
        <v>28.97</v>
      </c>
      <c r="X403" s="480" t="str">
        <f>IF(OR(SUM(R403:R405)=0,V403=W403),ROUND(IF(W403=0,0,W403/Y403)*100,2)&amp;"%",ROUND(IF(V403=0,0,V403/Y403)*100,2)&amp;"% a "&amp;ROUND(IF(W403=0,0,W403/Y403)*100,2)&amp;"%")</f>
        <v>4,65%</v>
      </c>
      <c r="Y403" s="471">
        <f>IF($D403=$D400,Y400+SUM(O403:O405),SUM(O403:O405))</f>
        <v>622.51</v>
      </c>
      <c r="Z403" s="470">
        <f>IF($B403=" ",SUM(O403:O405),0)+Z400</f>
        <v>0</v>
      </c>
      <c r="AA403" s="470">
        <f>IF(G403="","",IF($B403="Anulado",LARGE(P403:P405,1)-SUM(O403:O405)+AA400,AA400))</f>
        <v>12.425099999999992</v>
      </c>
      <c r="AB403" s="470">
        <f>IF($D403="","",AB400+S403)</f>
        <v>487.32000000000011</v>
      </c>
      <c r="AC403" s="472">
        <f ca="1">IF($D403="","",IF($B403=" ",IF(DAY(G403)=DAY(TODAY()),1+AC400,0+AC400),0+AC400))</f>
        <v>0</v>
      </c>
      <c r="AD403" s="103">
        <f>(((L404/(L404-1)-1)*(1-_xlfn.XLOOKUP(K404,'Fevereiro 2023 - Valor Real'!A3:A15,'Fevereiro 2023 - Valor Real'!C3:C15,0))+1))/(((L403-1)*(1-_xlfn.XLOOKUP(K403,'Fevereiro 2023 - Valor Real'!A3:A15,'Fevereiro 2023 - Valor Real'!C3:C15,0))+1)+((L404/(L404-1)-1)*(1-_xlfn.XLOOKUP(K404,'Fevereiro 2023 - Valor Real'!A3:A15,'Fevereiro 2023 - Valor Real'!C3:C15,0))+1))</f>
        <v>0.48300253378378372</v>
      </c>
      <c r="AE403" s="104">
        <f>IF(L403="","",IF(L405&gt;0,(SUM(((L403-1)*(1-_xlfn.XLOOKUP(K403,'Fevereiro 2023 - Valor Real'!A3:A15,'Fevereiro 2023 - Valor Real'!C3:C15,0))+1),((L404-1)*(1-_xlfn.XLOOKUP(K404,'Fevereiro 2023 - Valor Real'!A3:A15,'Fevereiro 2023 - Valor Real'!C3:C15,0))+1),((L405-1)*(1-_xlfn.XLOOKUP(K405,'Fevereiro 2023 - Valor Real'!A3:A15,'Fevereiro 2023 - Valor Real'!C3:C15,0))+1))/((L403-1)*(1-_xlfn.XLOOKUP(K403,'Fevereiro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Real'!C3:C15,0))+1))/((L403-1)*(1-_xlfn.XLOOKUP(K403,'Fevereiro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Real'!C3:C15,0))+1))/((L404-1)*(1-_xlfn.XLOOKUP(K404,'Fevereiro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Real'!C3:C15,0))+1))/((L405-1)*(1-_xlfn.XLOOKUP(K405,'Fevereiro 2023 - Valor Real'!A3:A15,'Fevereiro 2023 - Valor Real'!C3:C15,0))+1)),IF(I403="Lay",IF(I404="Lay",((L404/(L404-1)-1)*(1-_xlfn.XLOOKUP(K404,'Fevereiro 2023 - Valor Real'!A3:A15,'Fevereiro 2023 - Valor Real'!C3:C15,0))+1)/(((L404/(L404-1)-1)*(1-_xlfn.XLOOKUP(K404,'Fevereiro 2023 - Valor Real'!A3:A15,'Fevereiro 2023 - Valor Real'!C3:C15,0))+1)+((L403/(L403-1)-1)*(1-_xlfn.XLOOKUP(K403,'Fevereiro 2023 - Valor Real'!A3:A15,'Fevereiro 2023 - Valor Real'!C3:C15,0))+1)),((L404-1)*(1-_xlfn.XLOOKUP(K404,'Fevereiro 2023 - Valor Real'!A3:A15,'Fevereiro 2023 - Valor Real'!C3:C15,0))+1)/(((L404-1)*(1-_xlfn.XLOOKUP(K404,'Fevereiro 2023 - Valor Real'!A3:A15,'Fevereiro 2023 - Valor Real'!C3:C15,0))+1)+((L403/(L403-1)-1)*(1-_xlfn.XLOOKUP(K403,'Fevereiro 2023 - Valor Real'!A3:A15,'Fevereiro 2023 - Valor Real'!C3:C15,0))+1))),IF(I404="Lay",(((L404/(L404-1)-1)*(1-_xlfn.XLOOKUP(K404,'Fevereiro 2023 - Valor Real'!A3:A15,'Fevereiro 2023 - Valor Real'!C3:C15,0))+1))/(((L403-1)*(1-_xlfn.XLOOKUP(K403,'Fevereiro 2023 - Valor Real'!A3:A15,'Fevereiro 2023 - Valor Real'!C3:C15,0))+1)+((L404/(L404-1)-1)*(1-_xlfn.XLOOKUP(K404,'Fevereiro 2023 - Valor Real'!A3:A15,'Fevereiro 2023 - Valor Real'!C3:C15,0))+1)),((L404-1)*(1-_xlfn.XLOOKUP(K404,'Fevereiro 2023 - Valor Real'!A3:A15,'Fevereiro 2023 - Valor Real'!C3:C15,0))+1)/(((L404-1)*(1-_xlfn.XLOOKUP(K404,'Fevereiro 2023 - Valor Real'!A3:A15,'Fevereiro 2023 - Valor Real'!C3:C15,0))+1)+((L403-1)*(1-_xlfn.XLOOKUP(K403,'Fevereiro 2023 - Valor Real'!A3:A15,'Fevereiro 2023 - Valor Real'!C3:C15,0))+1))))))</f>
        <v>0.4367541766109786</v>
      </c>
      <c r="AF403" s="105">
        <f t="shared" si="808"/>
        <v>0</v>
      </c>
      <c r="AG403" s="106">
        <f t="shared" si="808"/>
        <v>0</v>
      </c>
      <c r="AH403" s="106">
        <f t="shared" si="808"/>
        <v>0</v>
      </c>
      <c r="AI403" s="106">
        <f t="shared" si="808"/>
        <v>0</v>
      </c>
      <c r="AJ403" s="106">
        <f t="shared" si="808"/>
        <v>0</v>
      </c>
      <c r="AK403" s="106">
        <f t="shared" si="808"/>
        <v>0</v>
      </c>
      <c r="AL403" s="106">
        <f t="shared" si="808"/>
        <v>0</v>
      </c>
      <c r="AM403" s="106">
        <f t="shared" si="808"/>
        <v>0</v>
      </c>
      <c r="AN403" s="106">
        <f t="shared" si="808"/>
        <v>0</v>
      </c>
      <c r="AO403" s="106">
        <f t="shared" si="808"/>
        <v>0</v>
      </c>
      <c r="AP403" s="106">
        <f t="shared" si="808"/>
        <v>0</v>
      </c>
      <c r="AQ403" s="106">
        <f t="shared" si="808"/>
        <v>0</v>
      </c>
      <c r="AR403" s="107">
        <f t="shared" si="808"/>
        <v>0</v>
      </c>
      <c r="AS403" s="105">
        <f t="shared" ref="AS403:BE403" si="822">IF(AND($B403=" ",$K403=AS$3),$O403,0)</f>
        <v>0</v>
      </c>
      <c r="AT403" s="106">
        <f t="shared" si="822"/>
        <v>0</v>
      </c>
      <c r="AU403" s="106">
        <f t="shared" si="822"/>
        <v>0</v>
      </c>
      <c r="AV403" s="106">
        <f t="shared" si="822"/>
        <v>0</v>
      </c>
      <c r="AW403" s="106">
        <f t="shared" si="822"/>
        <v>0</v>
      </c>
      <c r="AX403" s="106">
        <f t="shared" si="822"/>
        <v>0</v>
      </c>
      <c r="AY403" s="108">
        <f t="shared" si="822"/>
        <v>0</v>
      </c>
      <c r="AZ403" s="109">
        <f t="shared" si="822"/>
        <v>0</v>
      </c>
      <c r="BA403" s="109">
        <f t="shared" si="822"/>
        <v>0</v>
      </c>
      <c r="BB403" s="109">
        <f t="shared" si="822"/>
        <v>0</v>
      </c>
      <c r="BC403" s="110">
        <f t="shared" si="822"/>
        <v>0</v>
      </c>
      <c r="BD403" s="106">
        <f t="shared" si="822"/>
        <v>0</v>
      </c>
      <c r="BE403" s="107">
        <f t="shared" si="822"/>
        <v>0</v>
      </c>
      <c r="BF403" s="111">
        <f t="shared" si="810"/>
        <v>0</v>
      </c>
      <c r="BG403" s="106">
        <f t="shared" si="810"/>
        <v>0</v>
      </c>
      <c r="BH403" s="106">
        <f t="shared" si="810"/>
        <v>0</v>
      </c>
      <c r="BI403" s="106">
        <f t="shared" si="810"/>
        <v>0</v>
      </c>
      <c r="BJ403" s="106">
        <f t="shared" si="810"/>
        <v>0</v>
      </c>
      <c r="BK403" s="106">
        <f t="shared" si="810"/>
        <v>0</v>
      </c>
      <c r="BL403" s="106">
        <f t="shared" si="810"/>
        <v>0</v>
      </c>
      <c r="BM403" s="108">
        <f t="shared" si="810"/>
        <v>0</v>
      </c>
      <c r="BN403" s="109">
        <f t="shared" si="810"/>
        <v>0</v>
      </c>
      <c r="BO403" s="109">
        <f t="shared" si="810"/>
        <v>0</v>
      </c>
      <c r="BP403" s="109">
        <f t="shared" si="810"/>
        <v>0</v>
      </c>
      <c r="BQ403" s="110">
        <f t="shared" si="810"/>
        <v>0</v>
      </c>
      <c r="BR403" s="107">
        <f t="shared" si="810"/>
        <v>0</v>
      </c>
      <c r="BS403" s="463">
        <f>IF($B403="LOSS",IF(AND($K403=BS$3,$C403="L"),-$O403,0)+IF(AND($K404=BS$3,$C404="L"),-$O404,0)+IF(AND($K405=BS$3,$C405="L"),-$O405,0),IF(OR(AND($K403=BS$3,OR($C403="W",$C403="1/2W")),AND($K404=BS$3,OR($C404="W",$C404="1/2W")),AND($K405=BS$3,OR($C405="W",$C405="1/2W"))),$S403,0))</f>
        <v>0</v>
      </c>
      <c r="BT403" s="462">
        <f>IF($B403="LOSS",IF(AND($K403=BT$3,$C403="L"),-$O403,0)+IF(AND($K404=BT$3,$C404="L"),-$O404,0)+IF(AND($K404=BT$3,$C405="L"),-$O405,0),IF(OR(AND($K404=BT$3,OR($C403="W",$C403="1/2W")),AND($K404=BT$3,OR($C404="W",$C404="1/2W")),AND($K404=BT$3,OR($C405="W",$C405="1/2W"))),$S403,0))</f>
        <v>0</v>
      </c>
      <c r="BU403" s="462">
        <f>IF($B403="LOSS",IF(AND($K403=BU$3,$C403="L"),-$O403,0)+IF(AND($K404=BU$3,$C404="L"),-$O404,0)+IF(AND($K404=BU$3,$C405="L"),-$O405,0),IF(OR(AND($K404=BU$3,OR($C403="W",$C403="1/2W")),AND($K404=BU$3,OR($C404="W",$C404="1/2W")),AND($K404=BU$3,OR($C405="W",$C405="1/2W"))),$S403,0))</f>
        <v>0</v>
      </c>
      <c r="BV403" s="462">
        <f t="shared" ref="BV403:CE403" si="823">IF($B403="LOSS",IF(AND($K403=BV$3,$C403="L"),-$O403,0)+IF(AND($K404=BV$3,$C404="L"),-$O404,0)+IF(AND($K405=BV$3,$C405="L"),-$O405,0),IF(OR(AND($K403=BV$3,OR($C403="W",$C403="1/2W")),AND($K404=BV$3,OR($C404="W",$C404="1/2W")),AND($K405=BV$3,OR($C405="W",$C405="1/2W"))),$S403,0))</f>
        <v>0</v>
      </c>
      <c r="BW403" s="462">
        <f t="shared" si="823"/>
        <v>0</v>
      </c>
      <c r="BX403" s="462">
        <f t="shared" si="823"/>
        <v>0</v>
      </c>
      <c r="BY403" s="462">
        <f t="shared" si="823"/>
        <v>0</v>
      </c>
      <c r="BZ403" s="460">
        <f t="shared" si="823"/>
        <v>0</v>
      </c>
      <c r="CA403" s="460">
        <f t="shared" si="823"/>
        <v>0</v>
      </c>
      <c r="CB403" s="460">
        <f t="shared" si="823"/>
        <v>0</v>
      </c>
      <c r="CC403" s="460">
        <f t="shared" si="823"/>
        <v>0</v>
      </c>
      <c r="CD403" s="473">
        <f t="shared" si="823"/>
        <v>0</v>
      </c>
      <c r="CE403" s="479">
        <f t="shared" si="823"/>
        <v>0</v>
      </c>
      <c r="CF403" s="113">
        <f t="shared" si="772"/>
        <v>0</v>
      </c>
      <c r="CG403" s="114">
        <f t="shared" si="773"/>
        <v>0</v>
      </c>
      <c r="CH403" s="114">
        <f t="shared" si="774"/>
        <v>0</v>
      </c>
      <c r="CI403" s="114">
        <f t="shared" si="775"/>
        <v>0</v>
      </c>
      <c r="CJ403" s="114">
        <f t="shared" si="776"/>
        <v>0</v>
      </c>
      <c r="CK403" s="114">
        <f t="shared" si="777"/>
        <v>0</v>
      </c>
      <c r="CL403" s="114">
        <f t="shared" si="778"/>
        <v>0</v>
      </c>
      <c r="CM403" s="114">
        <f t="shared" si="779"/>
        <v>0</v>
      </c>
      <c r="CN403" s="114">
        <f t="shared" si="780"/>
        <v>0</v>
      </c>
      <c r="CO403" s="114">
        <f t="shared" si="781"/>
        <v>0</v>
      </c>
      <c r="CP403" s="114">
        <f t="shared" si="782"/>
        <v>0</v>
      </c>
      <c r="CQ403" s="114">
        <f t="shared" si="783"/>
        <v>0</v>
      </c>
      <c r="CR403" s="114">
        <f t="shared" si="784"/>
        <v>0</v>
      </c>
      <c r="CS403" s="114">
        <f t="shared" si="785"/>
        <v>0</v>
      </c>
      <c r="CT403" s="115">
        <f t="shared" si="786"/>
        <v>0</v>
      </c>
      <c r="CU403" s="116">
        <f t="shared" si="787"/>
        <v>0</v>
      </c>
      <c r="CV403" s="116">
        <f t="shared" si="788"/>
        <v>0</v>
      </c>
      <c r="CW403" s="116">
        <f t="shared" si="789"/>
        <v>0</v>
      </c>
      <c r="CX403" s="116">
        <f t="shared" si="790"/>
        <v>0</v>
      </c>
      <c r="CY403" s="116">
        <f t="shared" si="791"/>
        <v>0</v>
      </c>
      <c r="CZ403" s="116">
        <f t="shared" si="792"/>
        <v>0</v>
      </c>
      <c r="DA403" s="116">
        <f t="shared" si="793"/>
        <v>0</v>
      </c>
      <c r="DB403" s="116">
        <f t="shared" si="794"/>
        <v>0</v>
      </c>
      <c r="DC403" s="116">
        <f t="shared" si="795"/>
        <v>0</v>
      </c>
      <c r="DD403" s="116">
        <f t="shared" si="796"/>
        <v>0</v>
      </c>
      <c r="DE403" s="117">
        <f t="shared" si="797"/>
        <v>0</v>
      </c>
      <c r="DF403" s="118">
        <f t="shared" si="799"/>
        <v>29</v>
      </c>
      <c r="DG403" s="106">
        <f t="shared" si="800"/>
        <v>37.629999999999995</v>
      </c>
      <c r="DH403" s="116">
        <f t="shared" si="801"/>
        <v>10</v>
      </c>
      <c r="DI403" s="106">
        <f t="shared" si="802"/>
        <v>41.599999999999994</v>
      </c>
      <c r="DJ403" s="201" t="str">
        <f>IF($D403="","",$D403)</f>
        <v>13</v>
      </c>
      <c r="DK403" s="465">
        <f>IF(AND($B403=" ",$D403&lt;&gt;""),1,0)</f>
        <v>0</v>
      </c>
    </row>
    <row r="404" spans="1:115" ht="14.5" customHeight="1" x14ac:dyDescent="0.2">
      <c r="A404" s="389"/>
      <c r="B404" s="456"/>
      <c r="C404" s="120" t="s">
        <v>49</v>
      </c>
      <c r="D404" s="374"/>
      <c r="E404" s="386"/>
      <c r="F404" s="377"/>
      <c r="G404" s="483"/>
      <c r="H404" s="476"/>
      <c r="I404" s="121" t="s">
        <v>52</v>
      </c>
      <c r="J404" s="122">
        <f>IF(OR(I403="TO",I403="TU",I403="TO1",I403="TU1",I403="TO2",I403="TU2"),J403,IF(OR(I403="AH1",I403="AH2"),IF(OR(I404="AH1",I404="AH2"),-J403,IF(OR(I404="EH1",I404="EH2"),-J403+0.5,"")),IF(OR(I403="EH1",I403="EH2"),IF(OR(I404="AH1",I404="AH2"),-J403+0.5,IF(OR(I404="EH1",I404="EH2"),-J403+1,"")),IF(AND(OR(I403="DNB1",I403="DNB2"),OR(I404="AH1",I404="AH2")),0,IF(AND(I403="Not ScoreBoth",OR(I404="TO1",I404="TO2")),0.5,"")))))</f>
        <v>6</v>
      </c>
      <c r="K404" s="123" t="s">
        <v>47</v>
      </c>
      <c r="L404" s="124">
        <v>1.83</v>
      </c>
      <c r="M404" s="125">
        <v>31.5</v>
      </c>
      <c r="N404" s="406"/>
      <c r="O404" s="126">
        <f>IF(OR(AE403="",AE404=""),"",ROUND(IF(L405&gt;0,IF(M404&gt;0,M404,IF(M403&gt;0,IF(N403=TRUE,ROUND((M403*AE404)/AE403,0),(M403*AE404)/AE403),IF(M404&gt;0,ROUND(M404,IF(N403=0,2,IF(N403=0.1,1,0))),IF(M405&gt;0,ROUND(O405*AE404/AE405,IF(N403=0,2,IF(N403=0.1,1,0))),0)))),IF(M404&gt;0,M404,ROUND((M403*AE404)/AE403,IF(N403=0,2,IF(N403=0.1,1,0))))),2))</f>
        <v>31.5</v>
      </c>
      <c r="P404" s="127">
        <f>IF(OR(L404="",O404=""),"",IF($C404="1/2W",O404/2+O404/2*L404,IF($C404="1/2L",O404/2,IF(I404="Lay",((O404*(L404/(L404-1)))-O404)*(1-_xlfn.XLOOKUP(K404,'Fevereiro 2023 - Valor Real'!A3:A15,'Fevereiro 2023 - Valor Real'!C3:C15,0))+O404,(O404*L404-O404)*(1-_xlfn.XLOOKUP(K404,'Fevereiro 2023 - Valor Real'!A3:A15,'Fevereiro 2023 - Valor Real'!C3:C15,0))+O404))))</f>
        <v>57.645000000000003</v>
      </c>
      <c r="Q404" s="128">
        <f>IF(K404="","",IF(_xlfn.XLOOKUP(K404,K$4:K403,$DJ$4:DJ403,0,,-1)=DJ404,_xlfn.XLOOKUP(K404,K$4:K403,Q$4:Q403,1,,-1)+1,1))</f>
        <v>1</v>
      </c>
      <c r="R404" s="129">
        <f>IF(K404="","",_xlfn.XLOOKUP(K404,K$4:K403,R$4:R403,0,,-1)+IF($C404=" ",1,0))</f>
        <v>0</v>
      </c>
      <c r="S404" s="403"/>
      <c r="T404" s="380"/>
      <c r="U404" s="380"/>
      <c r="V404" s="481"/>
      <c r="W404" s="380"/>
      <c r="X404" s="452"/>
      <c r="Y404" s="383"/>
      <c r="Z404" s="384"/>
      <c r="AA404" s="384"/>
      <c r="AB404" s="384"/>
      <c r="AC404" s="384"/>
      <c r="AD404" s="130">
        <f>(((L404/(L404-1)-1)*(1-_xlfn.XLOOKUP(K404,'Fevereiro 2023 - Valor Real'!A3:A15,'Fevereiro 2023 - Valor Real'!C3:C15,0))+1))</f>
        <v>2.2048192771084336</v>
      </c>
      <c r="AE404" s="131">
        <f>IF(L404="","",IF(L405&gt;0,(SUM(((L403-1)*(1-_xlfn.XLOOKUP(K403,'Fevereiro 2023 - Valor Real'!A3:A15,'Fevereiro 2023 - Valor Real'!C3:C15,0))+1),((L404-1)*(1-_xlfn.XLOOKUP(K404,'Fevereiro 2023 - Valor Real'!A3:A15,'Fevereiro 2023 - Valor Real'!C3:C15,0))+1),((L405-1)*(1-_xlfn.XLOOKUP(K405,'Fevereiro 2023 - Valor Real'!A3:A15,'Fevereiro 2023 - Valor Real'!C3:C15,0))+1))/((L404-1)*(1-_xlfn.XLOOKUP(K404,'Fevereiro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Real'!C3:C15,0))+1))/((L403-1)*(1-_xlfn.XLOOKUP(K403,'Fevereiro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Real'!C3:C15,0))+1))/((L404-1)*(1-_xlfn.XLOOKUP(K404,'Fevereiro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Real'!C3:C15,0))+1))/((L405-1)*(1-_xlfn.XLOOKUP(K405,'Fevereiro 2023 - Valor Real'!A3:A15,'Fevereiro 2023 - Valor Real'!C3:C15,0))+1)),IF(I404="Lay",IF(I403="Lay",((L403/(L403-1)-1)*(1-_xlfn.XLOOKUP(K403,'Fevereiro 2023 - Valor Real'!A3:A15,'Fevereiro 2023 - Valor Real'!C3:C15,0))+1)/(((L403/(L403-1)-1)*(1-_xlfn.XLOOKUP(K403,'Fevereiro 2023 - Valor Real'!A3:A15,'Fevereiro 2023 - Valor Real'!C3:C15,0))+1)+((L404/(L404-1)-1)*(1-_xlfn.XLOOKUP(K404,'Fevereiro 2023 - Valor Real'!A3:A15,'Fevereiro 2023 - Valor Real'!C3:C15,0))+1)),((L403-1)*(1-_xlfn.XLOOKUP(K403,'Fevereiro 2023 - Valor Real'!A3:A15,'Fevereiro 2023 - Valor Real'!C3:C15,0))+1)/(((L403-1)*(1-_xlfn.XLOOKUP(K403,'Fevereiro 2023 - Valor Real'!A3:A15,'Fevereiro 2023 - Valor Real'!C3:C15,0))+1)+((L404/(L404-1)-1)*(1-_xlfn.XLOOKUP(K404,'Fevereiro 2023 - Valor Real'!A3:A15,'Fevereiro 2023 - Valor Real'!C3:C15,0))+1))),IF(I403="Lay",((L403/(L403-1)-1)*(1-_xlfn.XLOOKUP(K403,'Fevereiro 2023 - Valor Real'!A3:A15,'Fevereiro 2023 - Valor Real'!C3:C15,0))+1)/((((L403/(L403-1)-1)*(1-_xlfn.XLOOKUP(K403,'Fevereiro 2023 - Valor Real'!A3:A15,'Fevereiro 2023 - Valor Real'!C3:C15,0))+1))+((L404-1)*(1-_xlfn.XLOOKUP(K404,'Fevereiro 2023 - Valor Real'!A3:A15,'Fevereiro 2023 - Valor Real'!C3:C15,0))+1)),((L403-1)*(1-_xlfn.XLOOKUP(K403,'Fevereiro 2023 - Valor Real'!A3:A15,'Fevereiro 2023 - Valor Real'!C3:C15,0))+1)/(((L403-1)*(1-_xlfn.XLOOKUP(K403,'Fevereiro 2023 - Valor Real'!A3:A15,'Fevereiro 2023 - Valor Real'!C3:C15,0))+1)+((L404-1)*(1-_xlfn.XLOOKUP(K404,'Fevereiro 2023 - Valor Real'!A3:A15,'Fevereiro 2023 - Valor Real'!C3:C15,0))+1))))))</f>
        <v>0.56324582338902152</v>
      </c>
      <c r="AF404" s="105">
        <f t="shared" ref="AF404:AR413" si="824">IF($K404=AF$3,ROUND(IF(OR($C404="W",$C404="1/2W",$C404="1/2L"),$P404-$O404,IF($C404="X",0,-$O404)),2),0)</f>
        <v>0</v>
      </c>
      <c r="AG404" s="106">
        <f t="shared" si="824"/>
        <v>0</v>
      </c>
      <c r="AH404" s="106">
        <f t="shared" si="824"/>
        <v>0</v>
      </c>
      <c r="AI404" s="106">
        <f t="shared" si="824"/>
        <v>0</v>
      </c>
      <c r="AJ404" s="106">
        <f t="shared" si="824"/>
        <v>0</v>
      </c>
      <c r="AK404" s="106">
        <f t="shared" si="824"/>
        <v>0</v>
      </c>
      <c r="AL404" s="106">
        <f t="shared" si="824"/>
        <v>0</v>
      </c>
      <c r="AM404" s="106">
        <f t="shared" si="824"/>
        <v>0</v>
      </c>
      <c r="AN404" s="106">
        <f t="shared" si="824"/>
        <v>0</v>
      </c>
      <c r="AO404" s="106">
        <f t="shared" si="824"/>
        <v>0</v>
      </c>
      <c r="AP404" s="106">
        <f t="shared" si="824"/>
        <v>0</v>
      </c>
      <c r="AQ404" s="106">
        <f t="shared" si="824"/>
        <v>0</v>
      </c>
      <c r="AR404" s="107">
        <f t="shared" si="824"/>
        <v>0</v>
      </c>
      <c r="AS404" s="105">
        <f>IF(AND($B403=" ",$K404=AS$3),$O404,0)</f>
        <v>0</v>
      </c>
      <c r="AT404" s="106">
        <f>IF(AND($B403=" ",K404=AT$3),$O404,0)</f>
        <v>0</v>
      </c>
      <c r="AU404" s="106">
        <f t="shared" ref="AU404:BE404" si="825">IF(AND($B403=" ",$K404=AU$3),$O404,0)</f>
        <v>0</v>
      </c>
      <c r="AV404" s="106">
        <f t="shared" si="825"/>
        <v>0</v>
      </c>
      <c r="AW404" s="106">
        <f t="shared" si="825"/>
        <v>0</v>
      </c>
      <c r="AX404" s="106">
        <f t="shared" si="825"/>
        <v>0</v>
      </c>
      <c r="AY404" s="108">
        <f t="shared" si="825"/>
        <v>0</v>
      </c>
      <c r="AZ404" s="109">
        <f t="shared" si="825"/>
        <v>0</v>
      </c>
      <c r="BA404" s="109">
        <f t="shared" si="825"/>
        <v>0</v>
      </c>
      <c r="BB404" s="109">
        <f t="shared" si="825"/>
        <v>0</v>
      </c>
      <c r="BC404" s="110">
        <f t="shared" si="825"/>
        <v>0</v>
      </c>
      <c r="BD404" s="106">
        <f t="shared" si="825"/>
        <v>0</v>
      </c>
      <c r="BE404" s="107">
        <f t="shared" si="825"/>
        <v>0</v>
      </c>
      <c r="BF404" s="105">
        <f t="shared" ref="BF404:BR413" si="826">IF($K404=BF$3,IF($C404="X",0,$O404),0)</f>
        <v>0</v>
      </c>
      <c r="BG404" s="106">
        <f t="shared" si="826"/>
        <v>0</v>
      </c>
      <c r="BH404" s="106">
        <f t="shared" si="826"/>
        <v>0</v>
      </c>
      <c r="BI404" s="106">
        <f t="shared" si="826"/>
        <v>0</v>
      </c>
      <c r="BJ404" s="106">
        <f t="shared" si="826"/>
        <v>0</v>
      </c>
      <c r="BK404" s="106">
        <f t="shared" si="826"/>
        <v>0</v>
      </c>
      <c r="BL404" s="106">
        <f t="shared" si="826"/>
        <v>0</v>
      </c>
      <c r="BM404" s="132">
        <f t="shared" si="826"/>
        <v>0</v>
      </c>
      <c r="BN404" s="112">
        <f t="shared" si="826"/>
        <v>0</v>
      </c>
      <c r="BO404" s="112">
        <f t="shared" si="826"/>
        <v>0</v>
      </c>
      <c r="BP404" s="112">
        <f t="shared" si="826"/>
        <v>0</v>
      </c>
      <c r="BQ404" s="110">
        <f t="shared" si="826"/>
        <v>0</v>
      </c>
      <c r="BR404" s="107">
        <f t="shared" si="826"/>
        <v>0</v>
      </c>
      <c r="BS404" s="464"/>
      <c r="BT404" s="461"/>
      <c r="BU404" s="392"/>
      <c r="BV404" s="461"/>
      <c r="BW404" s="392"/>
      <c r="BX404" s="392"/>
      <c r="BY404" s="392"/>
      <c r="BZ404" s="461"/>
      <c r="CA404" s="392"/>
      <c r="CB404" s="392"/>
      <c r="CC404" s="392"/>
      <c r="CD404" s="401"/>
      <c r="CE404" s="409"/>
      <c r="CF404" s="133">
        <f t="shared" si="772"/>
        <v>0</v>
      </c>
      <c r="CG404" s="134">
        <f t="shared" si="773"/>
        <v>0</v>
      </c>
      <c r="CH404" s="134">
        <f t="shared" si="774"/>
        <v>0</v>
      </c>
      <c r="CI404" s="134">
        <f t="shared" si="775"/>
        <v>0</v>
      </c>
      <c r="CJ404" s="134">
        <f t="shared" si="776"/>
        <v>0</v>
      </c>
      <c r="CK404" s="134">
        <f t="shared" si="777"/>
        <v>0</v>
      </c>
      <c r="CL404" s="134">
        <f t="shared" si="778"/>
        <v>0</v>
      </c>
      <c r="CM404" s="134">
        <f t="shared" si="779"/>
        <v>0</v>
      </c>
      <c r="CN404" s="134">
        <f t="shared" si="780"/>
        <v>0</v>
      </c>
      <c r="CO404" s="134">
        <f t="shared" si="781"/>
        <v>0</v>
      </c>
      <c r="CP404" s="134">
        <f t="shared" si="782"/>
        <v>0</v>
      </c>
      <c r="CQ404" s="134">
        <f t="shared" si="783"/>
        <v>0</v>
      </c>
      <c r="CR404" s="134">
        <f t="shared" si="784"/>
        <v>0</v>
      </c>
      <c r="CS404" s="134">
        <f t="shared" si="785"/>
        <v>0</v>
      </c>
      <c r="CT404" s="115">
        <f t="shared" si="786"/>
        <v>0</v>
      </c>
      <c r="CU404" s="116">
        <f t="shared" si="787"/>
        <v>0</v>
      </c>
      <c r="CV404" s="116">
        <f t="shared" si="788"/>
        <v>0</v>
      </c>
      <c r="CW404" s="116">
        <f t="shared" si="789"/>
        <v>0</v>
      </c>
      <c r="CX404" s="116">
        <f t="shared" si="790"/>
        <v>0</v>
      </c>
      <c r="CY404" s="116">
        <f t="shared" si="791"/>
        <v>0</v>
      </c>
      <c r="CZ404" s="116">
        <f t="shared" si="792"/>
        <v>0</v>
      </c>
      <c r="DA404" s="116">
        <f t="shared" si="793"/>
        <v>0</v>
      </c>
      <c r="DB404" s="116">
        <f t="shared" si="794"/>
        <v>0</v>
      </c>
      <c r="DC404" s="116">
        <f t="shared" si="795"/>
        <v>0</v>
      </c>
      <c r="DD404" s="116">
        <f t="shared" si="796"/>
        <v>0</v>
      </c>
      <c r="DE404" s="117">
        <f t="shared" si="797"/>
        <v>0</v>
      </c>
      <c r="DF404" s="118">
        <f t="shared" si="799"/>
        <v>29</v>
      </c>
      <c r="DG404" s="106">
        <f t="shared" si="800"/>
        <v>37.629999999999995</v>
      </c>
      <c r="DH404" s="116">
        <f t="shared" si="801"/>
        <v>10</v>
      </c>
      <c r="DI404" s="106">
        <f t="shared" si="802"/>
        <v>41.599999999999994</v>
      </c>
      <c r="DJ404" s="201" t="str">
        <f>IF($D403="","",$D403)</f>
        <v>13</v>
      </c>
      <c r="DK404" s="466"/>
    </row>
    <row r="405" spans="1:115" ht="14.5" customHeight="1" x14ac:dyDescent="0.2">
      <c r="A405" s="390"/>
      <c r="B405" s="457"/>
      <c r="C405" s="135" t="s">
        <v>53</v>
      </c>
      <c r="D405" s="375"/>
      <c r="E405" s="387"/>
      <c r="F405" s="378"/>
      <c r="G405" s="484"/>
      <c r="H405" s="477"/>
      <c r="I405" s="136"/>
      <c r="J405" s="137"/>
      <c r="K405" s="138"/>
      <c r="L405" s="139"/>
      <c r="M405" s="140"/>
      <c r="N405" s="407"/>
      <c r="O405" s="141" t="str">
        <f>IF(OR(AE403="",AE404=""),"",IF(L405&gt;0,ROUND(IF(M405&gt;0,M405,IF(M403&gt;0,ROUND((M403*AE405)/AE403,IF(N403=0,2,IF(N403=0.1,1,0))),IF(M404&gt;0,ROUND((M404*AE405)/AE404,IF(N403=0,2,IF(N403=0.1,1,0))),IF(M405&gt;0,M405,0)))),2),""))</f>
        <v/>
      </c>
      <c r="P405" s="142" t="str">
        <f>IF(I404="Lay",O404*(L404/(L404-1))-O404,IF(I403="Lay",O403*(L403/(L403-1))-O403,IF(OR(L405="",O405=""),"",IF($C405="1/2W",O405/2+O405/2*L405,IF($C405="1/2L",O405/2,(O405*L405-O405)*(1-_xlfn.XLOOKUP(K405,'Fevereiro 2023 - Valor Real'!A3:A15,'Fevereiro 2023 - Valor Real'!C3:C15,0))+O405)))))</f>
        <v/>
      </c>
      <c r="Q405" s="143" t="str">
        <f>IF(K405="","",IF(_xlfn.XLOOKUP(K405,K$4:K404,$DJ$4:DJ404,0,,-1)=DJ405,_xlfn.XLOOKUP(K405,K$4:K404,Q$4:Q404,1,,-1)+1,1))</f>
        <v/>
      </c>
      <c r="R405" s="144" t="str">
        <f>IF(K405="","",_xlfn.XLOOKUP(K405,K$4:K404,R$4:R404,0,,-1)+IF($C405=" ",1,0))</f>
        <v/>
      </c>
      <c r="S405" s="404"/>
      <c r="T405" s="378"/>
      <c r="U405" s="378"/>
      <c r="V405" s="404"/>
      <c r="W405" s="378"/>
      <c r="X405" s="453"/>
      <c r="Y405" s="383"/>
      <c r="Z405" s="384"/>
      <c r="AA405" s="384"/>
      <c r="AB405" s="384"/>
      <c r="AC405" s="384"/>
      <c r="AD405" s="145">
        <f>((L404/(L404-1)-1))</f>
        <v>1.2048192771084336</v>
      </c>
      <c r="AE405" s="146" t="str">
        <f>IF(L405="","",(SUM(((L403-1)*(1-_xlfn.XLOOKUP(K403,'Fevereiro 2023 - Valor Real'!A3:A15,'Fevereiro 2023 - Valor Real'!C3:C15,0))+1),((L404-1)*(1-_xlfn.XLOOKUP(K404,'Fevereiro 2023 - Valor Real'!A3:A15,'Fevereiro 2023 - Valor Real'!C3:C15,0))+1),((L405-1)*(1-_xlfn.XLOOKUP(K405,'Fevereiro 2023 - Valor Real'!A3:A15,'Fevereiro 2023 - Valor Real'!C3:C15,0))+1))/((L405-1)*(1-_xlfn.XLOOKUP(K405,'Fevereiro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Real'!C3:C15,0))+1))/((L403-1)*(1-_xlfn.XLOOKUP(K403,'Fevereiro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Real'!C3:C15,0))+1))/((L404-1)*(1-_xlfn.XLOOKUP(K404,'Fevereiro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Real'!C3:C15,0))+1))/((L405-1)*(1-_xlfn.XLOOKUP(K405,'Fevereiro 2023 - Valor Real'!A3:A15,'Fevereiro 2023 - Valor Real'!C3:C15,0))+1)))</f>
        <v/>
      </c>
      <c r="AF405" s="105">
        <f t="shared" si="824"/>
        <v>0</v>
      </c>
      <c r="AG405" s="106">
        <f t="shared" si="824"/>
        <v>0</v>
      </c>
      <c r="AH405" s="106">
        <f t="shared" si="824"/>
        <v>0</v>
      </c>
      <c r="AI405" s="106">
        <f t="shared" si="824"/>
        <v>0</v>
      </c>
      <c r="AJ405" s="106">
        <f t="shared" si="824"/>
        <v>0</v>
      </c>
      <c r="AK405" s="106">
        <f t="shared" si="824"/>
        <v>0</v>
      </c>
      <c r="AL405" s="106">
        <f t="shared" si="824"/>
        <v>0</v>
      </c>
      <c r="AM405" s="106">
        <f t="shared" si="824"/>
        <v>0</v>
      </c>
      <c r="AN405" s="106">
        <f t="shared" si="824"/>
        <v>0</v>
      </c>
      <c r="AO405" s="106">
        <f t="shared" si="824"/>
        <v>0</v>
      </c>
      <c r="AP405" s="106">
        <f t="shared" si="824"/>
        <v>0</v>
      </c>
      <c r="AQ405" s="106">
        <f t="shared" si="824"/>
        <v>0</v>
      </c>
      <c r="AR405" s="107">
        <f t="shared" si="824"/>
        <v>0</v>
      </c>
      <c r="AS405" s="105">
        <f>IF(AND($B403=" ",$K405=AS$3),$O405,0)</f>
        <v>0</v>
      </c>
      <c r="AT405" s="106">
        <f>IF(AND($B403=" ",K405=AT$3),$O405,0)</f>
        <v>0</v>
      </c>
      <c r="AU405" s="106">
        <f t="shared" ref="AU405:BE405" si="827">IF(AND($B403=" ",$K405=AU$3),$O405,0)</f>
        <v>0</v>
      </c>
      <c r="AV405" s="106">
        <f t="shared" si="827"/>
        <v>0</v>
      </c>
      <c r="AW405" s="106">
        <f t="shared" si="827"/>
        <v>0</v>
      </c>
      <c r="AX405" s="106">
        <f t="shared" si="827"/>
        <v>0</v>
      </c>
      <c r="AY405" s="108">
        <f t="shared" si="827"/>
        <v>0</v>
      </c>
      <c r="AZ405" s="109">
        <f t="shared" si="827"/>
        <v>0</v>
      </c>
      <c r="BA405" s="109">
        <f t="shared" si="827"/>
        <v>0</v>
      </c>
      <c r="BB405" s="109">
        <f t="shared" si="827"/>
        <v>0</v>
      </c>
      <c r="BC405" s="110">
        <f t="shared" si="827"/>
        <v>0</v>
      </c>
      <c r="BD405" s="106">
        <f t="shared" si="827"/>
        <v>0</v>
      </c>
      <c r="BE405" s="107">
        <f t="shared" si="827"/>
        <v>0</v>
      </c>
      <c r="BF405" s="105">
        <f t="shared" si="826"/>
        <v>0</v>
      </c>
      <c r="BG405" s="106">
        <f t="shared" si="826"/>
        <v>0</v>
      </c>
      <c r="BH405" s="106">
        <f t="shared" si="826"/>
        <v>0</v>
      </c>
      <c r="BI405" s="106">
        <f t="shared" si="826"/>
        <v>0</v>
      </c>
      <c r="BJ405" s="106">
        <f t="shared" si="826"/>
        <v>0</v>
      </c>
      <c r="BK405" s="106">
        <f t="shared" si="826"/>
        <v>0</v>
      </c>
      <c r="BL405" s="106">
        <f t="shared" si="826"/>
        <v>0</v>
      </c>
      <c r="BM405" s="108">
        <f t="shared" si="826"/>
        <v>0</v>
      </c>
      <c r="BN405" s="109">
        <f t="shared" si="826"/>
        <v>0</v>
      </c>
      <c r="BO405" s="109">
        <f t="shared" si="826"/>
        <v>0</v>
      </c>
      <c r="BP405" s="109">
        <f t="shared" si="826"/>
        <v>0</v>
      </c>
      <c r="BQ405" s="110">
        <f t="shared" si="826"/>
        <v>0</v>
      </c>
      <c r="BR405" s="107">
        <f t="shared" si="826"/>
        <v>0</v>
      </c>
      <c r="BS405" s="464"/>
      <c r="BT405" s="461"/>
      <c r="BU405" s="392"/>
      <c r="BV405" s="461"/>
      <c r="BW405" s="392"/>
      <c r="BX405" s="392"/>
      <c r="BY405" s="392"/>
      <c r="BZ405" s="461"/>
      <c r="CA405" s="392"/>
      <c r="CB405" s="392"/>
      <c r="CC405" s="392"/>
      <c r="CD405" s="401"/>
      <c r="CE405" s="409"/>
      <c r="CF405" s="133">
        <f t="shared" si="772"/>
        <v>0</v>
      </c>
      <c r="CG405" s="134">
        <f t="shared" si="773"/>
        <v>0</v>
      </c>
      <c r="CH405" s="134">
        <f t="shared" si="774"/>
        <v>0</v>
      </c>
      <c r="CI405" s="134">
        <f t="shared" si="775"/>
        <v>0</v>
      </c>
      <c r="CJ405" s="134">
        <f t="shared" si="776"/>
        <v>0</v>
      </c>
      <c r="CK405" s="134">
        <f t="shared" si="777"/>
        <v>0</v>
      </c>
      <c r="CL405" s="134">
        <f t="shared" si="778"/>
        <v>0</v>
      </c>
      <c r="CM405" s="134">
        <f t="shared" si="779"/>
        <v>0</v>
      </c>
      <c r="CN405" s="134">
        <f t="shared" si="780"/>
        <v>0</v>
      </c>
      <c r="CO405" s="134">
        <f t="shared" si="781"/>
        <v>0</v>
      </c>
      <c r="CP405" s="134">
        <f t="shared" si="782"/>
        <v>0</v>
      </c>
      <c r="CQ405" s="134">
        <f t="shared" si="783"/>
        <v>0</v>
      </c>
      <c r="CR405" s="134">
        <f t="shared" si="784"/>
        <v>0</v>
      </c>
      <c r="CS405" s="134">
        <f t="shared" si="785"/>
        <v>0</v>
      </c>
      <c r="CT405" s="115">
        <f t="shared" si="786"/>
        <v>0</v>
      </c>
      <c r="CU405" s="116">
        <f t="shared" si="787"/>
        <v>0</v>
      </c>
      <c r="CV405" s="116">
        <f t="shared" si="788"/>
        <v>0</v>
      </c>
      <c r="CW405" s="116">
        <f t="shared" si="789"/>
        <v>0</v>
      </c>
      <c r="CX405" s="116">
        <f t="shared" si="790"/>
        <v>0</v>
      </c>
      <c r="CY405" s="116">
        <f t="shared" si="791"/>
        <v>0</v>
      </c>
      <c r="CZ405" s="116">
        <f t="shared" si="792"/>
        <v>0</v>
      </c>
      <c r="DA405" s="116">
        <f t="shared" si="793"/>
        <v>0</v>
      </c>
      <c r="DB405" s="116">
        <f t="shared" si="794"/>
        <v>0</v>
      </c>
      <c r="DC405" s="116">
        <f t="shared" si="795"/>
        <v>0</v>
      </c>
      <c r="DD405" s="116">
        <f t="shared" si="796"/>
        <v>0</v>
      </c>
      <c r="DE405" s="117">
        <f t="shared" si="797"/>
        <v>0</v>
      </c>
      <c r="DF405" s="118">
        <f t="shared" si="799"/>
        <v>29</v>
      </c>
      <c r="DG405" s="106">
        <f t="shared" si="800"/>
        <v>37.629999999999995</v>
      </c>
      <c r="DH405" s="116">
        <f t="shared" si="801"/>
        <v>10</v>
      </c>
      <c r="DI405" s="106">
        <f t="shared" si="802"/>
        <v>41.599999999999994</v>
      </c>
      <c r="DJ405" s="201" t="str">
        <f>IF($D403="","",$D403)</f>
        <v>13</v>
      </c>
      <c r="DK405" s="466"/>
    </row>
    <row r="406" spans="1:115" ht="14.5" customHeight="1" x14ac:dyDescent="0.2">
      <c r="A406" s="487">
        <f>$A403+1</f>
        <v>135</v>
      </c>
      <c r="B406" s="506" t="str">
        <f>IF(OR(C406="W",C407="W",C408="W",C406="1/2W",C407="1/2W",C408="1/2W",C406="1/2L",C407="1/2L",C408="1/2L"),"OK",IF(OR(C406="L",C407="L",C408="L"),"LOSS",IF(OR(C406="X",C407="X",C408="X"),"Anulado"," ")))</f>
        <v>OK</v>
      </c>
      <c r="C406" s="147" t="s">
        <v>55</v>
      </c>
      <c r="D406" s="494" t="str">
        <f>IF(G406="","",$D403)</f>
        <v>13</v>
      </c>
      <c r="E406" s="511" t="str">
        <f>IF(G406=""," ","– "&amp;COUNTIF(D$4:D408,$D406))</f>
        <v>– 10</v>
      </c>
      <c r="F406" s="510" t="str">
        <f ca="1">IF(G406="","",IF(OR(AND($C406&lt;&gt;" ",$C407=" "),AND($C407&lt;&gt;" ",$C406=" "),AND(L408&gt;0,OR(AND($C408&lt;&gt;" ",OR($C406=" ",$C407=" ")),AND($C408=" ",OR($C406&lt;&gt;" ",$C407&lt;&gt;" "))))),IF(SUM(F$4:F405)=0,1,LARGE(F$4:F405,1)+1),IF(MONTH(G406)=MONTH(TODAY()),IF(AND(DAY(G406)&lt;DAY(TODAY()),$B406=" "),IF(SUM(F$4:F405)=0,1,LARGE(F$4:F405,1)+1),IF($B406=" ",IF(AND(DAY(G406)=DAY(TODAY()),HOUR(G406)&lt;=HOUR(NOW())+1),IF(AND(HOUR(G406)+2&lt;=HOUR(NOW()),DAY(G406)&lt;=DAY(TODAY()),MINUTE(G406)&lt;=MINUTE(NOW())),IF(SUM(F$4:F405)=0,1,LARGE(F$4:F405,1)+1),IF(OR(MINUTE(G406)&lt;=MINUTE(NOW()),HOUR(G406)&lt;=HOUR(NOW())),"!!!","")),""),"")),"")))</f>
        <v/>
      </c>
      <c r="G406" s="508">
        <v>44999.697916666664</v>
      </c>
      <c r="H406" s="502" t="s">
        <v>172</v>
      </c>
      <c r="I406" s="148">
        <v>2</v>
      </c>
      <c r="J406" s="149"/>
      <c r="K406" s="150" t="s">
        <v>40</v>
      </c>
      <c r="L406" s="151">
        <v>1.68</v>
      </c>
      <c r="M406" s="152">
        <v>24.9</v>
      </c>
      <c r="N406" s="503">
        <v>0</v>
      </c>
      <c r="O406" s="153">
        <f>IF(OR(AE406="",AE407=""),"",ROUND(IF(L408&gt;0,IF(M406&gt;0,M406,IF(M407&gt;0,ROUND((M407*AE406)/AE407,IF(N406=0,2,IF(N406=0.1,1,0))),ROUND((M408*AE406)/AE408,IF(N406=0,2,IF(N406=0.1,1,0))))),IF(M406&gt;0,M406,ROUND((M407*AE406)/AE407,IF(N406=0,2,IF(N406=0.1,1,0))))),2))</f>
        <v>24.9</v>
      </c>
      <c r="P406" s="154">
        <f>IF(OR(L406="",O406=""),"",IF($C406="1/2W",O406/2+O406/2*L406,IF($C406="1/2L",O406/2,IF(I406="Lay",(O406*(L406/(L406-1))-O406)*(1-_xlfn.XLOOKUP(K406,'Fevereiro 2023 - Valor Real'!A3:A15,'Fevereiro 2023 - Valor Real'!C3:C15,0))+O406,(O406*L406-O406)*(1-_xlfn.XLOOKUP(K406,'Fevereiro 2023 - Valor Real'!A3:A15,'Fevereiro 2023 - Valor Real'!C3:C15,0))+O406))))</f>
        <v>41.831999999999994</v>
      </c>
      <c r="Q406" s="155">
        <f>IF(K406="","",IF(_xlfn.XLOOKUP(K406,K$9:K398,$DJ$9:DJ398,0,,-1)=DJ406,_xlfn.XLOOKUP(K406,K$9:K398,Q$9:Q398,1,,-1)+1,1))</f>
        <v>3</v>
      </c>
      <c r="R406" s="156">
        <f>IF(K406="","",_xlfn.XLOOKUP(K406,K$9:K398,R$9:R398,0,,-1)+IF($C406=" ",1,0))</f>
        <v>0</v>
      </c>
      <c r="S406" s="501">
        <f>IF($B406="Anulado",0,ROUND(IF(OR($B406="LOSS",$B406="OK"),IF(OR($C406="W",$C406="1/2W",$C406="1/2L"),P406-O406,IF($C406="L",-O406,0))+IF(OR($C407="W",$C407="1/2W",$C407="1/2L"),P407-O407,IF($C407="L",-O407,0))+IF(OR($C408="W",$C408="1/2W",$C408="1/2L"),P408-O408,IF($C408="L",-O408,0)),IF(AND(OR($C406="W",$C406="1/2W",$C406="1/2L"),C407="W"),P406+P407-SUM(O406:O408)+_xlfn.XLOOKUP("X",C406:C408,O406:O408,0),IF(AND(C406=TRUE,C408="W"),P406+P408-SUM(O406:O408),IF(AND(C407="W",C408="W"),P407+P408-SUM(O406:O408)+_xlfn.XLOOKUP("X",C406:C408,O406:O408,0),IF(L408&gt;0,IF(OR($C406="W",$C406="1/2W",$C406="1/2L"),P406-SUM(O406:O408)+_xlfn.XLOOKUP("X",C406:C408,O406:O408,0),IF(OR($C406="W",$C406="1/2W",$C406="1/2L"),P407-SUM(O406:O408)+_xlfn.XLOOKUP("X",C406:C408,O406:O408,0),IF(OR($C406="W",$C406="1/2W",$C406="1/2L"),P408-SUM(O406:O408)+_xlfn.XLOOKUP("X",C406:C408,O406:O408,0),IF(SUM(P406:P408)/3-SUM(O406:O408)+_xlfn.XLOOKUP("X",C406:C408,O406:O408,0)&gt;0,SUM(P406:P408)/3-SUM(O406:O408)+_xlfn.XLOOKUP("X",C406:C408,O406:O408,0),LARGE(P406:P408,1)-SUM(O406:O408))))),IF(OR($C406="W",$C406="1/2W",$C406="1/2L"),P406-SUM(O406:O407)+_xlfn.XLOOKUP("X",C406:C408,O406:O408,0),IF(OR($C406="W",$C406="1/2W",$C406="1/2L"),P407-SUM(O406:O407)+_xlfn.XLOOKUP("X",C406:C408,O406:O408,0),SUM(P406:P407)/2-SUM(O406:O407)+_xlfn.XLOOKUP("X",C406:C408,O406:O408,0)))))))),2))</f>
        <v>1.24</v>
      </c>
      <c r="T406" s="486">
        <f>IF(S406=0,0,S406/SUM(O406:O408))</f>
        <v>3.064755313890262E-2</v>
      </c>
      <c r="U406" s="496">
        <f>IF($D406=$D403,IF(OR($B406="LOSS",$B406="OK",$B406="Anulada"),S406,0)+U403,IF(OR($B406="LOSS",$B406="OK",$B406="Anulada"),S406,0))</f>
        <v>30.209999999999997</v>
      </c>
      <c r="V406" s="496">
        <f>IF($D406="",0,IF($D406=$D403,IF($B406=" ",IF(I408="",IF(OR(AND(I406="DNB1",I407="DNB2"),AND(OR(I406="DNB1",I406="DNB2"),J407=0),AND(OR(I407="DNB1",I407="DNB2"),J406=0),AND(I406="DNB2",I407="DNB1"),AND(IF(J406=0,(J406+1)/ROUND(J406+1,0),J406/ROUND(J406,0))=1,IF(J407=0,(J407+1)/ROUND(IF(J407="",0,J407)+1,0),IF(J407="",0,J407)/ROUND(IF(J407="",1,J407),0))=1,OR(J406&lt;&gt;""),J407&lt;&gt;"")),0,IF(S406&lt;0,IF(I408="",SMALL(P406:P407,1)-SUM(O406:O407),0),SMALL(P406:P407,1)-SUM(O406:O407))),IF(S406&lt;0,IF(I408="",SMALL(P406:P408,1)-SUM(O406:O408),0),LARGE(P406:P408,1)-SUM(O406:O408))),S406)+V403,IF(I408="",IF(OR(AND(I406="DNB1",I407="DNB2"),AND(OR(I406="DNB1",I406="DNB2"),J407=0),AND(OR(I407="DNB1",I407="DNB2"),J406=0),AND(I406="DNB2",I407="DNB1"),AND(IF(J406=0,(J406+1)/ROUND(J406+1,0),J406/ROUND(J406,0))=1,IF(J407=0,(IF(J407="",0,J407)+1)/ROUND(IF(J407="",0,J407)+1,0),IF(J407="",0,J407)/ROUND(IF(J407="",0,J407)+1,0))=1,OR(J406&lt;&gt;""),J407&lt;&gt;"")),0,IF(S406&lt;0,IF(I408="",SMALL(P406:P407,1)-SUM(O406:O407),0),SMALL(P406:P408,1)-SUM(O406:O408))),IF(S406&lt;0,IF(I408="",SMALL(P406:P408,1)-SUM(O406:O408),0),LARGE(P406:P408,1)-SUM(O406:O408)))))</f>
        <v>29.827000000000002</v>
      </c>
      <c r="W406" s="496">
        <f>IF($D406=$D403,IF(S406&lt;0,IF(I408="",S406,0),S406)+W403,S406)</f>
        <v>30.209999999999997</v>
      </c>
      <c r="X406" s="505" t="str">
        <f>IF(OR(SUM(R406:R408)=0,V406=W406),ROUND(IF(W406=0,0,W406/Y406)*100,2)&amp;"%",ROUND(IF(V406=0,0,V406/Y406)*100,2)&amp;"% a "&amp;ROUND(IF(W406=0,0,W406/Y406)*100,2)&amp;"%")</f>
        <v>4,56%</v>
      </c>
      <c r="Y406" s="497">
        <f>IF($D406=$D403,Y403+SUM(O406:O408),SUM(O406:O408))</f>
        <v>662.97</v>
      </c>
      <c r="Z406" s="496">
        <f>IF($B406=" ",SUM(O406:O408),0)+Z403</f>
        <v>0</v>
      </c>
      <c r="AA406" s="496">
        <f>IF(G406="","",IF($B406="Anulado",LARGE(P406:P408,1)-SUM(O406:O408)+AA403,AA403))</f>
        <v>12.425099999999992</v>
      </c>
      <c r="AB406" s="496">
        <f>IF($D406="","",AB403+S406)</f>
        <v>488.56000000000012</v>
      </c>
      <c r="AC406" s="499">
        <f ca="1">IF($D406="","",IF($B406=" ",IF(DAY(G406)=DAY(TODAY()),1+AC403,0+AC403),0+AC403))</f>
        <v>0</v>
      </c>
      <c r="AD406" s="157">
        <f>(1-_xlfn.XLOOKUP(K404,'Fevereiro 2023 - Valor Real'!A3:A15,'Fevereiro 2023 - Valor Real'!C3:C15,0))+1</f>
        <v>2</v>
      </c>
      <c r="AE406" s="158">
        <f>IF(L406="","",IF(L408&gt;0,(SUM(((L406-1)*(1-_xlfn.XLOOKUP(K406,'Fevereiro 2023 - Valor Real'!A3:A15,'Fevereiro 2023 - Valor Real'!C3:C15,0))+1),((L407-1)*(1-_xlfn.XLOOKUP(K407,'Fevereiro 2023 - Valor Real'!A3:A15,'Fevereiro 2023 - Valor Real'!C3:C15,0))+1),((L408-1)*(1-_xlfn.XLOOKUP(K408,'Fevereiro 2023 - Valor Real'!A3:A15,'Fevereiro 2023 - Valor Real'!C3:C15,0))+1))/((L406-1)*(1-_xlfn.XLOOKUP(K406,'Fevereiro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Real'!C3:C15,0))+1))/((L406-1)*(1-_xlfn.XLOOKUP(K406,'Fevereiro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Real'!C3:C15,0))+1))/((L407-1)*(1-_xlfn.XLOOKUP(K407,'Fevereiro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Real'!C3:C15,0))+1))/((L408-1)*(1-_xlfn.XLOOKUP(K408,'Fevereiro 2023 - Valor Real'!A3:A15,'Fevereiro 2023 - Valor Real'!C3:C15,0))+1)),IF(I406="Lay",IF(I407="Lay",((L407/(L407-1)-1)*(1-_xlfn.XLOOKUP(K407,'Fevereiro 2023 - Valor Real'!A3:A15,'Fevereiro 2023 - Valor Real'!C3:C15,0))+1)/(((L407/(L407-1)-1)*(1-_xlfn.XLOOKUP(K407,'Fevereiro 2023 - Valor Real'!A3:A15,'Fevereiro 2023 - Valor Real'!C3:C15,0))+1)+((L406/(L406-1)-1)*(1-_xlfn.XLOOKUP(K406,'Fevereiro 2023 - Valor Real'!A3:A15,'Fevereiro 2023 - Valor Real'!C3:C15,0))+1)),((L407-1)*(1-_xlfn.XLOOKUP(K407,'Fevereiro 2023 - Valor Real'!A3:A15,'Fevereiro 2023 - Valor Real'!C3:C15,0))+1)/(((L407-1)*(1-_xlfn.XLOOKUP(K407,'Fevereiro 2023 - Valor Real'!A3:A15,'Fevereiro 2023 - Valor Real'!C3:C15,0))+1)+((L406/(L406-1)-1)*(1-_xlfn.XLOOKUP(K406,'Fevereiro 2023 - Valor Real'!A3:A15,'Fevereiro 2023 - Valor Real'!C3:C15,0))+1))),IF(I407="Lay",(((L407/(L407-1)-1)*(1-_xlfn.XLOOKUP(K407,'Fevereiro 2023 - Valor Real'!A3:A15,'Fevereiro 2023 - Valor Real'!C3:C15,0))+1))/(((L406-1)*(1-_xlfn.XLOOKUP(K406,'Fevereiro 2023 - Valor Real'!A3:A15,'Fevereiro 2023 - Valor Real'!C3:C15,0))+1)+((L407/(L407-1)-1)*(1-_xlfn.XLOOKUP(K407,'Fevereiro 2023 - Valor Real'!A3:A15,'Fevereiro 2023 - Valor Real'!C3:C15,0))+1)),((L407-1)*(1-_xlfn.XLOOKUP(K407,'Fevereiro 2023 - Valor Real'!A3:A15,'Fevereiro 2023 - Valor Real'!C3:C15,0))+1)/(((L407-1)*(1-_xlfn.XLOOKUP(K407,'Fevereiro 2023 - Valor Real'!A3:A15,'Fevereiro 2023 - Valor Real'!C3:C15,0))+1)+((L406-1)*(1-_xlfn.XLOOKUP(K406,'Fevereiro 2023 - Valor Real'!A3:A15,'Fevereiro 2023 - Valor Real'!C3:C15,0))+1))))))</f>
        <v>0.61467889908256879</v>
      </c>
      <c r="AF406" s="66">
        <f t="shared" si="824"/>
        <v>0</v>
      </c>
      <c r="AG406" s="67">
        <f t="shared" si="824"/>
        <v>0</v>
      </c>
      <c r="AH406" s="67">
        <f t="shared" si="824"/>
        <v>0</v>
      </c>
      <c r="AI406" s="67">
        <f t="shared" si="824"/>
        <v>0</v>
      </c>
      <c r="AJ406" s="67">
        <f t="shared" si="824"/>
        <v>-24.9</v>
      </c>
      <c r="AK406" s="67">
        <f t="shared" si="824"/>
        <v>0</v>
      </c>
      <c r="AL406" s="67">
        <f t="shared" si="824"/>
        <v>0</v>
      </c>
      <c r="AM406" s="67">
        <f t="shared" si="824"/>
        <v>0</v>
      </c>
      <c r="AN406" s="67">
        <f t="shared" si="824"/>
        <v>0</v>
      </c>
      <c r="AO406" s="67">
        <f t="shared" si="824"/>
        <v>0</v>
      </c>
      <c r="AP406" s="67">
        <f t="shared" si="824"/>
        <v>0</v>
      </c>
      <c r="AQ406" s="67">
        <f t="shared" si="824"/>
        <v>0</v>
      </c>
      <c r="AR406" s="68">
        <f t="shared" si="824"/>
        <v>0</v>
      </c>
      <c r="AS406" s="66">
        <f t="shared" ref="AS406:BE406" si="828">IF(AND($B406=" ",$K406=AS$3),$O406,0)</f>
        <v>0</v>
      </c>
      <c r="AT406" s="67">
        <f t="shared" si="828"/>
        <v>0</v>
      </c>
      <c r="AU406" s="67">
        <f t="shared" si="828"/>
        <v>0</v>
      </c>
      <c r="AV406" s="67">
        <f t="shared" si="828"/>
        <v>0</v>
      </c>
      <c r="AW406" s="67">
        <f t="shared" si="828"/>
        <v>0</v>
      </c>
      <c r="AX406" s="67">
        <f t="shared" si="828"/>
        <v>0</v>
      </c>
      <c r="AY406" s="69">
        <f t="shared" si="828"/>
        <v>0</v>
      </c>
      <c r="AZ406" s="70">
        <f t="shared" si="828"/>
        <v>0</v>
      </c>
      <c r="BA406" s="70">
        <f t="shared" si="828"/>
        <v>0</v>
      </c>
      <c r="BB406" s="70">
        <f t="shared" si="828"/>
        <v>0</v>
      </c>
      <c r="BC406" s="71">
        <f t="shared" si="828"/>
        <v>0</v>
      </c>
      <c r="BD406" s="67">
        <f t="shared" si="828"/>
        <v>0</v>
      </c>
      <c r="BE406" s="68">
        <f t="shared" si="828"/>
        <v>0</v>
      </c>
      <c r="BF406" s="66">
        <f t="shared" si="826"/>
        <v>0</v>
      </c>
      <c r="BG406" s="67">
        <f t="shared" si="826"/>
        <v>0</v>
      </c>
      <c r="BH406" s="67">
        <f t="shared" si="826"/>
        <v>0</v>
      </c>
      <c r="BI406" s="67">
        <f t="shared" si="826"/>
        <v>0</v>
      </c>
      <c r="BJ406" s="67">
        <f t="shared" si="826"/>
        <v>24.9</v>
      </c>
      <c r="BK406" s="67">
        <f t="shared" si="826"/>
        <v>0</v>
      </c>
      <c r="BL406" s="67">
        <f t="shared" si="826"/>
        <v>0</v>
      </c>
      <c r="BM406" s="69">
        <f t="shared" si="826"/>
        <v>0</v>
      </c>
      <c r="BN406" s="70">
        <f t="shared" si="826"/>
        <v>0</v>
      </c>
      <c r="BO406" s="70">
        <f t="shared" si="826"/>
        <v>0</v>
      </c>
      <c r="BP406" s="70">
        <f t="shared" si="826"/>
        <v>0</v>
      </c>
      <c r="BQ406" s="71">
        <f t="shared" si="826"/>
        <v>0</v>
      </c>
      <c r="BR406" s="68">
        <f t="shared" si="826"/>
        <v>0</v>
      </c>
      <c r="BS406" s="490">
        <f>IF($B406="LOSS",IF(AND($K406=BS$3,$C406="L"),-$O406,0)+IF(AND($K407=BS$3,$C407="L"),-$O407,0)+IF(AND($K408=BS$3,$C408="L"),-$O408,0),IF(OR(AND($K406=BS$3,OR($C406="W",$C406="1/2W")),AND($K407=BS$3,OR($C407="W",$C407="1/2W")),AND($K408=BS$3,OR($C408="W",$C408="1/2W"))),$S406,0))</f>
        <v>0</v>
      </c>
      <c r="BT406" s="498">
        <f>IF($B406="LOSS",IF(AND($K406=BT$3,$C406="L"),-$O406,0)+IF(AND($K407=BT$3,$C407="L"),-$O407,0)+IF(AND($K407=BT$3,$C408="L"),-$O408,0),IF(OR(AND($K407=BT$3,OR($C406="W",$C406="1/2W")),AND($K407=BT$3,OR($C407="W",$C407="1/2W")),AND($K407=BT$3,OR($C408="W",$C408="1/2W"))),$S406,0))</f>
        <v>0</v>
      </c>
      <c r="BU406" s="488">
        <f>IF($B406="LOSS",IF(AND($K406=BU$3,$C406="L"),-$O406,0)+IF(AND($K407=BU$3,$C407="L"),-$O407,0)+IF(AND($K407=BU$3,$C408="L"),-$O408,0),IF(OR(AND($K407=BU$3,OR($C406="W",$C406="1/2W")),AND($K407=BU$3,OR($C407="W",$C407="1/2W")),AND($K407=BU$3,OR($C408="W",$C408="1/2W"))),$S406,0))</f>
        <v>0</v>
      </c>
      <c r="BV406" s="488">
        <f t="shared" ref="BV406:CE406" si="829">IF($B406="LOSS",IF(AND($K406=BV$3,$C406="L"),-$O406,0)+IF(AND($K407=BV$3,$C407="L"),-$O407,0)+IF(AND($K408=BV$3,$C408="L"),-$O408,0),IF(OR(AND($K406=BV$3,OR($C406="W",$C406="1/2W")),AND($K407=BV$3,OR($C407="W",$C407="1/2W")),AND($K408=BV$3,OR($C408="W",$C408="1/2W"))),$S406,0))</f>
        <v>0</v>
      </c>
      <c r="BW406" s="488">
        <f t="shared" si="829"/>
        <v>0</v>
      </c>
      <c r="BX406" s="488">
        <f t="shared" si="829"/>
        <v>0</v>
      </c>
      <c r="BY406" s="488">
        <f t="shared" si="829"/>
        <v>0</v>
      </c>
      <c r="BZ406" s="488">
        <f t="shared" si="829"/>
        <v>0</v>
      </c>
      <c r="CA406" s="488">
        <f t="shared" si="829"/>
        <v>0</v>
      </c>
      <c r="CB406" s="488">
        <f t="shared" si="829"/>
        <v>0</v>
      </c>
      <c r="CC406" s="488">
        <f t="shared" si="829"/>
        <v>0</v>
      </c>
      <c r="CD406" s="500">
        <f t="shared" si="829"/>
        <v>1.24</v>
      </c>
      <c r="CE406" s="504">
        <f t="shared" si="829"/>
        <v>0</v>
      </c>
      <c r="CF406" s="160">
        <f t="shared" si="772"/>
        <v>0</v>
      </c>
      <c r="CG406" s="161">
        <f t="shared" si="773"/>
        <v>0</v>
      </c>
      <c r="CH406" s="161">
        <f t="shared" si="774"/>
        <v>0</v>
      </c>
      <c r="CI406" s="161">
        <f t="shared" si="775"/>
        <v>0</v>
      </c>
      <c r="CJ406" s="161">
        <f t="shared" si="776"/>
        <v>0</v>
      </c>
      <c r="CK406" s="161">
        <f t="shared" si="777"/>
        <v>0</v>
      </c>
      <c r="CL406" s="161">
        <f t="shared" si="778"/>
        <v>0</v>
      </c>
      <c r="CM406" s="161">
        <f t="shared" si="779"/>
        <v>0</v>
      </c>
      <c r="CN406" s="161">
        <f t="shared" si="780"/>
        <v>0</v>
      </c>
      <c r="CO406" s="161">
        <f t="shared" si="781"/>
        <v>1</v>
      </c>
      <c r="CP406" s="161">
        <f t="shared" si="782"/>
        <v>0</v>
      </c>
      <c r="CQ406" s="161">
        <f t="shared" si="783"/>
        <v>0</v>
      </c>
      <c r="CR406" s="161">
        <f t="shared" si="784"/>
        <v>0</v>
      </c>
      <c r="CS406" s="161">
        <f t="shared" si="785"/>
        <v>0</v>
      </c>
      <c r="CT406" s="75">
        <f t="shared" si="786"/>
        <v>0</v>
      </c>
      <c r="CU406" s="76">
        <f t="shared" si="787"/>
        <v>0</v>
      </c>
      <c r="CV406" s="76">
        <f t="shared" si="788"/>
        <v>0</v>
      </c>
      <c r="CW406" s="76">
        <f t="shared" si="789"/>
        <v>0</v>
      </c>
      <c r="CX406" s="76">
        <f t="shared" si="790"/>
        <v>0</v>
      </c>
      <c r="CY406" s="76">
        <f t="shared" si="791"/>
        <v>0</v>
      </c>
      <c r="CZ406" s="76">
        <f t="shared" si="792"/>
        <v>0</v>
      </c>
      <c r="DA406" s="76">
        <f t="shared" si="793"/>
        <v>0</v>
      </c>
      <c r="DB406" s="76">
        <f t="shared" si="794"/>
        <v>0</v>
      </c>
      <c r="DC406" s="76">
        <f t="shared" si="795"/>
        <v>0</v>
      </c>
      <c r="DD406" s="76">
        <f t="shared" si="796"/>
        <v>0</v>
      </c>
      <c r="DE406" s="77">
        <f t="shared" si="797"/>
        <v>0</v>
      </c>
      <c r="DF406" s="73">
        <f t="shared" si="799"/>
        <v>29</v>
      </c>
      <c r="DG406" s="67">
        <f t="shared" si="800"/>
        <v>37.629999999999995</v>
      </c>
      <c r="DH406" s="76">
        <f t="shared" si="801"/>
        <v>10</v>
      </c>
      <c r="DI406" s="67">
        <f t="shared" si="802"/>
        <v>41.599999999999994</v>
      </c>
      <c r="DJ406" s="202" t="str">
        <f>IF($D406="","",$D406)</f>
        <v>13</v>
      </c>
      <c r="DK406" s="492">
        <f>IF(AND($B406=" ",$D406&lt;&gt;""),1,0)</f>
        <v>0</v>
      </c>
    </row>
    <row r="407" spans="1:115" ht="14.5" customHeight="1" x14ac:dyDescent="0.2">
      <c r="A407" s="389"/>
      <c r="B407" s="456"/>
      <c r="C407" s="53" t="s">
        <v>54</v>
      </c>
      <c r="D407" s="374"/>
      <c r="E407" s="386"/>
      <c r="F407" s="377"/>
      <c r="G407" s="508"/>
      <c r="H407" s="476"/>
      <c r="I407" s="182" t="s">
        <v>59</v>
      </c>
      <c r="J407" s="163" t="str">
        <f>IF(OR(I406="TO",I406="TU",I406="TO1",I406="TU1",I406="TO2",I406="TU2"),J406,IF(OR(I406="AH1",I406="AH2"),IF(OR(I407="AH1",I407="AH2"),-J406,IF(OR(I407="EH1",I407="EH2"),-J406+0.5,"")),IF(OR(I406="EH1",I406="EH2"),IF(OR(I407="AH1",I407="AH2"),-J406+0.5,IF(OR(I407="EH1",I407="EH2"),-J406+1,"")),IF(AND(OR(I406="DNB1",I406="DNB2"),OR(I407="AH1",I407="AH2")),0,IF(AND(I406="Not ScoreBoth",OR(I407="TO1",I407="TO2")),0.5,"")))))</f>
        <v/>
      </c>
      <c r="K407" s="57" t="s">
        <v>47</v>
      </c>
      <c r="L407" s="164">
        <v>2.68</v>
      </c>
      <c r="M407" s="165">
        <v>15.56</v>
      </c>
      <c r="N407" s="406"/>
      <c r="O407" s="60">
        <f>IF(OR(AE406="",AE407=""),"",ROUND(IF(L408&gt;0,IF(M407&gt;0,M407,IF(M406&gt;0,IF(N406=TRUE,ROUND((M406*AE407)/AE406,0),(M406*AE407)/AE406),IF(M407&gt;0,ROUND(M407,IF(N406=0,2,IF(N406=0.1,1,0))),IF(M408&gt;0,ROUND(O408*AE407/AE408,IF(N406=0,2,IF(N406=0.1,1,0))),0)))),IF(M407&gt;0,M407,ROUND((M406*AE407)/AE406,IF(N406=0,2,IF(N406=0.1,1,0))))),2))</f>
        <v>15.56</v>
      </c>
      <c r="P407" s="61">
        <f>IF(OR(L407="",O407=""),"",IF($C407="1/2W",O407/2+O407/2*L407,IF($C407="1/2L",O407/2,IF(I407="Lay",((O407*(L407/(L407-1)))-O407)*(1-_xlfn.XLOOKUP(K407,'Fevereiro 2023 - Valor Real'!A3:A15,'Fevereiro 2023 - Valor Real'!C3:C15,0))+O407,(O407*L407-O407)*(1-_xlfn.XLOOKUP(K407,'Fevereiro 2023 - Valor Real'!A3:A15,'Fevereiro 2023 - Valor Real'!C3:C15,0))+O407))))</f>
        <v>41.700800000000001</v>
      </c>
      <c r="Q407" s="166">
        <f>IF(K407="","",IF(_xlfn.XLOOKUP(K407,K$10:K398,$DJ$10:DJ398,0,,-1)=DJ407,_xlfn.XLOOKUP(K407,K$10:K398,Q$10:Q398,1,,-1)+1,1))</f>
        <v>1</v>
      </c>
      <c r="R407" s="167">
        <f>IF(K407="","",_xlfn.XLOOKUP(K407,K$10:K398,R$10:R398,0,,-1)+IF($C407=" ",1,0))</f>
        <v>0</v>
      </c>
      <c r="S407" s="403"/>
      <c r="T407" s="380"/>
      <c r="U407" s="380"/>
      <c r="V407" s="481"/>
      <c r="W407" s="380"/>
      <c r="X407" s="452"/>
      <c r="Y407" s="383"/>
      <c r="Z407" s="384"/>
      <c r="AA407" s="384"/>
      <c r="AB407" s="384"/>
      <c r="AC407" s="384"/>
      <c r="AD407" s="64"/>
      <c r="AE407" s="65">
        <f>IF(L407="","",IF(L408&gt;0,(SUM(((L406-1)*(1-_xlfn.XLOOKUP(K406,'Fevereiro 2023 - Valor Real'!A3:A15,'Fevereiro 2023 - Valor Real'!C3:C15,0))+1),((L407-1)*(1-_xlfn.XLOOKUP(K407,'Fevereiro 2023 - Valor Real'!A3:A15,'Fevereiro 2023 - Valor Real'!C3:C15,0))+1),((L408-1)*(1-_xlfn.XLOOKUP(K408,'Fevereiro 2023 - Valor Real'!A3:A15,'Fevereiro 2023 - Valor Real'!C3:C15,0))+1))/((L407-1)*(1-_xlfn.XLOOKUP(K407,'Fevereiro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Real'!C3:C15,0))+1))/((L406-1)*(1-_xlfn.XLOOKUP(K406,'Fevereiro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Real'!C3:C15,0))+1))/((L407-1)*(1-_xlfn.XLOOKUP(K407,'Fevereiro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Real'!C3:C15,0))+1))/((L408-1)*(1-_xlfn.XLOOKUP(K408,'Fevereiro 2023 - Valor Real'!A3:A15,'Fevereiro 2023 - Valor Real'!C3:C15,0))+1)),IF(I407="Lay",IF(I406="Lay",((L406/(L406-1)-1)*(1-_xlfn.XLOOKUP(K406,'Fevereiro 2023 - Valor Real'!A3:A15,'Fevereiro 2023 - Valor Real'!C3:C15,0))+1)/(((L406/(L406-1)-1)*(1-_xlfn.XLOOKUP(K406,'Fevereiro 2023 - Valor Real'!A3:A15,'Fevereiro 2023 - Valor Real'!C3:C15,0))+1)+((L407/(L407-1)-1)*(1-_xlfn.XLOOKUP(K407,'Fevereiro 2023 - Valor Real'!A3:A15,'Fevereiro 2023 - Valor Real'!C3:C15,0))+1)),((L406-1)*(1-_xlfn.XLOOKUP(K406,'Fevereiro 2023 - Valor Real'!A3:A15,'Fevereiro 2023 - Valor Real'!C3:C15,0))+1)/(((L406-1)*(1-_xlfn.XLOOKUP(K406,'Fevereiro 2023 - Valor Real'!A3:A15,'Fevereiro 2023 - Valor Real'!C3:C15,0))+1)+((L407/(L407-1)-1)*(1-_xlfn.XLOOKUP(K407,'Fevereiro 2023 - Valor Real'!A3:A15,'Fevereiro 2023 - Valor Real'!C3:C15,0))+1))),IF(I406="Lay",((L406/(L406-1)-1)*(1-_xlfn.XLOOKUP(K406,'Fevereiro 2023 - Valor Real'!A3:A15,'Fevereiro 2023 - Valor Real'!C3:C15,0))+1)/((((L406/(L406-1)-1)*(1-_xlfn.XLOOKUP(K406,'Fevereiro 2023 - Valor Real'!A3:A15,'Fevereiro 2023 - Valor Real'!C3:C15,0))+1))+((L407-1)*(1-_xlfn.XLOOKUP(K407,'Fevereiro 2023 - Valor Real'!A3:A15,'Fevereiro 2023 - Valor Real'!C3:C15,0))+1)),((L406-1)*(1-_xlfn.XLOOKUP(K406,'Fevereiro 2023 - Valor Real'!A3:A15,'Fevereiro 2023 - Valor Real'!C3:C15,0))+1)/(((L406-1)*(1-_xlfn.XLOOKUP(K406,'Fevereiro 2023 - Valor Real'!A3:A15,'Fevereiro 2023 - Valor Real'!C3:C15,0))+1)+((L407-1)*(1-_xlfn.XLOOKUP(K407,'Fevereiro 2023 - Valor Real'!A3:A15,'Fevereiro 2023 - Valor Real'!C3:C15,0))+1))))))</f>
        <v>0.38532110091743116</v>
      </c>
      <c r="AF407" s="66">
        <f t="shared" si="824"/>
        <v>0</v>
      </c>
      <c r="AG407" s="67">
        <f t="shared" si="824"/>
        <v>0</v>
      </c>
      <c r="AH407" s="67">
        <f t="shared" si="824"/>
        <v>0</v>
      </c>
      <c r="AI407" s="67">
        <f t="shared" si="824"/>
        <v>0</v>
      </c>
      <c r="AJ407" s="67">
        <f t="shared" si="824"/>
        <v>0</v>
      </c>
      <c r="AK407" s="67">
        <f t="shared" si="824"/>
        <v>0</v>
      </c>
      <c r="AL407" s="67">
        <f t="shared" si="824"/>
        <v>0</v>
      </c>
      <c r="AM407" s="67">
        <f t="shared" si="824"/>
        <v>0</v>
      </c>
      <c r="AN407" s="67">
        <f t="shared" si="824"/>
        <v>0</v>
      </c>
      <c r="AO407" s="67">
        <f t="shared" si="824"/>
        <v>0</v>
      </c>
      <c r="AP407" s="67">
        <f t="shared" si="824"/>
        <v>0</v>
      </c>
      <c r="AQ407" s="67">
        <f t="shared" si="824"/>
        <v>26.14</v>
      </c>
      <c r="AR407" s="68">
        <f t="shared" si="824"/>
        <v>0</v>
      </c>
      <c r="AS407" s="66">
        <f>IF(AND($B406=" ",$K407=AS$3),$O407,0)</f>
        <v>0</v>
      </c>
      <c r="AT407" s="67">
        <f>IF(AND($B406=" ",K407=AT$3),$O407,0)</f>
        <v>0</v>
      </c>
      <c r="AU407" s="67">
        <f t="shared" ref="AU407:BE407" si="830">IF(AND($B406=" ",$K407=AU$3),$O407,0)</f>
        <v>0</v>
      </c>
      <c r="AV407" s="67">
        <f t="shared" si="830"/>
        <v>0</v>
      </c>
      <c r="AW407" s="67">
        <f t="shared" si="830"/>
        <v>0</v>
      </c>
      <c r="AX407" s="67">
        <f t="shared" si="830"/>
        <v>0</v>
      </c>
      <c r="AY407" s="69">
        <f t="shared" si="830"/>
        <v>0</v>
      </c>
      <c r="AZ407" s="70">
        <f t="shared" si="830"/>
        <v>0</v>
      </c>
      <c r="BA407" s="70">
        <f t="shared" si="830"/>
        <v>0</v>
      </c>
      <c r="BB407" s="70">
        <f t="shared" si="830"/>
        <v>0</v>
      </c>
      <c r="BC407" s="71">
        <f t="shared" si="830"/>
        <v>0</v>
      </c>
      <c r="BD407" s="67">
        <f t="shared" si="830"/>
        <v>0</v>
      </c>
      <c r="BE407" s="68">
        <f t="shared" si="830"/>
        <v>0</v>
      </c>
      <c r="BF407" s="66">
        <f t="shared" si="826"/>
        <v>0</v>
      </c>
      <c r="BG407" s="168">
        <f t="shared" si="826"/>
        <v>0</v>
      </c>
      <c r="BH407" s="67">
        <f t="shared" si="826"/>
        <v>0</v>
      </c>
      <c r="BI407" s="67">
        <f t="shared" si="826"/>
        <v>0</v>
      </c>
      <c r="BJ407" s="67">
        <f t="shared" si="826"/>
        <v>0</v>
      </c>
      <c r="BK407" s="67">
        <f t="shared" si="826"/>
        <v>0</v>
      </c>
      <c r="BL407" s="67">
        <f t="shared" si="826"/>
        <v>0</v>
      </c>
      <c r="BM407" s="69">
        <f t="shared" si="826"/>
        <v>0</v>
      </c>
      <c r="BN407" s="70">
        <f t="shared" si="826"/>
        <v>0</v>
      </c>
      <c r="BO407" s="70">
        <f t="shared" si="826"/>
        <v>0</v>
      </c>
      <c r="BP407" s="70">
        <f t="shared" si="826"/>
        <v>0</v>
      </c>
      <c r="BQ407" s="71">
        <f t="shared" si="826"/>
        <v>15.56</v>
      </c>
      <c r="BR407" s="68">
        <f t="shared" si="826"/>
        <v>0</v>
      </c>
      <c r="BS407" s="491"/>
      <c r="BT407" s="489"/>
      <c r="BU407" s="392"/>
      <c r="BV407" s="489"/>
      <c r="BW407" s="392"/>
      <c r="BX407" s="392"/>
      <c r="BY407" s="392"/>
      <c r="BZ407" s="489"/>
      <c r="CA407" s="392"/>
      <c r="CB407" s="392"/>
      <c r="CC407" s="392"/>
      <c r="CD407" s="401"/>
      <c r="CE407" s="409"/>
      <c r="CF407" s="169">
        <f t="shared" si="772"/>
        <v>0</v>
      </c>
      <c r="CG407" s="170">
        <f t="shared" si="773"/>
        <v>0</v>
      </c>
      <c r="CH407" s="170">
        <f t="shared" si="774"/>
        <v>0</v>
      </c>
      <c r="CI407" s="170">
        <f t="shared" si="775"/>
        <v>0</v>
      </c>
      <c r="CJ407" s="170">
        <f t="shared" si="776"/>
        <v>0</v>
      </c>
      <c r="CK407" s="170">
        <f t="shared" si="777"/>
        <v>0</v>
      </c>
      <c r="CL407" s="170">
        <f t="shared" si="778"/>
        <v>0</v>
      </c>
      <c r="CM407" s="170">
        <f t="shared" si="779"/>
        <v>0</v>
      </c>
      <c r="CN407" s="170">
        <f t="shared" si="780"/>
        <v>0</v>
      </c>
      <c r="CO407" s="170">
        <f t="shared" si="781"/>
        <v>0</v>
      </c>
      <c r="CP407" s="170">
        <f t="shared" si="782"/>
        <v>0</v>
      </c>
      <c r="CQ407" s="170">
        <f t="shared" si="783"/>
        <v>0</v>
      </c>
      <c r="CR407" s="170">
        <f t="shared" si="784"/>
        <v>0</v>
      </c>
      <c r="CS407" s="170">
        <f t="shared" si="785"/>
        <v>0</v>
      </c>
      <c r="CT407" s="75">
        <f t="shared" si="786"/>
        <v>0</v>
      </c>
      <c r="CU407" s="76">
        <f t="shared" si="787"/>
        <v>0</v>
      </c>
      <c r="CV407" s="76">
        <f t="shared" si="788"/>
        <v>0</v>
      </c>
      <c r="CW407" s="76">
        <f t="shared" si="789"/>
        <v>0</v>
      </c>
      <c r="CX407" s="76">
        <f t="shared" si="790"/>
        <v>0</v>
      </c>
      <c r="CY407" s="76">
        <f t="shared" si="791"/>
        <v>0</v>
      </c>
      <c r="CZ407" s="76">
        <f t="shared" si="792"/>
        <v>0</v>
      </c>
      <c r="DA407" s="76">
        <f t="shared" si="793"/>
        <v>0</v>
      </c>
      <c r="DB407" s="76">
        <f t="shared" si="794"/>
        <v>1</v>
      </c>
      <c r="DC407" s="76">
        <f t="shared" si="795"/>
        <v>0</v>
      </c>
      <c r="DD407" s="76">
        <f t="shared" si="796"/>
        <v>0</v>
      </c>
      <c r="DE407" s="77">
        <f t="shared" si="797"/>
        <v>0</v>
      </c>
      <c r="DF407" s="73">
        <f t="shared" si="799"/>
        <v>29</v>
      </c>
      <c r="DG407" s="67">
        <f t="shared" si="800"/>
        <v>37.629999999999995</v>
      </c>
      <c r="DH407" s="76">
        <f t="shared" si="801"/>
        <v>10</v>
      </c>
      <c r="DI407" s="67">
        <f t="shared" si="802"/>
        <v>41.599999999999994</v>
      </c>
      <c r="DJ407" s="202" t="str">
        <f>IF($D406="","",$D406)</f>
        <v>13</v>
      </c>
      <c r="DK407" s="493"/>
    </row>
    <row r="408" spans="1:115" ht="14.5" customHeight="1" x14ac:dyDescent="0.2">
      <c r="A408" s="390"/>
      <c r="B408" s="457"/>
      <c r="C408" s="79" t="s">
        <v>53</v>
      </c>
      <c r="D408" s="375"/>
      <c r="E408" s="387"/>
      <c r="F408" s="378"/>
      <c r="G408" s="508"/>
      <c r="H408" s="477"/>
      <c r="I408" s="171"/>
      <c r="J408" s="172"/>
      <c r="K408" s="81"/>
      <c r="L408" s="173"/>
      <c r="M408" s="174"/>
      <c r="N408" s="407"/>
      <c r="O408" s="86" t="str">
        <f>IF(OR(AE406="",AE407=""),"",IF(L408&gt;0,ROUND(IF(M408&gt;0,M408,IF(M406&gt;0,ROUND((M406*AE408)/AE406,IF(N406=0,2,IF(N406=0.1,1,0))),IF(M407&gt;0,ROUND((M407*AE408)/AE407,IF(N406=0,2,IF(N406=0.1,1,0))),IF(M408&gt;0,M408,0)))),2),""))</f>
        <v/>
      </c>
      <c r="P408" s="87" t="str">
        <f>IF(I407="Lay",O407*(L407/(L407-1))-O407,IF(I406="Lay",O406*(L406/(L406-1))-O406,IF(OR(L408="",O408=""),"",IF($C408="1/2W",O408/2+O408/2*L408,IF($C408="1/2L",O408/2,(O408*L408-O408)*(1-_xlfn.XLOOKUP(K408,'Fevereiro 2023 - Valor Real'!A3:A15,'Fevereiro 2023 - Valor Real'!C3:C15,0))+O408)))))</f>
        <v/>
      </c>
      <c r="Q408" s="54" t="str">
        <f>IF(K408="","",IF(_xlfn.XLOOKUP(K408,K$11:K398,$DJ$11:DJ398,0,,-1)=DJ408,_xlfn.XLOOKUP(K408,K$11:K398,Q$11:Q398,1,,-1)+1,1))</f>
        <v/>
      </c>
      <c r="R408" s="87" t="str">
        <f>IF(K408="","",_xlfn.XLOOKUP(K408,K$11:K398,R$11:R398,0,,-1)+IF($C408=" ",1,0))</f>
        <v/>
      </c>
      <c r="S408" s="404"/>
      <c r="T408" s="378"/>
      <c r="U408" s="378"/>
      <c r="V408" s="404"/>
      <c r="W408" s="378"/>
      <c r="X408" s="453"/>
      <c r="Y408" s="383"/>
      <c r="Z408" s="384"/>
      <c r="AA408" s="384"/>
      <c r="AB408" s="384"/>
      <c r="AC408" s="384"/>
      <c r="AD408" s="90"/>
      <c r="AE408" s="91" t="str">
        <f>IF(L408="","",(SUM(((L406-1)*(1-_xlfn.XLOOKUP(K406,'Fevereiro 2023 - Valor Real'!A3:A15,'Fevereiro 2023 - Valor Real'!C3:C15,0))+1),((L407-1)*(1-_xlfn.XLOOKUP(K407,'Fevereiro 2023 - Valor Real'!A3:A15,'Fevereiro 2023 - Valor Real'!C3:C15,0))+1),((L408-1)*(1-_xlfn.XLOOKUP(K408,'Fevereiro 2023 - Valor Real'!A3:A15,'Fevereiro 2023 - Valor Real'!C3:C15,0))+1))/((L408-1)*(1-_xlfn.XLOOKUP(K408,'Fevereiro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Real'!C3:C15,0))+1))/((L406-1)*(1-_xlfn.XLOOKUP(K406,'Fevereiro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Real'!C3:C15,0))+1))/((L407-1)*(1-_xlfn.XLOOKUP(K407,'Fevereiro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Real'!C3:C15,0))+1))/((L408-1)*(1-_xlfn.XLOOKUP(K408,'Fevereiro 2023 - Valor Real'!A3:A15,'Fevereiro 2023 - Valor Real'!C3:C15,0))+1)))</f>
        <v/>
      </c>
      <c r="AF408" s="66">
        <f t="shared" si="824"/>
        <v>0</v>
      </c>
      <c r="AG408" s="67">
        <f t="shared" si="824"/>
        <v>0</v>
      </c>
      <c r="AH408" s="67">
        <f t="shared" si="824"/>
        <v>0</v>
      </c>
      <c r="AI408" s="67">
        <f t="shared" si="824"/>
        <v>0</v>
      </c>
      <c r="AJ408" s="67">
        <f t="shared" si="824"/>
        <v>0</v>
      </c>
      <c r="AK408" s="67">
        <f t="shared" si="824"/>
        <v>0</v>
      </c>
      <c r="AL408" s="67">
        <f t="shared" si="824"/>
        <v>0</v>
      </c>
      <c r="AM408" s="67">
        <f t="shared" si="824"/>
        <v>0</v>
      </c>
      <c r="AN408" s="67">
        <f t="shared" si="824"/>
        <v>0</v>
      </c>
      <c r="AO408" s="67">
        <f t="shared" si="824"/>
        <v>0</v>
      </c>
      <c r="AP408" s="67">
        <f t="shared" si="824"/>
        <v>0</v>
      </c>
      <c r="AQ408" s="67">
        <f t="shared" si="824"/>
        <v>0</v>
      </c>
      <c r="AR408" s="68">
        <f t="shared" si="824"/>
        <v>0</v>
      </c>
      <c r="AS408" s="66">
        <f>IF(AND($B406=" ",$K408=AS$3),$O408,0)</f>
        <v>0</v>
      </c>
      <c r="AT408" s="67">
        <f>IF(AND($B406=" ",K408=AT$3),$O408,0)</f>
        <v>0</v>
      </c>
      <c r="AU408" s="67">
        <f t="shared" ref="AU408:BE408" si="831">IF(AND($B406=" ",$K408=AU$3),$O408,0)</f>
        <v>0</v>
      </c>
      <c r="AV408" s="67">
        <f t="shared" si="831"/>
        <v>0</v>
      </c>
      <c r="AW408" s="67">
        <f t="shared" si="831"/>
        <v>0</v>
      </c>
      <c r="AX408" s="67">
        <f t="shared" si="831"/>
        <v>0</v>
      </c>
      <c r="AY408" s="69">
        <f t="shared" si="831"/>
        <v>0</v>
      </c>
      <c r="AZ408" s="70">
        <f t="shared" si="831"/>
        <v>0</v>
      </c>
      <c r="BA408" s="70">
        <f t="shared" si="831"/>
        <v>0</v>
      </c>
      <c r="BB408" s="70">
        <f t="shared" si="831"/>
        <v>0</v>
      </c>
      <c r="BC408" s="71">
        <f t="shared" si="831"/>
        <v>0</v>
      </c>
      <c r="BD408" s="67">
        <f t="shared" si="831"/>
        <v>0</v>
      </c>
      <c r="BE408" s="68">
        <f t="shared" si="831"/>
        <v>0</v>
      </c>
      <c r="BF408" s="66">
        <f t="shared" si="826"/>
        <v>0</v>
      </c>
      <c r="BG408" s="168">
        <f t="shared" si="826"/>
        <v>0</v>
      </c>
      <c r="BH408" s="67">
        <f t="shared" si="826"/>
        <v>0</v>
      </c>
      <c r="BI408" s="67">
        <f t="shared" si="826"/>
        <v>0</v>
      </c>
      <c r="BJ408" s="67">
        <f t="shared" si="826"/>
        <v>0</v>
      </c>
      <c r="BK408" s="67">
        <f t="shared" si="826"/>
        <v>0</v>
      </c>
      <c r="BL408" s="67">
        <f t="shared" si="826"/>
        <v>0</v>
      </c>
      <c r="BM408" s="69">
        <f t="shared" si="826"/>
        <v>0</v>
      </c>
      <c r="BN408" s="70">
        <f t="shared" si="826"/>
        <v>0</v>
      </c>
      <c r="BO408" s="70">
        <f t="shared" si="826"/>
        <v>0</v>
      </c>
      <c r="BP408" s="70">
        <f t="shared" si="826"/>
        <v>0</v>
      </c>
      <c r="BQ408" s="71">
        <f t="shared" si="826"/>
        <v>0</v>
      </c>
      <c r="BR408" s="68">
        <f t="shared" si="826"/>
        <v>0</v>
      </c>
      <c r="BS408" s="491"/>
      <c r="BT408" s="489"/>
      <c r="BU408" s="392"/>
      <c r="BV408" s="489"/>
      <c r="BW408" s="392"/>
      <c r="BX408" s="392"/>
      <c r="BY408" s="392"/>
      <c r="BZ408" s="489"/>
      <c r="CA408" s="392"/>
      <c r="CB408" s="392"/>
      <c r="CC408" s="392"/>
      <c r="CD408" s="401"/>
      <c r="CE408" s="409"/>
      <c r="CF408" s="169">
        <f t="shared" si="772"/>
        <v>0</v>
      </c>
      <c r="CG408" s="170">
        <f t="shared" si="773"/>
        <v>0</v>
      </c>
      <c r="CH408" s="170">
        <f t="shared" si="774"/>
        <v>0</v>
      </c>
      <c r="CI408" s="170">
        <f t="shared" si="775"/>
        <v>0</v>
      </c>
      <c r="CJ408" s="170">
        <f t="shared" si="776"/>
        <v>0</v>
      </c>
      <c r="CK408" s="170">
        <f t="shared" si="777"/>
        <v>0</v>
      </c>
      <c r="CL408" s="170">
        <f t="shared" si="778"/>
        <v>0</v>
      </c>
      <c r="CM408" s="170">
        <f t="shared" si="779"/>
        <v>0</v>
      </c>
      <c r="CN408" s="170">
        <f t="shared" si="780"/>
        <v>0</v>
      </c>
      <c r="CO408" s="170">
        <f t="shared" si="781"/>
        <v>0</v>
      </c>
      <c r="CP408" s="170">
        <f t="shared" si="782"/>
        <v>0</v>
      </c>
      <c r="CQ408" s="170">
        <f t="shared" si="783"/>
        <v>0</v>
      </c>
      <c r="CR408" s="170">
        <f t="shared" si="784"/>
        <v>0</v>
      </c>
      <c r="CS408" s="170">
        <f t="shared" si="785"/>
        <v>0</v>
      </c>
      <c r="CT408" s="75">
        <f t="shared" si="786"/>
        <v>0</v>
      </c>
      <c r="CU408" s="76">
        <f t="shared" si="787"/>
        <v>0</v>
      </c>
      <c r="CV408" s="76">
        <f t="shared" si="788"/>
        <v>0</v>
      </c>
      <c r="CW408" s="76">
        <f t="shared" si="789"/>
        <v>0</v>
      </c>
      <c r="CX408" s="76">
        <f t="shared" si="790"/>
        <v>0</v>
      </c>
      <c r="CY408" s="76">
        <f t="shared" si="791"/>
        <v>0</v>
      </c>
      <c r="CZ408" s="76">
        <f t="shared" si="792"/>
        <v>0</v>
      </c>
      <c r="DA408" s="76">
        <f t="shared" si="793"/>
        <v>0</v>
      </c>
      <c r="DB408" s="76">
        <f t="shared" si="794"/>
        <v>0</v>
      </c>
      <c r="DC408" s="76">
        <f t="shared" si="795"/>
        <v>0</v>
      </c>
      <c r="DD408" s="76">
        <f t="shared" si="796"/>
        <v>0</v>
      </c>
      <c r="DE408" s="77">
        <f t="shared" si="797"/>
        <v>0</v>
      </c>
      <c r="DF408" s="73">
        <f t="shared" si="799"/>
        <v>29</v>
      </c>
      <c r="DG408" s="67">
        <f t="shared" si="800"/>
        <v>37.629999999999995</v>
      </c>
      <c r="DH408" s="76">
        <f t="shared" si="801"/>
        <v>10</v>
      </c>
      <c r="DI408" s="67">
        <f t="shared" si="802"/>
        <v>41.599999999999994</v>
      </c>
      <c r="DJ408" s="202" t="str">
        <f>IF($D406="","",$D406)</f>
        <v>13</v>
      </c>
      <c r="DK408" s="493"/>
    </row>
    <row r="409" spans="1:115" ht="14.5" customHeight="1" x14ac:dyDescent="0.2">
      <c r="A409" s="459">
        <f>$A406+1</f>
        <v>136</v>
      </c>
      <c r="B409" s="507" t="str">
        <f>IF(OR(C409="W",C410="W",C411="W",C409="1/2W",C410="1/2W",C411="1/2W",C409="1/2L",C410="1/2L",C411="1/2L"),"OK",IF(OR(C409="L",C410="L",C411="L"),"LOSS",IF(OR(C409="X",C410="X",C411="X"),"Anulado"," ")))</f>
        <v>OK</v>
      </c>
      <c r="C409" s="93" t="s">
        <v>54</v>
      </c>
      <c r="D409" s="468" t="str">
        <f>IF(G409="","",$D406)</f>
        <v>13</v>
      </c>
      <c r="E409" s="485" t="str">
        <f>IF(G409=""," ","– "&amp;COUNTIF(D$4:D411,$D409))</f>
        <v>– 11</v>
      </c>
      <c r="F409" s="509" t="str">
        <f ca="1">IF(G409="","",IF(OR(AND($C409&lt;&gt;" ",$C410=" "),AND($C410&lt;&gt;" ",$C409=" "),AND(L411&gt;0,OR(AND($C411&lt;&gt;" ",OR($C409=" ",$C410=" ")),AND($C411=" ",OR($C409&lt;&gt;" ",$C410&lt;&gt;" "))))),IF(SUM(F$4:F408)=0,1,LARGE(F$4:F408,1)+1),IF(MONTH(G409)=MONTH(TODAY()),IF(AND(DAY(G409)&lt;DAY(TODAY()),$B409=" "),IF(SUM(F$4:F408)=0,1,LARGE(F$4:F408,1)+1),IF($B409=" ",IF(AND(DAY(G409)=DAY(TODAY()),HOUR(G409)&lt;=HOUR(NOW())+1),IF(AND(HOUR(G409)+2&lt;=HOUR(NOW()),DAY(G409)&lt;=DAY(TODAY()),MINUTE(G409)&lt;=MINUTE(NOW())),IF(SUM(F$4:F408)=0,1,LARGE(F$4:F408,1)+1),IF(OR(MINUTE(G409)&lt;=MINUTE(NOW()),HOUR(G409)&lt;=HOUR(NOW())),"!!!","")),""),"")),"")))</f>
        <v/>
      </c>
      <c r="G409" s="482">
        <v>45000.333333333336</v>
      </c>
      <c r="H409" s="475" t="s">
        <v>173</v>
      </c>
      <c r="I409" s="175">
        <v>1</v>
      </c>
      <c r="J409" s="176"/>
      <c r="K409" s="96" t="s">
        <v>43</v>
      </c>
      <c r="L409" s="97">
        <v>2.1</v>
      </c>
      <c r="M409" s="98">
        <v>20.61</v>
      </c>
      <c r="N409" s="478">
        <v>0</v>
      </c>
      <c r="O409" s="99">
        <f>IF(OR(AE409="",AE410=""),"",ROUND(IF(L411&gt;0,IF(M409&gt;0,M409,IF(M410&gt;0,ROUND((M410*AE409)/AE410,IF(N409=0,2,IF(N409=0.1,1,0))),ROUND((M411*AE409)/AE411,IF(N409=0,2,IF(N409=0.1,1,0))))),IF(M409&gt;0,M409,ROUND((M410*AE409)/AE410,IF(N409=0,2,IF(N409=0.1,1,0))))),2))</f>
        <v>20.61</v>
      </c>
      <c r="P409" s="100">
        <f>IF(OR(L409="",O409=""),"",IF($C409="1/2W",O409/2+O409/2*L409,IF($C409="1/2L",O409/2,IF(I409="Lay",(O409*(L409/(L409-1))-O409)*(1-_xlfn.XLOOKUP(K409,'Fevereiro 2023 - Valor Real'!A3:A15,'Fevereiro 2023 - Valor Real'!C3:C15,0))+O409,(O409*L409-O409)*(1-_xlfn.XLOOKUP(K409,'Fevereiro 2023 - Valor Real'!A3:A15,'Fevereiro 2023 - Valor Real'!C3:C15,0))+O409))))</f>
        <v>43.280999999999999</v>
      </c>
      <c r="Q409" s="101">
        <f>IF(K409="","",IF(_xlfn.XLOOKUP(K409,K$4:K408,$DJ$4:DJ408,0,,-1)=DJ409,_xlfn.XLOOKUP(K409,K$4:K408,Q$4:Q408,1,,-1)+1,1))</f>
        <v>4</v>
      </c>
      <c r="R409" s="102">
        <f>IF(K409="","",_xlfn.XLOOKUP(K409,K$4:K408,R$4:R408,0,,-1)+IF($C409=" ",1,0))</f>
        <v>0</v>
      </c>
      <c r="S409" s="474">
        <f>IF($B409="Anulado",0,ROUND(IF(OR($B409="LOSS",$B409="OK"),IF(OR($C409="W",$C409="1/2W",$C409="1/2L"),P409-O409,IF($C409="L",-O409,0))+IF(OR($C410="W",$C410="1/2W",$C410="1/2L"),P410-O410,IF($C410="L",-O410,0))+IF(OR($C411="W",$C411="1/2W",$C411="1/2L"),P411-O411,IF($C411="L",-O411,0)),IF(AND(OR($C409="W",$C409="1/2W",$C409="1/2L"),C410="W"),P409+P410-SUM(O409:O411)+_xlfn.XLOOKUP("X",C409:C411,O409:O411,0),IF(AND(C409=TRUE,C411="W"),P409+P411-SUM(O409:O411),IF(AND(C410="W",C411="W"),P410+P411-SUM(O409:O411)+_xlfn.XLOOKUP("X",C409:C411,O409:O411,0),IF(L411&gt;0,IF(OR($C409="W",$C409="1/2W",$C409="1/2L"),P409-SUM(O409:O411)+_xlfn.XLOOKUP("X",C409:C411,O409:O411,0),IF(OR($C409="W",$C409="1/2W",$C409="1/2L"),P410-SUM(O409:O411)+_xlfn.XLOOKUP("X",C409:C411,O409:O411,0),IF(OR($C409="W",$C409="1/2W",$C409="1/2L"),P411-SUM(O409:O411)+_xlfn.XLOOKUP("X",C409:C411,O409:O411,0),IF(SUM(P409:P411)/3-SUM(O409:O411)+_xlfn.XLOOKUP("X",C409:C411,O409:O411,0)&gt;0,SUM(P409:P411)/3-SUM(O409:O411)+_xlfn.XLOOKUP("X",C409:C411,O409:O411,0),LARGE(P409:P411,1)-SUM(O409:O411))))),IF(OR($C409="W",$C409="1/2W",$C409="1/2L"),P409-SUM(O409:O410)+_xlfn.XLOOKUP("X",C409:C411,O409:O411,0),IF(OR($C409="W",$C409="1/2W",$C409="1/2L"),P410-SUM(O409:O410)+_xlfn.XLOOKUP("X",C409:C411,O409:O411,0),SUM(P409:P410)/2-SUM(O409:O410)+_xlfn.XLOOKUP("X",C409:C411,O409:O411,0)))))))),2))</f>
        <v>6.85</v>
      </c>
      <c r="T409" s="458">
        <f>IF(S409=0,0,S409/SUM(O409:O411))</f>
        <v>0.18803184188855337</v>
      </c>
      <c r="U409" s="470">
        <f>IF($D409=$D406,IF(OR($B409="LOSS",$B409="OK",$B409="Anulada"),S409,0)+U406,IF(OR($B409="LOSS",$B409="OK",$B409="Anulada"),S409,0))</f>
        <v>37.059999999999995</v>
      </c>
      <c r="V409" s="470">
        <f>IF($D409="",0,IF($D409=$D406,IF($B409=" ",IF(I411="",IF(OR(AND(I409="DNB1",I410="DNB2"),AND(OR(I409="DNB1",I409="DNB2"),J410=0),AND(OR(I410="DNB1",I410="DNB2"),J409=0),AND(I409="DNB2",I410="DNB1"),AND(IF(J409=0,(J409+1)/ROUND(J409+1,0),J409/ROUND(J409,0))=1,IF(J410=0,(J410+1)/ROUND(IF(J410="",0,J410)+1,0),IF(J410="",0,J410)/ROUND(IF(J410="",1,J410),0))=1,OR(J409&lt;&gt;""),J410&lt;&gt;"")),0,IF(S409&lt;0,IF(I411="",SMALL(P409:P410,1)-SUM(O409:O410),0),SMALL(P409:P410,1)-SUM(O409:O410))),IF(S409&lt;0,IF(I411="",SMALL(P409:P411,1)-SUM(O409:O411),0),LARGE(P409:P411,1)-SUM(O409:O411))),S409)+V406,IF(I411="",IF(OR(AND(I409="DNB1",I410="DNB2"),AND(OR(I409="DNB1",I409="DNB2"),J410=0),AND(OR(I410="DNB1",I410="DNB2"),J409=0),AND(I409="DNB2",I410="DNB1"),AND(IF(J409=0,(J409+1)/ROUND(J409+1,0),J409/ROUND(J409,0))=1,IF(J410=0,(IF(J410="",0,J410)+1)/ROUND(IF(J410="",0,J410)+1,0),IF(J410="",0,J410)/ROUND(IF(J410="",0,J410)+1,0))=1,OR(J409&lt;&gt;""),J410&lt;&gt;"")),0,IF(S409&lt;0,IF(I411="",SMALL(P409:P410,1)-SUM(O409:O410),0),SMALL(P409:P411,1)-SUM(O409:O411))),IF(S409&lt;0,IF(I411="",SMALL(P409:P411,1)-SUM(O409:O411),0),LARGE(P409:P411,1)-SUM(O409:O411)))))</f>
        <v>36.677</v>
      </c>
      <c r="W409" s="470">
        <f>IF($D409=$D406,IF(S409&lt;0,IF(I411="",S409,0),S409)+W406,S409)</f>
        <v>37.059999999999995</v>
      </c>
      <c r="X409" s="480" t="str">
        <f>IF(OR(SUM(R409:R411)=0,V409=W409),ROUND(IF(W409=0,0,W409/Y409)*100,2)&amp;"%",ROUND(IF(V409=0,0,V409/Y409)*100,2)&amp;"% a "&amp;ROUND(IF(W409=0,0,W409/Y409)*100,2)&amp;"%")</f>
        <v>5,3%</v>
      </c>
      <c r="Y409" s="471">
        <f>IF($D409=$D406,Y406+SUM(O409:O411),SUM(O409:O411))</f>
        <v>699.4</v>
      </c>
      <c r="Z409" s="470">
        <f>IF($B409=" ",SUM(O409:O411),0)+Z406</f>
        <v>0</v>
      </c>
      <c r="AA409" s="470">
        <f>IF(G409="","",IF($B409="Anulado",LARGE(P409:P411,1)-SUM(O409:O411)+AA406,AA406))</f>
        <v>12.425099999999992</v>
      </c>
      <c r="AB409" s="470">
        <f>IF($D409="","",AB406+S409)</f>
        <v>495.41000000000014</v>
      </c>
      <c r="AC409" s="472">
        <f ca="1">IF($D409="","",IF($B409=" ",IF(DAY(G409)=DAY(TODAY()),1+AC406,0+AC406),0+AC406))</f>
        <v>0</v>
      </c>
      <c r="AD409" s="103">
        <f>(((L410/(L410-1)-1)*(1-_xlfn.XLOOKUP(K410,'Fevereiro 2023 - Valor Real'!A3:A15,'Fevereiro 2023 - Valor Real'!C3:C15,0))+1))/(((L409-1)*(1-_xlfn.XLOOKUP(K409,'Fevereiro 2023 - Valor Real'!A3:A15,'Fevereiro 2023 - Valor Real'!C3:C15,0))+1)+((L410/(L410-1)-1)*(1-_xlfn.XLOOKUP(K410,'Fevereiro 2023 - Valor Real'!A3:A15,'Fevereiro 2023 - Valor Real'!C3:C15,0))+1))</f>
        <v>0.38834951456310673</v>
      </c>
      <c r="AE409" s="104">
        <f>IF(L409="","",IF(L411&gt;0,(SUM(((L409-1)*(1-_xlfn.XLOOKUP(K409,'Fevereiro 2023 - Valor Real'!A3:A15,'Fevereiro 2023 - Valor Real'!C3:C15,0))+1),((L410-1)*(1-_xlfn.XLOOKUP(K410,'Fevereiro 2023 - Valor Real'!A3:A15,'Fevereiro 2023 - Valor Real'!C3:C15,0))+1),((L411-1)*(1-_xlfn.XLOOKUP(K411,'Fevereiro 2023 - Valor Real'!A3:A15,'Fevereiro 2023 - Valor Real'!C3:C15,0))+1))/((L409-1)*(1-_xlfn.XLOOKUP(K409,'Fevereiro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Real'!C3:C15,0))+1))/((L409-1)*(1-_xlfn.XLOOKUP(K409,'Fevereiro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Real'!C3:C15,0))+1))/((L410-1)*(1-_xlfn.XLOOKUP(K410,'Fevereiro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Real'!C3:C15,0))+1))/((L411-1)*(1-_xlfn.XLOOKUP(K411,'Fevereiro 2023 - Valor Real'!A3:A15,'Fevereiro 2023 - Valor Real'!C3:C15,0))+1)),IF(I409="Lay",IF(I410="Lay",((L410/(L410-1)-1)*(1-_xlfn.XLOOKUP(K410,'Fevereiro 2023 - Valor Real'!A3:A15,'Fevereiro 2023 - Valor Real'!C3:C15,0))+1)/(((L410/(L410-1)-1)*(1-_xlfn.XLOOKUP(K410,'Fevereiro 2023 - Valor Real'!A3:A15,'Fevereiro 2023 - Valor Real'!C3:C15,0))+1)+((L409/(L409-1)-1)*(1-_xlfn.XLOOKUP(K409,'Fevereiro 2023 - Valor Real'!A3:A15,'Fevereiro 2023 - Valor Real'!C3:C15,0))+1)),((L410-1)*(1-_xlfn.XLOOKUP(K410,'Fevereiro 2023 - Valor Real'!A3:A15,'Fevereiro 2023 - Valor Real'!C3:C15,0))+1)/(((L410-1)*(1-_xlfn.XLOOKUP(K410,'Fevereiro 2023 - Valor Real'!A3:A15,'Fevereiro 2023 - Valor Real'!C3:C15,0))+1)+((L409/(L409-1)-1)*(1-_xlfn.XLOOKUP(K409,'Fevereiro 2023 - Valor Real'!A3:A15,'Fevereiro 2023 - Valor Real'!C3:C15,0))+1))),IF(I410="Lay",(((L410/(L410-1)-1)*(1-_xlfn.XLOOKUP(K410,'Fevereiro 2023 - Valor Real'!A3:A15,'Fevereiro 2023 - Valor Real'!C3:C15,0))+1))/(((L409-1)*(1-_xlfn.XLOOKUP(K409,'Fevereiro 2023 - Valor Real'!A3:A15,'Fevereiro 2023 - Valor Real'!C3:C15,0))+1)+((L410/(L410-1)-1)*(1-_xlfn.XLOOKUP(K410,'Fevereiro 2023 - Valor Real'!A3:A15,'Fevereiro 2023 - Valor Real'!C3:C15,0))+1)),((L410-1)*(1-_xlfn.XLOOKUP(K410,'Fevereiro 2023 - Valor Real'!A3:A15,'Fevereiro 2023 - Valor Real'!C3:C15,0))+1)/(((L410-1)*(1-_xlfn.XLOOKUP(K410,'Fevereiro 2023 - Valor Real'!A3:A15,'Fevereiro 2023 - Valor Real'!C3:C15,0))+1)+((L409-1)*(1-_xlfn.XLOOKUP(K409,'Fevereiro 2023 - Valor Real'!A3:A15,'Fevereiro 2023 - Valor Real'!C3:C15,0))+1))))))</f>
        <v>0.554016620498615</v>
      </c>
      <c r="AF409" s="105">
        <f t="shared" si="824"/>
        <v>0</v>
      </c>
      <c r="AG409" s="106">
        <f t="shared" si="824"/>
        <v>0</v>
      </c>
      <c r="AH409" s="106">
        <f t="shared" si="824"/>
        <v>0</v>
      </c>
      <c r="AI409" s="106">
        <f t="shared" si="824"/>
        <v>0</v>
      </c>
      <c r="AJ409" s="106">
        <f t="shared" si="824"/>
        <v>0</v>
      </c>
      <c r="AK409" s="106">
        <f t="shared" si="824"/>
        <v>0</v>
      </c>
      <c r="AL409" s="106">
        <f t="shared" si="824"/>
        <v>0</v>
      </c>
      <c r="AM409" s="106">
        <f t="shared" si="824"/>
        <v>22.67</v>
      </c>
      <c r="AN409" s="106">
        <f t="shared" si="824"/>
        <v>0</v>
      </c>
      <c r="AO409" s="106">
        <f t="shared" si="824"/>
        <v>0</v>
      </c>
      <c r="AP409" s="106">
        <f t="shared" si="824"/>
        <v>0</v>
      </c>
      <c r="AQ409" s="106">
        <f t="shared" si="824"/>
        <v>0</v>
      </c>
      <c r="AR409" s="107">
        <f t="shared" si="824"/>
        <v>0</v>
      </c>
      <c r="AS409" s="105">
        <f t="shared" ref="AS409:BE409" si="832">IF(AND($B409=" ",$K409=AS$3),$O409,0)</f>
        <v>0</v>
      </c>
      <c r="AT409" s="106">
        <f t="shared" si="832"/>
        <v>0</v>
      </c>
      <c r="AU409" s="106">
        <f t="shared" si="832"/>
        <v>0</v>
      </c>
      <c r="AV409" s="106">
        <f t="shared" si="832"/>
        <v>0</v>
      </c>
      <c r="AW409" s="106">
        <f t="shared" si="832"/>
        <v>0</v>
      </c>
      <c r="AX409" s="106">
        <f t="shared" si="832"/>
        <v>0</v>
      </c>
      <c r="AY409" s="108">
        <f t="shared" si="832"/>
        <v>0</v>
      </c>
      <c r="AZ409" s="109">
        <f t="shared" si="832"/>
        <v>0</v>
      </c>
      <c r="BA409" s="109">
        <f t="shared" si="832"/>
        <v>0</v>
      </c>
      <c r="BB409" s="109">
        <f t="shared" si="832"/>
        <v>0</v>
      </c>
      <c r="BC409" s="110">
        <f t="shared" si="832"/>
        <v>0</v>
      </c>
      <c r="BD409" s="106">
        <f t="shared" si="832"/>
        <v>0</v>
      </c>
      <c r="BE409" s="107">
        <f t="shared" si="832"/>
        <v>0</v>
      </c>
      <c r="BF409" s="111">
        <f t="shared" si="826"/>
        <v>0</v>
      </c>
      <c r="BG409" s="106">
        <f t="shared" si="826"/>
        <v>0</v>
      </c>
      <c r="BH409" s="106">
        <f t="shared" si="826"/>
        <v>0</v>
      </c>
      <c r="BI409" s="106">
        <f t="shared" si="826"/>
        <v>0</v>
      </c>
      <c r="BJ409" s="106">
        <f t="shared" si="826"/>
        <v>0</v>
      </c>
      <c r="BK409" s="106">
        <f t="shared" si="826"/>
        <v>0</v>
      </c>
      <c r="BL409" s="106">
        <f t="shared" si="826"/>
        <v>0</v>
      </c>
      <c r="BM409" s="108">
        <f t="shared" si="826"/>
        <v>20.61</v>
      </c>
      <c r="BN409" s="109">
        <f t="shared" si="826"/>
        <v>0</v>
      </c>
      <c r="BO409" s="109">
        <f t="shared" si="826"/>
        <v>0</v>
      </c>
      <c r="BP409" s="109">
        <f t="shared" si="826"/>
        <v>0</v>
      </c>
      <c r="BQ409" s="110">
        <f t="shared" si="826"/>
        <v>0</v>
      </c>
      <c r="BR409" s="107">
        <f t="shared" si="826"/>
        <v>0</v>
      </c>
      <c r="BS409" s="463">
        <f>IF($B409="LOSS",IF(AND($K409=BS$3,$C409="L"),-$O409,0)+IF(AND($K410=BS$3,$C410="L"),-$O410,0)+IF(AND($K411=BS$3,$C411="L"),-$O411,0),IF(OR(AND($K409=BS$3,OR($C409="W",$C409="1/2W")),AND($K410=BS$3,OR($C410="W",$C410="1/2W")),AND($K411=BS$3,OR($C411="W",$C411="1/2W"))),$S409,0))</f>
        <v>0</v>
      </c>
      <c r="BT409" s="462">
        <f>IF($B409="LOSS",IF(AND($K409=BT$3,$C409="L"),-$O409,0)+IF(AND($K410=BT$3,$C410="L"),-$O410,0)+IF(AND($K410=BT$3,$C411="L"),-$O411,0),IF(OR(AND($K410=BT$3,OR($C409="W",$C409="1/2W")),AND($K410=BT$3,OR($C410="W",$C410="1/2W")),AND($K410=BT$3,OR($C411="W",$C411="1/2W"))),$S409,0))</f>
        <v>6.85</v>
      </c>
      <c r="BU409" s="462">
        <f>IF($B409="LOSS",IF(AND($K409=BU$3,$C409="L"),-$O409,0)+IF(AND($K410=BU$3,$C410="L"),-$O410,0)+IF(AND($K410=BU$3,$C411="L"),-$O411,0),IF(OR(AND($K410=BU$3,OR($C409="W",$C409="1/2W")),AND($K410=BU$3,OR($C410="W",$C410="1/2W")),AND($K410=BU$3,OR($C411="W",$C411="1/2W"))),$S409,0))</f>
        <v>0</v>
      </c>
      <c r="BV409" s="462">
        <f t="shared" ref="BV409:CE409" si="833">IF($B409="LOSS",IF(AND($K409=BV$3,$C409="L"),-$O409,0)+IF(AND($K410=BV$3,$C410="L"),-$O410,0)+IF(AND($K411=BV$3,$C411="L"),-$O411,0),IF(OR(AND($K409=BV$3,OR($C409="W",$C409="1/2W")),AND($K410=BV$3,OR($C410="W",$C410="1/2W")),AND($K411=BV$3,OR($C411="W",$C411="1/2W"))),$S409,0))</f>
        <v>0</v>
      </c>
      <c r="BW409" s="462">
        <f t="shared" si="833"/>
        <v>0</v>
      </c>
      <c r="BX409" s="462">
        <f t="shared" si="833"/>
        <v>0</v>
      </c>
      <c r="BY409" s="462">
        <f t="shared" si="833"/>
        <v>0</v>
      </c>
      <c r="BZ409" s="460">
        <f t="shared" si="833"/>
        <v>6.85</v>
      </c>
      <c r="CA409" s="460">
        <f t="shared" si="833"/>
        <v>0</v>
      </c>
      <c r="CB409" s="460">
        <f t="shared" si="833"/>
        <v>0</v>
      </c>
      <c r="CC409" s="460">
        <f t="shared" si="833"/>
        <v>0</v>
      </c>
      <c r="CD409" s="473">
        <f t="shared" si="833"/>
        <v>0</v>
      </c>
      <c r="CE409" s="479">
        <f t="shared" si="833"/>
        <v>0</v>
      </c>
      <c r="CF409" s="113">
        <f t="shared" si="772"/>
        <v>0</v>
      </c>
      <c r="CG409" s="114">
        <f t="shared" si="773"/>
        <v>0</v>
      </c>
      <c r="CH409" s="114">
        <f t="shared" si="774"/>
        <v>0</v>
      </c>
      <c r="CI409" s="114">
        <f t="shared" si="775"/>
        <v>0</v>
      </c>
      <c r="CJ409" s="114">
        <f t="shared" si="776"/>
        <v>0</v>
      </c>
      <c r="CK409" s="114">
        <f t="shared" si="777"/>
        <v>0</v>
      </c>
      <c r="CL409" s="114">
        <f t="shared" si="778"/>
        <v>0</v>
      </c>
      <c r="CM409" s="114">
        <f t="shared" si="779"/>
        <v>0</v>
      </c>
      <c r="CN409" s="114">
        <f t="shared" si="780"/>
        <v>0</v>
      </c>
      <c r="CO409" s="114">
        <f t="shared" si="781"/>
        <v>0</v>
      </c>
      <c r="CP409" s="114">
        <f t="shared" si="782"/>
        <v>0</v>
      </c>
      <c r="CQ409" s="114">
        <f t="shared" si="783"/>
        <v>0</v>
      </c>
      <c r="CR409" s="114">
        <f t="shared" si="784"/>
        <v>0</v>
      </c>
      <c r="CS409" s="114">
        <f t="shared" si="785"/>
        <v>0</v>
      </c>
      <c r="CT409" s="115">
        <f t="shared" si="786"/>
        <v>1</v>
      </c>
      <c r="CU409" s="116">
        <f t="shared" si="787"/>
        <v>0</v>
      </c>
      <c r="CV409" s="116">
        <f t="shared" si="788"/>
        <v>0</v>
      </c>
      <c r="CW409" s="116">
        <f t="shared" si="789"/>
        <v>0</v>
      </c>
      <c r="CX409" s="116">
        <f t="shared" si="790"/>
        <v>0</v>
      </c>
      <c r="CY409" s="116">
        <f t="shared" si="791"/>
        <v>0</v>
      </c>
      <c r="CZ409" s="116">
        <f t="shared" si="792"/>
        <v>0</v>
      </c>
      <c r="DA409" s="116">
        <f t="shared" si="793"/>
        <v>0</v>
      </c>
      <c r="DB409" s="116">
        <f t="shared" si="794"/>
        <v>0</v>
      </c>
      <c r="DC409" s="116">
        <f t="shared" si="795"/>
        <v>0</v>
      </c>
      <c r="DD409" s="116">
        <f t="shared" si="796"/>
        <v>0</v>
      </c>
      <c r="DE409" s="117">
        <f t="shared" si="797"/>
        <v>0</v>
      </c>
      <c r="DF409" s="118">
        <f t="shared" si="799"/>
        <v>29</v>
      </c>
      <c r="DG409" s="106">
        <f t="shared" si="800"/>
        <v>37.629999999999995</v>
      </c>
      <c r="DH409" s="116">
        <f t="shared" si="801"/>
        <v>10</v>
      </c>
      <c r="DI409" s="106">
        <f t="shared" si="802"/>
        <v>41.599999999999994</v>
      </c>
      <c r="DJ409" s="201" t="str">
        <f>IF($D409="","",$D409)</f>
        <v>13</v>
      </c>
      <c r="DK409" s="465">
        <f>IF(AND($B409=" ",$D409&lt;&gt;""),1,0)</f>
        <v>0</v>
      </c>
    </row>
    <row r="410" spans="1:115" ht="14.5" customHeight="1" x14ac:dyDescent="0.2">
      <c r="A410" s="389"/>
      <c r="B410" s="456"/>
      <c r="C410" s="120" t="s">
        <v>55</v>
      </c>
      <c r="D410" s="374"/>
      <c r="E410" s="386"/>
      <c r="F410" s="377"/>
      <c r="G410" s="483"/>
      <c r="H410" s="476"/>
      <c r="I410" s="121" t="s">
        <v>49</v>
      </c>
      <c r="J410" s="179" t="str">
        <f>IF(OR(I409="TO",I409="TU",I409="TO1",I409="TU1",I409="TO2",I409="TU2"),J409,IF(OR(I409="AH1",I409="AH2"),IF(OR(I410="AH1",I410="AH2"),-J409,IF(OR(I410="EH1",I410="EH2"),-J409+0.5,"")),IF(OR(I409="EH1",I409="EH2"),IF(OR(I410="AH1",I410="AH2"),-J409+0.5,IF(OR(I410="EH1",I410="EH2"),-J409+1,"")),IF(AND(OR(I409="DNB1",I409="DNB2"),OR(I410="AH1",I410="AH2")),0,IF(AND(I409="Not ScoreBoth",OR(I410="TO1",I410="TO2")),0.5,"")))))</f>
        <v/>
      </c>
      <c r="K410" s="123" t="s">
        <v>37</v>
      </c>
      <c r="L410" s="124">
        <v>4</v>
      </c>
      <c r="M410" s="125">
        <v>9.16</v>
      </c>
      <c r="N410" s="406"/>
      <c r="O410" s="126">
        <f>IF(OR(AE409="",AE410=""),"",ROUND(IF(L411&gt;0,IF(M410&gt;0,M410,IF(M409&gt;0,IF(N409=TRUE,ROUND((M409*AE410)/AE409,0),(M409*AE410)/AE409),IF(M410&gt;0,ROUND(M410,IF(N409=0,2,IF(N409=0.1,1,0))),IF(M411&gt;0,ROUND(O411*AE410/AE411,IF(N409=0,2,IF(N409=0.1,1,0))),0)))),IF(M410&gt;0,M410,ROUND((M409*AE410)/AE409,IF(N409=0,2,IF(N409=0.1,1,0))))),2))</f>
        <v>9.16</v>
      </c>
      <c r="P410" s="127">
        <f>IF(OR(L410="",O410=""),"",IF($C410="1/2W",O410/2+O410/2*L410,IF($C410="1/2L",O410/2,IF(I410="Lay",((O410*(L410/(L410-1)))-O410)*(1-_xlfn.XLOOKUP(K410,'Fevereiro 2023 - Valor Real'!A3:A15,'Fevereiro 2023 - Valor Real'!C3:C15,0))+O410,(O410*L410-O410)*(1-_xlfn.XLOOKUP(K410,'Fevereiro 2023 - Valor Real'!A3:A15,'Fevereiro 2023 - Valor Real'!C3:C15,0))+O410))))</f>
        <v>36.64</v>
      </c>
      <c r="Q410" s="128">
        <f>IF(K410="","",IF(_xlfn.XLOOKUP(K410,K$4:K409,$DJ$4:DJ409,0,,-1)=DJ410,_xlfn.XLOOKUP(K410,K$4:K409,Q$4:Q409,1,,-1)+1,1))</f>
        <v>3</v>
      </c>
      <c r="R410" s="129">
        <f>IF(K410="","",_xlfn.XLOOKUP(K410,K$4:K409,R$4:R409,0,,-1)+IF($C410=" ",1,0))</f>
        <v>0</v>
      </c>
      <c r="S410" s="403"/>
      <c r="T410" s="380"/>
      <c r="U410" s="380"/>
      <c r="V410" s="481"/>
      <c r="W410" s="380"/>
      <c r="X410" s="452"/>
      <c r="Y410" s="383"/>
      <c r="Z410" s="384"/>
      <c r="AA410" s="384"/>
      <c r="AB410" s="384"/>
      <c r="AC410" s="384"/>
      <c r="AD410" s="130">
        <f>(((L410/(L410-1)-1)*(1-_xlfn.XLOOKUP(K410,'Fevereiro 2023 - Valor Real'!A3:A15,'Fevereiro 2023 - Valor Real'!C3:C15,0))+1))</f>
        <v>1.3333333333333333</v>
      </c>
      <c r="AE410" s="131">
        <f>IF(L410="","",IF(L411&gt;0,(SUM(((L409-1)*(1-_xlfn.XLOOKUP(K409,'Fevereiro 2023 - Valor Real'!A3:A15,'Fevereiro 2023 - Valor Real'!C3:C15,0))+1),((L410-1)*(1-_xlfn.XLOOKUP(K410,'Fevereiro 2023 - Valor Real'!A3:A15,'Fevereiro 2023 - Valor Real'!C3:C15,0))+1),((L411-1)*(1-_xlfn.XLOOKUP(K411,'Fevereiro 2023 - Valor Real'!A3:A15,'Fevereiro 2023 - Valor Real'!C3:C15,0))+1))/((L410-1)*(1-_xlfn.XLOOKUP(K410,'Fevereiro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Real'!C3:C15,0))+1))/((L409-1)*(1-_xlfn.XLOOKUP(K409,'Fevereiro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Real'!C3:C15,0))+1))/((L410-1)*(1-_xlfn.XLOOKUP(K410,'Fevereiro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Real'!C3:C15,0))+1))/((L411-1)*(1-_xlfn.XLOOKUP(K411,'Fevereiro 2023 - Valor Real'!A3:A15,'Fevereiro 2023 - Valor Real'!C3:C15,0))+1)),IF(I410="Lay",IF(I409="Lay",((L409/(L409-1)-1)*(1-_xlfn.XLOOKUP(K409,'Fevereiro 2023 - Valor Real'!A3:A15,'Fevereiro 2023 - Valor Real'!C3:C15,0))+1)/(((L409/(L409-1)-1)*(1-_xlfn.XLOOKUP(K409,'Fevereiro 2023 - Valor Real'!A3:A15,'Fevereiro 2023 - Valor Real'!C3:C15,0))+1)+((L410/(L410-1)-1)*(1-_xlfn.XLOOKUP(K410,'Fevereiro 2023 - Valor Real'!A3:A15,'Fevereiro 2023 - Valor Real'!C3:C15,0))+1)),((L409-1)*(1-_xlfn.XLOOKUP(K409,'Fevereiro 2023 - Valor Real'!A3:A15,'Fevereiro 2023 - Valor Real'!C3:C15,0))+1)/(((L409-1)*(1-_xlfn.XLOOKUP(K409,'Fevereiro 2023 - Valor Real'!A3:A15,'Fevereiro 2023 - Valor Real'!C3:C15,0))+1)+((L410/(L410-1)-1)*(1-_xlfn.XLOOKUP(K410,'Fevereiro 2023 - Valor Real'!A3:A15,'Fevereiro 2023 - Valor Real'!C3:C15,0))+1))),IF(I409="Lay",((L409/(L409-1)-1)*(1-_xlfn.XLOOKUP(K409,'Fevereiro 2023 - Valor Real'!A3:A15,'Fevereiro 2023 - Valor Real'!C3:C15,0))+1)/((((L409/(L409-1)-1)*(1-_xlfn.XLOOKUP(K409,'Fevereiro 2023 - Valor Real'!A3:A15,'Fevereiro 2023 - Valor Real'!C3:C15,0))+1))+((L410-1)*(1-_xlfn.XLOOKUP(K410,'Fevereiro 2023 - Valor Real'!A3:A15,'Fevereiro 2023 - Valor Real'!C3:C15,0))+1)),((L409-1)*(1-_xlfn.XLOOKUP(K409,'Fevereiro 2023 - Valor Real'!A3:A15,'Fevereiro 2023 - Valor Real'!C3:C15,0))+1)/(((L409-1)*(1-_xlfn.XLOOKUP(K409,'Fevereiro 2023 - Valor Real'!A3:A15,'Fevereiro 2023 - Valor Real'!C3:C15,0))+1)+((L410-1)*(1-_xlfn.XLOOKUP(K410,'Fevereiro 2023 - Valor Real'!A3:A15,'Fevereiro 2023 - Valor Real'!C3:C15,0))+1))))))</f>
        <v>0.29085872576177291</v>
      </c>
      <c r="AF410" s="105">
        <f t="shared" si="824"/>
        <v>0</v>
      </c>
      <c r="AG410" s="106">
        <f t="shared" si="824"/>
        <v>-9.16</v>
      </c>
      <c r="AH410" s="106">
        <f t="shared" si="824"/>
        <v>0</v>
      </c>
      <c r="AI410" s="106">
        <f t="shared" si="824"/>
        <v>0</v>
      </c>
      <c r="AJ410" s="106">
        <f t="shared" si="824"/>
        <v>0</v>
      </c>
      <c r="AK410" s="106">
        <f t="shared" si="824"/>
        <v>0</v>
      </c>
      <c r="AL410" s="106">
        <f t="shared" si="824"/>
        <v>0</v>
      </c>
      <c r="AM410" s="106">
        <f t="shared" si="824"/>
        <v>0</v>
      </c>
      <c r="AN410" s="106">
        <f t="shared" si="824"/>
        <v>0</v>
      </c>
      <c r="AO410" s="106">
        <f t="shared" si="824"/>
        <v>0</v>
      </c>
      <c r="AP410" s="106">
        <f t="shared" si="824"/>
        <v>0</v>
      </c>
      <c r="AQ410" s="106">
        <f t="shared" si="824"/>
        <v>0</v>
      </c>
      <c r="AR410" s="107">
        <f t="shared" si="824"/>
        <v>0</v>
      </c>
      <c r="AS410" s="105">
        <f>IF(AND($B409=" ",$K410=AS$3),$O410,0)</f>
        <v>0</v>
      </c>
      <c r="AT410" s="106">
        <f>IF(AND($B409=" ",K410=AT$3),$O410,0)</f>
        <v>0</v>
      </c>
      <c r="AU410" s="106">
        <f t="shared" ref="AU410:BE410" si="834">IF(AND($B409=" ",$K410=AU$3),$O410,0)</f>
        <v>0</v>
      </c>
      <c r="AV410" s="106">
        <f t="shared" si="834"/>
        <v>0</v>
      </c>
      <c r="AW410" s="106">
        <f t="shared" si="834"/>
        <v>0</v>
      </c>
      <c r="AX410" s="106">
        <f t="shared" si="834"/>
        <v>0</v>
      </c>
      <c r="AY410" s="108">
        <f t="shared" si="834"/>
        <v>0</v>
      </c>
      <c r="AZ410" s="109">
        <f t="shared" si="834"/>
        <v>0</v>
      </c>
      <c r="BA410" s="109">
        <f t="shared" si="834"/>
        <v>0</v>
      </c>
      <c r="BB410" s="109">
        <f t="shared" si="834"/>
        <v>0</v>
      </c>
      <c r="BC410" s="110">
        <f t="shared" si="834"/>
        <v>0</v>
      </c>
      <c r="BD410" s="106">
        <f t="shared" si="834"/>
        <v>0</v>
      </c>
      <c r="BE410" s="107">
        <f t="shared" si="834"/>
        <v>0</v>
      </c>
      <c r="BF410" s="105">
        <f t="shared" si="826"/>
        <v>0</v>
      </c>
      <c r="BG410" s="106">
        <f t="shared" si="826"/>
        <v>9.16</v>
      </c>
      <c r="BH410" s="106">
        <f t="shared" si="826"/>
        <v>0</v>
      </c>
      <c r="BI410" s="106">
        <f t="shared" si="826"/>
        <v>0</v>
      </c>
      <c r="BJ410" s="106">
        <f t="shared" si="826"/>
        <v>0</v>
      </c>
      <c r="BK410" s="106">
        <f t="shared" si="826"/>
        <v>0</v>
      </c>
      <c r="BL410" s="106">
        <f t="shared" si="826"/>
        <v>0</v>
      </c>
      <c r="BM410" s="132">
        <f t="shared" si="826"/>
        <v>0</v>
      </c>
      <c r="BN410" s="112">
        <f t="shared" si="826"/>
        <v>0</v>
      </c>
      <c r="BO410" s="112">
        <f t="shared" si="826"/>
        <v>0</v>
      </c>
      <c r="BP410" s="112">
        <f t="shared" si="826"/>
        <v>0</v>
      </c>
      <c r="BQ410" s="110">
        <f t="shared" si="826"/>
        <v>0</v>
      </c>
      <c r="BR410" s="107">
        <f t="shared" si="826"/>
        <v>0</v>
      </c>
      <c r="BS410" s="464"/>
      <c r="BT410" s="461"/>
      <c r="BU410" s="392"/>
      <c r="BV410" s="461"/>
      <c r="BW410" s="392"/>
      <c r="BX410" s="392"/>
      <c r="BY410" s="392"/>
      <c r="BZ410" s="461"/>
      <c r="CA410" s="392"/>
      <c r="CB410" s="392"/>
      <c r="CC410" s="392"/>
      <c r="CD410" s="401"/>
      <c r="CE410" s="409"/>
      <c r="CF410" s="133">
        <f t="shared" si="772"/>
        <v>0</v>
      </c>
      <c r="CG410" s="134">
        <f t="shared" si="773"/>
        <v>0</v>
      </c>
      <c r="CH410" s="134">
        <f t="shared" si="774"/>
        <v>0</v>
      </c>
      <c r="CI410" s="134">
        <f t="shared" si="775"/>
        <v>1</v>
      </c>
      <c r="CJ410" s="134">
        <f t="shared" si="776"/>
        <v>0</v>
      </c>
      <c r="CK410" s="134">
        <f t="shared" si="777"/>
        <v>0</v>
      </c>
      <c r="CL410" s="134">
        <f t="shared" si="778"/>
        <v>0</v>
      </c>
      <c r="CM410" s="134">
        <f t="shared" si="779"/>
        <v>0</v>
      </c>
      <c r="CN410" s="134">
        <f t="shared" si="780"/>
        <v>0</v>
      </c>
      <c r="CO410" s="134">
        <f t="shared" si="781"/>
        <v>0</v>
      </c>
      <c r="CP410" s="134">
        <f t="shared" si="782"/>
        <v>0</v>
      </c>
      <c r="CQ410" s="134">
        <f t="shared" si="783"/>
        <v>0</v>
      </c>
      <c r="CR410" s="134">
        <f t="shared" si="784"/>
        <v>0</v>
      </c>
      <c r="CS410" s="134">
        <f t="shared" si="785"/>
        <v>0</v>
      </c>
      <c r="CT410" s="115">
        <f t="shared" si="786"/>
        <v>0</v>
      </c>
      <c r="CU410" s="116">
        <f t="shared" si="787"/>
        <v>0</v>
      </c>
      <c r="CV410" s="116">
        <f t="shared" si="788"/>
        <v>0</v>
      </c>
      <c r="CW410" s="116">
        <f t="shared" si="789"/>
        <v>0</v>
      </c>
      <c r="CX410" s="116">
        <f t="shared" si="790"/>
        <v>0</v>
      </c>
      <c r="CY410" s="116">
        <f t="shared" si="791"/>
        <v>0</v>
      </c>
      <c r="CZ410" s="116">
        <f t="shared" si="792"/>
        <v>0</v>
      </c>
      <c r="DA410" s="116">
        <f t="shared" si="793"/>
        <v>0</v>
      </c>
      <c r="DB410" s="116">
        <f t="shared" si="794"/>
        <v>0</v>
      </c>
      <c r="DC410" s="116">
        <f t="shared" si="795"/>
        <v>0</v>
      </c>
      <c r="DD410" s="116">
        <f t="shared" si="796"/>
        <v>0</v>
      </c>
      <c r="DE410" s="117">
        <f t="shared" si="797"/>
        <v>0</v>
      </c>
      <c r="DF410" s="118">
        <f t="shared" si="799"/>
        <v>29</v>
      </c>
      <c r="DG410" s="106">
        <f t="shared" si="800"/>
        <v>37.629999999999995</v>
      </c>
      <c r="DH410" s="116">
        <f t="shared" si="801"/>
        <v>10</v>
      </c>
      <c r="DI410" s="106">
        <f t="shared" si="802"/>
        <v>41.599999999999994</v>
      </c>
      <c r="DJ410" s="201" t="str">
        <f>IF($D409="","",$D409)</f>
        <v>13</v>
      </c>
      <c r="DK410" s="466"/>
    </row>
    <row r="411" spans="1:115" ht="14.5" customHeight="1" x14ac:dyDescent="0.2">
      <c r="A411" s="390"/>
      <c r="B411" s="457"/>
      <c r="C411" s="135" t="s">
        <v>55</v>
      </c>
      <c r="D411" s="375"/>
      <c r="E411" s="387"/>
      <c r="F411" s="378"/>
      <c r="G411" s="484"/>
      <c r="H411" s="477"/>
      <c r="I411" s="203" t="s">
        <v>61</v>
      </c>
      <c r="J411" s="137"/>
      <c r="K411" s="193" t="s">
        <v>37</v>
      </c>
      <c r="L411" s="194">
        <v>7.5</v>
      </c>
      <c r="M411" s="140">
        <v>6.66</v>
      </c>
      <c r="N411" s="407"/>
      <c r="O411" s="195">
        <f>IF(OR(AE409="",AE410=""),"",IF(L411&gt;0,ROUND(IF(M411&gt;0,M411,IF(M409&gt;0,ROUND((M409*AE411)/AE409,IF(N409=0,2,IF(N409=0.1,1,0))),IF(M410&gt;0,ROUND((M410*AE411)/AE410,IF(N409=0,2,IF(N409=0.1,1,0))),IF(M411&gt;0,M411,0)))),2),""))</f>
        <v>6.66</v>
      </c>
      <c r="P411" s="196">
        <f>IF(I410="Lay",O410*(L410/(L410-1))-O410,IF(I409="Lay",O409*(L409/(L409-1))-O409,IF(OR(L411="",O411=""),"",IF($C411="1/2W",O411/2+O411/2*L411,IF($C411="1/2L",O411/2,(O411*L411-O411)*(1-_xlfn.XLOOKUP(K411,'Fevereiro 2023 - Valor Real'!A3:A15,'Fevereiro 2023 - Valor Real'!C3:C15,0))+O411)))))</f>
        <v>49.95</v>
      </c>
      <c r="Q411" s="197">
        <f>IF(K411="","",IF(_xlfn.XLOOKUP(K411,K$4:K410,$DJ$4:DJ410,0,,-1)=DJ411,_xlfn.XLOOKUP(K411,K$4:K410,Q$4:Q410,1,,-1)+1,1))</f>
        <v>4</v>
      </c>
      <c r="R411" s="198">
        <f>IF(K411="","",_xlfn.XLOOKUP(K411,K$4:K410,R$4:R410,0,,-1)+IF($C411=" ",1,0))</f>
        <v>0</v>
      </c>
      <c r="S411" s="404"/>
      <c r="T411" s="378"/>
      <c r="U411" s="378"/>
      <c r="V411" s="404"/>
      <c r="W411" s="378"/>
      <c r="X411" s="453"/>
      <c r="Y411" s="383"/>
      <c r="Z411" s="384"/>
      <c r="AA411" s="384"/>
      <c r="AB411" s="384"/>
      <c r="AC411" s="384"/>
      <c r="AD411" s="145">
        <f>((L410/(L410-1)-1))</f>
        <v>0.33333333333333326</v>
      </c>
      <c r="AE411" s="199">
        <f>IF(L411="","",(SUM(((L409-1)*(1-_xlfn.XLOOKUP(K409,'Fevereiro 2023 - Valor Real'!A3:A15,'Fevereiro 2023 - Valor Real'!C3:C15,0))+1),((L410-1)*(1-_xlfn.XLOOKUP(K410,'Fevereiro 2023 - Valor Real'!A3:A15,'Fevereiro 2023 - Valor Real'!C3:C15,0))+1),((L411-1)*(1-_xlfn.XLOOKUP(K411,'Fevereiro 2023 - Valor Real'!A3:A15,'Fevereiro 2023 - Valor Real'!C3:C15,0))+1))/((L411-1)*(1-_xlfn.XLOOKUP(K411,'Fevereiro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Real'!C3:C15,0))+1))/((L409-1)*(1-_xlfn.XLOOKUP(K409,'Fevereiro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Real'!C3:C15,0))+1))/((L410-1)*(1-_xlfn.XLOOKUP(K410,'Fevereiro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Real'!C3:C15,0))+1))/((L411-1)*(1-_xlfn.XLOOKUP(K411,'Fevereiro 2023 - Valor Real'!A3:A15,'Fevereiro 2023 - Valor Real'!C3:C15,0))+1)))</f>
        <v>0.15512465373961221</v>
      </c>
      <c r="AF411" s="105">
        <f t="shared" si="824"/>
        <v>0</v>
      </c>
      <c r="AG411" s="106">
        <f t="shared" si="824"/>
        <v>-6.66</v>
      </c>
      <c r="AH411" s="106">
        <f t="shared" si="824"/>
        <v>0</v>
      </c>
      <c r="AI411" s="106">
        <f t="shared" si="824"/>
        <v>0</v>
      </c>
      <c r="AJ411" s="106">
        <f t="shared" si="824"/>
        <v>0</v>
      </c>
      <c r="AK411" s="106">
        <f t="shared" si="824"/>
        <v>0</v>
      </c>
      <c r="AL411" s="106">
        <f t="shared" si="824"/>
        <v>0</v>
      </c>
      <c r="AM411" s="106">
        <f t="shared" si="824"/>
        <v>0</v>
      </c>
      <c r="AN411" s="106">
        <f t="shared" si="824"/>
        <v>0</v>
      </c>
      <c r="AO411" s="106">
        <f t="shared" si="824"/>
        <v>0</v>
      </c>
      <c r="AP411" s="106">
        <f t="shared" si="824"/>
        <v>0</v>
      </c>
      <c r="AQ411" s="106">
        <f t="shared" si="824"/>
        <v>0</v>
      </c>
      <c r="AR411" s="107">
        <f t="shared" si="824"/>
        <v>0</v>
      </c>
      <c r="AS411" s="105">
        <f>IF(AND($B409=" ",$K411=AS$3),$O411,0)</f>
        <v>0</v>
      </c>
      <c r="AT411" s="106">
        <f>IF(AND($B409=" ",K411=AT$3),$O411,0)</f>
        <v>0</v>
      </c>
      <c r="AU411" s="106">
        <f t="shared" ref="AU411:BE411" si="835">IF(AND($B409=" ",$K411=AU$3),$O411,0)</f>
        <v>0</v>
      </c>
      <c r="AV411" s="106">
        <f t="shared" si="835"/>
        <v>0</v>
      </c>
      <c r="AW411" s="106">
        <f t="shared" si="835"/>
        <v>0</v>
      </c>
      <c r="AX411" s="106">
        <f t="shared" si="835"/>
        <v>0</v>
      </c>
      <c r="AY411" s="108">
        <f t="shared" si="835"/>
        <v>0</v>
      </c>
      <c r="AZ411" s="109">
        <f t="shared" si="835"/>
        <v>0</v>
      </c>
      <c r="BA411" s="109">
        <f t="shared" si="835"/>
        <v>0</v>
      </c>
      <c r="BB411" s="109">
        <f t="shared" si="835"/>
        <v>0</v>
      </c>
      <c r="BC411" s="110">
        <f t="shared" si="835"/>
        <v>0</v>
      </c>
      <c r="BD411" s="106">
        <f t="shared" si="835"/>
        <v>0</v>
      </c>
      <c r="BE411" s="107">
        <f t="shared" si="835"/>
        <v>0</v>
      </c>
      <c r="BF411" s="105">
        <f t="shared" si="826"/>
        <v>0</v>
      </c>
      <c r="BG411" s="106">
        <f t="shared" si="826"/>
        <v>6.66</v>
      </c>
      <c r="BH411" s="106">
        <f t="shared" si="826"/>
        <v>0</v>
      </c>
      <c r="BI411" s="106">
        <f t="shared" si="826"/>
        <v>0</v>
      </c>
      <c r="BJ411" s="106">
        <f t="shared" si="826"/>
        <v>0</v>
      </c>
      <c r="BK411" s="106">
        <f t="shared" si="826"/>
        <v>0</v>
      </c>
      <c r="BL411" s="106">
        <f t="shared" si="826"/>
        <v>0</v>
      </c>
      <c r="BM411" s="108">
        <f t="shared" si="826"/>
        <v>0</v>
      </c>
      <c r="BN411" s="109">
        <f t="shared" si="826"/>
        <v>0</v>
      </c>
      <c r="BO411" s="109">
        <f t="shared" si="826"/>
        <v>0</v>
      </c>
      <c r="BP411" s="109">
        <f t="shared" si="826"/>
        <v>0</v>
      </c>
      <c r="BQ411" s="110">
        <f t="shared" si="826"/>
        <v>0</v>
      </c>
      <c r="BR411" s="107">
        <f t="shared" si="826"/>
        <v>0</v>
      </c>
      <c r="BS411" s="464"/>
      <c r="BT411" s="461"/>
      <c r="BU411" s="392"/>
      <c r="BV411" s="461"/>
      <c r="BW411" s="392"/>
      <c r="BX411" s="392"/>
      <c r="BY411" s="392"/>
      <c r="BZ411" s="461"/>
      <c r="CA411" s="392"/>
      <c r="CB411" s="392"/>
      <c r="CC411" s="392"/>
      <c r="CD411" s="401"/>
      <c r="CE411" s="409"/>
      <c r="CF411" s="133">
        <f t="shared" si="772"/>
        <v>0</v>
      </c>
      <c r="CG411" s="134">
        <f t="shared" si="773"/>
        <v>0</v>
      </c>
      <c r="CH411" s="134">
        <f t="shared" si="774"/>
        <v>0</v>
      </c>
      <c r="CI411" s="134">
        <f t="shared" si="775"/>
        <v>1</v>
      </c>
      <c r="CJ411" s="134">
        <f t="shared" si="776"/>
        <v>0</v>
      </c>
      <c r="CK411" s="134">
        <f t="shared" si="777"/>
        <v>0</v>
      </c>
      <c r="CL411" s="134">
        <f t="shared" si="778"/>
        <v>0</v>
      </c>
      <c r="CM411" s="134">
        <f t="shared" si="779"/>
        <v>0</v>
      </c>
      <c r="CN411" s="134">
        <f t="shared" si="780"/>
        <v>0</v>
      </c>
      <c r="CO411" s="134">
        <f t="shared" si="781"/>
        <v>0</v>
      </c>
      <c r="CP411" s="134">
        <f t="shared" si="782"/>
        <v>0</v>
      </c>
      <c r="CQ411" s="134">
        <f t="shared" si="783"/>
        <v>0</v>
      </c>
      <c r="CR411" s="134">
        <f t="shared" si="784"/>
        <v>0</v>
      </c>
      <c r="CS411" s="134">
        <f t="shared" si="785"/>
        <v>0</v>
      </c>
      <c r="CT411" s="115">
        <f t="shared" si="786"/>
        <v>0</v>
      </c>
      <c r="CU411" s="116">
        <f t="shared" si="787"/>
        <v>0</v>
      </c>
      <c r="CV411" s="116">
        <f t="shared" si="788"/>
        <v>0</v>
      </c>
      <c r="CW411" s="116">
        <f t="shared" si="789"/>
        <v>0</v>
      </c>
      <c r="CX411" s="116">
        <f t="shared" si="790"/>
        <v>0</v>
      </c>
      <c r="CY411" s="116">
        <f t="shared" si="791"/>
        <v>0</v>
      </c>
      <c r="CZ411" s="116">
        <f t="shared" si="792"/>
        <v>0</v>
      </c>
      <c r="DA411" s="116">
        <f t="shared" si="793"/>
        <v>0</v>
      </c>
      <c r="DB411" s="116">
        <f t="shared" si="794"/>
        <v>0</v>
      </c>
      <c r="DC411" s="116">
        <f t="shared" si="795"/>
        <v>0</v>
      </c>
      <c r="DD411" s="116">
        <f t="shared" si="796"/>
        <v>0</v>
      </c>
      <c r="DE411" s="117">
        <f t="shared" si="797"/>
        <v>0</v>
      </c>
      <c r="DF411" s="118">
        <f t="shared" si="799"/>
        <v>29</v>
      </c>
      <c r="DG411" s="106">
        <f t="shared" si="800"/>
        <v>37.629999999999995</v>
      </c>
      <c r="DH411" s="116">
        <f t="shared" si="801"/>
        <v>10</v>
      </c>
      <c r="DI411" s="106">
        <f t="shared" si="802"/>
        <v>41.599999999999994</v>
      </c>
      <c r="DJ411" s="201" t="str">
        <f>IF($D409="","",$D409)</f>
        <v>13</v>
      </c>
      <c r="DK411" s="466"/>
    </row>
    <row r="412" spans="1:115" ht="14.5" customHeight="1" x14ac:dyDescent="0.2">
      <c r="A412" s="487">
        <f>$A409+1</f>
        <v>137</v>
      </c>
      <c r="B412" s="506" t="str">
        <f>IF(OR(C412="W",C413="W",C414="W",C412="1/2W",C413="1/2W",C414="1/2W",C412="1/2L",C413="1/2L",C414="1/2L"),"OK",IF(OR(C412="L",C413="L",C414="L"),"LOSS",IF(OR(C412="X",C413="X",C414="X"),"Anulado"," ")))</f>
        <v>OK</v>
      </c>
      <c r="C412" s="147" t="s">
        <v>54</v>
      </c>
      <c r="D412" s="494" t="str">
        <f>IF(G412="","",$D409)</f>
        <v>13</v>
      </c>
      <c r="E412" s="511" t="str">
        <f>IF(G412=""," ","– "&amp;COUNTIF(D$4:D414,$D412))</f>
        <v>– 12</v>
      </c>
      <c r="F412" s="510" t="str">
        <f ca="1">IF(G412="","",IF(OR(AND($C412&lt;&gt;" ",$C413=" "),AND($C413&lt;&gt;" ",$C412=" "),AND(L414&gt;0,OR(AND($C414&lt;&gt;" ",OR($C412=" ",$C413=" ")),AND($C414=" ",OR($C412&lt;&gt;" ",$C413&lt;&gt;" "))))),IF(SUM(F$4:F411)=0,1,LARGE(F$4:F411,1)+1),IF(MONTH(G412)=MONTH(TODAY()),IF(AND(DAY(G412)&lt;DAY(TODAY()),$B412=" "),IF(SUM(F$4:F411)=0,1,LARGE(F$4:F411,1)+1),IF($B412=" ",IF(AND(DAY(G412)=DAY(TODAY()),HOUR(G412)&lt;=HOUR(NOW())+1),IF(AND(HOUR(G412)+2&lt;=HOUR(NOW()),DAY(G412)&lt;=DAY(TODAY()),MINUTE(G412)&lt;=MINUTE(NOW())),IF(SUM(F$4:F411)=0,1,LARGE(F$4:F411,1)+1),IF(OR(MINUTE(G412)&lt;=MINUTE(NOW()),HOUR(G412)&lt;=HOUR(NOW())),"!!!","")),""),"")),"")))</f>
        <v/>
      </c>
      <c r="G412" s="508">
        <f>IF(H412="","",_xlfn.XLOOKUP(H412,$H$4:H411,$G$4:G411,""))</f>
        <v>45000.333333333336</v>
      </c>
      <c r="H412" s="502" t="s">
        <v>173</v>
      </c>
      <c r="I412" s="148">
        <v>1</v>
      </c>
      <c r="J412" s="149"/>
      <c r="K412" s="150" t="s">
        <v>43</v>
      </c>
      <c r="L412" s="151">
        <v>2.06</v>
      </c>
      <c r="M412" s="152"/>
      <c r="N412" s="503">
        <v>0</v>
      </c>
      <c r="O412" s="153">
        <f>IF(OR(AE412="",AE413=""),"",ROUND(IF(L414&gt;0,IF(M412&gt;0,M412,IF(M413&gt;0,ROUND((M413*AE412)/AE413,IF(N412=0,2,IF(N412=0.1,1,0))),ROUND((M414*AE412)/AE414,IF(N412=0,2,IF(N412=0.1,1,0))))),IF(M412&gt;0,M412,ROUND((M413*AE412)/AE413,IF(N412=0,2,IF(N412=0.1,1,0))))),2))</f>
        <v>25.72</v>
      </c>
      <c r="P412" s="154">
        <f>IF(OR(L412="",O412=""),"",IF($C412="1/2W",O412/2+O412/2*L412,IF($C412="1/2L",O412/2,IF(I412="Lay",(O412*(L412/(L412-1))-O412)*(1-_xlfn.XLOOKUP(K412,'Fevereiro 2023 - Valor Real'!A3:A15,'Fevereiro 2023 - Valor Real'!C3:C15,0))+O412,(O412*L412-O412)*(1-_xlfn.XLOOKUP(K412,'Fevereiro 2023 - Valor Real'!A3:A15,'Fevereiro 2023 - Valor Real'!C3:C15,0))+O412))))</f>
        <v>52.983199999999997</v>
      </c>
      <c r="Q412" s="155">
        <f>IF(K412="","",IF(_xlfn.XLOOKUP(K412,K$9:K404,$DJ$9:DJ404,0,,-1)=DJ412,_xlfn.XLOOKUP(K412,K$9:K404,Q$9:Q404,1,,-1)+1,1))</f>
        <v>4</v>
      </c>
      <c r="R412" s="156">
        <f>IF(K412="","",_xlfn.XLOOKUP(K412,K$9:K404,R$9:R404,0,,-1)+IF($C412=" ",1,0))</f>
        <v>0</v>
      </c>
      <c r="S412" s="501">
        <f>IF($B412="Anulado",0,ROUND(IF(OR($B412="LOSS",$B412="OK"),IF(OR($C412="W",$C412="1/2W",$C412="1/2L"),P412-O412,IF($C412="L",-O412,0))+IF(OR($C413="W",$C413="1/2W",$C413="1/2L"),P413-O413,IF($C413="L",-O413,0))+IF(OR($C414="W",$C414="1/2W",$C414="1/2L"),P414-O414,IF($C414="L",-O414,0)),IF(AND(OR($C412="W",$C412="1/2W",$C412="1/2L"),C413="W"),P412+P413-SUM(O412:O414)+_xlfn.XLOOKUP("X",C412:C414,O412:O414,0),IF(AND(C412=TRUE,C414="W"),P412+P414-SUM(O412:O414),IF(AND(C413="W",C414="W"),P413+P414-SUM(O412:O414)+_xlfn.XLOOKUP("X",C412:C414,O412:O414,0),IF(L414&gt;0,IF(OR($C412="W",$C412="1/2W",$C412="1/2L"),P412-SUM(O412:O414)+_xlfn.XLOOKUP("X",C412:C414,O412:O414,0),IF(OR($C412="W",$C412="1/2W",$C412="1/2L"),P413-SUM(O412:O414)+_xlfn.XLOOKUP("X",C412:C414,O412:O414,0),IF(OR($C412="W",$C412="1/2W",$C412="1/2L"),P414-SUM(O412:O414)+_xlfn.XLOOKUP("X",C412:C414,O412:O414,0),IF(SUM(P412:P414)/3-SUM(O412:O414)+_xlfn.XLOOKUP("X",C412:C414,O412:O414,0)&gt;0,SUM(P412:P414)/3-SUM(O412:O414)+_xlfn.XLOOKUP("X",C412:C414,O412:O414,0),LARGE(P412:P414,1)-SUM(O412:O414))))),IF(OR($C412="W",$C412="1/2W",$C412="1/2L"),P412-SUM(O412:O413)+_xlfn.XLOOKUP("X",C412:C414,O412:O414,0),IF(OR($C412="W",$C412="1/2W",$C412="1/2L"),P413-SUM(O412:O413)+_xlfn.XLOOKUP("X",C412:C414,O412:O414,0),SUM(P412:P413)/2-SUM(O412:O413)+_xlfn.XLOOKUP("X",C412:C414,O412:O414,0)))))))),2))</f>
        <v>6.88</v>
      </c>
      <c r="T412" s="486">
        <f>IF(S412=0,0,S412/SUM(O412:O414))</f>
        <v>0.14924078091106291</v>
      </c>
      <c r="U412" s="496">
        <f>IF($D412=$D409,IF(OR($B412="LOSS",$B412="OK",$B412="Anulada"),S412,0)+U409,IF(OR($B412="LOSS",$B412="OK",$B412="Anulada"),S412,0))</f>
        <v>43.94</v>
      </c>
      <c r="V412" s="496">
        <f>IF($D412="",0,IF($D412=$D409,IF($B412=" ",IF(I414="",IF(OR(AND(I412="DNB1",I413="DNB2"),AND(OR(I412="DNB1",I412="DNB2"),J413=0),AND(OR(I413="DNB1",I413="DNB2"),J412=0),AND(I412="DNB2",I413="DNB1"),AND(IF(J412=0,(J412+1)/ROUND(J412+1,0),J412/ROUND(J412,0))=1,IF(J413=0,(J413+1)/ROUND(IF(J413="",0,J413)+1,0),IF(J413="",0,J413)/ROUND(IF(J413="",1,J413),0))=1,OR(J412&lt;&gt;""),J413&lt;&gt;"")),0,IF(S412&lt;0,IF(I414="",SMALL(P412:P413,1)-SUM(O412:O413),0),SMALL(P412:P413,1)-SUM(O412:O413))),IF(S412&lt;0,IF(I414="",SMALL(P412:P414,1)-SUM(O412:O414),0),LARGE(P412:P414,1)-SUM(O412:O414))),S412)+V409,IF(I414="",IF(OR(AND(I412="DNB1",I413="DNB2"),AND(OR(I412="DNB1",I412="DNB2"),J413=0),AND(OR(I413="DNB1",I413="DNB2"),J412=0),AND(I412="DNB2",I413="DNB1"),AND(IF(J412=0,(J412+1)/ROUND(J412+1,0),J412/ROUND(J412,0))=1,IF(J413=0,(IF(J413="",0,J413)+1)/ROUND(IF(J413="",0,J413)+1,0),IF(J413="",0,J413)/ROUND(IF(J413="",0,J413)+1,0))=1,OR(J412&lt;&gt;""),J413&lt;&gt;"")),0,IF(S412&lt;0,IF(I414="",SMALL(P412:P413,1)-SUM(O412:O413),0),SMALL(P412:P414,1)-SUM(O412:O414))),IF(S412&lt;0,IF(I414="",SMALL(P412:P414,1)-SUM(O412:O414),0),LARGE(P412:P414,1)-SUM(O412:O414)))))</f>
        <v>43.557000000000002</v>
      </c>
      <c r="W412" s="496">
        <f>IF($D412=$D409,IF(S412&lt;0,IF(I414="",S412,0),S412)+W409,S412)</f>
        <v>43.94</v>
      </c>
      <c r="X412" s="505" t="str">
        <f>IF(OR(SUM(R412:R414)=0,V412=W412),ROUND(IF(W412=0,0,W412/Y412)*100,2)&amp;"%",ROUND(IF(V412=0,0,V412/Y412)*100,2)&amp;"% a "&amp;ROUND(IF(W412=0,0,W412/Y412)*100,2)&amp;"%")</f>
        <v>5,89%</v>
      </c>
      <c r="Y412" s="497">
        <f>IF($D412=$D409,Y409+SUM(O412:O414),SUM(O412:O414))</f>
        <v>745.5</v>
      </c>
      <c r="Z412" s="496">
        <f>IF($B412=" ",SUM(O412:O414),0)+Z409</f>
        <v>0</v>
      </c>
      <c r="AA412" s="496">
        <f>IF(G412="","",IF($B412="Anulado",LARGE(P412:P414,1)-SUM(O412:O414)+AA409,AA409))</f>
        <v>12.425099999999992</v>
      </c>
      <c r="AB412" s="496">
        <f>IF($D412="","",AB409+S412)</f>
        <v>502.29000000000013</v>
      </c>
      <c r="AC412" s="499">
        <f ca="1">IF($D412="","",IF($B412=" ",IF(DAY(G412)=DAY(TODAY()),1+AC409,0+AC409),0+AC409))</f>
        <v>0</v>
      </c>
      <c r="AD412" s="157">
        <f>(1-_xlfn.XLOOKUP(K410,'Fevereiro 2023 - Valor Real'!A3:A15,'Fevereiro 2023 - Valor Real'!C3:C15,0))+1</f>
        <v>2</v>
      </c>
      <c r="AE412" s="158">
        <f>IF(L412="","",IF(L414&gt;0,(SUM(((L412-1)*(1-_xlfn.XLOOKUP(K412,'Fevereiro 2023 - Valor Real'!A3:A15,'Fevereiro 2023 - Valor Real'!C3:C15,0))+1),((L413-1)*(1-_xlfn.XLOOKUP(K413,'Fevereiro 2023 - Valor Real'!A3:A15,'Fevereiro 2023 - Valor Real'!C3:C15,0))+1),((L414-1)*(1-_xlfn.XLOOKUP(K414,'Fevereiro 2023 - Valor Real'!A3:A15,'Fevereiro 2023 - Valor Real'!C3:C15,0))+1))/((L412-1)*(1-_xlfn.XLOOKUP(K412,'Fevereiro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Real'!C3:C15,0))+1))/((L412-1)*(1-_xlfn.XLOOKUP(K412,'Fevereiro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Real'!C3:C15,0))+1))/((L413-1)*(1-_xlfn.XLOOKUP(K413,'Fevereiro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Real'!C3:C15,0))+1))/((L414-1)*(1-_xlfn.XLOOKUP(K414,'Fevereiro 2023 - Valor Real'!A3:A15,'Fevereiro 2023 - Valor Real'!C3:C15,0))+1)),IF(I412="Lay",IF(I413="Lay",((L413/(L413-1)-1)*(1-_xlfn.XLOOKUP(K413,'Fevereiro 2023 - Valor Real'!A3:A15,'Fevereiro 2023 - Valor Real'!C3:C15,0))+1)/(((L413/(L413-1)-1)*(1-_xlfn.XLOOKUP(K413,'Fevereiro 2023 - Valor Real'!A3:A15,'Fevereiro 2023 - Valor Real'!C3:C15,0))+1)+((L412/(L412-1)-1)*(1-_xlfn.XLOOKUP(K412,'Fevereiro 2023 - Valor Real'!A3:A15,'Fevereiro 2023 - Valor Real'!C3:C15,0))+1)),((L413-1)*(1-_xlfn.XLOOKUP(K413,'Fevereiro 2023 - Valor Real'!A3:A15,'Fevereiro 2023 - Valor Real'!C3:C15,0))+1)/(((L413-1)*(1-_xlfn.XLOOKUP(K413,'Fevereiro 2023 - Valor Real'!A3:A15,'Fevereiro 2023 - Valor Real'!C3:C15,0))+1)+((L412/(L412-1)-1)*(1-_xlfn.XLOOKUP(K412,'Fevereiro 2023 - Valor Real'!A3:A15,'Fevereiro 2023 - Valor Real'!C3:C15,0))+1))),IF(I413="Lay",(((L413/(L413-1)-1)*(1-_xlfn.XLOOKUP(K413,'Fevereiro 2023 - Valor Real'!A3:A15,'Fevereiro 2023 - Valor Real'!C3:C15,0))+1))/(((L412-1)*(1-_xlfn.XLOOKUP(K412,'Fevereiro 2023 - Valor Real'!A3:A15,'Fevereiro 2023 - Valor Real'!C3:C15,0))+1)+((L413/(L413-1)-1)*(1-_xlfn.XLOOKUP(K413,'Fevereiro 2023 - Valor Real'!A3:A15,'Fevereiro 2023 - Valor Real'!C3:C15,0))+1)),((L413-1)*(1-_xlfn.XLOOKUP(K413,'Fevereiro 2023 - Valor Real'!A3:A15,'Fevereiro 2023 - Valor Real'!C3:C15,0))+1)/(((L413-1)*(1-_xlfn.XLOOKUP(K413,'Fevereiro 2023 - Valor Real'!A3:A15,'Fevereiro 2023 - Valor Real'!C3:C15,0))+1)+((L412-1)*(1-_xlfn.XLOOKUP(K412,'Fevereiro 2023 - Valor Real'!A3:A15,'Fevereiro 2023 - Valor Real'!C3:C15,0))+1))))))</f>
        <v>0.55793991416309008</v>
      </c>
      <c r="AF412" s="66">
        <f t="shared" si="824"/>
        <v>0</v>
      </c>
      <c r="AG412" s="67">
        <f t="shared" si="824"/>
        <v>0</v>
      </c>
      <c r="AH412" s="67">
        <f t="shared" si="824"/>
        <v>0</v>
      </c>
      <c r="AI412" s="67">
        <f t="shared" si="824"/>
        <v>0</v>
      </c>
      <c r="AJ412" s="67">
        <f t="shared" si="824"/>
        <v>0</v>
      </c>
      <c r="AK412" s="67">
        <f t="shared" si="824"/>
        <v>0</v>
      </c>
      <c r="AL412" s="67">
        <f t="shared" si="824"/>
        <v>0</v>
      </c>
      <c r="AM412" s="67">
        <f t="shared" si="824"/>
        <v>27.26</v>
      </c>
      <c r="AN412" s="67">
        <f t="shared" si="824"/>
        <v>0</v>
      </c>
      <c r="AO412" s="67">
        <f t="shared" si="824"/>
        <v>0</v>
      </c>
      <c r="AP412" s="67">
        <f t="shared" si="824"/>
        <v>0</v>
      </c>
      <c r="AQ412" s="67">
        <f t="shared" si="824"/>
        <v>0</v>
      </c>
      <c r="AR412" s="68">
        <f t="shared" si="824"/>
        <v>0</v>
      </c>
      <c r="AS412" s="66">
        <f t="shared" ref="AS412:BE412" si="836">IF(AND($B412=" ",$K412=AS$3),$O412,0)</f>
        <v>0</v>
      </c>
      <c r="AT412" s="67">
        <f t="shared" si="836"/>
        <v>0</v>
      </c>
      <c r="AU412" s="67">
        <f t="shared" si="836"/>
        <v>0</v>
      </c>
      <c r="AV412" s="67">
        <f t="shared" si="836"/>
        <v>0</v>
      </c>
      <c r="AW412" s="67">
        <f t="shared" si="836"/>
        <v>0</v>
      </c>
      <c r="AX412" s="67">
        <f t="shared" si="836"/>
        <v>0</v>
      </c>
      <c r="AY412" s="69">
        <f t="shared" si="836"/>
        <v>0</v>
      </c>
      <c r="AZ412" s="70">
        <f t="shared" si="836"/>
        <v>0</v>
      </c>
      <c r="BA412" s="70">
        <f t="shared" si="836"/>
        <v>0</v>
      </c>
      <c r="BB412" s="70">
        <f t="shared" si="836"/>
        <v>0</v>
      </c>
      <c r="BC412" s="71">
        <f t="shared" si="836"/>
        <v>0</v>
      </c>
      <c r="BD412" s="67">
        <f t="shared" si="836"/>
        <v>0</v>
      </c>
      <c r="BE412" s="68">
        <f t="shared" si="836"/>
        <v>0</v>
      </c>
      <c r="BF412" s="66">
        <f t="shared" si="826"/>
        <v>0</v>
      </c>
      <c r="BG412" s="67">
        <f t="shared" si="826"/>
        <v>0</v>
      </c>
      <c r="BH412" s="67">
        <f t="shared" si="826"/>
        <v>0</v>
      </c>
      <c r="BI412" s="67">
        <f t="shared" si="826"/>
        <v>0</v>
      </c>
      <c r="BJ412" s="67">
        <f t="shared" si="826"/>
        <v>0</v>
      </c>
      <c r="BK412" s="67">
        <f t="shared" si="826"/>
        <v>0</v>
      </c>
      <c r="BL412" s="67">
        <f t="shared" si="826"/>
        <v>0</v>
      </c>
      <c r="BM412" s="69">
        <f t="shared" si="826"/>
        <v>25.72</v>
      </c>
      <c r="BN412" s="70">
        <f t="shared" si="826"/>
        <v>0</v>
      </c>
      <c r="BO412" s="70">
        <f t="shared" si="826"/>
        <v>0</v>
      </c>
      <c r="BP412" s="70">
        <f t="shared" si="826"/>
        <v>0</v>
      </c>
      <c r="BQ412" s="71">
        <f t="shared" si="826"/>
        <v>0</v>
      </c>
      <c r="BR412" s="68">
        <f t="shared" si="826"/>
        <v>0</v>
      </c>
      <c r="BS412" s="490">
        <f>IF($B412="LOSS",IF(AND($K412=BS$3,$C412="L"),-$O412,0)+IF(AND($K413=BS$3,$C413="L"),-$O413,0)+IF(AND($K414=BS$3,$C414="L"),-$O414,0),IF(OR(AND($K412=BS$3,OR($C412="W",$C412="1/2W")),AND($K413=BS$3,OR($C413="W",$C413="1/2W")),AND($K414=BS$3,OR($C414="W",$C414="1/2W"))),$S412,0))</f>
        <v>0</v>
      </c>
      <c r="BT412" s="498">
        <f>IF($B412="LOSS",IF(AND($K412=BT$3,$C412="L"),-$O412,0)+IF(AND($K413=BT$3,$C413="L"),-$O413,0)+IF(AND($K413=BT$3,$C414="L"),-$O414,0),IF(OR(AND($K413=BT$3,OR($C412="W",$C412="1/2W")),AND($K413=BT$3,OR($C413="W",$C413="1/2W")),AND($K413=BT$3,OR($C414="W",$C414="1/2W"))),$S412,0))</f>
        <v>6.88</v>
      </c>
      <c r="BU412" s="488">
        <f>IF($B412="LOSS",IF(AND($K412=BU$3,$C412="L"),-$O412,0)+IF(AND($K413=BU$3,$C413="L"),-$O413,0)+IF(AND($K413=BU$3,$C414="L"),-$O414,0),IF(OR(AND($K413=BU$3,OR($C412="W",$C412="1/2W")),AND($K413=BU$3,OR($C413="W",$C413="1/2W")),AND($K413=BU$3,OR($C414="W",$C414="1/2W"))),$S412,0))</f>
        <v>0</v>
      </c>
      <c r="BV412" s="488">
        <f t="shared" ref="BV412:CE412" si="837">IF($B412="LOSS",IF(AND($K412=BV$3,$C412="L"),-$O412,0)+IF(AND($K413=BV$3,$C413="L"),-$O413,0)+IF(AND($K414=BV$3,$C414="L"),-$O414,0),IF(OR(AND($K412=BV$3,OR($C412="W",$C412="1/2W")),AND($K413=BV$3,OR($C413="W",$C413="1/2W")),AND($K414=BV$3,OR($C414="W",$C414="1/2W"))),$S412,0))</f>
        <v>0</v>
      </c>
      <c r="BW412" s="488">
        <f t="shared" si="837"/>
        <v>0</v>
      </c>
      <c r="BX412" s="488">
        <f t="shared" si="837"/>
        <v>0</v>
      </c>
      <c r="BY412" s="488">
        <f t="shared" si="837"/>
        <v>0</v>
      </c>
      <c r="BZ412" s="488">
        <f t="shared" si="837"/>
        <v>6.88</v>
      </c>
      <c r="CA412" s="488">
        <f t="shared" si="837"/>
        <v>0</v>
      </c>
      <c r="CB412" s="488">
        <f t="shared" si="837"/>
        <v>0</v>
      </c>
      <c r="CC412" s="488">
        <f t="shared" si="837"/>
        <v>0</v>
      </c>
      <c r="CD412" s="500">
        <f t="shared" si="837"/>
        <v>0</v>
      </c>
      <c r="CE412" s="504">
        <f t="shared" si="837"/>
        <v>0</v>
      </c>
      <c r="CF412" s="160">
        <f t="shared" si="772"/>
        <v>0</v>
      </c>
      <c r="CG412" s="161">
        <f t="shared" si="773"/>
        <v>0</v>
      </c>
      <c r="CH412" s="161">
        <f t="shared" si="774"/>
        <v>0</v>
      </c>
      <c r="CI412" s="161">
        <f t="shared" si="775"/>
        <v>0</v>
      </c>
      <c r="CJ412" s="161">
        <f t="shared" si="776"/>
        <v>0</v>
      </c>
      <c r="CK412" s="161">
        <f t="shared" si="777"/>
        <v>0</v>
      </c>
      <c r="CL412" s="161">
        <f t="shared" si="778"/>
        <v>0</v>
      </c>
      <c r="CM412" s="161">
        <f t="shared" si="779"/>
        <v>0</v>
      </c>
      <c r="CN412" s="161">
        <f t="shared" si="780"/>
        <v>0</v>
      </c>
      <c r="CO412" s="161">
        <f t="shared" si="781"/>
        <v>0</v>
      </c>
      <c r="CP412" s="161">
        <f t="shared" si="782"/>
        <v>0</v>
      </c>
      <c r="CQ412" s="161">
        <f t="shared" si="783"/>
        <v>0</v>
      </c>
      <c r="CR412" s="161">
        <f t="shared" si="784"/>
        <v>0</v>
      </c>
      <c r="CS412" s="161">
        <f t="shared" si="785"/>
        <v>0</v>
      </c>
      <c r="CT412" s="75">
        <f t="shared" si="786"/>
        <v>1</v>
      </c>
      <c r="CU412" s="76">
        <f t="shared" si="787"/>
        <v>0</v>
      </c>
      <c r="CV412" s="76">
        <f t="shared" si="788"/>
        <v>0</v>
      </c>
      <c r="CW412" s="76">
        <f t="shared" si="789"/>
        <v>0</v>
      </c>
      <c r="CX412" s="76">
        <f t="shared" si="790"/>
        <v>0</v>
      </c>
      <c r="CY412" s="76">
        <f t="shared" si="791"/>
        <v>0</v>
      </c>
      <c r="CZ412" s="76">
        <f t="shared" si="792"/>
        <v>0</v>
      </c>
      <c r="DA412" s="76">
        <f t="shared" si="793"/>
        <v>0</v>
      </c>
      <c r="DB412" s="76">
        <f t="shared" si="794"/>
        <v>0</v>
      </c>
      <c r="DC412" s="76">
        <f t="shared" si="795"/>
        <v>0</v>
      </c>
      <c r="DD412" s="76">
        <f t="shared" si="796"/>
        <v>0</v>
      </c>
      <c r="DE412" s="77">
        <f t="shared" si="797"/>
        <v>0</v>
      </c>
      <c r="DF412" s="73">
        <f t="shared" si="799"/>
        <v>29</v>
      </c>
      <c r="DG412" s="67">
        <f t="shared" si="800"/>
        <v>37.629999999999995</v>
      </c>
      <c r="DH412" s="76">
        <f t="shared" si="801"/>
        <v>10</v>
      </c>
      <c r="DI412" s="67">
        <f t="shared" si="802"/>
        <v>41.599999999999994</v>
      </c>
      <c r="DJ412" s="202" t="str">
        <f>IF($D412="","",$D412)</f>
        <v>13</v>
      </c>
      <c r="DK412" s="492">
        <f>IF(AND($B412=" ",$D412&lt;&gt;""),1,0)</f>
        <v>0</v>
      </c>
    </row>
    <row r="413" spans="1:115" ht="14.5" customHeight="1" x14ac:dyDescent="0.2">
      <c r="A413" s="389"/>
      <c r="B413" s="456"/>
      <c r="C413" s="53" t="s">
        <v>55</v>
      </c>
      <c r="D413" s="374"/>
      <c r="E413" s="386"/>
      <c r="F413" s="377"/>
      <c r="G413" s="508"/>
      <c r="H413" s="476"/>
      <c r="I413" s="182" t="s">
        <v>64</v>
      </c>
      <c r="J413" s="163" t="str">
        <f>IF(OR(I412="TO",I412="TU",I412="TO1",I412="TU1",I412="TO2",I412="TU2"),J412,IF(OR(I412="AH1",I412="AH2"),IF(OR(I413="AH1",I413="AH2"),-J412,IF(OR(I413="EH1",I413="EH2"),-J412+0.5,"")),IF(OR(I412="EH1",I412="EH2"),IF(OR(I413="AH1",I413="AH2"),-J412+0.5,IF(OR(I413="EH1",I413="EH2"),-J412+1,"")),IF(AND(OR(I412="DNB1",I412="DNB2"),OR(I413="AH1",I413="AH2")),0,IF(AND(I412="Not ScoreBoth",OR(I413="TO1",I413="TO2")),0.5,"")))))</f>
        <v/>
      </c>
      <c r="K413" s="57" t="s">
        <v>37</v>
      </c>
      <c r="L413" s="164">
        <v>2.6</v>
      </c>
      <c r="M413" s="165">
        <v>20.38</v>
      </c>
      <c r="N413" s="406"/>
      <c r="O413" s="60">
        <f>IF(OR(AE412="",AE413=""),"",ROUND(IF(L414&gt;0,IF(M413&gt;0,M413,IF(M412&gt;0,IF(N412=TRUE,ROUND((M412*AE413)/AE412,0),(M412*AE413)/AE412),IF(M413&gt;0,ROUND(M413,IF(N412=0,2,IF(N412=0.1,1,0))),IF(M414&gt;0,ROUND(O414*AE413/AE414,IF(N412=0,2,IF(N412=0.1,1,0))),0)))),IF(M413&gt;0,M413,ROUND((M412*AE413)/AE412,IF(N412=0,2,IF(N412=0.1,1,0))))),2))</f>
        <v>20.38</v>
      </c>
      <c r="P413" s="61">
        <f>IF(OR(L413="",O413=""),"",IF($C413="1/2W",O413/2+O413/2*L413,IF($C413="1/2L",O413/2,IF(I413="Lay",((O413*(L413/(L413-1)))-O413)*(1-_xlfn.XLOOKUP(K413,'Fevereiro 2023 - Valor Real'!A3:A15,'Fevereiro 2023 - Valor Real'!C3:C15,0))+O413,(O413*L413-O413)*(1-_xlfn.XLOOKUP(K413,'Fevereiro 2023 - Valor Real'!A3:A15,'Fevereiro 2023 - Valor Real'!C3:C15,0))+O413))))</f>
        <v>52.988</v>
      </c>
      <c r="Q413" s="166">
        <f>IF(K413="","",IF(_xlfn.XLOOKUP(K413,K$10:K404,$DJ$10:DJ404,0,,-1)=DJ413,_xlfn.XLOOKUP(K413,K$10:K404,Q$10:Q404,1,,-1)+1,1))</f>
        <v>3</v>
      </c>
      <c r="R413" s="167">
        <f>IF(K413="","",_xlfn.XLOOKUP(K413,K$10:K404,R$10:R404,0,,-1)+IF($C413=" ",1,0))</f>
        <v>0</v>
      </c>
      <c r="S413" s="403"/>
      <c r="T413" s="380"/>
      <c r="U413" s="380"/>
      <c r="V413" s="481"/>
      <c r="W413" s="380"/>
      <c r="X413" s="452"/>
      <c r="Y413" s="383"/>
      <c r="Z413" s="384"/>
      <c r="AA413" s="384"/>
      <c r="AB413" s="384"/>
      <c r="AC413" s="384"/>
      <c r="AD413" s="64"/>
      <c r="AE413" s="65">
        <f>IF(L413="","",IF(L414&gt;0,(SUM(((L412-1)*(1-_xlfn.XLOOKUP(K412,'Fevereiro 2023 - Valor Real'!A3:A15,'Fevereiro 2023 - Valor Real'!C3:C15,0))+1),((L413-1)*(1-_xlfn.XLOOKUP(K413,'Fevereiro 2023 - Valor Real'!A3:A15,'Fevereiro 2023 - Valor Real'!C3:C15,0))+1),((L414-1)*(1-_xlfn.XLOOKUP(K414,'Fevereiro 2023 - Valor Real'!A3:A15,'Fevereiro 2023 - Valor Real'!C3:C15,0))+1))/((L413-1)*(1-_xlfn.XLOOKUP(K413,'Fevereiro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Real'!C3:C15,0))+1))/((L412-1)*(1-_xlfn.XLOOKUP(K412,'Fevereiro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Real'!C3:C15,0))+1))/((L413-1)*(1-_xlfn.XLOOKUP(K413,'Fevereiro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Real'!C3:C15,0))+1))/((L414-1)*(1-_xlfn.XLOOKUP(K414,'Fevereiro 2023 - Valor Real'!A3:A15,'Fevereiro 2023 - Valor Real'!C3:C15,0))+1)),IF(I413="Lay",IF(I412="Lay",((L412/(L412-1)-1)*(1-_xlfn.XLOOKUP(K412,'Fevereiro 2023 - Valor Real'!A3:A15,'Fevereiro 2023 - Valor Real'!C3:C15,0))+1)/(((L412/(L412-1)-1)*(1-_xlfn.XLOOKUP(K412,'Fevereiro 2023 - Valor Real'!A3:A15,'Fevereiro 2023 - Valor Real'!C3:C15,0))+1)+((L413/(L413-1)-1)*(1-_xlfn.XLOOKUP(K413,'Fevereiro 2023 - Valor Real'!A3:A15,'Fevereiro 2023 - Valor Real'!C3:C15,0))+1)),((L412-1)*(1-_xlfn.XLOOKUP(K412,'Fevereiro 2023 - Valor Real'!A3:A15,'Fevereiro 2023 - Valor Real'!C3:C15,0))+1)/(((L412-1)*(1-_xlfn.XLOOKUP(K412,'Fevereiro 2023 - Valor Real'!A3:A15,'Fevereiro 2023 - Valor Real'!C3:C15,0))+1)+((L413/(L413-1)-1)*(1-_xlfn.XLOOKUP(K413,'Fevereiro 2023 - Valor Real'!A3:A15,'Fevereiro 2023 - Valor Real'!C3:C15,0))+1))),IF(I412="Lay",((L412/(L412-1)-1)*(1-_xlfn.XLOOKUP(K412,'Fevereiro 2023 - Valor Real'!A3:A15,'Fevereiro 2023 - Valor Real'!C3:C15,0))+1)/((((L412/(L412-1)-1)*(1-_xlfn.XLOOKUP(K412,'Fevereiro 2023 - Valor Real'!A3:A15,'Fevereiro 2023 - Valor Real'!C3:C15,0))+1))+((L413-1)*(1-_xlfn.XLOOKUP(K413,'Fevereiro 2023 - Valor Real'!A3:A15,'Fevereiro 2023 - Valor Real'!C3:C15,0))+1)),((L412-1)*(1-_xlfn.XLOOKUP(K412,'Fevereiro 2023 - Valor Real'!A3:A15,'Fevereiro 2023 - Valor Real'!C3:C15,0))+1)/(((L412-1)*(1-_xlfn.XLOOKUP(K412,'Fevereiro 2023 - Valor Real'!A3:A15,'Fevereiro 2023 - Valor Real'!C3:C15,0))+1)+((L413-1)*(1-_xlfn.XLOOKUP(K413,'Fevereiro 2023 - Valor Real'!A3:A15,'Fevereiro 2023 - Valor Real'!C3:C15,0))+1))))))</f>
        <v>0.44206008583690987</v>
      </c>
      <c r="AF413" s="66">
        <f t="shared" si="824"/>
        <v>0</v>
      </c>
      <c r="AG413" s="67">
        <f t="shared" si="824"/>
        <v>-20.38</v>
      </c>
      <c r="AH413" s="67">
        <f t="shared" si="824"/>
        <v>0</v>
      </c>
      <c r="AI413" s="67">
        <f t="shared" si="824"/>
        <v>0</v>
      </c>
      <c r="AJ413" s="67">
        <f t="shared" si="824"/>
        <v>0</v>
      </c>
      <c r="AK413" s="67">
        <f t="shared" si="824"/>
        <v>0</v>
      </c>
      <c r="AL413" s="67">
        <f t="shared" si="824"/>
        <v>0</v>
      </c>
      <c r="AM413" s="67">
        <f t="shared" si="824"/>
        <v>0</v>
      </c>
      <c r="AN413" s="67">
        <f t="shared" si="824"/>
        <v>0</v>
      </c>
      <c r="AO413" s="67">
        <f t="shared" si="824"/>
        <v>0</v>
      </c>
      <c r="AP413" s="67">
        <f t="shared" si="824"/>
        <v>0</v>
      </c>
      <c r="AQ413" s="67">
        <f t="shared" si="824"/>
        <v>0</v>
      </c>
      <c r="AR413" s="68">
        <f t="shared" si="824"/>
        <v>0</v>
      </c>
      <c r="AS413" s="66">
        <f>IF(AND($B412=" ",$K413=AS$3),$O413,0)</f>
        <v>0</v>
      </c>
      <c r="AT413" s="67">
        <f>IF(AND($B412=" ",K413=AT$3),$O413,0)</f>
        <v>0</v>
      </c>
      <c r="AU413" s="67">
        <f t="shared" ref="AU413:BE413" si="838">IF(AND($B412=" ",$K413=AU$3),$O413,0)</f>
        <v>0</v>
      </c>
      <c r="AV413" s="67">
        <f t="shared" si="838"/>
        <v>0</v>
      </c>
      <c r="AW413" s="67">
        <f t="shared" si="838"/>
        <v>0</v>
      </c>
      <c r="AX413" s="67">
        <f t="shared" si="838"/>
        <v>0</v>
      </c>
      <c r="AY413" s="69">
        <f t="shared" si="838"/>
        <v>0</v>
      </c>
      <c r="AZ413" s="70">
        <f t="shared" si="838"/>
        <v>0</v>
      </c>
      <c r="BA413" s="70">
        <f t="shared" si="838"/>
        <v>0</v>
      </c>
      <c r="BB413" s="70">
        <f t="shared" si="838"/>
        <v>0</v>
      </c>
      <c r="BC413" s="71">
        <f t="shared" si="838"/>
        <v>0</v>
      </c>
      <c r="BD413" s="67">
        <f t="shared" si="838"/>
        <v>0</v>
      </c>
      <c r="BE413" s="68">
        <f t="shared" si="838"/>
        <v>0</v>
      </c>
      <c r="BF413" s="66">
        <f t="shared" si="826"/>
        <v>0</v>
      </c>
      <c r="BG413" s="168">
        <f t="shared" si="826"/>
        <v>20.38</v>
      </c>
      <c r="BH413" s="67">
        <f t="shared" si="826"/>
        <v>0</v>
      </c>
      <c r="BI413" s="67">
        <f t="shared" si="826"/>
        <v>0</v>
      </c>
      <c r="BJ413" s="67">
        <f t="shared" si="826"/>
        <v>0</v>
      </c>
      <c r="BK413" s="67">
        <f t="shared" si="826"/>
        <v>0</v>
      </c>
      <c r="BL413" s="67">
        <f t="shared" si="826"/>
        <v>0</v>
      </c>
      <c r="BM413" s="69">
        <f t="shared" si="826"/>
        <v>0</v>
      </c>
      <c r="BN413" s="70">
        <f t="shared" si="826"/>
        <v>0</v>
      </c>
      <c r="BO413" s="70">
        <f t="shared" si="826"/>
        <v>0</v>
      </c>
      <c r="BP413" s="70">
        <f t="shared" si="826"/>
        <v>0</v>
      </c>
      <c r="BQ413" s="71">
        <f t="shared" si="826"/>
        <v>0</v>
      </c>
      <c r="BR413" s="68">
        <f t="shared" si="826"/>
        <v>0</v>
      </c>
      <c r="BS413" s="491"/>
      <c r="BT413" s="489"/>
      <c r="BU413" s="392"/>
      <c r="BV413" s="489"/>
      <c r="BW413" s="392"/>
      <c r="BX413" s="392"/>
      <c r="BY413" s="392"/>
      <c r="BZ413" s="489"/>
      <c r="CA413" s="392"/>
      <c r="CB413" s="392"/>
      <c r="CC413" s="392"/>
      <c r="CD413" s="401"/>
      <c r="CE413" s="409"/>
      <c r="CF413" s="169">
        <f t="shared" si="772"/>
        <v>0</v>
      </c>
      <c r="CG413" s="170">
        <f t="shared" si="773"/>
        <v>0</v>
      </c>
      <c r="CH413" s="170">
        <f t="shared" si="774"/>
        <v>0</v>
      </c>
      <c r="CI413" s="170">
        <f t="shared" si="775"/>
        <v>1</v>
      </c>
      <c r="CJ413" s="170">
        <f t="shared" si="776"/>
        <v>0</v>
      </c>
      <c r="CK413" s="170">
        <f t="shared" si="777"/>
        <v>0</v>
      </c>
      <c r="CL413" s="170">
        <f t="shared" si="778"/>
        <v>0</v>
      </c>
      <c r="CM413" s="170">
        <f t="shared" si="779"/>
        <v>0</v>
      </c>
      <c r="CN413" s="170">
        <f t="shared" si="780"/>
        <v>0</v>
      </c>
      <c r="CO413" s="170">
        <f t="shared" si="781"/>
        <v>0</v>
      </c>
      <c r="CP413" s="170">
        <f t="shared" si="782"/>
        <v>0</v>
      </c>
      <c r="CQ413" s="170">
        <f t="shared" si="783"/>
        <v>0</v>
      </c>
      <c r="CR413" s="170">
        <f t="shared" si="784"/>
        <v>0</v>
      </c>
      <c r="CS413" s="170">
        <f t="shared" si="785"/>
        <v>0</v>
      </c>
      <c r="CT413" s="75">
        <f t="shared" si="786"/>
        <v>0</v>
      </c>
      <c r="CU413" s="76">
        <f t="shared" si="787"/>
        <v>0</v>
      </c>
      <c r="CV413" s="76">
        <f t="shared" si="788"/>
        <v>0</v>
      </c>
      <c r="CW413" s="76">
        <f t="shared" si="789"/>
        <v>0</v>
      </c>
      <c r="CX413" s="76">
        <f t="shared" si="790"/>
        <v>0</v>
      </c>
      <c r="CY413" s="76">
        <f t="shared" si="791"/>
        <v>0</v>
      </c>
      <c r="CZ413" s="76">
        <f t="shared" si="792"/>
        <v>0</v>
      </c>
      <c r="DA413" s="76">
        <f t="shared" si="793"/>
        <v>0</v>
      </c>
      <c r="DB413" s="76">
        <f t="shared" si="794"/>
        <v>0</v>
      </c>
      <c r="DC413" s="76">
        <f t="shared" si="795"/>
        <v>0</v>
      </c>
      <c r="DD413" s="76">
        <f t="shared" si="796"/>
        <v>0</v>
      </c>
      <c r="DE413" s="77">
        <f t="shared" si="797"/>
        <v>0</v>
      </c>
      <c r="DF413" s="73">
        <f t="shared" si="799"/>
        <v>29</v>
      </c>
      <c r="DG413" s="67">
        <f t="shared" si="800"/>
        <v>37.629999999999995</v>
      </c>
      <c r="DH413" s="76">
        <f t="shared" si="801"/>
        <v>10</v>
      </c>
      <c r="DI413" s="67">
        <f t="shared" si="802"/>
        <v>41.599999999999994</v>
      </c>
      <c r="DJ413" s="202" t="str">
        <f>IF($D412="","",$D412)</f>
        <v>13</v>
      </c>
      <c r="DK413" s="493"/>
    </row>
    <row r="414" spans="1:115" ht="14.5" customHeight="1" x14ac:dyDescent="0.2">
      <c r="A414" s="390"/>
      <c r="B414" s="457"/>
      <c r="C414" s="79" t="s">
        <v>53</v>
      </c>
      <c r="D414" s="375"/>
      <c r="E414" s="387"/>
      <c r="F414" s="378"/>
      <c r="G414" s="508"/>
      <c r="H414" s="477"/>
      <c r="I414" s="171"/>
      <c r="J414" s="172"/>
      <c r="K414" s="81"/>
      <c r="L414" s="173"/>
      <c r="M414" s="174"/>
      <c r="N414" s="407"/>
      <c r="O414" s="86" t="str">
        <f>IF(OR(AE412="",AE413=""),"",IF(L414&gt;0,ROUND(IF(M414&gt;0,M414,IF(M412&gt;0,ROUND((M412*AE414)/AE412,IF(N412=0,2,IF(N412=0.1,1,0))),IF(M413&gt;0,ROUND((M413*AE414)/AE413,IF(N412=0,2,IF(N412=0.1,1,0))),IF(M414&gt;0,M414,0)))),2),""))</f>
        <v/>
      </c>
      <c r="P414" s="87" t="str">
        <f>IF(I413="Lay",O413*(L413/(L413-1))-O413,IF(I412="Lay",O412*(L412/(L412-1))-O412,IF(OR(L414="",O414=""),"",IF($C414="1/2W",O414/2+O414/2*L414,IF($C414="1/2L",O414/2,(O414*L414-O414)*(1-_xlfn.XLOOKUP(K414,'Fevereiro 2023 - Valor Real'!A3:A15,'Fevereiro 2023 - Valor Real'!C3:C15,0))+O414)))))</f>
        <v/>
      </c>
      <c r="Q414" s="54" t="str">
        <f>IF(K414="","",IF(_xlfn.XLOOKUP(K414,K$11:K404,$DJ$11:DJ404,0,,-1)=DJ414,_xlfn.XLOOKUP(K414,K$11:K404,Q$11:Q404,1,,-1)+1,1))</f>
        <v/>
      </c>
      <c r="R414" s="87" t="str">
        <f>IF(K414="","",_xlfn.XLOOKUP(K414,K$11:K404,R$11:R404,0,,-1)+IF($C414=" ",1,0))</f>
        <v/>
      </c>
      <c r="S414" s="404"/>
      <c r="T414" s="378"/>
      <c r="U414" s="378"/>
      <c r="V414" s="404"/>
      <c r="W414" s="378"/>
      <c r="X414" s="453"/>
      <c r="Y414" s="383"/>
      <c r="Z414" s="384"/>
      <c r="AA414" s="384"/>
      <c r="AB414" s="384"/>
      <c r="AC414" s="384"/>
      <c r="AD414" s="90"/>
      <c r="AE414" s="91" t="str">
        <f>IF(L414="","",(SUM(((L412-1)*(1-_xlfn.XLOOKUP(K412,'Fevereiro 2023 - Valor Real'!A3:A15,'Fevereiro 2023 - Valor Real'!C3:C15,0))+1),((L413-1)*(1-_xlfn.XLOOKUP(K413,'Fevereiro 2023 - Valor Real'!A3:A15,'Fevereiro 2023 - Valor Real'!C3:C15,0))+1),((L414-1)*(1-_xlfn.XLOOKUP(K414,'Fevereiro 2023 - Valor Real'!A3:A15,'Fevereiro 2023 - Valor Real'!C3:C15,0))+1))/((L414-1)*(1-_xlfn.XLOOKUP(K414,'Fevereiro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Real'!C3:C15,0))+1))/((L412-1)*(1-_xlfn.XLOOKUP(K412,'Fevereiro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Real'!C3:C15,0))+1))/((L413-1)*(1-_xlfn.XLOOKUP(K413,'Fevereiro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Real'!C3:C15,0))+1))/((L414-1)*(1-_xlfn.XLOOKUP(K414,'Fevereiro 2023 - Valor Real'!A3:A15,'Fevereiro 2023 - Valor Real'!C3:C15,0))+1)))</f>
        <v/>
      </c>
      <c r="AF414" s="66">
        <f t="shared" ref="AF414:AR423" si="839">IF($K414=AF$3,ROUND(IF(OR($C414="W",$C414="1/2W",$C414="1/2L"),$P414-$O414,IF($C414="X",0,-$O414)),2),0)</f>
        <v>0</v>
      </c>
      <c r="AG414" s="67">
        <f t="shared" si="839"/>
        <v>0</v>
      </c>
      <c r="AH414" s="67">
        <f t="shared" si="839"/>
        <v>0</v>
      </c>
      <c r="AI414" s="67">
        <f t="shared" si="839"/>
        <v>0</v>
      </c>
      <c r="AJ414" s="67">
        <f t="shared" si="839"/>
        <v>0</v>
      </c>
      <c r="AK414" s="67">
        <f t="shared" si="839"/>
        <v>0</v>
      </c>
      <c r="AL414" s="67">
        <f t="shared" si="839"/>
        <v>0</v>
      </c>
      <c r="AM414" s="67">
        <f t="shared" si="839"/>
        <v>0</v>
      </c>
      <c r="AN414" s="67">
        <f t="shared" si="839"/>
        <v>0</v>
      </c>
      <c r="AO414" s="67">
        <f t="shared" si="839"/>
        <v>0</v>
      </c>
      <c r="AP414" s="67">
        <f t="shared" si="839"/>
        <v>0</v>
      </c>
      <c r="AQ414" s="67">
        <f t="shared" si="839"/>
        <v>0</v>
      </c>
      <c r="AR414" s="68">
        <f t="shared" si="839"/>
        <v>0</v>
      </c>
      <c r="AS414" s="66">
        <f>IF(AND($B412=" ",$K414=AS$3),$O414,0)</f>
        <v>0</v>
      </c>
      <c r="AT414" s="67">
        <f>IF(AND($B412=" ",K414=AT$3),$O414,0)</f>
        <v>0</v>
      </c>
      <c r="AU414" s="67">
        <f t="shared" ref="AU414:BE414" si="840">IF(AND($B412=" ",$K414=AU$3),$O414,0)</f>
        <v>0</v>
      </c>
      <c r="AV414" s="67">
        <f t="shared" si="840"/>
        <v>0</v>
      </c>
      <c r="AW414" s="67">
        <f t="shared" si="840"/>
        <v>0</v>
      </c>
      <c r="AX414" s="67">
        <f t="shared" si="840"/>
        <v>0</v>
      </c>
      <c r="AY414" s="69">
        <f t="shared" si="840"/>
        <v>0</v>
      </c>
      <c r="AZ414" s="70">
        <f t="shared" si="840"/>
        <v>0</v>
      </c>
      <c r="BA414" s="70">
        <f t="shared" si="840"/>
        <v>0</v>
      </c>
      <c r="BB414" s="70">
        <f t="shared" si="840"/>
        <v>0</v>
      </c>
      <c r="BC414" s="71">
        <f t="shared" si="840"/>
        <v>0</v>
      </c>
      <c r="BD414" s="67">
        <f t="shared" si="840"/>
        <v>0</v>
      </c>
      <c r="BE414" s="68">
        <f t="shared" si="840"/>
        <v>0</v>
      </c>
      <c r="BF414" s="66">
        <f t="shared" ref="BF414:BR423" si="841">IF($K414=BF$3,IF($C414="X",0,$O414),0)</f>
        <v>0</v>
      </c>
      <c r="BG414" s="168">
        <f t="shared" si="841"/>
        <v>0</v>
      </c>
      <c r="BH414" s="67">
        <f t="shared" si="841"/>
        <v>0</v>
      </c>
      <c r="BI414" s="67">
        <f t="shared" si="841"/>
        <v>0</v>
      </c>
      <c r="BJ414" s="67">
        <f t="shared" si="841"/>
        <v>0</v>
      </c>
      <c r="BK414" s="67">
        <f t="shared" si="841"/>
        <v>0</v>
      </c>
      <c r="BL414" s="67">
        <f t="shared" si="841"/>
        <v>0</v>
      </c>
      <c r="BM414" s="69">
        <f t="shared" si="841"/>
        <v>0</v>
      </c>
      <c r="BN414" s="70">
        <f t="shared" si="841"/>
        <v>0</v>
      </c>
      <c r="BO414" s="70">
        <f t="shared" si="841"/>
        <v>0</v>
      </c>
      <c r="BP414" s="70">
        <f t="shared" si="841"/>
        <v>0</v>
      </c>
      <c r="BQ414" s="71">
        <f t="shared" si="841"/>
        <v>0</v>
      </c>
      <c r="BR414" s="68">
        <f t="shared" si="841"/>
        <v>0</v>
      </c>
      <c r="BS414" s="491"/>
      <c r="BT414" s="489"/>
      <c r="BU414" s="392"/>
      <c r="BV414" s="489"/>
      <c r="BW414" s="392"/>
      <c r="BX414" s="392"/>
      <c r="BY414" s="392"/>
      <c r="BZ414" s="489"/>
      <c r="CA414" s="392"/>
      <c r="CB414" s="392"/>
      <c r="CC414" s="392"/>
      <c r="CD414" s="401"/>
      <c r="CE414" s="409"/>
      <c r="CF414" s="169">
        <f t="shared" si="772"/>
        <v>0</v>
      </c>
      <c r="CG414" s="170">
        <f t="shared" si="773"/>
        <v>0</v>
      </c>
      <c r="CH414" s="170">
        <f t="shared" si="774"/>
        <v>0</v>
      </c>
      <c r="CI414" s="170">
        <f t="shared" si="775"/>
        <v>0</v>
      </c>
      <c r="CJ414" s="170">
        <f t="shared" si="776"/>
        <v>0</v>
      </c>
      <c r="CK414" s="170">
        <f t="shared" si="777"/>
        <v>0</v>
      </c>
      <c r="CL414" s="170">
        <f t="shared" si="778"/>
        <v>0</v>
      </c>
      <c r="CM414" s="170">
        <f t="shared" si="779"/>
        <v>0</v>
      </c>
      <c r="CN414" s="170">
        <f t="shared" si="780"/>
        <v>0</v>
      </c>
      <c r="CO414" s="170">
        <f t="shared" si="781"/>
        <v>0</v>
      </c>
      <c r="CP414" s="170">
        <f t="shared" si="782"/>
        <v>0</v>
      </c>
      <c r="CQ414" s="170">
        <f t="shared" si="783"/>
        <v>0</v>
      </c>
      <c r="CR414" s="170">
        <f t="shared" si="784"/>
        <v>0</v>
      </c>
      <c r="CS414" s="170">
        <f t="shared" si="785"/>
        <v>0</v>
      </c>
      <c r="CT414" s="75">
        <f t="shared" si="786"/>
        <v>0</v>
      </c>
      <c r="CU414" s="76">
        <f t="shared" si="787"/>
        <v>0</v>
      </c>
      <c r="CV414" s="76">
        <f t="shared" si="788"/>
        <v>0</v>
      </c>
      <c r="CW414" s="76">
        <f t="shared" si="789"/>
        <v>0</v>
      </c>
      <c r="CX414" s="76">
        <f t="shared" si="790"/>
        <v>0</v>
      </c>
      <c r="CY414" s="76">
        <f t="shared" si="791"/>
        <v>0</v>
      </c>
      <c r="CZ414" s="76">
        <f t="shared" si="792"/>
        <v>0</v>
      </c>
      <c r="DA414" s="76">
        <f t="shared" si="793"/>
        <v>0</v>
      </c>
      <c r="DB414" s="76">
        <f t="shared" si="794"/>
        <v>0</v>
      </c>
      <c r="DC414" s="76">
        <f t="shared" si="795"/>
        <v>0</v>
      </c>
      <c r="DD414" s="76">
        <f t="shared" si="796"/>
        <v>0</v>
      </c>
      <c r="DE414" s="77">
        <f t="shared" si="797"/>
        <v>0</v>
      </c>
      <c r="DF414" s="73">
        <f t="shared" si="799"/>
        <v>29</v>
      </c>
      <c r="DG414" s="67">
        <f t="shared" si="800"/>
        <v>37.629999999999995</v>
      </c>
      <c r="DH414" s="76">
        <f t="shared" si="801"/>
        <v>10</v>
      </c>
      <c r="DI414" s="67">
        <f t="shared" si="802"/>
        <v>41.599999999999994</v>
      </c>
      <c r="DJ414" s="202" t="str">
        <f>IF($D412="","",$D412)</f>
        <v>13</v>
      </c>
      <c r="DK414" s="493"/>
    </row>
    <row r="415" spans="1:115" ht="14.5" customHeight="1" x14ac:dyDescent="0.2">
      <c r="A415" s="459">
        <f>$A412+1</f>
        <v>138</v>
      </c>
      <c r="B415" s="507" t="str">
        <f>IF(OR(C415="W",C416="W",C417="W",C415="1/2W",C416="1/2W",C417="1/2W",C415="1/2L",C416="1/2L",C417="1/2L"),"OK",IF(OR(C415="L",C416="L",C417="L"),"LOSS",IF(OR(C415="X",C416="X",C417="X"),"Anulado"," ")))</f>
        <v>OK</v>
      </c>
      <c r="C415" s="93" t="s">
        <v>54</v>
      </c>
      <c r="D415" s="468" t="s">
        <v>174</v>
      </c>
      <c r="E415" s="485" t="str">
        <f>IF(G415=""," ","– "&amp;COUNTIF(D$4:D417,$D415))</f>
        <v>– 1</v>
      </c>
      <c r="F415" s="509" t="str">
        <f ca="1">IF(G415="","",IF(OR(AND($C415&lt;&gt;" ",$C416=" "),AND($C416&lt;&gt;" ",$C415=" "),AND(L417&gt;0,OR(AND($C417&lt;&gt;" ",OR($C415=" ",$C416=" ")),AND($C417=" ",OR($C415&lt;&gt;" ",$C416&lt;&gt;" "))))),IF(SUM(F$4:F414)=0,1,LARGE(F$4:F414,1)+1),IF(MONTH(G415)=MONTH(TODAY()),IF(AND(DAY(G415)&lt;DAY(TODAY()),$B415=" "),IF(SUM(F$4:F414)=0,1,LARGE(F$4:F414,1)+1),IF($B415=" ",IF(AND(DAY(G415)=DAY(TODAY()),HOUR(G415)&lt;=HOUR(NOW())+1),IF(AND(HOUR(G415)+2&lt;=HOUR(NOW()),DAY(G415)&lt;=DAY(TODAY()),MINUTE(G415)&lt;=MINUTE(NOW())),IF(SUM(F$4:F414)=0,1,LARGE(F$4:F414,1)+1),IF(OR(MINUTE(G415)&lt;=MINUTE(NOW()),HOUR(G415)&lt;=HOUR(NOW())),"!!!","")),""),"")),"")))</f>
        <v/>
      </c>
      <c r="G415" s="482">
        <v>44999.65625</v>
      </c>
      <c r="H415" s="475" t="s">
        <v>175</v>
      </c>
      <c r="I415" s="94" t="s">
        <v>51</v>
      </c>
      <c r="J415" s="95">
        <v>56.5</v>
      </c>
      <c r="K415" s="96" t="s">
        <v>43</v>
      </c>
      <c r="L415" s="97">
        <v>2.48</v>
      </c>
      <c r="M415" s="98">
        <v>9.65</v>
      </c>
      <c r="N415" s="478">
        <v>0</v>
      </c>
      <c r="O415" s="99">
        <f>IF(OR(AE415="",AE416=""),"",ROUND(IF(L417&gt;0,IF(M415&gt;0,M415,IF(M416&gt;0,ROUND((M416*AE415)/AE416,IF(N415=0,2,IF(N415=0.1,1,0))),ROUND((M417*AE415)/AE417,IF(N415=0,2,IF(N415=0.1,1,0))))),IF(M415&gt;0,M415,ROUND((M416*AE415)/AE416,IF(N415=0,2,IF(N415=0.1,1,0))))),2))</f>
        <v>9.65</v>
      </c>
      <c r="P415" s="100">
        <f>IF(OR(L415="",O415=""),"",IF($C415="1/2W",O415/2+O415/2*L415,IF($C415="1/2L",O415/2,IF(I415="Lay",(O415*(L415/(L415-1))-O415)*(1-_xlfn.XLOOKUP(K415,'Fevereiro 2023 - Valor Real'!A3:A15,'Fevereiro 2023 - Valor Real'!C3:C15,0))+O415,(O415*L415-O415)*(1-_xlfn.XLOOKUP(K415,'Fevereiro 2023 - Valor Real'!A3:A15,'Fevereiro 2023 - Valor Real'!C3:C15,0))+O415))))</f>
        <v>23.932000000000002</v>
      </c>
      <c r="Q415" s="101">
        <f>IF(K415="","",IF(_xlfn.XLOOKUP(K415,K$4:K414,$DJ$4:DJ414,0,,-1)=DJ415,_xlfn.XLOOKUP(K415,K$4:K414,Q$4:Q414,1,,-1)+1,1))</f>
        <v>1</v>
      </c>
      <c r="R415" s="102">
        <f>IF(K415="","",_xlfn.XLOOKUP(K415,K$4:K414,R$4:R414,0,,-1)+IF($C415=" ",1,0))</f>
        <v>0</v>
      </c>
      <c r="S415" s="474">
        <f>IF($B415="Anulado",0,ROUND(IF(OR($B415="LOSS",$B415="OK"),IF(OR($C415="W",$C415="1/2W",$C415="1/2L"),P415-O415,IF($C415="L",-O415,0))+IF(OR($C416="W",$C416="1/2W",$C416="1/2L"),P416-O416,IF($C416="L",-O416,0))+IF(OR($C417="W",$C417="1/2W",$C417="1/2L"),P417-O417,IF($C417="L",-O417,0)),IF(AND(OR($C415="W",$C415="1/2W",$C415="1/2L"),C416="W"),P415+P416-SUM(O415:O417)+_xlfn.XLOOKUP("X",C415:C417,O415:O417,0),IF(AND(C415=TRUE,C417="W"),P415+P417-SUM(O415:O417),IF(AND(C416="W",C417="W"),P416+P417-SUM(O415:O417)+_xlfn.XLOOKUP("X",C415:C417,O415:O417,0),IF(L417&gt;0,IF(OR($C415="W",$C415="1/2W",$C415="1/2L"),P415-SUM(O415:O417)+_xlfn.XLOOKUP("X",C415:C417,O415:O417,0),IF(OR($C415="W",$C415="1/2W",$C415="1/2L"),P416-SUM(O415:O417)+_xlfn.XLOOKUP("X",C415:C417,O415:O417,0),IF(OR($C415="W",$C415="1/2W",$C415="1/2L"),P417-SUM(O415:O417)+_xlfn.XLOOKUP("X",C415:C417,O415:O417,0),IF(SUM(P415:P417)/3-SUM(O415:O417)+_xlfn.XLOOKUP("X",C415:C417,O415:O417,0)&gt;0,SUM(P415:P417)/3-SUM(O415:O417)+_xlfn.XLOOKUP("X",C415:C417,O415:O417,0),LARGE(P415:P417,1)-SUM(O415:O417))))),IF(OR($C415="W",$C415="1/2W",$C415="1/2L"),P415-SUM(O415:O416)+_xlfn.XLOOKUP("X",C415:C417,O415:O417,0),IF(OR($C415="W",$C415="1/2W",$C415="1/2L"),P416-SUM(O415:O416)+_xlfn.XLOOKUP("X",C415:C417,O415:O417,0),SUM(P415:P416)/2-SUM(O415:O416)+_xlfn.XLOOKUP("X",C415:C417,O415:O417,0)))))))),2))</f>
        <v>1.64</v>
      </c>
      <c r="T415" s="458">
        <f>IF(S415=0,0,S415/SUM(O415:O417))</f>
        <v>7.3575594436967248E-2</v>
      </c>
      <c r="U415" s="470">
        <f>IF($D415=$D412,IF(OR($B415="LOSS",$B415="OK",$B415="Anulada"),S415,0)+U412,IF(OR($B415="LOSS",$B415="OK",$B415="Anulada"),S415,0))</f>
        <v>1.64</v>
      </c>
      <c r="V415" s="470">
        <f>IF($D415="",0,IF($D415=$D412,IF($B415=" ",IF(I417="",IF(OR(AND(I415="DNB1",I416="DNB2"),AND(OR(I415="DNB1",I415="DNB2"),J416=0),AND(OR(I416="DNB1",I416="DNB2"),J415=0),AND(I415="DNB2",I416="DNB1"),AND(IF(J415=0,(J415+1)/ROUND(J415+1,0),J415/ROUND(J415,0))=1,IF(J416=0,(J416+1)/ROUND(IF(J416="",0,J416)+1,0),IF(J416="",0,J416)/ROUND(IF(J416="",1,J416),0))=1,OR(J415&lt;&gt;""),J416&lt;&gt;"")),0,IF(S415&lt;0,IF(I417="",SMALL(P415:P416,1)-SUM(O415:O416),0),SMALL(P415:P416,1)-SUM(O415:O416))),IF(S415&lt;0,IF(I417="",SMALL(P415:P417,1)-SUM(O415:O417),0),LARGE(P415:P417,1)-SUM(O415:O417))),S415)+V412,IF(I417="",IF(OR(AND(I415="DNB1",I416="DNB2"),AND(OR(I415="DNB1",I415="DNB2"),J416=0),AND(OR(I416="DNB1",I416="DNB2"),J415=0),AND(I415="DNB2",I416="DNB1"),AND(IF(J415=0,(J415+1)/ROUND(J415+1,0),J415/ROUND(J415,0))=1,IF(J416=0,(IF(J416="",0,J416)+1)/ROUND(IF(J416="",0,J416)+1,0),IF(J416="",0,J416)/ROUND(IF(J416="",0,J416)+1,0))=1,OR(J415&lt;&gt;""),J416&lt;&gt;"")),0,IF(S415&lt;0,IF(I417="",SMALL(P415:P416,1)-SUM(O415:O416),0),SMALL(P415:P417,1)-SUM(O415:O417))),IF(S415&lt;0,IF(I417="",SMALL(P415:P417,1)-SUM(O415:O417),0),LARGE(P415:P417,1)-SUM(O415:O417)))))</f>
        <v>1.5996000000000024</v>
      </c>
      <c r="W415" s="470">
        <f>IF($D415=$D412,IF(S415&lt;0,IF(I417="",S415,0),S415)+W412,S415)</f>
        <v>1.64</v>
      </c>
      <c r="X415" s="480" t="str">
        <f>IF(OR(SUM(R415:R417)=0,V415=W415),ROUND(IF(W415=0,0,W415/Y415)*100,2)&amp;"%",ROUND(IF(V415=0,0,V415/Y415)*100,2)&amp;"% a "&amp;ROUND(IF(W415=0,0,W415/Y415)*100,2)&amp;"%")</f>
        <v>7,36%</v>
      </c>
      <c r="Y415" s="471">
        <f>IF($D415=$D412,Y412+SUM(O415:O417),SUM(O415:O417))</f>
        <v>22.29</v>
      </c>
      <c r="Z415" s="470">
        <f>IF($B415=" ",SUM(O415:O417),0)+Z412</f>
        <v>0</v>
      </c>
      <c r="AA415" s="470">
        <f>IF(G415="","",IF($B415="Anulado",LARGE(P415:P417,1)-SUM(O415:O417)+AA412,AA412))</f>
        <v>12.425099999999992</v>
      </c>
      <c r="AB415" s="470">
        <f>IF($D415="","",AB412+S415)</f>
        <v>503.93000000000012</v>
      </c>
      <c r="AC415" s="472">
        <f ca="1">IF($D415="","",IF($B415=" ",IF(DAY(G415)=DAY(TODAY()),1+AC412,0+AC412),0+AC412))</f>
        <v>0</v>
      </c>
      <c r="AD415" s="103">
        <f>(((L416/(L416-1)-1)*(1-_xlfn.XLOOKUP(K416,'Fevereiro 2023 - Valor Real'!A3:A15,'Fevereiro 2023 - Valor Real'!C3:C15,0))+1))/(((L415-1)*(1-_xlfn.XLOOKUP(K415,'Fevereiro 2023 - Valor Real'!A3:A15,'Fevereiro 2023 - Valor Real'!C3:C15,0))+1)+((L416/(L416-1)-1)*(1-_xlfn.XLOOKUP(K416,'Fevereiro 2023 - Valor Real'!A3:A15,'Fevereiro 2023 - Valor Real'!C3:C15,0))+1))</f>
        <v>0.46129063750854238</v>
      </c>
      <c r="AE415" s="104">
        <f>IF(L415="","",IF(L417&gt;0,(SUM(((L415-1)*(1-_xlfn.XLOOKUP(K415,'Fevereiro 2023 - Valor Real'!A3:A15,'Fevereiro 2023 - Valor Real'!C3:C15,0))+1),((L416-1)*(1-_xlfn.XLOOKUP(K416,'Fevereiro 2023 - Valor Real'!A3:A15,'Fevereiro 2023 - Valor Real'!C3:C15,0))+1),((L417-1)*(1-_xlfn.XLOOKUP(K417,'Fevereiro 2023 - Valor Real'!A3:A15,'Fevereiro 2023 - Valor Real'!C3:C15,0))+1))/((L415-1)*(1-_xlfn.XLOOKUP(K415,'Fevereiro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Real'!C3:C15,0))+1))/((L415-1)*(1-_xlfn.XLOOKUP(K415,'Fevereiro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Real'!C3:C15,0))+1))/((L416-1)*(1-_xlfn.XLOOKUP(K416,'Fevereiro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Real'!C3:C15,0))+1))/((L417-1)*(1-_xlfn.XLOOKUP(K417,'Fevereiro 2023 - Valor Real'!A3:A15,'Fevereiro 2023 - Valor Real'!C3:C15,0))+1)),IF(I415="Lay",IF(I416="Lay",((L416/(L416-1)-1)*(1-_xlfn.XLOOKUP(K416,'Fevereiro 2023 - Valor Real'!A3:A15,'Fevereiro 2023 - Valor Real'!C3:C15,0))+1)/(((L416/(L416-1)-1)*(1-_xlfn.XLOOKUP(K416,'Fevereiro 2023 - Valor Real'!A3:A15,'Fevereiro 2023 - Valor Real'!C3:C15,0))+1)+((L415/(L415-1)-1)*(1-_xlfn.XLOOKUP(K415,'Fevereiro 2023 - Valor Real'!A3:A15,'Fevereiro 2023 - Valor Real'!C3:C15,0))+1)),((L416-1)*(1-_xlfn.XLOOKUP(K416,'Fevereiro 2023 - Valor Real'!A3:A15,'Fevereiro 2023 - Valor Real'!C3:C15,0))+1)/(((L416-1)*(1-_xlfn.XLOOKUP(K416,'Fevereiro 2023 - Valor Real'!A3:A15,'Fevereiro 2023 - Valor Real'!C3:C15,0))+1)+((L415/(L415-1)-1)*(1-_xlfn.XLOOKUP(K415,'Fevereiro 2023 - Valor Real'!A3:A15,'Fevereiro 2023 - Valor Real'!C3:C15,0))+1))),IF(I416="Lay",(((L416/(L416-1)-1)*(1-_xlfn.XLOOKUP(K416,'Fevereiro 2023 - Valor Real'!A3:A15,'Fevereiro 2023 - Valor Real'!C3:C15,0))+1))/(((L415-1)*(1-_xlfn.XLOOKUP(K415,'Fevereiro 2023 - Valor Real'!A3:A15,'Fevereiro 2023 - Valor Real'!C3:C15,0))+1)+((L416/(L416-1)-1)*(1-_xlfn.XLOOKUP(K416,'Fevereiro 2023 - Valor Real'!A3:A15,'Fevereiro 2023 - Valor Real'!C3:C15,0))+1)),((L416-1)*(1-_xlfn.XLOOKUP(K416,'Fevereiro 2023 - Valor Real'!A3:A15,'Fevereiro 2023 - Valor Real'!C3:C15,0))+1)/(((L416-1)*(1-_xlfn.XLOOKUP(K416,'Fevereiro 2023 - Valor Real'!A3:A15,'Fevereiro 2023 - Valor Real'!C3:C15,0))+1)+((L415-1)*(1-_xlfn.XLOOKUP(K415,'Fevereiro 2023 - Valor Real'!A3:A15,'Fevereiro 2023 - Valor Real'!C3:C15,0))+1))))))</f>
        <v>0.43249427917620131</v>
      </c>
      <c r="AF415" s="105">
        <f t="shared" si="839"/>
        <v>0</v>
      </c>
      <c r="AG415" s="106">
        <f t="shared" si="839"/>
        <v>0</v>
      </c>
      <c r="AH415" s="106">
        <f t="shared" si="839"/>
        <v>0</v>
      </c>
      <c r="AI415" s="106">
        <f t="shared" si="839"/>
        <v>0</v>
      </c>
      <c r="AJ415" s="106">
        <f t="shared" si="839"/>
        <v>0</v>
      </c>
      <c r="AK415" s="106">
        <f t="shared" si="839"/>
        <v>0</v>
      </c>
      <c r="AL415" s="106">
        <f t="shared" si="839"/>
        <v>0</v>
      </c>
      <c r="AM415" s="106">
        <f t="shared" si="839"/>
        <v>14.28</v>
      </c>
      <c r="AN415" s="106">
        <f t="shared" si="839"/>
        <v>0</v>
      </c>
      <c r="AO415" s="106">
        <f t="shared" si="839"/>
        <v>0</v>
      </c>
      <c r="AP415" s="106">
        <f t="shared" si="839"/>
        <v>0</v>
      </c>
      <c r="AQ415" s="106">
        <f t="shared" si="839"/>
        <v>0</v>
      </c>
      <c r="AR415" s="107">
        <f t="shared" si="839"/>
        <v>0</v>
      </c>
      <c r="AS415" s="105">
        <f t="shared" ref="AS415:BE415" si="842">IF(AND($B415=" ",$K415=AS$3),$O415,0)</f>
        <v>0</v>
      </c>
      <c r="AT415" s="106">
        <f t="shared" si="842"/>
        <v>0</v>
      </c>
      <c r="AU415" s="106">
        <f t="shared" si="842"/>
        <v>0</v>
      </c>
      <c r="AV415" s="106">
        <f t="shared" si="842"/>
        <v>0</v>
      </c>
      <c r="AW415" s="106">
        <f t="shared" si="842"/>
        <v>0</v>
      </c>
      <c r="AX415" s="106">
        <f t="shared" si="842"/>
        <v>0</v>
      </c>
      <c r="AY415" s="108">
        <f t="shared" si="842"/>
        <v>0</v>
      </c>
      <c r="AZ415" s="109">
        <f t="shared" si="842"/>
        <v>0</v>
      </c>
      <c r="BA415" s="109">
        <f t="shared" si="842"/>
        <v>0</v>
      </c>
      <c r="BB415" s="109">
        <f t="shared" si="842"/>
        <v>0</v>
      </c>
      <c r="BC415" s="110">
        <f t="shared" si="842"/>
        <v>0</v>
      </c>
      <c r="BD415" s="106">
        <f t="shared" si="842"/>
        <v>0</v>
      </c>
      <c r="BE415" s="107">
        <f t="shared" si="842"/>
        <v>0</v>
      </c>
      <c r="BF415" s="111">
        <f t="shared" si="841"/>
        <v>0</v>
      </c>
      <c r="BG415" s="106">
        <f t="shared" si="841"/>
        <v>0</v>
      </c>
      <c r="BH415" s="106">
        <f t="shared" si="841"/>
        <v>0</v>
      </c>
      <c r="BI415" s="106">
        <f t="shared" si="841"/>
        <v>0</v>
      </c>
      <c r="BJ415" s="106">
        <f t="shared" si="841"/>
        <v>0</v>
      </c>
      <c r="BK415" s="106">
        <f t="shared" si="841"/>
        <v>0</v>
      </c>
      <c r="BL415" s="106">
        <f t="shared" si="841"/>
        <v>0</v>
      </c>
      <c r="BM415" s="108">
        <f t="shared" si="841"/>
        <v>9.65</v>
      </c>
      <c r="BN415" s="109">
        <f t="shared" si="841"/>
        <v>0</v>
      </c>
      <c r="BO415" s="109">
        <f t="shared" si="841"/>
        <v>0</v>
      </c>
      <c r="BP415" s="109">
        <f t="shared" si="841"/>
        <v>0</v>
      </c>
      <c r="BQ415" s="110">
        <f t="shared" si="841"/>
        <v>0</v>
      </c>
      <c r="BR415" s="107">
        <f t="shared" si="841"/>
        <v>0</v>
      </c>
      <c r="BS415" s="463">
        <f>IF($B415="LOSS",IF(AND($K415=BS$3,$C415="L"),-$O415,0)+IF(AND($K416=BS$3,$C416="L"),-$O416,0)+IF(AND($K417=BS$3,$C417="L"),-$O417,0),IF(OR(AND($K415=BS$3,OR($C415="W",$C415="1/2W")),AND($K416=BS$3,OR($C416="W",$C416="1/2W")),AND($K417=BS$3,OR($C417="W",$C417="1/2W"))),$S415,0))</f>
        <v>0</v>
      </c>
      <c r="BT415" s="462">
        <f>IF($B415="LOSS",IF(AND($K415=BT$3,$C415="L"),-$O415,0)+IF(AND($K416=BT$3,$C416="L"),-$O416,0)+IF(AND($K416=BT$3,$C417="L"),-$O417,0),IF(OR(AND($K416=BT$3,OR($C415="W",$C415="1/2W")),AND($K416=BT$3,OR($C416="W",$C416="1/2W")),AND($K416=BT$3,OR($C417="W",$C417="1/2W"))),$S415,0))</f>
        <v>0</v>
      </c>
      <c r="BU415" s="462">
        <f>IF($B415="LOSS",IF(AND($K415=BU$3,$C415="L"),-$O415,0)+IF(AND($K416=BU$3,$C416="L"),-$O416,0)+IF(AND($K416=BU$3,$C417="L"),-$O417,0),IF(OR(AND($K416=BU$3,OR($C415="W",$C415="1/2W")),AND($K416=BU$3,OR($C416="W",$C416="1/2W")),AND($K416=BU$3,OR($C417="W",$C417="1/2W"))),$S415,0))</f>
        <v>0</v>
      </c>
      <c r="BV415" s="462">
        <f t="shared" ref="BV415:CE415" si="843">IF($B415="LOSS",IF(AND($K415=BV$3,$C415="L"),-$O415,0)+IF(AND($K416=BV$3,$C416="L"),-$O416,0)+IF(AND($K417=BV$3,$C417="L"),-$O417,0),IF(OR(AND($K415=BV$3,OR($C415="W",$C415="1/2W")),AND($K416=BV$3,OR($C416="W",$C416="1/2W")),AND($K417=BV$3,OR($C417="W",$C417="1/2W"))),$S415,0))</f>
        <v>0</v>
      </c>
      <c r="BW415" s="462">
        <f t="shared" si="843"/>
        <v>0</v>
      </c>
      <c r="BX415" s="462">
        <f t="shared" si="843"/>
        <v>0</v>
      </c>
      <c r="BY415" s="462">
        <f t="shared" si="843"/>
        <v>0</v>
      </c>
      <c r="BZ415" s="460">
        <f t="shared" si="843"/>
        <v>1.64</v>
      </c>
      <c r="CA415" s="460">
        <f t="shared" si="843"/>
        <v>0</v>
      </c>
      <c r="CB415" s="460">
        <f t="shared" si="843"/>
        <v>0</v>
      </c>
      <c r="CC415" s="460">
        <f t="shared" si="843"/>
        <v>0</v>
      </c>
      <c r="CD415" s="473">
        <f t="shared" si="843"/>
        <v>0</v>
      </c>
      <c r="CE415" s="479">
        <f t="shared" si="843"/>
        <v>0</v>
      </c>
      <c r="CF415" s="113">
        <f t="shared" si="772"/>
        <v>0</v>
      </c>
      <c r="CG415" s="114">
        <f t="shared" si="773"/>
        <v>0</v>
      </c>
      <c r="CH415" s="114">
        <f t="shared" si="774"/>
        <v>0</v>
      </c>
      <c r="CI415" s="114">
        <f t="shared" si="775"/>
        <v>0</v>
      </c>
      <c r="CJ415" s="114">
        <f t="shared" si="776"/>
        <v>0</v>
      </c>
      <c r="CK415" s="114">
        <f t="shared" si="777"/>
        <v>0</v>
      </c>
      <c r="CL415" s="114">
        <f t="shared" si="778"/>
        <v>0</v>
      </c>
      <c r="CM415" s="114">
        <f t="shared" si="779"/>
        <v>0</v>
      </c>
      <c r="CN415" s="114">
        <f t="shared" si="780"/>
        <v>0</v>
      </c>
      <c r="CO415" s="114">
        <f t="shared" si="781"/>
        <v>0</v>
      </c>
      <c r="CP415" s="114">
        <f t="shared" si="782"/>
        <v>0</v>
      </c>
      <c r="CQ415" s="114">
        <f t="shared" si="783"/>
        <v>0</v>
      </c>
      <c r="CR415" s="114">
        <f t="shared" si="784"/>
        <v>0</v>
      </c>
      <c r="CS415" s="114">
        <f t="shared" si="785"/>
        <v>0</v>
      </c>
      <c r="CT415" s="115">
        <f t="shared" si="786"/>
        <v>1</v>
      </c>
      <c r="CU415" s="116">
        <f t="shared" si="787"/>
        <v>0</v>
      </c>
      <c r="CV415" s="116">
        <f t="shared" si="788"/>
        <v>0</v>
      </c>
      <c r="CW415" s="116">
        <f t="shared" si="789"/>
        <v>0</v>
      </c>
      <c r="CX415" s="116">
        <f t="shared" si="790"/>
        <v>0</v>
      </c>
      <c r="CY415" s="116">
        <f t="shared" si="791"/>
        <v>0</v>
      </c>
      <c r="CZ415" s="116">
        <f t="shared" si="792"/>
        <v>0</v>
      </c>
      <c r="DA415" s="116">
        <f t="shared" si="793"/>
        <v>0</v>
      </c>
      <c r="DB415" s="116">
        <f t="shared" si="794"/>
        <v>0</v>
      </c>
      <c r="DC415" s="116">
        <f t="shared" si="795"/>
        <v>0</v>
      </c>
      <c r="DD415" s="116">
        <f t="shared" si="796"/>
        <v>0</v>
      </c>
      <c r="DE415" s="117">
        <f t="shared" si="797"/>
        <v>0</v>
      </c>
      <c r="DF415" s="118">
        <f t="shared" si="799"/>
        <v>29</v>
      </c>
      <c r="DG415" s="106">
        <f t="shared" si="800"/>
        <v>37.629999999999995</v>
      </c>
      <c r="DH415" s="116">
        <f t="shared" si="801"/>
        <v>10</v>
      </c>
      <c r="DI415" s="106">
        <f t="shared" si="802"/>
        <v>41.599999999999994</v>
      </c>
      <c r="DJ415" s="201" t="str">
        <f>IF($D415="","",$D415)</f>
        <v>14</v>
      </c>
      <c r="DK415" s="465">
        <f>IF(AND($B415=" ",$D415&lt;&gt;""),1,0)</f>
        <v>0</v>
      </c>
    </row>
    <row r="416" spans="1:115" ht="14.5" customHeight="1" x14ac:dyDescent="0.2">
      <c r="A416" s="389"/>
      <c r="B416" s="456"/>
      <c r="C416" s="120" t="s">
        <v>55</v>
      </c>
      <c r="D416" s="374"/>
      <c r="E416" s="386"/>
      <c r="F416" s="377"/>
      <c r="G416" s="483"/>
      <c r="H416" s="476"/>
      <c r="I416" s="121" t="s">
        <v>52</v>
      </c>
      <c r="J416" s="122">
        <v>57</v>
      </c>
      <c r="K416" s="123" t="s">
        <v>40</v>
      </c>
      <c r="L416" s="124">
        <v>1.89</v>
      </c>
      <c r="M416" s="125">
        <v>12.64</v>
      </c>
      <c r="N416" s="406"/>
      <c r="O416" s="126">
        <f>IF(OR(AE415="",AE416=""),"",ROUND(IF(L417&gt;0,IF(M416&gt;0,M416,IF(M415&gt;0,IF(N415=TRUE,ROUND((M415*AE416)/AE415,0),(M415*AE416)/AE415),IF(M416&gt;0,ROUND(M416,IF(N415=0,2,IF(N415=0.1,1,0))),IF(M417&gt;0,ROUND(O417*AE416/AE417,IF(N415=0,2,IF(N415=0.1,1,0))),0)))),IF(M416&gt;0,M416,ROUND((M415*AE416)/AE415,IF(N415=0,2,IF(N415=0.1,1,0))))),2))</f>
        <v>12.64</v>
      </c>
      <c r="P416" s="127">
        <f>IF(OR(L416="",O416=""),"",IF($C416="1/2W",O416/2+O416/2*L416,IF($C416="1/2L",O416/2,IF(I416="Lay",((O416*(L416/(L416-1)))-O416)*(1-_xlfn.XLOOKUP(K416,'Fevereiro 2023 - Valor Real'!A3:A15,'Fevereiro 2023 - Valor Real'!C3:C15,0))+O416,(O416*L416-O416)*(1-_xlfn.XLOOKUP(K416,'Fevereiro 2023 - Valor Real'!A3:A15,'Fevereiro 2023 - Valor Real'!C3:C15,0))+O416))))</f>
        <v>23.889600000000002</v>
      </c>
      <c r="Q416" s="128">
        <f>IF(K416="","",IF(_xlfn.XLOOKUP(K416,K$4:K415,$DJ$4:DJ415,0,,-1)=DJ416,_xlfn.XLOOKUP(K416,K$4:K415,Q$4:Q415,1,,-1)+1,1))</f>
        <v>1</v>
      </c>
      <c r="R416" s="129">
        <f>IF(K416="","",_xlfn.XLOOKUP(K416,K$4:K415,R$4:R415,0,,-1)+IF($C416=" ",1,0))</f>
        <v>0</v>
      </c>
      <c r="S416" s="403"/>
      <c r="T416" s="380"/>
      <c r="U416" s="380"/>
      <c r="V416" s="481"/>
      <c r="W416" s="380"/>
      <c r="X416" s="452"/>
      <c r="Y416" s="383"/>
      <c r="Z416" s="384"/>
      <c r="AA416" s="384"/>
      <c r="AB416" s="384"/>
      <c r="AC416" s="384"/>
      <c r="AD416" s="130">
        <f>(((L416/(L416-1)-1)*(1-_xlfn.XLOOKUP(K416,'Fevereiro 2023 - Valor Real'!A3:A15,'Fevereiro 2023 - Valor Real'!C3:C15,0))+1))</f>
        <v>2.1235955056179776</v>
      </c>
      <c r="AE416" s="131">
        <f>IF(L416="","",IF(L417&gt;0,(SUM(((L415-1)*(1-_xlfn.XLOOKUP(K415,'Fevereiro 2023 - Valor Real'!A3:A15,'Fevereiro 2023 - Valor Real'!C3:C15,0))+1),((L416-1)*(1-_xlfn.XLOOKUP(K416,'Fevereiro 2023 - Valor Real'!A3:A15,'Fevereiro 2023 - Valor Real'!C3:C15,0))+1),((L417-1)*(1-_xlfn.XLOOKUP(K417,'Fevereiro 2023 - Valor Real'!A3:A15,'Fevereiro 2023 - Valor Real'!C3:C15,0))+1))/((L416-1)*(1-_xlfn.XLOOKUP(K416,'Fevereiro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Real'!C3:C15,0))+1))/((L415-1)*(1-_xlfn.XLOOKUP(K415,'Fevereiro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Real'!C3:C15,0))+1))/((L416-1)*(1-_xlfn.XLOOKUP(K416,'Fevereiro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Real'!C3:C15,0))+1))/((L417-1)*(1-_xlfn.XLOOKUP(K417,'Fevereiro 2023 - Valor Real'!A3:A15,'Fevereiro 2023 - Valor Real'!C3:C15,0))+1)),IF(I416="Lay",IF(I415="Lay",((L415/(L415-1)-1)*(1-_xlfn.XLOOKUP(K415,'Fevereiro 2023 - Valor Real'!A3:A15,'Fevereiro 2023 - Valor Real'!C3:C15,0))+1)/(((L415/(L415-1)-1)*(1-_xlfn.XLOOKUP(K415,'Fevereiro 2023 - Valor Real'!A3:A15,'Fevereiro 2023 - Valor Real'!C3:C15,0))+1)+((L416/(L416-1)-1)*(1-_xlfn.XLOOKUP(K416,'Fevereiro 2023 - Valor Real'!A3:A15,'Fevereiro 2023 - Valor Real'!C3:C15,0))+1)),((L415-1)*(1-_xlfn.XLOOKUP(K415,'Fevereiro 2023 - Valor Real'!A3:A15,'Fevereiro 2023 - Valor Real'!C3:C15,0))+1)/(((L415-1)*(1-_xlfn.XLOOKUP(K415,'Fevereiro 2023 - Valor Real'!A3:A15,'Fevereiro 2023 - Valor Real'!C3:C15,0))+1)+((L416/(L416-1)-1)*(1-_xlfn.XLOOKUP(K416,'Fevereiro 2023 - Valor Real'!A3:A15,'Fevereiro 2023 - Valor Real'!C3:C15,0))+1))),IF(I415="Lay",((L415/(L415-1)-1)*(1-_xlfn.XLOOKUP(K415,'Fevereiro 2023 - Valor Real'!A3:A15,'Fevereiro 2023 - Valor Real'!C3:C15,0))+1)/((((L415/(L415-1)-1)*(1-_xlfn.XLOOKUP(K415,'Fevereiro 2023 - Valor Real'!A3:A15,'Fevereiro 2023 - Valor Real'!C3:C15,0))+1))+((L416-1)*(1-_xlfn.XLOOKUP(K416,'Fevereiro 2023 - Valor Real'!A3:A15,'Fevereiro 2023 - Valor Real'!C3:C15,0))+1)),((L415-1)*(1-_xlfn.XLOOKUP(K415,'Fevereiro 2023 - Valor Real'!A3:A15,'Fevereiro 2023 - Valor Real'!C3:C15,0))+1)/(((L415-1)*(1-_xlfn.XLOOKUP(K415,'Fevereiro 2023 - Valor Real'!A3:A15,'Fevereiro 2023 - Valor Real'!C3:C15,0))+1)+((L416-1)*(1-_xlfn.XLOOKUP(K416,'Fevereiro 2023 - Valor Real'!A3:A15,'Fevereiro 2023 - Valor Real'!C3:C15,0))+1))))))</f>
        <v>0.56750572082379858</v>
      </c>
      <c r="AF416" s="105">
        <f t="shared" si="839"/>
        <v>0</v>
      </c>
      <c r="AG416" s="106">
        <f t="shared" si="839"/>
        <v>0</v>
      </c>
      <c r="AH416" s="106">
        <f t="shared" si="839"/>
        <v>0</v>
      </c>
      <c r="AI416" s="106">
        <f t="shared" si="839"/>
        <v>0</v>
      </c>
      <c r="AJ416" s="106">
        <f t="shared" si="839"/>
        <v>-12.64</v>
      </c>
      <c r="AK416" s="106">
        <f t="shared" si="839"/>
        <v>0</v>
      </c>
      <c r="AL416" s="106">
        <f t="shared" si="839"/>
        <v>0</v>
      </c>
      <c r="AM416" s="106">
        <f t="shared" si="839"/>
        <v>0</v>
      </c>
      <c r="AN416" s="106">
        <f t="shared" si="839"/>
        <v>0</v>
      </c>
      <c r="AO416" s="106">
        <f t="shared" si="839"/>
        <v>0</v>
      </c>
      <c r="AP416" s="106">
        <f t="shared" si="839"/>
        <v>0</v>
      </c>
      <c r="AQ416" s="106">
        <f t="shared" si="839"/>
        <v>0</v>
      </c>
      <c r="AR416" s="107">
        <f t="shared" si="839"/>
        <v>0</v>
      </c>
      <c r="AS416" s="105">
        <f>IF(AND($B415=" ",$K416=AS$3),$O416,0)</f>
        <v>0</v>
      </c>
      <c r="AT416" s="106">
        <f>IF(AND($B415=" ",K416=AT$3),$O416,0)</f>
        <v>0</v>
      </c>
      <c r="AU416" s="106">
        <f t="shared" ref="AU416:BE416" si="844">IF(AND($B415=" ",$K416=AU$3),$O416,0)</f>
        <v>0</v>
      </c>
      <c r="AV416" s="106">
        <f t="shared" si="844"/>
        <v>0</v>
      </c>
      <c r="AW416" s="106">
        <f t="shared" si="844"/>
        <v>0</v>
      </c>
      <c r="AX416" s="106">
        <f t="shared" si="844"/>
        <v>0</v>
      </c>
      <c r="AY416" s="108">
        <f t="shared" si="844"/>
        <v>0</v>
      </c>
      <c r="AZ416" s="109">
        <f t="shared" si="844"/>
        <v>0</v>
      </c>
      <c r="BA416" s="109">
        <f t="shared" si="844"/>
        <v>0</v>
      </c>
      <c r="BB416" s="109">
        <f t="shared" si="844"/>
        <v>0</v>
      </c>
      <c r="BC416" s="110">
        <f t="shared" si="844"/>
        <v>0</v>
      </c>
      <c r="BD416" s="106">
        <f t="shared" si="844"/>
        <v>0</v>
      </c>
      <c r="BE416" s="107">
        <f t="shared" si="844"/>
        <v>0</v>
      </c>
      <c r="BF416" s="105">
        <f t="shared" si="841"/>
        <v>0</v>
      </c>
      <c r="BG416" s="106">
        <f t="shared" si="841"/>
        <v>0</v>
      </c>
      <c r="BH416" s="106">
        <f t="shared" si="841"/>
        <v>0</v>
      </c>
      <c r="BI416" s="106">
        <f t="shared" si="841"/>
        <v>0</v>
      </c>
      <c r="BJ416" s="106">
        <f t="shared" si="841"/>
        <v>12.64</v>
      </c>
      <c r="BK416" s="106">
        <f t="shared" si="841"/>
        <v>0</v>
      </c>
      <c r="BL416" s="106">
        <f t="shared" si="841"/>
        <v>0</v>
      </c>
      <c r="BM416" s="132">
        <f t="shared" si="841"/>
        <v>0</v>
      </c>
      <c r="BN416" s="112">
        <f t="shared" si="841"/>
        <v>0</v>
      </c>
      <c r="BO416" s="112">
        <f t="shared" si="841"/>
        <v>0</v>
      </c>
      <c r="BP416" s="112">
        <f t="shared" si="841"/>
        <v>0</v>
      </c>
      <c r="BQ416" s="110">
        <f t="shared" si="841"/>
        <v>0</v>
      </c>
      <c r="BR416" s="107">
        <f t="shared" si="841"/>
        <v>0</v>
      </c>
      <c r="BS416" s="464"/>
      <c r="BT416" s="461"/>
      <c r="BU416" s="392"/>
      <c r="BV416" s="461"/>
      <c r="BW416" s="392"/>
      <c r="BX416" s="392"/>
      <c r="BY416" s="392"/>
      <c r="BZ416" s="461"/>
      <c r="CA416" s="392"/>
      <c r="CB416" s="392"/>
      <c r="CC416" s="392"/>
      <c r="CD416" s="401"/>
      <c r="CE416" s="409"/>
      <c r="CF416" s="133">
        <f t="shared" si="772"/>
        <v>0</v>
      </c>
      <c r="CG416" s="134">
        <f t="shared" si="773"/>
        <v>0</v>
      </c>
      <c r="CH416" s="134">
        <f t="shared" si="774"/>
        <v>0</v>
      </c>
      <c r="CI416" s="134">
        <f t="shared" si="775"/>
        <v>0</v>
      </c>
      <c r="CJ416" s="134">
        <f t="shared" si="776"/>
        <v>0</v>
      </c>
      <c r="CK416" s="134">
        <f t="shared" si="777"/>
        <v>0</v>
      </c>
      <c r="CL416" s="134">
        <f t="shared" si="778"/>
        <v>0</v>
      </c>
      <c r="CM416" s="134">
        <f t="shared" si="779"/>
        <v>0</v>
      </c>
      <c r="CN416" s="134">
        <f t="shared" si="780"/>
        <v>0</v>
      </c>
      <c r="CO416" s="134">
        <f t="shared" si="781"/>
        <v>1</v>
      </c>
      <c r="CP416" s="134">
        <f t="shared" si="782"/>
        <v>0</v>
      </c>
      <c r="CQ416" s="134">
        <f t="shared" si="783"/>
        <v>0</v>
      </c>
      <c r="CR416" s="134">
        <f t="shared" si="784"/>
        <v>0</v>
      </c>
      <c r="CS416" s="134">
        <f t="shared" si="785"/>
        <v>0</v>
      </c>
      <c r="CT416" s="115">
        <f t="shared" si="786"/>
        <v>0</v>
      </c>
      <c r="CU416" s="116">
        <f t="shared" si="787"/>
        <v>0</v>
      </c>
      <c r="CV416" s="116">
        <f t="shared" si="788"/>
        <v>0</v>
      </c>
      <c r="CW416" s="116">
        <f t="shared" si="789"/>
        <v>0</v>
      </c>
      <c r="CX416" s="116">
        <f t="shared" si="790"/>
        <v>0</v>
      </c>
      <c r="CY416" s="116">
        <f t="shared" si="791"/>
        <v>0</v>
      </c>
      <c r="CZ416" s="116">
        <f t="shared" si="792"/>
        <v>0</v>
      </c>
      <c r="DA416" s="116">
        <f t="shared" si="793"/>
        <v>0</v>
      </c>
      <c r="DB416" s="116">
        <f t="shared" si="794"/>
        <v>0</v>
      </c>
      <c r="DC416" s="116">
        <f t="shared" si="795"/>
        <v>0</v>
      </c>
      <c r="DD416" s="116">
        <f t="shared" si="796"/>
        <v>0</v>
      </c>
      <c r="DE416" s="117">
        <f t="shared" si="797"/>
        <v>0</v>
      </c>
      <c r="DF416" s="118">
        <f t="shared" si="799"/>
        <v>29</v>
      </c>
      <c r="DG416" s="106">
        <f t="shared" si="800"/>
        <v>37.629999999999995</v>
      </c>
      <c r="DH416" s="116">
        <f t="shared" si="801"/>
        <v>10</v>
      </c>
      <c r="DI416" s="106">
        <f t="shared" si="802"/>
        <v>41.599999999999994</v>
      </c>
      <c r="DJ416" s="201" t="str">
        <f>IF($D415="","",$D415)</f>
        <v>14</v>
      </c>
      <c r="DK416" s="466"/>
    </row>
    <row r="417" spans="1:115" ht="14.5" customHeight="1" x14ac:dyDescent="0.2">
      <c r="A417" s="390"/>
      <c r="B417" s="457"/>
      <c r="C417" s="135" t="s">
        <v>53</v>
      </c>
      <c r="D417" s="375"/>
      <c r="E417" s="387"/>
      <c r="F417" s="378"/>
      <c r="G417" s="484"/>
      <c r="H417" s="477"/>
      <c r="I417" s="136"/>
      <c r="J417" s="137"/>
      <c r="K417" s="138"/>
      <c r="L417" s="139"/>
      <c r="M417" s="140"/>
      <c r="N417" s="407"/>
      <c r="O417" s="141" t="str">
        <f>IF(OR(AE415="",AE416=""),"",IF(L417&gt;0,ROUND(IF(M417&gt;0,M417,IF(M415&gt;0,ROUND((M415*AE417)/AE415,IF(N415=0,2,IF(N415=0.1,1,0))),IF(M416&gt;0,ROUND((M416*AE417)/AE416,IF(N415=0,2,IF(N415=0.1,1,0))),IF(M417&gt;0,M417,0)))),2),""))</f>
        <v/>
      </c>
      <c r="P417" s="142" t="str">
        <f>IF(I416="Lay",O416*(L416/(L416-1))-O416,IF(I415="Lay",O415*(L415/(L415-1))-O415,IF(OR(L417="",O417=""),"",IF($C417="1/2W",O417/2+O417/2*L417,IF($C417="1/2L",O417/2,(O417*L417-O417)*(1-_xlfn.XLOOKUP(K417,'Fevereiro 2023 - Valor Real'!A3:A15,'Fevereiro 2023 - Valor Real'!C3:C15,0))+O417)))))</f>
        <v/>
      </c>
      <c r="Q417" s="143" t="str">
        <f>IF(K417="","",IF(_xlfn.XLOOKUP(K417,K$4:K416,$DJ$4:DJ416,0,,-1)=DJ417,_xlfn.XLOOKUP(K417,K$4:K416,Q$4:Q416,1,,-1)+1,1))</f>
        <v/>
      </c>
      <c r="R417" s="144" t="str">
        <f>IF(K417="","",_xlfn.XLOOKUP(K417,K$4:K416,R$4:R416,0,,-1)+IF($C417=" ",1,0))</f>
        <v/>
      </c>
      <c r="S417" s="404"/>
      <c r="T417" s="378"/>
      <c r="U417" s="378"/>
      <c r="V417" s="404"/>
      <c r="W417" s="378"/>
      <c r="X417" s="453"/>
      <c r="Y417" s="383"/>
      <c r="Z417" s="384"/>
      <c r="AA417" s="384"/>
      <c r="AB417" s="384"/>
      <c r="AC417" s="384"/>
      <c r="AD417" s="145">
        <f>((L416/(L416-1)-1))</f>
        <v>1.1235955056179776</v>
      </c>
      <c r="AE417" s="146" t="str">
        <f>IF(L417="","",(SUM(((L415-1)*(1-_xlfn.XLOOKUP(K415,'Fevereiro 2023 - Valor Real'!A3:A15,'Fevereiro 2023 - Valor Real'!C3:C15,0))+1),((L416-1)*(1-_xlfn.XLOOKUP(K416,'Fevereiro 2023 - Valor Real'!A3:A15,'Fevereiro 2023 - Valor Real'!C3:C15,0))+1),((L417-1)*(1-_xlfn.XLOOKUP(K417,'Fevereiro 2023 - Valor Real'!A3:A15,'Fevereiro 2023 - Valor Real'!C3:C15,0))+1))/((L417-1)*(1-_xlfn.XLOOKUP(K417,'Fevereiro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Real'!C3:C15,0))+1))/((L415-1)*(1-_xlfn.XLOOKUP(K415,'Fevereiro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Real'!C3:C15,0))+1))/((L416-1)*(1-_xlfn.XLOOKUP(K416,'Fevereiro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Real'!C3:C15,0))+1))/((L417-1)*(1-_xlfn.XLOOKUP(K417,'Fevereiro 2023 - Valor Real'!A3:A15,'Fevereiro 2023 - Valor Real'!C3:C15,0))+1)))</f>
        <v/>
      </c>
      <c r="AF417" s="105">
        <f t="shared" si="839"/>
        <v>0</v>
      </c>
      <c r="AG417" s="106">
        <f t="shared" si="839"/>
        <v>0</v>
      </c>
      <c r="AH417" s="106">
        <f t="shared" si="839"/>
        <v>0</v>
      </c>
      <c r="AI417" s="106">
        <f t="shared" si="839"/>
        <v>0</v>
      </c>
      <c r="AJ417" s="106">
        <f t="shared" si="839"/>
        <v>0</v>
      </c>
      <c r="AK417" s="106">
        <f t="shared" si="839"/>
        <v>0</v>
      </c>
      <c r="AL417" s="106">
        <f t="shared" si="839"/>
        <v>0</v>
      </c>
      <c r="AM417" s="106">
        <f t="shared" si="839"/>
        <v>0</v>
      </c>
      <c r="AN417" s="106">
        <f t="shared" si="839"/>
        <v>0</v>
      </c>
      <c r="AO417" s="106">
        <f t="shared" si="839"/>
        <v>0</v>
      </c>
      <c r="AP417" s="106">
        <f t="shared" si="839"/>
        <v>0</v>
      </c>
      <c r="AQ417" s="106">
        <f t="shared" si="839"/>
        <v>0</v>
      </c>
      <c r="AR417" s="107">
        <f t="shared" si="839"/>
        <v>0</v>
      </c>
      <c r="AS417" s="105">
        <f>IF(AND($B415=" ",$K417=AS$3),$O417,0)</f>
        <v>0</v>
      </c>
      <c r="AT417" s="106">
        <f>IF(AND($B415=" ",K417=AT$3),$O417,0)</f>
        <v>0</v>
      </c>
      <c r="AU417" s="106">
        <f t="shared" ref="AU417:BE417" si="845">IF(AND($B415=" ",$K417=AU$3),$O417,0)</f>
        <v>0</v>
      </c>
      <c r="AV417" s="106">
        <f t="shared" si="845"/>
        <v>0</v>
      </c>
      <c r="AW417" s="106">
        <f t="shared" si="845"/>
        <v>0</v>
      </c>
      <c r="AX417" s="106">
        <f t="shared" si="845"/>
        <v>0</v>
      </c>
      <c r="AY417" s="108">
        <f t="shared" si="845"/>
        <v>0</v>
      </c>
      <c r="AZ417" s="109">
        <f t="shared" si="845"/>
        <v>0</v>
      </c>
      <c r="BA417" s="109">
        <f t="shared" si="845"/>
        <v>0</v>
      </c>
      <c r="BB417" s="109">
        <f t="shared" si="845"/>
        <v>0</v>
      </c>
      <c r="BC417" s="110">
        <f t="shared" si="845"/>
        <v>0</v>
      </c>
      <c r="BD417" s="106">
        <f t="shared" si="845"/>
        <v>0</v>
      </c>
      <c r="BE417" s="107">
        <f t="shared" si="845"/>
        <v>0</v>
      </c>
      <c r="BF417" s="105">
        <f t="shared" si="841"/>
        <v>0</v>
      </c>
      <c r="BG417" s="106">
        <f t="shared" si="841"/>
        <v>0</v>
      </c>
      <c r="BH417" s="106">
        <f t="shared" si="841"/>
        <v>0</v>
      </c>
      <c r="BI417" s="106">
        <f t="shared" si="841"/>
        <v>0</v>
      </c>
      <c r="BJ417" s="106">
        <f t="shared" si="841"/>
        <v>0</v>
      </c>
      <c r="BK417" s="106">
        <f t="shared" si="841"/>
        <v>0</v>
      </c>
      <c r="BL417" s="106">
        <f t="shared" si="841"/>
        <v>0</v>
      </c>
      <c r="BM417" s="108">
        <f t="shared" si="841"/>
        <v>0</v>
      </c>
      <c r="BN417" s="109">
        <f t="shared" si="841"/>
        <v>0</v>
      </c>
      <c r="BO417" s="109">
        <f t="shared" si="841"/>
        <v>0</v>
      </c>
      <c r="BP417" s="109">
        <f t="shared" si="841"/>
        <v>0</v>
      </c>
      <c r="BQ417" s="110">
        <f t="shared" si="841"/>
        <v>0</v>
      </c>
      <c r="BR417" s="107">
        <f t="shared" si="841"/>
        <v>0</v>
      </c>
      <c r="BS417" s="464"/>
      <c r="BT417" s="461"/>
      <c r="BU417" s="392"/>
      <c r="BV417" s="461"/>
      <c r="BW417" s="392"/>
      <c r="BX417" s="392"/>
      <c r="BY417" s="392"/>
      <c r="BZ417" s="461"/>
      <c r="CA417" s="392"/>
      <c r="CB417" s="392"/>
      <c r="CC417" s="392"/>
      <c r="CD417" s="401"/>
      <c r="CE417" s="409"/>
      <c r="CF417" s="133">
        <f t="shared" si="772"/>
        <v>0</v>
      </c>
      <c r="CG417" s="134">
        <f t="shared" si="773"/>
        <v>0</v>
      </c>
      <c r="CH417" s="134">
        <f t="shared" si="774"/>
        <v>0</v>
      </c>
      <c r="CI417" s="134">
        <f t="shared" si="775"/>
        <v>0</v>
      </c>
      <c r="CJ417" s="134">
        <f t="shared" si="776"/>
        <v>0</v>
      </c>
      <c r="CK417" s="134">
        <f t="shared" si="777"/>
        <v>0</v>
      </c>
      <c r="CL417" s="134">
        <f t="shared" si="778"/>
        <v>0</v>
      </c>
      <c r="CM417" s="134">
        <f t="shared" si="779"/>
        <v>0</v>
      </c>
      <c r="CN417" s="134">
        <f t="shared" si="780"/>
        <v>0</v>
      </c>
      <c r="CO417" s="134">
        <f t="shared" si="781"/>
        <v>0</v>
      </c>
      <c r="CP417" s="134">
        <f t="shared" si="782"/>
        <v>0</v>
      </c>
      <c r="CQ417" s="134">
        <f t="shared" si="783"/>
        <v>0</v>
      </c>
      <c r="CR417" s="134">
        <f t="shared" si="784"/>
        <v>0</v>
      </c>
      <c r="CS417" s="134">
        <f t="shared" si="785"/>
        <v>0</v>
      </c>
      <c r="CT417" s="115">
        <f t="shared" si="786"/>
        <v>0</v>
      </c>
      <c r="CU417" s="116">
        <f t="shared" si="787"/>
        <v>0</v>
      </c>
      <c r="CV417" s="116">
        <f t="shared" si="788"/>
        <v>0</v>
      </c>
      <c r="CW417" s="116">
        <f t="shared" si="789"/>
        <v>0</v>
      </c>
      <c r="CX417" s="116">
        <f t="shared" si="790"/>
        <v>0</v>
      </c>
      <c r="CY417" s="116">
        <f t="shared" si="791"/>
        <v>0</v>
      </c>
      <c r="CZ417" s="116">
        <f t="shared" si="792"/>
        <v>0</v>
      </c>
      <c r="DA417" s="116">
        <f t="shared" si="793"/>
        <v>0</v>
      </c>
      <c r="DB417" s="116">
        <f t="shared" si="794"/>
        <v>0</v>
      </c>
      <c r="DC417" s="116">
        <f t="shared" si="795"/>
        <v>0</v>
      </c>
      <c r="DD417" s="116">
        <f t="shared" si="796"/>
        <v>0</v>
      </c>
      <c r="DE417" s="117">
        <f t="shared" si="797"/>
        <v>0</v>
      </c>
      <c r="DF417" s="118">
        <f t="shared" si="799"/>
        <v>29</v>
      </c>
      <c r="DG417" s="106">
        <f t="shared" si="800"/>
        <v>37.629999999999995</v>
      </c>
      <c r="DH417" s="116">
        <f t="shared" si="801"/>
        <v>10</v>
      </c>
      <c r="DI417" s="106">
        <f t="shared" si="802"/>
        <v>41.599999999999994</v>
      </c>
      <c r="DJ417" s="201" t="str">
        <f>IF($D415="","",$D415)</f>
        <v>14</v>
      </c>
      <c r="DK417" s="466"/>
    </row>
    <row r="418" spans="1:115" ht="14.5" customHeight="1" x14ac:dyDescent="0.2">
      <c r="A418" s="487">
        <f>$A415+1</f>
        <v>139</v>
      </c>
      <c r="B418" s="506" t="str">
        <f>IF(OR(C418="W",C419="W",C420="W",C418="1/2W",C419="1/2W",C420="1/2W",C418="1/2L",C419="1/2L",C420="1/2L"),"OK",IF(OR(C418="L",C419="L",C420="L"),"LOSS",IF(OR(C418="X",C419="X",C420="X"),"Anulado"," ")))</f>
        <v>OK</v>
      </c>
      <c r="C418" s="147" t="s">
        <v>54</v>
      </c>
      <c r="D418" s="494" t="str">
        <f>IF(G418="","",$D415)</f>
        <v>14</v>
      </c>
      <c r="E418" s="511" t="str">
        <f>IF(G418=""," ","– "&amp;COUNTIF(D$4:D420,$D418))</f>
        <v>– 2</v>
      </c>
      <c r="F418" s="510" t="str">
        <f ca="1">IF(G418="","",IF(OR(AND($C418&lt;&gt;" ",$C419=" "),AND($C419&lt;&gt;" ",$C418=" "),AND(L420&gt;0,OR(AND($C420&lt;&gt;" ",OR($C418=" ",$C419=" ")),AND($C420=" ",OR($C418&lt;&gt;" ",$C419&lt;&gt;" "))))),IF(SUM(F$4:F417)=0,1,LARGE(F$4:F417,1)+1),IF(MONTH(G418)=MONTH(TODAY()),IF(AND(DAY(G418)&lt;DAY(TODAY()),$B418=" "),IF(SUM(F$4:F417)=0,1,LARGE(F$4:F417,1)+1),IF($B418=" ",IF(AND(DAY(G418)=DAY(TODAY()),HOUR(G418)&lt;=HOUR(NOW())+1),IF(AND(HOUR(G418)+2&lt;=HOUR(NOW()),DAY(G418)&lt;=DAY(TODAY()),MINUTE(G418)&lt;=MINUTE(NOW())),IF(SUM(F$4:F417)=0,1,LARGE(F$4:F417,1)+1),IF(OR(MINUTE(G418)&lt;=MINUTE(NOW()),HOUR(G418)&lt;=HOUR(NOW())),"!!!","")),""),"")),"")))</f>
        <v/>
      </c>
      <c r="G418" s="508">
        <v>45000.916666666664</v>
      </c>
      <c r="H418" s="502" t="s">
        <v>176</v>
      </c>
      <c r="I418" s="180" t="s">
        <v>76</v>
      </c>
      <c r="J418" s="181">
        <v>0</v>
      </c>
      <c r="K418" s="150" t="s">
        <v>47</v>
      </c>
      <c r="L418" s="151">
        <v>3</v>
      </c>
      <c r="M418" s="152">
        <v>45.75</v>
      </c>
      <c r="N418" s="503">
        <v>0</v>
      </c>
      <c r="O418" s="153">
        <f>IF(OR(AE418="",AE419=""),"",ROUND(IF(L420&gt;0,IF(M418&gt;0,M418,IF(M419&gt;0,ROUND((M419*AE418)/AE419,IF(N418=0,2,IF(N418=0.1,1,0))),ROUND((M420*AE418)/AE420,IF(N418=0,2,IF(N418=0.1,1,0))))),IF(M418&gt;0,M418,ROUND((M419*AE418)/AE419,IF(N418=0,2,IF(N418=0.1,1,0))))),2))</f>
        <v>45.75</v>
      </c>
      <c r="P418" s="154">
        <f>IF(OR(L418="",O418=""),"",IF($C418="1/2W",O418/2+O418/2*L418,IF($C418="1/2L",O418/2,IF(I418="Lay",(O418*(L418/(L418-1))-O418)*(1-_xlfn.XLOOKUP(K418,'Fevereiro 2023 - Valor Real'!A3:A15,'Fevereiro 2023 - Valor Real'!C3:C15,0))+O418,(O418*L418-O418)*(1-_xlfn.XLOOKUP(K418,'Fevereiro 2023 - Valor Real'!A3:A15,'Fevereiro 2023 - Valor Real'!C3:C15,0))+O418))))</f>
        <v>137.25</v>
      </c>
      <c r="Q418" s="155">
        <f>IF(K418="","",IF(_xlfn.XLOOKUP(K418,K$9:K410,$DJ$9:DJ410,0,,-1)=DJ418,_xlfn.XLOOKUP(K418,K$9:K410,Q$9:Q410,1,,-1)+1,1))</f>
        <v>1</v>
      </c>
      <c r="R418" s="156">
        <f>IF(K418="","",_xlfn.XLOOKUP(K418,K$9:K410,R$9:R410,0,,-1)+IF($C418=" ",1,0))</f>
        <v>0</v>
      </c>
      <c r="S418" s="501">
        <f>IF($B418="Anulado",0,ROUND(IF(OR($B418="LOSS",$B418="OK"),IF(OR($C418="W",$C418="1/2W",$C418="1/2L"),P418-O418,IF($C418="L",-O418,0))+IF(OR($C419="W",$C419="1/2W",$C419="1/2L"),P419-O419,IF($C419="L",-O419,0))+IF(OR($C420="W",$C420="1/2W",$C420="1/2L"),P420-O420,IF($C420="L",-O420,0)),IF(AND(OR($C418="W",$C418="1/2W",$C418="1/2L"),C419="W"),P418+P419-SUM(O418:O420)+_xlfn.XLOOKUP("X",C418:C420,O418:O420,0),IF(AND(C418=TRUE,C420="W"),P418+P420-SUM(O418:O420),IF(AND(C419="W",C420="W"),P419+P420-SUM(O418:O420)+_xlfn.XLOOKUP("X",C418:C420,O418:O420,0),IF(L420&gt;0,IF(OR($C418="W",$C418="1/2W",$C418="1/2L"),P418-SUM(O418:O420)+_xlfn.XLOOKUP("X",C418:C420,O418:O420,0),IF(OR($C418="W",$C418="1/2W",$C418="1/2L"),P419-SUM(O418:O420)+_xlfn.XLOOKUP("X",C418:C420,O418:O420,0),IF(OR($C418="W",$C418="1/2W",$C418="1/2L"),P420-SUM(O418:O420)+_xlfn.XLOOKUP("X",C418:C420,O418:O420,0),IF(SUM(P418:P420)/3-SUM(O418:O420)+_xlfn.XLOOKUP("X",C418:C420,O418:O420,0)&gt;0,SUM(P418:P420)/3-SUM(O418:O420)+_xlfn.XLOOKUP("X",C418:C420,O418:O420,0),LARGE(P418:P420,1)-SUM(O418:O420))))),IF(OR($C418="W",$C418="1/2W",$C418="1/2L"),P418-SUM(O418:O419)+_xlfn.XLOOKUP("X",C418:C420,O418:O420,0),IF(OR($C418="W",$C418="1/2W",$C418="1/2L"),P419-SUM(O418:O419)+_xlfn.XLOOKUP("X",C418:C420,O418:O420,0),SUM(P418:P419)/2-SUM(O418:O419)+_xlfn.XLOOKUP("X",C418:C420,O418:O420,0)))))))),2))</f>
        <v>10</v>
      </c>
      <c r="T418" s="486">
        <f>IF(S418=0,0,S418/SUM(O418:O420))</f>
        <v>7.8585461689587424E-2</v>
      </c>
      <c r="U418" s="496">
        <f>IF($D418=$D415,IF(OR($B418="LOSS",$B418="OK",$B418="Anulada"),S418,0)+U415,IF(OR($B418="LOSS",$B418="OK",$B418="Anulada"),S418,0))</f>
        <v>11.64</v>
      </c>
      <c r="V418" s="496">
        <f>IF($D418="",0,IF($D418=$D415,IF($B418=" ",IF(I420="",IF(OR(AND(I418="DNB1",I419="DNB2"),AND(OR(I418="DNB1",I418="DNB2"),J419=0),AND(OR(I419="DNB1",I419="DNB2"),J418=0),AND(I418="DNB2",I419="DNB1"),AND(IF(J418=0,(J418+1)/ROUND(J418+1,0),J418/ROUND(J418,0))=1,IF(J419=0,(J419+1)/ROUND(IF(J419="",0,J419)+1,0),IF(J419="",0,J419)/ROUND(IF(J419="",1,J419),0))=1,OR(J418&lt;&gt;""),J419&lt;&gt;"")),0,IF(S418&lt;0,IF(I420="",SMALL(P418:P419,1)-SUM(O418:O419),0),SMALL(P418:P419,1)-SUM(O418:O419))),IF(S418&lt;0,IF(I420="",SMALL(P418:P420,1)-SUM(O418:O420),0),LARGE(P418:P420,1)-SUM(O418:O420))),S418)+V415,IF(I420="",IF(OR(AND(I418="DNB1",I419="DNB2"),AND(OR(I418="DNB1",I418="DNB2"),J419=0),AND(OR(I419="DNB1",I419="DNB2"),J418=0),AND(I418="DNB2",I419="DNB1"),AND(IF(J418=0,(J418+1)/ROUND(J418+1,0),J418/ROUND(J418,0))=1,IF(J419=0,(IF(J419="",0,J419)+1)/ROUND(IF(J419="",0,J419)+1,0),IF(J419="",0,J419)/ROUND(IF(J419="",0,J419)+1,0))=1,OR(J418&lt;&gt;""),J419&lt;&gt;"")),0,IF(S418&lt;0,IF(I420="",SMALL(P418:P419,1)-SUM(O418:O419),0),SMALL(P418:P420,1)-SUM(O418:O420))),IF(S418&lt;0,IF(I420="",SMALL(P418:P420,1)-SUM(O418:O420),0),LARGE(P418:P420,1)-SUM(O418:O420)))))</f>
        <v>11.599600000000002</v>
      </c>
      <c r="W418" s="496">
        <f>IF($D418=$D415,IF(S418&lt;0,IF(I420="",S418,0),S418)+W415,S418)</f>
        <v>11.64</v>
      </c>
      <c r="X418" s="505" t="str">
        <f>IF(OR(SUM(R418:R420)=0,V418=W418),ROUND(IF(W418=0,0,W418/Y418)*100,2)&amp;"%",ROUND(IF(V418=0,0,V418/Y418)*100,2)&amp;"% a "&amp;ROUND(IF(W418=0,0,W418/Y418)*100,2)&amp;"%")</f>
        <v>7,78%</v>
      </c>
      <c r="Y418" s="497">
        <f>IF($D418=$D415,Y415+SUM(O418:O420),SUM(O418:O420))</f>
        <v>149.54</v>
      </c>
      <c r="Z418" s="496">
        <f>IF($B418=" ",SUM(O418:O420),0)+Z415</f>
        <v>0</v>
      </c>
      <c r="AA418" s="496">
        <f>IF(G418="","",IF($B418="Anulado",LARGE(P418:P420,1)-SUM(O418:O420)+AA415,AA415))</f>
        <v>12.425099999999992</v>
      </c>
      <c r="AB418" s="496">
        <f>IF($D418="","",AB415+S418)</f>
        <v>513.93000000000006</v>
      </c>
      <c r="AC418" s="499">
        <f ca="1">IF($D418="","",IF($B418=" ",IF(DAY(G418)=DAY(TODAY()),1+AC415,0+AC415),0+AC415))</f>
        <v>0</v>
      </c>
      <c r="AD418" s="157">
        <f>(1-_xlfn.XLOOKUP(K416,'Fevereiro 2023 - Valor Real'!A3:A15,'Fevereiro 2023 - Valor Real'!C3:C15,0))+1</f>
        <v>2</v>
      </c>
      <c r="AE418" s="158">
        <f>IF(L418="","",IF(L420&gt;0,(SUM(((L418-1)*(1-_xlfn.XLOOKUP(K418,'Fevereiro 2023 - Valor Real'!A3:A15,'Fevereiro 2023 - Valor Real'!C3:C15,0))+1),((L419-1)*(1-_xlfn.XLOOKUP(K419,'Fevereiro 2023 - Valor Real'!A3:A15,'Fevereiro 2023 - Valor Real'!C3:C15,0))+1),((L420-1)*(1-_xlfn.XLOOKUP(K420,'Fevereiro 2023 - Valor Real'!A3:A15,'Fevereiro 2023 - Valor Real'!C3:C15,0))+1))/((L418-1)*(1-_xlfn.XLOOKUP(K418,'Fevereiro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Real'!C3:C15,0))+1))/((L418-1)*(1-_xlfn.XLOOKUP(K418,'Fevereiro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Real'!C3:C15,0))+1))/((L419-1)*(1-_xlfn.XLOOKUP(K419,'Fevereiro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Real'!C3:C15,0))+1))/((L420-1)*(1-_xlfn.XLOOKUP(K420,'Fevereiro 2023 - Valor Real'!A3:A15,'Fevereiro 2023 - Valor Real'!C3:C15,0))+1)),IF(I418="Lay",IF(I419="Lay",((L419/(L419-1)-1)*(1-_xlfn.XLOOKUP(K419,'Fevereiro 2023 - Valor Real'!A3:A15,'Fevereiro 2023 - Valor Real'!C3:C15,0))+1)/(((L419/(L419-1)-1)*(1-_xlfn.XLOOKUP(K419,'Fevereiro 2023 - Valor Real'!A3:A15,'Fevereiro 2023 - Valor Real'!C3:C15,0))+1)+((L418/(L418-1)-1)*(1-_xlfn.XLOOKUP(K418,'Fevereiro 2023 - Valor Real'!A3:A15,'Fevereiro 2023 - Valor Real'!C3:C15,0))+1)),((L419-1)*(1-_xlfn.XLOOKUP(K419,'Fevereiro 2023 - Valor Real'!A3:A15,'Fevereiro 2023 - Valor Real'!C3:C15,0))+1)/(((L419-1)*(1-_xlfn.XLOOKUP(K419,'Fevereiro 2023 - Valor Real'!A3:A15,'Fevereiro 2023 - Valor Real'!C3:C15,0))+1)+((L418/(L418-1)-1)*(1-_xlfn.XLOOKUP(K418,'Fevereiro 2023 - Valor Real'!A3:A15,'Fevereiro 2023 - Valor Real'!C3:C15,0))+1))),IF(I419="Lay",(((L419/(L419-1)-1)*(1-_xlfn.XLOOKUP(K419,'Fevereiro 2023 - Valor Real'!A3:A15,'Fevereiro 2023 - Valor Real'!C3:C15,0))+1))/(((L418-1)*(1-_xlfn.XLOOKUP(K418,'Fevereiro 2023 - Valor Real'!A3:A15,'Fevereiro 2023 - Valor Real'!C3:C15,0))+1)+((L419/(L419-1)-1)*(1-_xlfn.XLOOKUP(K419,'Fevereiro 2023 - Valor Real'!A3:A15,'Fevereiro 2023 - Valor Real'!C3:C15,0))+1)),((L419-1)*(1-_xlfn.XLOOKUP(K419,'Fevereiro 2023 - Valor Real'!A3:A15,'Fevereiro 2023 - Valor Real'!C3:C15,0))+1)/(((L419-1)*(1-_xlfn.XLOOKUP(K419,'Fevereiro 2023 - Valor Real'!A3:A15,'Fevereiro 2023 - Valor Real'!C3:C15,0))+1)+((L418-1)*(1-_xlfn.XLOOKUP(K418,'Fevereiro 2023 - Valor Real'!A3:A15,'Fevereiro 2023 - Valor Real'!C3:C15,0))+1))))))</f>
        <v>0.35952177625960713</v>
      </c>
      <c r="AF418" s="66">
        <f t="shared" si="839"/>
        <v>0</v>
      </c>
      <c r="AG418" s="67">
        <f t="shared" si="839"/>
        <v>0</v>
      </c>
      <c r="AH418" s="67">
        <f t="shared" si="839"/>
        <v>0</v>
      </c>
      <c r="AI418" s="67">
        <f t="shared" si="839"/>
        <v>0</v>
      </c>
      <c r="AJ418" s="67">
        <f t="shared" si="839"/>
        <v>0</v>
      </c>
      <c r="AK418" s="67">
        <f t="shared" si="839"/>
        <v>0</v>
      </c>
      <c r="AL418" s="67">
        <f t="shared" si="839"/>
        <v>0</v>
      </c>
      <c r="AM418" s="67">
        <f t="shared" si="839"/>
        <v>0</v>
      </c>
      <c r="AN418" s="67">
        <f t="shared" si="839"/>
        <v>0</v>
      </c>
      <c r="AO418" s="67">
        <f t="shared" si="839"/>
        <v>0</v>
      </c>
      <c r="AP418" s="67">
        <f t="shared" si="839"/>
        <v>0</v>
      </c>
      <c r="AQ418" s="67">
        <f t="shared" si="839"/>
        <v>91.5</v>
      </c>
      <c r="AR418" s="68">
        <f t="shared" si="839"/>
        <v>0</v>
      </c>
      <c r="AS418" s="66">
        <f t="shared" ref="AS418:BE418" si="846">IF(AND($B418=" ",$K418=AS$3),$O418,0)</f>
        <v>0</v>
      </c>
      <c r="AT418" s="67">
        <f t="shared" si="846"/>
        <v>0</v>
      </c>
      <c r="AU418" s="67">
        <f t="shared" si="846"/>
        <v>0</v>
      </c>
      <c r="AV418" s="67">
        <f t="shared" si="846"/>
        <v>0</v>
      </c>
      <c r="AW418" s="67">
        <f t="shared" si="846"/>
        <v>0</v>
      </c>
      <c r="AX418" s="67">
        <f t="shared" si="846"/>
        <v>0</v>
      </c>
      <c r="AY418" s="69">
        <f t="shared" si="846"/>
        <v>0</v>
      </c>
      <c r="AZ418" s="70">
        <f t="shared" si="846"/>
        <v>0</v>
      </c>
      <c r="BA418" s="70">
        <f t="shared" si="846"/>
        <v>0</v>
      </c>
      <c r="BB418" s="70">
        <f t="shared" si="846"/>
        <v>0</v>
      </c>
      <c r="BC418" s="71">
        <f t="shared" si="846"/>
        <v>0</v>
      </c>
      <c r="BD418" s="67">
        <f t="shared" si="846"/>
        <v>0</v>
      </c>
      <c r="BE418" s="68">
        <f t="shared" si="846"/>
        <v>0</v>
      </c>
      <c r="BF418" s="66">
        <f t="shared" si="841"/>
        <v>0</v>
      </c>
      <c r="BG418" s="67">
        <f t="shared" si="841"/>
        <v>0</v>
      </c>
      <c r="BH418" s="67">
        <f t="shared" si="841"/>
        <v>0</v>
      </c>
      <c r="BI418" s="67">
        <f t="shared" si="841"/>
        <v>0</v>
      </c>
      <c r="BJ418" s="67">
        <f t="shared" si="841"/>
        <v>0</v>
      </c>
      <c r="BK418" s="67">
        <f t="shared" si="841"/>
        <v>0</v>
      </c>
      <c r="BL418" s="67">
        <f t="shared" si="841"/>
        <v>0</v>
      </c>
      <c r="BM418" s="69">
        <f t="shared" si="841"/>
        <v>0</v>
      </c>
      <c r="BN418" s="70">
        <f t="shared" si="841"/>
        <v>0</v>
      </c>
      <c r="BO418" s="70">
        <f t="shared" si="841"/>
        <v>0</v>
      </c>
      <c r="BP418" s="70">
        <f t="shared" si="841"/>
        <v>0</v>
      </c>
      <c r="BQ418" s="71">
        <f t="shared" si="841"/>
        <v>45.75</v>
      </c>
      <c r="BR418" s="68">
        <f t="shared" si="841"/>
        <v>0</v>
      </c>
      <c r="BS418" s="490">
        <f>IF($B418="LOSS",IF(AND($K418=BS$3,$C418="L"),-$O418,0)+IF(AND($K419=BS$3,$C419="L"),-$O419,0)+IF(AND($K420=BS$3,$C420="L"),-$O420,0),IF(OR(AND($K418=BS$3,OR($C418="W",$C418="1/2W")),AND($K419=BS$3,OR($C419="W",$C419="1/2W")),AND($K420=BS$3,OR($C420="W",$C420="1/2W"))),$S418,0))</f>
        <v>0</v>
      </c>
      <c r="BT418" s="498">
        <f>IF($B418="LOSS",IF(AND($K418=BT$3,$C418="L"),-$O418,0)+IF(AND($K419=BT$3,$C419="L"),-$O419,0)+IF(AND($K419=BT$3,$C420="L"),-$O420,0),IF(OR(AND($K419=BT$3,OR($C418="W",$C418="1/2W")),AND($K419=BT$3,OR($C419="W",$C419="1/2W")),AND($K419=BT$3,OR($C420="W",$C420="1/2W"))),$S418,0))</f>
        <v>0</v>
      </c>
      <c r="BU418" s="488">
        <f>IF($B418="LOSS",IF(AND($K418=BU$3,$C418="L"),-$O418,0)+IF(AND($K419=BU$3,$C419="L"),-$O419,0)+IF(AND($K419=BU$3,$C420="L"),-$O420,0),IF(OR(AND($K419=BU$3,OR($C418="W",$C418="1/2W")),AND($K419=BU$3,OR($C419="W",$C419="1/2W")),AND($K419=BU$3,OR($C420="W",$C420="1/2W"))),$S418,0))</f>
        <v>0</v>
      </c>
      <c r="BV418" s="488">
        <f t="shared" ref="BV418:CE418" si="847">IF($B418="LOSS",IF(AND($K418=BV$3,$C418="L"),-$O418,0)+IF(AND($K419=BV$3,$C419="L"),-$O419,0)+IF(AND($K420=BV$3,$C420="L"),-$O420,0),IF(OR(AND($K418=BV$3,OR($C418="W",$C418="1/2W")),AND($K419=BV$3,OR($C419="W",$C419="1/2W")),AND($K420=BV$3,OR($C420="W",$C420="1/2W"))),$S418,0))</f>
        <v>0</v>
      </c>
      <c r="BW418" s="488">
        <f t="shared" si="847"/>
        <v>0</v>
      </c>
      <c r="BX418" s="488">
        <f t="shared" si="847"/>
        <v>0</v>
      </c>
      <c r="BY418" s="488">
        <f t="shared" si="847"/>
        <v>0</v>
      </c>
      <c r="BZ418" s="488">
        <f t="shared" si="847"/>
        <v>0</v>
      </c>
      <c r="CA418" s="488">
        <f t="shared" si="847"/>
        <v>0</v>
      </c>
      <c r="CB418" s="488">
        <f t="shared" si="847"/>
        <v>0</v>
      </c>
      <c r="CC418" s="488">
        <f t="shared" si="847"/>
        <v>0</v>
      </c>
      <c r="CD418" s="500">
        <f t="shared" si="847"/>
        <v>10</v>
      </c>
      <c r="CE418" s="504">
        <f t="shared" si="847"/>
        <v>0</v>
      </c>
      <c r="CF418" s="160">
        <f t="shared" si="772"/>
        <v>0</v>
      </c>
      <c r="CG418" s="161">
        <f t="shared" si="773"/>
        <v>0</v>
      </c>
      <c r="CH418" s="161">
        <f t="shared" si="774"/>
        <v>0</v>
      </c>
      <c r="CI418" s="161">
        <f t="shared" si="775"/>
        <v>0</v>
      </c>
      <c r="CJ418" s="161">
        <f t="shared" si="776"/>
        <v>0</v>
      </c>
      <c r="CK418" s="161">
        <f t="shared" si="777"/>
        <v>0</v>
      </c>
      <c r="CL418" s="161">
        <f t="shared" si="778"/>
        <v>0</v>
      </c>
      <c r="CM418" s="161">
        <f t="shared" si="779"/>
        <v>0</v>
      </c>
      <c r="CN418" s="161">
        <f t="shared" si="780"/>
        <v>0</v>
      </c>
      <c r="CO418" s="161">
        <f t="shared" si="781"/>
        <v>0</v>
      </c>
      <c r="CP418" s="161">
        <f t="shared" si="782"/>
        <v>0</v>
      </c>
      <c r="CQ418" s="161">
        <f t="shared" si="783"/>
        <v>0</v>
      </c>
      <c r="CR418" s="161">
        <f t="shared" si="784"/>
        <v>0</v>
      </c>
      <c r="CS418" s="161">
        <f t="shared" si="785"/>
        <v>0</v>
      </c>
      <c r="CT418" s="75">
        <f t="shared" si="786"/>
        <v>0</v>
      </c>
      <c r="CU418" s="76">
        <f t="shared" si="787"/>
        <v>0</v>
      </c>
      <c r="CV418" s="76">
        <f t="shared" si="788"/>
        <v>0</v>
      </c>
      <c r="CW418" s="76">
        <f t="shared" si="789"/>
        <v>0</v>
      </c>
      <c r="CX418" s="76">
        <f t="shared" si="790"/>
        <v>0</v>
      </c>
      <c r="CY418" s="76">
        <f t="shared" si="791"/>
        <v>0</v>
      </c>
      <c r="CZ418" s="76">
        <f t="shared" si="792"/>
        <v>0</v>
      </c>
      <c r="DA418" s="76">
        <f t="shared" si="793"/>
        <v>0</v>
      </c>
      <c r="DB418" s="76">
        <f t="shared" si="794"/>
        <v>1</v>
      </c>
      <c r="DC418" s="76">
        <f t="shared" si="795"/>
        <v>0</v>
      </c>
      <c r="DD418" s="76">
        <f t="shared" si="796"/>
        <v>0</v>
      </c>
      <c r="DE418" s="77">
        <f t="shared" si="797"/>
        <v>0</v>
      </c>
      <c r="DF418" s="73">
        <f t="shared" si="799"/>
        <v>29</v>
      </c>
      <c r="DG418" s="67">
        <f t="shared" si="800"/>
        <v>37.629999999999995</v>
      </c>
      <c r="DH418" s="76">
        <f t="shared" si="801"/>
        <v>10</v>
      </c>
      <c r="DI418" s="67">
        <f t="shared" si="802"/>
        <v>41.599999999999994</v>
      </c>
      <c r="DJ418" s="202" t="str">
        <f>IF($D418="","",$D418)</f>
        <v>14</v>
      </c>
      <c r="DK418" s="492">
        <f>IF(AND($B418=" ",$D418&lt;&gt;""),1,0)</f>
        <v>0</v>
      </c>
    </row>
    <row r="419" spans="1:115" ht="14.5" customHeight="1" x14ac:dyDescent="0.2">
      <c r="A419" s="389"/>
      <c r="B419" s="456"/>
      <c r="C419" s="53" t="s">
        <v>55</v>
      </c>
      <c r="D419" s="374"/>
      <c r="E419" s="386"/>
      <c r="F419" s="377"/>
      <c r="G419" s="508"/>
      <c r="H419" s="476"/>
      <c r="I419" s="182" t="s">
        <v>66</v>
      </c>
      <c r="J419" s="56">
        <f>IF(OR(I418="TO",I418="TU",I418="TO1",I418="TU1",I418="TO2",I418="TU2"),J418,IF(OR(I418="AH1",I418="AH2"),IF(OR(I419="AH1",I419="AH2"),-J418,IF(OR(I419="EH1",I419="EH2"),-J418+0.5,"")),IF(OR(I418="EH1",I418="EH2"),IF(OR(I419="AH1",I419="AH2"),-J418+0.5,IF(OR(I419="EH1",I419="EH2"),-J418+1,"")),IF(AND(OR(I418="DNB1",I418="DNB2"),OR(I419="AH1",I419="AH2")),0,IF(AND(I418="Not ScoreBoth",OR(I419="TO1",I419="TO2")),0.5,"")))))</f>
        <v>0</v>
      </c>
      <c r="K419" s="57" t="s">
        <v>43</v>
      </c>
      <c r="L419" s="164">
        <v>1.6839999999999999</v>
      </c>
      <c r="M419" s="165"/>
      <c r="N419" s="406"/>
      <c r="O419" s="60">
        <f>IF(OR(AE418="",AE419=""),"",ROUND(IF(L420&gt;0,IF(M419&gt;0,M419,IF(M418&gt;0,IF(N418=TRUE,ROUND((M418*AE419)/AE418,0),(M418*AE419)/AE418),IF(M419&gt;0,ROUND(M419,IF(N418=0,2,IF(N418=0.1,1,0))),IF(M420&gt;0,ROUND(O420*AE419/AE420,IF(N418=0,2,IF(N418=0.1,1,0))),0)))),IF(M419&gt;0,M419,ROUND((M418*AE419)/AE418,IF(N418=0,2,IF(N418=0.1,1,0))))),2))</f>
        <v>81.5</v>
      </c>
      <c r="P419" s="61">
        <f>IF(OR(L419="",O419=""),"",IF($C419="1/2W",O419/2+O419/2*L419,IF($C419="1/2L",O419/2,IF(I419="Lay",((O419*(L419/(L419-1)))-O419)*(1-_xlfn.XLOOKUP(K419,'Fevereiro 2023 - Valor Real'!A3:A15,'Fevereiro 2023 - Valor Real'!C3:C15,0))+O419,(O419*L419-O419)*(1-_xlfn.XLOOKUP(K419,'Fevereiro 2023 - Valor Real'!A3:A15,'Fevereiro 2023 - Valor Real'!C3:C15,0))+O419))))</f>
        <v>137.24600000000001</v>
      </c>
      <c r="Q419" s="166">
        <f>IF(K419="","",IF(_xlfn.XLOOKUP(K419,K$10:K410,$DJ$10:DJ410,0,,-1)=DJ419,_xlfn.XLOOKUP(K419,K$10:K410,Q$10:Q410,1,,-1)+1,1))</f>
        <v>1</v>
      </c>
      <c r="R419" s="167">
        <f>IF(K419="","",_xlfn.XLOOKUP(K419,K$10:K410,R$10:R410,0,,-1)+IF($C419=" ",1,0))</f>
        <v>0</v>
      </c>
      <c r="S419" s="403"/>
      <c r="T419" s="380"/>
      <c r="U419" s="380"/>
      <c r="V419" s="481"/>
      <c r="W419" s="380"/>
      <c r="X419" s="452"/>
      <c r="Y419" s="383"/>
      <c r="Z419" s="384"/>
      <c r="AA419" s="384"/>
      <c r="AB419" s="384"/>
      <c r="AC419" s="384"/>
      <c r="AD419" s="64"/>
      <c r="AE419" s="65">
        <f>IF(L419="","",IF(L420&gt;0,(SUM(((L418-1)*(1-_xlfn.XLOOKUP(K418,'Fevereiro 2023 - Valor Real'!A3:A15,'Fevereiro 2023 - Valor Real'!C3:C15,0))+1),((L419-1)*(1-_xlfn.XLOOKUP(K419,'Fevereiro 2023 - Valor Real'!A3:A15,'Fevereiro 2023 - Valor Real'!C3:C15,0))+1),((L420-1)*(1-_xlfn.XLOOKUP(K420,'Fevereiro 2023 - Valor Real'!A3:A15,'Fevereiro 2023 - Valor Real'!C3:C15,0))+1))/((L419-1)*(1-_xlfn.XLOOKUP(K419,'Fevereiro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Real'!C3:C15,0))+1))/((L418-1)*(1-_xlfn.XLOOKUP(K418,'Fevereiro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Real'!C3:C15,0))+1))/((L419-1)*(1-_xlfn.XLOOKUP(K419,'Fevereiro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Real'!C3:C15,0))+1))/((L420-1)*(1-_xlfn.XLOOKUP(K420,'Fevereiro 2023 - Valor Real'!A3:A15,'Fevereiro 2023 - Valor Real'!C3:C15,0))+1)),IF(I419="Lay",IF(I418="Lay",((L418/(L418-1)-1)*(1-_xlfn.XLOOKUP(K418,'Fevereiro 2023 - Valor Real'!A3:A15,'Fevereiro 2023 - Valor Real'!C3:C15,0))+1)/(((L418/(L418-1)-1)*(1-_xlfn.XLOOKUP(K418,'Fevereiro 2023 - Valor Real'!A3:A15,'Fevereiro 2023 - Valor Real'!C3:C15,0))+1)+((L419/(L419-1)-1)*(1-_xlfn.XLOOKUP(K419,'Fevereiro 2023 - Valor Real'!A3:A15,'Fevereiro 2023 - Valor Real'!C3:C15,0))+1)),((L418-1)*(1-_xlfn.XLOOKUP(K418,'Fevereiro 2023 - Valor Real'!A3:A15,'Fevereiro 2023 - Valor Real'!C3:C15,0))+1)/(((L418-1)*(1-_xlfn.XLOOKUP(K418,'Fevereiro 2023 - Valor Real'!A3:A15,'Fevereiro 2023 - Valor Real'!C3:C15,0))+1)+((L419/(L419-1)-1)*(1-_xlfn.XLOOKUP(K419,'Fevereiro 2023 - Valor Real'!A3:A15,'Fevereiro 2023 - Valor Real'!C3:C15,0))+1))),IF(I418="Lay",((L418/(L418-1)-1)*(1-_xlfn.XLOOKUP(K418,'Fevereiro 2023 - Valor Real'!A3:A15,'Fevereiro 2023 - Valor Real'!C3:C15,0))+1)/((((L418/(L418-1)-1)*(1-_xlfn.XLOOKUP(K418,'Fevereiro 2023 - Valor Real'!A3:A15,'Fevereiro 2023 - Valor Real'!C3:C15,0))+1))+((L419-1)*(1-_xlfn.XLOOKUP(K419,'Fevereiro 2023 - Valor Real'!A3:A15,'Fevereiro 2023 - Valor Real'!C3:C15,0))+1)),((L418-1)*(1-_xlfn.XLOOKUP(K418,'Fevereiro 2023 - Valor Real'!A3:A15,'Fevereiro 2023 - Valor Real'!C3:C15,0))+1)/(((L418-1)*(1-_xlfn.XLOOKUP(K418,'Fevereiro 2023 - Valor Real'!A3:A15,'Fevereiro 2023 - Valor Real'!C3:C15,0))+1)+((L419-1)*(1-_xlfn.XLOOKUP(K419,'Fevereiro 2023 - Valor Real'!A3:A15,'Fevereiro 2023 - Valor Real'!C3:C15,0))+1))))))</f>
        <v>0.64047822374039276</v>
      </c>
      <c r="AF419" s="66">
        <f t="shared" si="839"/>
        <v>0</v>
      </c>
      <c r="AG419" s="67">
        <f t="shared" si="839"/>
        <v>0</v>
      </c>
      <c r="AH419" s="67">
        <f t="shared" si="839"/>
        <v>0</v>
      </c>
      <c r="AI419" s="67">
        <f t="shared" si="839"/>
        <v>0</v>
      </c>
      <c r="AJ419" s="67">
        <f t="shared" si="839"/>
        <v>0</v>
      </c>
      <c r="AK419" s="67">
        <f t="shared" si="839"/>
        <v>0</v>
      </c>
      <c r="AL419" s="67">
        <f t="shared" si="839"/>
        <v>0</v>
      </c>
      <c r="AM419" s="67">
        <f t="shared" si="839"/>
        <v>-81.5</v>
      </c>
      <c r="AN419" s="67">
        <f t="shared" si="839"/>
        <v>0</v>
      </c>
      <c r="AO419" s="67">
        <f t="shared" si="839"/>
        <v>0</v>
      </c>
      <c r="AP419" s="67">
        <f t="shared" si="839"/>
        <v>0</v>
      </c>
      <c r="AQ419" s="67">
        <f t="shared" si="839"/>
        <v>0</v>
      </c>
      <c r="AR419" s="68">
        <f t="shared" si="839"/>
        <v>0</v>
      </c>
      <c r="AS419" s="66">
        <f>IF(AND($B418=" ",$K419=AS$3),$O419,0)</f>
        <v>0</v>
      </c>
      <c r="AT419" s="67">
        <f>IF(AND($B418=" ",K419=AT$3),$O419,0)</f>
        <v>0</v>
      </c>
      <c r="AU419" s="67">
        <f t="shared" ref="AU419:BE419" si="848">IF(AND($B418=" ",$K419=AU$3),$O419,0)</f>
        <v>0</v>
      </c>
      <c r="AV419" s="67">
        <f t="shared" si="848"/>
        <v>0</v>
      </c>
      <c r="AW419" s="67">
        <f t="shared" si="848"/>
        <v>0</v>
      </c>
      <c r="AX419" s="67">
        <f t="shared" si="848"/>
        <v>0</v>
      </c>
      <c r="AY419" s="69">
        <f t="shared" si="848"/>
        <v>0</v>
      </c>
      <c r="AZ419" s="70">
        <f t="shared" si="848"/>
        <v>0</v>
      </c>
      <c r="BA419" s="70">
        <f t="shared" si="848"/>
        <v>0</v>
      </c>
      <c r="BB419" s="70">
        <f t="shared" si="848"/>
        <v>0</v>
      </c>
      <c r="BC419" s="71">
        <f t="shared" si="848"/>
        <v>0</v>
      </c>
      <c r="BD419" s="67">
        <f t="shared" si="848"/>
        <v>0</v>
      </c>
      <c r="BE419" s="68">
        <f t="shared" si="848"/>
        <v>0</v>
      </c>
      <c r="BF419" s="66">
        <f t="shared" si="841"/>
        <v>0</v>
      </c>
      <c r="BG419" s="168">
        <f t="shared" si="841"/>
        <v>0</v>
      </c>
      <c r="BH419" s="67">
        <f t="shared" si="841"/>
        <v>0</v>
      </c>
      <c r="BI419" s="67">
        <f t="shared" si="841"/>
        <v>0</v>
      </c>
      <c r="BJ419" s="67">
        <f t="shared" si="841"/>
        <v>0</v>
      </c>
      <c r="BK419" s="67">
        <f t="shared" si="841"/>
        <v>0</v>
      </c>
      <c r="BL419" s="67">
        <f t="shared" si="841"/>
        <v>0</v>
      </c>
      <c r="BM419" s="69">
        <f t="shared" si="841"/>
        <v>81.5</v>
      </c>
      <c r="BN419" s="70">
        <f t="shared" si="841"/>
        <v>0</v>
      </c>
      <c r="BO419" s="70">
        <f t="shared" si="841"/>
        <v>0</v>
      </c>
      <c r="BP419" s="70">
        <f t="shared" si="841"/>
        <v>0</v>
      </c>
      <c r="BQ419" s="71">
        <f t="shared" si="841"/>
        <v>0</v>
      </c>
      <c r="BR419" s="68">
        <f t="shared" si="841"/>
        <v>0</v>
      </c>
      <c r="BS419" s="491"/>
      <c r="BT419" s="489"/>
      <c r="BU419" s="392"/>
      <c r="BV419" s="489"/>
      <c r="BW419" s="392"/>
      <c r="BX419" s="392"/>
      <c r="BY419" s="392"/>
      <c r="BZ419" s="489"/>
      <c r="CA419" s="392"/>
      <c r="CB419" s="392"/>
      <c r="CC419" s="392"/>
      <c r="CD419" s="401"/>
      <c r="CE419" s="409"/>
      <c r="CF419" s="169">
        <f t="shared" si="772"/>
        <v>0</v>
      </c>
      <c r="CG419" s="170">
        <f t="shared" si="773"/>
        <v>0</v>
      </c>
      <c r="CH419" s="170">
        <f t="shared" si="774"/>
        <v>0</v>
      </c>
      <c r="CI419" s="170">
        <f t="shared" si="775"/>
        <v>0</v>
      </c>
      <c r="CJ419" s="170">
        <f t="shared" si="776"/>
        <v>0</v>
      </c>
      <c r="CK419" s="170">
        <f t="shared" si="777"/>
        <v>0</v>
      </c>
      <c r="CL419" s="170">
        <f t="shared" si="778"/>
        <v>0</v>
      </c>
      <c r="CM419" s="170">
        <f t="shared" si="779"/>
        <v>0</v>
      </c>
      <c r="CN419" s="170">
        <f t="shared" si="780"/>
        <v>0</v>
      </c>
      <c r="CO419" s="170">
        <f t="shared" si="781"/>
        <v>0</v>
      </c>
      <c r="CP419" s="170">
        <f t="shared" si="782"/>
        <v>0</v>
      </c>
      <c r="CQ419" s="170">
        <f t="shared" si="783"/>
        <v>0</v>
      </c>
      <c r="CR419" s="170">
        <f t="shared" si="784"/>
        <v>0</v>
      </c>
      <c r="CS419" s="170">
        <f t="shared" si="785"/>
        <v>0</v>
      </c>
      <c r="CT419" s="75">
        <f t="shared" si="786"/>
        <v>0</v>
      </c>
      <c r="CU419" s="76">
        <f t="shared" si="787"/>
        <v>1</v>
      </c>
      <c r="CV419" s="76">
        <f t="shared" si="788"/>
        <v>0</v>
      </c>
      <c r="CW419" s="76">
        <f t="shared" si="789"/>
        <v>0</v>
      </c>
      <c r="CX419" s="76">
        <f t="shared" si="790"/>
        <v>0</v>
      </c>
      <c r="CY419" s="76">
        <f t="shared" si="791"/>
        <v>0</v>
      </c>
      <c r="CZ419" s="76">
        <f t="shared" si="792"/>
        <v>0</v>
      </c>
      <c r="DA419" s="76">
        <f t="shared" si="793"/>
        <v>0</v>
      </c>
      <c r="DB419" s="76">
        <f t="shared" si="794"/>
        <v>0</v>
      </c>
      <c r="DC419" s="76">
        <f t="shared" si="795"/>
        <v>0</v>
      </c>
      <c r="DD419" s="76">
        <f t="shared" si="796"/>
        <v>0</v>
      </c>
      <c r="DE419" s="77">
        <f t="shared" si="797"/>
        <v>0</v>
      </c>
      <c r="DF419" s="73">
        <f t="shared" si="799"/>
        <v>29</v>
      </c>
      <c r="DG419" s="67">
        <f t="shared" si="800"/>
        <v>37.629999999999995</v>
      </c>
      <c r="DH419" s="76">
        <f t="shared" si="801"/>
        <v>10</v>
      </c>
      <c r="DI419" s="67">
        <f t="shared" si="802"/>
        <v>41.599999999999994</v>
      </c>
      <c r="DJ419" s="202" t="str">
        <f>IF($D418="","",$D418)</f>
        <v>14</v>
      </c>
      <c r="DK419" s="493"/>
    </row>
    <row r="420" spans="1:115" ht="24.5" customHeight="1" x14ac:dyDescent="0.2">
      <c r="A420" s="390"/>
      <c r="B420" s="457"/>
      <c r="C420" s="79" t="s">
        <v>53</v>
      </c>
      <c r="D420" s="375"/>
      <c r="E420" s="387"/>
      <c r="F420" s="378"/>
      <c r="G420" s="508"/>
      <c r="H420" s="477"/>
      <c r="I420" s="171"/>
      <c r="J420" s="172"/>
      <c r="K420" s="81"/>
      <c r="L420" s="173"/>
      <c r="M420" s="174"/>
      <c r="N420" s="407"/>
      <c r="O420" s="86" t="str">
        <f>IF(OR(AE418="",AE419=""),"",IF(L420&gt;0,ROUND(IF(M420&gt;0,M420,IF(M418&gt;0,ROUND((M418*AE420)/AE418,IF(N418=0,2,IF(N418=0.1,1,0))),IF(M419&gt;0,ROUND((M419*AE420)/AE419,IF(N418=0,2,IF(N418=0.1,1,0))),IF(M420&gt;0,M420,0)))),2),""))</f>
        <v/>
      </c>
      <c r="P420" s="87" t="str">
        <f>IF(I419="Lay",O419*(L419/(L419-1))-O419,IF(I418="Lay",O418*(L418/(L418-1))-O418,IF(OR(L420="",O420=""),"",IF($C420="1/2W",O420/2+O420/2*L420,IF($C420="1/2L",O420/2,(O420*L420-O420)*(1-_xlfn.XLOOKUP(K420,'Fevereiro 2023 - Valor Real'!A3:A15,'Fevereiro 2023 - Valor Real'!C3:C15,0))+O420)))))</f>
        <v/>
      </c>
      <c r="Q420" s="54" t="str">
        <f>IF(K420="","",IF(_xlfn.XLOOKUP(K420,K$11:K410,$DJ$11:DJ410,0,,-1)=DJ420,_xlfn.XLOOKUP(K420,K$11:K410,Q$11:Q410,1,,-1)+1,1))</f>
        <v/>
      </c>
      <c r="R420" s="87" t="str">
        <f>IF(K420="","",_xlfn.XLOOKUP(K420,K$11:K410,R$11:R410,0,,-1)+IF($C420=" ",1,0))</f>
        <v/>
      </c>
      <c r="S420" s="404"/>
      <c r="T420" s="378"/>
      <c r="U420" s="378"/>
      <c r="V420" s="404"/>
      <c r="W420" s="378"/>
      <c r="X420" s="453"/>
      <c r="Y420" s="383"/>
      <c r="Z420" s="384"/>
      <c r="AA420" s="384"/>
      <c r="AB420" s="384"/>
      <c r="AC420" s="384"/>
      <c r="AD420" s="90"/>
      <c r="AE420" s="91" t="str">
        <f>IF(L420="","",(SUM(((L418-1)*(1-_xlfn.XLOOKUP(K418,'Fevereiro 2023 - Valor Real'!A3:A15,'Fevereiro 2023 - Valor Real'!C3:C15,0))+1),((L419-1)*(1-_xlfn.XLOOKUP(K419,'Fevereiro 2023 - Valor Real'!A3:A15,'Fevereiro 2023 - Valor Real'!C3:C15,0))+1),((L420-1)*(1-_xlfn.XLOOKUP(K420,'Fevereiro 2023 - Valor Real'!A3:A15,'Fevereiro 2023 - Valor Real'!C3:C15,0))+1))/((L420-1)*(1-_xlfn.XLOOKUP(K420,'Fevereiro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Real'!C3:C15,0))+1))/((L418-1)*(1-_xlfn.XLOOKUP(K418,'Fevereiro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Real'!C3:C15,0))+1))/((L419-1)*(1-_xlfn.XLOOKUP(K419,'Fevereiro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Real'!C3:C15,0))+1))/((L420-1)*(1-_xlfn.XLOOKUP(K420,'Fevereiro 2023 - Valor Real'!A3:A15,'Fevereiro 2023 - Valor Real'!C3:C15,0))+1)))</f>
        <v/>
      </c>
      <c r="AF420" s="66">
        <f t="shared" si="839"/>
        <v>0</v>
      </c>
      <c r="AG420" s="67">
        <f t="shared" si="839"/>
        <v>0</v>
      </c>
      <c r="AH420" s="67">
        <f t="shared" si="839"/>
        <v>0</v>
      </c>
      <c r="AI420" s="67">
        <f t="shared" si="839"/>
        <v>0</v>
      </c>
      <c r="AJ420" s="67">
        <f t="shared" si="839"/>
        <v>0</v>
      </c>
      <c r="AK420" s="67">
        <f t="shared" si="839"/>
        <v>0</v>
      </c>
      <c r="AL420" s="67">
        <f t="shared" si="839"/>
        <v>0</v>
      </c>
      <c r="AM420" s="67">
        <f t="shared" si="839"/>
        <v>0</v>
      </c>
      <c r="AN420" s="67">
        <f t="shared" si="839"/>
        <v>0</v>
      </c>
      <c r="AO420" s="67">
        <f t="shared" si="839"/>
        <v>0</v>
      </c>
      <c r="AP420" s="67">
        <f t="shared" si="839"/>
        <v>0</v>
      </c>
      <c r="AQ420" s="67">
        <f t="shared" si="839"/>
        <v>0</v>
      </c>
      <c r="AR420" s="68">
        <f t="shared" si="839"/>
        <v>0</v>
      </c>
      <c r="AS420" s="66">
        <f>IF(AND($B418=" ",$K420=AS$3),$O420,0)</f>
        <v>0</v>
      </c>
      <c r="AT420" s="67">
        <f>IF(AND($B418=" ",K420=AT$3),$O420,0)</f>
        <v>0</v>
      </c>
      <c r="AU420" s="67">
        <f t="shared" ref="AU420:BE420" si="849">IF(AND($B418=" ",$K420=AU$3),$O420,0)</f>
        <v>0</v>
      </c>
      <c r="AV420" s="67">
        <f t="shared" si="849"/>
        <v>0</v>
      </c>
      <c r="AW420" s="67">
        <f t="shared" si="849"/>
        <v>0</v>
      </c>
      <c r="AX420" s="67">
        <f t="shared" si="849"/>
        <v>0</v>
      </c>
      <c r="AY420" s="69">
        <f t="shared" si="849"/>
        <v>0</v>
      </c>
      <c r="AZ420" s="70">
        <f t="shared" si="849"/>
        <v>0</v>
      </c>
      <c r="BA420" s="70">
        <f t="shared" si="849"/>
        <v>0</v>
      </c>
      <c r="BB420" s="70">
        <f t="shared" si="849"/>
        <v>0</v>
      </c>
      <c r="BC420" s="71">
        <f t="shared" si="849"/>
        <v>0</v>
      </c>
      <c r="BD420" s="67">
        <f t="shared" si="849"/>
        <v>0</v>
      </c>
      <c r="BE420" s="68">
        <f t="shared" si="849"/>
        <v>0</v>
      </c>
      <c r="BF420" s="66">
        <f t="shared" si="841"/>
        <v>0</v>
      </c>
      <c r="BG420" s="168">
        <f t="shared" si="841"/>
        <v>0</v>
      </c>
      <c r="BH420" s="67">
        <f t="shared" si="841"/>
        <v>0</v>
      </c>
      <c r="BI420" s="67">
        <f t="shared" si="841"/>
        <v>0</v>
      </c>
      <c r="BJ420" s="67">
        <f t="shared" si="841"/>
        <v>0</v>
      </c>
      <c r="BK420" s="67">
        <f t="shared" si="841"/>
        <v>0</v>
      </c>
      <c r="BL420" s="67">
        <f t="shared" si="841"/>
        <v>0</v>
      </c>
      <c r="BM420" s="69">
        <f t="shared" si="841"/>
        <v>0</v>
      </c>
      <c r="BN420" s="70">
        <f t="shared" si="841"/>
        <v>0</v>
      </c>
      <c r="BO420" s="70">
        <f t="shared" si="841"/>
        <v>0</v>
      </c>
      <c r="BP420" s="70">
        <f t="shared" si="841"/>
        <v>0</v>
      </c>
      <c r="BQ420" s="71">
        <f t="shared" si="841"/>
        <v>0</v>
      </c>
      <c r="BR420" s="68">
        <f t="shared" si="841"/>
        <v>0</v>
      </c>
      <c r="BS420" s="491"/>
      <c r="BT420" s="489"/>
      <c r="BU420" s="392"/>
      <c r="BV420" s="489"/>
      <c r="BW420" s="392"/>
      <c r="BX420" s="392"/>
      <c r="BY420" s="392"/>
      <c r="BZ420" s="489"/>
      <c r="CA420" s="392"/>
      <c r="CB420" s="392"/>
      <c r="CC420" s="392"/>
      <c r="CD420" s="401"/>
      <c r="CE420" s="409"/>
      <c r="CF420" s="169">
        <f t="shared" si="772"/>
        <v>0</v>
      </c>
      <c r="CG420" s="170">
        <f t="shared" si="773"/>
        <v>0</v>
      </c>
      <c r="CH420" s="170">
        <f t="shared" si="774"/>
        <v>0</v>
      </c>
      <c r="CI420" s="170">
        <f t="shared" si="775"/>
        <v>0</v>
      </c>
      <c r="CJ420" s="170">
        <f t="shared" si="776"/>
        <v>0</v>
      </c>
      <c r="CK420" s="170">
        <f t="shared" si="777"/>
        <v>0</v>
      </c>
      <c r="CL420" s="170">
        <f t="shared" si="778"/>
        <v>0</v>
      </c>
      <c r="CM420" s="170">
        <f t="shared" si="779"/>
        <v>0</v>
      </c>
      <c r="CN420" s="170">
        <f t="shared" si="780"/>
        <v>0</v>
      </c>
      <c r="CO420" s="170">
        <f t="shared" si="781"/>
        <v>0</v>
      </c>
      <c r="CP420" s="170">
        <f t="shared" si="782"/>
        <v>0</v>
      </c>
      <c r="CQ420" s="170">
        <f t="shared" si="783"/>
        <v>0</v>
      </c>
      <c r="CR420" s="170">
        <f t="shared" si="784"/>
        <v>0</v>
      </c>
      <c r="CS420" s="170">
        <f t="shared" si="785"/>
        <v>0</v>
      </c>
      <c r="CT420" s="75">
        <f t="shared" si="786"/>
        <v>0</v>
      </c>
      <c r="CU420" s="76">
        <f t="shared" si="787"/>
        <v>0</v>
      </c>
      <c r="CV420" s="76">
        <f t="shared" si="788"/>
        <v>0</v>
      </c>
      <c r="CW420" s="76">
        <f t="shared" si="789"/>
        <v>0</v>
      </c>
      <c r="CX420" s="76">
        <f t="shared" si="790"/>
        <v>0</v>
      </c>
      <c r="CY420" s="76">
        <f t="shared" si="791"/>
        <v>0</v>
      </c>
      <c r="CZ420" s="76">
        <f t="shared" si="792"/>
        <v>0</v>
      </c>
      <c r="DA420" s="76">
        <f t="shared" si="793"/>
        <v>0</v>
      </c>
      <c r="DB420" s="76">
        <f t="shared" si="794"/>
        <v>0</v>
      </c>
      <c r="DC420" s="76">
        <f t="shared" si="795"/>
        <v>0</v>
      </c>
      <c r="DD420" s="76">
        <f t="shared" si="796"/>
        <v>0</v>
      </c>
      <c r="DE420" s="77">
        <f t="shared" si="797"/>
        <v>0</v>
      </c>
      <c r="DF420" s="73">
        <f t="shared" si="799"/>
        <v>29</v>
      </c>
      <c r="DG420" s="67">
        <f t="shared" si="800"/>
        <v>37.629999999999995</v>
      </c>
      <c r="DH420" s="76">
        <f t="shared" si="801"/>
        <v>10</v>
      </c>
      <c r="DI420" s="67">
        <f t="shared" si="802"/>
        <v>41.599999999999994</v>
      </c>
      <c r="DJ420" s="202" t="str">
        <f>IF($D418="","",$D418)</f>
        <v>14</v>
      </c>
      <c r="DK420" s="493"/>
    </row>
    <row r="421" spans="1:115" ht="14.5" customHeight="1" x14ac:dyDescent="0.2">
      <c r="A421" s="459">
        <f>$A418+1</f>
        <v>140</v>
      </c>
      <c r="B421" s="507" t="str">
        <f>IF(OR(C421="W",C422="W",C423="W",C421="1/2W",C422="1/2W",C423="1/2W",C421="1/2L",C422="1/2L",C423="1/2L"),"OK",IF(OR(C421="L",C422="L",C423="L"),"LOSS",IF(OR(C421="X",C422="X",C423="X"),"Anulado"," ")))</f>
        <v>OK</v>
      </c>
      <c r="C421" s="93" t="s">
        <v>54</v>
      </c>
      <c r="D421" s="468" t="str">
        <f>IF(G421="","",$D418)</f>
        <v>14</v>
      </c>
      <c r="E421" s="485" t="str">
        <f>IF(G421=""," ","– "&amp;COUNTIF(D$4:D423,$D421))</f>
        <v>– 3</v>
      </c>
      <c r="F421" s="509" t="str">
        <f ca="1">IF(G421="","",IF(OR(AND($C421&lt;&gt;" ",$C422=" "),AND($C422&lt;&gt;" ",$C421=" "),AND(L423&gt;0,OR(AND($C423&lt;&gt;" ",OR($C421=" ",$C422=" ")),AND($C423=" ",OR($C421&lt;&gt;" ",$C422&lt;&gt;" "))))),IF(SUM(F$4:F420)=0,1,LARGE(F$4:F420,1)+1),IF(MONTH(G421)=MONTH(TODAY()),IF(AND(DAY(G421)&lt;DAY(TODAY()),$B421=" "),IF(SUM(F$4:F420)=0,1,LARGE(F$4:F420,1)+1),IF($B421=" ",IF(AND(DAY(G421)=DAY(TODAY()),HOUR(G421)&lt;=HOUR(NOW())+1),IF(AND(HOUR(G421)+2&lt;=HOUR(NOW()),DAY(G421)&lt;=DAY(TODAY()),MINUTE(G421)&lt;=MINUTE(NOW())),IF(SUM(F$4:F420)=0,1,LARGE(F$4:F420,1)+1),IF(OR(MINUTE(G421)&lt;=MINUTE(NOW()),HOUR(G421)&lt;=HOUR(NOW())),"!!!","")),""),"")),"")))</f>
        <v/>
      </c>
      <c r="G421" s="482">
        <v>45003.583333333336</v>
      </c>
      <c r="H421" s="475" t="s">
        <v>177</v>
      </c>
      <c r="I421" s="94" t="s">
        <v>51</v>
      </c>
      <c r="J421" s="95">
        <v>2.5</v>
      </c>
      <c r="K421" s="96" t="s">
        <v>40</v>
      </c>
      <c r="L421" s="97">
        <v>2</v>
      </c>
      <c r="M421" s="98">
        <v>18</v>
      </c>
      <c r="N421" s="478">
        <v>0</v>
      </c>
      <c r="O421" s="99">
        <f>IF(OR(AE421="",AE422=""),"",ROUND(IF(L423&gt;0,IF(M421&gt;0,M421,IF(M422&gt;0,ROUND((M422*AE421)/AE422,IF(N421=0,2,IF(N421=0.1,1,0))),ROUND((M423*AE421)/AE423,IF(N421=0,2,IF(N421=0.1,1,0))))),IF(M421&gt;0,M421,ROUND((M422*AE421)/AE422,IF(N421=0,2,IF(N421=0.1,1,0))))),2))</f>
        <v>18</v>
      </c>
      <c r="P421" s="100">
        <f>IF(OR(L421="",O421=""),"",IF($C421="1/2W",O421/2+O421/2*L421,IF($C421="1/2L",O421/2,IF(I421="Lay",(O421*(L421/(L421-1))-O421)*(1-_xlfn.XLOOKUP(K421,'Fevereiro 2023 - Valor Real'!A3:A15,'Fevereiro 2023 - Valor Real'!C3:C15,0))+O421,(O421*L421-O421)*(1-_xlfn.XLOOKUP(K421,'Fevereiro 2023 - Valor Real'!A3:A15,'Fevereiro 2023 - Valor Real'!C3:C15,0))+O421))))</f>
        <v>36</v>
      </c>
      <c r="Q421" s="101">
        <f>IF(K421="","",IF(_xlfn.XLOOKUP(K421,K$4:K420,$DJ$4:DJ420,0,,-1)=DJ421,_xlfn.XLOOKUP(K421,K$4:K420,Q$4:Q420,1,,-1)+1,1))</f>
        <v>2</v>
      </c>
      <c r="R421" s="102">
        <f>IF(K421="","",_xlfn.XLOOKUP(K421,K$4:K420,R$4:R420,0,,-1)+IF($C421=" ",1,0))</f>
        <v>0</v>
      </c>
      <c r="S421" s="474">
        <f>IF($B421="Anulado",0,ROUND(IF(OR($B421="LOSS",$B421="OK"),IF(OR($C421="W",$C421="1/2W",$C421="1/2L"),P421-O421,IF($C421="L",-O421,0))+IF(OR($C422="W",$C422="1/2W",$C422="1/2L"),P422-O422,IF($C422="L",-O422,0))+IF(OR($C423="W",$C423="1/2W",$C423="1/2L"),P423-O423,IF($C423="L",-O423,0)),IF(AND(OR($C421="W",$C421="1/2W",$C421="1/2L"),C422="W"),P421+P422-SUM(O421:O423)+_xlfn.XLOOKUP("X",C421:C423,O421:O423,0),IF(AND(C421=TRUE,C423="W"),P421+P423-SUM(O421:O423),IF(AND(C422="W",C423="W"),P422+P423-SUM(O421:O423)+_xlfn.XLOOKUP("X",C421:C423,O421:O423,0),IF(L423&gt;0,IF(OR($C421="W",$C421="1/2W",$C421="1/2L"),P421-SUM(O421:O423)+_xlfn.XLOOKUP("X",C421:C423,O421:O423,0),IF(OR($C421="W",$C421="1/2W",$C421="1/2L"),P422-SUM(O421:O423)+_xlfn.XLOOKUP("X",C421:C423,O421:O423,0),IF(OR($C421="W",$C421="1/2W",$C421="1/2L"),P423-SUM(O421:O423)+_xlfn.XLOOKUP("X",C421:C423,O421:O423,0),IF(SUM(P421:P423)/3-SUM(O421:O423)+_xlfn.XLOOKUP("X",C421:C423,O421:O423,0)&gt;0,SUM(P421:P423)/3-SUM(O421:O423)+_xlfn.XLOOKUP("X",C421:C423,O421:O423,0),LARGE(P421:P423,1)-SUM(O421:O423))))),IF(OR($C421="W",$C421="1/2W",$C421="1/2L"),P421-SUM(O421:O422)+_xlfn.XLOOKUP("X",C421:C423,O421:O423,0),IF(OR($C421="W",$C421="1/2W",$C421="1/2L"),P422-SUM(O421:O422)+_xlfn.XLOOKUP("X",C421:C423,O421:O423,0),SUM(P421:P422)/2-SUM(O421:O422)+_xlfn.XLOOKUP("X",C421:C423,O421:O423,0)))))))),2))</f>
        <v>1.85</v>
      </c>
      <c r="T421" s="458">
        <f>IF(S421=0,0,S421/SUM(O421:O423))</f>
        <v>5.4172767203513911E-2</v>
      </c>
      <c r="U421" s="470">
        <f>IF($D421=$D418,IF(OR($B421="LOSS",$B421="OK",$B421="Anulada"),S421,0)+U418,IF(OR($B421="LOSS",$B421="OK",$B421="Anulada"),S421,0))</f>
        <v>13.49</v>
      </c>
      <c r="V421" s="470">
        <f>IF($D421="",0,IF($D421=$D418,IF($B421=" ",IF(I423="",IF(OR(AND(I421="DNB1",I422="DNB2"),AND(OR(I421="DNB1",I421="DNB2"),J422=0),AND(OR(I422="DNB1",I422="DNB2"),J421=0),AND(I421="DNB2",I422="DNB1"),AND(IF(J421=0,(J421+1)/ROUND(J421+1,0),J421/ROUND(J421,0))=1,IF(J422=0,(J422+1)/ROUND(IF(J422="",0,J422)+1,0),IF(J422="",0,J422)/ROUND(IF(J422="",1,J422),0))=1,OR(J421&lt;&gt;""),J422&lt;&gt;"")),0,IF(S421&lt;0,IF(I423="",SMALL(P421:P422,1)-SUM(O421:O422),0),SMALL(P421:P422,1)-SUM(O421:O422))),IF(S421&lt;0,IF(I423="",SMALL(P421:P423,1)-SUM(O421:O423),0),LARGE(P421:P423,1)-SUM(O421:O423))),S421)+V418,IF(I423="",IF(OR(AND(I421="DNB1",I422="DNB2"),AND(OR(I421="DNB1",I421="DNB2"),J422=0),AND(OR(I422="DNB1",I422="DNB2"),J421=0),AND(I421="DNB2",I422="DNB1"),AND(IF(J421=0,(J421+1)/ROUND(J421+1,0),J421/ROUND(J421,0))=1,IF(J422=0,(IF(J422="",0,J422)+1)/ROUND(IF(J422="",0,J422)+1,0),IF(J422="",0,J422)/ROUND(IF(J422="",0,J422)+1,0))=1,OR(J421&lt;&gt;""),J422&lt;&gt;"")),0,IF(S421&lt;0,IF(I423="",SMALL(P421:P422,1)-SUM(O421:O422),0),SMALL(P421:P423,1)-SUM(O421:O423))),IF(S421&lt;0,IF(I423="",SMALL(P421:P423,1)-SUM(O421:O423),0),LARGE(P421:P423,1)-SUM(O421:O423)))))</f>
        <v>13.449600000000002</v>
      </c>
      <c r="W421" s="470">
        <f>IF($D421=$D418,IF(S421&lt;0,IF(I423="",S421,0),S421)+W418,S421)</f>
        <v>13.49</v>
      </c>
      <c r="X421" s="480" t="str">
        <f>IF(OR(SUM(R421:R423)=0,V421=W421),ROUND(IF(W421=0,0,W421/Y421)*100,2)&amp;"%",ROUND(IF(V421=0,0,V421/Y421)*100,2)&amp;"% a "&amp;ROUND(IF(W421=0,0,W421/Y421)*100,2)&amp;"%")</f>
        <v>7,34%</v>
      </c>
      <c r="Y421" s="471">
        <f>IF($D421=$D418,Y418+SUM(O421:O423),SUM(O421:O423))</f>
        <v>183.69</v>
      </c>
      <c r="Z421" s="470">
        <f>IF($B421=" ",SUM(O421:O423),0)+Z418</f>
        <v>0</v>
      </c>
      <c r="AA421" s="470">
        <f>IF(G421="","",IF($B421="Anulado",LARGE(P421:P423,1)-SUM(O421:O423)+AA418,AA418))</f>
        <v>12.425099999999992</v>
      </c>
      <c r="AB421" s="470">
        <f>IF($D421="","",AB418+S421)</f>
        <v>515.78000000000009</v>
      </c>
      <c r="AC421" s="472">
        <f ca="1">IF($D421="","",IF($B421=" ",IF(DAY(G421)=DAY(TODAY()),1+AC418,0+AC418),0+AC418))</f>
        <v>0</v>
      </c>
      <c r="AD421" s="103">
        <f>(((L422/(L422-1)-1)*(1-_xlfn.XLOOKUP(K422,'Fevereiro 2023 - Valor Real'!A3:A15,'Fevereiro 2023 - Valor Real'!C3:C15,0))+1))/(((L421-1)*(1-_xlfn.XLOOKUP(K421,'Fevereiro 2023 - Valor Real'!A3:A15,'Fevereiro 2023 - Valor Real'!C3:C15,0))+1)+((L422/(L422-1)-1)*(1-_xlfn.XLOOKUP(K422,'Fevereiro 2023 - Valor Real'!A3:A15,'Fevereiro 2023 - Valor Real'!C3:C15,0))+1))</f>
        <v>0.47547974413646055</v>
      </c>
      <c r="AE421" s="104">
        <f>IF(L421="","",IF(L423&gt;0,(SUM(((L421-1)*(1-_xlfn.XLOOKUP(K421,'Fevereiro 2023 - Valor Real'!A3:A15,'Fevereiro 2023 - Valor Real'!C3:C15,0))+1),((L422-1)*(1-_xlfn.XLOOKUP(K422,'Fevereiro 2023 - Valor Real'!A3:A15,'Fevereiro 2023 - Valor Real'!C3:C15,0))+1),((L423-1)*(1-_xlfn.XLOOKUP(K423,'Fevereiro 2023 - Valor Real'!A3:A15,'Fevereiro 2023 - Valor Real'!C3:C15,0))+1))/((L421-1)*(1-_xlfn.XLOOKUP(K421,'Fevereiro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Real'!C3:C15,0))+1))/((L421-1)*(1-_xlfn.XLOOKUP(K421,'Fevereiro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Real'!C3:C15,0))+1))/((L422-1)*(1-_xlfn.XLOOKUP(K422,'Fevereiro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Real'!C3:C15,0))+1))/((L423-1)*(1-_xlfn.XLOOKUP(K423,'Fevereiro 2023 - Valor Real'!A3:A15,'Fevereiro 2023 - Valor Real'!C3:C15,0))+1)),IF(I421="Lay",IF(I422="Lay",((L422/(L422-1)-1)*(1-_xlfn.XLOOKUP(K422,'Fevereiro 2023 - Valor Real'!A3:A15,'Fevereiro 2023 - Valor Real'!C3:C15,0))+1)/(((L422/(L422-1)-1)*(1-_xlfn.XLOOKUP(K422,'Fevereiro 2023 - Valor Real'!A3:A15,'Fevereiro 2023 - Valor Real'!C3:C15,0))+1)+((L421/(L421-1)-1)*(1-_xlfn.XLOOKUP(K421,'Fevereiro 2023 - Valor Real'!A3:A15,'Fevereiro 2023 - Valor Real'!C3:C15,0))+1)),((L422-1)*(1-_xlfn.XLOOKUP(K422,'Fevereiro 2023 - Valor Real'!A3:A15,'Fevereiro 2023 - Valor Real'!C3:C15,0))+1)/(((L422-1)*(1-_xlfn.XLOOKUP(K422,'Fevereiro 2023 - Valor Real'!A3:A15,'Fevereiro 2023 - Valor Real'!C3:C15,0))+1)+((L421/(L421-1)-1)*(1-_xlfn.XLOOKUP(K421,'Fevereiro 2023 - Valor Real'!A3:A15,'Fevereiro 2023 - Valor Real'!C3:C15,0))+1))),IF(I422="Lay",(((L422/(L422-1)-1)*(1-_xlfn.XLOOKUP(K422,'Fevereiro 2023 - Valor Real'!A3:A15,'Fevereiro 2023 - Valor Real'!C3:C15,0))+1))/(((L421-1)*(1-_xlfn.XLOOKUP(K421,'Fevereiro 2023 - Valor Real'!A3:A15,'Fevereiro 2023 - Valor Real'!C3:C15,0))+1)+((L422/(L422-1)-1)*(1-_xlfn.XLOOKUP(K422,'Fevereiro 2023 - Valor Real'!A3:A15,'Fevereiro 2023 - Valor Real'!C3:C15,0))+1)),((L422-1)*(1-_xlfn.XLOOKUP(K422,'Fevereiro 2023 - Valor Real'!A3:A15,'Fevereiro 2023 - Valor Real'!C3:C15,0))+1)/(((L422-1)*(1-_xlfn.XLOOKUP(K422,'Fevereiro 2023 - Valor Real'!A3:A15,'Fevereiro 2023 - Valor Real'!C3:C15,0))+1)+((L421-1)*(1-_xlfn.XLOOKUP(K421,'Fevereiro 2023 - Valor Real'!A3:A15,'Fevereiro 2023 - Valor Real'!C3:C15,0))+1))))))</f>
        <v>0.5271867612293144</v>
      </c>
      <c r="AF421" s="105">
        <f t="shared" si="839"/>
        <v>0</v>
      </c>
      <c r="AG421" s="106">
        <f t="shared" si="839"/>
        <v>0</v>
      </c>
      <c r="AH421" s="106">
        <f t="shared" si="839"/>
        <v>0</v>
      </c>
      <c r="AI421" s="106">
        <f t="shared" si="839"/>
        <v>0</v>
      </c>
      <c r="AJ421" s="106">
        <f t="shared" si="839"/>
        <v>18</v>
      </c>
      <c r="AK421" s="106">
        <f t="shared" si="839"/>
        <v>0</v>
      </c>
      <c r="AL421" s="106">
        <f t="shared" si="839"/>
        <v>0</v>
      </c>
      <c r="AM421" s="106">
        <f t="shared" si="839"/>
        <v>0</v>
      </c>
      <c r="AN421" s="106">
        <f t="shared" si="839"/>
        <v>0</v>
      </c>
      <c r="AO421" s="106">
        <f t="shared" si="839"/>
        <v>0</v>
      </c>
      <c r="AP421" s="106">
        <f t="shared" si="839"/>
        <v>0</v>
      </c>
      <c r="AQ421" s="106">
        <f t="shared" si="839"/>
        <v>0</v>
      </c>
      <c r="AR421" s="107">
        <f t="shared" si="839"/>
        <v>0</v>
      </c>
      <c r="AS421" s="105">
        <f t="shared" ref="AS421:BE421" si="850">IF(AND($B421=" ",$K421=AS$3),$O421,0)</f>
        <v>0</v>
      </c>
      <c r="AT421" s="106">
        <f t="shared" si="850"/>
        <v>0</v>
      </c>
      <c r="AU421" s="106">
        <f t="shared" si="850"/>
        <v>0</v>
      </c>
      <c r="AV421" s="106">
        <f t="shared" si="850"/>
        <v>0</v>
      </c>
      <c r="AW421" s="106">
        <f t="shared" si="850"/>
        <v>0</v>
      </c>
      <c r="AX421" s="106">
        <f t="shared" si="850"/>
        <v>0</v>
      </c>
      <c r="AY421" s="108">
        <f t="shared" si="850"/>
        <v>0</v>
      </c>
      <c r="AZ421" s="109">
        <f t="shared" si="850"/>
        <v>0</v>
      </c>
      <c r="BA421" s="109">
        <f t="shared" si="850"/>
        <v>0</v>
      </c>
      <c r="BB421" s="109">
        <f t="shared" si="850"/>
        <v>0</v>
      </c>
      <c r="BC421" s="110">
        <f t="shared" si="850"/>
        <v>0</v>
      </c>
      <c r="BD421" s="106">
        <f t="shared" si="850"/>
        <v>0</v>
      </c>
      <c r="BE421" s="107">
        <f t="shared" si="850"/>
        <v>0</v>
      </c>
      <c r="BF421" s="111">
        <f t="shared" si="841"/>
        <v>0</v>
      </c>
      <c r="BG421" s="106">
        <f t="shared" si="841"/>
        <v>0</v>
      </c>
      <c r="BH421" s="106">
        <f t="shared" si="841"/>
        <v>0</v>
      </c>
      <c r="BI421" s="106">
        <f t="shared" si="841"/>
        <v>0</v>
      </c>
      <c r="BJ421" s="106">
        <f t="shared" si="841"/>
        <v>18</v>
      </c>
      <c r="BK421" s="106">
        <f t="shared" si="841"/>
        <v>0</v>
      </c>
      <c r="BL421" s="106">
        <f t="shared" si="841"/>
        <v>0</v>
      </c>
      <c r="BM421" s="108">
        <f t="shared" si="841"/>
        <v>0</v>
      </c>
      <c r="BN421" s="109">
        <f t="shared" si="841"/>
        <v>0</v>
      </c>
      <c r="BO421" s="109">
        <f t="shared" si="841"/>
        <v>0</v>
      </c>
      <c r="BP421" s="109">
        <f t="shared" si="841"/>
        <v>0</v>
      </c>
      <c r="BQ421" s="110">
        <f t="shared" si="841"/>
        <v>0</v>
      </c>
      <c r="BR421" s="107">
        <f t="shared" si="841"/>
        <v>0</v>
      </c>
      <c r="BS421" s="463">
        <f>IF($B421="LOSS",IF(AND($K421=BS$3,$C421="L"),-$O421,0)+IF(AND($K422=BS$3,$C422="L"),-$O422,0)+IF(AND($K423=BS$3,$C423="L"),-$O423,0),IF(OR(AND($K421=BS$3,OR($C421="W",$C421="1/2W")),AND($K422=BS$3,OR($C422="W",$C422="1/2W")),AND($K423=BS$3,OR($C423="W",$C423="1/2W"))),$S421,0))</f>
        <v>0</v>
      </c>
      <c r="BT421" s="462">
        <f>IF($B421="LOSS",IF(AND($K421=BT$3,$C421="L"),-$O421,0)+IF(AND($K422=BT$3,$C422="L"),-$O422,0)+IF(AND($K422=BT$3,$C423="L"),-$O423,0),IF(OR(AND($K422=BT$3,OR($C421="W",$C421="1/2W")),AND($K422=BT$3,OR($C422="W",$C422="1/2W")),AND($K422=BT$3,OR($C423="W",$C423="1/2W"))),$S421,0))</f>
        <v>0</v>
      </c>
      <c r="BU421" s="462">
        <f>IF($B421="LOSS",IF(AND($K421=BU$3,$C421="L"),-$O421,0)+IF(AND($K422=BU$3,$C422="L"),-$O422,0)+IF(AND($K422=BU$3,$C423="L"),-$O423,0),IF(OR(AND($K422=BU$3,OR($C421="W",$C421="1/2W")),AND($K422=BU$3,OR($C422="W",$C422="1/2W")),AND($K422=BU$3,OR($C423="W",$C423="1/2W"))),$S421,0))</f>
        <v>0</v>
      </c>
      <c r="BV421" s="462">
        <f t="shared" ref="BV421:CE421" si="851">IF($B421="LOSS",IF(AND($K421=BV$3,$C421="L"),-$O421,0)+IF(AND($K422=BV$3,$C422="L"),-$O422,0)+IF(AND($K423=BV$3,$C423="L"),-$O423,0),IF(OR(AND($K421=BV$3,OR($C421="W",$C421="1/2W")),AND($K422=BV$3,OR($C422="W",$C422="1/2W")),AND($K423=BV$3,OR($C423="W",$C423="1/2W"))),$S421,0))</f>
        <v>0</v>
      </c>
      <c r="BW421" s="462">
        <f t="shared" si="851"/>
        <v>1.85</v>
      </c>
      <c r="BX421" s="462">
        <f t="shared" si="851"/>
        <v>0</v>
      </c>
      <c r="BY421" s="462">
        <f t="shared" si="851"/>
        <v>0</v>
      </c>
      <c r="BZ421" s="460">
        <f t="shared" si="851"/>
        <v>0</v>
      </c>
      <c r="CA421" s="460">
        <f t="shared" si="851"/>
        <v>0</v>
      </c>
      <c r="CB421" s="460">
        <f t="shared" si="851"/>
        <v>0</v>
      </c>
      <c r="CC421" s="460">
        <f t="shared" si="851"/>
        <v>0</v>
      </c>
      <c r="CD421" s="473">
        <f t="shared" si="851"/>
        <v>0</v>
      </c>
      <c r="CE421" s="479">
        <f t="shared" si="851"/>
        <v>0</v>
      </c>
      <c r="CF421" s="113">
        <f t="shared" si="772"/>
        <v>0</v>
      </c>
      <c r="CG421" s="114">
        <f t="shared" si="773"/>
        <v>0</v>
      </c>
      <c r="CH421" s="114">
        <f t="shared" si="774"/>
        <v>0</v>
      </c>
      <c r="CI421" s="114">
        <f t="shared" si="775"/>
        <v>0</v>
      </c>
      <c r="CJ421" s="114">
        <f t="shared" si="776"/>
        <v>0</v>
      </c>
      <c r="CK421" s="114">
        <f t="shared" si="777"/>
        <v>0</v>
      </c>
      <c r="CL421" s="114">
        <f t="shared" si="778"/>
        <v>0</v>
      </c>
      <c r="CM421" s="114">
        <f t="shared" si="779"/>
        <v>0</v>
      </c>
      <c r="CN421" s="114">
        <f t="shared" si="780"/>
        <v>1</v>
      </c>
      <c r="CO421" s="114">
        <f t="shared" si="781"/>
        <v>0</v>
      </c>
      <c r="CP421" s="114">
        <f t="shared" si="782"/>
        <v>0</v>
      </c>
      <c r="CQ421" s="114">
        <f t="shared" si="783"/>
        <v>0</v>
      </c>
      <c r="CR421" s="114">
        <f t="shared" si="784"/>
        <v>0</v>
      </c>
      <c r="CS421" s="114">
        <f t="shared" si="785"/>
        <v>0</v>
      </c>
      <c r="CT421" s="115">
        <f t="shared" si="786"/>
        <v>0</v>
      </c>
      <c r="CU421" s="116">
        <f t="shared" si="787"/>
        <v>0</v>
      </c>
      <c r="CV421" s="116">
        <f t="shared" si="788"/>
        <v>0</v>
      </c>
      <c r="CW421" s="116">
        <f t="shared" si="789"/>
        <v>0</v>
      </c>
      <c r="CX421" s="116">
        <f t="shared" si="790"/>
        <v>0</v>
      </c>
      <c r="CY421" s="116">
        <f t="shared" si="791"/>
        <v>0</v>
      </c>
      <c r="CZ421" s="116">
        <f t="shared" si="792"/>
        <v>0</v>
      </c>
      <c r="DA421" s="116">
        <f t="shared" si="793"/>
        <v>0</v>
      </c>
      <c r="DB421" s="116">
        <f t="shared" si="794"/>
        <v>0</v>
      </c>
      <c r="DC421" s="116">
        <f t="shared" si="795"/>
        <v>0</v>
      </c>
      <c r="DD421" s="116">
        <f t="shared" si="796"/>
        <v>0</v>
      </c>
      <c r="DE421" s="117">
        <f t="shared" si="797"/>
        <v>0</v>
      </c>
      <c r="DF421" s="118">
        <f t="shared" si="799"/>
        <v>29</v>
      </c>
      <c r="DG421" s="106">
        <f t="shared" si="800"/>
        <v>37.629999999999995</v>
      </c>
      <c r="DH421" s="116">
        <f t="shared" si="801"/>
        <v>10</v>
      </c>
      <c r="DI421" s="106">
        <f t="shared" si="802"/>
        <v>41.599999999999994</v>
      </c>
      <c r="DJ421" s="201" t="str">
        <f>IF($D421="","",$D421)</f>
        <v>14</v>
      </c>
      <c r="DK421" s="465">
        <f>IF(AND($B421=" ",$D421&lt;&gt;""),1,0)</f>
        <v>0</v>
      </c>
    </row>
    <row r="422" spans="1:115" ht="14.5" customHeight="1" x14ac:dyDescent="0.2">
      <c r="A422" s="389"/>
      <c r="B422" s="456"/>
      <c r="C422" s="120" t="s">
        <v>55</v>
      </c>
      <c r="D422" s="374"/>
      <c r="E422" s="386"/>
      <c r="F422" s="377"/>
      <c r="G422" s="483"/>
      <c r="H422" s="476"/>
      <c r="I422" s="121" t="s">
        <v>52</v>
      </c>
      <c r="J422" s="122">
        <f>IF(OR(I421="TO",I421="TU",I421="TO1",I421="TU1",I421="TO2",I421="TU2"),J421,IF(OR(I421="AH1",I421="AH2"),IF(OR(I422="AH1",I422="AH2"),-J421,IF(OR(I422="EH1",I422="EH2"),-J421+0.5,"")),IF(OR(I421="EH1",I421="EH2"),IF(OR(I422="AH1",I422="AH2"),-J421+0.5,IF(OR(I422="EH1",I422="EH2"),-J421+1,"")),IF(AND(OR(I421="DNB1",I421="DNB2"),OR(I422="AH1",I422="AH2")),0,IF(AND(I421="Not ScoreBoth",OR(I422="TO1",I422="TO2")),0.5,"")))))</f>
        <v>2.5</v>
      </c>
      <c r="K422" s="123" t="s">
        <v>47</v>
      </c>
      <c r="L422" s="124">
        <v>2.23</v>
      </c>
      <c r="M422" s="125">
        <v>16.149999999999999</v>
      </c>
      <c r="N422" s="406"/>
      <c r="O422" s="126">
        <f>IF(OR(AE421="",AE422=""),"",ROUND(IF(L423&gt;0,IF(M422&gt;0,M422,IF(M421&gt;0,IF(N421=TRUE,ROUND((M421*AE422)/AE421,0),(M421*AE422)/AE421),IF(M422&gt;0,ROUND(M422,IF(N421=0,2,IF(N421=0.1,1,0))),IF(M423&gt;0,ROUND(O423*AE422/AE423,IF(N421=0,2,IF(N421=0.1,1,0))),0)))),IF(M422&gt;0,M422,ROUND((M421*AE422)/AE421,IF(N421=0,2,IF(N421=0.1,1,0))))),2))</f>
        <v>16.149999999999999</v>
      </c>
      <c r="P422" s="127">
        <f>IF(OR(L422="",O422=""),"",IF($C422="1/2W",O422/2+O422/2*L422,IF($C422="1/2L",O422/2,IF(I422="Lay",((O422*(L422/(L422-1)))-O422)*(1-_xlfn.XLOOKUP(K422,'Fevereiro 2023 - Valor Real'!A3:A15,'Fevereiro 2023 - Valor Real'!C3:C15,0))+O422,(O422*L422-O422)*(1-_xlfn.XLOOKUP(K422,'Fevereiro 2023 - Valor Real'!A3:A15,'Fevereiro 2023 - Valor Real'!C3:C15,0))+O422))))</f>
        <v>36.014499999999998</v>
      </c>
      <c r="Q422" s="128">
        <f>IF(K422="","",IF(_xlfn.XLOOKUP(K422,K$4:K421,$DJ$4:DJ421,0,,-1)=DJ422,_xlfn.XLOOKUP(K422,K$4:K421,Q$4:Q421,1,,-1)+1,1))</f>
        <v>2</v>
      </c>
      <c r="R422" s="129">
        <f>IF(K422="","",_xlfn.XLOOKUP(K422,K$4:K421,R$4:R421,0,,-1)+IF($C422=" ",1,0))</f>
        <v>0</v>
      </c>
      <c r="S422" s="403"/>
      <c r="T422" s="380"/>
      <c r="U422" s="380"/>
      <c r="V422" s="481"/>
      <c r="W422" s="380"/>
      <c r="X422" s="452"/>
      <c r="Y422" s="383"/>
      <c r="Z422" s="384"/>
      <c r="AA422" s="384"/>
      <c r="AB422" s="384"/>
      <c r="AC422" s="384"/>
      <c r="AD422" s="130">
        <f>(((L422/(L422-1)-1)*(1-_xlfn.XLOOKUP(K422,'Fevereiro 2023 - Valor Real'!A3:A15,'Fevereiro 2023 - Valor Real'!C3:C15,0))+1))</f>
        <v>1.8130081300813008</v>
      </c>
      <c r="AE422" s="131">
        <f>IF(L422="","",IF(L423&gt;0,(SUM(((L421-1)*(1-_xlfn.XLOOKUP(K421,'Fevereiro 2023 - Valor Real'!A3:A15,'Fevereiro 2023 - Valor Real'!C3:C15,0))+1),((L422-1)*(1-_xlfn.XLOOKUP(K422,'Fevereiro 2023 - Valor Real'!A3:A15,'Fevereiro 2023 - Valor Real'!C3:C15,0))+1),((L423-1)*(1-_xlfn.XLOOKUP(K423,'Fevereiro 2023 - Valor Real'!A3:A15,'Fevereiro 2023 - Valor Real'!C3:C15,0))+1))/((L422-1)*(1-_xlfn.XLOOKUP(K422,'Fevereiro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Real'!C3:C15,0))+1))/((L421-1)*(1-_xlfn.XLOOKUP(K421,'Fevereiro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Real'!C3:C15,0))+1))/((L422-1)*(1-_xlfn.XLOOKUP(K422,'Fevereiro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Real'!C3:C15,0))+1))/((L423-1)*(1-_xlfn.XLOOKUP(K423,'Fevereiro 2023 - Valor Real'!A3:A15,'Fevereiro 2023 - Valor Real'!C3:C15,0))+1)),IF(I422="Lay",IF(I421="Lay",((L421/(L421-1)-1)*(1-_xlfn.XLOOKUP(K421,'Fevereiro 2023 - Valor Real'!A3:A15,'Fevereiro 2023 - Valor Real'!C3:C15,0))+1)/(((L421/(L421-1)-1)*(1-_xlfn.XLOOKUP(K421,'Fevereiro 2023 - Valor Real'!A3:A15,'Fevereiro 2023 - Valor Real'!C3:C15,0))+1)+((L422/(L422-1)-1)*(1-_xlfn.XLOOKUP(K422,'Fevereiro 2023 - Valor Real'!A3:A15,'Fevereiro 2023 - Valor Real'!C3:C15,0))+1)),((L421-1)*(1-_xlfn.XLOOKUP(K421,'Fevereiro 2023 - Valor Real'!A3:A15,'Fevereiro 2023 - Valor Real'!C3:C15,0))+1)/(((L421-1)*(1-_xlfn.XLOOKUP(K421,'Fevereiro 2023 - Valor Real'!A3:A15,'Fevereiro 2023 - Valor Real'!C3:C15,0))+1)+((L422/(L422-1)-1)*(1-_xlfn.XLOOKUP(K422,'Fevereiro 2023 - Valor Real'!A3:A15,'Fevereiro 2023 - Valor Real'!C3:C15,0))+1))),IF(I421="Lay",((L421/(L421-1)-1)*(1-_xlfn.XLOOKUP(K421,'Fevereiro 2023 - Valor Real'!A3:A15,'Fevereiro 2023 - Valor Real'!C3:C15,0))+1)/((((L421/(L421-1)-1)*(1-_xlfn.XLOOKUP(K421,'Fevereiro 2023 - Valor Real'!A3:A15,'Fevereiro 2023 - Valor Real'!C3:C15,0))+1))+((L422-1)*(1-_xlfn.XLOOKUP(K422,'Fevereiro 2023 - Valor Real'!A3:A15,'Fevereiro 2023 - Valor Real'!C3:C15,0))+1)),((L421-1)*(1-_xlfn.XLOOKUP(K421,'Fevereiro 2023 - Valor Real'!A3:A15,'Fevereiro 2023 - Valor Real'!C3:C15,0))+1)/(((L421-1)*(1-_xlfn.XLOOKUP(K421,'Fevereiro 2023 - Valor Real'!A3:A15,'Fevereiro 2023 - Valor Real'!C3:C15,0))+1)+((L422-1)*(1-_xlfn.XLOOKUP(K422,'Fevereiro 2023 - Valor Real'!A3:A15,'Fevereiro 2023 - Valor Real'!C3:C15,0))+1))))))</f>
        <v>0.47281323877068554</v>
      </c>
      <c r="AF422" s="105">
        <f t="shared" si="839"/>
        <v>0</v>
      </c>
      <c r="AG422" s="106">
        <f t="shared" si="839"/>
        <v>0</v>
      </c>
      <c r="AH422" s="106">
        <f t="shared" si="839"/>
        <v>0</v>
      </c>
      <c r="AI422" s="106">
        <f t="shared" si="839"/>
        <v>0</v>
      </c>
      <c r="AJ422" s="106">
        <f t="shared" si="839"/>
        <v>0</v>
      </c>
      <c r="AK422" s="106">
        <f t="shared" si="839"/>
        <v>0</v>
      </c>
      <c r="AL422" s="106">
        <f t="shared" si="839"/>
        <v>0</v>
      </c>
      <c r="AM422" s="106">
        <f t="shared" si="839"/>
        <v>0</v>
      </c>
      <c r="AN422" s="106">
        <f t="shared" si="839"/>
        <v>0</v>
      </c>
      <c r="AO422" s="106">
        <f t="shared" si="839"/>
        <v>0</v>
      </c>
      <c r="AP422" s="106">
        <f t="shared" si="839"/>
        <v>0</v>
      </c>
      <c r="AQ422" s="106">
        <f t="shared" si="839"/>
        <v>-16.149999999999999</v>
      </c>
      <c r="AR422" s="107">
        <f t="shared" si="839"/>
        <v>0</v>
      </c>
      <c r="AS422" s="105">
        <f>IF(AND($B421=" ",$K422=AS$3),$O422,0)</f>
        <v>0</v>
      </c>
      <c r="AT422" s="106">
        <f>IF(AND($B421=" ",K422=AT$3),$O422,0)</f>
        <v>0</v>
      </c>
      <c r="AU422" s="106">
        <f t="shared" ref="AU422:BE422" si="852">IF(AND($B421=" ",$K422=AU$3),$O422,0)</f>
        <v>0</v>
      </c>
      <c r="AV422" s="106">
        <f t="shared" si="852"/>
        <v>0</v>
      </c>
      <c r="AW422" s="106">
        <f t="shared" si="852"/>
        <v>0</v>
      </c>
      <c r="AX422" s="106">
        <f t="shared" si="852"/>
        <v>0</v>
      </c>
      <c r="AY422" s="108">
        <f t="shared" si="852"/>
        <v>0</v>
      </c>
      <c r="AZ422" s="109">
        <f t="shared" si="852"/>
        <v>0</v>
      </c>
      <c r="BA422" s="109">
        <f t="shared" si="852"/>
        <v>0</v>
      </c>
      <c r="BB422" s="109">
        <f t="shared" si="852"/>
        <v>0</v>
      </c>
      <c r="BC422" s="110">
        <f t="shared" si="852"/>
        <v>0</v>
      </c>
      <c r="BD422" s="106">
        <f t="shared" si="852"/>
        <v>0</v>
      </c>
      <c r="BE422" s="107">
        <f t="shared" si="852"/>
        <v>0</v>
      </c>
      <c r="BF422" s="105">
        <f t="shared" si="841"/>
        <v>0</v>
      </c>
      <c r="BG422" s="106">
        <f t="shared" si="841"/>
        <v>0</v>
      </c>
      <c r="BH422" s="106">
        <f t="shared" si="841"/>
        <v>0</v>
      </c>
      <c r="BI422" s="106">
        <f t="shared" si="841"/>
        <v>0</v>
      </c>
      <c r="BJ422" s="106">
        <f t="shared" si="841"/>
        <v>0</v>
      </c>
      <c r="BK422" s="106">
        <f t="shared" si="841"/>
        <v>0</v>
      </c>
      <c r="BL422" s="106">
        <f t="shared" si="841"/>
        <v>0</v>
      </c>
      <c r="BM422" s="132">
        <f t="shared" si="841"/>
        <v>0</v>
      </c>
      <c r="BN422" s="112">
        <f t="shared" si="841"/>
        <v>0</v>
      </c>
      <c r="BO422" s="112">
        <f t="shared" si="841"/>
        <v>0</v>
      </c>
      <c r="BP422" s="112">
        <f t="shared" si="841"/>
        <v>0</v>
      </c>
      <c r="BQ422" s="110">
        <f t="shared" si="841"/>
        <v>16.149999999999999</v>
      </c>
      <c r="BR422" s="107">
        <f t="shared" si="841"/>
        <v>0</v>
      </c>
      <c r="BS422" s="464"/>
      <c r="BT422" s="461"/>
      <c r="BU422" s="392"/>
      <c r="BV422" s="461"/>
      <c r="BW422" s="392"/>
      <c r="BX422" s="392"/>
      <c r="BY422" s="392"/>
      <c r="BZ422" s="461"/>
      <c r="CA422" s="392"/>
      <c r="CB422" s="392"/>
      <c r="CC422" s="392"/>
      <c r="CD422" s="401"/>
      <c r="CE422" s="409"/>
      <c r="CF422" s="133">
        <f t="shared" si="772"/>
        <v>0</v>
      </c>
      <c r="CG422" s="134">
        <f t="shared" si="773"/>
        <v>0</v>
      </c>
      <c r="CH422" s="134">
        <f t="shared" si="774"/>
        <v>0</v>
      </c>
      <c r="CI422" s="134">
        <f t="shared" si="775"/>
        <v>0</v>
      </c>
      <c r="CJ422" s="134">
        <f t="shared" si="776"/>
        <v>0</v>
      </c>
      <c r="CK422" s="134">
        <f t="shared" si="777"/>
        <v>0</v>
      </c>
      <c r="CL422" s="134">
        <f t="shared" si="778"/>
        <v>0</v>
      </c>
      <c r="CM422" s="134">
        <f t="shared" si="779"/>
        <v>0</v>
      </c>
      <c r="CN422" s="134">
        <f t="shared" si="780"/>
        <v>0</v>
      </c>
      <c r="CO422" s="134">
        <f t="shared" si="781"/>
        <v>0</v>
      </c>
      <c r="CP422" s="134">
        <f t="shared" si="782"/>
        <v>0</v>
      </c>
      <c r="CQ422" s="134">
        <f t="shared" si="783"/>
        <v>0</v>
      </c>
      <c r="CR422" s="134">
        <f t="shared" si="784"/>
        <v>0</v>
      </c>
      <c r="CS422" s="134">
        <f t="shared" si="785"/>
        <v>0</v>
      </c>
      <c r="CT422" s="115">
        <f t="shared" si="786"/>
        <v>0</v>
      </c>
      <c r="CU422" s="116">
        <f t="shared" si="787"/>
        <v>0</v>
      </c>
      <c r="CV422" s="116">
        <f t="shared" si="788"/>
        <v>0</v>
      </c>
      <c r="CW422" s="116">
        <f t="shared" si="789"/>
        <v>0</v>
      </c>
      <c r="CX422" s="116">
        <f t="shared" si="790"/>
        <v>0</v>
      </c>
      <c r="CY422" s="116">
        <f t="shared" si="791"/>
        <v>0</v>
      </c>
      <c r="CZ422" s="116">
        <f t="shared" si="792"/>
        <v>0</v>
      </c>
      <c r="DA422" s="116">
        <f t="shared" si="793"/>
        <v>0</v>
      </c>
      <c r="DB422" s="116">
        <f t="shared" si="794"/>
        <v>0</v>
      </c>
      <c r="DC422" s="116">
        <f t="shared" si="795"/>
        <v>1</v>
      </c>
      <c r="DD422" s="116">
        <f t="shared" si="796"/>
        <v>0</v>
      </c>
      <c r="DE422" s="117">
        <f t="shared" si="797"/>
        <v>0</v>
      </c>
      <c r="DF422" s="118">
        <f t="shared" si="799"/>
        <v>29</v>
      </c>
      <c r="DG422" s="106">
        <f t="shared" si="800"/>
        <v>37.629999999999995</v>
      </c>
      <c r="DH422" s="116">
        <f t="shared" si="801"/>
        <v>10</v>
      </c>
      <c r="DI422" s="106">
        <f t="shared" si="802"/>
        <v>41.599999999999994</v>
      </c>
      <c r="DJ422" s="201" t="str">
        <f>IF($D421="","",$D421)</f>
        <v>14</v>
      </c>
      <c r="DK422" s="466"/>
    </row>
    <row r="423" spans="1:115" ht="14.5" customHeight="1" x14ac:dyDescent="0.2">
      <c r="A423" s="390"/>
      <c r="B423" s="457"/>
      <c r="C423" s="135" t="s">
        <v>53</v>
      </c>
      <c r="D423" s="375"/>
      <c r="E423" s="387"/>
      <c r="F423" s="378"/>
      <c r="G423" s="484"/>
      <c r="H423" s="477"/>
      <c r="I423" s="136"/>
      <c r="J423" s="137"/>
      <c r="K423" s="138"/>
      <c r="L423" s="139"/>
      <c r="M423" s="140"/>
      <c r="N423" s="407"/>
      <c r="O423" s="141" t="str">
        <f>IF(OR(AE421="",AE422=""),"",IF(L423&gt;0,ROUND(IF(M423&gt;0,M423,IF(M421&gt;0,ROUND((M421*AE423)/AE421,IF(N421=0,2,IF(N421=0.1,1,0))),IF(M422&gt;0,ROUND((M422*AE423)/AE422,IF(N421=0,2,IF(N421=0.1,1,0))),IF(M423&gt;0,M423,0)))),2),""))</f>
        <v/>
      </c>
      <c r="P423" s="142" t="str">
        <f>IF(I422="Lay",O422*(L422/(L422-1))-O422,IF(I421="Lay",O421*(L421/(L421-1))-O421,IF(OR(L423="",O423=""),"",IF($C423="1/2W",O423/2+O423/2*L423,IF($C423="1/2L",O423/2,(O423*L423-O423)*(1-_xlfn.XLOOKUP(K423,'Fevereiro 2023 - Valor Real'!A3:A15,'Fevereiro 2023 - Valor Real'!C3:C15,0))+O423)))))</f>
        <v/>
      </c>
      <c r="Q423" s="143" t="str">
        <f>IF(K423="","",IF(_xlfn.XLOOKUP(K423,K$4:K422,$DJ$4:DJ422,0,,-1)=DJ423,_xlfn.XLOOKUP(K423,K$4:K422,Q$4:Q422,1,,-1)+1,1))</f>
        <v/>
      </c>
      <c r="R423" s="144" t="str">
        <f>IF(K423="","",_xlfn.XLOOKUP(K423,K$4:K422,R$4:R422,0,,-1)+IF($C423=" ",1,0))</f>
        <v/>
      </c>
      <c r="S423" s="404"/>
      <c r="T423" s="378"/>
      <c r="U423" s="378"/>
      <c r="V423" s="404"/>
      <c r="W423" s="378"/>
      <c r="X423" s="453"/>
      <c r="Y423" s="383"/>
      <c r="Z423" s="384"/>
      <c r="AA423" s="384"/>
      <c r="AB423" s="384"/>
      <c r="AC423" s="384"/>
      <c r="AD423" s="145">
        <f>((L422/(L422-1)-1))</f>
        <v>0.81300813008130079</v>
      </c>
      <c r="AE423" s="146" t="str">
        <f>IF(L423="","",(SUM(((L421-1)*(1-_xlfn.XLOOKUP(K421,'Fevereiro 2023 - Valor Real'!A3:A15,'Fevereiro 2023 - Valor Real'!C3:C15,0))+1),((L422-1)*(1-_xlfn.XLOOKUP(K422,'Fevereiro 2023 - Valor Real'!A3:A15,'Fevereiro 2023 - Valor Real'!C3:C15,0))+1),((L423-1)*(1-_xlfn.XLOOKUP(K423,'Fevereiro 2023 - Valor Real'!A3:A15,'Fevereiro 2023 - Valor Real'!C3:C15,0))+1))/((L423-1)*(1-_xlfn.XLOOKUP(K423,'Fevereiro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Real'!C3:C15,0))+1))/((L421-1)*(1-_xlfn.XLOOKUP(K421,'Fevereiro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Real'!C3:C15,0))+1))/((L422-1)*(1-_xlfn.XLOOKUP(K422,'Fevereiro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Real'!C3:C15,0))+1))/((L423-1)*(1-_xlfn.XLOOKUP(K423,'Fevereiro 2023 - Valor Real'!A3:A15,'Fevereiro 2023 - Valor Real'!C3:C15,0))+1)))</f>
        <v/>
      </c>
      <c r="AF423" s="105">
        <f t="shared" si="839"/>
        <v>0</v>
      </c>
      <c r="AG423" s="106">
        <f t="shared" si="839"/>
        <v>0</v>
      </c>
      <c r="AH423" s="106">
        <f t="shared" si="839"/>
        <v>0</v>
      </c>
      <c r="AI423" s="106">
        <f t="shared" si="839"/>
        <v>0</v>
      </c>
      <c r="AJ423" s="106">
        <f t="shared" si="839"/>
        <v>0</v>
      </c>
      <c r="AK423" s="106">
        <f t="shared" si="839"/>
        <v>0</v>
      </c>
      <c r="AL423" s="106">
        <f t="shared" si="839"/>
        <v>0</v>
      </c>
      <c r="AM423" s="106">
        <f t="shared" si="839"/>
        <v>0</v>
      </c>
      <c r="AN423" s="106">
        <f t="shared" si="839"/>
        <v>0</v>
      </c>
      <c r="AO423" s="106">
        <f t="shared" si="839"/>
        <v>0</v>
      </c>
      <c r="AP423" s="106">
        <f t="shared" si="839"/>
        <v>0</v>
      </c>
      <c r="AQ423" s="106">
        <f t="shared" si="839"/>
        <v>0</v>
      </c>
      <c r="AR423" s="107">
        <f t="shared" si="839"/>
        <v>0</v>
      </c>
      <c r="AS423" s="105">
        <f>IF(AND($B421=" ",$K423=AS$3),$O423,0)</f>
        <v>0</v>
      </c>
      <c r="AT423" s="106">
        <f>IF(AND($B421=" ",K423=AT$3),$O423,0)</f>
        <v>0</v>
      </c>
      <c r="AU423" s="106">
        <f t="shared" ref="AU423:BE423" si="853">IF(AND($B421=" ",$K423=AU$3),$O423,0)</f>
        <v>0</v>
      </c>
      <c r="AV423" s="106">
        <f t="shared" si="853"/>
        <v>0</v>
      </c>
      <c r="AW423" s="106">
        <f t="shared" si="853"/>
        <v>0</v>
      </c>
      <c r="AX423" s="106">
        <f t="shared" si="853"/>
        <v>0</v>
      </c>
      <c r="AY423" s="108">
        <f t="shared" si="853"/>
        <v>0</v>
      </c>
      <c r="AZ423" s="109">
        <f t="shared" si="853"/>
        <v>0</v>
      </c>
      <c r="BA423" s="109">
        <f t="shared" si="853"/>
        <v>0</v>
      </c>
      <c r="BB423" s="109">
        <f t="shared" si="853"/>
        <v>0</v>
      </c>
      <c r="BC423" s="110">
        <f t="shared" si="853"/>
        <v>0</v>
      </c>
      <c r="BD423" s="106">
        <f t="shared" si="853"/>
        <v>0</v>
      </c>
      <c r="BE423" s="107">
        <f t="shared" si="853"/>
        <v>0</v>
      </c>
      <c r="BF423" s="105">
        <f t="shared" si="841"/>
        <v>0</v>
      </c>
      <c r="BG423" s="106">
        <f t="shared" si="841"/>
        <v>0</v>
      </c>
      <c r="BH423" s="106">
        <f t="shared" si="841"/>
        <v>0</v>
      </c>
      <c r="BI423" s="106">
        <f t="shared" si="841"/>
        <v>0</v>
      </c>
      <c r="BJ423" s="106">
        <f t="shared" si="841"/>
        <v>0</v>
      </c>
      <c r="BK423" s="106">
        <f t="shared" si="841"/>
        <v>0</v>
      </c>
      <c r="BL423" s="106">
        <f t="shared" si="841"/>
        <v>0</v>
      </c>
      <c r="BM423" s="108">
        <f t="shared" si="841"/>
        <v>0</v>
      </c>
      <c r="BN423" s="109">
        <f t="shared" si="841"/>
        <v>0</v>
      </c>
      <c r="BO423" s="109">
        <f t="shared" si="841"/>
        <v>0</v>
      </c>
      <c r="BP423" s="109">
        <f t="shared" si="841"/>
        <v>0</v>
      </c>
      <c r="BQ423" s="110">
        <f t="shared" si="841"/>
        <v>0</v>
      </c>
      <c r="BR423" s="107">
        <f t="shared" si="841"/>
        <v>0</v>
      </c>
      <c r="BS423" s="464"/>
      <c r="BT423" s="461"/>
      <c r="BU423" s="392"/>
      <c r="BV423" s="461"/>
      <c r="BW423" s="392"/>
      <c r="BX423" s="392"/>
      <c r="BY423" s="392"/>
      <c r="BZ423" s="461"/>
      <c r="CA423" s="392"/>
      <c r="CB423" s="392"/>
      <c r="CC423" s="392"/>
      <c r="CD423" s="401"/>
      <c r="CE423" s="409"/>
      <c r="CF423" s="133">
        <f t="shared" si="772"/>
        <v>0</v>
      </c>
      <c r="CG423" s="134">
        <f t="shared" si="773"/>
        <v>0</v>
      </c>
      <c r="CH423" s="134">
        <f t="shared" si="774"/>
        <v>0</v>
      </c>
      <c r="CI423" s="134">
        <f t="shared" si="775"/>
        <v>0</v>
      </c>
      <c r="CJ423" s="134">
        <f t="shared" si="776"/>
        <v>0</v>
      </c>
      <c r="CK423" s="134">
        <f t="shared" si="777"/>
        <v>0</v>
      </c>
      <c r="CL423" s="134">
        <f t="shared" si="778"/>
        <v>0</v>
      </c>
      <c r="CM423" s="134">
        <f t="shared" si="779"/>
        <v>0</v>
      </c>
      <c r="CN423" s="134">
        <f t="shared" si="780"/>
        <v>0</v>
      </c>
      <c r="CO423" s="134">
        <f t="shared" si="781"/>
        <v>0</v>
      </c>
      <c r="CP423" s="134">
        <f t="shared" si="782"/>
        <v>0</v>
      </c>
      <c r="CQ423" s="134">
        <f t="shared" si="783"/>
        <v>0</v>
      </c>
      <c r="CR423" s="134">
        <f t="shared" si="784"/>
        <v>0</v>
      </c>
      <c r="CS423" s="134">
        <f t="shared" si="785"/>
        <v>0</v>
      </c>
      <c r="CT423" s="115">
        <f t="shared" si="786"/>
        <v>0</v>
      </c>
      <c r="CU423" s="116">
        <f t="shared" si="787"/>
        <v>0</v>
      </c>
      <c r="CV423" s="116">
        <f t="shared" si="788"/>
        <v>0</v>
      </c>
      <c r="CW423" s="116">
        <f t="shared" si="789"/>
        <v>0</v>
      </c>
      <c r="CX423" s="116">
        <f t="shared" si="790"/>
        <v>0</v>
      </c>
      <c r="CY423" s="116">
        <f t="shared" si="791"/>
        <v>0</v>
      </c>
      <c r="CZ423" s="116">
        <f t="shared" si="792"/>
        <v>0</v>
      </c>
      <c r="DA423" s="116">
        <f t="shared" si="793"/>
        <v>0</v>
      </c>
      <c r="DB423" s="116">
        <f t="shared" si="794"/>
        <v>0</v>
      </c>
      <c r="DC423" s="116">
        <f t="shared" si="795"/>
        <v>0</v>
      </c>
      <c r="DD423" s="116">
        <f t="shared" si="796"/>
        <v>0</v>
      </c>
      <c r="DE423" s="117">
        <f t="shared" si="797"/>
        <v>0</v>
      </c>
      <c r="DF423" s="118">
        <f t="shared" si="799"/>
        <v>29</v>
      </c>
      <c r="DG423" s="106">
        <f t="shared" si="800"/>
        <v>37.629999999999995</v>
      </c>
      <c r="DH423" s="116">
        <f t="shared" si="801"/>
        <v>10</v>
      </c>
      <c r="DI423" s="106">
        <f t="shared" si="802"/>
        <v>41.599999999999994</v>
      </c>
      <c r="DJ423" s="201" t="str">
        <f>IF($D421="","",$D421)</f>
        <v>14</v>
      </c>
      <c r="DK423" s="466"/>
    </row>
    <row r="424" spans="1:115" ht="14.5" customHeight="1" x14ac:dyDescent="0.2">
      <c r="A424" s="487">
        <f>$A421+1</f>
        <v>141</v>
      </c>
      <c r="B424" s="506" t="str">
        <f>IF(OR(C424="W",C425="W",C426="W",C424="1/2W",C425="1/2W",C426="1/2W",C424="1/2L",C425="1/2L",C426="1/2L"),"OK",IF(OR(C424="L",C425="L",C426="L"),"LOSS",IF(OR(C424="X",C425="X",C426="X"),"Anulado"," ")))</f>
        <v>OK</v>
      </c>
      <c r="C424" s="147" t="s">
        <v>55</v>
      </c>
      <c r="D424" s="494" t="str">
        <f>IF(G424="","",$D421)</f>
        <v>14</v>
      </c>
      <c r="E424" s="511" t="str">
        <f>IF(G424=""," ","– "&amp;COUNTIF(D$4:D426,$D424))</f>
        <v>– 4</v>
      </c>
      <c r="F424" s="510" t="str">
        <f ca="1">IF(G424="","",IF(OR(AND($C424&lt;&gt;" ",$C425=" "),AND($C425&lt;&gt;" ",$C424=" "),AND(L426&gt;0,OR(AND($C426&lt;&gt;" ",OR($C424=" ",$C425=" ")),AND($C426=" ",OR($C424&lt;&gt;" ",$C425&lt;&gt;" "))))),IF(SUM(F$4:F423)=0,1,LARGE(F$4:F423,1)+1),IF(MONTH(G424)=MONTH(TODAY()),IF(AND(DAY(G424)&lt;DAY(TODAY()),$B424=" "),IF(SUM(F$4:F423)=0,1,LARGE(F$4:F423,1)+1),IF($B424=" ",IF(AND(DAY(G424)=DAY(TODAY()),HOUR(G424)&lt;=HOUR(NOW())+1),IF(AND(HOUR(G424)+2&lt;=HOUR(NOW()),DAY(G424)&lt;=DAY(TODAY()),MINUTE(G424)&lt;=MINUTE(NOW())),IF(SUM(F$4:F423)=0,1,LARGE(F$4:F423,1)+1),IF(OR(MINUTE(G424)&lt;=MINUTE(NOW()),HOUR(G424)&lt;=HOUR(NOW())),"!!!","")),""),"")),"")))</f>
        <v/>
      </c>
      <c r="G424" s="508">
        <v>45001.875</v>
      </c>
      <c r="H424" s="502" t="s">
        <v>178</v>
      </c>
      <c r="I424" s="148">
        <v>2</v>
      </c>
      <c r="J424" s="149"/>
      <c r="K424" s="150" t="s">
        <v>43</v>
      </c>
      <c r="L424" s="151">
        <v>1.869</v>
      </c>
      <c r="M424" s="152">
        <v>11.8</v>
      </c>
      <c r="N424" s="503">
        <v>0</v>
      </c>
      <c r="O424" s="153">
        <f>IF(OR(AE424="",AE425=""),"",ROUND(IF(L426&gt;0,IF(M424&gt;0,M424,IF(M425&gt;0,ROUND((M425*AE424)/AE425,IF(N424=0,2,IF(N424=0.1,1,0))),ROUND((M426*AE424)/AE426,IF(N424=0,2,IF(N424=0.1,1,0))))),IF(M424&gt;0,M424,ROUND((M425*AE424)/AE425,IF(N424=0,2,IF(N424=0.1,1,0))))),2))</f>
        <v>11.8</v>
      </c>
      <c r="P424" s="154">
        <f>IF(OR(L424="",O424=""),"",IF($C424="1/2W",O424/2+O424/2*L424,IF($C424="1/2L",O424/2,IF(I424="Lay",(O424*(L424/(L424-1))-O424)*(1-_xlfn.XLOOKUP(K424,'Fevereiro 2023 - Valor Real'!A3:A15,'Fevereiro 2023 - Valor Real'!C3:C15,0))+O424,(O424*L424-O424)*(1-_xlfn.XLOOKUP(K424,'Fevereiro 2023 - Valor Real'!A3:A15,'Fevereiro 2023 - Valor Real'!C3:C15,0))+O424))))</f>
        <v>22.054200000000002</v>
      </c>
      <c r="Q424" s="155">
        <f>IF(K424="","",IF(_xlfn.XLOOKUP(K424,K$9:K416,$DJ$9:DJ416,0,,-1)=DJ424,_xlfn.XLOOKUP(K424,K$9:K416,Q$9:Q416,1,,-1)+1,1))</f>
        <v>2</v>
      </c>
      <c r="R424" s="156">
        <f>IF(K424="","",_xlfn.XLOOKUP(K424,K$9:K416,R$9:R416,0,,-1)+IF($C424=" ",1,0))</f>
        <v>0</v>
      </c>
      <c r="S424" s="501">
        <f>IF($B424="Anulado",0,ROUND(IF(OR($B424="LOSS",$B424="OK"),IF(OR($C424="W",$C424="1/2W",$C424="1/2L"),P424-O424,IF($C424="L",-O424,0))+IF(OR($C425="W",$C425="1/2W",$C425="1/2L"),P425-O425,IF($C425="L",-O425,0))+IF(OR($C426="W",$C426="1/2W",$C426="1/2L"),P426-O426,IF($C426="L",-O426,0)),IF(AND(OR($C424="W",$C424="1/2W",$C424="1/2L"),C425="W"),P424+P425-SUM(O424:O426)+_xlfn.XLOOKUP("X",C424:C426,O424:O426,0),IF(AND(C424=TRUE,C426="W"),P424+P426-SUM(O424:O426),IF(AND(C425="W",C426="W"),P425+P426-SUM(O424:O426)+_xlfn.XLOOKUP("X",C424:C426,O424:O426,0),IF(L426&gt;0,IF(OR($C424="W",$C424="1/2W",$C424="1/2L"),P424-SUM(O424:O426)+_xlfn.XLOOKUP("X",C424:C426,O424:O426,0),IF(OR($C424="W",$C424="1/2W",$C424="1/2L"),P425-SUM(O424:O426)+_xlfn.XLOOKUP("X",C424:C426,O424:O426,0),IF(OR($C424="W",$C424="1/2W",$C424="1/2L"),P426-SUM(O424:O426)+_xlfn.XLOOKUP("X",C424:C426,O424:O426,0),IF(SUM(P424:P426)/3-SUM(O424:O426)+_xlfn.XLOOKUP("X",C424:C426,O424:O426,0)&gt;0,SUM(P424:P426)/3-SUM(O424:O426)+_xlfn.XLOOKUP("X",C424:C426,O424:O426,0),LARGE(P424:P426,1)-SUM(O424:O426))))),IF(OR($C424="W",$C424="1/2W",$C424="1/2L"),P424-SUM(O424:O425)+_xlfn.XLOOKUP("X",C424:C426,O424:O426,0),IF(OR($C424="W",$C424="1/2W",$C424="1/2L"),P425-SUM(O424:O425)+_xlfn.XLOOKUP("X",C424:C426,O424:O426,0),SUM(P424:P425)/2-SUM(O424:O425)+_xlfn.XLOOKUP("X",C424:C426,O424:O426,0)))))))),2))</f>
        <v>1.71</v>
      </c>
      <c r="T424" s="486">
        <f>IF(S424=0,0,S424/SUM(O424:O426))</f>
        <v>8.4695393759286766E-2</v>
      </c>
      <c r="U424" s="496">
        <f>IF($D424=$D421,IF(OR($B424="LOSS",$B424="OK",$B424="Anulada"),S424,0)+U421,IF(OR($B424="LOSS",$B424="OK",$B424="Anulada"),S424,0))</f>
        <v>15.2</v>
      </c>
      <c r="V424" s="496">
        <f>IF($D424="",0,IF($D424=$D421,IF($B424=" ",IF(I426="",IF(OR(AND(I424="DNB1",I425="DNB2"),AND(OR(I424="DNB1",I424="DNB2"),J425=0),AND(OR(I425="DNB1",I425="DNB2"),J424=0),AND(I424="DNB2",I425="DNB1"),AND(IF(J424=0,(J424+1)/ROUND(J424+1,0),J424/ROUND(J424,0))=1,IF(J425=0,(J425+1)/ROUND(IF(J425="",0,J425)+1,0),IF(J425="",0,J425)/ROUND(IF(J425="",1,J425),0))=1,OR(J424&lt;&gt;""),J425&lt;&gt;"")),0,IF(S424&lt;0,IF(I426="",SMALL(P424:P425,1)-SUM(O424:O425),0),SMALL(P424:P425,1)-SUM(O424:O425))),IF(S424&lt;0,IF(I426="",SMALL(P424:P426,1)-SUM(O424:O426),0),LARGE(P424:P426,1)-SUM(O424:O426))),S424)+V421,IF(I426="",IF(OR(AND(I424="DNB1",I425="DNB2"),AND(OR(I424="DNB1",I424="DNB2"),J425=0),AND(OR(I425="DNB1",I425="DNB2"),J424=0),AND(I424="DNB2",I425="DNB1"),AND(IF(J424=0,(J424+1)/ROUND(J424+1,0),J424/ROUND(J424,0))=1,IF(J425=0,(IF(J425="",0,J425)+1)/ROUND(IF(J425="",0,J425)+1,0),IF(J425="",0,J425)/ROUND(IF(J425="",0,J425)+1,0))=1,OR(J424&lt;&gt;""),J425&lt;&gt;"")),0,IF(S424&lt;0,IF(I426="",SMALL(P424:P425,1)-SUM(O424:O425),0),SMALL(P424:P426,1)-SUM(O424:O426))),IF(S424&lt;0,IF(I426="",SMALL(P424:P426,1)-SUM(O424:O426),0),LARGE(P424:P426,1)-SUM(O424:O426)))))</f>
        <v>15.159600000000001</v>
      </c>
      <c r="W424" s="496">
        <f>IF($D424=$D421,IF(S424&lt;0,IF(I426="",S424,0),S424)+W421,S424)</f>
        <v>15.2</v>
      </c>
      <c r="X424" s="505" t="str">
        <f>IF(OR(SUM(R424:R426)=0,V424=W424),ROUND(IF(W424=0,0,W424/Y424)*100,2)&amp;"%",ROUND(IF(V424=0,0,V424/Y424)*100,2)&amp;"% a "&amp;ROUND(IF(W424=0,0,W424/Y424)*100,2)&amp;"%")</f>
        <v>7,46%</v>
      </c>
      <c r="Y424" s="497">
        <f>IF($D424=$D421,Y421+SUM(O424:O426),SUM(O424:O426))</f>
        <v>203.88</v>
      </c>
      <c r="Z424" s="496">
        <f>IF($B424=" ",SUM(O424:O426),0)+Z421</f>
        <v>0</v>
      </c>
      <c r="AA424" s="496">
        <f>IF(G424="","",IF($B424="Anulado",LARGE(P424:P426,1)-SUM(O424:O426)+AA421,AA421))</f>
        <v>12.425099999999992</v>
      </c>
      <c r="AB424" s="496">
        <f>IF($D424="","",AB421+S424)</f>
        <v>517.49000000000012</v>
      </c>
      <c r="AC424" s="499">
        <f ca="1">IF($D424="","",IF($B424=" ",IF(DAY(G424)=DAY(TODAY()),1+AC421,0+AC421),0+AC421))</f>
        <v>0</v>
      </c>
      <c r="AD424" s="157">
        <f>(1-_xlfn.XLOOKUP(K422,'Fevereiro 2023 - Valor Real'!A3:A15,'Fevereiro 2023 - Valor Real'!C3:C15,0))+1</f>
        <v>2</v>
      </c>
      <c r="AE424" s="158">
        <f>IF(L424="","",IF(L426&gt;0,(SUM(((L424-1)*(1-_xlfn.XLOOKUP(K424,'Fevereiro 2023 - Valor Real'!A3:A15,'Fevereiro 2023 - Valor Real'!C3:C15,0))+1),((L425-1)*(1-_xlfn.XLOOKUP(K425,'Fevereiro 2023 - Valor Real'!A3:A15,'Fevereiro 2023 - Valor Real'!C3:C15,0))+1),((L426-1)*(1-_xlfn.XLOOKUP(K426,'Fevereiro 2023 - Valor Real'!A3:A15,'Fevereiro 2023 - Valor Real'!C3:C15,0))+1))/((L424-1)*(1-_xlfn.XLOOKUP(K424,'Fevereiro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Real'!C3:C15,0))+1))/((L424-1)*(1-_xlfn.XLOOKUP(K424,'Fevereiro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Real'!C3:C15,0))+1))/((L425-1)*(1-_xlfn.XLOOKUP(K425,'Fevereiro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Real'!C3:C15,0))+1))/((L426-1)*(1-_xlfn.XLOOKUP(K426,'Fevereiro 2023 - Valor Real'!A3:A15,'Fevereiro 2023 - Valor Real'!C3:C15,0))+1)),IF(I424="Lay",IF(I425="Lay",((L425/(L425-1)-1)*(1-_xlfn.XLOOKUP(K425,'Fevereiro 2023 - Valor Real'!A3:A15,'Fevereiro 2023 - Valor Real'!C3:C15,0))+1)/(((L425/(L425-1)-1)*(1-_xlfn.XLOOKUP(K425,'Fevereiro 2023 - Valor Real'!A3:A15,'Fevereiro 2023 - Valor Real'!C3:C15,0))+1)+((L424/(L424-1)-1)*(1-_xlfn.XLOOKUP(K424,'Fevereiro 2023 - Valor Real'!A3:A15,'Fevereiro 2023 - Valor Real'!C3:C15,0))+1)),((L425-1)*(1-_xlfn.XLOOKUP(K425,'Fevereiro 2023 - Valor Real'!A3:A15,'Fevereiro 2023 - Valor Real'!C3:C15,0))+1)/(((L425-1)*(1-_xlfn.XLOOKUP(K425,'Fevereiro 2023 - Valor Real'!A3:A15,'Fevereiro 2023 - Valor Real'!C3:C15,0))+1)+((L424/(L424-1)-1)*(1-_xlfn.XLOOKUP(K424,'Fevereiro 2023 - Valor Real'!A3:A15,'Fevereiro 2023 - Valor Real'!C3:C15,0))+1))),IF(I425="Lay",(((L425/(L425-1)-1)*(1-_xlfn.XLOOKUP(K425,'Fevereiro 2023 - Valor Real'!A3:A15,'Fevereiro 2023 - Valor Real'!C3:C15,0))+1))/(((L424-1)*(1-_xlfn.XLOOKUP(K424,'Fevereiro 2023 - Valor Real'!A3:A15,'Fevereiro 2023 - Valor Real'!C3:C15,0))+1)+((L425/(L425-1)-1)*(1-_xlfn.XLOOKUP(K425,'Fevereiro 2023 - Valor Real'!A3:A15,'Fevereiro 2023 - Valor Real'!C3:C15,0))+1)),((L425-1)*(1-_xlfn.XLOOKUP(K425,'Fevereiro 2023 - Valor Real'!A3:A15,'Fevereiro 2023 - Valor Real'!C3:C15,0))+1)/(((L425-1)*(1-_xlfn.XLOOKUP(K425,'Fevereiro 2023 - Valor Real'!A3:A15,'Fevereiro 2023 - Valor Real'!C3:C15,0))+1)+((L424-1)*(1-_xlfn.XLOOKUP(K424,'Fevereiro 2023 - Valor Real'!A3:A15,'Fevereiro 2023 - Valor Real'!C3:C15,0))+1))))))</f>
        <v>0.5827193569993302</v>
      </c>
      <c r="AF424" s="66">
        <f t="shared" ref="AF424:AR433" si="854">IF($K424=AF$3,ROUND(IF(OR($C424="W",$C424="1/2W",$C424="1/2L"),$P424-$O424,IF($C424="X",0,-$O424)),2),0)</f>
        <v>0</v>
      </c>
      <c r="AG424" s="67">
        <f t="shared" si="854"/>
        <v>0</v>
      </c>
      <c r="AH424" s="67">
        <f t="shared" si="854"/>
        <v>0</v>
      </c>
      <c r="AI424" s="67">
        <f t="shared" si="854"/>
        <v>0</v>
      </c>
      <c r="AJ424" s="67">
        <f t="shared" si="854"/>
        <v>0</v>
      </c>
      <c r="AK424" s="67">
        <f t="shared" si="854"/>
        <v>0</v>
      </c>
      <c r="AL424" s="67">
        <f t="shared" si="854"/>
        <v>0</v>
      </c>
      <c r="AM424" s="67">
        <f t="shared" si="854"/>
        <v>-11.8</v>
      </c>
      <c r="AN424" s="67">
        <f t="shared" si="854"/>
        <v>0</v>
      </c>
      <c r="AO424" s="67">
        <f t="shared" si="854"/>
        <v>0</v>
      </c>
      <c r="AP424" s="67">
        <f t="shared" si="854"/>
        <v>0</v>
      </c>
      <c r="AQ424" s="67">
        <f t="shared" si="854"/>
        <v>0</v>
      </c>
      <c r="AR424" s="68">
        <f t="shared" si="854"/>
        <v>0</v>
      </c>
      <c r="AS424" s="66">
        <f t="shared" ref="AS424:BE424" si="855">IF(AND($B424=" ",$K424=AS$3),$O424,0)</f>
        <v>0</v>
      </c>
      <c r="AT424" s="67">
        <f t="shared" si="855"/>
        <v>0</v>
      </c>
      <c r="AU424" s="67">
        <f t="shared" si="855"/>
        <v>0</v>
      </c>
      <c r="AV424" s="67">
        <f t="shared" si="855"/>
        <v>0</v>
      </c>
      <c r="AW424" s="67">
        <f t="shared" si="855"/>
        <v>0</v>
      </c>
      <c r="AX424" s="67">
        <f t="shared" si="855"/>
        <v>0</v>
      </c>
      <c r="AY424" s="69">
        <f t="shared" si="855"/>
        <v>0</v>
      </c>
      <c r="AZ424" s="70">
        <f t="shared" si="855"/>
        <v>0</v>
      </c>
      <c r="BA424" s="70">
        <f t="shared" si="855"/>
        <v>0</v>
      </c>
      <c r="BB424" s="70">
        <f t="shared" si="855"/>
        <v>0</v>
      </c>
      <c r="BC424" s="71">
        <f t="shared" si="855"/>
        <v>0</v>
      </c>
      <c r="BD424" s="67">
        <f t="shared" si="855"/>
        <v>0</v>
      </c>
      <c r="BE424" s="68">
        <f t="shared" si="855"/>
        <v>0</v>
      </c>
      <c r="BF424" s="66">
        <f t="shared" ref="BF424:BR433" si="856">IF($K424=BF$3,IF($C424="X",0,$O424),0)</f>
        <v>0</v>
      </c>
      <c r="BG424" s="67">
        <f t="shared" si="856"/>
        <v>0</v>
      </c>
      <c r="BH424" s="67">
        <f t="shared" si="856"/>
        <v>0</v>
      </c>
      <c r="BI424" s="67">
        <f t="shared" si="856"/>
        <v>0</v>
      </c>
      <c r="BJ424" s="67">
        <f t="shared" si="856"/>
        <v>0</v>
      </c>
      <c r="BK424" s="67">
        <f t="shared" si="856"/>
        <v>0</v>
      </c>
      <c r="BL424" s="67">
        <f t="shared" si="856"/>
        <v>0</v>
      </c>
      <c r="BM424" s="69">
        <f t="shared" si="856"/>
        <v>11.8</v>
      </c>
      <c r="BN424" s="70">
        <f t="shared" si="856"/>
        <v>0</v>
      </c>
      <c r="BO424" s="70">
        <f t="shared" si="856"/>
        <v>0</v>
      </c>
      <c r="BP424" s="70">
        <f t="shared" si="856"/>
        <v>0</v>
      </c>
      <c r="BQ424" s="71">
        <f t="shared" si="856"/>
        <v>0</v>
      </c>
      <c r="BR424" s="68">
        <f t="shared" si="856"/>
        <v>0</v>
      </c>
      <c r="BS424" s="490">
        <f>IF($B424="LOSS",IF(AND($K424=BS$3,$C424="L"),-$O424,0)+IF(AND($K425=BS$3,$C425="L"),-$O425,0)+IF(AND($K426=BS$3,$C426="L"),-$O426,0),IF(OR(AND($K424=BS$3,OR($C424="W",$C424="1/2W")),AND($K425=BS$3,OR($C425="W",$C425="1/2W")),AND($K426=BS$3,OR($C426="W",$C426="1/2W"))),$S424,0))</f>
        <v>0</v>
      </c>
      <c r="BT424" s="498">
        <f>IF($B424="LOSS",IF(AND($K424=BT$3,$C424="L"),-$O424,0)+IF(AND($K425=BT$3,$C425="L"),-$O425,0)+IF(AND($K425=BT$3,$C426="L"),-$O426,0),IF(OR(AND($K425=BT$3,OR($C424="W",$C424="1/2W")),AND($K425=BT$3,OR($C425="W",$C425="1/2W")),AND($K425=BT$3,OR($C426="W",$C426="1/2W"))),$S424,0))</f>
        <v>0</v>
      </c>
      <c r="BU424" s="488">
        <f>IF($B424="LOSS",IF(AND($K424=BU$3,$C424="L"),-$O424,0)+IF(AND($K425=BU$3,$C425="L"),-$O425,0)+IF(AND($K425=BU$3,$C426="L"),-$O426,0),IF(OR(AND($K425=BU$3,OR($C424="W",$C424="1/2W")),AND($K425=BU$3,OR($C425="W",$C425="1/2W")),AND($K425=BU$3,OR($C426="W",$C426="1/2W"))),$S424,0))</f>
        <v>0</v>
      </c>
      <c r="BV424" s="488">
        <f t="shared" ref="BV424:CE424" si="857">IF($B424="LOSS",IF(AND($K424=BV$3,$C424="L"),-$O424,0)+IF(AND($K425=BV$3,$C425="L"),-$O425,0)+IF(AND($K426=BV$3,$C426="L"),-$O426,0),IF(OR(AND($K424=BV$3,OR($C424="W",$C424="1/2W")),AND($K425=BV$3,OR($C425="W",$C425="1/2W")),AND($K426=BV$3,OR($C426="W",$C426="1/2W"))),$S424,0))</f>
        <v>0</v>
      </c>
      <c r="BW424" s="488">
        <f t="shared" si="857"/>
        <v>1.71</v>
      </c>
      <c r="BX424" s="488">
        <f t="shared" si="857"/>
        <v>0</v>
      </c>
      <c r="BY424" s="488">
        <f t="shared" si="857"/>
        <v>0</v>
      </c>
      <c r="BZ424" s="488">
        <f t="shared" si="857"/>
        <v>0</v>
      </c>
      <c r="CA424" s="488">
        <f t="shared" si="857"/>
        <v>0</v>
      </c>
      <c r="CB424" s="488">
        <f t="shared" si="857"/>
        <v>0</v>
      </c>
      <c r="CC424" s="488">
        <f t="shared" si="857"/>
        <v>0</v>
      </c>
      <c r="CD424" s="500">
        <f t="shared" si="857"/>
        <v>0</v>
      </c>
      <c r="CE424" s="504">
        <f t="shared" si="857"/>
        <v>0</v>
      </c>
      <c r="CF424" s="160">
        <f t="shared" si="772"/>
        <v>0</v>
      </c>
      <c r="CG424" s="161">
        <f t="shared" si="773"/>
        <v>0</v>
      </c>
      <c r="CH424" s="161">
        <f t="shared" si="774"/>
        <v>0</v>
      </c>
      <c r="CI424" s="161">
        <f t="shared" si="775"/>
        <v>0</v>
      </c>
      <c r="CJ424" s="161">
        <f t="shared" si="776"/>
        <v>0</v>
      </c>
      <c r="CK424" s="161">
        <f t="shared" si="777"/>
        <v>0</v>
      </c>
      <c r="CL424" s="161">
        <f t="shared" si="778"/>
        <v>0</v>
      </c>
      <c r="CM424" s="161">
        <f t="shared" si="779"/>
        <v>0</v>
      </c>
      <c r="CN424" s="161">
        <f t="shared" si="780"/>
        <v>0</v>
      </c>
      <c r="CO424" s="161">
        <f t="shared" si="781"/>
        <v>0</v>
      </c>
      <c r="CP424" s="161">
        <f t="shared" si="782"/>
        <v>0</v>
      </c>
      <c r="CQ424" s="161">
        <f t="shared" si="783"/>
        <v>0</v>
      </c>
      <c r="CR424" s="161">
        <f t="shared" si="784"/>
        <v>0</v>
      </c>
      <c r="CS424" s="161">
        <f t="shared" si="785"/>
        <v>0</v>
      </c>
      <c r="CT424" s="75">
        <f t="shared" si="786"/>
        <v>0</v>
      </c>
      <c r="CU424" s="76">
        <f t="shared" si="787"/>
        <v>1</v>
      </c>
      <c r="CV424" s="76">
        <f t="shared" si="788"/>
        <v>0</v>
      </c>
      <c r="CW424" s="76">
        <f t="shared" si="789"/>
        <v>0</v>
      </c>
      <c r="CX424" s="76">
        <f t="shared" si="790"/>
        <v>0</v>
      </c>
      <c r="CY424" s="76">
        <f t="shared" si="791"/>
        <v>0</v>
      </c>
      <c r="CZ424" s="76">
        <f t="shared" si="792"/>
        <v>0</v>
      </c>
      <c r="DA424" s="76">
        <f t="shared" si="793"/>
        <v>0</v>
      </c>
      <c r="DB424" s="76">
        <f t="shared" si="794"/>
        <v>0</v>
      </c>
      <c r="DC424" s="76">
        <f t="shared" si="795"/>
        <v>0</v>
      </c>
      <c r="DD424" s="76">
        <f t="shared" si="796"/>
        <v>0</v>
      </c>
      <c r="DE424" s="77">
        <f t="shared" si="797"/>
        <v>0</v>
      </c>
      <c r="DF424" s="73">
        <f t="shared" si="799"/>
        <v>29</v>
      </c>
      <c r="DG424" s="67">
        <f t="shared" si="800"/>
        <v>37.629999999999995</v>
      </c>
      <c r="DH424" s="76">
        <f t="shared" si="801"/>
        <v>10</v>
      </c>
      <c r="DI424" s="67">
        <f t="shared" si="802"/>
        <v>41.599999999999994</v>
      </c>
      <c r="DJ424" s="202" t="str">
        <f>IF($D424="","",$D424)</f>
        <v>14</v>
      </c>
      <c r="DK424" s="492">
        <f>IF(AND($B424=" ",$D424&lt;&gt;""),1,0)</f>
        <v>0</v>
      </c>
    </row>
    <row r="425" spans="1:115" ht="14.5" customHeight="1" x14ac:dyDescent="0.2">
      <c r="A425" s="389"/>
      <c r="B425" s="456"/>
      <c r="C425" s="53" t="s">
        <v>54</v>
      </c>
      <c r="D425" s="374"/>
      <c r="E425" s="386"/>
      <c r="F425" s="377"/>
      <c r="G425" s="508"/>
      <c r="H425" s="476"/>
      <c r="I425" s="162">
        <v>1</v>
      </c>
      <c r="J425" s="163" t="str">
        <f>IF(OR(I424="TO",I424="TU",I424="TO1",I424="TU1",I424="TO2",I424="TU2"),J424,IF(OR(I424="AH1",I424="AH2"),IF(OR(I425="AH1",I425="AH2"),-J424,IF(OR(I425="EH1",I425="EH2"),-J424+0.5,"")),IF(OR(I424="EH1",I424="EH2"),IF(OR(I425="AH1",I425="AH2"),-J424+0.5,IF(OR(I425="EH1",I425="EH2"),-J424+1,"")),IF(AND(OR(I424="DNB1",I424="DNB2"),OR(I425="AH1",I425="AH2")),0,IF(AND(I424="Not ScoreBoth",OR(I425="TO1",I425="TO2")),0.5,"")))))</f>
        <v/>
      </c>
      <c r="K425" s="57" t="s">
        <v>40</v>
      </c>
      <c r="L425" s="164">
        <v>2.61</v>
      </c>
      <c r="M425" s="165">
        <v>8.39</v>
      </c>
      <c r="N425" s="406"/>
      <c r="O425" s="60">
        <f>IF(OR(AE424="",AE425=""),"",ROUND(IF(L426&gt;0,IF(M425&gt;0,M425,IF(M424&gt;0,IF(N424=TRUE,ROUND((M424*AE425)/AE424,0),(M424*AE425)/AE424),IF(M425&gt;0,ROUND(M425,IF(N424=0,2,IF(N424=0.1,1,0))),IF(M426&gt;0,ROUND(O426*AE425/AE426,IF(N424=0,2,IF(N424=0.1,1,0))),0)))),IF(M425&gt;0,M425,ROUND((M424*AE425)/AE424,IF(N424=0,2,IF(N424=0.1,1,0))))),2))</f>
        <v>8.39</v>
      </c>
      <c r="P425" s="61">
        <f>IF(OR(L425="",O425=""),"",IF($C425="1/2W",O425/2+O425/2*L425,IF($C425="1/2L",O425/2,IF(I425="Lay",((O425*(L425/(L425-1)))-O425)*(1-_xlfn.XLOOKUP(K425,'Fevereiro 2023 - Valor Real'!A3:A15,'Fevereiro 2023 - Valor Real'!C3:C15,0))+O425,(O425*L425-O425)*(1-_xlfn.XLOOKUP(K425,'Fevereiro 2023 - Valor Real'!A3:A15,'Fevereiro 2023 - Valor Real'!C3:C15,0))+O425))))</f>
        <v>21.8979</v>
      </c>
      <c r="Q425" s="166">
        <f>IF(K425="","",IF(_xlfn.XLOOKUP(K425,K$10:K416,$DJ$10:DJ416,0,,-1)=DJ425,_xlfn.XLOOKUP(K425,K$10:K416,Q$10:Q416,1,,-1)+1,1))</f>
        <v>2</v>
      </c>
      <c r="R425" s="167">
        <f>IF(K425="","",_xlfn.XLOOKUP(K425,K$10:K416,R$10:R416,0,,-1)+IF($C425=" ",1,0))</f>
        <v>0</v>
      </c>
      <c r="S425" s="403"/>
      <c r="T425" s="380"/>
      <c r="U425" s="380"/>
      <c r="V425" s="481"/>
      <c r="W425" s="380"/>
      <c r="X425" s="452"/>
      <c r="Y425" s="383"/>
      <c r="Z425" s="384"/>
      <c r="AA425" s="384"/>
      <c r="AB425" s="384"/>
      <c r="AC425" s="384"/>
      <c r="AD425" s="64"/>
      <c r="AE425" s="65">
        <f>IF(L425="","",IF(L426&gt;0,(SUM(((L424-1)*(1-_xlfn.XLOOKUP(K424,'Fevereiro 2023 - Valor Real'!A3:A15,'Fevereiro 2023 - Valor Real'!C3:C15,0))+1),((L425-1)*(1-_xlfn.XLOOKUP(K425,'Fevereiro 2023 - Valor Real'!A3:A15,'Fevereiro 2023 - Valor Real'!C3:C15,0))+1),((L426-1)*(1-_xlfn.XLOOKUP(K426,'Fevereiro 2023 - Valor Real'!A3:A15,'Fevereiro 2023 - Valor Real'!C3:C15,0))+1))/((L425-1)*(1-_xlfn.XLOOKUP(K425,'Fevereiro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Real'!C3:C15,0))+1))/((L424-1)*(1-_xlfn.XLOOKUP(K424,'Fevereiro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Real'!C3:C15,0))+1))/((L425-1)*(1-_xlfn.XLOOKUP(K425,'Fevereiro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Real'!C3:C15,0))+1))/((L426-1)*(1-_xlfn.XLOOKUP(K426,'Fevereiro 2023 - Valor Real'!A3:A15,'Fevereiro 2023 - Valor Real'!C3:C15,0))+1)),IF(I425="Lay",IF(I424="Lay",((L424/(L424-1)-1)*(1-_xlfn.XLOOKUP(K424,'Fevereiro 2023 - Valor Real'!A3:A15,'Fevereiro 2023 - Valor Real'!C3:C15,0))+1)/(((L424/(L424-1)-1)*(1-_xlfn.XLOOKUP(K424,'Fevereiro 2023 - Valor Real'!A3:A15,'Fevereiro 2023 - Valor Real'!C3:C15,0))+1)+((L425/(L425-1)-1)*(1-_xlfn.XLOOKUP(K425,'Fevereiro 2023 - Valor Real'!A3:A15,'Fevereiro 2023 - Valor Real'!C3:C15,0))+1)),((L424-1)*(1-_xlfn.XLOOKUP(K424,'Fevereiro 2023 - Valor Real'!A3:A15,'Fevereiro 2023 - Valor Real'!C3:C15,0))+1)/(((L424-1)*(1-_xlfn.XLOOKUP(K424,'Fevereiro 2023 - Valor Real'!A3:A15,'Fevereiro 2023 - Valor Real'!C3:C15,0))+1)+((L425/(L425-1)-1)*(1-_xlfn.XLOOKUP(K425,'Fevereiro 2023 - Valor Real'!A3:A15,'Fevereiro 2023 - Valor Real'!C3:C15,0))+1))),IF(I424="Lay",((L424/(L424-1)-1)*(1-_xlfn.XLOOKUP(K424,'Fevereiro 2023 - Valor Real'!A3:A15,'Fevereiro 2023 - Valor Real'!C3:C15,0))+1)/((((L424/(L424-1)-1)*(1-_xlfn.XLOOKUP(K424,'Fevereiro 2023 - Valor Real'!A3:A15,'Fevereiro 2023 - Valor Real'!C3:C15,0))+1))+((L425-1)*(1-_xlfn.XLOOKUP(K425,'Fevereiro 2023 - Valor Real'!A3:A15,'Fevereiro 2023 - Valor Real'!C3:C15,0))+1)),((L424-1)*(1-_xlfn.XLOOKUP(K424,'Fevereiro 2023 - Valor Real'!A3:A15,'Fevereiro 2023 - Valor Real'!C3:C15,0))+1)/(((L424-1)*(1-_xlfn.XLOOKUP(K424,'Fevereiro 2023 - Valor Real'!A3:A15,'Fevereiro 2023 - Valor Real'!C3:C15,0))+1)+((L425-1)*(1-_xlfn.XLOOKUP(K425,'Fevereiro 2023 - Valor Real'!A3:A15,'Fevereiro 2023 - Valor Real'!C3:C15,0))+1))))))</f>
        <v>0.4172806430006698</v>
      </c>
      <c r="AF425" s="66">
        <f t="shared" si="854"/>
        <v>0</v>
      </c>
      <c r="AG425" s="67">
        <f t="shared" si="854"/>
        <v>0</v>
      </c>
      <c r="AH425" s="67">
        <f t="shared" si="854"/>
        <v>0</v>
      </c>
      <c r="AI425" s="67">
        <f t="shared" si="854"/>
        <v>0</v>
      </c>
      <c r="AJ425" s="67">
        <f t="shared" si="854"/>
        <v>13.51</v>
      </c>
      <c r="AK425" s="67">
        <f t="shared" si="854"/>
        <v>0</v>
      </c>
      <c r="AL425" s="67">
        <f t="shared" si="854"/>
        <v>0</v>
      </c>
      <c r="AM425" s="67">
        <f t="shared" si="854"/>
        <v>0</v>
      </c>
      <c r="AN425" s="67">
        <f t="shared" si="854"/>
        <v>0</v>
      </c>
      <c r="AO425" s="67">
        <f t="shared" si="854"/>
        <v>0</v>
      </c>
      <c r="AP425" s="67">
        <f t="shared" si="854"/>
        <v>0</v>
      </c>
      <c r="AQ425" s="67">
        <f t="shared" si="854"/>
        <v>0</v>
      </c>
      <c r="AR425" s="68">
        <f t="shared" si="854"/>
        <v>0</v>
      </c>
      <c r="AS425" s="66">
        <f>IF(AND($B424=" ",$K425=AS$3),$O425,0)</f>
        <v>0</v>
      </c>
      <c r="AT425" s="67">
        <f>IF(AND($B424=" ",K425=AT$3),$O425,0)</f>
        <v>0</v>
      </c>
      <c r="AU425" s="67">
        <f t="shared" ref="AU425:BE425" si="858">IF(AND($B424=" ",$K425=AU$3),$O425,0)</f>
        <v>0</v>
      </c>
      <c r="AV425" s="67">
        <f t="shared" si="858"/>
        <v>0</v>
      </c>
      <c r="AW425" s="67">
        <f t="shared" si="858"/>
        <v>0</v>
      </c>
      <c r="AX425" s="67">
        <f t="shared" si="858"/>
        <v>0</v>
      </c>
      <c r="AY425" s="69">
        <f t="shared" si="858"/>
        <v>0</v>
      </c>
      <c r="AZ425" s="70">
        <f t="shared" si="858"/>
        <v>0</v>
      </c>
      <c r="BA425" s="70">
        <f t="shared" si="858"/>
        <v>0</v>
      </c>
      <c r="BB425" s="70">
        <f t="shared" si="858"/>
        <v>0</v>
      </c>
      <c r="BC425" s="71">
        <f t="shared" si="858"/>
        <v>0</v>
      </c>
      <c r="BD425" s="67">
        <f t="shared" si="858"/>
        <v>0</v>
      </c>
      <c r="BE425" s="68">
        <f t="shared" si="858"/>
        <v>0</v>
      </c>
      <c r="BF425" s="66">
        <f t="shared" si="856"/>
        <v>0</v>
      </c>
      <c r="BG425" s="168">
        <f t="shared" si="856"/>
        <v>0</v>
      </c>
      <c r="BH425" s="67">
        <f t="shared" si="856"/>
        <v>0</v>
      </c>
      <c r="BI425" s="67">
        <f t="shared" si="856"/>
        <v>0</v>
      </c>
      <c r="BJ425" s="67">
        <f t="shared" si="856"/>
        <v>8.39</v>
      </c>
      <c r="BK425" s="67">
        <f t="shared" si="856"/>
        <v>0</v>
      </c>
      <c r="BL425" s="67">
        <f t="shared" si="856"/>
        <v>0</v>
      </c>
      <c r="BM425" s="69">
        <f t="shared" si="856"/>
        <v>0</v>
      </c>
      <c r="BN425" s="70">
        <f t="shared" si="856"/>
        <v>0</v>
      </c>
      <c r="BO425" s="70">
        <f t="shared" si="856"/>
        <v>0</v>
      </c>
      <c r="BP425" s="70">
        <f t="shared" si="856"/>
        <v>0</v>
      </c>
      <c r="BQ425" s="71">
        <f t="shared" si="856"/>
        <v>0</v>
      </c>
      <c r="BR425" s="68">
        <f t="shared" si="856"/>
        <v>0</v>
      </c>
      <c r="BS425" s="491"/>
      <c r="BT425" s="489"/>
      <c r="BU425" s="392"/>
      <c r="BV425" s="489"/>
      <c r="BW425" s="392"/>
      <c r="BX425" s="392"/>
      <c r="BY425" s="392"/>
      <c r="BZ425" s="489"/>
      <c r="CA425" s="392"/>
      <c r="CB425" s="392"/>
      <c r="CC425" s="392"/>
      <c r="CD425" s="401"/>
      <c r="CE425" s="409"/>
      <c r="CF425" s="169">
        <f t="shared" si="772"/>
        <v>0</v>
      </c>
      <c r="CG425" s="170">
        <f t="shared" si="773"/>
        <v>0</v>
      </c>
      <c r="CH425" s="170">
        <f t="shared" si="774"/>
        <v>0</v>
      </c>
      <c r="CI425" s="170">
        <f t="shared" si="775"/>
        <v>0</v>
      </c>
      <c r="CJ425" s="170">
        <f t="shared" si="776"/>
        <v>0</v>
      </c>
      <c r="CK425" s="170">
        <f t="shared" si="777"/>
        <v>0</v>
      </c>
      <c r="CL425" s="170">
        <f t="shared" si="778"/>
        <v>0</v>
      </c>
      <c r="CM425" s="170">
        <f t="shared" si="779"/>
        <v>0</v>
      </c>
      <c r="CN425" s="170">
        <f t="shared" si="780"/>
        <v>1</v>
      </c>
      <c r="CO425" s="170">
        <f t="shared" si="781"/>
        <v>0</v>
      </c>
      <c r="CP425" s="170">
        <f t="shared" si="782"/>
        <v>0</v>
      </c>
      <c r="CQ425" s="170">
        <f t="shared" si="783"/>
        <v>0</v>
      </c>
      <c r="CR425" s="170">
        <f t="shared" si="784"/>
        <v>0</v>
      </c>
      <c r="CS425" s="170">
        <f t="shared" si="785"/>
        <v>0</v>
      </c>
      <c r="CT425" s="75">
        <f t="shared" si="786"/>
        <v>0</v>
      </c>
      <c r="CU425" s="76">
        <f t="shared" si="787"/>
        <v>0</v>
      </c>
      <c r="CV425" s="76">
        <f t="shared" si="788"/>
        <v>0</v>
      </c>
      <c r="CW425" s="76">
        <f t="shared" si="789"/>
        <v>0</v>
      </c>
      <c r="CX425" s="76">
        <f t="shared" si="790"/>
        <v>0</v>
      </c>
      <c r="CY425" s="76">
        <f t="shared" si="791"/>
        <v>0</v>
      </c>
      <c r="CZ425" s="76">
        <f t="shared" si="792"/>
        <v>0</v>
      </c>
      <c r="DA425" s="76">
        <f t="shared" si="793"/>
        <v>0</v>
      </c>
      <c r="DB425" s="76">
        <f t="shared" si="794"/>
        <v>0</v>
      </c>
      <c r="DC425" s="76">
        <f t="shared" si="795"/>
        <v>0</v>
      </c>
      <c r="DD425" s="76">
        <f t="shared" si="796"/>
        <v>0</v>
      </c>
      <c r="DE425" s="77">
        <f t="shared" si="797"/>
        <v>0</v>
      </c>
      <c r="DF425" s="73">
        <f t="shared" si="799"/>
        <v>29</v>
      </c>
      <c r="DG425" s="67">
        <f t="shared" si="800"/>
        <v>37.629999999999995</v>
      </c>
      <c r="DH425" s="76">
        <f t="shared" si="801"/>
        <v>10</v>
      </c>
      <c r="DI425" s="67">
        <f t="shared" si="802"/>
        <v>41.599999999999994</v>
      </c>
      <c r="DJ425" s="202" t="str">
        <f>IF($D424="","",$D424)</f>
        <v>14</v>
      </c>
      <c r="DK425" s="493"/>
    </row>
    <row r="426" spans="1:115" ht="14.5" customHeight="1" x14ac:dyDescent="0.2">
      <c r="A426" s="390"/>
      <c r="B426" s="457"/>
      <c r="C426" s="79" t="s">
        <v>53</v>
      </c>
      <c r="D426" s="375"/>
      <c r="E426" s="387"/>
      <c r="F426" s="378"/>
      <c r="G426" s="508"/>
      <c r="H426" s="477"/>
      <c r="I426" s="171"/>
      <c r="J426" s="172"/>
      <c r="K426" s="81"/>
      <c r="L426" s="173"/>
      <c r="M426" s="174"/>
      <c r="N426" s="407"/>
      <c r="O426" s="86" t="str">
        <f>IF(OR(AE424="",AE425=""),"",IF(L426&gt;0,ROUND(IF(M426&gt;0,M426,IF(M424&gt;0,ROUND((M424*AE426)/AE424,IF(N424=0,2,IF(N424=0.1,1,0))),IF(M425&gt;0,ROUND((M425*AE426)/AE425,IF(N424=0,2,IF(N424=0.1,1,0))),IF(M426&gt;0,M426,0)))),2),""))</f>
        <v/>
      </c>
      <c r="P426" s="87" t="str">
        <f>IF(I425="Lay",O425*(L425/(L425-1))-O425,IF(I424="Lay",O424*(L424/(L424-1))-O424,IF(OR(L426="",O426=""),"",IF($C426="1/2W",O426/2+O426/2*L426,IF($C426="1/2L",O426/2,(O426*L426-O426)*(1-_xlfn.XLOOKUP(K426,'Fevereiro 2023 - Valor Real'!A3:A15,'Fevereiro 2023 - Valor Real'!C3:C15,0))+O426)))))</f>
        <v/>
      </c>
      <c r="Q426" s="54" t="str">
        <f>IF(K426="","",IF(_xlfn.XLOOKUP(K426,K$11:K416,$DJ$11:DJ416,0,,-1)=DJ426,_xlfn.XLOOKUP(K426,K$11:K416,Q$11:Q416,1,,-1)+1,1))</f>
        <v/>
      </c>
      <c r="R426" s="87" t="str">
        <f>IF(K426="","",_xlfn.XLOOKUP(K426,K$11:K416,R$11:R416,0,,-1)+IF($C426=" ",1,0))</f>
        <v/>
      </c>
      <c r="S426" s="404"/>
      <c r="T426" s="378"/>
      <c r="U426" s="378"/>
      <c r="V426" s="404"/>
      <c r="W426" s="378"/>
      <c r="X426" s="453"/>
      <c r="Y426" s="383"/>
      <c r="Z426" s="384"/>
      <c r="AA426" s="384"/>
      <c r="AB426" s="384"/>
      <c r="AC426" s="384"/>
      <c r="AD426" s="90"/>
      <c r="AE426" s="91" t="str">
        <f>IF(L426="","",(SUM(((L424-1)*(1-_xlfn.XLOOKUP(K424,'Fevereiro 2023 - Valor Real'!A3:A15,'Fevereiro 2023 - Valor Real'!C3:C15,0))+1),((L425-1)*(1-_xlfn.XLOOKUP(K425,'Fevereiro 2023 - Valor Real'!A3:A15,'Fevereiro 2023 - Valor Real'!C3:C15,0))+1),((L426-1)*(1-_xlfn.XLOOKUP(K426,'Fevereiro 2023 - Valor Real'!A3:A15,'Fevereiro 2023 - Valor Real'!C3:C15,0))+1))/((L426-1)*(1-_xlfn.XLOOKUP(K426,'Fevereiro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Real'!C3:C15,0))+1))/((L424-1)*(1-_xlfn.XLOOKUP(K424,'Fevereiro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Real'!C3:C15,0))+1))/((L425-1)*(1-_xlfn.XLOOKUP(K425,'Fevereiro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Real'!C3:C15,0))+1))/((L426-1)*(1-_xlfn.XLOOKUP(K426,'Fevereiro 2023 - Valor Real'!A3:A15,'Fevereiro 2023 - Valor Real'!C3:C15,0))+1)))</f>
        <v/>
      </c>
      <c r="AF426" s="66">
        <f t="shared" si="854"/>
        <v>0</v>
      </c>
      <c r="AG426" s="67">
        <f t="shared" si="854"/>
        <v>0</v>
      </c>
      <c r="AH426" s="67">
        <f t="shared" si="854"/>
        <v>0</v>
      </c>
      <c r="AI426" s="67">
        <f t="shared" si="854"/>
        <v>0</v>
      </c>
      <c r="AJ426" s="67">
        <f t="shared" si="854"/>
        <v>0</v>
      </c>
      <c r="AK426" s="67">
        <f t="shared" si="854"/>
        <v>0</v>
      </c>
      <c r="AL426" s="67">
        <f t="shared" si="854"/>
        <v>0</v>
      </c>
      <c r="AM426" s="67">
        <f t="shared" si="854"/>
        <v>0</v>
      </c>
      <c r="AN426" s="67">
        <f t="shared" si="854"/>
        <v>0</v>
      </c>
      <c r="AO426" s="67">
        <f t="shared" si="854"/>
        <v>0</v>
      </c>
      <c r="AP426" s="67">
        <f t="shared" si="854"/>
        <v>0</v>
      </c>
      <c r="AQ426" s="67">
        <f t="shared" si="854"/>
        <v>0</v>
      </c>
      <c r="AR426" s="68">
        <f t="shared" si="854"/>
        <v>0</v>
      </c>
      <c r="AS426" s="66">
        <f>IF(AND($B424=" ",$K426=AS$3),$O426,0)</f>
        <v>0</v>
      </c>
      <c r="AT426" s="67">
        <f>IF(AND($B424=" ",K426=AT$3),$O426,0)</f>
        <v>0</v>
      </c>
      <c r="AU426" s="67">
        <f t="shared" ref="AU426:BE426" si="859">IF(AND($B424=" ",$K426=AU$3),$O426,0)</f>
        <v>0</v>
      </c>
      <c r="AV426" s="67">
        <f t="shared" si="859"/>
        <v>0</v>
      </c>
      <c r="AW426" s="67">
        <f t="shared" si="859"/>
        <v>0</v>
      </c>
      <c r="AX426" s="67">
        <f t="shared" si="859"/>
        <v>0</v>
      </c>
      <c r="AY426" s="69">
        <f t="shared" si="859"/>
        <v>0</v>
      </c>
      <c r="AZ426" s="70">
        <f t="shared" si="859"/>
        <v>0</v>
      </c>
      <c r="BA426" s="70">
        <f t="shared" si="859"/>
        <v>0</v>
      </c>
      <c r="BB426" s="70">
        <f t="shared" si="859"/>
        <v>0</v>
      </c>
      <c r="BC426" s="71">
        <f t="shared" si="859"/>
        <v>0</v>
      </c>
      <c r="BD426" s="67">
        <f t="shared" si="859"/>
        <v>0</v>
      </c>
      <c r="BE426" s="68">
        <f t="shared" si="859"/>
        <v>0</v>
      </c>
      <c r="BF426" s="66">
        <f t="shared" si="856"/>
        <v>0</v>
      </c>
      <c r="BG426" s="168">
        <f t="shared" si="856"/>
        <v>0</v>
      </c>
      <c r="BH426" s="67">
        <f t="shared" si="856"/>
        <v>0</v>
      </c>
      <c r="BI426" s="67">
        <f t="shared" si="856"/>
        <v>0</v>
      </c>
      <c r="BJ426" s="67">
        <f t="shared" si="856"/>
        <v>0</v>
      </c>
      <c r="BK426" s="67">
        <f t="shared" si="856"/>
        <v>0</v>
      </c>
      <c r="BL426" s="67">
        <f t="shared" si="856"/>
        <v>0</v>
      </c>
      <c r="BM426" s="69">
        <f t="shared" si="856"/>
        <v>0</v>
      </c>
      <c r="BN426" s="70">
        <f t="shared" si="856"/>
        <v>0</v>
      </c>
      <c r="BO426" s="70">
        <f t="shared" si="856"/>
        <v>0</v>
      </c>
      <c r="BP426" s="70">
        <f t="shared" si="856"/>
        <v>0</v>
      </c>
      <c r="BQ426" s="71">
        <f t="shared" si="856"/>
        <v>0</v>
      </c>
      <c r="BR426" s="68">
        <f t="shared" si="856"/>
        <v>0</v>
      </c>
      <c r="BS426" s="491"/>
      <c r="BT426" s="489"/>
      <c r="BU426" s="392"/>
      <c r="BV426" s="489"/>
      <c r="BW426" s="392"/>
      <c r="BX426" s="392"/>
      <c r="BY426" s="392"/>
      <c r="BZ426" s="489"/>
      <c r="CA426" s="392"/>
      <c r="CB426" s="392"/>
      <c r="CC426" s="392"/>
      <c r="CD426" s="401"/>
      <c r="CE426" s="409"/>
      <c r="CF426" s="169">
        <f t="shared" si="772"/>
        <v>0</v>
      </c>
      <c r="CG426" s="170">
        <f t="shared" si="773"/>
        <v>0</v>
      </c>
      <c r="CH426" s="170">
        <f t="shared" si="774"/>
        <v>0</v>
      </c>
      <c r="CI426" s="170">
        <f t="shared" si="775"/>
        <v>0</v>
      </c>
      <c r="CJ426" s="170">
        <f t="shared" si="776"/>
        <v>0</v>
      </c>
      <c r="CK426" s="170">
        <f t="shared" si="777"/>
        <v>0</v>
      </c>
      <c r="CL426" s="170">
        <f t="shared" si="778"/>
        <v>0</v>
      </c>
      <c r="CM426" s="170">
        <f t="shared" si="779"/>
        <v>0</v>
      </c>
      <c r="CN426" s="170">
        <f t="shared" si="780"/>
        <v>0</v>
      </c>
      <c r="CO426" s="170">
        <f t="shared" si="781"/>
        <v>0</v>
      </c>
      <c r="CP426" s="170">
        <f t="shared" si="782"/>
        <v>0</v>
      </c>
      <c r="CQ426" s="170">
        <f t="shared" si="783"/>
        <v>0</v>
      </c>
      <c r="CR426" s="170">
        <f t="shared" si="784"/>
        <v>0</v>
      </c>
      <c r="CS426" s="170">
        <f t="shared" si="785"/>
        <v>0</v>
      </c>
      <c r="CT426" s="75">
        <f t="shared" si="786"/>
        <v>0</v>
      </c>
      <c r="CU426" s="76">
        <f t="shared" si="787"/>
        <v>0</v>
      </c>
      <c r="CV426" s="76">
        <f t="shared" si="788"/>
        <v>0</v>
      </c>
      <c r="CW426" s="76">
        <f t="shared" si="789"/>
        <v>0</v>
      </c>
      <c r="CX426" s="76">
        <f t="shared" si="790"/>
        <v>0</v>
      </c>
      <c r="CY426" s="76">
        <f t="shared" si="791"/>
        <v>0</v>
      </c>
      <c r="CZ426" s="76">
        <f t="shared" si="792"/>
        <v>0</v>
      </c>
      <c r="DA426" s="76">
        <f t="shared" si="793"/>
        <v>0</v>
      </c>
      <c r="DB426" s="76">
        <f t="shared" si="794"/>
        <v>0</v>
      </c>
      <c r="DC426" s="76">
        <f t="shared" si="795"/>
        <v>0</v>
      </c>
      <c r="DD426" s="76">
        <f t="shared" si="796"/>
        <v>0</v>
      </c>
      <c r="DE426" s="77">
        <f t="shared" si="797"/>
        <v>0</v>
      </c>
      <c r="DF426" s="73">
        <f t="shared" si="799"/>
        <v>29</v>
      </c>
      <c r="DG426" s="67">
        <f t="shared" si="800"/>
        <v>37.629999999999995</v>
      </c>
      <c r="DH426" s="76">
        <f t="shared" si="801"/>
        <v>10</v>
      </c>
      <c r="DI426" s="67">
        <f t="shared" si="802"/>
        <v>41.599999999999994</v>
      </c>
      <c r="DJ426" s="202" t="str">
        <f>IF($D424="","",$D424)</f>
        <v>14</v>
      </c>
      <c r="DK426" s="493"/>
    </row>
    <row r="427" spans="1:115" ht="14.5" customHeight="1" x14ac:dyDescent="0.2">
      <c r="A427" s="459">
        <f>$A424+1</f>
        <v>142</v>
      </c>
      <c r="B427" s="507" t="str">
        <f>IF(OR(C427="W",C428="W",C429="W",C427="1/2W",C428="1/2W",C429="1/2W",C427="1/2L",C428="1/2L",C429="1/2L"),"OK",IF(OR(C427="L",C428="L",C429="L"),"LOSS",IF(OR(C427="X",C428="X",C429="X"),"Anulado"," ")))</f>
        <v>OK</v>
      </c>
      <c r="C427" s="93" t="s">
        <v>55</v>
      </c>
      <c r="D427" s="468" t="str">
        <f>IF(G427="","",$D424)</f>
        <v>14</v>
      </c>
      <c r="E427" s="485" t="str">
        <f>IF(G427=""," ","– "&amp;COUNTIF(D$4:D429,$D427))</f>
        <v>– 5</v>
      </c>
      <c r="F427" s="509" t="str">
        <f ca="1">IF(G427="","",IF(OR(AND($C427&lt;&gt;" ",$C428=" "),AND($C428&lt;&gt;" ",$C427=" "),AND(L429&gt;0,OR(AND($C429&lt;&gt;" ",OR($C427=" ",$C428=" ")),AND($C429=" ",OR($C427&lt;&gt;" ",$C428&lt;&gt;" "))))),IF(SUM(F$4:F426)=0,1,LARGE(F$4:F426,1)+1),IF(MONTH(G427)=MONTH(TODAY()),IF(AND(DAY(G427)&lt;DAY(TODAY()),$B427=" "),IF(SUM(F$4:F426)=0,1,LARGE(F$4:F426,1)+1),IF($B427=" ",IF(AND(DAY(G427)=DAY(TODAY()),HOUR(G427)&lt;=HOUR(NOW())+1),IF(AND(HOUR(G427)+2&lt;=HOUR(NOW()),DAY(G427)&lt;=DAY(TODAY()),MINUTE(G427)&lt;=MINUTE(NOW())),IF(SUM(F$4:F426)=0,1,LARGE(F$4:F426,1)+1),IF(OR(MINUTE(G427)&lt;=MINUTE(NOW()),HOUR(G427)&lt;=HOUR(NOW())),"!!!","")),""),"")),"")))</f>
        <v/>
      </c>
      <c r="G427" s="482">
        <v>45000</v>
      </c>
      <c r="H427" s="475" t="s">
        <v>179</v>
      </c>
      <c r="I427" s="175">
        <v>2</v>
      </c>
      <c r="J427" s="176"/>
      <c r="K427" s="96" t="s">
        <v>40</v>
      </c>
      <c r="L427" s="97">
        <v>22</v>
      </c>
      <c r="M427" s="98">
        <v>9.64</v>
      </c>
      <c r="N427" s="478">
        <v>1</v>
      </c>
      <c r="O427" s="99">
        <f>IF(OR(AE427="",AE428=""),"",ROUND(IF(L429&gt;0,IF(M427&gt;0,M427,IF(M428&gt;0,ROUND((M428*AE427)/AE428,IF(N427=0,2,IF(N427=0.1,1,0))),ROUND((M429*AE427)/AE429,IF(N427=0,2,IF(N427=0.1,1,0))))),IF(M427&gt;0,M427,ROUND((M428*AE427)/AE428,IF(N427=0,2,IF(N427=0.1,1,0))))),2))</f>
        <v>9.64</v>
      </c>
      <c r="P427" s="100">
        <f>IF(OR(L427="",O427=""),"",IF($C427="1/2W",O427/2+O427/2*L427,IF($C427="1/2L",O427/2,IF(I427="Lay",(O427*(L427/(L427-1))-O427)*(1-_xlfn.XLOOKUP(K427,'Fevereiro 2023 - Valor Real'!A3:A15,'Fevereiro 2023 - Valor Real'!C3:C15,0))+O427,(O427*L427-O427)*(1-_xlfn.XLOOKUP(K427,'Fevereiro 2023 - Valor Real'!A3:A15,'Fevereiro 2023 - Valor Real'!C3:C15,0))+O427))))</f>
        <v>212.07999999999998</v>
      </c>
      <c r="Q427" s="101">
        <f>IF(K427="","",IF(_xlfn.XLOOKUP(K427,K$4:K426,$DJ$4:DJ426,0,,-1)=DJ427,_xlfn.XLOOKUP(K427,K$4:K426,Q$4:Q426,1,,-1)+1,1))</f>
        <v>3</v>
      </c>
      <c r="R427" s="102">
        <f>IF(K427="","",_xlfn.XLOOKUP(K427,K$4:K426,R$4:R426,0,,-1)+IF($C427=" ",1,0))</f>
        <v>0</v>
      </c>
      <c r="S427" s="474">
        <f>IF($B427="Anulado",0,ROUND(IF(OR($B427="LOSS",$B427="OK"),IF(OR($C427="W",$C427="1/2W",$C427="1/2L"),P427-O427,IF($C427="L",-O427,0))+IF(OR($C428="W",$C428="1/2W",$C428="1/2L"),P428-O428,IF($C428="L",-O428,0))+IF(OR($C429="W",$C429="1/2W",$C429="1/2L"),P429-O429,IF($C429="L",-O429,0)),IF(AND(OR($C427="W",$C427="1/2W",$C427="1/2L"),C428="W"),P427+P428-SUM(O427:O429)+_xlfn.XLOOKUP("X",C427:C429,O427:O429,0),IF(AND(C427=TRUE,C429="W"),P427+P429-SUM(O427:O429),IF(AND(C428="W",C429="W"),P428+P429-SUM(O427:O429)+_xlfn.XLOOKUP("X",C427:C429,O427:O429,0),IF(L429&gt;0,IF(OR($C427="W",$C427="1/2W",$C427="1/2L"),P427-SUM(O427:O429)+_xlfn.XLOOKUP("X",C427:C429,O427:O429,0),IF(OR($C427="W",$C427="1/2W",$C427="1/2L"),P428-SUM(O427:O429)+_xlfn.XLOOKUP("X",C427:C429,O427:O429,0),IF(OR($C427="W",$C427="1/2W",$C427="1/2L"),P429-SUM(O427:O429)+_xlfn.XLOOKUP("X",C427:C429,O427:O429,0),IF(SUM(P427:P429)/3-SUM(O427:O429)+_xlfn.XLOOKUP("X",C427:C429,O427:O429,0)&gt;0,SUM(P427:P429)/3-SUM(O427:O429)+_xlfn.XLOOKUP("X",C427:C429,O427:O429,0),LARGE(P427:P429,1)-SUM(O427:O429))))),IF(OR($C427="W",$C427="1/2W",$C427="1/2L"),P427-SUM(O427:O428)+_xlfn.XLOOKUP("X",C427:C429,O427:O429,0),IF(OR($C427="W",$C427="1/2W",$C427="1/2L"),P428-SUM(O427:O428)+_xlfn.XLOOKUP("X",C427:C429,O427:O429,0),SUM(P427:P428)/2-SUM(O427:O428)+_xlfn.XLOOKUP("X",C427:C429,O427:O429,0)))))))),2))</f>
        <v>10.93</v>
      </c>
      <c r="T427" s="458">
        <f>IF(S427=0,0,S427/SUM(O427:O429))</f>
        <v>5.2136996756344214E-2</v>
      </c>
      <c r="U427" s="470">
        <f>IF($D427=$D424,IF(OR($B427="LOSS",$B427="OK",$B427="Anulada"),S427,0)+U424,IF(OR($B427="LOSS",$B427="OK",$B427="Anulada"),S427,0))</f>
        <v>26.13</v>
      </c>
      <c r="V427" s="470">
        <f>IF($D427="",0,IF($D427=$D424,IF($B427=" ",IF(I429="",IF(OR(AND(I427="DNB1",I428="DNB2"),AND(OR(I427="DNB1",I427="DNB2"),J428=0),AND(OR(I428="DNB1",I428="DNB2"),J427=0),AND(I427="DNB2",I428="DNB1"),AND(IF(J427=0,(J427+1)/ROUND(J427+1,0),J427/ROUND(J427,0))=1,IF(J428=0,(J428+1)/ROUND(IF(J428="",0,J428)+1,0),IF(J428="",0,J428)/ROUND(IF(J428="",1,J428),0))=1,OR(J427&lt;&gt;""),J428&lt;&gt;"")),0,IF(S427&lt;0,IF(I429="",SMALL(P427:P428,1)-SUM(O427:O428),0),SMALL(P427:P428,1)-SUM(O427:O428))),IF(S427&lt;0,IF(I429="",SMALL(P427:P429,1)-SUM(O427:O429),0),LARGE(P427:P429,1)-SUM(O427:O429))),S427)+V424,IF(I429="",IF(OR(AND(I427="DNB1",I428="DNB2"),AND(OR(I427="DNB1",I427="DNB2"),J428=0),AND(OR(I428="DNB1",I428="DNB2"),J427=0),AND(I427="DNB2",I428="DNB1"),AND(IF(J427=0,(J427+1)/ROUND(J427+1,0),J427/ROUND(J427,0))=1,IF(J428=0,(IF(J428="",0,J428)+1)/ROUND(IF(J428="",0,J428)+1,0),IF(J428="",0,J428)/ROUND(IF(J428="",0,J428)+1,0))=1,OR(J427&lt;&gt;""),J428&lt;&gt;"")),0,IF(S427&lt;0,IF(I429="",SMALL(P427:P428,1)-SUM(O427:O428),0),SMALL(P427:P429,1)-SUM(O427:O429))),IF(S427&lt;0,IF(I429="",SMALL(P427:P429,1)-SUM(O427:O429),0),LARGE(P427:P429,1)-SUM(O427:O429)))))</f>
        <v>26.089600000000001</v>
      </c>
      <c r="W427" s="470">
        <f>IF($D427=$D424,IF(S427&lt;0,IF(I429="",S427,0),S427)+W424,S427)</f>
        <v>26.13</v>
      </c>
      <c r="X427" s="480" t="str">
        <f>IF(OR(SUM(R427:R429)=0,V427=W427),ROUND(IF(W427=0,0,W427/Y427)*100,2)&amp;"%",ROUND(IF(V427=0,0,V427/Y427)*100,2)&amp;"% a "&amp;ROUND(IF(W427=0,0,W427/Y427)*100,2)&amp;"%")</f>
        <v>6,32%</v>
      </c>
      <c r="Y427" s="471">
        <f>IF($D427=$D424,Y424+SUM(O427:O429),SUM(O427:O429))</f>
        <v>413.52</v>
      </c>
      <c r="Z427" s="470">
        <f>IF($B427=" ",SUM(O427:O429),0)+Z424</f>
        <v>0</v>
      </c>
      <c r="AA427" s="470">
        <f>IF(G427="","",IF($B427="Anulado",LARGE(P427:P429,1)-SUM(O427:O429)+AA424,AA424))</f>
        <v>12.425099999999992</v>
      </c>
      <c r="AB427" s="470">
        <f>IF($D427="","",AB424+S427)</f>
        <v>528.42000000000007</v>
      </c>
      <c r="AC427" s="472">
        <f ca="1">IF($D427="","",IF($B427=" ",IF(DAY(G427)=DAY(TODAY()),1+AC424,0+AC424),0+AC424))</f>
        <v>0</v>
      </c>
      <c r="AD427" s="103">
        <f>(((L428/(L428-1)-1)*(1-_xlfn.XLOOKUP(K428,'Fevereiro 2023 - Valor Real'!A3:A15,'Fevereiro 2023 - Valor Real'!C3:C15,0))+1))/(((L427-1)*(1-_xlfn.XLOOKUP(K427,'Fevereiro 2023 - Valor Real'!A3:A15,'Fevereiro 2023 - Valor Real'!C3:C15,0))+1)+((L428/(L428-1)-1)*(1-_xlfn.XLOOKUP(K428,'Fevereiro 2023 - Valor Real'!A3:A15,'Fevereiro 2023 - Valor Real'!C3:C15,0))+1))</f>
        <v>0.3015873015873014</v>
      </c>
      <c r="AE427" s="104">
        <f>IF(L427="","",IF(L429&gt;0,(SUM(((L427-1)*(1-_xlfn.XLOOKUP(K427,'Fevereiro 2023 - Valor Real'!A3:A15,'Fevereiro 2023 - Valor Real'!C3:C15,0))+1),((L428-1)*(1-_xlfn.XLOOKUP(K428,'Fevereiro 2023 - Valor Real'!A3:A15,'Fevereiro 2023 - Valor Real'!C3:C15,0))+1),((L429-1)*(1-_xlfn.XLOOKUP(K429,'Fevereiro 2023 - Valor Real'!A3:A15,'Fevereiro 2023 - Valor Real'!C3:C15,0))+1))/((L427-1)*(1-_xlfn.XLOOKUP(K427,'Fevereiro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Real'!C3:C15,0))+1))/((L427-1)*(1-_xlfn.XLOOKUP(K427,'Fevereiro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Real'!C3:C15,0))+1))/((L428-1)*(1-_xlfn.XLOOKUP(K428,'Fevereiro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Real'!C3:C15,0))+1))/((L429-1)*(1-_xlfn.XLOOKUP(K429,'Fevereiro 2023 - Valor Real'!A3:A15,'Fevereiro 2023 - Valor Real'!C3:C15,0))+1)),IF(I427="Lay",IF(I428="Lay",((L428/(L428-1)-1)*(1-_xlfn.XLOOKUP(K428,'Fevereiro 2023 - Valor Real'!A3:A15,'Fevereiro 2023 - Valor Real'!C3:C15,0))+1)/(((L428/(L428-1)-1)*(1-_xlfn.XLOOKUP(K428,'Fevereiro 2023 - Valor Real'!A3:A15,'Fevereiro 2023 - Valor Real'!C3:C15,0))+1)+((L427/(L427-1)-1)*(1-_xlfn.XLOOKUP(K427,'Fevereiro 2023 - Valor Real'!A3:A15,'Fevereiro 2023 - Valor Real'!C3:C15,0))+1)),((L428-1)*(1-_xlfn.XLOOKUP(K428,'Fevereiro 2023 - Valor Real'!A3:A15,'Fevereiro 2023 - Valor Real'!C3:C15,0))+1)/(((L428-1)*(1-_xlfn.XLOOKUP(K428,'Fevereiro 2023 - Valor Real'!A3:A15,'Fevereiro 2023 - Valor Real'!C3:C15,0))+1)+((L427/(L427-1)-1)*(1-_xlfn.XLOOKUP(K427,'Fevereiro 2023 - Valor Real'!A3:A15,'Fevereiro 2023 - Valor Real'!C3:C15,0))+1))),IF(I428="Lay",(((L428/(L428-1)-1)*(1-_xlfn.XLOOKUP(K428,'Fevereiro 2023 - Valor Real'!A3:A15,'Fevereiro 2023 - Valor Real'!C3:C15,0))+1))/(((L427-1)*(1-_xlfn.XLOOKUP(K427,'Fevereiro 2023 - Valor Real'!A3:A15,'Fevereiro 2023 - Valor Real'!C3:C15,0))+1)+((L428/(L428-1)-1)*(1-_xlfn.XLOOKUP(K428,'Fevereiro 2023 - Valor Real'!A3:A15,'Fevereiro 2023 - Valor Real'!C3:C15,0))+1)),((L428-1)*(1-_xlfn.XLOOKUP(K428,'Fevereiro 2023 - Valor Real'!A3:A15,'Fevereiro 2023 - Valor Real'!C3:C15,0))+1)/(((L428-1)*(1-_xlfn.XLOOKUP(K428,'Fevereiro 2023 - Valor Real'!A3:A15,'Fevereiro 2023 - Valor Real'!C3:C15,0))+1)+((L427-1)*(1-_xlfn.XLOOKUP(K427,'Fevereiro 2023 - Valor Real'!A3:A15,'Fevereiro 2023 - Valor Real'!C3:C15,0))+1))))))</f>
        <v>4.7736534669964963E-2</v>
      </c>
      <c r="AF427" s="105">
        <f t="shared" si="854"/>
        <v>0</v>
      </c>
      <c r="AG427" s="106">
        <f t="shared" si="854"/>
        <v>0</v>
      </c>
      <c r="AH427" s="106">
        <f t="shared" si="854"/>
        <v>0</v>
      </c>
      <c r="AI427" s="106">
        <f t="shared" si="854"/>
        <v>0</v>
      </c>
      <c r="AJ427" s="106">
        <f t="shared" si="854"/>
        <v>-9.64</v>
      </c>
      <c r="AK427" s="106">
        <f t="shared" si="854"/>
        <v>0</v>
      </c>
      <c r="AL427" s="106">
        <f t="shared" si="854"/>
        <v>0</v>
      </c>
      <c r="AM427" s="106">
        <f t="shared" si="854"/>
        <v>0</v>
      </c>
      <c r="AN427" s="106">
        <f t="shared" si="854"/>
        <v>0</v>
      </c>
      <c r="AO427" s="106">
        <f t="shared" si="854"/>
        <v>0</v>
      </c>
      <c r="AP427" s="106">
        <f t="shared" si="854"/>
        <v>0</v>
      </c>
      <c r="AQ427" s="106">
        <f t="shared" si="854"/>
        <v>0</v>
      </c>
      <c r="AR427" s="107">
        <f t="shared" si="854"/>
        <v>0</v>
      </c>
      <c r="AS427" s="105">
        <f t="shared" ref="AS427:BE427" si="860">IF(AND($B427=" ",$K427=AS$3),$O427,0)</f>
        <v>0</v>
      </c>
      <c r="AT427" s="106">
        <f t="shared" si="860"/>
        <v>0</v>
      </c>
      <c r="AU427" s="106">
        <f t="shared" si="860"/>
        <v>0</v>
      </c>
      <c r="AV427" s="106">
        <f t="shared" si="860"/>
        <v>0</v>
      </c>
      <c r="AW427" s="106">
        <f t="shared" si="860"/>
        <v>0</v>
      </c>
      <c r="AX427" s="106">
        <f t="shared" si="860"/>
        <v>0</v>
      </c>
      <c r="AY427" s="108">
        <f t="shared" si="860"/>
        <v>0</v>
      </c>
      <c r="AZ427" s="109">
        <f t="shared" si="860"/>
        <v>0</v>
      </c>
      <c r="BA427" s="109">
        <f t="shared" si="860"/>
        <v>0</v>
      </c>
      <c r="BB427" s="109">
        <f t="shared" si="860"/>
        <v>0</v>
      </c>
      <c r="BC427" s="110">
        <f t="shared" si="860"/>
        <v>0</v>
      </c>
      <c r="BD427" s="106">
        <f t="shared" si="860"/>
        <v>0</v>
      </c>
      <c r="BE427" s="107">
        <f t="shared" si="860"/>
        <v>0</v>
      </c>
      <c r="BF427" s="111">
        <f t="shared" si="856"/>
        <v>0</v>
      </c>
      <c r="BG427" s="106">
        <f t="shared" si="856"/>
        <v>0</v>
      </c>
      <c r="BH427" s="106">
        <f t="shared" si="856"/>
        <v>0</v>
      </c>
      <c r="BI427" s="106">
        <f t="shared" si="856"/>
        <v>0</v>
      </c>
      <c r="BJ427" s="106">
        <f t="shared" si="856"/>
        <v>9.64</v>
      </c>
      <c r="BK427" s="106">
        <f t="shared" si="856"/>
        <v>0</v>
      </c>
      <c r="BL427" s="106">
        <f t="shared" si="856"/>
        <v>0</v>
      </c>
      <c r="BM427" s="108">
        <f t="shared" si="856"/>
        <v>0</v>
      </c>
      <c r="BN427" s="109">
        <f t="shared" si="856"/>
        <v>0</v>
      </c>
      <c r="BO427" s="109">
        <f t="shared" si="856"/>
        <v>0</v>
      </c>
      <c r="BP427" s="109">
        <f t="shared" si="856"/>
        <v>0</v>
      </c>
      <c r="BQ427" s="110">
        <f t="shared" si="856"/>
        <v>0</v>
      </c>
      <c r="BR427" s="107">
        <f t="shared" si="856"/>
        <v>0</v>
      </c>
      <c r="BS427" s="463">
        <f>IF($B427="LOSS",IF(AND($K427=BS$3,$C427="L"),-$O427,0)+IF(AND($K428=BS$3,$C428="L"),-$O428,0)+IF(AND($K429=BS$3,$C429="L"),-$O429,0),IF(OR(AND($K427=BS$3,OR($C427="W",$C427="1/2W")),AND($K428=BS$3,OR($C428="W",$C428="1/2W")),AND($K429=BS$3,OR($C429="W",$C429="1/2W"))),$S427,0))</f>
        <v>0</v>
      </c>
      <c r="BT427" s="462">
        <f>IF($B427="LOSS",IF(AND($K427=BT$3,$C427="L"),-$O427,0)+IF(AND($K428=BT$3,$C428="L"),-$O428,0)+IF(AND($K428=BT$3,$C429="L"),-$O429,0),IF(OR(AND($K428=BT$3,OR($C427="W",$C427="1/2W")),AND($K428=BT$3,OR($C428="W",$C428="1/2W")),AND($K428=BT$3,OR($C429="W",$C429="1/2W"))),$S427,0))</f>
        <v>0</v>
      </c>
      <c r="BU427" s="462">
        <f>IF($B427="LOSS",IF(AND($K427=BU$3,$C427="L"),-$O427,0)+IF(AND($K428=BU$3,$C428="L"),-$O428,0)+IF(AND($K428=BU$3,$C429="L"),-$O429,0),IF(OR(AND($K428=BU$3,OR($C427="W",$C427="1/2W")),AND($K428=BU$3,OR($C428="W",$C428="1/2W")),AND($K428=BU$3,OR($C429="W",$C429="1/2W"))),$S427,0))</f>
        <v>10.93</v>
      </c>
      <c r="BV427" s="462">
        <f t="shared" ref="BV427:CE427" si="861">IF($B427="LOSS",IF(AND($K427=BV$3,$C427="L"),-$O427,0)+IF(AND($K428=BV$3,$C428="L"),-$O428,0)+IF(AND($K429=BV$3,$C429="L"),-$O429,0),IF(OR(AND($K427=BV$3,OR($C427="W",$C427="1/2W")),AND($K428=BV$3,OR($C428="W",$C428="1/2W")),AND($K429=BV$3,OR($C429="W",$C429="1/2W"))),$S427,0))</f>
        <v>0</v>
      </c>
      <c r="BW427" s="462">
        <f t="shared" si="861"/>
        <v>0</v>
      </c>
      <c r="BX427" s="462">
        <f t="shared" si="861"/>
        <v>0</v>
      </c>
      <c r="BY427" s="462">
        <f t="shared" si="861"/>
        <v>0</v>
      </c>
      <c r="BZ427" s="460">
        <f t="shared" si="861"/>
        <v>0</v>
      </c>
      <c r="CA427" s="460">
        <f t="shared" si="861"/>
        <v>0</v>
      </c>
      <c r="CB427" s="460">
        <f t="shared" si="861"/>
        <v>0</v>
      </c>
      <c r="CC427" s="460">
        <f t="shared" si="861"/>
        <v>0</v>
      </c>
      <c r="CD427" s="473">
        <f t="shared" si="861"/>
        <v>0</v>
      </c>
      <c r="CE427" s="479">
        <f t="shared" si="861"/>
        <v>0</v>
      </c>
      <c r="CF427" s="113">
        <f t="shared" si="772"/>
        <v>0</v>
      </c>
      <c r="CG427" s="114">
        <f t="shared" si="773"/>
        <v>0</v>
      </c>
      <c r="CH427" s="114">
        <f t="shared" si="774"/>
        <v>0</v>
      </c>
      <c r="CI427" s="114">
        <f t="shared" si="775"/>
        <v>0</v>
      </c>
      <c r="CJ427" s="114">
        <f t="shared" si="776"/>
        <v>0</v>
      </c>
      <c r="CK427" s="114">
        <f t="shared" si="777"/>
        <v>0</v>
      </c>
      <c r="CL427" s="114">
        <f t="shared" si="778"/>
        <v>0</v>
      </c>
      <c r="CM427" s="114">
        <f t="shared" si="779"/>
        <v>0</v>
      </c>
      <c r="CN427" s="114">
        <f t="shared" si="780"/>
        <v>0</v>
      </c>
      <c r="CO427" s="114">
        <f t="shared" si="781"/>
        <v>1</v>
      </c>
      <c r="CP427" s="114">
        <f t="shared" si="782"/>
        <v>0</v>
      </c>
      <c r="CQ427" s="114">
        <f t="shared" si="783"/>
        <v>0</v>
      </c>
      <c r="CR427" s="114">
        <f t="shared" si="784"/>
        <v>0</v>
      </c>
      <c r="CS427" s="114">
        <f t="shared" si="785"/>
        <v>0</v>
      </c>
      <c r="CT427" s="115">
        <f t="shared" si="786"/>
        <v>0</v>
      </c>
      <c r="CU427" s="116">
        <f t="shared" si="787"/>
        <v>0</v>
      </c>
      <c r="CV427" s="116">
        <f t="shared" si="788"/>
        <v>0</v>
      </c>
      <c r="CW427" s="116">
        <f t="shared" si="789"/>
        <v>0</v>
      </c>
      <c r="CX427" s="116">
        <f t="shared" si="790"/>
        <v>0</v>
      </c>
      <c r="CY427" s="116">
        <f t="shared" si="791"/>
        <v>0</v>
      </c>
      <c r="CZ427" s="116">
        <f t="shared" si="792"/>
        <v>0</v>
      </c>
      <c r="DA427" s="116">
        <f t="shared" si="793"/>
        <v>0</v>
      </c>
      <c r="DB427" s="116">
        <f t="shared" si="794"/>
        <v>0</v>
      </c>
      <c r="DC427" s="116">
        <f t="shared" si="795"/>
        <v>0</v>
      </c>
      <c r="DD427" s="116">
        <f t="shared" si="796"/>
        <v>0</v>
      </c>
      <c r="DE427" s="117">
        <f t="shared" si="797"/>
        <v>0</v>
      </c>
      <c r="DF427" s="118">
        <f t="shared" si="799"/>
        <v>29</v>
      </c>
      <c r="DG427" s="106">
        <f t="shared" si="800"/>
        <v>37.629999999999995</v>
      </c>
      <c r="DH427" s="116">
        <f t="shared" si="801"/>
        <v>10</v>
      </c>
      <c r="DI427" s="106">
        <f t="shared" si="802"/>
        <v>41.599999999999994</v>
      </c>
      <c r="DJ427" s="201" t="str">
        <f>IF($D427="","",$D427)</f>
        <v>14</v>
      </c>
      <c r="DK427" s="465">
        <f>IF(AND($B427=" ",$D427&lt;&gt;""),1,0)</f>
        <v>0</v>
      </c>
    </row>
    <row r="428" spans="1:115" ht="14.5" customHeight="1" x14ac:dyDescent="0.2">
      <c r="A428" s="389"/>
      <c r="B428" s="456"/>
      <c r="C428" s="120" t="s">
        <v>54</v>
      </c>
      <c r="D428" s="374"/>
      <c r="E428" s="386"/>
      <c r="F428" s="377"/>
      <c r="G428" s="483"/>
      <c r="H428" s="476"/>
      <c r="I428" s="178">
        <v>1</v>
      </c>
      <c r="J428" s="179" t="str">
        <f>IF(OR(I427="TO",I427="TU",I427="TO1",I427="TU1",I427="TO2",I427="TU2"),J427,IF(OR(I427="AH1",I427="AH2"),IF(OR(I428="AH1",I428="AH2"),-J427,IF(OR(I428="EH1",I428="EH2"),-J427+0.5,"")),IF(OR(I427="EH1",I427="EH2"),IF(OR(I428="AH1",I428="AH2"),-J427+0.5,IF(OR(I428="EH1",I428="EH2"),-J427+1,"")),IF(AND(OR(I427="DNB1",I427="DNB2"),OR(I428="AH1",I428="AH2")),0,IF(AND(I427="Not ScoreBoth",OR(I428="TO1",I428="TO2")),0.5,"")))))</f>
        <v/>
      </c>
      <c r="K428" s="123" t="s">
        <v>38</v>
      </c>
      <c r="L428" s="124">
        <v>1.1100000000000001</v>
      </c>
      <c r="M428" s="125">
        <v>200</v>
      </c>
      <c r="N428" s="406"/>
      <c r="O428" s="126">
        <f>IF(OR(AE427="",AE428=""),"",ROUND(IF(L429&gt;0,IF(M428&gt;0,M428,IF(M427&gt;0,IF(N427=TRUE,ROUND((M427*AE428)/AE427,0),(M427*AE428)/AE427),IF(M428&gt;0,ROUND(M428,IF(N427=0,2,IF(N427=0.1,1,0))),IF(M429&gt;0,ROUND(O429*AE428/AE429,IF(N427=0,2,IF(N427=0.1,1,0))),0)))),IF(M428&gt;0,M428,ROUND((M427*AE428)/AE427,IF(N427=0,2,IF(N427=0.1,1,0))))),2))</f>
        <v>200</v>
      </c>
      <c r="P428" s="127">
        <f>IF(OR(L428="",O428=""),"",IF($C428="1/2W",O428/2+O428/2*L428,IF($C428="1/2L",O428/2,IF(I428="Lay",((O428*(L428/(L428-1)))-O428)*(1-_xlfn.XLOOKUP(K428,'Fevereiro 2023 - Valor Real'!A3:A15,'Fevereiro 2023 - Valor Real'!C3:C15,0))+O428,(O428*L428-O428)*(1-_xlfn.XLOOKUP(K428,'Fevereiro 2023 - Valor Real'!A3:A15,'Fevereiro 2023 - Valor Real'!C3:C15,0))+O428))))</f>
        <v>220.57000000000002</v>
      </c>
      <c r="Q428" s="128">
        <f>IF(K428="","",IF(_xlfn.XLOOKUP(K428,K$4:K427,$DJ$4:DJ427,0,,-1)=DJ428,_xlfn.XLOOKUP(K428,K$4:K427,Q$4:Q427,1,,-1)+1,1))</f>
        <v>1</v>
      </c>
      <c r="R428" s="129">
        <f>IF(K428="","",_xlfn.XLOOKUP(K428,K$4:K427,R$4:R427,0,,-1)+IF($C428=" ",1,0))</f>
        <v>0</v>
      </c>
      <c r="S428" s="403"/>
      <c r="T428" s="380"/>
      <c r="U428" s="380"/>
      <c r="V428" s="481"/>
      <c r="W428" s="380"/>
      <c r="X428" s="452"/>
      <c r="Y428" s="383"/>
      <c r="Z428" s="384"/>
      <c r="AA428" s="384"/>
      <c r="AB428" s="384"/>
      <c r="AC428" s="384"/>
      <c r="AD428" s="130">
        <f>(((L428/(L428-1)-1)*(1-_xlfn.XLOOKUP(K428,'Fevereiro 2023 - Valor Real'!A3:A15,'Fevereiro 2023 - Valor Real'!C3:C15,0))+1))</f>
        <v>9.4999999999999929</v>
      </c>
      <c r="AE428" s="131">
        <f>IF(L428="","",IF(L429&gt;0,(SUM(((L427-1)*(1-_xlfn.XLOOKUP(K427,'Fevereiro 2023 - Valor Real'!A3:A15,'Fevereiro 2023 - Valor Real'!C3:C15,0))+1),((L428-1)*(1-_xlfn.XLOOKUP(K428,'Fevereiro 2023 - Valor Real'!A3:A15,'Fevereiro 2023 - Valor Real'!C3:C15,0))+1),((L429-1)*(1-_xlfn.XLOOKUP(K429,'Fevereiro 2023 - Valor Real'!A3:A15,'Fevereiro 2023 - Valor Real'!C3:C15,0))+1))/((L428-1)*(1-_xlfn.XLOOKUP(K428,'Fevereiro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Real'!C3:C15,0))+1))/((L427-1)*(1-_xlfn.XLOOKUP(K427,'Fevereiro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Real'!C3:C15,0))+1))/((L428-1)*(1-_xlfn.XLOOKUP(K428,'Fevereiro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Real'!C3:C15,0))+1))/((L429-1)*(1-_xlfn.XLOOKUP(K429,'Fevereiro 2023 - Valor Real'!A3:A15,'Fevereiro 2023 - Valor Real'!C3:C15,0))+1)),IF(I428="Lay",IF(I427="Lay",((L427/(L427-1)-1)*(1-_xlfn.XLOOKUP(K427,'Fevereiro 2023 - Valor Real'!A3:A15,'Fevereiro 2023 - Valor Real'!C3:C15,0))+1)/(((L427/(L427-1)-1)*(1-_xlfn.XLOOKUP(K427,'Fevereiro 2023 - Valor Real'!A3:A15,'Fevereiro 2023 - Valor Real'!C3:C15,0))+1)+((L428/(L428-1)-1)*(1-_xlfn.XLOOKUP(K428,'Fevereiro 2023 - Valor Real'!A3:A15,'Fevereiro 2023 - Valor Real'!C3:C15,0))+1)),((L427-1)*(1-_xlfn.XLOOKUP(K427,'Fevereiro 2023 - Valor Real'!A3:A15,'Fevereiro 2023 - Valor Real'!C3:C15,0))+1)/(((L427-1)*(1-_xlfn.XLOOKUP(K427,'Fevereiro 2023 - Valor Real'!A3:A15,'Fevereiro 2023 - Valor Real'!C3:C15,0))+1)+((L428/(L428-1)-1)*(1-_xlfn.XLOOKUP(K428,'Fevereiro 2023 - Valor Real'!A3:A15,'Fevereiro 2023 - Valor Real'!C3:C15,0))+1))),IF(I427="Lay",((L427/(L427-1)-1)*(1-_xlfn.XLOOKUP(K427,'Fevereiro 2023 - Valor Real'!A3:A15,'Fevereiro 2023 - Valor Real'!C3:C15,0))+1)/((((L427/(L427-1)-1)*(1-_xlfn.XLOOKUP(K427,'Fevereiro 2023 - Valor Real'!A3:A15,'Fevereiro 2023 - Valor Real'!C3:C15,0))+1))+((L428-1)*(1-_xlfn.XLOOKUP(K428,'Fevereiro 2023 - Valor Real'!A3:A15,'Fevereiro 2023 - Valor Real'!C3:C15,0))+1)),((L427-1)*(1-_xlfn.XLOOKUP(K427,'Fevereiro 2023 - Valor Real'!A3:A15,'Fevereiro 2023 - Valor Real'!C3:C15,0))+1)/(((L427-1)*(1-_xlfn.XLOOKUP(K427,'Fevereiro 2023 - Valor Real'!A3:A15,'Fevereiro 2023 - Valor Real'!C3:C15,0))+1)+((L428-1)*(1-_xlfn.XLOOKUP(K428,'Fevereiro 2023 - Valor Real'!A3:A15,'Fevereiro 2023 - Valor Real'!C3:C15,0))+1))))))</f>
        <v>0.95226346533003503</v>
      </c>
      <c r="AF428" s="105">
        <f t="shared" si="854"/>
        <v>0</v>
      </c>
      <c r="AG428" s="106">
        <f t="shared" si="854"/>
        <v>0</v>
      </c>
      <c r="AH428" s="106">
        <f t="shared" si="854"/>
        <v>20.57</v>
      </c>
      <c r="AI428" s="106">
        <f t="shared" si="854"/>
        <v>0</v>
      </c>
      <c r="AJ428" s="106">
        <f t="shared" si="854"/>
        <v>0</v>
      </c>
      <c r="AK428" s="106">
        <f t="shared" si="854"/>
        <v>0</v>
      </c>
      <c r="AL428" s="106">
        <f t="shared" si="854"/>
        <v>0</v>
      </c>
      <c r="AM428" s="106">
        <f t="shared" si="854"/>
        <v>0</v>
      </c>
      <c r="AN428" s="106">
        <f t="shared" si="854"/>
        <v>0</v>
      </c>
      <c r="AO428" s="106">
        <f t="shared" si="854"/>
        <v>0</v>
      </c>
      <c r="AP428" s="106">
        <f t="shared" si="854"/>
        <v>0</v>
      </c>
      <c r="AQ428" s="106">
        <f t="shared" si="854"/>
        <v>0</v>
      </c>
      <c r="AR428" s="107">
        <f t="shared" si="854"/>
        <v>0</v>
      </c>
      <c r="AS428" s="105">
        <f>IF(AND($B427=" ",$K428=AS$3),$O428,0)</f>
        <v>0</v>
      </c>
      <c r="AT428" s="106">
        <f>IF(AND($B427=" ",K428=AT$3),$O428,0)</f>
        <v>0</v>
      </c>
      <c r="AU428" s="106">
        <f t="shared" ref="AU428:BE428" si="862">IF(AND($B427=" ",$K428=AU$3),$O428,0)</f>
        <v>0</v>
      </c>
      <c r="AV428" s="106">
        <f t="shared" si="862"/>
        <v>0</v>
      </c>
      <c r="AW428" s="106">
        <f t="shared" si="862"/>
        <v>0</v>
      </c>
      <c r="AX428" s="106">
        <f t="shared" si="862"/>
        <v>0</v>
      </c>
      <c r="AY428" s="108">
        <f t="shared" si="862"/>
        <v>0</v>
      </c>
      <c r="AZ428" s="109">
        <f t="shared" si="862"/>
        <v>0</v>
      </c>
      <c r="BA428" s="109">
        <f t="shared" si="862"/>
        <v>0</v>
      </c>
      <c r="BB428" s="109">
        <f t="shared" si="862"/>
        <v>0</v>
      </c>
      <c r="BC428" s="110">
        <f t="shared" si="862"/>
        <v>0</v>
      </c>
      <c r="BD428" s="106">
        <f t="shared" si="862"/>
        <v>0</v>
      </c>
      <c r="BE428" s="107">
        <f t="shared" si="862"/>
        <v>0</v>
      </c>
      <c r="BF428" s="105">
        <f t="shared" si="856"/>
        <v>0</v>
      </c>
      <c r="BG428" s="106">
        <f t="shared" si="856"/>
        <v>0</v>
      </c>
      <c r="BH428" s="106">
        <f t="shared" si="856"/>
        <v>200</v>
      </c>
      <c r="BI428" s="106">
        <f t="shared" si="856"/>
        <v>0</v>
      </c>
      <c r="BJ428" s="106">
        <f t="shared" si="856"/>
        <v>0</v>
      </c>
      <c r="BK428" s="106">
        <f t="shared" si="856"/>
        <v>0</v>
      </c>
      <c r="BL428" s="106">
        <f t="shared" si="856"/>
        <v>0</v>
      </c>
      <c r="BM428" s="132">
        <f t="shared" si="856"/>
        <v>0</v>
      </c>
      <c r="BN428" s="112">
        <f t="shared" si="856"/>
        <v>0</v>
      </c>
      <c r="BO428" s="112">
        <f t="shared" si="856"/>
        <v>0</v>
      </c>
      <c r="BP428" s="112">
        <f t="shared" si="856"/>
        <v>0</v>
      </c>
      <c r="BQ428" s="110">
        <f t="shared" si="856"/>
        <v>0</v>
      </c>
      <c r="BR428" s="107">
        <f t="shared" si="856"/>
        <v>0</v>
      </c>
      <c r="BS428" s="464"/>
      <c r="BT428" s="461"/>
      <c r="BU428" s="392"/>
      <c r="BV428" s="461"/>
      <c r="BW428" s="392"/>
      <c r="BX428" s="392"/>
      <c r="BY428" s="392"/>
      <c r="BZ428" s="461"/>
      <c r="CA428" s="392"/>
      <c r="CB428" s="392"/>
      <c r="CC428" s="392"/>
      <c r="CD428" s="401"/>
      <c r="CE428" s="409"/>
      <c r="CF428" s="133">
        <f t="shared" si="772"/>
        <v>0</v>
      </c>
      <c r="CG428" s="134">
        <f t="shared" si="773"/>
        <v>0</v>
      </c>
      <c r="CH428" s="134">
        <f t="shared" si="774"/>
        <v>0</v>
      </c>
      <c r="CI428" s="134">
        <f t="shared" si="775"/>
        <v>0</v>
      </c>
      <c r="CJ428" s="134">
        <f t="shared" si="776"/>
        <v>1</v>
      </c>
      <c r="CK428" s="134">
        <f t="shared" si="777"/>
        <v>0</v>
      </c>
      <c r="CL428" s="134">
        <f t="shared" si="778"/>
        <v>0</v>
      </c>
      <c r="CM428" s="134">
        <f t="shared" si="779"/>
        <v>0</v>
      </c>
      <c r="CN428" s="134">
        <f t="shared" si="780"/>
        <v>0</v>
      </c>
      <c r="CO428" s="134">
        <f t="shared" si="781"/>
        <v>0</v>
      </c>
      <c r="CP428" s="134">
        <f t="shared" si="782"/>
        <v>0</v>
      </c>
      <c r="CQ428" s="134">
        <f t="shared" si="783"/>
        <v>0</v>
      </c>
      <c r="CR428" s="134">
        <f t="shared" si="784"/>
        <v>0</v>
      </c>
      <c r="CS428" s="134">
        <f t="shared" si="785"/>
        <v>0</v>
      </c>
      <c r="CT428" s="115">
        <f t="shared" si="786"/>
        <v>0</v>
      </c>
      <c r="CU428" s="116">
        <f t="shared" si="787"/>
        <v>0</v>
      </c>
      <c r="CV428" s="116">
        <f t="shared" si="788"/>
        <v>0</v>
      </c>
      <c r="CW428" s="116">
        <f t="shared" si="789"/>
        <v>0</v>
      </c>
      <c r="CX428" s="116">
        <f t="shared" si="790"/>
        <v>0</v>
      </c>
      <c r="CY428" s="116">
        <f t="shared" si="791"/>
        <v>0</v>
      </c>
      <c r="CZ428" s="116">
        <f t="shared" si="792"/>
        <v>0</v>
      </c>
      <c r="DA428" s="116">
        <f t="shared" si="793"/>
        <v>0</v>
      </c>
      <c r="DB428" s="116">
        <f t="shared" si="794"/>
        <v>0</v>
      </c>
      <c r="DC428" s="116">
        <f t="shared" si="795"/>
        <v>0</v>
      </c>
      <c r="DD428" s="116">
        <f t="shared" si="796"/>
        <v>0</v>
      </c>
      <c r="DE428" s="117">
        <f t="shared" si="797"/>
        <v>0</v>
      </c>
      <c r="DF428" s="118">
        <f t="shared" si="799"/>
        <v>30</v>
      </c>
      <c r="DG428" s="106">
        <f t="shared" si="800"/>
        <v>38.739999999999995</v>
      </c>
      <c r="DH428" s="116">
        <f t="shared" si="801"/>
        <v>10</v>
      </c>
      <c r="DI428" s="106">
        <f t="shared" si="802"/>
        <v>41.599999999999994</v>
      </c>
      <c r="DJ428" s="201" t="str">
        <f>IF($D427="","",$D427)</f>
        <v>14</v>
      </c>
      <c r="DK428" s="466"/>
    </row>
    <row r="429" spans="1:115" ht="14.5" customHeight="1" x14ac:dyDescent="0.2">
      <c r="A429" s="390"/>
      <c r="B429" s="457"/>
      <c r="C429" s="135" t="s">
        <v>53</v>
      </c>
      <c r="D429" s="375"/>
      <c r="E429" s="387"/>
      <c r="F429" s="378"/>
      <c r="G429" s="484"/>
      <c r="H429" s="477"/>
      <c r="I429" s="136"/>
      <c r="J429" s="137"/>
      <c r="K429" s="138"/>
      <c r="L429" s="139"/>
      <c r="M429" s="140"/>
      <c r="N429" s="407"/>
      <c r="O429" s="141" t="str">
        <f>IF(OR(AE427="",AE428=""),"",IF(L429&gt;0,ROUND(IF(M429&gt;0,M429,IF(M427&gt;0,ROUND((M427*AE429)/AE427,IF(N427=0,2,IF(N427=0.1,1,0))),IF(M428&gt;0,ROUND((M428*AE429)/AE428,IF(N427=0,2,IF(N427=0.1,1,0))),IF(M429&gt;0,M429,0)))),2),""))</f>
        <v/>
      </c>
      <c r="P429" s="142" t="str">
        <f>IF(I428="Lay",O428*(L428/(L428-1))-O428,IF(I427="Lay",O427*(L427/(L427-1))-O427,IF(OR(L429="",O429=""),"",IF($C429="1/2W",O429/2+O429/2*L429,IF($C429="1/2L",O429/2,(O429*L429-O429)*(1-_xlfn.XLOOKUP(K429,'Fevereiro 2023 - Valor Real'!A3:A15,'Fevereiro 2023 - Valor Real'!C3:C15,0))+O429)))))</f>
        <v/>
      </c>
      <c r="Q429" s="143" t="str">
        <f>IF(K429="","",IF(_xlfn.XLOOKUP(K429,K$4:K428,$DJ$4:DJ428,0,,-1)=DJ429,_xlfn.XLOOKUP(K429,K$4:K428,Q$4:Q428,1,,-1)+1,1))</f>
        <v/>
      </c>
      <c r="R429" s="144" t="str">
        <f>IF(K429="","",_xlfn.XLOOKUP(K429,K$4:K428,R$4:R428,0,,-1)+IF($C429=" ",1,0))</f>
        <v/>
      </c>
      <c r="S429" s="404"/>
      <c r="T429" s="378"/>
      <c r="U429" s="378"/>
      <c r="V429" s="404"/>
      <c r="W429" s="378"/>
      <c r="X429" s="453"/>
      <c r="Y429" s="383"/>
      <c r="Z429" s="384"/>
      <c r="AA429" s="384"/>
      <c r="AB429" s="384"/>
      <c r="AC429" s="384"/>
      <c r="AD429" s="145">
        <f>((L428/(L428-1)-1))</f>
        <v>9.0909090909090828</v>
      </c>
      <c r="AE429" s="146" t="str">
        <f>IF(L429="","",(SUM(((L427-1)*(1-_xlfn.XLOOKUP(K427,'Fevereiro 2023 - Valor Real'!A3:A15,'Fevereiro 2023 - Valor Real'!C3:C15,0))+1),((L428-1)*(1-_xlfn.XLOOKUP(K428,'Fevereiro 2023 - Valor Real'!A3:A15,'Fevereiro 2023 - Valor Real'!C3:C15,0))+1),((L429-1)*(1-_xlfn.XLOOKUP(K429,'Fevereiro 2023 - Valor Real'!A3:A15,'Fevereiro 2023 - Valor Real'!C3:C15,0))+1))/((L429-1)*(1-_xlfn.XLOOKUP(K429,'Fevereiro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Real'!C3:C15,0))+1))/((L427-1)*(1-_xlfn.XLOOKUP(K427,'Fevereiro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Real'!C3:C15,0))+1))/((L428-1)*(1-_xlfn.XLOOKUP(K428,'Fevereiro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Real'!C3:C15,0))+1))/((L429-1)*(1-_xlfn.XLOOKUP(K429,'Fevereiro 2023 - Valor Real'!A3:A15,'Fevereiro 2023 - Valor Real'!C3:C15,0))+1)))</f>
        <v/>
      </c>
      <c r="AF429" s="105">
        <f t="shared" si="854"/>
        <v>0</v>
      </c>
      <c r="AG429" s="106">
        <f t="shared" si="854"/>
        <v>0</v>
      </c>
      <c r="AH429" s="106">
        <f t="shared" si="854"/>
        <v>0</v>
      </c>
      <c r="AI429" s="106">
        <f t="shared" si="854"/>
        <v>0</v>
      </c>
      <c r="AJ429" s="106">
        <f t="shared" si="854"/>
        <v>0</v>
      </c>
      <c r="AK429" s="106">
        <f t="shared" si="854"/>
        <v>0</v>
      </c>
      <c r="AL429" s="106">
        <f t="shared" si="854"/>
        <v>0</v>
      </c>
      <c r="AM429" s="106">
        <f t="shared" si="854"/>
        <v>0</v>
      </c>
      <c r="AN429" s="106">
        <f t="shared" si="854"/>
        <v>0</v>
      </c>
      <c r="AO429" s="106">
        <f t="shared" si="854"/>
        <v>0</v>
      </c>
      <c r="AP429" s="106">
        <f t="shared" si="854"/>
        <v>0</v>
      </c>
      <c r="AQ429" s="106">
        <f t="shared" si="854"/>
        <v>0</v>
      </c>
      <c r="AR429" s="107">
        <f t="shared" si="854"/>
        <v>0</v>
      </c>
      <c r="AS429" s="105">
        <f>IF(AND($B427=" ",$K429=AS$3),$O429,0)</f>
        <v>0</v>
      </c>
      <c r="AT429" s="106">
        <f>IF(AND($B427=" ",K429=AT$3),$O429,0)</f>
        <v>0</v>
      </c>
      <c r="AU429" s="106">
        <f t="shared" ref="AU429:BE429" si="863">IF(AND($B427=" ",$K429=AU$3),$O429,0)</f>
        <v>0</v>
      </c>
      <c r="AV429" s="106">
        <f t="shared" si="863"/>
        <v>0</v>
      </c>
      <c r="AW429" s="106">
        <f t="shared" si="863"/>
        <v>0</v>
      </c>
      <c r="AX429" s="106">
        <f t="shared" si="863"/>
        <v>0</v>
      </c>
      <c r="AY429" s="108">
        <f t="shared" si="863"/>
        <v>0</v>
      </c>
      <c r="AZ429" s="109">
        <f t="shared" si="863"/>
        <v>0</v>
      </c>
      <c r="BA429" s="109">
        <f t="shared" si="863"/>
        <v>0</v>
      </c>
      <c r="BB429" s="109">
        <f t="shared" si="863"/>
        <v>0</v>
      </c>
      <c r="BC429" s="110">
        <f t="shared" si="863"/>
        <v>0</v>
      </c>
      <c r="BD429" s="106">
        <f t="shared" si="863"/>
        <v>0</v>
      </c>
      <c r="BE429" s="107">
        <f t="shared" si="863"/>
        <v>0</v>
      </c>
      <c r="BF429" s="105">
        <f t="shared" si="856"/>
        <v>0</v>
      </c>
      <c r="BG429" s="106">
        <f t="shared" si="856"/>
        <v>0</v>
      </c>
      <c r="BH429" s="106">
        <f t="shared" si="856"/>
        <v>0</v>
      </c>
      <c r="BI429" s="106">
        <f t="shared" si="856"/>
        <v>0</v>
      </c>
      <c r="BJ429" s="106">
        <f t="shared" si="856"/>
        <v>0</v>
      </c>
      <c r="BK429" s="106">
        <f t="shared" si="856"/>
        <v>0</v>
      </c>
      <c r="BL429" s="106">
        <f t="shared" si="856"/>
        <v>0</v>
      </c>
      <c r="BM429" s="108">
        <f t="shared" si="856"/>
        <v>0</v>
      </c>
      <c r="BN429" s="109">
        <f t="shared" si="856"/>
        <v>0</v>
      </c>
      <c r="BO429" s="109">
        <f t="shared" si="856"/>
        <v>0</v>
      </c>
      <c r="BP429" s="109">
        <f t="shared" si="856"/>
        <v>0</v>
      </c>
      <c r="BQ429" s="110">
        <f t="shared" si="856"/>
        <v>0</v>
      </c>
      <c r="BR429" s="107">
        <f t="shared" si="856"/>
        <v>0</v>
      </c>
      <c r="BS429" s="464"/>
      <c r="BT429" s="461"/>
      <c r="BU429" s="392"/>
      <c r="BV429" s="461"/>
      <c r="BW429" s="392"/>
      <c r="BX429" s="392"/>
      <c r="BY429" s="392"/>
      <c r="BZ429" s="461"/>
      <c r="CA429" s="392"/>
      <c r="CB429" s="392"/>
      <c r="CC429" s="392"/>
      <c r="CD429" s="401"/>
      <c r="CE429" s="409"/>
      <c r="CF429" s="133">
        <f t="shared" si="772"/>
        <v>0</v>
      </c>
      <c r="CG429" s="134">
        <f t="shared" si="773"/>
        <v>0</v>
      </c>
      <c r="CH429" s="134">
        <f t="shared" si="774"/>
        <v>0</v>
      </c>
      <c r="CI429" s="134">
        <f t="shared" si="775"/>
        <v>0</v>
      </c>
      <c r="CJ429" s="134">
        <f t="shared" si="776"/>
        <v>0</v>
      </c>
      <c r="CK429" s="134">
        <f t="shared" si="777"/>
        <v>0</v>
      </c>
      <c r="CL429" s="134">
        <f t="shared" si="778"/>
        <v>0</v>
      </c>
      <c r="CM429" s="134">
        <f t="shared" si="779"/>
        <v>0</v>
      </c>
      <c r="CN429" s="134">
        <f t="shared" si="780"/>
        <v>0</v>
      </c>
      <c r="CO429" s="134">
        <f t="shared" si="781"/>
        <v>0</v>
      </c>
      <c r="CP429" s="134">
        <f t="shared" si="782"/>
        <v>0</v>
      </c>
      <c r="CQ429" s="134">
        <f t="shared" si="783"/>
        <v>0</v>
      </c>
      <c r="CR429" s="134">
        <f t="shared" si="784"/>
        <v>0</v>
      </c>
      <c r="CS429" s="134">
        <f t="shared" si="785"/>
        <v>0</v>
      </c>
      <c r="CT429" s="115">
        <f t="shared" si="786"/>
        <v>0</v>
      </c>
      <c r="CU429" s="116">
        <f t="shared" si="787"/>
        <v>0</v>
      </c>
      <c r="CV429" s="116">
        <f t="shared" si="788"/>
        <v>0</v>
      </c>
      <c r="CW429" s="116">
        <f t="shared" si="789"/>
        <v>0</v>
      </c>
      <c r="CX429" s="116">
        <f t="shared" si="790"/>
        <v>0</v>
      </c>
      <c r="CY429" s="116">
        <f t="shared" si="791"/>
        <v>0</v>
      </c>
      <c r="CZ429" s="116">
        <f t="shared" si="792"/>
        <v>0</v>
      </c>
      <c r="DA429" s="116">
        <f t="shared" si="793"/>
        <v>0</v>
      </c>
      <c r="DB429" s="116">
        <f t="shared" si="794"/>
        <v>0</v>
      </c>
      <c r="DC429" s="116">
        <f t="shared" si="795"/>
        <v>0</v>
      </c>
      <c r="DD429" s="116">
        <f t="shared" si="796"/>
        <v>0</v>
      </c>
      <c r="DE429" s="117">
        <f t="shared" si="797"/>
        <v>0</v>
      </c>
      <c r="DF429" s="118">
        <f t="shared" si="799"/>
        <v>30</v>
      </c>
      <c r="DG429" s="106">
        <f t="shared" si="800"/>
        <v>38.739999999999995</v>
      </c>
      <c r="DH429" s="116">
        <f t="shared" si="801"/>
        <v>10</v>
      </c>
      <c r="DI429" s="106">
        <f t="shared" si="802"/>
        <v>41.599999999999994</v>
      </c>
      <c r="DJ429" s="201" t="str">
        <f>IF($D427="","",$D427)</f>
        <v>14</v>
      </c>
      <c r="DK429" s="466"/>
    </row>
    <row r="430" spans="1:115" ht="14.5" customHeight="1" x14ac:dyDescent="0.2">
      <c r="A430" s="487">
        <f>$A427+1</f>
        <v>143</v>
      </c>
      <c r="B430" s="506" t="str">
        <f>IF(OR(C430="W",C431="W",C432="W",C430="1/2W",C431="1/2W",C432="1/2W",C430="1/2L",C431="1/2L",C432="1/2L"),"OK",IF(OR(C430="L",C431="L",C432="L"),"LOSS",IF(OR(C430="X",C431="X",C432="X"),"Anulado"," ")))</f>
        <v>OK</v>
      </c>
      <c r="C430" s="147" t="s">
        <v>54</v>
      </c>
      <c r="D430" s="494" t="s">
        <v>180</v>
      </c>
      <c r="E430" s="511" t="str">
        <f>IF(G430=""," ","– "&amp;COUNTIF(D$4:D432,$D430))</f>
        <v>– 1</v>
      </c>
      <c r="F430" s="510" t="str">
        <f ca="1">IF(G430="","",IF(OR(AND($C430&lt;&gt;" ",$C431=" "),AND($C431&lt;&gt;" ",$C430=" "),AND(L432&gt;0,OR(AND($C432&lt;&gt;" ",OR($C430=" ",$C431=" ")),AND($C432=" ",OR($C430&lt;&gt;" ",$C431&lt;&gt;" "))))),IF(SUM(F$4:F429)=0,1,LARGE(F$4:F429,1)+1),IF(MONTH(G430)=MONTH(TODAY()),IF(AND(DAY(G430)&lt;DAY(TODAY()),$B430=" "),IF(SUM(F$4:F429)=0,1,LARGE(F$4:F429,1)+1),IF($B430=" ",IF(AND(DAY(G430)=DAY(TODAY()),HOUR(G430)&lt;=HOUR(NOW())+1),IF(AND(HOUR(G430)+2&lt;=HOUR(NOW()),DAY(G430)&lt;=DAY(TODAY()),MINUTE(G430)&lt;=MINUTE(NOW())),IF(SUM(F$4:F429)=0,1,LARGE(F$4:F429,1)+1),IF(OR(MINUTE(G430)&lt;=MINUTE(NOW()),HOUR(G430)&lt;=HOUR(NOW())),"!!!","")),""),"")),"")))</f>
        <v/>
      </c>
      <c r="G430" s="508">
        <v>45004.583333333336</v>
      </c>
      <c r="H430" s="502" t="s">
        <v>181</v>
      </c>
      <c r="I430" s="180" t="s">
        <v>51</v>
      </c>
      <c r="J430" s="181">
        <v>2</v>
      </c>
      <c r="K430" s="150" t="s">
        <v>47</v>
      </c>
      <c r="L430" s="151">
        <v>1.87</v>
      </c>
      <c r="M430" s="152">
        <v>10.15</v>
      </c>
      <c r="N430" s="503">
        <v>0</v>
      </c>
      <c r="O430" s="153">
        <f>IF(OR(AE430="",AE431=""),"",ROUND(IF(L432&gt;0,IF(M430&gt;0,M430,IF(M431&gt;0,ROUND((M431*AE430)/AE431,IF(N430=0,2,IF(N430=0.1,1,0))),ROUND((M432*AE430)/AE432,IF(N430=0,2,IF(N430=0.1,1,0))))),IF(M430&gt;0,M430,ROUND((M431*AE430)/AE431,IF(N430=0,2,IF(N430=0.1,1,0))))),2))</f>
        <v>10.15</v>
      </c>
      <c r="P430" s="154">
        <f>IF(OR(L430="",O430=""),"",IF($C430="1/2W",O430/2+O430/2*L430,IF($C430="1/2L",O430/2,IF(I430="Lay",(O430*(L430/(L430-1))-O430)*(1-_xlfn.XLOOKUP(K430,'Fevereiro 2023 - Valor Real'!A3:A15,'Fevereiro 2023 - Valor Real'!C3:C15,0))+O430,(O430*L430-O430)*(1-_xlfn.XLOOKUP(K430,'Fevereiro 2023 - Valor Real'!A3:A15,'Fevereiro 2023 - Valor Real'!C3:C15,0))+O430))))</f>
        <v>18.980500000000003</v>
      </c>
      <c r="Q430" s="155">
        <f>IF(K430="","",IF(_xlfn.XLOOKUP(K430,K$9:K422,$DJ$9:DJ422,0,,-1)=DJ430,_xlfn.XLOOKUP(K430,K$9:K422,Q$9:Q422,1,,-1)+1,1))</f>
        <v>1</v>
      </c>
      <c r="R430" s="156">
        <f>IF(K430="","",_xlfn.XLOOKUP(K430,K$9:K422,R$9:R422,0,,-1)+IF($C430=" ",1,0))</f>
        <v>0</v>
      </c>
      <c r="S430" s="501">
        <f>IF($B430="Anulado",0,ROUND(IF(OR($B430="LOSS",$B430="OK"),IF(OR($C430="W",$C430="1/2W",$C430="1/2L"),P430-O430,IF($C430="L",-O430,0))+IF(OR($C431="W",$C431="1/2W",$C431="1/2L"),P431-O431,IF($C431="L",-O431,0))+IF(OR($C432="W",$C432="1/2W",$C432="1/2L"),P432-O432,IF($C432="L",-O432,0)),IF(AND(OR($C430="W",$C430="1/2W",$C430="1/2L"),C431="W"),P430+P431-SUM(O430:O432)+_xlfn.XLOOKUP("X",C430:C432,O430:O432,0),IF(AND(C430=TRUE,C432="W"),P430+P432-SUM(O430:O432),IF(AND(C431="W",C432="W"),P431+P432-SUM(O430:O432)+_xlfn.XLOOKUP("X",C430:C432,O430:O432,0),IF(L432&gt;0,IF(OR($C430="W",$C430="1/2W",$C430="1/2L"),P430-SUM(O430:O432)+_xlfn.XLOOKUP("X",C430:C432,O430:O432,0),IF(OR($C430="W",$C430="1/2W",$C430="1/2L"),P431-SUM(O430:O432)+_xlfn.XLOOKUP("X",C430:C432,O430:O432,0),IF(OR($C430="W",$C430="1/2W",$C430="1/2L"),P432-SUM(O430:O432)+_xlfn.XLOOKUP("X",C430:C432,O430:O432,0),IF(SUM(P430:P432)/3-SUM(O430:O432)+_xlfn.XLOOKUP("X",C430:C432,O430:O432,0)&gt;0,SUM(P430:P432)/3-SUM(O430:O432)+_xlfn.XLOOKUP("X",C430:C432,O430:O432,0),LARGE(P430:P432,1)-SUM(O430:O432))))),IF(OR($C430="W",$C430="1/2W",$C430="1/2L"),P430-SUM(O430:O431)+_xlfn.XLOOKUP("X",C430:C432,O430:O432,0),IF(OR($C430="W",$C430="1/2W",$C430="1/2L"),P431-SUM(O430:O431)+_xlfn.XLOOKUP("X",C430:C432,O430:O432,0),SUM(P430:P431)/2-SUM(O430:O431)+_xlfn.XLOOKUP("X",C430:C432,O430:O432,0)))))))),2))</f>
        <v>1.1200000000000001</v>
      </c>
      <c r="T430" s="486">
        <f>IF(S430=0,0,S430/SUM(O430:O432))</f>
        <v>6.2709966405375142E-2</v>
      </c>
      <c r="U430" s="496">
        <f>IF($D430=$D427,IF(OR($B430="LOSS",$B430="OK",$B430="Anulada"),S430,0)+U427,IF(OR($B430="LOSS",$B430="OK",$B430="Anulada"),S430,0))</f>
        <v>1.1200000000000001</v>
      </c>
      <c r="V430" s="496">
        <f>IF($D430="",0,IF($D430=$D427,IF($B430=" ",IF(I432="",IF(OR(AND(I430="DNB1",I431="DNB2"),AND(OR(I430="DNB1",I430="DNB2"),J431=0),AND(OR(I431="DNB1",I431="DNB2"),J430=0),AND(I430="DNB2",I431="DNB1"),AND(IF(J430=0,(J430+1)/ROUND(J430+1,0),J430/ROUND(J430,0))=1,IF(J431=0,(J431+1)/ROUND(IF(J431="",0,J431)+1,0),IF(J431="",0,J431)/ROUND(IF(J431="",1,J431),0))=1,OR(J430&lt;&gt;""),J431&lt;&gt;"")),0,IF(S430&lt;0,IF(I432="",SMALL(P430:P431,1)-SUM(O430:O431),0),SMALL(P430:P431,1)-SUM(O430:O431))),IF(S430&lt;0,IF(I432="",SMALL(P430:P432,1)-SUM(O430:O432),0),LARGE(P430:P432,1)-SUM(O430:O432))),S430)+V427,IF(I432="",IF(OR(AND(I430="DNB1",I431="DNB2"),AND(OR(I430="DNB1",I430="DNB2"),J431=0),AND(OR(I431="DNB1",I431="DNB2"),J430=0),AND(I430="DNB2",I431="DNB1"),AND(IF(J430=0,(J430+1)/ROUND(J430+1,0),J430/ROUND(J430,0))=1,IF(J431=0,(IF(J431="",0,J431)+1)/ROUND(IF(J431="",0,J431)+1,0),IF(J431="",0,J431)/ROUND(IF(J431="",0,J431)+1,0))=1,OR(J430&lt;&gt;""),J431&lt;&gt;"")),0,IF(S430&lt;0,IF(I432="",SMALL(P430:P431,1)-SUM(O430:O431),0),SMALL(P430:P432,1)-SUM(O430:O432))),IF(S430&lt;0,IF(I432="",SMALL(P430:P432,1)-SUM(O430:O432),0),LARGE(P430:P432,1)-SUM(O430:O432)))))</f>
        <v>1.1066000000000003</v>
      </c>
      <c r="W430" s="496">
        <f>IF($D430=$D427,IF(S430&lt;0,IF(I432="",S430,0),S430)+W427,S430)</f>
        <v>1.1200000000000001</v>
      </c>
      <c r="X430" s="505" t="str">
        <f>IF(OR(SUM(R430:R432)=0,V430=W430),ROUND(IF(W430=0,0,W430/Y430)*100,2)&amp;"%",ROUND(IF(V430=0,0,V430/Y430)*100,2)&amp;"% a "&amp;ROUND(IF(W430=0,0,W430/Y430)*100,2)&amp;"%")</f>
        <v>6,27%</v>
      </c>
      <c r="Y430" s="497">
        <f>IF($D430=$D427,Y427+SUM(O430:O432),SUM(O430:O432))</f>
        <v>17.86</v>
      </c>
      <c r="Z430" s="496">
        <f>IF($B430=" ",SUM(O430:O432),0)+Z427</f>
        <v>0</v>
      </c>
      <c r="AA430" s="496">
        <f>IF(G430="","",IF($B430="Anulado",LARGE(P430:P432,1)-SUM(O430:O432)+AA427,AA427))</f>
        <v>12.425099999999992</v>
      </c>
      <c r="AB430" s="496">
        <f>IF($D430="","",AB427+S430)</f>
        <v>529.54000000000008</v>
      </c>
      <c r="AC430" s="499">
        <f ca="1">IF($D430="","",IF($B430=" ",IF(DAY(G430)=DAY(TODAY()),1+AC427,0+AC427),0+AC427))</f>
        <v>0</v>
      </c>
      <c r="AD430" s="157">
        <f>(1-_xlfn.XLOOKUP(K428,'Fevereiro 2023 - Valor Real'!A3:A15,'Fevereiro 2023 - Valor Real'!C3:C15,0))+1</f>
        <v>1.9350000000000001</v>
      </c>
      <c r="AE430" s="158">
        <f>IF(L430="","",IF(L432&gt;0,(SUM(((L430-1)*(1-_xlfn.XLOOKUP(K430,'Fevereiro 2023 - Valor Real'!A3:A15,'Fevereiro 2023 - Valor Real'!C3:C15,0))+1),((L431-1)*(1-_xlfn.XLOOKUP(K431,'Fevereiro 2023 - Valor Real'!A3:A15,'Fevereiro 2023 - Valor Real'!C3:C15,0))+1),((L432-1)*(1-_xlfn.XLOOKUP(K432,'Fevereiro 2023 - Valor Real'!A3:A15,'Fevereiro 2023 - Valor Real'!C3:C15,0))+1))/((L430-1)*(1-_xlfn.XLOOKUP(K430,'Fevereiro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Real'!C3:C15,0))+1))/((L430-1)*(1-_xlfn.XLOOKUP(K430,'Fevereiro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Real'!C3:C15,0))+1))/((L431-1)*(1-_xlfn.XLOOKUP(K431,'Fevereiro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Real'!C3:C15,0))+1))/((L432-1)*(1-_xlfn.XLOOKUP(K432,'Fevereiro 2023 - Valor Real'!A3:A15,'Fevereiro 2023 - Valor Real'!C3:C15,0))+1)),IF(I430="Lay",IF(I431="Lay",((L431/(L431-1)-1)*(1-_xlfn.XLOOKUP(K431,'Fevereiro 2023 - Valor Real'!A3:A15,'Fevereiro 2023 - Valor Real'!C3:C15,0))+1)/(((L431/(L431-1)-1)*(1-_xlfn.XLOOKUP(K431,'Fevereiro 2023 - Valor Real'!A3:A15,'Fevereiro 2023 - Valor Real'!C3:C15,0))+1)+((L430/(L430-1)-1)*(1-_xlfn.XLOOKUP(K430,'Fevereiro 2023 - Valor Real'!A3:A15,'Fevereiro 2023 - Valor Real'!C3:C15,0))+1)),((L431-1)*(1-_xlfn.XLOOKUP(K431,'Fevereiro 2023 - Valor Real'!A3:A15,'Fevereiro 2023 - Valor Real'!C3:C15,0))+1)/(((L431-1)*(1-_xlfn.XLOOKUP(K431,'Fevereiro 2023 - Valor Real'!A3:A15,'Fevereiro 2023 - Valor Real'!C3:C15,0))+1)+((L430/(L430-1)-1)*(1-_xlfn.XLOOKUP(K430,'Fevereiro 2023 - Valor Real'!A3:A15,'Fevereiro 2023 - Valor Real'!C3:C15,0))+1))),IF(I431="Lay",(((L431/(L431-1)-1)*(1-_xlfn.XLOOKUP(K431,'Fevereiro 2023 - Valor Real'!A3:A15,'Fevereiro 2023 - Valor Real'!C3:C15,0))+1))/(((L430-1)*(1-_xlfn.XLOOKUP(K430,'Fevereiro 2023 - Valor Real'!A3:A15,'Fevereiro 2023 - Valor Real'!C3:C15,0))+1)+((L431/(L431-1)-1)*(1-_xlfn.XLOOKUP(K431,'Fevereiro 2023 - Valor Real'!A3:A15,'Fevereiro 2023 - Valor Real'!C3:C15,0))+1)),((L431-1)*(1-_xlfn.XLOOKUP(K431,'Fevereiro 2023 - Valor Real'!A3:A15,'Fevereiro 2023 - Valor Real'!C3:C15,0))+1)/(((L431-1)*(1-_xlfn.XLOOKUP(K431,'Fevereiro 2023 - Valor Real'!A3:A15,'Fevereiro 2023 - Valor Real'!C3:C15,0))+1)+((L430-1)*(1-_xlfn.XLOOKUP(K430,'Fevereiro 2023 - Valor Real'!A3:A15,'Fevereiro 2023 - Valor Real'!C3:C15,0))+1))))))</f>
        <v>0.56812933025404155</v>
      </c>
      <c r="AF430" s="66">
        <f t="shared" si="854"/>
        <v>0</v>
      </c>
      <c r="AG430" s="67">
        <f t="shared" si="854"/>
        <v>0</v>
      </c>
      <c r="AH430" s="67">
        <f t="shared" si="854"/>
        <v>0</v>
      </c>
      <c r="AI430" s="67">
        <f t="shared" si="854"/>
        <v>0</v>
      </c>
      <c r="AJ430" s="67">
        <f t="shared" si="854"/>
        <v>0</v>
      </c>
      <c r="AK430" s="67">
        <f t="shared" si="854"/>
        <v>0</v>
      </c>
      <c r="AL430" s="67">
        <f t="shared" si="854"/>
        <v>0</v>
      </c>
      <c r="AM430" s="67">
        <f t="shared" si="854"/>
        <v>0</v>
      </c>
      <c r="AN430" s="67">
        <f t="shared" si="854"/>
        <v>0</v>
      </c>
      <c r="AO430" s="67">
        <f t="shared" si="854"/>
        <v>0</v>
      </c>
      <c r="AP430" s="67">
        <f t="shared" si="854"/>
        <v>0</v>
      </c>
      <c r="AQ430" s="67">
        <f t="shared" si="854"/>
        <v>8.83</v>
      </c>
      <c r="AR430" s="68">
        <f t="shared" si="854"/>
        <v>0</v>
      </c>
      <c r="AS430" s="66">
        <f t="shared" ref="AS430:BE430" si="864">IF(AND($B430=" ",$K430=AS$3),$O430,0)</f>
        <v>0</v>
      </c>
      <c r="AT430" s="67">
        <f t="shared" si="864"/>
        <v>0</v>
      </c>
      <c r="AU430" s="67">
        <f t="shared" si="864"/>
        <v>0</v>
      </c>
      <c r="AV430" s="67">
        <f t="shared" si="864"/>
        <v>0</v>
      </c>
      <c r="AW430" s="67">
        <f t="shared" si="864"/>
        <v>0</v>
      </c>
      <c r="AX430" s="67">
        <f t="shared" si="864"/>
        <v>0</v>
      </c>
      <c r="AY430" s="69">
        <f t="shared" si="864"/>
        <v>0</v>
      </c>
      <c r="AZ430" s="70">
        <f t="shared" si="864"/>
        <v>0</v>
      </c>
      <c r="BA430" s="70">
        <f t="shared" si="864"/>
        <v>0</v>
      </c>
      <c r="BB430" s="70">
        <f t="shared" si="864"/>
        <v>0</v>
      </c>
      <c r="BC430" s="71">
        <f t="shared" si="864"/>
        <v>0</v>
      </c>
      <c r="BD430" s="67">
        <f t="shared" si="864"/>
        <v>0</v>
      </c>
      <c r="BE430" s="68">
        <f t="shared" si="864"/>
        <v>0</v>
      </c>
      <c r="BF430" s="66">
        <f t="shared" si="856"/>
        <v>0</v>
      </c>
      <c r="BG430" s="67">
        <f t="shared" si="856"/>
        <v>0</v>
      </c>
      <c r="BH430" s="67">
        <f t="shared" si="856"/>
        <v>0</v>
      </c>
      <c r="BI430" s="67">
        <f t="shared" si="856"/>
        <v>0</v>
      </c>
      <c r="BJ430" s="67">
        <f t="shared" si="856"/>
        <v>0</v>
      </c>
      <c r="BK430" s="67">
        <f t="shared" si="856"/>
        <v>0</v>
      </c>
      <c r="BL430" s="67">
        <f t="shared" si="856"/>
        <v>0</v>
      </c>
      <c r="BM430" s="69">
        <f t="shared" si="856"/>
        <v>0</v>
      </c>
      <c r="BN430" s="70">
        <f t="shared" si="856"/>
        <v>0</v>
      </c>
      <c r="BO430" s="70">
        <f t="shared" si="856"/>
        <v>0</v>
      </c>
      <c r="BP430" s="70">
        <f t="shared" si="856"/>
        <v>0</v>
      </c>
      <c r="BQ430" s="71">
        <f t="shared" si="856"/>
        <v>10.15</v>
      </c>
      <c r="BR430" s="68">
        <f t="shared" si="856"/>
        <v>0</v>
      </c>
      <c r="BS430" s="490">
        <f>IF($B430="LOSS",IF(AND($K430=BS$3,$C430="L"),-$O430,0)+IF(AND($K431=BS$3,$C431="L"),-$O431,0)+IF(AND($K432=BS$3,$C432="L"),-$O432,0),IF(OR(AND($K430=BS$3,OR($C430="W",$C430="1/2W")),AND($K431=BS$3,OR($C431="W",$C431="1/2W")),AND($K432=BS$3,OR($C432="W",$C432="1/2W"))),$S430,0))</f>
        <v>0</v>
      </c>
      <c r="BT430" s="498">
        <f>IF($B430="LOSS",IF(AND($K430=BT$3,$C430="L"),-$O430,0)+IF(AND($K431=BT$3,$C431="L"),-$O431,0)+IF(AND($K431=BT$3,$C432="L"),-$O432,0),IF(OR(AND($K431=BT$3,OR($C430="W",$C430="1/2W")),AND($K431=BT$3,OR($C431="W",$C431="1/2W")),AND($K431=BT$3,OR($C432="W",$C432="1/2W"))),$S430,0))</f>
        <v>0</v>
      </c>
      <c r="BU430" s="488">
        <f>IF($B430="LOSS",IF(AND($K430=BU$3,$C430="L"),-$O430,0)+IF(AND($K431=BU$3,$C431="L"),-$O431,0)+IF(AND($K431=BU$3,$C432="L"),-$O432,0),IF(OR(AND($K431=BU$3,OR($C430="W",$C430="1/2W")),AND($K431=BU$3,OR($C431="W",$C431="1/2W")),AND($K431=BU$3,OR($C432="W",$C432="1/2W"))),$S430,0))</f>
        <v>0</v>
      </c>
      <c r="BV430" s="488">
        <f t="shared" ref="BV430:CE430" si="865">IF($B430="LOSS",IF(AND($K430=BV$3,$C430="L"),-$O430,0)+IF(AND($K431=BV$3,$C431="L"),-$O431,0)+IF(AND($K432=BV$3,$C432="L"),-$O432,0),IF(OR(AND($K430=BV$3,OR($C430="W",$C430="1/2W")),AND($K431=BV$3,OR($C431="W",$C431="1/2W")),AND($K432=BV$3,OR($C432="W",$C432="1/2W"))),$S430,0))</f>
        <v>0</v>
      </c>
      <c r="BW430" s="488">
        <f t="shared" si="865"/>
        <v>0</v>
      </c>
      <c r="BX430" s="488">
        <f t="shared" si="865"/>
        <v>0</v>
      </c>
      <c r="BY430" s="488">
        <f t="shared" si="865"/>
        <v>0</v>
      </c>
      <c r="BZ430" s="488">
        <f t="shared" si="865"/>
        <v>0</v>
      </c>
      <c r="CA430" s="488">
        <f t="shared" si="865"/>
        <v>0</v>
      </c>
      <c r="CB430" s="488">
        <f t="shared" si="865"/>
        <v>0</v>
      </c>
      <c r="CC430" s="488">
        <f t="shared" si="865"/>
        <v>0</v>
      </c>
      <c r="CD430" s="500">
        <f t="shared" si="865"/>
        <v>1.1200000000000001</v>
      </c>
      <c r="CE430" s="504">
        <f t="shared" si="865"/>
        <v>0</v>
      </c>
      <c r="CF430" s="160">
        <f t="shared" si="772"/>
        <v>0</v>
      </c>
      <c r="CG430" s="161">
        <f t="shared" si="773"/>
        <v>0</v>
      </c>
      <c r="CH430" s="161">
        <f t="shared" si="774"/>
        <v>0</v>
      </c>
      <c r="CI430" s="161">
        <f t="shared" si="775"/>
        <v>0</v>
      </c>
      <c r="CJ430" s="161">
        <f t="shared" si="776"/>
        <v>0</v>
      </c>
      <c r="CK430" s="161">
        <f t="shared" si="777"/>
        <v>0</v>
      </c>
      <c r="CL430" s="161">
        <f t="shared" si="778"/>
        <v>0</v>
      </c>
      <c r="CM430" s="161">
        <f t="shared" si="779"/>
        <v>0</v>
      </c>
      <c r="CN430" s="161">
        <f t="shared" si="780"/>
        <v>0</v>
      </c>
      <c r="CO430" s="161">
        <f t="shared" si="781"/>
        <v>0</v>
      </c>
      <c r="CP430" s="161">
        <f t="shared" si="782"/>
        <v>0</v>
      </c>
      <c r="CQ430" s="161">
        <f t="shared" si="783"/>
        <v>0</v>
      </c>
      <c r="CR430" s="161">
        <f t="shared" si="784"/>
        <v>0</v>
      </c>
      <c r="CS430" s="161">
        <f t="shared" si="785"/>
        <v>0</v>
      </c>
      <c r="CT430" s="75">
        <f t="shared" si="786"/>
        <v>0</v>
      </c>
      <c r="CU430" s="76">
        <f t="shared" si="787"/>
        <v>0</v>
      </c>
      <c r="CV430" s="76">
        <f t="shared" si="788"/>
        <v>0</v>
      </c>
      <c r="CW430" s="76">
        <f t="shared" si="789"/>
        <v>0</v>
      </c>
      <c r="CX430" s="76">
        <f t="shared" si="790"/>
        <v>0</v>
      </c>
      <c r="CY430" s="76">
        <f t="shared" si="791"/>
        <v>0</v>
      </c>
      <c r="CZ430" s="76">
        <f t="shared" si="792"/>
        <v>0</v>
      </c>
      <c r="DA430" s="76">
        <f t="shared" si="793"/>
        <v>0</v>
      </c>
      <c r="DB430" s="76">
        <f t="shared" si="794"/>
        <v>1</v>
      </c>
      <c r="DC430" s="76">
        <f t="shared" si="795"/>
        <v>0</v>
      </c>
      <c r="DD430" s="76">
        <f t="shared" si="796"/>
        <v>0</v>
      </c>
      <c r="DE430" s="77">
        <f t="shared" si="797"/>
        <v>0</v>
      </c>
      <c r="DF430" s="73">
        <f t="shared" si="799"/>
        <v>30</v>
      </c>
      <c r="DG430" s="67">
        <f t="shared" si="800"/>
        <v>38.739999999999995</v>
      </c>
      <c r="DH430" s="76">
        <f t="shared" si="801"/>
        <v>10</v>
      </c>
      <c r="DI430" s="67">
        <f t="shared" si="802"/>
        <v>41.599999999999994</v>
      </c>
      <c r="DJ430" s="202" t="str">
        <f>IF($D430="","",$D430)</f>
        <v>15</v>
      </c>
      <c r="DK430" s="492">
        <f>IF(AND($B430=" ",$D430&lt;&gt;""),1,0)</f>
        <v>0</v>
      </c>
    </row>
    <row r="431" spans="1:115" ht="14.5" customHeight="1" x14ac:dyDescent="0.2">
      <c r="A431" s="389"/>
      <c r="B431" s="456"/>
      <c r="C431" s="53" t="s">
        <v>55</v>
      </c>
      <c r="D431" s="374"/>
      <c r="E431" s="386"/>
      <c r="F431" s="377"/>
      <c r="G431" s="508"/>
      <c r="H431" s="476"/>
      <c r="I431" s="182" t="s">
        <v>52</v>
      </c>
      <c r="J431" s="56">
        <f>IF(OR(I430="TO",I430="TU",I430="TO1",I430="TU1",I430="TO2",I430="TU2"),J430,IF(OR(I430="AH1",I430="AH2"),IF(OR(I431="AH1",I431="AH2"),-J430,IF(OR(I431="EH1",I431="EH2"),-J430+0.5,"")),IF(OR(I430="EH1",I430="EH2"),IF(OR(I431="AH1",I431="AH2"),-J430+0.5,IF(OR(I431="EH1",I431="EH2"),-J430+1,"")),IF(AND(OR(I430="DNB1",I430="DNB2"),OR(I431="AH1",I431="AH2")),0,IF(AND(I430="Not ScoreBoth",OR(I431="TO1",I431="TO2")),0.5,"")))))</f>
        <v>2</v>
      </c>
      <c r="K431" s="57" t="s">
        <v>40</v>
      </c>
      <c r="L431" s="164">
        <v>2.46</v>
      </c>
      <c r="M431" s="165">
        <v>7.71</v>
      </c>
      <c r="N431" s="406"/>
      <c r="O431" s="60">
        <f>IF(OR(AE430="",AE431=""),"",ROUND(IF(L432&gt;0,IF(M431&gt;0,M431,IF(M430&gt;0,IF(N430=TRUE,ROUND((M430*AE431)/AE430,0),(M430*AE431)/AE430),IF(M431&gt;0,ROUND(M431,IF(N430=0,2,IF(N430=0.1,1,0))),IF(M432&gt;0,ROUND(O432*AE431/AE432,IF(N430=0,2,IF(N430=0.1,1,0))),0)))),IF(M431&gt;0,M431,ROUND((M430*AE431)/AE430,IF(N430=0,2,IF(N430=0.1,1,0))))),2))</f>
        <v>7.71</v>
      </c>
      <c r="P431" s="61">
        <f>IF(OR(L431="",O431=""),"",IF($C431="1/2W",O431/2+O431/2*L431,IF($C431="1/2L",O431/2,IF(I431="Lay",((O431*(L431/(L431-1)))-O431)*(1-_xlfn.XLOOKUP(K431,'Fevereiro 2023 - Valor Real'!A3:A15,'Fevereiro 2023 - Valor Real'!C3:C15,0))+O431,(O431*L431-O431)*(1-_xlfn.XLOOKUP(K431,'Fevereiro 2023 - Valor Real'!A3:A15,'Fevereiro 2023 - Valor Real'!C3:C15,0))+O431))))</f>
        <v>18.9666</v>
      </c>
      <c r="Q431" s="166">
        <f>IF(K431="","",IF(_xlfn.XLOOKUP(K431,K$10:K422,$DJ$10:DJ422,0,,-1)=DJ431,_xlfn.XLOOKUP(K431,K$10:K422,Q$10:Q422,1,,-1)+1,1))</f>
        <v>1</v>
      </c>
      <c r="R431" s="167">
        <f>IF(K431="","",_xlfn.XLOOKUP(K431,K$10:K422,R$10:R422,0,,-1)+IF($C431=" ",1,0))</f>
        <v>0</v>
      </c>
      <c r="S431" s="403"/>
      <c r="T431" s="380"/>
      <c r="U431" s="380"/>
      <c r="V431" s="481"/>
      <c r="W431" s="380"/>
      <c r="X431" s="452"/>
      <c r="Y431" s="383"/>
      <c r="Z431" s="384"/>
      <c r="AA431" s="384"/>
      <c r="AB431" s="384"/>
      <c r="AC431" s="384"/>
      <c r="AD431" s="64"/>
      <c r="AE431" s="65">
        <f>IF(L431="","",IF(L432&gt;0,(SUM(((L430-1)*(1-_xlfn.XLOOKUP(K430,'Fevereiro 2023 - Valor Real'!A3:A15,'Fevereiro 2023 - Valor Real'!C3:C15,0))+1),((L431-1)*(1-_xlfn.XLOOKUP(K431,'Fevereiro 2023 - Valor Real'!A3:A15,'Fevereiro 2023 - Valor Real'!C3:C15,0))+1),((L432-1)*(1-_xlfn.XLOOKUP(K432,'Fevereiro 2023 - Valor Real'!A3:A15,'Fevereiro 2023 - Valor Real'!C3:C15,0))+1))/((L431-1)*(1-_xlfn.XLOOKUP(K431,'Fevereiro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Real'!C3:C15,0))+1))/((L430-1)*(1-_xlfn.XLOOKUP(K430,'Fevereiro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Real'!C3:C15,0))+1))/((L431-1)*(1-_xlfn.XLOOKUP(K431,'Fevereiro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Real'!C3:C15,0))+1))/((L432-1)*(1-_xlfn.XLOOKUP(K432,'Fevereiro 2023 - Valor Real'!A3:A15,'Fevereiro 2023 - Valor Real'!C3:C15,0))+1)),IF(I431="Lay",IF(I430="Lay",((L430/(L430-1)-1)*(1-_xlfn.XLOOKUP(K430,'Fevereiro 2023 - Valor Real'!A3:A15,'Fevereiro 2023 - Valor Real'!C3:C15,0))+1)/(((L430/(L430-1)-1)*(1-_xlfn.XLOOKUP(K430,'Fevereiro 2023 - Valor Real'!A3:A15,'Fevereiro 2023 - Valor Real'!C3:C15,0))+1)+((L431/(L431-1)-1)*(1-_xlfn.XLOOKUP(K431,'Fevereiro 2023 - Valor Real'!A3:A15,'Fevereiro 2023 - Valor Real'!C3:C15,0))+1)),((L430-1)*(1-_xlfn.XLOOKUP(K430,'Fevereiro 2023 - Valor Real'!A3:A15,'Fevereiro 2023 - Valor Real'!C3:C15,0))+1)/(((L430-1)*(1-_xlfn.XLOOKUP(K430,'Fevereiro 2023 - Valor Real'!A3:A15,'Fevereiro 2023 - Valor Real'!C3:C15,0))+1)+((L431/(L431-1)-1)*(1-_xlfn.XLOOKUP(K431,'Fevereiro 2023 - Valor Real'!A3:A15,'Fevereiro 2023 - Valor Real'!C3:C15,0))+1))),IF(I430="Lay",((L430/(L430-1)-1)*(1-_xlfn.XLOOKUP(K430,'Fevereiro 2023 - Valor Real'!A3:A15,'Fevereiro 2023 - Valor Real'!C3:C15,0))+1)/((((L430/(L430-1)-1)*(1-_xlfn.XLOOKUP(K430,'Fevereiro 2023 - Valor Real'!A3:A15,'Fevereiro 2023 - Valor Real'!C3:C15,0))+1))+((L431-1)*(1-_xlfn.XLOOKUP(K431,'Fevereiro 2023 - Valor Real'!A3:A15,'Fevereiro 2023 - Valor Real'!C3:C15,0))+1)),((L430-1)*(1-_xlfn.XLOOKUP(K430,'Fevereiro 2023 - Valor Real'!A3:A15,'Fevereiro 2023 - Valor Real'!C3:C15,0))+1)/(((L430-1)*(1-_xlfn.XLOOKUP(K430,'Fevereiro 2023 - Valor Real'!A3:A15,'Fevereiro 2023 - Valor Real'!C3:C15,0))+1)+((L431-1)*(1-_xlfn.XLOOKUP(K431,'Fevereiro 2023 - Valor Real'!A3:A15,'Fevereiro 2023 - Valor Real'!C3:C15,0))+1))))))</f>
        <v>0.43187066974595845</v>
      </c>
      <c r="AF431" s="66">
        <f t="shared" si="854"/>
        <v>0</v>
      </c>
      <c r="AG431" s="67">
        <f t="shared" si="854"/>
        <v>0</v>
      </c>
      <c r="AH431" s="67">
        <f t="shared" si="854"/>
        <v>0</v>
      </c>
      <c r="AI431" s="67">
        <f t="shared" si="854"/>
        <v>0</v>
      </c>
      <c r="AJ431" s="67">
        <f t="shared" si="854"/>
        <v>-7.71</v>
      </c>
      <c r="AK431" s="67">
        <f t="shared" si="854"/>
        <v>0</v>
      </c>
      <c r="AL431" s="67">
        <f t="shared" si="854"/>
        <v>0</v>
      </c>
      <c r="AM431" s="67">
        <f t="shared" si="854"/>
        <v>0</v>
      </c>
      <c r="AN431" s="67">
        <f t="shared" si="854"/>
        <v>0</v>
      </c>
      <c r="AO431" s="67">
        <f t="shared" si="854"/>
        <v>0</v>
      </c>
      <c r="AP431" s="67">
        <f t="shared" si="854"/>
        <v>0</v>
      </c>
      <c r="AQ431" s="67">
        <f t="shared" si="854"/>
        <v>0</v>
      </c>
      <c r="AR431" s="68">
        <f t="shared" si="854"/>
        <v>0</v>
      </c>
      <c r="AS431" s="66">
        <f>IF(AND($B430=" ",$K431=AS$3),$O431,0)</f>
        <v>0</v>
      </c>
      <c r="AT431" s="67">
        <f>IF(AND($B430=" ",K431=AT$3),$O431,0)</f>
        <v>0</v>
      </c>
      <c r="AU431" s="67">
        <f t="shared" ref="AU431:BE431" si="866">IF(AND($B430=" ",$K431=AU$3),$O431,0)</f>
        <v>0</v>
      </c>
      <c r="AV431" s="67">
        <f t="shared" si="866"/>
        <v>0</v>
      </c>
      <c r="AW431" s="67">
        <f t="shared" si="866"/>
        <v>0</v>
      </c>
      <c r="AX431" s="67">
        <f t="shared" si="866"/>
        <v>0</v>
      </c>
      <c r="AY431" s="69">
        <f t="shared" si="866"/>
        <v>0</v>
      </c>
      <c r="AZ431" s="70">
        <f t="shared" si="866"/>
        <v>0</v>
      </c>
      <c r="BA431" s="70">
        <f t="shared" si="866"/>
        <v>0</v>
      </c>
      <c r="BB431" s="70">
        <f t="shared" si="866"/>
        <v>0</v>
      </c>
      <c r="BC431" s="71">
        <f t="shared" si="866"/>
        <v>0</v>
      </c>
      <c r="BD431" s="67">
        <f t="shared" si="866"/>
        <v>0</v>
      </c>
      <c r="BE431" s="68">
        <f t="shared" si="866"/>
        <v>0</v>
      </c>
      <c r="BF431" s="66">
        <f t="shared" si="856"/>
        <v>0</v>
      </c>
      <c r="BG431" s="168">
        <f t="shared" si="856"/>
        <v>0</v>
      </c>
      <c r="BH431" s="67">
        <f t="shared" si="856"/>
        <v>0</v>
      </c>
      <c r="BI431" s="67">
        <f t="shared" si="856"/>
        <v>0</v>
      </c>
      <c r="BJ431" s="67">
        <f t="shared" si="856"/>
        <v>7.71</v>
      </c>
      <c r="BK431" s="67">
        <f t="shared" si="856"/>
        <v>0</v>
      </c>
      <c r="BL431" s="67">
        <f t="shared" si="856"/>
        <v>0</v>
      </c>
      <c r="BM431" s="69">
        <f t="shared" si="856"/>
        <v>0</v>
      </c>
      <c r="BN431" s="70">
        <f t="shared" si="856"/>
        <v>0</v>
      </c>
      <c r="BO431" s="70">
        <f t="shared" si="856"/>
        <v>0</v>
      </c>
      <c r="BP431" s="70">
        <f t="shared" si="856"/>
        <v>0</v>
      </c>
      <c r="BQ431" s="71">
        <f t="shared" si="856"/>
        <v>0</v>
      </c>
      <c r="BR431" s="68">
        <f t="shared" si="856"/>
        <v>0</v>
      </c>
      <c r="BS431" s="491"/>
      <c r="BT431" s="489"/>
      <c r="BU431" s="392"/>
      <c r="BV431" s="489"/>
      <c r="BW431" s="392"/>
      <c r="BX431" s="392"/>
      <c r="BY431" s="392"/>
      <c r="BZ431" s="489"/>
      <c r="CA431" s="392"/>
      <c r="CB431" s="392"/>
      <c r="CC431" s="392"/>
      <c r="CD431" s="401"/>
      <c r="CE431" s="409"/>
      <c r="CF431" s="169">
        <f t="shared" si="772"/>
        <v>0</v>
      </c>
      <c r="CG431" s="170">
        <f t="shared" si="773"/>
        <v>0</v>
      </c>
      <c r="CH431" s="170">
        <f t="shared" si="774"/>
        <v>0</v>
      </c>
      <c r="CI431" s="170">
        <f t="shared" si="775"/>
        <v>0</v>
      </c>
      <c r="CJ431" s="170">
        <f t="shared" si="776"/>
        <v>0</v>
      </c>
      <c r="CK431" s="170">
        <f t="shared" si="777"/>
        <v>0</v>
      </c>
      <c r="CL431" s="170">
        <f t="shared" si="778"/>
        <v>0</v>
      </c>
      <c r="CM431" s="170">
        <f t="shared" si="779"/>
        <v>0</v>
      </c>
      <c r="CN431" s="170">
        <f t="shared" si="780"/>
        <v>0</v>
      </c>
      <c r="CO431" s="170">
        <f t="shared" si="781"/>
        <v>1</v>
      </c>
      <c r="CP431" s="170">
        <f t="shared" si="782"/>
        <v>0</v>
      </c>
      <c r="CQ431" s="170">
        <f t="shared" si="783"/>
        <v>0</v>
      </c>
      <c r="CR431" s="170">
        <f t="shared" si="784"/>
        <v>0</v>
      </c>
      <c r="CS431" s="170">
        <f t="shared" si="785"/>
        <v>0</v>
      </c>
      <c r="CT431" s="75">
        <f t="shared" si="786"/>
        <v>0</v>
      </c>
      <c r="CU431" s="76">
        <f t="shared" si="787"/>
        <v>0</v>
      </c>
      <c r="CV431" s="76">
        <f t="shared" si="788"/>
        <v>0</v>
      </c>
      <c r="CW431" s="76">
        <f t="shared" si="789"/>
        <v>0</v>
      </c>
      <c r="CX431" s="76">
        <f t="shared" si="790"/>
        <v>0</v>
      </c>
      <c r="CY431" s="76">
        <f t="shared" si="791"/>
        <v>0</v>
      </c>
      <c r="CZ431" s="76">
        <f t="shared" si="792"/>
        <v>0</v>
      </c>
      <c r="DA431" s="76">
        <f t="shared" si="793"/>
        <v>0</v>
      </c>
      <c r="DB431" s="76">
        <f t="shared" si="794"/>
        <v>0</v>
      </c>
      <c r="DC431" s="76">
        <f t="shared" si="795"/>
        <v>0</v>
      </c>
      <c r="DD431" s="76">
        <f t="shared" si="796"/>
        <v>0</v>
      </c>
      <c r="DE431" s="77">
        <f t="shared" si="797"/>
        <v>0</v>
      </c>
      <c r="DF431" s="73">
        <f t="shared" si="799"/>
        <v>30</v>
      </c>
      <c r="DG431" s="67">
        <f t="shared" si="800"/>
        <v>38.739999999999995</v>
      </c>
      <c r="DH431" s="76">
        <f t="shared" si="801"/>
        <v>10</v>
      </c>
      <c r="DI431" s="67">
        <f t="shared" si="802"/>
        <v>41.599999999999994</v>
      </c>
      <c r="DJ431" s="202" t="str">
        <f>IF($D430="","",$D430)</f>
        <v>15</v>
      </c>
      <c r="DK431" s="493"/>
    </row>
    <row r="432" spans="1:115" ht="14.5" customHeight="1" x14ac:dyDescent="0.2">
      <c r="A432" s="390"/>
      <c r="B432" s="457"/>
      <c r="C432" s="79" t="s">
        <v>53</v>
      </c>
      <c r="D432" s="375"/>
      <c r="E432" s="387"/>
      <c r="F432" s="378"/>
      <c r="G432" s="508"/>
      <c r="H432" s="477"/>
      <c r="I432" s="171"/>
      <c r="J432" s="172"/>
      <c r="K432" s="81"/>
      <c r="L432" s="173"/>
      <c r="M432" s="174"/>
      <c r="N432" s="407"/>
      <c r="O432" s="86" t="str">
        <f>IF(OR(AE430="",AE431=""),"",IF(L432&gt;0,ROUND(IF(M432&gt;0,M432,IF(M430&gt;0,ROUND((M430*AE432)/AE430,IF(N430=0,2,IF(N430=0.1,1,0))),IF(M431&gt;0,ROUND((M431*AE432)/AE431,IF(N430=0,2,IF(N430=0.1,1,0))),IF(M432&gt;0,M432,0)))),2),""))</f>
        <v/>
      </c>
      <c r="P432" s="87" t="str">
        <f>IF(I431="Lay",O431*(L431/(L431-1))-O431,IF(I430="Lay",O430*(L430/(L430-1))-O430,IF(OR(L432="",O432=""),"",IF($C432="1/2W",O432/2+O432/2*L432,IF($C432="1/2L",O432/2,(O432*L432-O432)*(1-_xlfn.XLOOKUP(K432,'Fevereiro 2023 - Valor Real'!A3:A15,'Fevereiro 2023 - Valor Real'!C3:C15,0))+O432)))))</f>
        <v/>
      </c>
      <c r="Q432" s="54" t="str">
        <f>IF(K432="","",IF(_xlfn.XLOOKUP(K432,K$11:K422,$DJ$11:DJ422,0,,-1)=DJ432,_xlfn.XLOOKUP(K432,K$11:K422,Q$11:Q422,1,,-1)+1,1))</f>
        <v/>
      </c>
      <c r="R432" s="87" t="str">
        <f>IF(K432="","",_xlfn.XLOOKUP(K432,K$11:K422,R$11:R422,0,,-1)+IF($C432=" ",1,0))</f>
        <v/>
      </c>
      <c r="S432" s="404"/>
      <c r="T432" s="378"/>
      <c r="U432" s="378"/>
      <c r="V432" s="404"/>
      <c r="W432" s="378"/>
      <c r="X432" s="453"/>
      <c r="Y432" s="383"/>
      <c r="Z432" s="384"/>
      <c r="AA432" s="384"/>
      <c r="AB432" s="384"/>
      <c r="AC432" s="384"/>
      <c r="AD432" s="90"/>
      <c r="AE432" s="91" t="str">
        <f>IF(L432="","",(SUM(((L430-1)*(1-_xlfn.XLOOKUP(K430,'Fevereiro 2023 - Valor Real'!A3:A15,'Fevereiro 2023 - Valor Real'!C3:C15,0))+1),((L431-1)*(1-_xlfn.XLOOKUP(K431,'Fevereiro 2023 - Valor Real'!A3:A15,'Fevereiro 2023 - Valor Real'!C3:C15,0))+1),((L432-1)*(1-_xlfn.XLOOKUP(K432,'Fevereiro 2023 - Valor Real'!A3:A15,'Fevereiro 2023 - Valor Real'!C3:C15,0))+1))/((L432-1)*(1-_xlfn.XLOOKUP(K432,'Fevereiro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Real'!C3:C15,0))+1))/((L430-1)*(1-_xlfn.XLOOKUP(K430,'Fevereiro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Real'!C3:C15,0))+1))/((L431-1)*(1-_xlfn.XLOOKUP(K431,'Fevereiro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Real'!C3:C15,0))+1))/((L432-1)*(1-_xlfn.XLOOKUP(K432,'Fevereiro 2023 - Valor Real'!A3:A15,'Fevereiro 2023 - Valor Real'!C3:C15,0))+1)))</f>
        <v/>
      </c>
      <c r="AF432" s="66">
        <f t="shared" si="854"/>
        <v>0</v>
      </c>
      <c r="AG432" s="67">
        <f t="shared" si="854"/>
        <v>0</v>
      </c>
      <c r="AH432" s="67">
        <f t="shared" si="854"/>
        <v>0</v>
      </c>
      <c r="AI432" s="67">
        <f t="shared" si="854"/>
        <v>0</v>
      </c>
      <c r="AJ432" s="67">
        <f t="shared" si="854"/>
        <v>0</v>
      </c>
      <c r="AK432" s="67">
        <f t="shared" si="854"/>
        <v>0</v>
      </c>
      <c r="AL432" s="67">
        <f t="shared" si="854"/>
        <v>0</v>
      </c>
      <c r="AM432" s="67">
        <f t="shared" si="854"/>
        <v>0</v>
      </c>
      <c r="AN432" s="67">
        <f t="shared" si="854"/>
        <v>0</v>
      </c>
      <c r="AO432" s="67">
        <f t="shared" si="854"/>
        <v>0</v>
      </c>
      <c r="AP432" s="67">
        <f t="shared" si="854"/>
        <v>0</v>
      </c>
      <c r="AQ432" s="67">
        <f t="shared" si="854"/>
        <v>0</v>
      </c>
      <c r="AR432" s="68">
        <f t="shared" si="854"/>
        <v>0</v>
      </c>
      <c r="AS432" s="66">
        <f>IF(AND($B430=" ",$K432=AS$3),$O432,0)</f>
        <v>0</v>
      </c>
      <c r="AT432" s="67">
        <f>IF(AND($B430=" ",K432=AT$3),$O432,0)</f>
        <v>0</v>
      </c>
      <c r="AU432" s="67">
        <f t="shared" ref="AU432:BE432" si="867">IF(AND($B430=" ",$K432=AU$3),$O432,0)</f>
        <v>0</v>
      </c>
      <c r="AV432" s="67">
        <f t="shared" si="867"/>
        <v>0</v>
      </c>
      <c r="AW432" s="67">
        <f t="shared" si="867"/>
        <v>0</v>
      </c>
      <c r="AX432" s="67">
        <f t="shared" si="867"/>
        <v>0</v>
      </c>
      <c r="AY432" s="69">
        <f t="shared" si="867"/>
        <v>0</v>
      </c>
      <c r="AZ432" s="70">
        <f t="shared" si="867"/>
        <v>0</v>
      </c>
      <c r="BA432" s="70">
        <f t="shared" si="867"/>
        <v>0</v>
      </c>
      <c r="BB432" s="70">
        <f t="shared" si="867"/>
        <v>0</v>
      </c>
      <c r="BC432" s="71">
        <f t="shared" si="867"/>
        <v>0</v>
      </c>
      <c r="BD432" s="67">
        <f t="shared" si="867"/>
        <v>0</v>
      </c>
      <c r="BE432" s="68">
        <f t="shared" si="867"/>
        <v>0</v>
      </c>
      <c r="BF432" s="66">
        <f t="shared" si="856"/>
        <v>0</v>
      </c>
      <c r="BG432" s="168">
        <f t="shared" si="856"/>
        <v>0</v>
      </c>
      <c r="BH432" s="67">
        <f t="shared" si="856"/>
        <v>0</v>
      </c>
      <c r="BI432" s="67">
        <f t="shared" si="856"/>
        <v>0</v>
      </c>
      <c r="BJ432" s="67">
        <f t="shared" si="856"/>
        <v>0</v>
      </c>
      <c r="BK432" s="67">
        <f t="shared" si="856"/>
        <v>0</v>
      </c>
      <c r="BL432" s="67">
        <f t="shared" si="856"/>
        <v>0</v>
      </c>
      <c r="BM432" s="69">
        <f t="shared" si="856"/>
        <v>0</v>
      </c>
      <c r="BN432" s="70">
        <f t="shared" si="856"/>
        <v>0</v>
      </c>
      <c r="BO432" s="70">
        <f t="shared" si="856"/>
        <v>0</v>
      </c>
      <c r="BP432" s="70">
        <f t="shared" si="856"/>
        <v>0</v>
      </c>
      <c r="BQ432" s="71">
        <f t="shared" si="856"/>
        <v>0</v>
      </c>
      <c r="BR432" s="68">
        <f t="shared" si="856"/>
        <v>0</v>
      </c>
      <c r="BS432" s="491"/>
      <c r="BT432" s="489"/>
      <c r="BU432" s="392"/>
      <c r="BV432" s="489"/>
      <c r="BW432" s="392"/>
      <c r="BX432" s="392"/>
      <c r="BY432" s="392"/>
      <c r="BZ432" s="489"/>
      <c r="CA432" s="392"/>
      <c r="CB432" s="392"/>
      <c r="CC432" s="392"/>
      <c r="CD432" s="401"/>
      <c r="CE432" s="409"/>
      <c r="CF432" s="169">
        <f t="shared" si="772"/>
        <v>0</v>
      </c>
      <c r="CG432" s="170">
        <f t="shared" si="773"/>
        <v>0</v>
      </c>
      <c r="CH432" s="170">
        <f t="shared" si="774"/>
        <v>0</v>
      </c>
      <c r="CI432" s="170">
        <f t="shared" si="775"/>
        <v>0</v>
      </c>
      <c r="CJ432" s="170">
        <f t="shared" si="776"/>
        <v>0</v>
      </c>
      <c r="CK432" s="170">
        <f t="shared" si="777"/>
        <v>0</v>
      </c>
      <c r="CL432" s="170">
        <f t="shared" si="778"/>
        <v>0</v>
      </c>
      <c r="CM432" s="170">
        <f t="shared" si="779"/>
        <v>0</v>
      </c>
      <c r="CN432" s="170">
        <f t="shared" si="780"/>
        <v>0</v>
      </c>
      <c r="CO432" s="170">
        <f t="shared" si="781"/>
        <v>0</v>
      </c>
      <c r="CP432" s="170">
        <f t="shared" si="782"/>
        <v>0</v>
      </c>
      <c r="CQ432" s="170">
        <f t="shared" si="783"/>
        <v>0</v>
      </c>
      <c r="CR432" s="170">
        <f t="shared" si="784"/>
        <v>0</v>
      </c>
      <c r="CS432" s="170">
        <f t="shared" si="785"/>
        <v>0</v>
      </c>
      <c r="CT432" s="75">
        <f t="shared" si="786"/>
        <v>0</v>
      </c>
      <c r="CU432" s="76">
        <f t="shared" si="787"/>
        <v>0</v>
      </c>
      <c r="CV432" s="76">
        <f t="shared" si="788"/>
        <v>0</v>
      </c>
      <c r="CW432" s="76">
        <f t="shared" si="789"/>
        <v>0</v>
      </c>
      <c r="CX432" s="76">
        <f t="shared" si="790"/>
        <v>0</v>
      </c>
      <c r="CY432" s="76">
        <f t="shared" si="791"/>
        <v>0</v>
      </c>
      <c r="CZ432" s="76">
        <f t="shared" si="792"/>
        <v>0</v>
      </c>
      <c r="DA432" s="76">
        <f t="shared" si="793"/>
        <v>0</v>
      </c>
      <c r="DB432" s="76">
        <f t="shared" si="794"/>
        <v>0</v>
      </c>
      <c r="DC432" s="76">
        <f t="shared" si="795"/>
        <v>0</v>
      </c>
      <c r="DD432" s="76">
        <f t="shared" si="796"/>
        <v>0</v>
      </c>
      <c r="DE432" s="77">
        <f t="shared" si="797"/>
        <v>0</v>
      </c>
      <c r="DF432" s="73">
        <f t="shared" si="799"/>
        <v>30</v>
      </c>
      <c r="DG432" s="67">
        <f t="shared" si="800"/>
        <v>38.739999999999995</v>
      </c>
      <c r="DH432" s="76">
        <f t="shared" si="801"/>
        <v>10</v>
      </c>
      <c r="DI432" s="67">
        <f t="shared" si="802"/>
        <v>41.599999999999994</v>
      </c>
      <c r="DJ432" s="202" t="str">
        <f>IF($D430="","",$D430)</f>
        <v>15</v>
      </c>
      <c r="DK432" s="493"/>
    </row>
    <row r="433" spans="1:115" ht="14.5" customHeight="1" x14ac:dyDescent="0.2">
      <c r="A433" s="459">
        <f>$A430+1</f>
        <v>144</v>
      </c>
      <c r="B433" s="507" t="str">
        <f>IF(OR(C433="W",C434="W",C435="W",C433="1/2W",C434="1/2W",C435="1/2W",C433="1/2L",C434="1/2L",C435="1/2L"),"OK",IF(OR(C433="L",C434="L",C435="L"),"LOSS",IF(OR(C433="X",C434="X",C435="X"),"Anulado"," ")))</f>
        <v>OK</v>
      </c>
      <c r="C433" s="93" t="s">
        <v>55</v>
      </c>
      <c r="D433" s="468" t="str">
        <f>IF(G433="","",$D430)</f>
        <v>15</v>
      </c>
      <c r="E433" s="485" t="str">
        <f>IF(G433=""," ","– "&amp;COUNTIF(D$4:D435,$D433))</f>
        <v>– 2</v>
      </c>
      <c r="F433" s="509" t="str">
        <f ca="1">IF(G433="","",IF(OR(AND($C433&lt;&gt;" ",$C434=" "),AND($C434&lt;&gt;" ",$C433=" "),AND(L435&gt;0,OR(AND($C435&lt;&gt;" ",OR($C433=" ",$C434=" ")),AND($C435=" ",OR($C433&lt;&gt;" ",$C434&lt;&gt;" "))))),IF(SUM(F$4:F432)=0,1,LARGE(F$4:F432,1)+1),IF(MONTH(G433)=MONTH(TODAY()),IF(AND(DAY(G433)&lt;DAY(TODAY()),$B433=" "),IF(SUM(F$4:F432)=0,1,LARGE(F$4:F432,1)+1),IF($B433=" ",IF(AND(DAY(G433)=DAY(TODAY()),HOUR(G433)&lt;=HOUR(NOW())+1),IF(AND(HOUR(G433)+2&lt;=HOUR(NOW()),DAY(G433)&lt;=DAY(TODAY()),MINUTE(G433)&lt;=MINUTE(NOW())),IF(SUM(F$4:F432)=0,1,LARGE(F$4:F432,1)+1),IF(OR(MINUTE(G433)&lt;=MINUTE(NOW()),HOUR(G433)&lt;=HOUR(NOW())),"!!!","")),""),"")),"")))</f>
        <v/>
      </c>
      <c r="G433" s="482">
        <v>45001.458333333336</v>
      </c>
      <c r="H433" s="475" t="s">
        <v>182</v>
      </c>
      <c r="I433" s="94" t="s">
        <v>66</v>
      </c>
      <c r="J433" s="95">
        <v>1</v>
      </c>
      <c r="K433" s="96" t="s">
        <v>43</v>
      </c>
      <c r="L433" s="97">
        <v>2.5</v>
      </c>
      <c r="M433" s="98"/>
      <c r="N433" s="478">
        <v>0</v>
      </c>
      <c r="O433" s="99">
        <f>IF(OR(AE433="",AE434=""),"",ROUND(IF(L435&gt;0,IF(M433&gt;0,M433,IF(M434&gt;0,ROUND((M434*AE433)/AE434,IF(N433=0,2,IF(N433=0.1,1,0))),ROUND((M435*AE433)/AE435,IF(N433=0,2,IF(N433=0.1,1,0))))),IF(M433&gt;0,M433,ROUND((M434*AE433)/AE434,IF(N433=0,2,IF(N433=0.1,1,0))))),2))</f>
        <v>70.58</v>
      </c>
      <c r="P433" s="100">
        <f>IF(OR(L433="",O433=""),"",IF($C433="1/2W",O433/2+O433/2*L433,IF($C433="1/2L",O433/2,IF(I433="Lay",(O433*(L433/(L433-1))-O433)*(1-_xlfn.XLOOKUP(K433,'Fevereiro 2023 - Valor Real'!A3:A15,'Fevereiro 2023 - Valor Real'!C3:C15,0))+O433,(O433*L433-O433)*(1-_xlfn.XLOOKUP(K433,'Fevereiro 2023 - Valor Real'!A3:A15,'Fevereiro 2023 - Valor Real'!C3:C15,0))+O433))))</f>
        <v>176.45</v>
      </c>
      <c r="Q433" s="101">
        <f>IF(K433="","",IF(_xlfn.XLOOKUP(K433,K$4:K432,$DJ$4:DJ432,0,,-1)=DJ433,_xlfn.XLOOKUP(K433,K$4:K432,Q$4:Q432,1,,-1)+1,1))</f>
        <v>1</v>
      </c>
      <c r="R433" s="102">
        <f>IF(K433="","",_xlfn.XLOOKUP(K433,K$4:K432,R$4:R432,0,,-1)+IF($C433=" ",1,0))</f>
        <v>0</v>
      </c>
      <c r="S433" s="474">
        <f>IF($B433="Anulado",0,ROUND(IF(OR($B433="LOSS",$B433="OK"),IF(OR($C433="W",$C433="1/2W",$C433="1/2L"),P433-O433,IF($C433="L",-O433,0))+IF(OR($C434="W",$C434="1/2W",$C434="1/2L"),P434-O434,IF($C434="L",-O434,0))+IF(OR($C435="W",$C435="1/2W",$C435="1/2L"),P435-O435,IF($C435="L",-O435,0)),IF(AND(OR($C433="W",$C433="1/2W",$C433="1/2L"),C434="W"),P433+P434-SUM(O433:O435)+_xlfn.XLOOKUP("X",C433:C435,O433:O435,0),IF(AND(C433=TRUE,C435="W"),P433+P435-SUM(O433:O435),IF(AND(C434="W",C435="W"),P434+P435-SUM(O433:O435)+_xlfn.XLOOKUP("X",C433:C435,O433:O435,0),IF(L435&gt;0,IF(OR($C433="W",$C433="1/2W",$C433="1/2L"),P433-SUM(O433:O435)+_xlfn.XLOOKUP("X",C433:C435,O433:O435,0),IF(OR($C433="W",$C433="1/2W",$C433="1/2L"),P434-SUM(O433:O435)+_xlfn.XLOOKUP("X",C433:C435,O433:O435,0),IF(OR($C433="W",$C433="1/2W",$C433="1/2L"),P435-SUM(O433:O435)+_xlfn.XLOOKUP("X",C433:C435,O433:O435,0),IF(SUM(P433:P435)/3-SUM(O433:O435)+_xlfn.XLOOKUP("X",C433:C435,O433:O435,0)&gt;0,SUM(P433:P435)/3-SUM(O433:O435)+_xlfn.XLOOKUP("X",C433:C435,O433:O435,0),LARGE(P433:P435,1)-SUM(O433:O435))))),IF(OR($C433="W",$C433="1/2W",$C433="1/2L"),P433-SUM(O433:O434)+_xlfn.XLOOKUP("X",C433:C435,O433:O435,0),IF(OR($C433="W",$C433="1/2W",$C433="1/2L"),P434-SUM(O433:O434)+_xlfn.XLOOKUP("X",C433:C435,O433:O435,0),SUM(P433:P434)/2-SUM(O433:O434)+_xlfn.XLOOKUP("X",C433:C435,O433:O435,0)))))))),2))</f>
        <v>7.84</v>
      </c>
      <c r="T433" s="458">
        <f>IF(S433=0,0,S433/SUM(O433:O435))</f>
        <v>4.64978352410889E-2</v>
      </c>
      <c r="U433" s="470">
        <f>IF($D433=$D430,IF(OR($B433="LOSS",$B433="OK",$B433="Anulada"),S433,0)+U430,IF(OR($B433="LOSS",$B433="OK",$B433="Anulada"),S433,0))</f>
        <v>8.9600000000000009</v>
      </c>
      <c r="V433" s="470">
        <f>IF($D433="",0,IF($D433=$D430,IF($B433=" ",IF(I435="",IF(OR(AND(I433="DNB1",I434="DNB2"),AND(OR(I433="DNB1",I433="DNB2"),J434=0),AND(OR(I434="DNB1",I434="DNB2"),J433=0),AND(I433="DNB2",I434="DNB1"),AND(IF(J433=0,(J433+1)/ROUND(J433+1,0),J433/ROUND(J433,0))=1,IF(J434=0,(J434+1)/ROUND(IF(J434="",0,J434)+1,0),IF(J434="",0,J434)/ROUND(IF(J434="",1,J434),0))=1,OR(J433&lt;&gt;""),J434&lt;&gt;"")),0,IF(S433&lt;0,IF(I435="",SMALL(P433:P434,1)-SUM(O433:O434),0),SMALL(P433:P434,1)-SUM(O433:O434))),IF(S433&lt;0,IF(I435="",SMALL(P433:P435,1)-SUM(O433:O435),0),LARGE(P433:P435,1)-SUM(O433:O435))),S433)+V430,IF(I435="",IF(OR(AND(I433="DNB1",I434="DNB2"),AND(OR(I433="DNB1",I433="DNB2"),J434=0),AND(OR(I434="DNB1",I434="DNB2"),J433=0),AND(I433="DNB2",I434="DNB1"),AND(IF(J433=0,(J433+1)/ROUND(J433+1,0),J433/ROUND(J433,0))=1,IF(J434=0,(IF(J434="",0,J434)+1)/ROUND(IF(J434="",0,J434)+1,0),IF(J434="",0,J434)/ROUND(IF(J434="",0,J434)+1,0))=1,OR(J433&lt;&gt;""),J434&lt;&gt;"")),0,IF(S433&lt;0,IF(I435="",SMALL(P433:P434,1)-SUM(O433:O434),0),SMALL(P433:P435,1)-SUM(O433:O435))),IF(S433&lt;0,IF(I435="",SMALL(P433:P435,1)-SUM(O433:O435),0),LARGE(P433:P435,1)-SUM(O433:O435)))))</f>
        <v>8.9466000000000001</v>
      </c>
      <c r="W433" s="470">
        <f>IF($D433=$D430,IF(S433&lt;0,IF(I435="",S433,0),S433)+W430,S433)</f>
        <v>8.9600000000000009</v>
      </c>
      <c r="X433" s="480" t="str">
        <f>IF(OR(SUM(R433:R435)=0,V433=W433),ROUND(IF(W433=0,0,W433/Y433)*100,2)&amp;"%",ROUND(IF(V433=0,0,V433/Y433)*100,2)&amp;"% a "&amp;ROUND(IF(W433=0,0,W433/Y433)*100,2)&amp;"%")</f>
        <v>4,81%</v>
      </c>
      <c r="Y433" s="471">
        <f>IF($D433=$D430,Y430+SUM(O433:O435),SUM(O433:O435))</f>
        <v>186.47000000000003</v>
      </c>
      <c r="Z433" s="470">
        <f>IF($B433=" ",SUM(O433:O435),0)+Z430</f>
        <v>0</v>
      </c>
      <c r="AA433" s="470">
        <f>IF(G433="","",IF($B433="Anulado",LARGE(P433:P435,1)-SUM(O433:O435)+AA430,AA430))</f>
        <v>12.425099999999992</v>
      </c>
      <c r="AB433" s="470">
        <f>IF($D433="","",AB430+S433)</f>
        <v>537.38000000000011</v>
      </c>
      <c r="AC433" s="472">
        <f ca="1">IF($D433="","",IF($B433=" ",IF(DAY(G433)=DAY(TODAY()),1+AC430,0+AC430),0+AC430))</f>
        <v>0</v>
      </c>
      <c r="AD433" s="103">
        <f>(((L434/(L434-1)-1)*(1-_xlfn.XLOOKUP(K434,'Fevereiro 2023 - Valor Real'!A3:A15,'Fevereiro 2023 - Valor Real'!C3:C15,0))+1))/(((L433-1)*(1-_xlfn.XLOOKUP(K433,'Fevereiro 2023 - Valor Real'!A3:A15,'Fevereiro 2023 - Valor Real'!C3:C15,0))+1)+((L434/(L434-1)-1)*(1-_xlfn.XLOOKUP(K434,'Fevereiro 2023 - Valor Real'!A3:A15,'Fevereiro 2023 - Valor Real'!C3:C15,0))+1))</f>
        <v>0.47368421052631576</v>
      </c>
      <c r="AE433" s="104">
        <f>IF(L433="","",IF(L435&gt;0,(SUM(((L433-1)*(1-_xlfn.XLOOKUP(K433,'Fevereiro 2023 - Valor Real'!A3:A15,'Fevereiro 2023 - Valor Real'!C3:C15,0))+1),((L434-1)*(1-_xlfn.XLOOKUP(K434,'Fevereiro 2023 - Valor Real'!A3:A15,'Fevereiro 2023 - Valor Real'!C3:C15,0))+1),((L435-1)*(1-_xlfn.XLOOKUP(K435,'Fevereiro 2023 - Valor Real'!A3:A15,'Fevereiro 2023 - Valor Real'!C3:C15,0))+1))/((L433-1)*(1-_xlfn.XLOOKUP(K433,'Fevereiro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Real'!C3:C15,0))+1))/((L433-1)*(1-_xlfn.XLOOKUP(K433,'Fevereiro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Real'!C3:C15,0))+1))/((L434-1)*(1-_xlfn.XLOOKUP(K434,'Fevereiro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Real'!C3:C15,0))+1))/((L435-1)*(1-_xlfn.XLOOKUP(K435,'Fevereiro 2023 - Valor Real'!A3:A15,'Fevereiro 2023 - Valor Real'!C3:C15,0))+1)),IF(I433="Lay",IF(I434="Lay",((L434/(L434-1)-1)*(1-_xlfn.XLOOKUP(K434,'Fevereiro 2023 - Valor Real'!A3:A15,'Fevereiro 2023 - Valor Real'!C3:C15,0))+1)/(((L434/(L434-1)-1)*(1-_xlfn.XLOOKUP(K434,'Fevereiro 2023 - Valor Real'!A3:A15,'Fevereiro 2023 - Valor Real'!C3:C15,0))+1)+((L433/(L433-1)-1)*(1-_xlfn.XLOOKUP(K433,'Fevereiro 2023 - Valor Real'!A3:A15,'Fevereiro 2023 - Valor Real'!C3:C15,0))+1)),((L434-1)*(1-_xlfn.XLOOKUP(K434,'Fevereiro 2023 - Valor Real'!A3:A15,'Fevereiro 2023 - Valor Real'!C3:C15,0))+1)/(((L434-1)*(1-_xlfn.XLOOKUP(K434,'Fevereiro 2023 - Valor Real'!A3:A15,'Fevereiro 2023 - Valor Real'!C3:C15,0))+1)+((L433/(L433-1)-1)*(1-_xlfn.XLOOKUP(K433,'Fevereiro 2023 - Valor Real'!A3:A15,'Fevereiro 2023 - Valor Real'!C3:C15,0))+1))),IF(I434="Lay",(((L434/(L434-1)-1)*(1-_xlfn.XLOOKUP(K434,'Fevereiro 2023 - Valor Real'!A3:A15,'Fevereiro 2023 - Valor Real'!C3:C15,0))+1))/(((L433-1)*(1-_xlfn.XLOOKUP(K433,'Fevereiro 2023 - Valor Real'!A3:A15,'Fevereiro 2023 - Valor Real'!C3:C15,0))+1)+((L434/(L434-1)-1)*(1-_xlfn.XLOOKUP(K434,'Fevereiro 2023 - Valor Real'!A3:A15,'Fevereiro 2023 - Valor Real'!C3:C15,0))+1)),((L434-1)*(1-_xlfn.XLOOKUP(K434,'Fevereiro 2023 - Valor Real'!A3:A15,'Fevereiro 2023 - Valor Real'!C3:C15,0))+1)/(((L434-1)*(1-_xlfn.XLOOKUP(K434,'Fevereiro 2023 - Valor Real'!A3:A15,'Fevereiro 2023 - Valor Real'!C3:C15,0))+1)+((L433-1)*(1-_xlfn.XLOOKUP(K433,'Fevereiro 2023 - Valor Real'!A3:A15,'Fevereiro 2023 - Valor Real'!C3:C15,0))+1))))))</f>
        <v>0.41860465116279072</v>
      </c>
      <c r="AF433" s="105">
        <f t="shared" si="854"/>
        <v>0</v>
      </c>
      <c r="AG433" s="106">
        <f t="shared" si="854"/>
        <v>0</v>
      </c>
      <c r="AH433" s="106">
        <f t="shared" si="854"/>
        <v>0</v>
      </c>
      <c r="AI433" s="106">
        <f t="shared" si="854"/>
        <v>0</v>
      </c>
      <c r="AJ433" s="106">
        <f t="shared" si="854"/>
        <v>0</v>
      </c>
      <c r="AK433" s="106">
        <f t="shared" si="854"/>
        <v>0</v>
      </c>
      <c r="AL433" s="106">
        <f t="shared" si="854"/>
        <v>0</v>
      </c>
      <c r="AM433" s="106">
        <f t="shared" si="854"/>
        <v>-70.58</v>
      </c>
      <c r="AN433" s="106">
        <f t="shared" si="854"/>
        <v>0</v>
      </c>
      <c r="AO433" s="106">
        <f t="shared" si="854"/>
        <v>0</v>
      </c>
      <c r="AP433" s="106">
        <f t="shared" si="854"/>
        <v>0</v>
      </c>
      <c r="AQ433" s="106">
        <f t="shared" si="854"/>
        <v>0</v>
      </c>
      <c r="AR433" s="107">
        <f t="shared" si="854"/>
        <v>0</v>
      </c>
      <c r="AS433" s="105">
        <f t="shared" ref="AS433:BE433" si="868">IF(AND($B433=" ",$K433=AS$3),$O433,0)</f>
        <v>0</v>
      </c>
      <c r="AT433" s="106">
        <f t="shared" si="868"/>
        <v>0</v>
      </c>
      <c r="AU433" s="106">
        <f t="shared" si="868"/>
        <v>0</v>
      </c>
      <c r="AV433" s="106">
        <f t="shared" si="868"/>
        <v>0</v>
      </c>
      <c r="AW433" s="106">
        <f t="shared" si="868"/>
        <v>0</v>
      </c>
      <c r="AX433" s="106">
        <f t="shared" si="868"/>
        <v>0</v>
      </c>
      <c r="AY433" s="108">
        <f t="shared" si="868"/>
        <v>0</v>
      </c>
      <c r="AZ433" s="109">
        <f t="shared" si="868"/>
        <v>0</v>
      </c>
      <c r="BA433" s="109">
        <f t="shared" si="868"/>
        <v>0</v>
      </c>
      <c r="BB433" s="109">
        <f t="shared" si="868"/>
        <v>0</v>
      </c>
      <c r="BC433" s="110">
        <f t="shared" si="868"/>
        <v>0</v>
      </c>
      <c r="BD433" s="106">
        <f t="shared" si="868"/>
        <v>0</v>
      </c>
      <c r="BE433" s="107">
        <f t="shared" si="868"/>
        <v>0</v>
      </c>
      <c r="BF433" s="111">
        <f t="shared" si="856"/>
        <v>0</v>
      </c>
      <c r="BG433" s="106">
        <f t="shared" si="856"/>
        <v>0</v>
      </c>
      <c r="BH433" s="106">
        <f t="shared" si="856"/>
        <v>0</v>
      </c>
      <c r="BI433" s="106">
        <f t="shared" si="856"/>
        <v>0</v>
      </c>
      <c r="BJ433" s="106">
        <f t="shared" si="856"/>
        <v>0</v>
      </c>
      <c r="BK433" s="106">
        <f t="shared" si="856"/>
        <v>0</v>
      </c>
      <c r="BL433" s="106">
        <f t="shared" si="856"/>
        <v>0</v>
      </c>
      <c r="BM433" s="108">
        <f t="shared" si="856"/>
        <v>70.58</v>
      </c>
      <c r="BN433" s="109">
        <f t="shared" si="856"/>
        <v>0</v>
      </c>
      <c r="BO433" s="109">
        <f t="shared" si="856"/>
        <v>0</v>
      </c>
      <c r="BP433" s="109">
        <f t="shared" si="856"/>
        <v>0</v>
      </c>
      <c r="BQ433" s="110">
        <f t="shared" si="856"/>
        <v>0</v>
      </c>
      <c r="BR433" s="107">
        <f t="shared" si="856"/>
        <v>0</v>
      </c>
      <c r="BS433" s="463">
        <f>IF($B433="LOSS",IF(AND($K433=BS$3,$C433="L"),-$O433,0)+IF(AND($K434=BS$3,$C434="L"),-$O434,0)+IF(AND($K435=BS$3,$C435="L"),-$O435,0),IF(OR(AND($K433=BS$3,OR($C433="W",$C433="1/2W")),AND($K434=BS$3,OR($C434="W",$C434="1/2W")),AND($K435=BS$3,OR($C435="W",$C435="1/2W"))),$S433,0))</f>
        <v>0</v>
      </c>
      <c r="BT433" s="462">
        <f>IF($B433="LOSS",IF(AND($K433=BT$3,$C433="L"),-$O433,0)+IF(AND($K434=BT$3,$C434="L"),-$O434,0)+IF(AND($K434=BT$3,$C435="L"),-$O435,0),IF(OR(AND($K434=BT$3,OR($C433="W",$C433="1/2W")),AND($K434=BT$3,OR($C434="W",$C434="1/2W")),AND($K434=BT$3,OR($C435="W",$C435="1/2W"))),$S433,0))</f>
        <v>0</v>
      </c>
      <c r="BU433" s="462">
        <f>IF($B433="LOSS",IF(AND($K433=BU$3,$C433="L"),-$O433,0)+IF(AND($K434=BU$3,$C434="L"),-$O434,0)+IF(AND($K434=BU$3,$C435="L"),-$O435,0),IF(OR(AND($K434=BU$3,OR($C433="W",$C433="1/2W")),AND($K434=BU$3,OR($C434="W",$C434="1/2W")),AND($K434=BU$3,OR($C435="W",$C435="1/2W"))),$S433,0))</f>
        <v>0</v>
      </c>
      <c r="BV433" s="462">
        <f t="shared" ref="BV433:CE433" si="869">IF($B433="LOSS",IF(AND($K433=BV$3,$C433="L"),-$O433,0)+IF(AND($K434=BV$3,$C434="L"),-$O434,0)+IF(AND($K435=BV$3,$C435="L"),-$O435,0),IF(OR(AND($K433=BV$3,OR($C433="W",$C433="1/2W")),AND($K434=BV$3,OR($C434="W",$C434="1/2W")),AND($K435=BV$3,OR($C435="W",$C435="1/2W"))),$S433,0))</f>
        <v>0</v>
      </c>
      <c r="BW433" s="462">
        <f t="shared" si="869"/>
        <v>0</v>
      </c>
      <c r="BX433" s="462">
        <f t="shared" si="869"/>
        <v>0</v>
      </c>
      <c r="BY433" s="462">
        <f t="shared" si="869"/>
        <v>0</v>
      </c>
      <c r="BZ433" s="460">
        <f t="shared" si="869"/>
        <v>0</v>
      </c>
      <c r="CA433" s="460">
        <f t="shared" si="869"/>
        <v>0</v>
      </c>
      <c r="CB433" s="460">
        <f t="shared" si="869"/>
        <v>0</v>
      </c>
      <c r="CC433" s="460">
        <f t="shared" si="869"/>
        <v>0</v>
      </c>
      <c r="CD433" s="473">
        <f t="shared" si="869"/>
        <v>7.84</v>
      </c>
      <c r="CE433" s="479">
        <f t="shared" si="869"/>
        <v>0</v>
      </c>
      <c r="CF433" s="113">
        <f t="shared" si="772"/>
        <v>0</v>
      </c>
      <c r="CG433" s="114">
        <f t="shared" si="773"/>
        <v>0</v>
      </c>
      <c r="CH433" s="114">
        <f t="shared" si="774"/>
        <v>0</v>
      </c>
      <c r="CI433" s="114">
        <f t="shared" si="775"/>
        <v>0</v>
      </c>
      <c r="CJ433" s="114">
        <f t="shared" si="776"/>
        <v>0</v>
      </c>
      <c r="CK433" s="114">
        <f t="shared" si="777"/>
        <v>0</v>
      </c>
      <c r="CL433" s="114">
        <f t="shared" si="778"/>
        <v>0</v>
      </c>
      <c r="CM433" s="114">
        <f t="shared" si="779"/>
        <v>0</v>
      </c>
      <c r="CN433" s="114">
        <f t="shared" si="780"/>
        <v>0</v>
      </c>
      <c r="CO433" s="114">
        <f t="shared" si="781"/>
        <v>0</v>
      </c>
      <c r="CP433" s="114">
        <f t="shared" si="782"/>
        <v>0</v>
      </c>
      <c r="CQ433" s="114">
        <f t="shared" si="783"/>
        <v>0</v>
      </c>
      <c r="CR433" s="114">
        <f t="shared" si="784"/>
        <v>0</v>
      </c>
      <c r="CS433" s="114">
        <f t="shared" si="785"/>
        <v>0</v>
      </c>
      <c r="CT433" s="115">
        <f t="shared" si="786"/>
        <v>0</v>
      </c>
      <c r="CU433" s="116">
        <f t="shared" si="787"/>
        <v>1</v>
      </c>
      <c r="CV433" s="116">
        <f t="shared" si="788"/>
        <v>0</v>
      </c>
      <c r="CW433" s="116">
        <f t="shared" si="789"/>
        <v>0</v>
      </c>
      <c r="CX433" s="116">
        <f t="shared" si="790"/>
        <v>0</v>
      </c>
      <c r="CY433" s="116">
        <f t="shared" si="791"/>
        <v>0</v>
      </c>
      <c r="CZ433" s="116">
        <f t="shared" si="792"/>
        <v>0</v>
      </c>
      <c r="DA433" s="116">
        <f t="shared" si="793"/>
        <v>0</v>
      </c>
      <c r="DB433" s="116">
        <f t="shared" si="794"/>
        <v>0</v>
      </c>
      <c r="DC433" s="116">
        <f t="shared" si="795"/>
        <v>0</v>
      </c>
      <c r="DD433" s="116">
        <f t="shared" si="796"/>
        <v>0</v>
      </c>
      <c r="DE433" s="117">
        <f t="shared" si="797"/>
        <v>0</v>
      </c>
      <c r="DF433" s="118">
        <f t="shared" si="799"/>
        <v>30</v>
      </c>
      <c r="DG433" s="106">
        <f t="shared" si="800"/>
        <v>38.739999999999995</v>
      </c>
      <c r="DH433" s="116">
        <f t="shared" si="801"/>
        <v>10</v>
      </c>
      <c r="DI433" s="106">
        <f t="shared" si="802"/>
        <v>41.599999999999994</v>
      </c>
      <c r="DJ433" s="201" t="str">
        <f>IF($D433="","",$D433)</f>
        <v>15</v>
      </c>
      <c r="DK433" s="465">
        <f>IF(AND($B433=" ",$D433&lt;&gt;""),1,0)</f>
        <v>0</v>
      </c>
    </row>
    <row r="434" spans="1:115" ht="14.5" customHeight="1" x14ac:dyDescent="0.2">
      <c r="A434" s="389"/>
      <c r="B434" s="456"/>
      <c r="C434" s="120" t="s">
        <v>54</v>
      </c>
      <c r="D434" s="374"/>
      <c r="E434" s="386"/>
      <c r="F434" s="377"/>
      <c r="G434" s="483"/>
      <c r="H434" s="476"/>
      <c r="I434" s="121" t="s">
        <v>76</v>
      </c>
      <c r="J434" s="122">
        <f>IF(OR(I433="TO",I433="TU",I433="TO1",I433="TU1",I433="TO2",I433="TU2"),J433,IF(OR(I433="AH1",I433="AH2"),IF(OR(I434="AH1",I434="AH2"),-J433,IF(OR(I434="EH1",I434="EH2"),-J433+0.5,"")),IF(OR(I433="EH1",I433="EH2"),IF(OR(I434="AH1",I434="AH2"),-J433+0.5,IF(OR(I434="EH1",I434="EH2"),-J433+1,"")),IF(AND(OR(I433="DNB1",I433="DNB2"),OR(I434="AH1",I434="AH2")),0,IF(AND(I433="Not ScoreBoth",OR(I434="TO1",I434="TO2")),0.5,"")))))</f>
        <v>-1</v>
      </c>
      <c r="K434" s="123" t="s">
        <v>47</v>
      </c>
      <c r="L434" s="124">
        <v>1.8</v>
      </c>
      <c r="M434" s="125">
        <v>98.03</v>
      </c>
      <c r="N434" s="406"/>
      <c r="O434" s="126">
        <f>IF(OR(AE433="",AE434=""),"",ROUND(IF(L435&gt;0,IF(M434&gt;0,M434,IF(M433&gt;0,IF(N433=TRUE,ROUND((M433*AE434)/AE433,0),(M433*AE434)/AE433),IF(M434&gt;0,ROUND(M434,IF(N433=0,2,IF(N433=0.1,1,0))),IF(M435&gt;0,ROUND(O435*AE434/AE435,IF(N433=0,2,IF(N433=0.1,1,0))),0)))),IF(M434&gt;0,M434,ROUND((M433*AE434)/AE433,IF(N433=0,2,IF(N433=0.1,1,0))))),2))</f>
        <v>98.03</v>
      </c>
      <c r="P434" s="127">
        <f>IF(OR(L434="",O434=""),"",IF($C434="1/2W",O434/2+O434/2*L434,IF($C434="1/2L",O434/2,IF(I434="Lay",((O434*(L434/(L434-1)))-O434)*(1-_xlfn.XLOOKUP(K434,'Fevereiro 2023 - Valor Real'!A3:A15,'Fevereiro 2023 - Valor Real'!C3:C15,0))+O434,(O434*L434-O434)*(1-_xlfn.XLOOKUP(K434,'Fevereiro 2023 - Valor Real'!A3:A15,'Fevereiro 2023 - Valor Real'!C3:C15,0))+O434))))</f>
        <v>176.45400000000001</v>
      </c>
      <c r="Q434" s="128">
        <f>IF(K434="","",IF(_xlfn.XLOOKUP(K434,K$4:K433,$DJ$4:DJ433,0,,-1)=DJ434,_xlfn.XLOOKUP(K434,K$4:K433,Q$4:Q433,1,,-1)+1,1))</f>
        <v>2</v>
      </c>
      <c r="R434" s="129">
        <f>IF(K434="","",_xlfn.XLOOKUP(K434,K$4:K433,R$4:R433,0,,-1)+IF($C434=" ",1,0))</f>
        <v>0</v>
      </c>
      <c r="S434" s="403"/>
      <c r="T434" s="380"/>
      <c r="U434" s="380"/>
      <c r="V434" s="481"/>
      <c r="W434" s="380"/>
      <c r="X434" s="452"/>
      <c r="Y434" s="383"/>
      <c r="Z434" s="384"/>
      <c r="AA434" s="384"/>
      <c r="AB434" s="384"/>
      <c r="AC434" s="384"/>
      <c r="AD434" s="130">
        <f>(((L434/(L434-1)-1)*(1-_xlfn.XLOOKUP(K434,'Fevereiro 2023 - Valor Real'!A3:A15,'Fevereiro 2023 - Valor Real'!C3:C15,0))+1))</f>
        <v>2.25</v>
      </c>
      <c r="AE434" s="131">
        <f>IF(L434="","",IF(L435&gt;0,(SUM(((L433-1)*(1-_xlfn.XLOOKUP(K433,'Fevereiro 2023 - Valor Real'!A3:A15,'Fevereiro 2023 - Valor Real'!C3:C15,0))+1),((L434-1)*(1-_xlfn.XLOOKUP(K434,'Fevereiro 2023 - Valor Real'!A3:A15,'Fevereiro 2023 - Valor Real'!C3:C15,0))+1),((L435-1)*(1-_xlfn.XLOOKUP(K435,'Fevereiro 2023 - Valor Real'!A3:A15,'Fevereiro 2023 - Valor Real'!C3:C15,0))+1))/((L434-1)*(1-_xlfn.XLOOKUP(K434,'Fevereiro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Real'!C3:C15,0))+1))/((L433-1)*(1-_xlfn.XLOOKUP(K433,'Fevereiro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Real'!C3:C15,0))+1))/((L434-1)*(1-_xlfn.XLOOKUP(K434,'Fevereiro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Real'!C3:C15,0))+1))/((L435-1)*(1-_xlfn.XLOOKUP(K435,'Fevereiro 2023 - Valor Real'!A3:A15,'Fevereiro 2023 - Valor Real'!C3:C15,0))+1)),IF(I434="Lay",IF(I433="Lay",((L433/(L433-1)-1)*(1-_xlfn.XLOOKUP(K433,'Fevereiro 2023 - Valor Real'!A3:A15,'Fevereiro 2023 - Valor Real'!C3:C15,0))+1)/(((L433/(L433-1)-1)*(1-_xlfn.XLOOKUP(K433,'Fevereiro 2023 - Valor Real'!A3:A15,'Fevereiro 2023 - Valor Real'!C3:C15,0))+1)+((L434/(L434-1)-1)*(1-_xlfn.XLOOKUP(K434,'Fevereiro 2023 - Valor Real'!A3:A15,'Fevereiro 2023 - Valor Real'!C3:C15,0))+1)),((L433-1)*(1-_xlfn.XLOOKUP(K433,'Fevereiro 2023 - Valor Real'!A3:A15,'Fevereiro 2023 - Valor Real'!C3:C15,0))+1)/(((L433-1)*(1-_xlfn.XLOOKUP(K433,'Fevereiro 2023 - Valor Real'!A3:A15,'Fevereiro 2023 - Valor Real'!C3:C15,0))+1)+((L434/(L434-1)-1)*(1-_xlfn.XLOOKUP(K434,'Fevereiro 2023 - Valor Real'!A3:A15,'Fevereiro 2023 - Valor Real'!C3:C15,0))+1))),IF(I433="Lay",((L433/(L433-1)-1)*(1-_xlfn.XLOOKUP(K433,'Fevereiro 2023 - Valor Real'!A3:A15,'Fevereiro 2023 - Valor Real'!C3:C15,0))+1)/((((L433/(L433-1)-1)*(1-_xlfn.XLOOKUP(K433,'Fevereiro 2023 - Valor Real'!A3:A15,'Fevereiro 2023 - Valor Real'!C3:C15,0))+1))+((L434-1)*(1-_xlfn.XLOOKUP(K434,'Fevereiro 2023 - Valor Real'!A3:A15,'Fevereiro 2023 - Valor Real'!C3:C15,0))+1)),((L433-1)*(1-_xlfn.XLOOKUP(K433,'Fevereiro 2023 - Valor Real'!A3:A15,'Fevereiro 2023 - Valor Real'!C3:C15,0))+1)/(((L433-1)*(1-_xlfn.XLOOKUP(K433,'Fevereiro 2023 - Valor Real'!A3:A15,'Fevereiro 2023 - Valor Real'!C3:C15,0))+1)+((L434-1)*(1-_xlfn.XLOOKUP(K434,'Fevereiro 2023 - Valor Real'!A3:A15,'Fevereiro 2023 - Valor Real'!C3:C15,0))+1))))))</f>
        <v>0.58139534883720934</v>
      </c>
      <c r="AF434" s="105">
        <f t="shared" ref="AF434:AR443" si="870">IF($K434=AF$3,ROUND(IF(OR($C434="W",$C434="1/2W",$C434="1/2L"),$P434-$O434,IF($C434="X",0,-$O434)),2),0)</f>
        <v>0</v>
      </c>
      <c r="AG434" s="106">
        <f t="shared" si="870"/>
        <v>0</v>
      </c>
      <c r="AH434" s="106">
        <f t="shared" si="870"/>
        <v>0</v>
      </c>
      <c r="AI434" s="106">
        <f t="shared" si="870"/>
        <v>0</v>
      </c>
      <c r="AJ434" s="106">
        <f t="shared" si="870"/>
        <v>0</v>
      </c>
      <c r="AK434" s="106">
        <f t="shared" si="870"/>
        <v>0</v>
      </c>
      <c r="AL434" s="106">
        <f t="shared" si="870"/>
        <v>0</v>
      </c>
      <c r="AM434" s="106">
        <f t="shared" si="870"/>
        <v>0</v>
      </c>
      <c r="AN434" s="106">
        <f t="shared" si="870"/>
        <v>0</v>
      </c>
      <c r="AO434" s="106">
        <f t="shared" si="870"/>
        <v>0</v>
      </c>
      <c r="AP434" s="106">
        <f t="shared" si="870"/>
        <v>0</v>
      </c>
      <c r="AQ434" s="106">
        <f t="shared" si="870"/>
        <v>78.42</v>
      </c>
      <c r="AR434" s="107">
        <f t="shared" si="870"/>
        <v>0</v>
      </c>
      <c r="AS434" s="105">
        <f>IF(AND($B433=" ",$K434=AS$3),$O434,0)</f>
        <v>0</v>
      </c>
      <c r="AT434" s="106">
        <f>IF(AND($B433=" ",K434=AT$3),$O434,0)</f>
        <v>0</v>
      </c>
      <c r="AU434" s="106">
        <f t="shared" ref="AU434:BE434" si="871">IF(AND($B433=" ",$K434=AU$3),$O434,0)</f>
        <v>0</v>
      </c>
      <c r="AV434" s="106">
        <f t="shared" si="871"/>
        <v>0</v>
      </c>
      <c r="AW434" s="106">
        <f t="shared" si="871"/>
        <v>0</v>
      </c>
      <c r="AX434" s="106">
        <f t="shared" si="871"/>
        <v>0</v>
      </c>
      <c r="AY434" s="108">
        <f t="shared" si="871"/>
        <v>0</v>
      </c>
      <c r="AZ434" s="109">
        <f t="shared" si="871"/>
        <v>0</v>
      </c>
      <c r="BA434" s="109">
        <f t="shared" si="871"/>
        <v>0</v>
      </c>
      <c r="BB434" s="109">
        <f t="shared" si="871"/>
        <v>0</v>
      </c>
      <c r="BC434" s="110">
        <f t="shared" si="871"/>
        <v>0</v>
      </c>
      <c r="BD434" s="106">
        <f t="shared" si="871"/>
        <v>0</v>
      </c>
      <c r="BE434" s="107">
        <f t="shared" si="871"/>
        <v>0</v>
      </c>
      <c r="BF434" s="105">
        <f t="shared" ref="BF434:BR443" si="872">IF($K434=BF$3,IF($C434="X",0,$O434),0)</f>
        <v>0</v>
      </c>
      <c r="BG434" s="106">
        <f t="shared" si="872"/>
        <v>0</v>
      </c>
      <c r="BH434" s="106">
        <f t="shared" si="872"/>
        <v>0</v>
      </c>
      <c r="BI434" s="106">
        <f t="shared" si="872"/>
        <v>0</v>
      </c>
      <c r="BJ434" s="106">
        <f t="shared" si="872"/>
        <v>0</v>
      </c>
      <c r="BK434" s="106">
        <f t="shared" si="872"/>
        <v>0</v>
      </c>
      <c r="BL434" s="106">
        <f t="shared" si="872"/>
        <v>0</v>
      </c>
      <c r="BM434" s="132">
        <f t="shared" si="872"/>
        <v>0</v>
      </c>
      <c r="BN434" s="112">
        <f t="shared" si="872"/>
        <v>0</v>
      </c>
      <c r="BO434" s="112">
        <f t="shared" si="872"/>
        <v>0</v>
      </c>
      <c r="BP434" s="112">
        <f t="shared" si="872"/>
        <v>0</v>
      </c>
      <c r="BQ434" s="110">
        <f t="shared" si="872"/>
        <v>98.03</v>
      </c>
      <c r="BR434" s="107">
        <f t="shared" si="872"/>
        <v>0</v>
      </c>
      <c r="BS434" s="464"/>
      <c r="BT434" s="461"/>
      <c r="BU434" s="392"/>
      <c r="BV434" s="461"/>
      <c r="BW434" s="392"/>
      <c r="BX434" s="392"/>
      <c r="BY434" s="392"/>
      <c r="BZ434" s="461"/>
      <c r="CA434" s="392"/>
      <c r="CB434" s="392"/>
      <c r="CC434" s="392"/>
      <c r="CD434" s="401"/>
      <c r="CE434" s="409"/>
      <c r="CF434" s="133">
        <f t="shared" si="772"/>
        <v>0</v>
      </c>
      <c r="CG434" s="134">
        <f t="shared" si="773"/>
        <v>0</v>
      </c>
      <c r="CH434" s="134">
        <f t="shared" si="774"/>
        <v>0</v>
      </c>
      <c r="CI434" s="134">
        <f t="shared" si="775"/>
        <v>0</v>
      </c>
      <c r="CJ434" s="134">
        <f t="shared" si="776"/>
        <v>0</v>
      </c>
      <c r="CK434" s="134">
        <f t="shared" si="777"/>
        <v>0</v>
      </c>
      <c r="CL434" s="134">
        <f t="shared" si="778"/>
        <v>0</v>
      </c>
      <c r="CM434" s="134">
        <f t="shared" si="779"/>
        <v>0</v>
      </c>
      <c r="CN434" s="134">
        <f t="shared" si="780"/>
        <v>0</v>
      </c>
      <c r="CO434" s="134">
        <f t="shared" si="781"/>
        <v>0</v>
      </c>
      <c r="CP434" s="134">
        <f t="shared" si="782"/>
        <v>0</v>
      </c>
      <c r="CQ434" s="134">
        <f t="shared" si="783"/>
        <v>0</v>
      </c>
      <c r="CR434" s="134">
        <f t="shared" si="784"/>
        <v>0</v>
      </c>
      <c r="CS434" s="134">
        <f t="shared" si="785"/>
        <v>0</v>
      </c>
      <c r="CT434" s="115">
        <f t="shared" si="786"/>
        <v>0</v>
      </c>
      <c r="CU434" s="116">
        <f t="shared" si="787"/>
        <v>0</v>
      </c>
      <c r="CV434" s="116">
        <f t="shared" si="788"/>
        <v>0</v>
      </c>
      <c r="CW434" s="116">
        <f t="shared" si="789"/>
        <v>0</v>
      </c>
      <c r="CX434" s="116">
        <f t="shared" si="790"/>
        <v>0</v>
      </c>
      <c r="CY434" s="116">
        <f t="shared" si="791"/>
        <v>0</v>
      </c>
      <c r="CZ434" s="116">
        <f t="shared" si="792"/>
        <v>0</v>
      </c>
      <c r="DA434" s="116">
        <f t="shared" si="793"/>
        <v>0</v>
      </c>
      <c r="DB434" s="116">
        <f t="shared" si="794"/>
        <v>1</v>
      </c>
      <c r="DC434" s="116">
        <f t="shared" si="795"/>
        <v>0</v>
      </c>
      <c r="DD434" s="116">
        <f t="shared" si="796"/>
        <v>0</v>
      </c>
      <c r="DE434" s="117">
        <f t="shared" si="797"/>
        <v>0</v>
      </c>
      <c r="DF434" s="118">
        <f t="shared" si="799"/>
        <v>30</v>
      </c>
      <c r="DG434" s="106">
        <f t="shared" si="800"/>
        <v>38.739999999999995</v>
      </c>
      <c r="DH434" s="116">
        <f t="shared" si="801"/>
        <v>10</v>
      </c>
      <c r="DI434" s="106">
        <f t="shared" si="802"/>
        <v>41.599999999999994</v>
      </c>
      <c r="DJ434" s="201" t="str">
        <f>IF($D433="","",$D433)</f>
        <v>15</v>
      </c>
      <c r="DK434" s="466"/>
    </row>
    <row r="435" spans="1:115" ht="14.5" customHeight="1" x14ac:dyDescent="0.2">
      <c r="A435" s="390"/>
      <c r="B435" s="457"/>
      <c r="C435" s="135" t="s">
        <v>53</v>
      </c>
      <c r="D435" s="375"/>
      <c r="E435" s="387"/>
      <c r="F435" s="378"/>
      <c r="G435" s="484"/>
      <c r="H435" s="477"/>
      <c r="I435" s="136"/>
      <c r="J435" s="137"/>
      <c r="K435" s="138"/>
      <c r="L435" s="139"/>
      <c r="M435" s="140"/>
      <c r="N435" s="407"/>
      <c r="O435" s="141" t="str">
        <f>IF(OR(AE433="",AE434=""),"",IF(L435&gt;0,ROUND(IF(M435&gt;0,M435,IF(M433&gt;0,ROUND((M433*AE435)/AE433,IF(N433=0,2,IF(N433=0.1,1,0))),IF(M434&gt;0,ROUND((M434*AE435)/AE434,IF(N433=0,2,IF(N433=0.1,1,0))),IF(M435&gt;0,M435,0)))),2),""))</f>
        <v/>
      </c>
      <c r="P435" s="142" t="str">
        <f>IF(I434="Lay",O434*(L434/(L434-1))-O434,IF(I433="Lay",O433*(L433/(L433-1))-O433,IF(OR(L435="",O435=""),"",IF($C435="1/2W",O435/2+O435/2*L435,IF($C435="1/2L",O435/2,(O435*L435-O435)*(1-_xlfn.XLOOKUP(K435,'Fevereiro 2023 - Valor Real'!A3:A15,'Fevereiro 2023 - Valor Real'!C3:C15,0))+O435)))))</f>
        <v/>
      </c>
      <c r="Q435" s="143" t="str">
        <f>IF(K435="","",IF(_xlfn.XLOOKUP(K435,K$4:K434,$DJ$4:DJ434,0,,-1)=DJ435,_xlfn.XLOOKUP(K435,K$4:K434,Q$4:Q434,1,,-1)+1,1))</f>
        <v/>
      </c>
      <c r="R435" s="144" t="str">
        <f>IF(K435="","",_xlfn.XLOOKUP(K435,K$4:K434,R$4:R434,0,,-1)+IF($C435=" ",1,0))</f>
        <v/>
      </c>
      <c r="S435" s="404"/>
      <c r="T435" s="378"/>
      <c r="U435" s="378"/>
      <c r="V435" s="404"/>
      <c r="W435" s="378"/>
      <c r="X435" s="453"/>
      <c r="Y435" s="383"/>
      <c r="Z435" s="384"/>
      <c r="AA435" s="384"/>
      <c r="AB435" s="384"/>
      <c r="AC435" s="384"/>
      <c r="AD435" s="145">
        <f>((L434/(L434-1)-1))</f>
        <v>1.25</v>
      </c>
      <c r="AE435" s="146" t="str">
        <f>IF(L435="","",(SUM(((L433-1)*(1-_xlfn.XLOOKUP(K433,'Fevereiro 2023 - Valor Real'!A3:A15,'Fevereiro 2023 - Valor Real'!C3:C15,0))+1),((L434-1)*(1-_xlfn.XLOOKUP(K434,'Fevereiro 2023 - Valor Real'!A3:A15,'Fevereiro 2023 - Valor Real'!C3:C15,0))+1),((L435-1)*(1-_xlfn.XLOOKUP(K435,'Fevereiro 2023 - Valor Real'!A3:A15,'Fevereiro 2023 - Valor Real'!C3:C15,0))+1))/((L435-1)*(1-_xlfn.XLOOKUP(K435,'Fevereiro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Real'!C3:C15,0))+1))/((L433-1)*(1-_xlfn.XLOOKUP(K433,'Fevereiro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Real'!C3:C15,0))+1))/((L434-1)*(1-_xlfn.XLOOKUP(K434,'Fevereiro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Real'!C3:C15,0))+1))/((L435-1)*(1-_xlfn.XLOOKUP(K435,'Fevereiro 2023 - Valor Real'!A3:A15,'Fevereiro 2023 - Valor Real'!C3:C15,0))+1)))</f>
        <v/>
      </c>
      <c r="AF435" s="105">
        <f t="shared" si="870"/>
        <v>0</v>
      </c>
      <c r="AG435" s="106">
        <f t="shared" si="870"/>
        <v>0</v>
      </c>
      <c r="AH435" s="106">
        <f t="shared" si="870"/>
        <v>0</v>
      </c>
      <c r="AI435" s="106">
        <f t="shared" si="870"/>
        <v>0</v>
      </c>
      <c r="AJ435" s="106">
        <f t="shared" si="870"/>
        <v>0</v>
      </c>
      <c r="AK435" s="106">
        <f t="shared" si="870"/>
        <v>0</v>
      </c>
      <c r="AL435" s="106">
        <f t="shared" si="870"/>
        <v>0</v>
      </c>
      <c r="AM435" s="106">
        <f t="shared" si="870"/>
        <v>0</v>
      </c>
      <c r="AN435" s="106">
        <f t="shared" si="870"/>
        <v>0</v>
      </c>
      <c r="AO435" s="106">
        <f t="shared" si="870"/>
        <v>0</v>
      </c>
      <c r="AP435" s="106">
        <f t="shared" si="870"/>
        <v>0</v>
      </c>
      <c r="AQ435" s="106">
        <f t="shared" si="870"/>
        <v>0</v>
      </c>
      <c r="AR435" s="107">
        <f t="shared" si="870"/>
        <v>0</v>
      </c>
      <c r="AS435" s="105">
        <f>IF(AND($B433=" ",$K435=AS$3),$O435,0)</f>
        <v>0</v>
      </c>
      <c r="AT435" s="106">
        <f>IF(AND($B433=" ",K435=AT$3),$O435,0)</f>
        <v>0</v>
      </c>
      <c r="AU435" s="106">
        <f t="shared" ref="AU435:BE435" si="873">IF(AND($B433=" ",$K435=AU$3),$O435,0)</f>
        <v>0</v>
      </c>
      <c r="AV435" s="106">
        <f t="shared" si="873"/>
        <v>0</v>
      </c>
      <c r="AW435" s="106">
        <f t="shared" si="873"/>
        <v>0</v>
      </c>
      <c r="AX435" s="106">
        <f t="shared" si="873"/>
        <v>0</v>
      </c>
      <c r="AY435" s="108">
        <f t="shared" si="873"/>
        <v>0</v>
      </c>
      <c r="AZ435" s="109">
        <f t="shared" si="873"/>
        <v>0</v>
      </c>
      <c r="BA435" s="109">
        <f t="shared" si="873"/>
        <v>0</v>
      </c>
      <c r="BB435" s="109">
        <f t="shared" si="873"/>
        <v>0</v>
      </c>
      <c r="BC435" s="110">
        <f t="shared" si="873"/>
        <v>0</v>
      </c>
      <c r="BD435" s="106">
        <f t="shared" si="873"/>
        <v>0</v>
      </c>
      <c r="BE435" s="107">
        <f t="shared" si="873"/>
        <v>0</v>
      </c>
      <c r="BF435" s="105">
        <f t="shared" si="872"/>
        <v>0</v>
      </c>
      <c r="BG435" s="106">
        <f t="shared" si="872"/>
        <v>0</v>
      </c>
      <c r="BH435" s="106">
        <f t="shared" si="872"/>
        <v>0</v>
      </c>
      <c r="BI435" s="106">
        <f t="shared" si="872"/>
        <v>0</v>
      </c>
      <c r="BJ435" s="106">
        <f t="shared" si="872"/>
        <v>0</v>
      </c>
      <c r="BK435" s="106">
        <f t="shared" si="872"/>
        <v>0</v>
      </c>
      <c r="BL435" s="106">
        <f t="shared" si="872"/>
        <v>0</v>
      </c>
      <c r="BM435" s="108">
        <f t="shared" si="872"/>
        <v>0</v>
      </c>
      <c r="BN435" s="109">
        <f t="shared" si="872"/>
        <v>0</v>
      </c>
      <c r="BO435" s="109">
        <f t="shared" si="872"/>
        <v>0</v>
      </c>
      <c r="BP435" s="109">
        <f t="shared" si="872"/>
        <v>0</v>
      </c>
      <c r="BQ435" s="110">
        <f t="shared" si="872"/>
        <v>0</v>
      </c>
      <c r="BR435" s="107">
        <f t="shared" si="872"/>
        <v>0</v>
      </c>
      <c r="BS435" s="464"/>
      <c r="BT435" s="461"/>
      <c r="BU435" s="392"/>
      <c r="BV435" s="461"/>
      <c r="BW435" s="392"/>
      <c r="BX435" s="392"/>
      <c r="BY435" s="392"/>
      <c r="BZ435" s="461"/>
      <c r="CA435" s="392"/>
      <c r="CB435" s="392"/>
      <c r="CC435" s="392"/>
      <c r="CD435" s="401"/>
      <c r="CE435" s="409"/>
      <c r="CF435" s="133">
        <f t="shared" si="772"/>
        <v>0</v>
      </c>
      <c r="CG435" s="134">
        <f t="shared" si="773"/>
        <v>0</v>
      </c>
      <c r="CH435" s="134">
        <f t="shared" si="774"/>
        <v>0</v>
      </c>
      <c r="CI435" s="134">
        <f t="shared" si="775"/>
        <v>0</v>
      </c>
      <c r="CJ435" s="134">
        <f t="shared" si="776"/>
        <v>0</v>
      </c>
      <c r="CK435" s="134">
        <f t="shared" si="777"/>
        <v>0</v>
      </c>
      <c r="CL435" s="134">
        <f t="shared" si="778"/>
        <v>0</v>
      </c>
      <c r="CM435" s="134">
        <f t="shared" si="779"/>
        <v>0</v>
      </c>
      <c r="CN435" s="134">
        <f t="shared" si="780"/>
        <v>0</v>
      </c>
      <c r="CO435" s="134">
        <f t="shared" si="781"/>
        <v>0</v>
      </c>
      <c r="CP435" s="134">
        <f t="shared" si="782"/>
        <v>0</v>
      </c>
      <c r="CQ435" s="134">
        <f t="shared" si="783"/>
        <v>0</v>
      </c>
      <c r="CR435" s="134">
        <f t="shared" si="784"/>
        <v>0</v>
      </c>
      <c r="CS435" s="134">
        <f t="shared" si="785"/>
        <v>0</v>
      </c>
      <c r="CT435" s="115">
        <f t="shared" si="786"/>
        <v>0</v>
      </c>
      <c r="CU435" s="116">
        <f t="shared" si="787"/>
        <v>0</v>
      </c>
      <c r="CV435" s="116">
        <f t="shared" si="788"/>
        <v>0</v>
      </c>
      <c r="CW435" s="116">
        <f t="shared" si="789"/>
        <v>0</v>
      </c>
      <c r="CX435" s="116">
        <f t="shared" si="790"/>
        <v>0</v>
      </c>
      <c r="CY435" s="116">
        <f t="shared" si="791"/>
        <v>0</v>
      </c>
      <c r="CZ435" s="116">
        <f t="shared" si="792"/>
        <v>0</v>
      </c>
      <c r="DA435" s="116">
        <f t="shared" si="793"/>
        <v>0</v>
      </c>
      <c r="DB435" s="116">
        <f t="shared" si="794"/>
        <v>0</v>
      </c>
      <c r="DC435" s="116">
        <f t="shared" si="795"/>
        <v>0</v>
      </c>
      <c r="DD435" s="116">
        <f t="shared" si="796"/>
        <v>0</v>
      </c>
      <c r="DE435" s="117">
        <f t="shared" si="797"/>
        <v>0</v>
      </c>
      <c r="DF435" s="118">
        <f t="shared" si="799"/>
        <v>30</v>
      </c>
      <c r="DG435" s="106">
        <f t="shared" si="800"/>
        <v>38.739999999999995</v>
      </c>
      <c r="DH435" s="116">
        <f t="shared" si="801"/>
        <v>10</v>
      </c>
      <c r="DI435" s="106">
        <f t="shared" si="802"/>
        <v>41.599999999999994</v>
      </c>
      <c r="DJ435" s="201" t="str">
        <f>IF($D433="","",$D433)</f>
        <v>15</v>
      </c>
      <c r="DK435" s="466"/>
    </row>
    <row r="436" spans="1:115" ht="14.5" customHeight="1" x14ac:dyDescent="0.2">
      <c r="A436" s="487">
        <f>$A433+1</f>
        <v>145</v>
      </c>
      <c r="B436" s="506" t="str">
        <f>IF(OR(C436="W",C437="W",C438="W",C436="1/2W",C437="1/2W",C438="1/2W",C436="1/2L",C437="1/2L",C438="1/2L"),"OK",IF(OR(C436="L",C437="L",C438="L"),"LOSS",IF(OR(C436="X",C437="X",C438="X"),"Anulado"," ")))</f>
        <v>OK</v>
      </c>
      <c r="C436" s="147" t="s">
        <v>55</v>
      </c>
      <c r="D436" s="494" t="str">
        <f>IF(G436="","",$D433)</f>
        <v>15</v>
      </c>
      <c r="E436" s="511" t="str">
        <f>IF(G436=""," ","– "&amp;COUNTIF(D$4:D438,$D436))</f>
        <v>– 3</v>
      </c>
      <c r="F436" s="510" t="str">
        <f ca="1">IF(G436="","",IF(OR(AND($C436&lt;&gt;" ",$C437=" "),AND($C437&lt;&gt;" ",$C436=" "),AND(L438&gt;0,OR(AND($C438&lt;&gt;" ",OR($C436=" ",$C437=" ")),AND($C438=" ",OR($C436&lt;&gt;" ",$C437&lt;&gt;" "))))),IF(SUM(F$4:F435)=0,1,LARGE(F$4:F435,1)+1),IF(MONTH(G436)=MONTH(TODAY()),IF(AND(DAY(G436)&lt;DAY(TODAY()),$B436=" "),IF(SUM(F$4:F435)=0,1,LARGE(F$4:F435,1)+1),IF($B436=" ",IF(AND(DAY(G436)=DAY(TODAY()),HOUR(G436)&lt;=HOUR(NOW())+1),IF(AND(HOUR(G436)+2&lt;=HOUR(NOW()),DAY(G436)&lt;=DAY(TODAY()),MINUTE(G436)&lt;=MINUTE(NOW())),IF(SUM(F$4:F435)=0,1,LARGE(F$4:F435,1)+1),IF(OR(MINUTE(G436)&lt;=MINUTE(NOW()),HOUR(G436)&lt;=HOUR(NOW())),"!!!","")),""),"")),"")))</f>
        <v/>
      </c>
      <c r="G436" s="508">
        <v>45003.21875</v>
      </c>
      <c r="H436" s="502" t="s">
        <v>183</v>
      </c>
      <c r="I436" s="148">
        <v>1</v>
      </c>
      <c r="J436" s="149"/>
      <c r="K436" s="150" t="s">
        <v>37</v>
      </c>
      <c r="L436" s="151">
        <v>2.5</v>
      </c>
      <c r="M436" s="152">
        <v>19.28</v>
      </c>
      <c r="N436" s="503">
        <v>0</v>
      </c>
      <c r="O436" s="153">
        <f>IF(OR(AE436="",AE437=""),"",ROUND(IF(L438&gt;0,IF(M436&gt;0,M436,IF(M437&gt;0,ROUND((M437*AE436)/AE437,IF(N436=0,2,IF(N436=0.1,1,0))),ROUND((M438*AE436)/AE438,IF(N436=0,2,IF(N436=0.1,1,0))))),IF(M436&gt;0,M436,ROUND((M437*AE436)/AE437,IF(N436=0,2,IF(N436=0.1,1,0))))),2))</f>
        <v>19.28</v>
      </c>
      <c r="P436" s="154">
        <f>IF(OR(L436="",O436=""),"",IF($C436="1/2W",O436/2+O436/2*L436,IF($C436="1/2L",O436/2,IF(I436="Lay",(O436*(L436/(L436-1))-O436)*(1-_xlfn.XLOOKUP(K436,'Fevereiro 2023 - Valor Real'!A3:A15,'Fevereiro 2023 - Valor Real'!C3:C15,0))+O436,(O436*L436-O436)*(1-_xlfn.XLOOKUP(K436,'Fevereiro 2023 - Valor Real'!A3:A15,'Fevereiro 2023 - Valor Real'!C3:C15,0))+O436))))</f>
        <v>48.2</v>
      </c>
      <c r="Q436" s="155">
        <f>IF(K436="","",IF(_xlfn.XLOOKUP(K436,K$9:K428,$DJ$9:DJ428,0,,-1)=DJ436,_xlfn.XLOOKUP(K436,K$9:K428,Q$9:Q428,1,,-1)+1,1))</f>
        <v>1</v>
      </c>
      <c r="R436" s="156">
        <f>IF(K436="","",_xlfn.XLOOKUP(K436,K$9:K428,R$9:R428,0,,-1)+IF($C436=" ",1,0))</f>
        <v>0</v>
      </c>
      <c r="S436" s="501">
        <f>IF($B436="Anulado",0,ROUND(IF(OR($B436="LOSS",$B436="OK"),IF(OR($C436="W",$C436="1/2W",$C436="1/2L"),P436-O436,IF($C436="L",-O436,0))+IF(OR($C437="W",$C437="1/2W",$C437="1/2L"),P437-O437,IF($C437="L",-O437,0))+IF(OR($C438="W",$C438="1/2W",$C438="1/2L"),P438-O438,IF($C438="L",-O438,0)),IF(AND(OR($C436="W",$C436="1/2W",$C436="1/2L"),C437="W"),P436+P437-SUM(O436:O438)+_xlfn.XLOOKUP("X",C436:C438,O436:O438,0),IF(AND(C436=TRUE,C438="W"),P436+P438-SUM(O436:O438),IF(AND(C437="W",C438="W"),P437+P438-SUM(O436:O438)+_xlfn.XLOOKUP("X",C436:C438,O436:O438,0),IF(L438&gt;0,IF(OR($C436="W",$C436="1/2W",$C436="1/2L"),P436-SUM(O436:O438)+_xlfn.XLOOKUP("X",C436:C438,O436:O438,0),IF(OR($C436="W",$C436="1/2W",$C436="1/2L"),P437-SUM(O436:O438)+_xlfn.XLOOKUP("X",C436:C438,O436:O438,0),IF(OR($C436="W",$C436="1/2W",$C436="1/2L"),P438-SUM(O436:O438)+_xlfn.XLOOKUP("X",C436:C438,O436:O438,0),IF(SUM(P436:P438)/3-SUM(O436:O438)+_xlfn.XLOOKUP("X",C436:C438,O436:O438,0)&gt;0,SUM(P436:P438)/3-SUM(O436:O438)+_xlfn.XLOOKUP("X",C436:C438,O436:O438,0),LARGE(P436:P438,1)-SUM(O436:O438))))),IF(OR($C436="W",$C436="1/2W",$C436="1/2L"),P436-SUM(O436:O437)+_xlfn.XLOOKUP("X",C436:C438,O436:O438,0),IF(OR($C436="W",$C436="1/2W",$C436="1/2L"),P437-SUM(O436:O437)+_xlfn.XLOOKUP("X",C436:C438,O436:O438,0),SUM(P436:P437)/2-SUM(O436:O437)+_xlfn.XLOOKUP("X",C436:C438,O436:O438,0)))))))),2))</f>
        <v>1.65</v>
      </c>
      <c r="T436" s="486">
        <f>IF(S436=0,0,S436/SUM(O436:O438))</f>
        <v>3.4069791451579595E-2</v>
      </c>
      <c r="U436" s="496">
        <f>IF($D436=$D433,IF(OR($B436="LOSS",$B436="OK",$B436="Anulada"),S436,0)+U433,IF(OR($B436="LOSS",$B436="OK",$B436="Anulada"),S436,0))</f>
        <v>10.610000000000001</v>
      </c>
      <c r="V436" s="496">
        <f>IF($D436="",0,IF($D436=$D433,IF($B436=" ",IF(I438="",IF(OR(AND(I436="DNB1",I437="DNB2"),AND(OR(I436="DNB1",I436="DNB2"),J437=0),AND(OR(I437="DNB1",I437="DNB2"),J436=0),AND(I436="DNB2",I437="DNB1"),AND(IF(J436=0,(J436+1)/ROUND(J436+1,0),J436/ROUND(J436,0))=1,IF(J437=0,(J437+1)/ROUND(IF(J437="",0,J437)+1,0),IF(J437="",0,J437)/ROUND(IF(J437="",1,J437),0))=1,OR(J436&lt;&gt;""),J437&lt;&gt;"")),0,IF(S436&lt;0,IF(I438="",SMALL(P436:P437,1)-SUM(O436:O437),0),SMALL(P436:P437,1)-SUM(O436:O437))),IF(S436&lt;0,IF(I438="",SMALL(P436:P438,1)-SUM(O436:O438),0),LARGE(P436:P438,1)-SUM(O436:O438))),S436)+V433,IF(I438="",IF(OR(AND(I436="DNB1",I437="DNB2"),AND(OR(I436="DNB1",I436="DNB2"),J437=0),AND(OR(I437="DNB1",I437="DNB2"),J436=0),AND(I436="DNB2",I437="DNB1"),AND(IF(J436=0,(J436+1)/ROUND(J436+1,0),J436/ROUND(J436,0))=1,IF(J437=0,(IF(J437="",0,J437)+1)/ROUND(IF(J437="",0,J437)+1,0),IF(J437="",0,J437)/ROUND(IF(J437="",0,J437)+1,0))=1,OR(J436&lt;&gt;""),J437&lt;&gt;"")),0,IF(S436&lt;0,IF(I438="",SMALL(P436:P437,1)-SUM(O436:O437),0),SMALL(P436:P438,1)-SUM(O436:O438))),IF(S436&lt;0,IF(I438="",SMALL(P436:P438,1)-SUM(O436:O438),0),LARGE(P436:P438,1)-SUM(O436:O438)))))</f>
        <v>10.5966</v>
      </c>
      <c r="W436" s="496">
        <f>IF($D436=$D433,IF(S436&lt;0,IF(I438="",S436,0),S436)+W433,S436)</f>
        <v>10.610000000000001</v>
      </c>
      <c r="X436" s="505" t="str">
        <f>IF(OR(SUM(R436:R438)=0,V436=W436),ROUND(IF(W436=0,0,W436/Y436)*100,2)&amp;"%",ROUND(IF(V436=0,0,V436/Y436)*100,2)&amp;"% a "&amp;ROUND(IF(W436=0,0,W436/Y436)*100,2)&amp;"%")</f>
        <v>4,52%</v>
      </c>
      <c r="Y436" s="497">
        <f>IF($D436=$D433,Y433+SUM(O436:O438),SUM(O436:O438))</f>
        <v>234.90000000000003</v>
      </c>
      <c r="Z436" s="496">
        <f>IF($B436=" ",SUM(O436:O438),0)+Z433</f>
        <v>0</v>
      </c>
      <c r="AA436" s="496">
        <f>IF(G436="","",IF($B436="Anulado",LARGE(P436:P438,1)-SUM(O436:O438)+AA433,AA433))</f>
        <v>12.425099999999992</v>
      </c>
      <c r="AB436" s="496">
        <f>IF($D436="","",AB433+S436)</f>
        <v>539.03000000000009</v>
      </c>
      <c r="AC436" s="499">
        <f ca="1">IF($D436="","",IF($B436=" ",IF(DAY(G436)=DAY(TODAY()),1+AC433,0+AC433),0+AC433))</f>
        <v>0</v>
      </c>
      <c r="AD436" s="157">
        <f>(1-_xlfn.XLOOKUP(K434,'Fevereiro 2023 - Valor Real'!A3:A15,'Fevereiro 2023 - Valor Real'!C3:C15,0))+1</f>
        <v>2</v>
      </c>
      <c r="AE436" s="158">
        <f>IF(L436="","",IF(L438&gt;0,(SUM(((L436-1)*(1-_xlfn.XLOOKUP(K436,'Fevereiro 2023 - Valor Real'!A3:A15,'Fevereiro 2023 - Valor Real'!C3:C15,0))+1),((L437-1)*(1-_xlfn.XLOOKUP(K437,'Fevereiro 2023 - Valor Real'!A3:A15,'Fevereiro 2023 - Valor Real'!C3:C15,0))+1),((L438-1)*(1-_xlfn.XLOOKUP(K438,'Fevereiro 2023 - Valor Real'!A3:A15,'Fevereiro 2023 - Valor Real'!C3:C15,0))+1))/((L436-1)*(1-_xlfn.XLOOKUP(K436,'Fevereiro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Real'!C3:C15,0))+1))/((L436-1)*(1-_xlfn.XLOOKUP(K436,'Fevereiro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Real'!C3:C15,0))+1))/((L437-1)*(1-_xlfn.XLOOKUP(K437,'Fevereiro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Real'!C3:C15,0))+1))/((L438-1)*(1-_xlfn.XLOOKUP(K438,'Fevereiro 2023 - Valor Real'!A3:A15,'Fevereiro 2023 - Valor Real'!C3:C15,0))+1)),IF(I436="Lay",IF(I437="Lay",((L437/(L437-1)-1)*(1-_xlfn.XLOOKUP(K437,'Fevereiro 2023 - Valor Real'!A3:A15,'Fevereiro 2023 - Valor Real'!C3:C15,0))+1)/(((L437/(L437-1)-1)*(1-_xlfn.XLOOKUP(K437,'Fevereiro 2023 - Valor Real'!A3:A15,'Fevereiro 2023 - Valor Real'!C3:C15,0))+1)+((L436/(L436-1)-1)*(1-_xlfn.XLOOKUP(K436,'Fevereiro 2023 - Valor Real'!A3:A15,'Fevereiro 2023 - Valor Real'!C3:C15,0))+1)),((L437-1)*(1-_xlfn.XLOOKUP(K437,'Fevereiro 2023 - Valor Real'!A3:A15,'Fevereiro 2023 - Valor Real'!C3:C15,0))+1)/(((L437-1)*(1-_xlfn.XLOOKUP(K437,'Fevereiro 2023 - Valor Real'!A3:A15,'Fevereiro 2023 - Valor Real'!C3:C15,0))+1)+((L436/(L436-1)-1)*(1-_xlfn.XLOOKUP(K436,'Fevereiro 2023 - Valor Real'!A3:A15,'Fevereiro 2023 - Valor Real'!C3:C15,0))+1))),IF(I437="Lay",(((L437/(L437-1)-1)*(1-_xlfn.XLOOKUP(K437,'Fevereiro 2023 - Valor Real'!A3:A15,'Fevereiro 2023 - Valor Real'!C3:C15,0))+1))/(((L436-1)*(1-_xlfn.XLOOKUP(K436,'Fevereiro 2023 - Valor Real'!A3:A15,'Fevereiro 2023 - Valor Real'!C3:C15,0))+1)+((L437/(L437-1)-1)*(1-_xlfn.XLOOKUP(K437,'Fevereiro 2023 - Valor Real'!A3:A15,'Fevereiro 2023 - Valor Real'!C3:C15,0))+1)),((L437-1)*(1-_xlfn.XLOOKUP(K437,'Fevereiro 2023 - Valor Real'!A3:A15,'Fevereiro 2023 - Valor Real'!C3:C15,0))+1)/(((L437-1)*(1-_xlfn.XLOOKUP(K437,'Fevereiro 2023 - Valor Real'!A3:A15,'Fevereiro 2023 - Valor Real'!C3:C15,0))+1)+((L436-1)*(1-_xlfn.XLOOKUP(K436,'Fevereiro 2023 - Valor Real'!A3:A15,'Fevereiro 2023 - Valor Real'!C3:C15,0))+1))))))</f>
        <v>0.34262338116905844</v>
      </c>
      <c r="AF436" s="66">
        <f t="shared" si="870"/>
        <v>0</v>
      </c>
      <c r="AG436" s="67">
        <f t="shared" si="870"/>
        <v>-19.28</v>
      </c>
      <c r="AH436" s="67">
        <f t="shared" si="870"/>
        <v>0</v>
      </c>
      <c r="AI436" s="67">
        <f t="shared" si="870"/>
        <v>0</v>
      </c>
      <c r="AJ436" s="67">
        <f t="shared" si="870"/>
        <v>0</v>
      </c>
      <c r="AK436" s="67">
        <f t="shared" si="870"/>
        <v>0</v>
      </c>
      <c r="AL436" s="67">
        <f t="shared" si="870"/>
        <v>0</v>
      </c>
      <c r="AM436" s="67">
        <f t="shared" si="870"/>
        <v>0</v>
      </c>
      <c r="AN436" s="67">
        <f t="shared" si="870"/>
        <v>0</v>
      </c>
      <c r="AO436" s="67">
        <f t="shared" si="870"/>
        <v>0</v>
      </c>
      <c r="AP436" s="67">
        <f t="shared" si="870"/>
        <v>0</v>
      </c>
      <c r="AQ436" s="67">
        <f t="shared" si="870"/>
        <v>0</v>
      </c>
      <c r="AR436" s="68">
        <f t="shared" si="870"/>
        <v>0</v>
      </c>
      <c r="AS436" s="66">
        <f t="shared" ref="AS436:BE436" si="874">IF(AND($B436=" ",$K436=AS$3),$O436,0)</f>
        <v>0</v>
      </c>
      <c r="AT436" s="67">
        <f t="shared" si="874"/>
        <v>0</v>
      </c>
      <c r="AU436" s="67">
        <f t="shared" si="874"/>
        <v>0</v>
      </c>
      <c r="AV436" s="67">
        <f t="shared" si="874"/>
        <v>0</v>
      </c>
      <c r="AW436" s="67">
        <f t="shared" si="874"/>
        <v>0</v>
      </c>
      <c r="AX436" s="67">
        <f t="shared" si="874"/>
        <v>0</v>
      </c>
      <c r="AY436" s="69">
        <f t="shared" si="874"/>
        <v>0</v>
      </c>
      <c r="AZ436" s="70">
        <f t="shared" si="874"/>
        <v>0</v>
      </c>
      <c r="BA436" s="70">
        <f t="shared" si="874"/>
        <v>0</v>
      </c>
      <c r="BB436" s="70">
        <f t="shared" si="874"/>
        <v>0</v>
      </c>
      <c r="BC436" s="71">
        <f t="shared" si="874"/>
        <v>0</v>
      </c>
      <c r="BD436" s="67">
        <f t="shared" si="874"/>
        <v>0</v>
      </c>
      <c r="BE436" s="68">
        <f t="shared" si="874"/>
        <v>0</v>
      </c>
      <c r="BF436" s="66">
        <f t="shared" si="872"/>
        <v>0</v>
      </c>
      <c r="BG436" s="67">
        <f t="shared" si="872"/>
        <v>19.28</v>
      </c>
      <c r="BH436" s="67">
        <f t="shared" si="872"/>
        <v>0</v>
      </c>
      <c r="BI436" s="67">
        <f t="shared" si="872"/>
        <v>0</v>
      </c>
      <c r="BJ436" s="67">
        <f t="shared" si="872"/>
        <v>0</v>
      </c>
      <c r="BK436" s="67">
        <f t="shared" si="872"/>
        <v>0</v>
      </c>
      <c r="BL436" s="67">
        <f t="shared" si="872"/>
        <v>0</v>
      </c>
      <c r="BM436" s="69">
        <f t="shared" si="872"/>
        <v>0</v>
      </c>
      <c r="BN436" s="70">
        <f t="shared" si="872"/>
        <v>0</v>
      </c>
      <c r="BO436" s="70">
        <f t="shared" si="872"/>
        <v>0</v>
      </c>
      <c r="BP436" s="70">
        <f t="shared" si="872"/>
        <v>0</v>
      </c>
      <c r="BQ436" s="71">
        <f t="shared" si="872"/>
        <v>0</v>
      </c>
      <c r="BR436" s="68">
        <f t="shared" si="872"/>
        <v>0</v>
      </c>
      <c r="BS436" s="490">
        <f>IF($B436="LOSS",IF(AND($K436=BS$3,$C436="L"),-$O436,0)+IF(AND($K437=BS$3,$C437="L"),-$O437,0)+IF(AND($K438=BS$3,$C438="L"),-$O438,0),IF(OR(AND($K436=BS$3,OR($C436="W",$C436="1/2W")),AND($K437=BS$3,OR($C437="W",$C437="1/2W")),AND($K438=BS$3,OR($C438="W",$C438="1/2W"))),$S436,0))</f>
        <v>0</v>
      </c>
      <c r="BT436" s="498">
        <f>IF($B436="LOSS",IF(AND($K436=BT$3,$C436="L"),-$O436,0)+IF(AND($K437=BT$3,$C437="L"),-$O437,0)+IF(AND($K437=BT$3,$C438="L"),-$O438,0),IF(OR(AND($K437=BT$3,OR($C436="W",$C436="1/2W")),AND($K437=BT$3,OR($C437="W",$C437="1/2W")),AND($K437=BT$3,OR($C438="W",$C438="1/2W"))),$S436,0))</f>
        <v>0</v>
      </c>
      <c r="BU436" s="488">
        <f>IF($B436="LOSS",IF(AND($K436=BU$3,$C436="L"),-$O436,0)+IF(AND($K437=BU$3,$C437="L"),-$O437,0)+IF(AND($K437=BU$3,$C438="L"),-$O438,0),IF(OR(AND($K437=BU$3,OR($C436="W",$C436="1/2W")),AND($K437=BU$3,OR($C437="W",$C437="1/2W")),AND($K437=BU$3,OR($C438="W",$C438="1/2W"))),$S436,0))</f>
        <v>0</v>
      </c>
      <c r="BV436" s="488">
        <f t="shared" ref="BV436:CE436" si="875">IF($B436="LOSS",IF(AND($K436=BV$3,$C436="L"),-$O436,0)+IF(AND($K437=BV$3,$C437="L"),-$O437,0)+IF(AND($K438=BV$3,$C438="L"),-$O438,0),IF(OR(AND($K436=BV$3,OR($C436="W",$C436="1/2W")),AND($K437=BV$3,OR($C437="W",$C437="1/2W")),AND($K438=BV$3,OR($C438="W",$C438="1/2W"))),$S436,0))</f>
        <v>0</v>
      </c>
      <c r="BW436" s="488">
        <f t="shared" si="875"/>
        <v>0</v>
      </c>
      <c r="BX436" s="488">
        <f t="shared" si="875"/>
        <v>0</v>
      </c>
      <c r="BY436" s="488">
        <f t="shared" si="875"/>
        <v>0</v>
      </c>
      <c r="BZ436" s="488">
        <f t="shared" si="875"/>
        <v>0</v>
      </c>
      <c r="CA436" s="488">
        <f t="shared" si="875"/>
        <v>0</v>
      </c>
      <c r="CB436" s="488">
        <f t="shared" si="875"/>
        <v>0</v>
      </c>
      <c r="CC436" s="488">
        <f t="shared" si="875"/>
        <v>0</v>
      </c>
      <c r="CD436" s="500">
        <f t="shared" si="875"/>
        <v>1.65</v>
      </c>
      <c r="CE436" s="504">
        <f t="shared" si="875"/>
        <v>0</v>
      </c>
      <c r="CF436" s="160">
        <f t="shared" si="772"/>
        <v>0</v>
      </c>
      <c r="CG436" s="161">
        <f t="shared" si="773"/>
        <v>0</v>
      </c>
      <c r="CH436" s="161">
        <f t="shared" si="774"/>
        <v>0</v>
      </c>
      <c r="CI436" s="161">
        <f t="shared" si="775"/>
        <v>1</v>
      </c>
      <c r="CJ436" s="161">
        <f t="shared" si="776"/>
        <v>0</v>
      </c>
      <c r="CK436" s="161">
        <f t="shared" si="777"/>
        <v>0</v>
      </c>
      <c r="CL436" s="161">
        <f t="shared" si="778"/>
        <v>0</v>
      </c>
      <c r="CM436" s="161">
        <f t="shared" si="779"/>
        <v>0</v>
      </c>
      <c r="CN436" s="161">
        <f t="shared" si="780"/>
        <v>0</v>
      </c>
      <c r="CO436" s="161">
        <f t="shared" si="781"/>
        <v>0</v>
      </c>
      <c r="CP436" s="161">
        <f t="shared" si="782"/>
        <v>0</v>
      </c>
      <c r="CQ436" s="161">
        <f t="shared" si="783"/>
        <v>0</v>
      </c>
      <c r="CR436" s="161">
        <f t="shared" si="784"/>
        <v>0</v>
      </c>
      <c r="CS436" s="161">
        <f t="shared" si="785"/>
        <v>0</v>
      </c>
      <c r="CT436" s="75">
        <f t="shared" si="786"/>
        <v>0</v>
      </c>
      <c r="CU436" s="76">
        <f t="shared" si="787"/>
        <v>0</v>
      </c>
      <c r="CV436" s="76">
        <f t="shared" si="788"/>
        <v>0</v>
      </c>
      <c r="CW436" s="76">
        <f t="shared" si="789"/>
        <v>0</v>
      </c>
      <c r="CX436" s="76">
        <f t="shared" si="790"/>
        <v>0</v>
      </c>
      <c r="CY436" s="76">
        <f t="shared" si="791"/>
        <v>0</v>
      </c>
      <c r="CZ436" s="76">
        <f t="shared" si="792"/>
        <v>0</v>
      </c>
      <c r="DA436" s="76">
        <f t="shared" si="793"/>
        <v>0</v>
      </c>
      <c r="DB436" s="76">
        <f t="shared" si="794"/>
        <v>0</v>
      </c>
      <c r="DC436" s="76">
        <f t="shared" si="795"/>
        <v>0</v>
      </c>
      <c r="DD436" s="76">
        <f t="shared" si="796"/>
        <v>0</v>
      </c>
      <c r="DE436" s="77">
        <f t="shared" si="797"/>
        <v>0</v>
      </c>
      <c r="DF436" s="73">
        <f t="shared" si="799"/>
        <v>30</v>
      </c>
      <c r="DG436" s="67">
        <f t="shared" si="800"/>
        <v>38.739999999999995</v>
      </c>
      <c r="DH436" s="76">
        <f t="shared" si="801"/>
        <v>10</v>
      </c>
      <c r="DI436" s="67">
        <f t="shared" si="802"/>
        <v>41.599999999999994</v>
      </c>
      <c r="DJ436" s="202" t="str">
        <f>IF($D436="","",$D436)</f>
        <v>15</v>
      </c>
      <c r="DK436" s="492">
        <f>IF(AND($B436=" ",$D436&lt;&gt;""),1,0)</f>
        <v>0</v>
      </c>
    </row>
    <row r="437" spans="1:115" ht="14.5" customHeight="1" x14ac:dyDescent="0.2">
      <c r="A437" s="389"/>
      <c r="B437" s="456"/>
      <c r="C437" s="53" t="s">
        <v>54</v>
      </c>
      <c r="D437" s="374"/>
      <c r="E437" s="386"/>
      <c r="F437" s="377"/>
      <c r="G437" s="508"/>
      <c r="H437" s="476"/>
      <c r="I437" s="182" t="s">
        <v>49</v>
      </c>
      <c r="J437" s="163" t="str">
        <f>IF(OR(I436="TO",I436="TU",I436="TO1",I436="TU1",I436="TO2",I436="TU2"),J436,IF(OR(I436="AH1",I436="AH2"),IF(OR(I437="AH1",I437="AH2"),-J436,IF(OR(I437="EH1",I437="EH2"),-J436+0.5,"")),IF(OR(I436="EH1",I436="EH2"),IF(OR(I437="AH1",I437="AH2"),-J436+0.5,IF(OR(I437="EH1",I437="EH2"),-J436+1,"")),IF(AND(OR(I436="DNB1",I436="DNB2"),OR(I437="AH1",I437="AH2")),0,IF(AND(I436="Not ScoreBoth",OR(I437="TO1",I437="TO2")),0.5,"")))))</f>
        <v/>
      </c>
      <c r="K437" s="57" t="s">
        <v>47</v>
      </c>
      <c r="L437" s="164">
        <v>4.0999999999999996</v>
      </c>
      <c r="M437" s="165">
        <v>2.9</v>
      </c>
      <c r="N437" s="406"/>
      <c r="O437" s="60">
        <f>IF(OR(AE436="",AE437=""),"",ROUND(IF(L438&gt;0,IF(M437&gt;0,M437,IF(M436&gt;0,IF(N436=TRUE,ROUND((M436*AE437)/AE436,0),(M436*AE437)/AE436),IF(M437&gt;0,ROUND(M437,IF(N436=0,2,IF(N436=0.1,1,0))),IF(M438&gt;0,ROUND(O438*AE437/AE438,IF(N436=0,2,IF(N436=0.1,1,0))),0)))),IF(M437&gt;0,M437,ROUND((M436*AE437)/AE436,IF(N436=0,2,IF(N436=0.1,1,0))))),2))</f>
        <v>2.9</v>
      </c>
      <c r="P437" s="61">
        <f>IF(OR(L437="",O437=""),"",IF($C437="1/2W",O437/2+O437/2*L437,IF($C437="1/2L",O437/2,IF(I437="Lay",((O437*(L437/(L437-1)))-O437)*(1-_xlfn.XLOOKUP(K437,'Fevereiro 2023 - Valor Real'!A3:A15,'Fevereiro 2023 - Valor Real'!C3:C15,0))+O437,(O437*L437-O437)*(1-_xlfn.XLOOKUP(K437,'Fevereiro 2023 - Valor Real'!A3:A15,'Fevereiro 2023 - Valor Real'!C3:C15,0))+O437))))</f>
        <v>11.889999999999999</v>
      </c>
      <c r="Q437" s="166">
        <f>IF(K437="","",IF(_xlfn.XLOOKUP(K437,K$10:K428,$DJ$10:DJ428,0,,-1)=DJ437,_xlfn.XLOOKUP(K437,K$10:K428,Q$10:Q428,1,,-1)+1,1))</f>
        <v>1</v>
      </c>
      <c r="R437" s="167">
        <f>IF(K437="","",_xlfn.XLOOKUP(K437,K$10:K428,R$10:R428,0,,-1)+IF($C437=" ",1,0))</f>
        <v>0</v>
      </c>
      <c r="S437" s="403"/>
      <c r="T437" s="380"/>
      <c r="U437" s="380"/>
      <c r="V437" s="481"/>
      <c r="W437" s="380"/>
      <c r="X437" s="452"/>
      <c r="Y437" s="383"/>
      <c r="Z437" s="384"/>
      <c r="AA437" s="384"/>
      <c r="AB437" s="384"/>
      <c r="AC437" s="384"/>
      <c r="AD437" s="64"/>
      <c r="AE437" s="65">
        <f>IF(L437="","",IF(L438&gt;0,(SUM(((L436-1)*(1-_xlfn.XLOOKUP(K436,'Fevereiro 2023 - Valor Real'!A3:A15,'Fevereiro 2023 - Valor Real'!C3:C15,0))+1),((L437-1)*(1-_xlfn.XLOOKUP(K437,'Fevereiro 2023 - Valor Real'!A3:A15,'Fevereiro 2023 - Valor Real'!C3:C15,0))+1),((L438-1)*(1-_xlfn.XLOOKUP(K438,'Fevereiro 2023 - Valor Real'!A3:A15,'Fevereiro 2023 - Valor Real'!C3:C15,0))+1))/((L437-1)*(1-_xlfn.XLOOKUP(K437,'Fevereiro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Real'!C3:C15,0))+1))/((L436-1)*(1-_xlfn.XLOOKUP(K436,'Fevereiro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Real'!C3:C15,0))+1))/((L437-1)*(1-_xlfn.XLOOKUP(K437,'Fevereiro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Real'!C3:C15,0))+1))/((L438-1)*(1-_xlfn.XLOOKUP(K438,'Fevereiro 2023 - Valor Real'!A3:A15,'Fevereiro 2023 - Valor Real'!C3:C15,0))+1)),IF(I437="Lay",IF(I436="Lay",((L436/(L436-1)-1)*(1-_xlfn.XLOOKUP(K436,'Fevereiro 2023 - Valor Real'!A3:A15,'Fevereiro 2023 - Valor Real'!C3:C15,0))+1)/(((L436/(L436-1)-1)*(1-_xlfn.XLOOKUP(K436,'Fevereiro 2023 - Valor Real'!A3:A15,'Fevereiro 2023 - Valor Real'!C3:C15,0))+1)+((L437/(L437-1)-1)*(1-_xlfn.XLOOKUP(K437,'Fevereiro 2023 - Valor Real'!A3:A15,'Fevereiro 2023 - Valor Real'!C3:C15,0))+1)),((L436-1)*(1-_xlfn.XLOOKUP(K436,'Fevereiro 2023 - Valor Real'!A3:A15,'Fevereiro 2023 - Valor Real'!C3:C15,0))+1)/(((L436-1)*(1-_xlfn.XLOOKUP(K436,'Fevereiro 2023 - Valor Real'!A3:A15,'Fevereiro 2023 - Valor Real'!C3:C15,0))+1)+((L437/(L437-1)-1)*(1-_xlfn.XLOOKUP(K437,'Fevereiro 2023 - Valor Real'!A3:A15,'Fevereiro 2023 - Valor Real'!C3:C15,0))+1))),IF(I436="Lay",((L436/(L436-1)-1)*(1-_xlfn.XLOOKUP(K436,'Fevereiro 2023 - Valor Real'!A3:A15,'Fevereiro 2023 - Valor Real'!C3:C15,0))+1)/((((L436/(L436-1)-1)*(1-_xlfn.XLOOKUP(K436,'Fevereiro 2023 - Valor Real'!A3:A15,'Fevereiro 2023 - Valor Real'!C3:C15,0))+1))+((L437-1)*(1-_xlfn.XLOOKUP(K437,'Fevereiro 2023 - Valor Real'!A3:A15,'Fevereiro 2023 - Valor Real'!C3:C15,0))+1)),((L436-1)*(1-_xlfn.XLOOKUP(K436,'Fevereiro 2023 - Valor Real'!A3:A15,'Fevereiro 2023 - Valor Real'!C3:C15,0))+1)/(((L436-1)*(1-_xlfn.XLOOKUP(K436,'Fevereiro 2023 - Valor Real'!A3:A15,'Fevereiro 2023 - Valor Real'!C3:C15,0))+1)+((L437-1)*(1-_xlfn.XLOOKUP(K437,'Fevereiro 2023 - Valor Real'!A3:A15,'Fevereiro 2023 - Valor Real'!C3:C15,0))+1))))))</f>
        <v>0.20891669583479175</v>
      </c>
      <c r="AF437" s="66">
        <f t="shared" si="870"/>
        <v>0</v>
      </c>
      <c r="AG437" s="67">
        <f t="shared" si="870"/>
        <v>0</v>
      </c>
      <c r="AH437" s="67">
        <f t="shared" si="870"/>
        <v>0</v>
      </c>
      <c r="AI437" s="67">
        <f t="shared" si="870"/>
        <v>0</v>
      </c>
      <c r="AJ437" s="67">
        <f t="shared" si="870"/>
        <v>0</v>
      </c>
      <c r="AK437" s="67">
        <f t="shared" si="870"/>
        <v>0</v>
      </c>
      <c r="AL437" s="67">
        <f t="shared" si="870"/>
        <v>0</v>
      </c>
      <c r="AM437" s="67">
        <f t="shared" si="870"/>
        <v>0</v>
      </c>
      <c r="AN437" s="67">
        <f t="shared" si="870"/>
        <v>0</v>
      </c>
      <c r="AO437" s="67">
        <f t="shared" si="870"/>
        <v>0</v>
      </c>
      <c r="AP437" s="67">
        <f t="shared" si="870"/>
        <v>0</v>
      </c>
      <c r="AQ437" s="67">
        <f t="shared" si="870"/>
        <v>8.99</v>
      </c>
      <c r="AR437" s="68">
        <f t="shared" si="870"/>
        <v>0</v>
      </c>
      <c r="AS437" s="66">
        <f>IF(AND($B436=" ",$K437=AS$3),$O437,0)</f>
        <v>0</v>
      </c>
      <c r="AT437" s="67">
        <f>IF(AND($B436=" ",K437=AT$3),$O437,0)</f>
        <v>0</v>
      </c>
      <c r="AU437" s="67">
        <f t="shared" ref="AU437:BE437" si="876">IF(AND($B436=" ",$K437=AU$3),$O437,0)</f>
        <v>0</v>
      </c>
      <c r="AV437" s="67">
        <f t="shared" si="876"/>
        <v>0</v>
      </c>
      <c r="AW437" s="67">
        <f t="shared" si="876"/>
        <v>0</v>
      </c>
      <c r="AX437" s="67">
        <f t="shared" si="876"/>
        <v>0</v>
      </c>
      <c r="AY437" s="69">
        <f t="shared" si="876"/>
        <v>0</v>
      </c>
      <c r="AZ437" s="70">
        <f t="shared" si="876"/>
        <v>0</v>
      </c>
      <c r="BA437" s="70">
        <f t="shared" si="876"/>
        <v>0</v>
      </c>
      <c r="BB437" s="70">
        <f t="shared" si="876"/>
        <v>0</v>
      </c>
      <c r="BC437" s="71">
        <f t="shared" si="876"/>
        <v>0</v>
      </c>
      <c r="BD437" s="67">
        <f t="shared" si="876"/>
        <v>0</v>
      </c>
      <c r="BE437" s="68">
        <f t="shared" si="876"/>
        <v>0</v>
      </c>
      <c r="BF437" s="66">
        <f t="shared" si="872"/>
        <v>0</v>
      </c>
      <c r="BG437" s="168">
        <f t="shared" si="872"/>
        <v>0</v>
      </c>
      <c r="BH437" s="67">
        <f t="shared" si="872"/>
        <v>0</v>
      </c>
      <c r="BI437" s="67">
        <f t="shared" si="872"/>
        <v>0</v>
      </c>
      <c r="BJ437" s="67">
        <f t="shared" si="872"/>
        <v>0</v>
      </c>
      <c r="BK437" s="67">
        <f t="shared" si="872"/>
        <v>0</v>
      </c>
      <c r="BL437" s="67">
        <f t="shared" si="872"/>
        <v>0</v>
      </c>
      <c r="BM437" s="69">
        <f t="shared" si="872"/>
        <v>0</v>
      </c>
      <c r="BN437" s="70">
        <f t="shared" si="872"/>
        <v>0</v>
      </c>
      <c r="BO437" s="70">
        <f t="shared" si="872"/>
        <v>0</v>
      </c>
      <c r="BP437" s="70">
        <f t="shared" si="872"/>
        <v>0</v>
      </c>
      <c r="BQ437" s="71">
        <f t="shared" si="872"/>
        <v>2.9</v>
      </c>
      <c r="BR437" s="68">
        <f t="shared" si="872"/>
        <v>0</v>
      </c>
      <c r="BS437" s="491"/>
      <c r="BT437" s="489"/>
      <c r="BU437" s="392"/>
      <c r="BV437" s="489"/>
      <c r="BW437" s="392"/>
      <c r="BX437" s="392"/>
      <c r="BY437" s="392"/>
      <c r="BZ437" s="489"/>
      <c r="CA437" s="392"/>
      <c r="CB437" s="392"/>
      <c r="CC437" s="392"/>
      <c r="CD437" s="401"/>
      <c r="CE437" s="409"/>
      <c r="CF437" s="169">
        <f t="shared" si="772"/>
        <v>0</v>
      </c>
      <c r="CG437" s="170">
        <f t="shared" si="773"/>
        <v>0</v>
      </c>
      <c r="CH437" s="170">
        <f t="shared" si="774"/>
        <v>0</v>
      </c>
      <c r="CI437" s="170">
        <f t="shared" si="775"/>
        <v>0</v>
      </c>
      <c r="CJ437" s="170">
        <f t="shared" si="776"/>
        <v>0</v>
      </c>
      <c r="CK437" s="170">
        <f t="shared" si="777"/>
        <v>0</v>
      </c>
      <c r="CL437" s="170">
        <f t="shared" si="778"/>
        <v>0</v>
      </c>
      <c r="CM437" s="170">
        <f t="shared" si="779"/>
        <v>0</v>
      </c>
      <c r="CN437" s="170">
        <f t="shared" si="780"/>
        <v>0</v>
      </c>
      <c r="CO437" s="170">
        <f t="shared" si="781"/>
        <v>0</v>
      </c>
      <c r="CP437" s="170">
        <f t="shared" si="782"/>
        <v>0</v>
      </c>
      <c r="CQ437" s="170">
        <f t="shared" si="783"/>
        <v>0</v>
      </c>
      <c r="CR437" s="170">
        <f t="shared" si="784"/>
        <v>0</v>
      </c>
      <c r="CS437" s="170">
        <f t="shared" si="785"/>
        <v>0</v>
      </c>
      <c r="CT437" s="75">
        <f t="shared" si="786"/>
        <v>0</v>
      </c>
      <c r="CU437" s="76">
        <f t="shared" si="787"/>
        <v>0</v>
      </c>
      <c r="CV437" s="76">
        <f t="shared" si="788"/>
        <v>0</v>
      </c>
      <c r="CW437" s="76">
        <f t="shared" si="789"/>
        <v>0</v>
      </c>
      <c r="CX437" s="76">
        <f t="shared" si="790"/>
        <v>0</v>
      </c>
      <c r="CY437" s="76">
        <f t="shared" si="791"/>
        <v>0</v>
      </c>
      <c r="CZ437" s="76">
        <f t="shared" si="792"/>
        <v>0</v>
      </c>
      <c r="DA437" s="76">
        <f t="shared" si="793"/>
        <v>0</v>
      </c>
      <c r="DB437" s="76">
        <f t="shared" si="794"/>
        <v>1</v>
      </c>
      <c r="DC437" s="76">
        <f t="shared" si="795"/>
        <v>0</v>
      </c>
      <c r="DD437" s="76">
        <f t="shared" si="796"/>
        <v>0</v>
      </c>
      <c r="DE437" s="77">
        <f t="shared" si="797"/>
        <v>0</v>
      </c>
      <c r="DF437" s="73">
        <f t="shared" si="799"/>
        <v>30</v>
      </c>
      <c r="DG437" s="67">
        <f t="shared" si="800"/>
        <v>38.739999999999995</v>
      </c>
      <c r="DH437" s="76">
        <f t="shared" si="801"/>
        <v>11</v>
      </c>
      <c r="DI437" s="67">
        <f t="shared" si="802"/>
        <v>45.699999999999996</v>
      </c>
      <c r="DJ437" s="202" t="str">
        <f>IF($D436="","",$D436)</f>
        <v>15</v>
      </c>
      <c r="DK437" s="493"/>
    </row>
    <row r="438" spans="1:115" ht="14.5" customHeight="1" x14ac:dyDescent="0.2">
      <c r="A438" s="390"/>
      <c r="B438" s="457"/>
      <c r="C438" s="79" t="s">
        <v>184</v>
      </c>
      <c r="D438" s="375"/>
      <c r="E438" s="387"/>
      <c r="F438" s="378"/>
      <c r="G438" s="508"/>
      <c r="H438" s="477"/>
      <c r="I438" s="183" t="s">
        <v>76</v>
      </c>
      <c r="J438" s="184">
        <v>0.25</v>
      </c>
      <c r="K438" s="185" t="s">
        <v>47</v>
      </c>
      <c r="L438" s="186">
        <v>1.91</v>
      </c>
      <c r="M438" s="174">
        <v>26.25</v>
      </c>
      <c r="N438" s="407"/>
      <c r="O438" s="187">
        <f>IF(OR(AE436="",AE437=""),"",IF(L438&gt;0,ROUND(IF(M438&gt;0,M438,IF(M436&gt;0,ROUND((M436*AE438)/AE436,IF(N436=0,2,IF(N436=0.1,1,0))),IF(M437&gt;0,ROUND((M437*AE438)/AE437,IF(N436=0,2,IF(N436=0.1,1,0))),IF(M438&gt;0,M438,0)))),2),""))</f>
        <v>26.25</v>
      </c>
      <c r="P438" s="188">
        <f>IF(I437="Lay",O437*(L437/(L437-1))-O437,IF(I436="Lay",O436*(L436/(L436-1))-O436,IF(OR(L438="",O438=""),"",IF($C438="1/2W",O438/2+O438/2*L438,IF($C438="1/2L",O438/2,(O438*L438-O438)*(1-_xlfn.XLOOKUP(K438,'Fevereiro 2023 - Valor Real'!A3:A15,'Fevereiro 2023 - Valor Real'!C3:C15,0))+O438)))))</f>
        <v>38.193749999999994</v>
      </c>
      <c r="Q438" s="166">
        <f>IF(K438="","",IF(_xlfn.XLOOKUP(K438,K$11:K428,$DJ$11:DJ428,0,,-1)=DJ438,_xlfn.XLOOKUP(K438,K$11:K428,Q$11:Q428,1,,-1)+1,1))</f>
        <v>1</v>
      </c>
      <c r="R438" s="189">
        <f>IF(K438="","",_xlfn.XLOOKUP(K438,K$11:K428,R$11:R428,0,,-1)+IF($C438=" ",1,0))</f>
        <v>0</v>
      </c>
      <c r="S438" s="404"/>
      <c r="T438" s="378"/>
      <c r="U438" s="378"/>
      <c r="V438" s="404"/>
      <c r="W438" s="378"/>
      <c r="X438" s="453"/>
      <c r="Y438" s="383"/>
      <c r="Z438" s="384"/>
      <c r="AA438" s="384"/>
      <c r="AB438" s="384"/>
      <c r="AC438" s="384"/>
      <c r="AD438" s="90"/>
      <c r="AE438" s="190">
        <f>IF(L438="","",(SUM(((L436-1)*(1-_xlfn.XLOOKUP(K436,'Fevereiro 2023 - Valor Real'!A3:A15,'Fevereiro 2023 - Valor Real'!C3:C15,0))+1),((L437-1)*(1-_xlfn.XLOOKUP(K437,'Fevereiro 2023 - Valor Real'!A3:A15,'Fevereiro 2023 - Valor Real'!C3:C15,0))+1),((L438-1)*(1-_xlfn.XLOOKUP(K438,'Fevereiro 2023 - Valor Real'!A3:A15,'Fevereiro 2023 - Valor Real'!C3:C15,0))+1))/((L438-1)*(1-_xlfn.XLOOKUP(K438,'Fevereiro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Real'!C3:C15,0))+1))/((L436-1)*(1-_xlfn.XLOOKUP(K436,'Fevereiro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Real'!C3:C15,0))+1))/((L437-1)*(1-_xlfn.XLOOKUP(K437,'Fevereiro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Real'!C3:C15,0))+1))/((L438-1)*(1-_xlfn.XLOOKUP(K438,'Fevereiro 2023 - Valor Real'!A3:A15,'Fevereiro 2023 - Valor Real'!C3:C15,0))+1)))</f>
        <v>0.44845992299614978</v>
      </c>
      <c r="AF438" s="66">
        <f t="shared" si="870"/>
        <v>0</v>
      </c>
      <c r="AG438" s="67">
        <f t="shared" si="870"/>
        <v>0</v>
      </c>
      <c r="AH438" s="67">
        <f t="shared" si="870"/>
        <v>0</v>
      </c>
      <c r="AI438" s="67">
        <f t="shared" si="870"/>
        <v>0</v>
      </c>
      <c r="AJ438" s="67">
        <f t="shared" si="870"/>
        <v>0</v>
      </c>
      <c r="AK438" s="67">
        <f t="shared" si="870"/>
        <v>0</v>
      </c>
      <c r="AL438" s="67">
        <f t="shared" si="870"/>
        <v>0</v>
      </c>
      <c r="AM438" s="67">
        <f t="shared" si="870"/>
        <v>0</v>
      </c>
      <c r="AN438" s="67">
        <f t="shared" si="870"/>
        <v>0</v>
      </c>
      <c r="AO438" s="67">
        <f t="shared" si="870"/>
        <v>0</v>
      </c>
      <c r="AP438" s="67">
        <f t="shared" si="870"/>
        <v>0</v>
      </c>
      <c r="AQ438" s="67">
        <f t="shared" si="870"/>
        <v>11.94</v>
      </c>
      <c r="AR438" s="68">
        <f t="shared" si="870"/>
        <v>0</v>
      </c>
      <c r="AS438" s="66">
        <f>IF(AND($B436=" ",$K438=AS$3),$O438,0)</f>
        <v>0</v>
      </c>
      <c r="AT438" s="67">
        <f>IF(AND($B436=" ",K438=AT$3),$O438,0)</f>
        <v>0</v>
      </c>
      <c r="AU438" s="67">
        <f t="shared" ref="AU438:BE438" si="877">IF(AND($B436=" ",$K438=AU$3),$O438,0)</f>
        <v>0</v>
      </c>
      <c r="AV438" s="67">
        <f t="shared" si="877"/>
        <v>0</v>
      </c>
      <c r="AW438" s="67">
        <f t="shared" si="877"/>
        <v>0</v>
      </c>
      <c r="AX438" s="67">
        <f t="shared" si="877"/>
        <v>0</v>
      </c>
      <c r="AY438" s="69">
        <f t="shared" si="877"/>
        <v>0</v>
      </c>
      <c r="AZ438" s="70">
        <f t="shared" si="877"/>
        <v>0</v>
      </c>
      <c r="BA438" s="70">
        <f t="shared" si="877"/>
        <v>0</v>
      </c>
      <c r="BB438" s="70">
        <f t="shared" si="877"/>
        <v>0</v>
      </c>
      <c r="BC438" s="71">
        <f t="shared" si="877"/>
        <v>0</v>
      </c>
      <c r="BD438" s="67">
        <f t="shared" si="877"/>
        <v>0</v>
      </c>
      <c r="BE438" s="68">
        <f t="shared" si="877"/>
        <v>0</v>
      </c>
      <c r="BF438" s="66">
        <f t="shared" si="872"/>
        <v>0</v>
      </c>
      <c r="BG438" s="168">
        <f t="shared" si="872"/>
        <v>0</v>
      </c>
      <c r="BH438" s="67">
        <f t="shared" si="872"/>
        <v>0</v>
      </c>
      <c r="BI438" s="67">
        <f t="shared" si="872"/>
        <v>0</v>
      </c>
      <c r="BJ438" s="67">
        <f t="shared" si="872"/>
        <v>0</v>
      </c>
      <c r="BK438" s="67">
        <f t="shared" si="872"/>
        <v>0</v>
      </c>
      <c r="BL438" s="67">
        <f t="shared" si="872"/>
        <v>0</v>
      </c>
      <c r="BM438" s="69">
        <f t="shared" si="872"/>
        <v>0</v>
      </c>
      <c r="BN438" s="70">
        <f t="shared" si="872"/>
        <v>0</v>
      </c>
      <c r="BO438" s="70">
        <f t="shared" si="872"/>
        <v>0</v>
      </c>
      <c r="BP438" s="70">
        <f t="shared" si="872"/>
        <v>0</v>
      </c>
      <c r="BQ438" s="71">
        <f t="shared" si="872"/>
        <v>26.25</v>
      </c>
      <c r="BR438" s="68">
        <f t="shared" si="872"/>
        <v>0</v>
      </c>
      <c r="BS438" s="491"/>
      <c r="BT438" s="489"/>
      <c r="BU438" s="392"/>
      <c r="BV438" s="489"/>
      <c r="BW438" s="392"/>
      <c r="BX438" s="392"/>
      <c r="BY438" s="392"/>
      <c r="BZ438" s="489"/>
      <c r="CA438" s="392"/>
      <c r="CB438" s="392"/>
      <c r="CC438" s="392"/>
      <c r="CD438" s="401"/>
      <c r="CE438" s="409"/>
      <c r="CF438" s="169">
        <f t="shared" si="772"/>
        <v>0</v>
      </c>
      <c r="CG438" s="170">
        <f t="shared" si="773"/>
        <v>0</v>
      </c>
      <c r="CH438" s="170">
        <f t="shared" si="774"/>
        <v>0</v>
      </c>
      <c r="CI438" s="170">
        <f t="shared" si="775"/>
        <v>0</v>
      </c>
      <c r="CJ438" s="170">
        <f t="shared" si="776"/>
        <v>0</v>
      </c>
      <c r="CK438" s="170">
        <f t="shared" si="777"/>
        <v>0</v>
      </c>
      <c r="CL438" s="170">
        <f t="shared" si="778"/>
        <v>0</v>
      </c>
      <c r="CM438" s="170">
        <f t="shared" si="779"/>
        <v>0</v>
      </c>
      <c r="CN438" s="170">
        <f t="shared" si="780"/>
        <v>0</v>
      </c>
      <c r="CO438" s="170">
        <f t="shared" si="781"/>
        <v>0</v>
      </c>
      <c r="CP438" s="170">
        <f t="shared" si="782"/>
        <v>0</v>
      </c>
      <c r="CQ438" s="170">
        <f t="shared" si="783"/>
        <v>0</v>
      </c>
      <c r="CR438" s="170">
        <f t="shared" si="784"/>
        <v>0</v>
      </c>
      <c r="CS438" s="170">
        <f t="shared" si="785"/>
        <v>0</v>
      </c>
      <c r="CT438" s="75">
        <f t="shared" si="786"/>
        <v>0</v>
      </c>
      <c r="CU438" s="76">
        <f t="shared" si="787"/>
        <v>0</v>
      </c>
      <c r="CV438" s="76">
        <f t="shared" si="788"/>
        <v>0</v>
      </c>
      <c r="CW438" s="76">
        <f t="shared" si="789"/>
        <v>0</v>
      </c>
      <c r="CX438" s="76">
        <f t="shared" si="790"/>
        <v>0</v>
      </c>
      <c r="CY438" s="76">
        <f t="shared" si="791"/>
        <v>0</v>
      </c>
      <c r="CZ438" s="76">
        <f t="shared" si="792"/>
        <v>0</v>
      </c>
      <c r="DA438" s="76">
        <f t="shared" si="793"/>
        <v>0</v>
      </c>
      <c r="DB438" s="76">
        <f t="shared" si="794"/>
        <v>0.5</v>
      </c>
      <c r="DC438" s="76">
        <f t="shared" si="795"/>
        <v>0</v>
      </c>
      <c r="DD438" s="76">
        <f t="shared" si="796"/>
        <v>0</v>
      </c>
      <c r="DE438" s="77">
        <f t="shared" si="797"/>
        <v>0</v>
      </c>
      <c r="DF438" s="73">
        <f t="shared" si="799"/>
        <v>30</v>
      </c>
      <c r="DG438" s="67">
        <f t="shared" si="800"/>
        <v>38.739999999999995</v>
      </c>
      <c r="DH438" s="76">
        <f t="shared" si="801"/>
        <v>11</v>
      </c>
      <c r="DI438" s="67">
        <f t="shared" si="802"/>
        <v>45.699999999999996</v>
      </c>
      <c r="DJ438" s="202" t="str">
        <f>IF($D436="","",$D436)</f>
        <v>15</v>
      </c>
      <c r="DK438" s="493"/>
    </row>
    <row r="439" spans="1:115" ht="14.5" customHeight="1" x14ac:dyDescent="0.2">
      <c r="A439" s="459">
        <f>$A436+1</f>
        <v>146</v>
      </c>
      <c r="B439" s="507" t="str">
        <f>IF(OR(C439="W",C440="W",C441="W",C439="1/2W",C440="1/2W",C441="1/2W",C439="1/2L",C440="1/2L",C441="1/2L"),"OK",IF(OR(C439="L",C440="L",C441="L"),"LOSS",IF(OR(C439="X",C440="X",C441="X"),"Anulado"," ")))</f>
        <v>OK</v>
      </c>
      <c r="C439" s="93" t="s">
        <v>55</v>
      </c>
      <c r="D439" s="468" t="str">
        <f>IF(G439="","",$D436)</f>
        <v>15</v>
      </c>
      <c r="E439" s="485" t="str">
        <f>IF(G439=""," ","– "&amp;COUNTIF(D$4:D441,$D439))</f>
        <v>– 4</v>
      </c>
      <c r="F439" s="509" t="str">
        <f ca="1">IF(G439="","",IF(OR(AND($C439&lt;&gt;" ",$C440=" "),AND($C440&lt;&gt;" ",$C439=" "),AND(L441&gt;0,OR(AND($C441&lt;&gt;" ",OR($C439=" ",$C440=" ")),AND($C441=" ",OR($C439&lt;&gt;" ",$C440&lt;&gt;" "))))),IF(SUM(F$4:F438)=0,1,LARGE(F$4:F438,1)+1),IF(MONTH(G439)=MONTH(TODAY()),IF(AND(DAY(G439)&lt;DAY(TODAY()),$B439=" "),IF(SUM(F$4:F438)=0,1,LARGE(F$4:F438,1)+1),IF($B439=" ",IF(AND(DAY(G439)=DAY(TODAY()),HOUR(G439)&lt;=HOUR(NOW())+1),IF(AND(HOUR(G439)+2&lt;=HOUR(NOW()),DAY(G439)&lt;=DAY(TODAY()),MINUTE(G439)&lt;=MINUTE(NOW())),IF(SUM(F$4:F438)=0,1,LARGE(F$4:F438,1)+1),IF(OR(MINUTE(G439)&lt;=MINUTE(NOW()),HOUR(G439)&lt;=HOUR(NOW())),"!!!","")),""),"")),"")))</f>
        <v/>
      </c>
      <c r="G439" s="482">
        <v>45000.4375</v>
      </c>
      <c r="H439" s="475" t="s">
        <v>185</v>
      </c>
      <c r="I439" s="94" t="s">
        <v>66</v>
      </c>
      <c r="J439" s="176"/>
      <c r="K439" s="96" t="s">
        <v>47</v>
      </c>
      <c r="L439" s="97">
        <v>1.48</v>
      </c>
      <c r="M439" s="98"/>
      <c r="N439" s="478">
        <v>0.1</v>
      </c>
      <c r="O439" s="99">
        <f>IF(OR(AE439="",AE440=""),"",ROUND(IF(L441&gt;0,IF(M439&gt;0,M439,IF(M440&gt;0,ROUND((M440*AE439)/AE440,IF(N439=0,2,IF(N439=0.1,1,0))),ROUND((M441*AE439)/AE441,IF(N439=0,2,IF(N439=0.1,1,0))))),IF(M439&gt;0,M439,ROUND((M440*AE439)/AE440,IF(N439=0,2,IF(N439=0.1,1,0))))),2))</f>
        <v>18.100000000000001</v>
      </c>
      <c r="P439" s="100">
        <f>IF(OR(L439="",O439=""),"",IF($C439="1/2W",O439/2+O439/2*L439,IF($C439="1/2L",O439/2,IF(I439="Lay",(O439*(L439/(L439-1))-O439)*(1-_xlfn.XLOOKUP(K439,'Fevereiro 2023 - Valor Real'!A3:A15,'Fevereiro 2023 - Valor Real'!C3:C15,0))+O439,(O439*L439-O439)*(1-_xlfn.XLOOKUP(K439,'Fevereiro 2023 - Valor Real'!A3:A15,'Fevereiro 2023 - Valor Real'!C3:C15,0))+O439))))</f>
        <v>26.788</v>
      </c>
      <c r="Q439" s="101">
        <f>IF(K439="","",IF(_xlfn.XLOOKUP(K439,K$4:K438,$DJ$4:DJ438,0,,-1)=DJ439,_xlfn.XLOOKUP(K439,K$4:K438,Q$4:Q438,1,,-1)+1,1))</f>
        <v>2</v>
      </c>
      <c r="R439" s="102">
        <f>IF(K439="","",_xlfn.XLOOKUP(K439,K$4:K438,R$4:R438,0,,-1)+IF($C439=" ",1,0))</f>
        <v>0</v>
      </c>
      <c r="S439" s="474">
        <f>IF($B439="Anulado",0,ROUND(IF(OR($B439="LOSS",$B439="OK"),IF(OR($C439="W",$C439="1/2W",$C439="1/2L"),P439-O439,IF($C439="L",-O439,0))+IF(OR($C440="W",$C440="1/2W",$C440="1/2L"),P440-O440,IF($C440="L",-O440,0))+IF(OR($C441="W",$C441="1/2W",$C441="1/2L"),P441-O441,IF($C441="L",-O441,0)),IF(AND(OR($C439="W",$C439="1/2W",$C439="1/2L"),C440="W"),P439+P440-SUM(O439:O441)+_xlfn.XLOOKUP("X",C439:C441,O439:O441,0),IF(AND(C439=TRUE,C441="W"),P439+P441-SUM(O439:O441),IF(AND(C440="W",C441="W"),P440+P441-SUM(O439:O441)+_xlfn.XLOOKUP("X",C439:C441,O439:O441,0),IF(L441&gt;0,IF(OR($C439="W",$C439="1/2W",$C439="1/2L"),P439-SUM(O439:O441)+_xlfn.XLOOKUP("X",C439:C441,O439:O441,0),IF(OR($C439="W",$C439="1/2W",$C439="1/2L"),P440-SUM(O439:O441)+_xlfn.XLOOKUP("X",C439:C441,O439:O441,0),IF(OR($C439="W",$C439="1/2W",$C439="1/2L"),P441-SUM(O439:O441)+_xlfn.XLOOKUP("X",C439:C441,O439:O441,0),IF(SUM(P439:P441)/3-SUM(O439:O441)+_xlfn.XLOOKUP("X",C439:C441,O439:O441,0)&gt;0,SUM(P439:P441)/3-SUM(O439:O441)+_xlfn.XLOOKUP("X",C439:C441,O439:O441,0),LARGE(P439:P441,1)-SUM(O439:O441))))),IF(OR($C439="W",$C439="1/2W",$C439="1/2L"),P439-SUM(O439:O440)+_xlfn.XLOOKUP("X",C439:C441,O439:O441,0),IF(OR($C439="W",$C439="1/2W",$C439="1/2L"),P440-SUM(O439:O440)+_xlfn.XLOOKUP("X",C439:C441,O439:O441,0),SUM(P439:P440)/2-SUM(O439:O440)+_xlfn.XLOOKUP("X",C439:C441,O439:O441,0)))))))),2))</f>
        <v>1</v>
      </c>
      <c r="T439" s="458">
        <f>IF(S439=0,0,S439/SUM(O439:O441))</f>
        <v>3.8850038850038848E-2</v>
      </c>
      <c r="U439" s="470">
        <f>IF($D439=$D436,IF(OR($B439="LOSS",$B439="OK",$B439="Anulada"),S439,0)+U436,IF(OR($B439="LOSS",$B439="OK",$B439="Anulada"),S439,0))</f>
        <v>11.610000000000001</v>
      </c>
      <c r="V439" s="470">
        <f>IF($D439="",0,IF($D439=$D436,IF($B439=" ",IF(I441="",IF(OR(AND(I439="DNB1",I440="DNB2"),AND(OR(I439="DNB1",I439="DNB2"),J440=0),AND(OR(I440="DNB1",I440="DNB2"),J439=0),AND(I439="DNB2",I440="DNB1"),AND(IF(J439=0,(J439+1)/ROUND(J439+1,0),J439/ROUND(J439,0))=1,IF(J440=0,(J440+1)/ROUND(IF(J440="",0,J440)+1,0),IF(J440="",0,J440)/ROUND(IF(J440="",1,J440),0))=1,OR(J439&lt;&gt;""),J440&lt;&gt;"")),0,IF(S439&lt;0,IF(I441="",SMALL(P439:P440,1)-SUM(O439:O440),0),SMALL(P439:P440,1)-SUM(O439:O440))),IF(S439&lt;0,IF(I441="",SMALL(P439:P441,1)-SUM(O439:O441),0),LARGE(P439:P441,1)-SUM(O439:O441))),S439)+V436,IF(I441="",IF(OR(AND(I439="DNB1",I440="DNB2"),AND(OR(I439="DNB1",I439="DNB2"),J440=0),AND(OR(I440="DNB1",I440="DNB2"),J439=0),AND(I439="DNB2",I440="DNB1"),AND(IF(J439=0,(J439+1)/ROUND(J439+1,0),J439/ROUND(J439,0))=1,IF(J440=0,(IF(J440="",0,J440)+1)/ROUND(IF(J440="",0,J440)+1,0),IF(J440="",0,J440)/ROUND(IF(J440="",0,J440)+1,0))=1,OR(J439&lt;&gt;""),J440&lt;&gt;"")),0,IF(S439&lt;0,IF(I441="",SMALL(P439:P440,1)-SUM(O439:O440),0),SMALL(P439:P441,1)-SUM(O439:O441))),IF(S439&lt;0,IF(I441="",SMALL(P439:P441,1)-SUM(O439:O441),0),LARGE(P439:P441,1)-SUM(O439:O441)))))</f>
        <v>11.5966</v>
      </c>
      <c r="W439" s="470">
        <f>IF($D439=$D436,IF(S439&lt;0,IF(I441="",S439,0),S439)+W436,S439)</f>
        <v>11.610000000000001</v>
      </c>
      <c r="X439" s="480" t="str">
        <f>IF(OR(SUM(R439:R441)=0,V439=W439),ROUND(IF(W439=0,0,W439/Y439)*100,2)&amp;"%",ROUND(IF(V439=0,0,V439/Y439)*100,2)&amp;"% a "&amp;ROUND(IF(W439=0,0,W439/Y439)*100,2)&amp;"%")</f>
        <v>4,45%</v>
      </c>
      <c r="Y439" s="471">
        <f>IF($D439=$D436,Y436+SUM(O439:O441),SUM(O439:O441))</f>
        <v>260.64000000000004</v>
      </c>
      <c r="Z439" s="470">
        <f>IF($B439=" ",SUM(O439:O441),0)+Z436</f>
        <v>0</v>
      </c>
      <c r="AA439" s="470">
        <f>IF(G439="","",IF($B439="Anulado",LARGE(P439:P441,1)-SUM(O439:O441)+AA436,AA436))</f>
        <v>12.425099999999992</v>
      </c>
      <c r="AB439" s="470">
        <f>IF($D439="","",AB436+S439)</f>
        <v>540.03000000000009</v>
      </c>
      <c r="AC439" s="472">
        <f ca="1">IF($D439="","",IF($B439=" ",IF(DAY(G439)=DAY(TODAY()),1+AC436,0+AC436),0+AC436))</f>
        <v>0</v>
      </c>
      <c r="AD439" s="103">
        <f>(((L440/(L440-1)-1)*(1-_xlfn.XLOOKUP(K440,'Fevereiro 2023 - Valor Real'!A3:A15,'Fevereiro 2023 - Valor Real'!C3:C15,0))+1))/(((L439-1)*(1-_xlfn.XLOOKUP(K439,'Fevereiro 2023 - Valor Real'!A3:A15,'Fevereiro 2023 - Valor Real'!C3:C15,0))+1)+((L440/(L440-1)-1)*(1-_xlfn.XLOOKUP(K440,'Fevereiro 2023 - Valor Real'!A3:A15,'Fevereiro 2023 - Valor Real'!C3:C15,0))+1))</f>
        <v>0.4861111111111111</v>
      </c>
      <c r="AE439" s="104">
        <f>IF(L439="","",IF(L441&gt;0,(SUM(((L439-1)*(1-_xlfn.XLOOKUP(K439,'Fevereiro 2023 - Valor Real'!A3:A15,'Fevereiro 2023 - Valor Real'!C3:C15,0))+1),((L440-1)*(1-_xlfn.XLOOKUP(K440,'Fevereiro 2023 - Valor Real'!A3:A15,'Fevereiro 2023 - Valor Real'!C3:C15,0))+1),((L441-1)*(1-_xlfn.XLOOKUP(K441,'Fevereiro 2023 - Valor Real'!A3:A15,'Fevereiro 2023 - Valor Real'!C3:C15,0))+1))/((L439-1)*(1-_xlfn.XLOOKUP(K439,'Fevereiro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Real'!C3:C15,0))+1))/((L439-1)*(1-_xlfn.XLOOKUP(K439,'Fevereiro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Real'!C3:C15,0))+1))/((L440-1)*(1-_xlfn.XLOOKUP(K440,'Fevereiro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Real'!C3:C15,0))+1))/((L441-1)*(1-_xlfn.XLOOKUP(K441,'Fevereiro 2023 - Valor Real'!A3:A15,'Fevereiro 2023 - Valor Real'!C3:C15,0))+1)),IF(I439="Lay",IF(I440="Lay",((L440/(L440-1)-1)*(1-_xlfn.XLOOKUP(K440,'Fevereiro 2023 - Valor Real'!A3:A15,'Fevereiro 2023 - Valor Real'!C3:C15,0))+1)/(((L440/(L440-1)-1)*(1-_xlfn.XLOOKUP(K440,'Fevereiro 2023 - Valor Real'!A3:A15,'Fevereiro 2023 - Valor Real'!C3:C15,0))+1)+((L439/(L439-1)-1)*(1-_xlfn.XLOOKUP(K439,'Fevereiro 2023 - Valor Real'!A3:A15,'Fevereiro 2023 - Valor Real'!C3:C15,0))+1)),((L440-1)*(1-_xlfn.XLOOKUP(K440,'Fevereiro 2023 - Valor Real'!A3:A15,'Fevereiro 2023 - Valor Real'!C3:C15,0))+1)/(((L440-1)*(1-_xlfn.XLOOKUP(K440,'Fevereiro 2023 - Valor Real'!A3:A15,'Fevereiro 2023 - Valor Real'!C3:C15,0))+1)+((L439/(L439-1)-1)*(1-_xlfn.XLOOKUP(K439,'Fevereiro 2023 - Valor Real'!A3:A15,'Fevereiro 2023 - Valor Real'!C3:C15,0))+1))),IF(I440="Lay",(((L440/(L440-1)-1)*(1-_xlfn.XLOOKUP(K440,'Fevereiro 2023 - Valor Real'!A3:A15,'Fevereiro 2023 - Valor Real'!C3:C15,0))+1))/(((L439-1)*(1-_xlfn.XLOOKUP(K439,'Fevereiro 2023 - Valor Real'!A3:A15,'Fevereiro 2023 - Valor Real'!C3:C15,0))+1)+((L440/(L440-1)-1)*(1-_xlfn.XLOOKUP(K440,'Fevereiro 2023 - Valor Real'!A3:A15,'Fevereiro 2023 - Valor Real'!C3:C15,0))+1)),((L440-1)*(1-_xlfn.XLOOKUP(K440,'Fevereiro 2023 - Valor Real'!A3:A15,'Fevereiro 2023 - Valor Real'!C3:C15,0))+1)/(((L440-1)*(1-_xlfn.XLOOKUP(K440,'Fevereiro 2023 - Valor Real'!A3:A15,'Fevereiro 2023 - Valor Real'!C3:C15,0))+1)+((L439-1)*(1-_xlfn.XLOOKUP(K439,'Fevereiro 2023 - Valor Real'!A3:A15,'Fevereiro 2023 - Valor Real'!C3:C15,0))+1))))))</f>
        <v>0.70281124497991965</v>
      </c>
      <c r="AF439" s="105">
        <f t="shared" si="870"/>
        <v>0</v>
      </c>
      <c r="AG439" s="106">
        <f t="shared" si="870"/>
        <v>0</v>
      </c>
      <c r="AH439" s="106">
        <f t="shared" si="870"/>
        <v>0</v>
      </c>
      <c r="AI439" s="106">
        <f t="shared" si="870"/>
        <v>0</v>
      </c>
      <c r="AJ439" s="106">
        <f t="shared" si="870"/>
        <v>0</v>
      </c>
      <c r="AK439" s="106">
        <f t="shared" si="870"/>
        <v>0</v>
      </c>
      <c r="AL439" s="106">
        <f t="shared" si="870"/>
        <v>0</v>
      </c>
      <c r="AM439" s="106">
        <f t="shared" si="870"/>
        <v>0</v>
      </c>
      <c r="AN439" s="106">
        <f t="shared" si="870"/>
        <v>0</v>
      </c>
      <c r="AO439" s="106">
        <f t="shared" si="870"/>
        <v>0</v>
      </c>
      <c r="AP439" s="106">
        <f t="shared" si="870"/>
        <v>0</v>
      </c>
      <c r="AQ439" s="106">
        <f t="shared" si="870"/>
        <v>-18.100000000000001</v>
      </c>
      <c r="AR439" s="107">
        <f t="shared" si="870"/>
        <v>0</v>
      </c>
      <c r="AS439" s="105">
        <f t="shared" ref="AS439:BE439" si="878">IF(AND($B439=" ",$K439=AS$3),$O439,0)</f>
        <v>0</v>
      </c>
      <c r="AT439" s="106">
        <f t="shared" si="878"/>
        <v>0</v>
      </c>
      <c r="AU439" s="106">
        <f t="shared" si="878"/>
        <v>0</v>
      </c>
      <c r="AV439" s="106">
        <f t="shared" si="878"/>
        <v>0</v>
      </c>
      <c r="AW439" s="106">
        <f t="shared" si="878"/>
        <v>0</v>
      </c>
      <c r="AX439" s="106">
        <f t="shared" si="878"/>
        <v>0</v>
      </c>
      <c r="AY439" s="108">
        <f t="shared" si="878"/>
        <v>0</v>
      </c>
      <c r="AZ439" s="109">
        <f t="shared" si="878"/>
        <v>0</v>
      </c>
      <c r="BA439" s="109">
        <f t="shared" si="878"/>
        <v>0</v>
      </c>
      <c r="BB439" s="109">
        <f t="shared" si="878"/>
        <v>0</v>
      </c>
      <c r="BC439" s="110">
        <f t="shared" si="878"/>
        <v>0</v>
      </c>
      <c r="BD439" s="106">
        <f t="shared" si="878"/>
        <v>0</v>
      </c>
      <c r="BE439" s="107">
        <f t="shared" si="878"/>
        <v>0</v>
      </c>
      <c r="BF439" s="111">
        <f t="shared" si="872"/>
        <v>0</v>
      </c>
      <c r="BG439" s="106">
        <f t="shared" si="872"/>
        <v>0</v>
      </c>
      <c r="BH439" s="106">
        <f t="shared" si="872"/>
        <v>0</v>
      </c>
      <c r="BI439" s="106">
        <f t="shared" si="872"/>
        <v>0</v>
      </c>
      <c r="BJ439" s="106">
        <f t="shared" si="872"/>
        <v>0</v>
      </c>
      <c r="BK439" s="106">
        <f t="shared" si="872"/>
        <v>0</v>
      </c>
      <c r="BL439" s="106">
        <f t="shared" si="872"/>
        <v>0</v>
      </c>
      <c r="BM439" s="108">
        <f t="shared" si="872"/>
        <v>0</v>
      </c>
      <c r="BN439" s="109">
        <f t="shared" si="872"/>
        <v>0</v>
      </c>
      <c r="BO439" s="109">
        <f t="shared" si="872"/>
        <v>0</v>
      </c>
      <c r="BP439" s="109">
        <f t="shared" si="872"/>
        <v>0</v>
      </c>
      <c r="BQ439" s="110">
        <f t="shared" si="872"/>
        <v>18.100000000000001</v>
      </c>
      <c r="BR439" s="107">
        <f t="shared" si="872"/>
        <v>0</v>
      </c>
      <c r="BS439" s="463">
        <f>IF($B439="LOSS",IF(AND($K439=BS$3,$C439="L"),-$O439,0)+IF(AND($K440=BS$3,$C440="L"),-$O440,0)+IF(AND($K441=BS$3,$C441="L"),-$O441,0),IF(OR(AND($K439=BS$3,OR($C439="W",$C439="1/2W")),AND($K440=BS$3,OR($C440="W",$C440="1/2W")),AND($K441=BS$3,OR($C441="W",$C441="1/2W"))),$S439,0))</f>
        <v>0</v>
      </c>
      <c r="BT439" s="462">
        <f>IF($B439="LOSS",IF(AND($K439=BT$3,$C439="L"),-$O439,0)+IF(AND($K440=BT$3,$C440="L"),-$O440,0)+IF(AND($K440=BT$3,$C441="L"),-$O441,0),IF(OR(AND($K440=BT$3,OR($C439="W",$C439="1/2W")),AND($K440=BT$3,OR($C440="W",$C440="1/2W")),AND($K440=BT$3,OR($C441="W",$C441="1/2W"))),$S439,0))</f>
        <v>1</v>
      </c>
      <c r="BU439" s="462">
        <f>IF($B439="LOSS",IF(AND($K439=BU$3,$C439="L"),-$O439,0)+IF(AND($K440=BU$3,$C440="L"),-$O440,0)+IF(AND($K440=BU$3,$C441="L"),-$O441,0),IF(OR(AND($K440=BU$3,OR($C439="W",$C439="1/2W")),AND($K440=BU$3,OR($C440="W",$C440="1/2W")),AND($K440=BU$3,OR($C441="W",$C441="1/2W"))),$S439,0))</f>
        <v>0</v>
      </c>
      <c r="BV439" s="462">
        <f t="shared" ref="BV439:CE439" si="879">IF($B439="LOSS",IF(AND($K439=BV$3,$C439="L"),-$O439,0)+IF(AND($K440=BV$3,$C440="L"),-$O440,0)+IF(AND($K441=BV$3,$C441="L"),-$O441,0),IF(OR(AND($K439=BV$3,OR($C439="W",$C439="1/2W")),AND($K440=BV$3,OR($C440="W",$C440="1/2W")),AND($K441=BV$3,OR($C441="W",$C441="1/2W"))),$S439,0))</f>
        <v>0</v>
      </c>
      <c r="BW439" s="462">
        <f t="shared" si="879"/>
        <v>0</v>
      </c>
      <c r="BX439" s="462">
        <f t="shared" si="879"/>
        <v>0</v>
      </c>
      <c r="BY439" s="462">
        <f t="shared" si="879"/>
        <v>0</v>
      </c>
      <c r="BZ439" s="460">
        <f t="shared" si="879"/>
        <v>0</v>
      </c>
      <c r="CA439" s="460">
        <f t="shared" si="879"/>
        <v>0</v>
      </c>
      <c r="CB439" s="460">
        <f t="shared" si="879"/>
        <v>0</v>
      </c>
      <c r="CC439" s="460">
        <f t="shared" si="879"/>
        <v>0</v>
      </c>
      <c r="CD439" s="473">
        <f t="shared" si="879"/>
        <v>0</v>
      </c>
      <c r="CE439" s="479">
        <f t="shared" si="879"/>
        <v>0</v>
      </c>
      <c r="CF439" s="113">
        <f t="shared" si="772"/>
        <v>0</v>
      </c>
      <c r="CG439" s="114">
        <f t="shared" si="773"/>
        <v>0</v>
      </c>
      <c r="CH439" s="114">
        <f t="shared" si="774"/>
        <v>0</v>
      </c>
      <c r="CI439" s="114">
        <f t="shared" si="775"/>
        <v>0</v>
      </c>
      <c r="CJ439" s="114">
        <f t="shared" si="776"/>
        <v>0</v>
      </c>
      <c r="CK439" s="114">
        <f t="shared" si="777"/>
        <v>0</v>
      </c>
      <c r="CL439" s="114">
        <f t="shared" si="778"/>
        <v>0</v>
      </c>
      <c r="CM439" s="114">
        <f t="shared" si="779"/>
        <v>0</v>
      </c>
      <c r="CN439" s="114">
        <f t="shared" si="780"/>
        <v>0</v>
      </c>
      <c r="CO439" s="114">
        <f t="shared" si="781"/>
        <v>0</v>
      </c>
      <c r="CP439" s="114">
        <f t="shared" si="782"/>
        <v>0</v>
      </c>
      <c r="CQ439" s="114">
        <f t="shared" si="783"/>
        <v>0</v>
      </c>
      <c r="CR439" s="114">
        <f t="shared" si="784"/>
        <v>0</v>
      </c>
      <c r="CS439" s="114">
        <f t="shared" si="785"/>
        <v>0</v>
      </c>
      <c r="CT439" s="115">
        <f t="shared" si="786"/>
        <v>0</v>
      </c>
      <c r="CU439" s="116">
        <f t="shared" si="787"/>
        <v>0</v>
      </c>
      <c r="CV439" s="116">
        <f t="shared" si="788"/>
        <v>0</v>
      </c>
      <c r="CW439" s="116">
        <f t="shared" si="789"/>
        <v>0</v>
      </c>
      <c r="CX439" s="116">
        <f t="shared" si="790"/>
        <v>0</v>
      </c>
      <c r="CY439" s="116">
        <f t="shared" si="791"/>
        <v>0</v>
      </c>
      <c r="CZ439" s="116">
        <f t="shared" si="792"/>
        <v>0</v>
      </c>
      <c r="DA439" s="116">
        <f t="shared" si="793"/>
        <v>0</v>
      </c>
      <c r="DB439" s="116">
        <f t="shared" si="794"/>
        <v>0</v>
      </c>
      <c r="DC439" s="116">
        <f t="shared" si="795"/>
        <v>1</v>
      </c>
      <c r="DD439" s="116">
        <f t="shared" si="796"/>
        <v>0</v>
      </c>
      <c r="DE439" s="117">
        <f t="shared" si="797"/>
        <v>0</v>
      </c>
      <c r="DF439" s="118">
        <f t="shared" si="799"/>
        <v>30</v>
      </c>
      <c r="DG439" s="106">
        <f t="shared" si="800"/>
        <v>38.739999999999995</v>
      </c>
      <c r="DH439" s="116">
        <f t="shared" si="801"/>
        <v>11</v>
      </c>
      <c r="DI439" s="106">
        <f t="shared" si="802"/>
        <v>45.699999999999996</v>
      </c>
      <c r="DJ439" s="201" t="str">
        <f>IF($D439="","",$D439)</f>
        <v>15</v>
      </c>
      <c r="DK439" s="465">
        <f>IF(AND($B439=" ",$D439&lt;&gt;""),1,0)</f>
        <v>0</v>
      </c>
    </row>
    <row r="440" spans="1:115" ht="14.5" customHeight="1" x14ac:dyDescent="0.2">
      <c r="A440" s="389"/>
      <c r="B440" s="456"/>
      <c r="C440" s="120" t="s">
        <v>54</v>
      </c>
      <c r="D440" s="374"/>
      <c r="E440" s="386"/>
      <c r="F440" s="377"/>
      <c r="G440" s="483"/>
      <c r="H440" s="476"/>
      <c r="I440" s="121" t="s">
        <v>61</v>
      </c>
      <c r="J440" s="179" t="str">
        <f>IF(OR(I439="TO",I439="TU",I439="TO1",I439="TU1",I439="TO2",I439="TU2"),J439,IF(OR(I439="AH1",I439="AH2"),IF(OR(I440="AH1",I440="AH2"),-J439,IF(OR(I440="EH1",I440="EH2"),-J439+0.5,"")),IF(OR(I439="EH1",I439="EH2"),IF(OR(I440="AH1",I440="AH2"),-J439+0.5,IF(OR(I440="EH1",I440="EH2"),-J439+1,"")),IF(AND(OR(I439="DNB1",I439="DNB2"),OR(I440="AH1",I440="AH2")),0,IF(AND(I439="Not ScoreBoth",OR(I440="TO1",I440="TO2")),0.5,"")))))</f>
        <v/>
      </c>
      <c r="K440" s="123" t="s">
        <v>37</v>
      </c>
      <c r="L440" s="124">
        <v>3.5</v>
      </c>
      <c r="M440" s="125">
        <v>7.64</v>
      </c>
      <c r="N440" s="406"/>
      <c r="O440" s="126">
        <f>IF(OR(AE439="",AE440=""),"",ROUND(IF(L441&gt;0,IF(M440&gt;0,M440,IF(M439&gt;0,IF(N439=TRUE,ROUND((M439*AE440)/AE439,0),(M439*AE440)/AE439),IF(M440&gt;0,ROUND(M440,IF(N439=0,2,IF(N439=0.1,1,0))),IF(M441&gt;0,ROUND(O441*AE440/AE441,IF(N439=0,2,IF(N439=0.1,1,0))),0)))),IF(M440&gt;0,M440,ROUND((M439*AE440)/AE439,IF(N439=0,2,IF(N439=0.1,1,0))))),2))</f>
        <v>7.64</v>
      </c>
      <c r="P440" s="127">
        <f>IF(OR(L440="",O440=""),"",IF($C440="1/2W",O440/2+O440/2*L440,IF($C440="1/2L",O440/2,IF(I440="Lay",((O440*(L440/(L440-1)))-O440)*(1-_xlfn.XLOOKUP(K440,'Fevereiro 2023 - Valor Real'!A3:A15,'Fevereiro 2023 - Valor Real'!C3:C15,0))+O440,(O440*L440-O440)*(1-_xlfn.XLOOKUP(K440,'Fevereiro 2023 - Valor Real'!A3:A15,'Fevereiro 2023 - Valor Real'!C3:C15,0))+O440))))</f>
        <v>26.74</v>
      </c>
      <c r="Q440" s="128">
        <f>IF(K440="","",IF(_xlfn.XLOOKUP(K440,K$4:K439,$DJ$4:DJ439,0,,-1)=DJ440,_xlfn.XLOOKUP(K440,K$4:K439,Q$4:Q439,1,,-1)+1,1))</f>
        <v>2</v>
      </c>
      <c r="R440" s="129">
        <f>IF(K440="","",_xlfn.XLOOKUP(K440,K$4:K439,R$4:R439,0,,-1)+IF($C440=" ",1,0))</f>
        <v>0</v>
      </c>
      <c r="S440" s="403"/>
      <c r="T440" s="380"/>
      <c r="U440" s="380"/>
      <c r="V440" s="481"/>
      <c r="W440" s="380"/>
      <c r="X440" s="452"/>
      <c r="Y440" s="383"/>
      <c r="Z440" s="384"/>
      <c r="AA440" s="384"/>
      <c r="AB440" s="384"/>
      <c r="AC440" s="384"/>
      <c r="AD440" s="130">
        <f>(((L440/(L440-1)-1)*(1-_xlfn.XLOOKUP(K440,'Fevereiro 2023 - Valor Real'!A3:A15,'Fevereiro 2023 - Valor Real'!C3:C15,0))+1))</f>
        <v>1.4</v>
      </c>
      <c r="AE440" s="131">
        <f>IF(L440="","",IF(L441&gt;0,(SUM(((L439-1)*(1-_xlfn.XLOOKUP(K439,'Fevereiro 2023 - Valor Real'!A3:A15,'Fevereiro 2023 - Valor Real'!C3:C15,0))+1),((L440-1)*(1-_xlfn.XLOOKUP(K440,'Fevereiro 2023 - Valor Real'!A3:A15,'Fevereiro 2023 - Valor Real'!C3:C15,0))+1),((L441-1)*(1-_xlfn.XLOOKUP(K441,'Fevereiro 2023 - Valor Real'!A3:A15,'Fevereiro 2023 - Valor Real'!C3:C15,0))+1))/((L440-1)*(1-_xlfn.XLOOKUP(K440,'Fevereiro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Real'!C3:C15,0))+1))/((L439-1)*(1-_xlfn.XLOOKUP(K439,'Fevereiro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Real'!C3:C15,0))+1))/((L440-1)*(1-_xlfn.XLOOKUP(K440,'Fevereiro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Real'!C3:C15,0))+1))/((L441-1)*(1-_xlfn.XLOOKUP(K441,'Fevereiro 2023 - Valor Real'!A3:A15,'Fevereiro 2023 - Valor Real'!C3:C15,0))+1)),IF(I440="Lay",IF(I439="Lay",((L439/(L439-1)-1)*(1-_xlfn.XLOOKUP(K439,'Fevereiro 2023 - Valor Real'!A3:A15,'Fevereiro 2023 - Valor Real'!C3:C15,0))+1)/(((L439/(L439-1)-1)*(1-_xlfn.XLOOKUP(K439,'Fevereiro 2023 - Valor Real'!A3:A15,'Fevereiro 2023 - Valor Real'!C3:C15,0))+1)+((L440/(L440-1)-1)*(1-_xlfn.XLOOKUP(K440,'Fevereiro 2023 - Valor Real'!A3:A15,'Fevereiro 2023 - Valor Real'!C3:C15,0))+1)),((L439-1)*(1-_xlfn.XLOOKUP(K439,'Fevereiro 2023 - Valor Real'!A3:A15,'Fevereiro 2023 - Valor Real'!C3:C15,0))+1)/(((L439-1)*(1-_xlfn.XLOOKUP(K439,'Fevereiro 2023 - Valor Real'!A3:A15,'Fevereiro 2023 - Valor Real'!C3:C15,0))+1)+((L440/(L440-1)-1)*(1-_xlfn.XLOOKUP(K440,'Fevereiro 2023 - Valor Real'!A3:A15,'Fevereiro 2023 - Valor Real'!C3:C15,0))+1))),IF(I439="Lay",((L439/(L439-1)-1)*(1-_xlfn.XLOOKUP(K439,'Fevereiro 2023 - Valor Real'!A3:A15,'Fevereiro 2023 - Valor Real'!C3:C15,0))+1)/((((L439/(L439-1)-1)*(1-_xlfn.XLOOKUP(K439,'Fevereiro 2023 - Valor Real'!A3:A15,'Fevereiro 2023 - Valor Real'!C3:C15,0))+1))+((L440-1)*(1-_xlfn.XLOOKUP(K440,'Fevereiro 2023 - Valor Real'!A3:A15,'Fevereiro 2023 - Valor Real'!C3:C15,0))+1)),((L439-1)*(1-_xlfn.XLOOKUP(K439,'Fevereiro 2023 - Valor Real'!A3:A15,'Fevereiro 2023 - Valor Real'!C3:C15,0))+1)/(((L439-1)*(1-_xlfn.XLOOKUP(K439,'Fevereiro 2023 - Valor Real'!A3:A15,'Fevereiro 2023 - Valor Real'!C3:C15,0))+1)+((L440-1)*(1-_xlfn.XLOOKUP(K440,'Fevereiro 2023 - Valor Real'!A3:A15,'Fevereiro 2023 - Valor Real'!C3:C15,0))+1))))))</f>
        <v>0.2971887550200803</v>
      </c>
      <c r="AF440" s="105">
        <f t="shared" si="870"/>
        <v>0</v>
      </c>
      <c r="AG440" s="106">
        <f t="shared" si="870"/>
        <v>19.100000000000001</v>
      </c>
      <c r="AH440" s="106">
        <f t="shared" si="870"/>
        <v>0</v>
      </c>
      <c r="AI440" s="106">
        <f t="shared" si="870"/>
        <v>0</v>
      </c>
      <c r="AJ440" s="106">
        <f t="shared" si="870"/>
        <v>0</v>
      </c>
      <c r="AK440" s="106">
        <f t="shared" si="870"/>
        <v>0</v>
      </c>
      <c r="AL440" s="106">
        <f t="shared" si="870"/>
        <v>0</v>
      </c>
      <c r="AM440" s="106">
        <f t="shared" si="870"/>
        <v>0</v>
      </c>
      <c r="AN440" s="106">
        <f t="shared" si="870"/>
        <v>0</v>
      </c>
      <c r="AO440" s="106">
        <f t="shared" si="870"/>
        <v>0</v>
      </c>
      <c r="AP440" s="106">
        <f t="shared" si="870"/>
        <v>0</v>
      </c>
      <c r="AQ440" s="106">
        <f t="shared" si="870"/>
        <v>0</v>
      </c>
      <c r="AR440" s="107">
        <f t="shared" si="870"/>
        <v>0</v>
      </c>
      <c r="AS440" s="105">
        <f>IF(AND($B439=" ",$K440=AS$3),$O440,0)</f>
        <v>0</v>
      </c>
      <c r="AT440" s="106">
        <f>IF(AND($B439=" ",K440=AT$3),$O440,0)</f>
        <v>0</v>
      </c>
      <c r="AU440" s="106">
        <f t="shared" ref="AU440:BE440" si="880">IF(AND($B439=" ",$K440=AU$3),$O440,0)</f>
        <v>0</v>
      </c>
      <c r="AV440" s="106">
        <f t="shared" si="880"/>
        <v>0</v>
      </c>
      <c r="AW440" s="106">
        <f t="shared" si="880"/>
        <v>0</v>
      </c>
      <c r="AX440" s="106">
        <f t="shared" si="880"/>
        <v>0</v>
      </c>
      <c r="AY440" s="108">
        <f t="shared" si="880"/>
        <v>0</v>
      </c>
      <c r="AZ440" s="109">
        <f t="shared" si="880"/>
        <v>0</v>
      </c>
      <c r="BA440" s="109">
        <f t="shared" si="880"/>
        <v>0</v>
      </c>
      <c r="BB440" s="109">
        <f t="shared" si="880"/>
        <v>0</v>
      </c>
      <c r="BC440" s="110">
        <f t="shared" si="880"/>
        <v>0</v>
      </c>
      <c r="BD440" s="106">
        <f t="shared" si="880"/>
        <v>0</v>
      </c>
      <c r="BE440" s="107">
        <f t="shared" si="880"/>
        <v>0</v>
      </c>
      <c r="BF440" s="105">
        <f t="shared" si="872"/>
        <v>0</v>
      </c>
      <c r="BG440" s="106">
        <f t="shared" si="872"/>
        <v>7.64</v>
      </c>
      <c r="BH440" s="106">
        <f t="shared" si="872"/>
        <v>0</v>
      </c>
      <c r="BI440" s="106">
        <f t="shared" si="872"/>
        <v>0</v>
      </c>
      <c r="BJ440" s="106">
        <f t="shared" si="872"/>
        <v>0</v>
      </c>
      <c r="BK440" s="106">
        <f t="shared" si="872"/>
        <v>0</v>
      </c>
      <c r="BL440" s="106">
        <f t="shared" si="872"/>
        <v>0</v>
      </c>
      <c r="BM440" s="132">
        <f t="shared" si="872"/>
        <v>0</v>
      </c>
      <c r="BN440" s="112">
        <f t="shared" si="872"/>
        <v>0</v>
      </c>
      <c r="BO440" s="112">
        <f t="shared" si="872"/>
        <v>0</v>
      </c>
      <c r="BP440" s="112">
        <f t="shared" si="872"/>
        <v>0</v>
      </c>
      <c r="BQ440" s="110">
        <f t="shared" si="872"/>
        <v>0</v>
      </c>
      <c r="BR440" s="107">
        <f t="shared" si="872"/>
        <v>0</v>
      </c>
      <c r="BS440" s="464"/>
      <c r="BT440" s="461"/>
      <c r="BU440" s="392"/>
      <c r="BV440" s="461"/>
      <c r="BW440" s="392"/>
      <c r="BX440" s="392"/>
      <c r="BY440" s="392"/>
      <c r="BZ440" s="461"/>
      <c r="CA440" s="392"/>
      <c r="CB440" s="392"/>
      <c r="CC440" s="392"/>
      <c r="CD440" s="401"/>
      <c r="CE440" s="409"/>
      <c r="CF440" s="133">
        <f t="shared" si="772"/>
        <v>0</v>
      </c>
      <c r="CG440" s="134">
        <f t="shared" si="773"/>
        <v>0</v>
      </c>
      <c r="CH440" s="134">
        <f t="shared" si="774"/>
        <v>1</v>
      </c>
      <c r="CI440" s="134">
        <f t="shared" si="775"/>
        <v>0</v>
      </c>
      <c r="CJ440" s="134">
        <f t="shared" si="776"/>
        <v>0</v>
      </c>
      <c r="CK440" s="134">
        <f t="shared" si="777"/>
        <v>0</v>
      </c>
      <c r="CL440" s="134">
        <f t="shared" si="778"/>
        <v>0</v>
      </c>
      <c r="CM440" s="134">
        <f t="shared" si="779"/>
        <v>0</v>
      </c>
      <c r="CN440" s="134">
        <f t="shared" si="780"/>
        <v>0</v>
      </c>
      <c r="CO440" s="134">
        <f t="shared" si="781"/>
        <v>0</v>
      </c>
      <c r="CP440" s="134">
        <f t="shared" si="782"/>
        <v>0</v>
      </c>
      <c r="CQ440" s="134">
        <f t="shared" si="783"/>
        <v>0</v>
      </c>
      <c r="CR440" s="134">
        <f t="shared" si="784"/>
        <v>0</v>
      </c>
      <c r="CS440" s="134">
        <f t="shared" si="785"/>
        <v>0</v>
      </c>
      <c r="CT440" s="115">
        <f t="shared" si="786"/>
        <v>0</v>
      </c>
      <c r="CU440" s="116">
        <f t="shared" si="787"/>
        <v>0</v>
      </c>
      <c r="CV440" s="116">
        <f t="shared" si="788"/>
        <v>0</v>
      </c>
      <c r="CW440" s="116">
        <f t="shared" si="789"/>
        <v>0</v>
      </c>
      <c r="CX440" s="116">
        <f t="shared" si="790"/>
        <v>0</v>
      </c>
      <c r="CY440" s="116">
        <f t="shared" si="791"/>
        <v>0</v>
      </c>
      <c r="CZ440" s="116">
        <f t="shared" si="792"/>
        <v>0</v>
      </c>
      <c r="DA440" s="116">
        <f t="shared" si="793"/>
        <v>0</v>
      </c>
      <c r="DB440" s="116">
        <f t="shared" si="794"/>
        <v>0</v>
      </c>
      <c r="DC440" s="116">
        <f t="shared" si="795"/>
        <v>0</v>
      </c>
      <c r="DD440" s="116">
        <f t="shared" si="796"/>
        <v>0</v>
      </c>
      <c r="DE440" s="117">
        <f t="shared" si="797"/>
        <v>0</v>
      </c>
      <c r="DF440" s="118">
        <f t="shared" si="799"/>
        <v>30</v>
      </c>
      <c r="DG440" s="106">
        <f t="shared" si="800"/>
        <v>38.739999999999995</v>
      </c>
      <c r="DH440" s="116">
        <f t="shared" si="801"/>
        <v>11</v>
      </c>
      <c r="DI440" s="106">
        <f t="shared" si="802"/>
        <v>45.699999999999996</v>
      </c>
      <c r="DJ440" s="201" t="str">
        <f>IF($D439="","",$D439)</f>
        <v>15</v>
      </c>
      <c r="DK440" s="466"/>
    </row>
    <row r="441" spans="1:115" ht="14.5" customHeight="1" x14ac:dyDescent="0.2">
      <c r="A441" s="390"/>
      <c r="B441" s="457"/>
      <c r="C441" s="135" t="s">
        <v>53</v>
      </c>
      <c r="D441" s="375"/>
      <c r="E441" s="387"/>
      <c r="F441" s="378"/>
      <c r="G441" s="484"/>
      <c r="H441" s="477"/>
      <c r="I441" s="136"/>
      <c r="J441" s="137"/>
      <c r="K441" s="138"/>
      <c r="L441" s="139"/>
      <c r="M441" s="140"/>
      <c r="N441" s="407"/>
      <c r="O441" s="141" t="str">
        <f>IF(OR(AE439="",AE440=""),"",IF(L441&gt;0,ROUND(IF(M441&gt;0,M441,IF(M439&gt;0,ROUND((M439*AE441)/AE439,IF(N439=0,2,IF(N439=0.1,1,0))),IF(M440&gt;0,ROUND((M440*AE441)/AE440,IF(N439=0,2,IF(N439=0.1,1,0))),IF(M441&gt;0,M441,0)))),2),""))</f>
        <v/>
      </c>
      <c r="P441" s="142" t="str">
        <f>IF(I440="Lay",O440*(L440/(L440-1))-O440,IF(I439="Lay",O439*(L439/(L439-1))-O439,IF(OR(L441="",O441=""),"",IF($C441="1/2W",O441/2+O441/2*L441,IF($C441="1/2L",O441/2,(O441*L441-O441)*(1-_xlfn.XLOOKUP(K441,'Fevereiro 2023 - Valor Real'!A3:A15,'Fevereiro 2023 - Valor Real'!C3:C15,0))+O441)))))</f>
        <v/>
      </c>
      <c r="Q441" s="143" t="str">
        <f>IF(K441="","",IF(_xlfn.XLOOKUP(K441,K$4:K440,$DJ$4:DJ440,0,,-1)=DJ441,_xlfn.XLOOKUP(K441,K$4:K440,Q$4:Q440,1,,-1)+1,1))</f>
        <v/>
      </c>
      <c r="R441" s="144" t="str">
        <f>IF(K441="","",_xlfn.XLOOKUP(K441,K$4:K440,R$4:R440,0,,-1)+IF($C441=" ",1,0))</f>
        <v/>
      </c>
      <c r="S441" s="404"/>
      <c r="T441" s="378"/>
      <c r="U441" s="378"/>
      <c r="V441" s="404"/>
      <c r="W441" s="378"/>
      <c r="X441" s="453"/>
      <c r="Y441" s="383"/>
      <c r="Z441" s="384"/>
      <c r="AA441" s="384"/>
      <c r="AB441" s="384"/>
      <c r="AC441" s="384"/>
      <c r="AD441" s="145">
        <f>((L440/(L440-1)-1))</f>
        <v>0.39999999999999991</v>
      </c>
      <c r="AE441" s="146" t="str">
        <f>IF(L441="","",(SUM(((L439-1)*(1-_xlfn.XLOOKUP(K439,'Fevereiro 2023 - Valor Real'!A3:A15,'Fevereiro 2023 - Valor Real'!C3:C15,0))+1),((L440-1)*(1-_xlfn.XLOOKUP(K440,'Fevereiro 2023 - Valor Real'!A3:A15,'Fevereiro 2023 - Valor Real'!C3:C15,0))+1),((L441-1)*(1-_xlfn.XLOOKUP(K441,'Fevereiro 2023 - Valor Real'!A3:A15,'Fevereiro 2023 - Valor Real'!C3:C15,0))+1))/((L441-1)*(1-_xlfn.XLOOKUP(K441,'Fevereiro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Real'!C3:C15,0))+1))/((L439-1)*(1-_xlfn.XLOOKUP(K439,'Fevereiro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Real'!C3:C15,0))+1))/((L440-1)*(1-_xlfn.XLOOKUP(K440,'Fevereiro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Real'!C3:C15,0))+1))/((L441-1)*(1-_xlfn.XLOOKUP(K441,'Fevereiro 2023 - Valor Real'!A3:A15,'Fevereiro 2023 - Valor Real'!C3:C15,0))+1)))</f>
        <v/>
      </c>
      <c r="AF441" s="105">
        <f t="shared" si="870"/>
        <v>0</v>
      </c>
      <c r="AG441" s="106">
        <f t="shared" si="870"/>
        <v>0</v>
      </c>
      <c r="AH441" s="106">
        <f t="shared" si="870"/>
        <v>0</v>
      </c>
      <c r="AI441" s="106">
        <f t="shared" si="870"/>
        <v>0</v>
      </c>
      <c r="AJ441" s="106">
        <f t="shared" si="870"/>
        <v>0</v>
      </c>
      <c r="AK441" s="106">
        <f t="shared" si="870"/>
        <v>0</v>
      </c>
      <c r="AL441" s="106">
        <f t="shared" si="870"/>
        <v>0</v>
      </c>
      <c r="AM441" s="106">
        <f t="shared" si="870"/>
        <v>0</v>
      </c>
      <c r="AN441" s="106">
        <f t="shared" si="870"/>
        <v>0</v>
      </c>
      <c r="AO441" s="106">
        <f t="shared" si="870"/>
        <v>0</v>
      </c>
      <c r="AP441" s="106">
        <f t="shared" si="870"/>
        <v>0</v>
      </c>
      <c r="AQ441" s="106">
        <f t="shared" si="870"/>
        <v>0</v>
      </c>
      <c r="AR441" s="107">
        <f t="shared" si="870"/>
        <v>0</v>
      </c>
      <c r="AS441" s="105">
        <f>IF(AND($B439=" ",$K441=AS$3),$O441,0)</f>
        <v>0</v>
      </c>
      <c r="AT441" s="106">
        <f>IF(AND($B439=" ",K441=AT$3),$O441,0)</f>
        <v>0</v>
      </c>
      <c r="AU441" s="106">
        <f t="shared" ref="AU441:BE441" si="881">IF(AND($B439=" ",$K441=AU$3),$O441,0)</f>
        <v>0</v>
      </c>
      <c r="AV441" s="106">
        <f t="shared" si="881"/>
        <v>0</v>
      </c>
      <c r="AW441" s="106">
        <f t="shared" si="881"/>
        <v>0</v>
      </c>
      <c r="AX441" s="106">
        <f t="shared" si="881"/>
        <v>0</v>
      </c>
      <c r="AY441" s="108">
        <f t="shared" si="881"/>
        <v>0</v>
      </c>
      <c r="AZ441" s="109">
        <f t="shared" si="881"/>
        <v>0</v>
      </c>
      <c r="BA441" s="109">
        <f t="shared" si="881"/>
        <v>0</v>
      </c>
      <c r="BB441" s="109">
        <f t="shared" si="881"/>
        <v>0</v>
      </c>
      <c r="BC441" s="110">
        <f t="shared" si="881"/>
        <v>0</v>
      </c>
      <c r="BD441" s="106">
        <f t="shared" si="881"/>
        <v>0</v>
      </c>
      <c r="BE441" s="107">
        <f t="shared" si="881"/>
        <v>0</v>
      </c>
      <c r="BF441" s="105">
        <f t="shared" si="872"/>
        <v>0</v>
      </c>
      <c r="BG441" s="106">
        <f t="shared" si="872"/>
        <v>0</v>
      </c>
      <c r="BH441" s="106">
        <f t="shared" si="872"/>
        <v>0</v>
      </c>
      <c r="BI441" s="106">
        <f t="shared" si="872"/>
        <v>0</v>
      </c>
      <c r="BJ441" s="106">
        <f t="shared" si="872"/>
        <v>0</v>
      </c>
      <c r="BK441" s="106">
        <f t="shared" si="872"/>
        <v>0</v>
      </c>
      <c r="BL441" s="106">
        <f t="shared" si="872"/>
        <v>0</v>
      </c>
      <c r="BM441" s="108">
        <f t="shared" si="872"/>
        <v>0</v>
      </c>
      <c r="BN441" s="109">
        <f t="shared" si="872"/>
        <v>0</v>
      </c>
      <c r="BO441" s="109">
        <f t="shared" si="872"/>
        <v>0</v>
      </c>
      <c r="BP441" s="109">
        <f t="shared" si="872"/>
        <v>0</v>
      </c>
      <c r="BQ441" s="110">
        <f t="shared" si="872"/>
        <v>0</v>
      </c>
      <c r="BR441" s="107">
        <f t="shared" si="872"/>
        <v>0</v>
      </c>
      <c r="BS441" s="464"/>
      <c r="BT441" s="461"/>
      <c r="BU441" s="392"/>
      <c r="BV441" s="461"/>
      <c r="BW441" s="392"/>
      <c r="BX441" s="392"/>
      <c r="BY441" s="392"/>
      <c r="BZ441" s="461"/>
      <c r="CA441" s="392"/>
      <c r="CB441" s="392"/>
      <c r="CC441" s="392"/>
      <c r="CD441" s="401"/>
      <c r="CE441" s="409"/>
      <c r="CF441" s="133">
        <f t="shared" si="772"/>
        <v>0</v>
      </c>
      <c r="CG441" s="134">
        <f t="shared" si="773"/>
        <v>0</v>
      </c>
      <c r="CH441" s="134">
        <f t="shared" si="774"/>
        <v>0</v>
      </c>
      <c r="CI441" s="134">
        <f t="shared" si="775"/>
        <v>0</v>
      </c>
      <c r="CJ441" s="134">
        <f t="shared" si="776"/>
        <v>0</v>
      </c>
      <c r="CK441" s="134">
        <f t="shared" si="777"/>
        <v>0</v>
      </c>
      <c r="CL441" s="134">
        <f t="shared" si="778"/>
        <v>0</v>
      </c>
      <c r="CM441" s="134">
        <f t="shared" si="779"/>
        <v>0</v>
      </c>
      <c r="CN441" s="134">
        <f t="shared" si="780"/>
        <v>0</v>
      </c>
      <c r="CO441" s="134">
        <f t="shared" si="781"/>
        <v>0</v>
      </c>
      <c r="CP441" s="134">
        <f t="shared" si="782"/>
        <v>0</v>
      </c>
      <c r="CQ441" s="134">
        <f t="shared" si="783"/>
        <v>0</v>
      </c>
      <c r="CR441" s="134">
        <f t="shared" si="784"/>
        <v>0</v>
      </c>
      <c r="CS441" s="134">
        <f t="shared" si="785"/>
        <v>0</v>
      </c>
      <c r="CT441" s="115">
        <f t="shared" si="786"/>
        <v>0</v>
      </c>
      <c r="CU441" s="116">
        <f t="shared" si="787"/>
        <v>0</v>
      </c>
      <c r="CV441" s="116">
        <f t="shared" si="788"/>
        <v>0</v>
      </c>
      <c r="CW441" s="116">
        <f t="shared" si="789"/>
        <v>0</v>
      </c>
      <c r="CX441" s="116">
        <f t="shared" si="790"/>
        <v>0</v>
      </c>
      <c r="CY441" s="116">
        <f t="shared" si="791"/>
        <v>0</v>
      </c>
      <c r="CZ441" s="116">
        <f t="shared" si="792"/>
        <v>0</v>
      </c>
      <c r="DA441" s="116">
        <f t="shared" si="793"/>
        <v>0</v>
      </c>
      <c r="DB441" s="116">
        <f t="shared" si="794"/>
        <v>0</v>
      </c>
      <c r="DC441" s="116">
        <f t="shared" si="795"/>
        <v>0</v>
      </c>
      <c r="DD441" s="116">
        <f t="shared" si="796"/>
        <v>0</v>
      </c>
      <c r="DE441" s="117">
        <f t="shared" si="797"/>
        <v>0</v>
      </c>
      <c r="DF441" s="118">
        <f t="shared" si="799"/>
        <v>30</v>
      </c>
      <c r="DG441" s="106">
        <f t="shared" si="800"/>
        <v>38.739999999999995</v>
      </c>
      <c r="DH441" s="116">
        <f t="shared" si="801"/>
        <v>11</v>
      </c>
      <c r="DI441" s="106">
        <f t="shared" si="802"/>
        <v>45.699999999999996</v>
      </c>
      <c r="DJ441" s="201" t="str">
        <f>IF($D439="","",$D439)</f>
        <v>15</v>
      </c>
      <c r="DK441" s="466"/>
    </row>
    <row r="442" spans="1:115" ht="14.5" customHeight="1" x14ac:dyDescent="0.2">
      <c r="A442" s="487">
        <f>$A439+1</f>
        <v>147</v>
      </c>
      <c r="B442" s="506" t="str">
        <f>IF(OR(C442="W",C443="W",C444="W",C442="1/2W",C443="1/2W",C444="1/2W",C442="1/2L",C443="1/2L",C444="1/2L"),"OK",IF(OR(C442="L",C443="L",C444="L"),"LOSS",IF(OR(C442="X",C443="X",C444="X"),"Anulado"," ")))</f>
        <v>OK</v>
      </c>
      <c r="C442" s="147" t="s">
        <v>54</v>
      </c>
      <c r="D442" s="494" t="str">
        <f>IF(G442="","",$D439)</f>
        <v>15</v>
      </c>
      <c r="E442" s="511" t="str">
        <f>IF(G442=""," ","– "&amp;COUNTIF(D$4:D444,$D442))</f>
        <v>– 5</v>
      </c>
      <c r="F442" s="510" t="str">
        <f ca="1">IF(G442="","",IF(OR(AND($C442&lt;&gt;" ",$C443=" "),AND($C443&lt;&gt;" ",$C442=" "),AND(L444&gt;0,OR(AND($C444&lt;&gt;" ",OR($C442=" ",$C443=" ")),AND($C444=" ",OR($C442&lt;&gt;" ",$C443&lt;&gt;" "))))),IF(SUM(F$4:F441)=0,1,LARGE(F$4:F441,1)+1),IF(MONTH(G442)=MONTH(TODAY()),IF(AND(DAY(G442)&lt;DAY(TODAY()),$B442=" "),IF(SUM(F$4:F441)=0,1,LARGE(F$4:F441,1)+1),IF($B442=" ",IF(AND(DAY(G442)=DAY(TODAY()),HOUR(G442)&lt;=HOUR(NOW())+1),IF(AND(HOUR(G442)+2&lt;=HOUR(NOW()),DAY(G442)&lt;=DAY(TODAY()),MINUTE(G442)&lt;=MINUTE(NOW())),IF(SUM(F$4:F441)=0,1,LARGE(F$4:F441,1)+1),IF(OR(MINUTE(G442)&lt;=MINUTE(NOW()),HOUR(G442)&lt;=HOUR(NOW())),"!!!","")),""),"")),"")))</f>
        <v/>
      </c>
      <c r="G442" s="508">
        <v>45000.520833333336</v>
      </c>
      <c r="H442" s="502" t="s">
        <v>186</v>
      </c>
      <c r="I442" s="148">
        <v>1</v>
      </c>
      <c r="J442" s="149"/>
      <c r="K442" s="150" t="s">
        <v>47</v>
      </c>
      <c r="L442" s="151">
        <v>1.85</v>
      </c>
      <c r="M442" s="152">
        <v>92.26</v>
      </c>
      <c r="N442" s="503">
        <v>0</v>
      </c>
      <c r="O442" s="153">
        <f>IF(OR(AE442="",AE443=""),"",ROUND(IF(L444&gt;0,IF(M442&gt;0,M442,IF(M443&gt;0,ROUND((M443*AE442)/AE443,IF(N442=0,2,IF(N442=0.1,1,0))),ROUND((M444*AE442)/AE444,IF(N442=0,2,IF(N442=0.1,1,0))))),IF(M442&gt;0,M442,ROUND((M443*AE442)/AE443,IF(N442=0,2,IF(N442=0.1,1,0))))),2))</f>
        <v>92.26</v>
      </c>
      <c r="P442" s="154">
        <f>IF(OR(L442="",O442=""),"",IF($C442="1/2W",O442/2+O442/2*L442,IF($C442="1/2L",O442/2,IF(I442="Lay",(O442*(L442/(L442-1))-O442)*(1-_xlfn.XLOOKUP(K442,'Fevereiro 2023 - Valor Real'!A3:A15,'Fevereiro 2023 - Valor Real'!C3:C15,0))+O442,(O442*L442-O442)*(1-_xlfn.XLOOKUP(K442,'Fevereiro 2023 - Valor Real'!A3:A15,'Fevereiro 2023 - Valor Real'!C3:C15,0))+O442))))</f>
        <v>170.68100000000001</v>
      </c>
      <c r="Q442" s="155">
        <f>IF(K442="","",IF(_xlfn.XLOOKUP(K442,K$9:K434,$DJ$9:DJ434,0,,-1)=DJ442,_xlfn.XLOOKUP(K442,K$9:K434,Q$9:Q434,1,,-1)+1,1))</f>
        <v>3</v>
      </c>
      <c r="R442" s="156">
        <f>IF(K442="","",_xlfn.XLOOKUP(K442,K$9:K434,R$9:R434,0,,-1)+IF($C442=" ",1,0))</f>
        <v>0</v>
      </c>
      <c r="S442" s="501">
        <f>IF($B442="Anulado",0,ROUND(IF(OR($B442="LOSS",$B442="OK"),IF(OR($C442="W",$C442="1/2W",$C442="1/2L"),P442-O442,IF($C442="L",-O442,0))+IF(OR($C443="W",$C443="1/2W",$C443="1/2L"),P443-O443,IF($C443="L",-O443,0))+IF(OR($C444="W",$C444="1/2W",$C444="1/2L"),P444-O444,IF($C444="L",-O444,0)),IF(AND(OR($C442="W",$C442="1/2W",$C442="1/2L"),C443="W"),P442+P443-SUM(O442:O444)+_xlfn.XLOOKUP("X",C442:C444,O442:O444,0),IF(AND(C442=TRUE,C444="W"),P442+P444-SUM(O442:O444),IF(AND(C443="W",C444="W"),P443+P444-SUM(O442:O444)+_xlfn.XLOOKUP("X",C442:C444,O442:O444,0),IF(L444&gt;0,IF(OR($C442="W",$C442="1/2W",$C442="1/2L"),P442-SUM(O442:O444)+_xlfn.XLOOKUP("X",C442:C444,O442:O444,0),IF(OR($C442="W",$C442="1/2W",$C442="1/2L"),P443-SUM(O442:O444)+_xlfn.XLOOKUP("X",C442:C444,O442:O444,0),IF(OR($C442="W",$C442="1/2W",$C442="1/2L"),P444-SUM(O442:O444)+_xlfn.XLOOKUP("X",C442:C444,O442:O444,0),IF(SUM(P442:P444)/3-SUM(O442:O444)+_xlfn.XLOOKUP("X",C442:C444,O442:O444,0)&gt;0,SUM(P442:P444)/3-SUM(O442:O444)+_xlfn.XLOOKUP("X",C442:C444,O442:O444,0),LARGE(P442:P444,1)-SUM(O442:O444))))),IF(OR($C442="W",$C442="1/2W",$C442="1/2L"),P442-SUM(O442:O443)+_xlfn.XLOOKUP("X",C442:C444,O442:O444,0),IF(OR($C442="W",$C442="1/2W",$C442="1/2L"),P443-SUM(O442:O443)+_xlfn.XLOOKUP("X",C442:C444,O442:O444,0),SUM(P442:P443)/2-SUM(O442:O443)+_xlfn.XLOOKUP("X",C442:C444,O442:O444,0)))))))),2))</f>
        <v>7.01</v>
      </c>
      <c r="T442" s="486">
        <f>IF(S442=0,0,S442/SUM(O442:O444))</f>
        <v>4.2830084926987227E-2</v>
      </c>
      <c r="U442" s="496">
        <f>IF($D442=$D439,IF(OR($B442="LOSS",$B442="OK",$B442="Anulada"),S442,0)+U439,IF(OR($B442="LOSS",$B442="OK",$B442="Anulada"),S442,0))</f>
        <v>18.62</v>
      </c>
      <c r="V442" s="496">
        <f>IF($D442="",0,IF($D442=$D439,IF($B442=" ",IF(I444="",IF(OR(AND(I442="DNB1",I443="DNB2"),AND(OR(I442="DNB1",I442="DNB2"),J443=0),AND(OR(I443="DNB1",I443="DNB2"),J442=0),AND(I442="DNB2",I443="DNB1"),AND(IF(J442=0,(J442+1)/ROUND(J442+1,0),J442/ROUND(J442,0))=1,IF(J443=0,(J443+1)/ROUND(IF(J443="",0,J443)+1,0),IF(J443="",0,J443)/ROUND(IF(J443="",1,J443),0))=1,OR(J442&lt;&gt;""),J443&lt;&gt;"")),0,IF(S442&lt;0,IF(I444="",SMALL(P442:P443,1)-SUM(O442:O443),0),SMALL(P442:P443,1)-SUM(O442:O443))),IF(S442&lt;0,IF(I444="",SMALL(P442:P444,1)-SUM(O442:O444),0),LARGE(P442:P444,1)-SUM(O442:O444))),S442)+V439,IF(I444="",IF(OR(AND(I442="DNB1",I443="DNB2"),AND(OR(I442="DNB1",I442="DNB2"),J443=0),AND(OR(I443="DNB1",I443="DNB2"),J442=0),AND(I442="DNB2",I443="DNB1"),AND(IF(J442=0,(J442+1)/ROUND(J442+1,0),J442/ROUND(J442,0))=1,IF(J443=0,(IF(J443="",0,J443)+1)/ROUND(IF(J443="",0,J443)+1,0),IF(J443="",0,J443)/ROUND(IF(J443="",0,J443)+1,0))=1,OR(J442&lt;&gt;""),J443&lt;&gt;"")),0,IF(S442&lt;0,IF(I444="",SMALL(P442:P443,1)-SUM(O442:O443),0),SMALL(P442:P444,1)-SUM(O442:O444))),IF(S442&lt;0,IF(I444="",SMALL(P442:P444,1)-SUM(O442:O444),0),LARGE(P442:P444,1)-SUM(O442:O444)))))</f>
        <v>18.6066</v>
      </c>
      <c r="W442" s="496">
        <f>IF($D442=$D439,IF(S442&lt;0,IF(I444="",S442,0),S442)+W439,S442)</f>
        <v>18.62</v>
      </c>
      <c r="X442" s="505" t="str">
        <f>IF(OR(SUM(R442:R444)=0,V442=W442),ROUND(IF(W442=0,0,W442/Y442)*100,2)&amp;"%",ROUND(IF(V442=0,0,V442/Y442)*100,2)&amp;"% a "&amp;ROUND(IF(W442=0,0,W442/Y442)*100,2)&amp;"%")</f>
        <v>4,39%</v>
      </c>
      <c r="Y442" s="497">
        <f>IF($D442=$D439,Y439+SUM(O442:O444),SUM(O442:O444))</f>
        <v>424.31000000000006</v>
      </c>
      <c r="Z442" s="496">
        <f>IF($B442=" ",SUM(O442:O444),0)+Z439</f>
        <v>0</v>
      </c>
      <c r="AA442" s="496">
        <f>IF(G442="","",IF($B442="Anulado",LARGE(P442:P444,1)-SUM(O442:O444)+AA439,AA439))</f>
        <v>12.425099999999992</v>
      </c>
      <c r="AB442" s="496">
        <f>IF($D442="","",AB439+S442)</f>
        <v>547.04000000000008</v>
      </c>
      <c r="AC442" s="499">
        <f ca="1">IF($D442="","",IF($B442=" ",IF(DAY(G442)=DAY(TODAY()),1+AC439,0+AC439),0+AC439))</f>
        <v>0</v>
      </c>
      <c r="AD442" s="157">
        <f>(1-_xlfn.XLOOKUP(K440,'Fevereiro 2023 - Valor Real'!A3:A15,'Fevereiro 2023 - Valor Real'!C3:C15,0))+1</f>
        <v>2</v>
      </c>
      <c r="AE442" s="158">
        <f>IF(L442="","",IF(L444&gt;0,(SUM(((L442-1)*(1-_xlfn.XLOOKUP(K442,'Fevereiro 2023 - Valor Real'!A3:A15,'Fevereiro 2023 - Valor Real'!C3:C15,0))+1),((L443-1)*(1-_xlfn.XLOOKUP(K443,'Fevereiro 2023 - Valor Real'!A3:A15,'Fevereiro 2023 - Valor Real'!C3:C15,0))+1),((L444-1)*(1-_xlfn.XLOOKUP(K444,'Fevereiro 2023 - Valor Real'!A3:A15,'Fevereiro 2023 - Valor Real'!C3:C15,0))+1))/((L442-1)*(1-_xlfn.XLOOKUP(K442,'Fevereiro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Real'!C3:C15,0))+1))/((L442-1)*(1-_xlfn.XLOOKUP(K442,'Fevereiro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Real'!C3:C15,0))+1))/((L443-1)*(1-_xlfn.XLOOKUP(K443,'Fevereiro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Real'!C3:C15,0))+1))/((L444-1)*(1-_xlfn.XLOOKUP(K444,'Fevereiro 2023 - Valor Real'!A3:A15,'Fevereiro 2023 - Valor Real'!C3:C15,0))+1)),IF(I442="Lay",IF(I443="Lay",((L443/(L443-1)-1)*(1-_xlfn.XLOOKUP(K443,'Fevereiro 2023 - Valor Real'!A3:A15,'Fevereiro 2023 - Valor Real'!C3:C15,0))+1)/(((L443/(L443-1)-1)*(1-_xlfn.XLOOKUP(K443,'Fevereiro 2023 - Valor Real'!A3:A15,'Fevereiro 2023 - Valor Real'!C3:C15,0))+1)+((L442/(L442-1)-1)*(1-_xlfn.XLOOKUP(K442,'Fevereiro 2023 - Valor Real'!A3:A15,'Fevereiro 2023 - Valor Real'!C3:C15,0))+1)),((L443-1)*(1-_xlfn.XLOOKUP(K443,'Fevereiro 2023 - Valor Real'!A3:A15,'Fevereiro 2023 - Valor Real'!C3:C15,0))+1)/(((L443-1)*(1-_xlfn.XLOOKUP(K443,'Fevereiro 2023 - Valor Real'!A3:A15,'Fevereiro 2023 - Valor Real'!C3:C15,0))+1)+((L442/(L442-1)-1)*(1-_xlfn.XLOOKUP(K442,'Fevereiro 2023 - Valor Real'!A3:A15,'Fevereiro 2023 - Valor Real'!C3:C15,0))+1))),IF(I443="Lay",(((L443/(L443-1)-1)*(1-_xlfn.XLOOKUP(K443,'Fevereiro 2023 - Valor Real'!A3:A15,'Fevereiro 2023 - Valor Real'!C3:C15,0))+1))/(((L442-1)*(1-_xlfn.XLOOKUP(K442,'Fevereiro 2023 - Valor Real'!A3:A15,'Fevereiro 2023 - Valor Real'!C3:C15,0))+1)+((L443/(L443-1)-1)*(1-_xlfn.XLOOKUP(K443,'Fevereiro 2023 - Valor Real'!A3:A15,'Fevereiro 2023 - Valor Real'!C3:C15,0))+1)),((L443-1)*(1-_xlfn.XLOOKUP(K443,'Fevereiro 2023 - Valor Real'!A3:A15,'Fevereiro 2023 - Valor Real'!C3:C15,0))+1)/(((L443-1)*(1-_xlfn.XLOOKUP(K443,'Fevereiro 2023 - Valor Real'!A3:A15,'Fevereiro 2023 - Valor Real'!C3:C15,0))+1)+((L442-1)*(1-_xlfn.XLOOKUP(K442,'Fevereiro 2023 - Valor Real'!A3:A15,'Fevereiro 2023 - Valor Real'!C3:C15,0))+1))))))</f>
        <v>0.56367924528301883</v>
      </c>
      <c r="AF442" s="66">
        <f t="shared" si="870"/>
        <v>0</v>
      </c>
      <c r="AG442" s="67">
        <f t="shared" si="870"/>
        <v>0</v>
      </c>
      <c r="AH442" s="67">
        <f t="shared" si="870"/>
        <v>0</v>
      </c>
      <c r="AI442" s="67">
        <f t="shared" si="870"/>
        <v>0</v>
      </c>
      <c r="AJ442" s="67">
        <f t="shared" si="870"/>
        <v>0</v>
      </c>
      <c r="AK442" s="67">
        <f t="shared" si="870"/>
        <v>0</v>
      </c>
      <c r="AL442" s="67">
        <f t="shared" si="870"/>
        <v>0</v>
      </c>
      <c r="AM442" s="67">
        <f t="shared" si="870"/>
        <v>0</v>
      </c>
      <c r="AN442" s="67">
        <f t="shared" si="870"/>
        <v>0</v>
      </c>
      <c r="AO442" s="67">
        <f t="shared" si="870"/>
        <v>0</v>
      </c>
      <c r="AP442" s="67">
        <f t="shared" si="870"/>
        <v>0</v>
      </c>
      <c r="AQ442" s="67">
        <f t="shared" si="870"/>
        <v>78.42</v>
      </c>
      <c r="AR442" s="68">
        <f t="shared" si="870"/>
        <v>0</v>
      </c>
      <c r="AS442" s="66">
        <f t="shared" ref="AS442:BE442" si="882">IF(AND($B442=" ",$K442=AS$3),$O442,0)</f>
        <v>0</v>
      </c>
      <c r="AT442" s="67">
        <f t="shared" si="882"/>
        <v>0</v>
      </c>
      <c r="AU442" s="67">
        <f t="shared" si="882"/>
        <v>0</v>
      </c>
      <c r="AV442" s="67">
        <f t="shared" si="882"/>
        <v>0</v>
      </c>
      <c r="AW442" s="67">
        <f t="shared" si="882"/>
        <v>0</v>
      </c>
      <c r="AX442" s="67">
        <f t="shared" si="882"/>
        <v>0</v>
      </c>
      <c r="AY442" s="69">
        <f t="shared" si="882"/>
        <v>0</v>
      </c>
      <c r="AZ442" s="70">
        <f t="shared" si="882"/>
        <v>0</v>
      </c>
      <c r="BA442" s="70">
        <f t="shared" si="882"/>
        <v>0</v>
      </c>
      <c r="BB442" s="70">
        <f t="shared" si="882"/>
        <v>0</v>
      </c>
      <c r="BC442" s="71">
        <f t="shared" si="882"/>
        <v>0</v>
      </c>
      <c r="BD442" s="67">
        <f t="shared" si="882"/>
        <v>0</v>
      </c>
      <c r="BE442" s="68">
        <f t="shared" si="882"/>
        <v>0</v>
      </c>
      <c r="BF442" s="66">
        <f t="shared" si="872"/>
        <v>0</v>
      </c>
      <c r="BG442" s="67">
        <f t="shared" si="872"/>
        <v>0</v>
      </c>
      <c r="BH442" s="67">
        <f t="shared" si="872"/>
        <v>0</v>
      </c>
      <c r="BI442" s="67">
        <f t="shared" si="872"/>
        <v>0</v>
      </c>
      <c r="BJ442" s="67">
        <f t="shared" si="872"/>
        <v>0</v>
      </c>
      <c r="BK442" s="67">
        <f t="shared" si="872"/>
        <v>0</v>
      </c>
      <c r="BL442" s="67">
        <f t="shared" si="872"/>
        <v>0</v>
      </c>
      <c r="BM442" s="69">
        <f t="shared" si="872"/>
        <v>0</v>
      </c>
      <c r="BN442" s="70">
        <f t="shared" si="872"/>
        <v>0</v>
      </c>
      <c r="BO442" s="70">
        <f t="shared" si="872"/>
        <v>0</v>
      </c>
      <c r="BP442" s="70">
        <f t="shared" si="872"/>
        <v>0</v>
      </c>
      <c r="BQ442" s="71">
        <f t="shared" si="872"/>
        <v>92.26</v>
      </c>
      <c r="BR442" s="68">
        <f t="shared" si="872"/>
        <v>0</v>
      </c>
      <c r="BS442" s="490">
        <f>IF($B442="LOSS",IF(AND($K442=BS$3,$C442="L"),-$O442,0)+IF(AND($K443=BS$3,$C443="L"),-$O443,0)+IF(AND($K444=BS$3,$C444="L"),-$O444,0),IF(OR(AND($K442=BS$3,OR($C442="W",$C442="1/2W")),AND($K443=BS$3,OR($C443="W",$C443="1/2W")),AND($K444=BS$3,OR($C444="W",$C444="1/2W"))),$S442,0))</f>
        <v>0</v>
      </c>
      <c r="BT442" s="498">
        <f>IF($B442="LOSS",IF(AND($K442=BT$3,$C442="L"),-$O442,0)+IF(AND($K443=BT$3,$C443="L"),-$O443,0)+IF(AND($K443=BT$3,$C444="L"),-$O444,0),IF(OR(AND($K443=BT$3,OR($C442="W",$C442="1/2W")),AND($K443=BT$3,OR($C443="W",$C443="1/2W")),AND($K443=BT$3,OR($C444="W",$C444="1/2W"))),$S442,0))</f>
        <v>0</v>
      </c>
      <c r="BU442" s="488">
        <f>IF($B442="LOSS",IF(AND($K442=BU$3,$C442="L"),-$O442,0)+IF(AND($K443=BU$3,$C443="L"),-$O443,0)+IF(AND($K443=BU$3,$C444="L"),-$O444,0),IF(OR(AND($K443=BU$3,OR($C442="W",$C442="1/2W")),AND($K443=BU$3,OR($C443="W",$C443="1/2W")),AND($K443=BU$3,OR($C444="W",$C444="1/2W"))),$S442,0))</f>
        <v>0</v>
      </c>
      <c r="BV442" s="488">
        <f t="shared" ref="BV442:CE442" si="883">IF($B442="LOSS",IF(AND($K442=BV$3,$C442="L"),-$O442,0)+IF(AND($K443=BV$3,$C443="L"),-$O443,0)+IF(AND($K444=BV$3,$C444="L"),-$O444,0),IF(OR(AND($K442=BV$3,OR($C442="W",$C442="1/2W")),AND($K443=BV$3,OR($C443="W",$C443="1/2W")),AND($K444=BV$3,OR($C444="W",$C444="1/2W"))),$S442,0))</f>
        <v>0</v>
      </c>
      <c r="BW442" s="488">
        <f t="shared" si="883"/>
        <v>0</v>
      </c>
      <c r="BX442" s="488">
        <f t="shared" si="883"/>
        <v>0</v>
      </c>
      <c r="BY442" s="488">
        <f t="shared" si="883"/>
        <v>0</v>
      </c>
      <c r="BZ442" s="488">
        <f t="shared" si="883"/>
        <v>0</v>
      </c>
      <c r="CA442" s="488">
        <f t="shared" si="883"/>
        <v>0</v>
      </c>
      <c r="CB442" s="488">
        <f t="shared" si="883"/>
        <v>0</v>
      </c>
      <c r="CC442" s="488">
        <f t="shared" si="883"/>
        <v>0</v>
      </c>
      <c r="CD442" s="500">
        <f t="shared" si="883"/>
        <v>7.01</v>
      </c>
      <c r="CE442" s="504">
        <f t="shared" si="883"/>
        <v>0</v>
      </c>
      <c r="CF442" s="160">
        <f t="shared" si="772"/>
        <v>0</v>
      </c>
      <c r="CG442" s="161">
        <f t="shared" si="773"/>
        <v>0</v>
      </c>
      <c r="CH442" s="161">
        <f t="shared" si="774"/>
        <v>0</v>
      </c>
      <c r="CI442" s="161">
        <f t="shared" si="775"/>
        <v>0</v>
      </c>
      <c r="CJ442" s="161">
        <f t="shared" si="776"/>
        <v>0</v>
      </c>
      <c r="CK442" s="161">
        <f t="shared" si="777"/>
        <v>0</v>
      </c>
      <c r="CL442" s="161">
        <f t="shared" si="778"/>
        <v>0</v>
      </c>
      <c r="CM442" s="161">
        <f t="shared" si="779"/>
        <v>0</v>
      </c>
      <c r="CN442" s="161">
        <f t="shared" si="780"/>
        <v>0</v>
      </c>
      <c r="CO442" s="161">
        <f t="shared" si="781"/>
        <v>0</v>
      </c>
      <c r="CP442" s="161">
        <f t="shared" si="782"/>
        <v>0</v>
      </c>
      <c r="CQ442" s="161">
        <f t="shared" si="783"/>
        <v>0</v>
      </c>
      <c r="CR442" s="161">
        <f t="shared" si="784"/>
        <v>0</v>
      </c>
      <c r="CS442" s="161">
        <f t="shared" si="785"/>
        <v>0</v>
      </c>
      <c r="CT442" s="75">
        <f t="shared" si="786"/>
        <v>0</v>
      </c>
      <c r="CU442" s="76">
        <f t="shared" si="787"/>
        <v>0</v>
      </c>
      <c r="CV442" s="76">
        <f t="shared" si="788"/>
        <v>0</v>
      </c>
      <c r="CW442" s="76">
        <f t="shared" si="789"/>
        <v>0</v>
      </c>
      <c r="CX442" s="76">
        <f t="shared" si="790"/>
        <v>0</v>
      </c>
      <c r="CY442" s="76">
        <f t="shared" si="791"/>
        <v>0</v>
      </c>
      <c r="CZ442" s="76">
        <f t="shared" si="792"/>
        <v>0</v>
      </c>
      <c r="DA442" s="76">
        <f t="shared" si="793"/>
        <v>0</v>
      </c>
      <c r="DB442" s="76">
        <f t="shared" si="794"/>
        <v>1</v>
      </c>
      <c r="DC442" s="76">
        <f t="shared" si="795"/>
        <v>0</v>
      </c>
      <c r="DD442" s="76">
        <f t="shared" si="796"/>
        <v>0</v>
      </c>
      <c r="DE442" s="77">
        <f t="shared" si="797"/>
        <v>0</v>
      </c>
      <c r="DF442" s="73">
        <f t="shared" si="799"/>
        <v>30</v>
      </c>
      <c r="DG442" s="67">
        <f t="shared" si="800"/>
        <v>38.739999999999995</v>
      </c>
      <c r="DH442" s="76">
        <f t="shared" si="801"/>
        <v>11</v>
      </c>
      <c r="DI442" s="67">
        <f t="shared" si="802"/>
        <v>45.699999999999996</v>
      </c>
      <c r="DJ442" s="202" t="str">
        <f>IF($D442="","",$D442)</f>
        <v>15</v>
      </c>
      <c r="DK442" s="492">
        <f>IF(AND($B442=" ",$D442&lt;&gt;""),1,0)</f>
        <v>0</v>
      </c>
    </row>
    <row r="443" spans="1:115" ht="14.5" customHeight="1" x14ac:dyDescent="0.2">
      <c r="A443" s="389"/>
      <c r="B443" s="456"/>
      <c r="C443" s="53" t="s">
        <v>55</v>
      </c>
      <c r="D443" s="374"/>
      <c r="E443" s="386"/>
      <c r="F443" s="377"/>
      <c r="G443" s="508"/>
      <c r="H443" s="476"/>
      <c r="I443" s="162">
        <v>2</v>
      </c>
      <c r="J443" s="163" t="str">
        <f>IF(OR(I442="TO",I442="TU",I442="TO1",I442="TU1",I442="TO2",I442="TU2"),J442,IF(OR(I442="AH1",I442="AH2"),IF(OR(I443="AH1",I443="AH2"),-J442,IF(OR(I443="EH1",I443="EH2"),-J442+0.5,"")),IF(OR(I442="EH1",I442="EH2"),IF(OR(I443="AH1",I443="AH2"),-J442+0.5,IF(OR(I443="EH1",I443="EH2"),-J442+1,"")),IF(AND(OR(I442="DNB1",I442="DNB2"),OR(I443="AH1",I443="AH2")),0,IF(AND(I442="Not ScoreBoth",OR(I443="TO1",I443="TO2")),0.5,"")))))</f>
        <v/>
      </c>
      <c r="K443" s="57" t="s">
        <v>43</v>
      </c>
      <c r="L443" s="164">
        <v>2.39</v>
      </c>
      <c r="M443" s="165"/>
      <c r="N443" s="406"/>
      <c r="O443" s="60">
        <f>IF(OR(AE442="",AE443=""),"",ROUND(IF(L444&gt;0,IF(M443&gt;0,M443,IF(M442&gt;0,IF(N442=TRUE,ROUND((M442*AE443)/AE442,0),(M442*AE443)/AE442),IF(M443&gt;0,ROUND(M443,IF(N442=0,2,IF(N442=0.1,1,0))),IF(M444&gt;0,ROUND(O444*AE443/AE444,IF(N442=0,2,IF(N442=0.1,1,0))),0)))),IF(M443&gt;0,M443,ROUND((M442*AE443)/AE442,IF(N442=0,2,IF(N442=0.1,1,0))))),2))</f>
        <v>71.41</v>
      </c>
      <c r="P443" s="61">
        <f>IF(OR(L443="",O443=""),"",IF($C443="1/2W",O443/2+O443/2*L443,IF($C443="1/2L",O443/2,IF(I443="Lay",((O443*(L443/(L443-1)))-O443)*(1-_xlfn.XLOOKUP(K443,'Fevereiro 2023 - Valor Real'!A3:A15,'Fevereiro 2023 - Valor Real'!C3:C15,0))+O443,(O443*L443-O443)*(1-_xlfn.XLOOKUP(K443,'Fevereiro 2023 - Valor Real'!A3:A15,'Fevereiro 2023 - Valor Real'!C3:C15,0))+O443))))</f>
        <v>170.66990000000001</v>
      </c>
      <c r="Q443" s="166">
        <f>IF(K443="","",IF(_xlfn.XLOOKUP(K443,K$10:K434,$DJ$10:DJ434,0,,-1)=DJ443,_xlfn.XLOOKUP(K443,K$10:K434,Q$10:Q434,1,,-1)+1,1))</f>
        <v>2</v>
      </c>
      <c r="R443" s="167">
        <f>IF(K443="","",_xlfn.XLOOKUP(K443,K$10:K434,R$10:R434,0,,-1)+IF($C443=" ",1,0))</f>
        <v>0</v>
      </c>
      <c r="S443" s="403"/>
      <c r="T443" s="380"/>
      <c r="U443" s="380"/>
      <c r="V443" s="481"/>
      <c r="W443" s="380"/>
      <c r="X443" s="452"/>
      <c r="Y443" s="383"/>
      <c r="Z443" s="384"/>
      <c r="AA443" s="384"/>
      <c r="AB443" s="384"/>
      <c r="AC443" s="384"/>
      <c r="AD443" s="64"/>
      <c r="AE443" s="65">
        <f>IF(L443="","",IF(L444&gt;0,(SUM(((L442-1)*(1-_xlfn.XLOOKUP(K442,'Fevereiro 2023 - Valor Real'!A3:A15,'Fevereiro 2023 - Valor Real'!C3:C15,0))+1),((L443-1)*(1-_xlfn.XLOOKUP(K443,'Fevereiro 2023 - Valor Real'!A3:A15,'Fevereiro 2023 - Valor Real'!C3:C15,0))+1),((L444-1)*(1-_xlfn.XLOOKUP(K444,'Fevereiro 2023 - Valor Real'!A3:A15,'Fevereiro 2023 - Valor Real'!C3:C15,0))+1))/((L443-1)*(1-_xlfn.XLOOKUP(K443,'Fevereiro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Real'!C3:C15,0))+1))/((L442-1)*(1-_xlfn.XLOOKUP(K442,'Fevereiro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Real'!C3:C15,0))+1))/((L443-1)*(1-_xlfn.XLOOKUP(K443,'Fevereiro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Real'!C3:C15,0))+1))/((L444-1)*(1-_xlfn.XLOOKUP(K444,'Fevereiro 2023 - Valor Real'!A3:A15,'Fevereiro 2023 - Valor Real'!C3:C15,0))+1)),IF(I443="Lay",IF(I442="Lay",((L442/(L442-1)-1)*(1-_xlfn.XLOOKUP(K442,'Fevereiro 2023 - Valor Real'!A3:A15,'Fevereiro 2023 - Valor Real'!C3:C15,0))+1)/(((L442/(L442-1)-1)*(1-_xlfn.XLOOKUP(K442,'Fevereiro 2023 - Valor Real'!A3:A15,'Fevereiro 2023 - Valor Real'!C3:C15,0))+1)+((L443/(L443-1)-1)*(1-_xlfn.XLOOKUP(K443,'Fevereiro 2023 - Valor Real'!A3:A15,'Fevereiro 2023 - Valor Real'!C3:C15,0))+1)),((L442-1)*(1-_xlfn.XLOOKUP(K442,'Fevereiro 2023 - Valor Real'!A3:A15,'Fevereiro 2023 - Valor Real'!C3:C15,0))+1)/(((L442-1)*(1-_xlfn.XLOOKUP(K442,'Fevereiro 2023 - Valor Real'!A3:A15,'Fevereiro 2023 - Valor Real'!C3:C15,0))+1)+((L443/(L443-1)-1)*(1-_xlfn.XLOOKUP(K443,'Fevereiro 2023 - Valor Real'!A3:A15,'Fevereiro 2023 - Valor Real'!C3:C15,0))+1))),IF(I442="Lay",((L442/(L442-1)-1)*(1-_xlfn.XLOOKUP(K442,'Fevereiro 2023 - Valor Real'!A3:A15,'Fevereiro 2023 - Valor Real'!C3:C15,0))+1)/((((L442/(L442-1)-1)*(1-_xlfn.XLOOKUP(K442,'Fevereiro 2023 - Valor Real'!A3:A15,'Fevereiro 2023 - Valor Real'!C3:C15,0))+1))+((L443-1)*(1-_xlfn.XLOOKUP(K443,'Fevereiro 2023 - Valor Real'!A3:A15,'Fevereiro 2023 - Valor Real'!C3:C15,0))+1)),((L442-1)*(1-_xlfn.XLOOKUP(K442,'Fevereiro 2023 - Valor Real'!A3:A15,'Fevereiro 2023 - Valor Real'!C3:C15,0))+1)/(((L442-1)*(1-_xlfn.XLOOKUP(K442,'Fevereiro 2023 - Valor Real'!A3:A15,'Fevereiro 2023 - Valor Real'!C3:C15,0))+1)+((L443-1)*(1-_xlfn.XLOOKUP(K443,'Fevereiro 2023 - Valor Real'!A3:A15,'Fevereiro 2023 - Valor Real'!C3:C15,0))+1))))))</f>
        <v>0.43632075471698112</v>
      </c>
      <c r="AF443" s="66">
        <f t="shared" si="870"/>
        <v>0</v>
      </c>
      <c r="AG443" s="67">
        <f t="shared" si="870"/>
        <v>0</v>
      </c>
      <c r="AH443" s="67">
        <f t="shared" si="870"/>
        <v>0</v>
      </c>
      <c r="AI443" s="67">
        <f t="shared" si="870"/>
        <v>0</v>
      </c>
      <c r="AJ443" s="67">
        <f t="shared" si="870"/>
        <v>0</v>
      </c>
      <c r="AK443" s="67">
        <f t="shared" si="870"/>
        <v>0</v>
      </c>
      <c r="AL443" s="67">
        <f t="shared" si="870"/>
        <v>0</v>
      </c>
      <c r="AM443" s="67">
        <f t="shared" si="870"/>
        <v>-71.41</v>
      </c>
      <c r="AN443" s="67">
        <f t="shared" si="870"/>
        <v>0</v>
      </c>
      <c r="AO443" s="67">
        <f t="shared" si="870"/>
        <v>0</v>
      </c>
      <c r="AP443" s="67">
        <f t="shared" si="870"/>
        <v>0</v>
      </c>
      <c r="AQ443" s="67">
        <f t="shared" si="870"/>
        <v>0</v>
      </c>
      <c r="AR443" s="68">
        <f t="shared" si="870"/>
        <v>0</v>
      </c>
      <c r="AS443" s="66">
        <f>IF(AND($B442=" ",$K443=AS$3),$O443,0)</f>
        <v>0</v>
      </c>
      <c r="AT443" s="67">
        <f>IF(AND($B442=" ",K443=AT$3),$O443,0)</f>
        <v>0</v>
      </c>
      <c r="AU443" s="67">
        <f t="shared" ref="AU443:BE443" si="884">IF(AND($B442=" ",$K443=AU$3),$O443,0)</f>
        <v>0</v>
      </c>
      <c r="AV443" s="67">
        <f t="shared" si="884"/>
        <v>0</v>
      </c>
      <c r="AW443" s="67">
        <f t="shared" si="884"/>
        <v>0</v>
      </c>
      <c r="AX443" s="67">
        <f t="shared" si="884"/>
        <v>0</v>
      </c>
      <c r="AY443" s="69">
        <f t="shared" si="884"/>
        <v>0</v>
      </c>
      <c r="AZ443" s="70">
        <f t="shared" si="884"/>
        <v>0</v>
      </c>
      <c r="BA443" s="70">
        <f t="shared" si="884"/>
        <v>0</v>
      </c>
      <c r="BB443" s="70">
        <f t="shared" si="884"/>
        <v>0</v>
      </c>
      <c r="BC443" s="71">
        <f t="shared" si="884"/>
        <v>0</v>
      </c>
      <c r="BD443" s="67">
        <f t="shared" si="884"/>
        <v>0</v>
      </c>
      <c r="BE443" s="68">
        <f t="shared" si="884"/>
        <v>0</v>
      </c>
      <c r="BF443" s="66">
        <f t="shared" si="872"/>
        <v>0</v>
      </c>
      <c r="BG443" s="168">
        <f t="shared" si="872"/>
        <v>0</v>
      </c>
      <c r="BH443" s="67">
        <f t="shared" si="872"/>
        <v>0</v>
      </c>
      <c r="BI443" s="67">
        <f t="shared" si="872"/>
        <v>0</v>
      </c>
      <c r="BJ443" s="67">
        <f t="shared" si="872"/>
        <v>0</v>
      </c>
      <c r="BK443" s="67">
        <f t="shared" si="872"/>
        <v>0</v>
      </c>
      <c r="BL443" s="67">
        <f t="shared" si="872"/>
        <v>0</v>
      </c>
      <c r="BM443" s="69">
        <f t="shared" si="872"/>
        <v>71.41</v>
      </c>
      <c r="BN443" s="70">
        <f t="shared" si="872"/>
        <v>0</v>
      </c>
      <c r="BO443" s="70">
        <f t="shared" si="872"/>
        <v>0</v>
      </c>
      <c r="BP443" s="70">
        <f t="shared" si="872"/>
        <v>0</v>
      </c>
      <c r="BQ443" s="71">
        <f t="shared" si="872"/>
        <v>0</v>
      </c>
      <c r="BR443" s="68">
        <f t="shared" si="872"/>
        <v>0</v>
      </c>
      <c r="BS443" s="491"/>
      <c r="BT443" s="489"/>
      <c r="BU443" s="392"/>
      <c r="BV443" s="489"/>
      <c r="BW443" s="392"/>
      <c r="BX443" s="392"/>
      <c r="BY443" s="392"/>
      <c r="BZ443" s="489"/>
      <c r="CA443" s="392"/>
      <c r="CB443" s="392"/>
      <c r="CC443" s="392"/>
      <c r="CD443" s="401"/>
      <c r="CE443" s="409"/>
      <c r="CF443" s="169">
        <f t="shared" si="772"/>
        <v>0</v>
      </c>
      <c r="CG443" s="170">
        <f t="shared" si="773"/>
        <v>0</v>
      </c>
      <c r="CH443" s="170">
        <f t="shared" si="774"/>
        <v>0</v>
      </c>
      <c r="CI443" s="170">
        <f t="shared" si="775"/>
        <v>0</v>
      </c>
      <c r="CJ443" s="170">
        <f t="shared" si="776"/>
        <v>0</v>
      </c>
      <c r="CK443" s="170">
        <f t="shared" si="777"/>
        <v>0</v>
      </c>
      <c r="CL443" s="170">
        <f t="shared" si="778"/>
        <v>0</v>
      </c>
      <c r="CM443" s="170">
        <f t="shared" si="779"/>
        <v>0</v>
      </c>
      <c r="CN443" s="170">
        <f t="shared" si="780"/>
        <v>0</v>
      </c>
      <c r="CO443" s="170">
        <f t="shared" si="781"/>
        <v>0</v>
      </c>
      <c r="CP443" s="170">
        <f t="shared" si="782"/>
        <v>0</v>
      </c>
      <c r="CQ443" s="170">
        <f t="shared" si="783"/>
        <v>0</v>
      </c>
      <c r="CR443" s="170">
        <f t="shared" si="784"/>
        <v>0</v>
      </c>
      <c r="CS443" s="170">
        <f t="shared" si="785"/>
        <v>0</v>
      </c>
      <c r="CT443" s="75">
        <f t="shared" si="786"/>
        <v>0</v>
      </c>
      <c r="CU443" s="76">
        <f t="shared" si="787"/>
        <v>1</v>
      </c>
      <c r="CV443" s="76">
        <f t="shared" si="788"/>
        <v>0</v>
      </c>
      <c r="CW443" s="76">
        <f t="shared" si="789"/>
        <v>0</v>
      </c>
      <c r="CX443" s="76">
        <f t="shared" si="790"/>
        <v>0</v>
      </c>
      <c r="CY443" s="76">
        <f t="shared" si="791"/>
        <v>0</v>
      </c>
      <c r="CZ443" s="76">
        <f t="shared" si="792"/>
        <v>0</v>
      </c>
      <c r="DA443" s="76">
        <f t="shared" si="793"/>
        <v>0</v>
      </c>
      <c r="DB443" s="76">
        <f t="shared" si="794"/>
        <v>0</v>
      </c>
      <c r="DC443" s="76">
        <f t="shared" si="795"/>
        <v>0</v>
      </c>
      <c r="DD443" s="76">
        <f t="shared" si="796"/>
        <v>0</v>
      </c>
      <c r="DE443" s="77">
        <f t="shared" si="797"/>
        <v>0</v>
      </c>
      <c r="DF443" s="73">
        <f t="shared" si="799"/>
        <v>30</v>
      </c>
      <c r="DG443" s="67">
        <f t="shared" si="800"/>
        <v>38.739999999999995</v>
      </c>
      <c r="DH443" s="76">
        <f t="shared" si="801"/>
        <v>11</v>
      </c>
      <c r="DI443" s="67">
        <f t="shared" si="802"/>
        <v>45.699999999999996</v>
      </c>
      <c r="DJ443" s="202" t="str">
        <f>IF($D442="","",$D442)</f>
        <v>15</v>
      </c>
      <c r="DK443" s="493"/>
    </row>
    <row r="444" spans="1:115" ht="14.5" customHeight="1" x14ac:dyDescent="0.2">
      <c r="A444" s="390"/>
      <c r="B444" s="457"/>
      <c r="C444" s="79" t="s">
        <v>53</v>
      </c>
      <c r="D444" s="375"/>
      <c r="E444" s="387"/>
      <c r="F444" s="378"/>
      <c r="G444" s="508"/>
      <c r="H444" s="477"/>
      <c r="I444" s="171"/>
      <c r="J444" s="172"/>
      <c r="K444" s="81"/>
      <c r="L444" s="173"/>
      <c r="M444" s="174"/>
      <c r="N444" s="407"/>
      <c r="O444" s="86" t="str">
        <f>IF(OR(AE442="",AE443=""),"",IF(L444&gt;0,ROUND(IF(M444&gt;0,M444,IF(M442&gt;0,ROUND((M442*AE444)/AE442,IF(N442=0,2,IF(N442=0.1,1,0))),IF(M443&gt;0,ROUND((M443*AE444)/AE443,IF(N442=0,2,IF(N442=0.1,1,0))),IF(M444&gt;0,M444,0)))),2),""))</f>
        <v/>
      </c>
      <c r="P444" s="87" t="str">
        <f>IF(I443="Lay",O443*(L443/(L443-1))-O443,IF(I442="Lay",O442*(L442/(L442-1))-O442,IF(OR(L444="",O444=""),"",IF($C444="1/2W",O444/2+O444/2*L444,IF($C444="1/2L",O444/2,(O444*L444-O444)*(1-_xlfn.XLOOKUP(K444,'Fevereiro 2023 - Valor Real'!A3:A15,'Fevereiro 2023 - Valor Real'!C3:C15,0))+O444)))))</f>
        <v/>
      </c>
      <c r="Q444" s="54" t="str">
        <f>IF(K444="","",IF(_xlfn.XLOOKUP(K444,K$11:K434,$DJ$11:DJ434,0,,-1)=DJ444,_xlfn.XLOOKUP(K444,K$11:K434,Q$11:Q434,1,,-1)+1,1))</f>
        <v/>
      </c>
      <c r="R444" s="87" t="str">
        <f>IF(K444="","",_xlfn.XLOOKUP(K444,K$11:K434,R$11:R434,0,,-1)+IF($C444=" ",1,0))</f>
        <v/>
      </c>
      <c r="S444" s="404"/>
      <c r="T444" s="378"/>
      <c r="U444" s="378"/>
      <c r="V444" s="404"/>
      <c r="W444" s="378"/>
      <c r="X444" s="453"/>
      <c r="Y444" s="383"/>
      <c r="Z444" s="384"/>
      <c r="AA444" s="384"/>
      <c r="AB444" s="384"/>
      <c r="AC444" s="384"/>
      <c r="AD444" s="90"/>
      <c r="AE444" s="91" t="str">
        <f>IF(L444="","",(SUM(((L442-1)*(1-_xlfn.XLOOKUP(K442,'Fevereiro 2023 - Valor Real'!A3:A15,'Fevereiro 2023 - Valor Real'!C3:C15,0))+1),((L443-1)*(1-_xlfn.XLOOKUP(K443,'Fevereiro 2023 - Valor Real'!A3:A15,'Fevereiro 2023 - Valor Real'!C3:C15,0))+1),((L444-1)*(1-_xlfn.XLOOKUP(K444,'Fevereiro 2023 - Valor Real'!A3:A15,'Fevereiro 2023 - Valor Real'!C3:C15,0))+1))/((L444-1)*(1-_xlfn.XLOOKUP(K444,'Fevereiro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Real'!C3:C15,0))+1))/((L442-1)*(1-_xlfn.XLOOKUP(K442,'Fevereiro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Real'!C3:C15,0))+1))/((L443-1)*(1-_xlfn.XLOOKUP(K443,'Fevereiro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Real'!C3:C15,0))+1))/((L444-1)*(1-_xlfn.XLOOKUP(K444,'Fevereiro 2023 - Valor Real'!A3:A15,'Fevereiro 2023 - Valor Real'!C3:C15,0))+1)))</f>
        <v/>
      </c>
      <c r="AF444" s="66">
        <f t="shared" ref="AF444:AR453" si="885">IF($K444=AF$3,ROUND(IF(OR($C444="W",$C444="1/2W",$C444="1/2L"),$P444-$O444,IF($C444="X",0,-$O444)),2),0)</f>
        <v>0</v>
      </c>
      <c r="AG444" s="67">
        <f t="shared" si="885"/>
        <v>0</v>
      </c>
      <c r="AH444" s="67">
        <f t="shared" si="885"/>
        <v>0</v>
      </c>
      <c r="AI444" s="67">
        <f t="shared" si="885"/>
        <v>0</v>
      </c>
      <c r="AJ444" s="67">
        <f t="shared" si="885"/>
        <v>0</v>
      </c>
      <c r="AK444" s="67">
        <f t="shared" si="885"/>
        <v>0</v>
      </c>
      <c r="AL444" s="67">
        <f t="shared" si="885"/>
        <v>0</v>
      </c>
      <c r="AM444" s="67">
        <f t="shared" si="885"/>
        <v>0</v>
      </c>
      <c r="AN444" s="67">
        <f t="shared" si="885"/>
        <v>0</v>
      </c>
      <c r="AO444" s="67">
        <f t="shared" si="885"/>
        <v>0</v>
      </c>
      <c r="AP444" s="67">
        <f t="shared" si="885"/>
        <v>0</v>
      </c>
      <c r="AQ444" s="67">
        <f t="shared" si="885"/>
        <v>0</v>
      </c>
      <c r="AR444" s="68">
        <f t="shared" si="885"/>
        <v>0</v>
      </c>
      <c r="AS444" s="66">
        <f>IF(AND($B442=" ",$K444=AS$3),$O444,0)</f>
        <v>0</v>
      </c>
      <c r="AT444" s="67">
        <f>IF(AND($B442=" ",K444=AT$3),$O444,0)</f>
        <v>0</v>
      </c>
      <c r="AU444" s="67">
        <f t="shared" ref="AU444:BE444" si="886">IF(AND($B442=" ",$K444=AU$3),$O444,0)</f>
        <v>0</v>
      </c>
      <c r="AV444" s="67">
        <f t="shared" si="886"/>
        <v>0</v>
      </c>
      <c r="AW444" s="67">
        <f t="shared" si="886"/>
        <v>0</v>
      </c>
      <c r="AX444" s="67">
        <f t="shared" si="886"/>
        <v>0</v>
      </c>
      <c r="AY444" s="69">
        <f t="shared" si="886"/>
        <v>0</v>
      </c>
      <c r="AZ444" s="70">
        <f t="shared" si="886"/>
        <v>0</v>
      </c>
      <c r="BA444" s="70">
        <f t="shared" si="886"/>
        <v>0</v>
      </c>
      <c r="BB444" s="70">
        <f t="shared" si="886"/>
        <v>0</v>
      </c>
      <c r="BC444" s="71">
        <f t="shared" si="886"/>
        <v>0</v>
      </c>
      <c r="BD444" s="67">
        <f t="shared" si="886"/>
        <v>0</v>
      </c>
      <c r="BE444" s="68">
        <f t="shared" si="886"/>
        <v>0</v>
      </c>
      <c r="BF444" s="66">
        <f t="shared" ref="BF444:BR453" si="887">IF($K444=BF$3,IF($C444="X",0,$O444),0)</f>
        <v>0</v>
      </c>
      <c r="BG444" s="168">
        <f t="shared" si="887"/>
        <v>0</v>
      </c>
      <c r="BH444" s="67">
        <f t="shared" si="887"/>
        <v>0</v>
      </c>
      <c r="BI444" s="67">
        <f t="shared" si="887"/>
        <v>0</v>
      </c>
      <c r="BJ444" s="67">
        <f t="shared" si="887"/>
        <v>0</v>
      </c>
      <c r="BK444" s="67">
        <f t="shared" si="887"/>
        <v>0</v>
      </c>
      <c r="BL444" s="67">
        <f t="shared" si="887"/>
        <v>0</v>
      </c>
      <c r="BM444" s="69">
        <f t="shared" si="887"/>
        <v>0</v>
      </c>
      <c r="BN444" s="70">
        <f t="shared" si="887"/>
        <v>0</v>
      </c>
      <c r="BO444" s="70">
        <f t="shared" si="887"/>
        <v>0</v>
      </c>
      <c r="BP444" s="70">
        <f t="shared" si="887"/>
        <v>0</v>
      </c>
      <c r="BQ444" s="71">
        <f t="shared" si="887"/>
        <v>0</v>
      </c>
      <c r="BR444" s="68">
        <f t="shared" si="887"/>
        <v>0</v>
      </c>
      <c r="BS444" s="491"/>
      <c r="BT444" s="489"/>
      <c r="BU444" s="392"/>
      <c r="BV444" s="489"/>
      <c r="BW444" s="392"/>
      <c r="BX444" s="392"/>
      <c r="BY444" s="392"/>
      <c r="BZ444" s="489"/>
      <c r="CA444" s="392"/>
      <c r="CB444" s="392"/>
      <c r="CC444" s="392"/>
      <c r="CD444" s="401"/>
      <c r="CE444" s="409"/>
      <c r="CF444" s="169">
        <f t="shared" si="772"/>
        <v>0</v>
      </c>
      <c r="CG444" s="170">
        <f t="shared" si="773"/>
        <v>0</v>
      </c>
      <c r="CH444" s="170">
        <f t="shared" si="774"/>
        <v>0</v>
      </c>
      <c r="CI444" s="170">
        <f t="shared" si="775"/>
        <v>0</v>
      </c>
      <c r="CJ444" s="170">
        <f t="shared" si="776"/>
        <v>0</v>
      </c>
      <c r="CK444" s="170">
        <f t="shared" si="777"/>
        <v>0</v>
      </c>
      <c r="CL444" s="170">
        <f t="shared" si="778"/>
        <v>0</v>
      </c>
      <c r="CM444" s="170">
        <f t="shared" si="779"/>
        <v>0</v>
      </c>
      <c r="CN444" s="170">
        <f t="shared" si="780"/>
        <v>0</v>
      </c>
      <c r="CO444" s="170">
        <f t="shared" si="781"/>
        <v>0</v>
      </c>
      <c r="CP444" s="170">
        <f t="shared" si="782"/>
        <v>0</v>
      </c>
      <c r="CQ444" s="170">
        <f t="shared" si="783"/>
        <v>0</v>
      </c>
      <c r="CR444" s="170">
        <f t="shared" si="784"/>
        <v>0</v>
      </c>
      <c r="CS444" s="170">
        <f t="shared" si="785"/>
        <v>0</v>
      </c>
      <c r="CT444" s="75">
        <f t="shared" si="786"/>
        <v>0</v>
      </c>
      <c r="CU444" s="76">
        <f t="shared" si="787"/>
        <v>0</v>
      </c>
      <c r="CV444" s="76">
        <f t="shared" si="788"/>
        <v>0</v>
      </c>
      <c r="CW444" s="76">
        <f t="shared" si="789"/>
        <v>0</v>
      </c>
      <c r="CX444" s="76">
        <f t="shared" si="790"/>
        <v>0</v>
      </c>
      <c r="CY444" s="76">
        <f t="shared" si="791"/>
        <v>0</v>
      </c>
      <c r="CZ444" s="76">
        <f t="shared" si="792"/>
        <v>0</v>
      </c>
      <c r="DA444" s="76">
        <f t="shared" si="793"/>
        <v>0</v>
      </c>
      <c r="DB444" s="76">
        <f t="shared" si="794"/>
        <v>0</v>
      </c>
      <c r="DC444" s="76">
        <f t="shared" si="795"/>
        <v>0</v>
      </c>
      <c r="DD444" s="76">
        <f t="shared" si="796"/>
        <v>0</v>
      </c>
      <c r="DE444" s="77">
        <f t="shared" si="797"/>
        <v>0</v>
      </c>
      <c r="DF444" s="73">
        <f t="shared" si="799"/>
        <v>30</v>
      </c>
      <c r="DG444" s="67">
        <f t="shared" si="800"/>
        <v>38.739999999999995</v>
      </c>
      <c r="DH444" s="76">
        <f t="shared" si="801"/>
        <v>11</v>
      </c>
      <c r="DI444" s="67">
        <f t="shared" si="802"/>
        <v>45.699999999999996</v>
      </c>
      <c r="DJ444" s="202" t="str">
        <f>IF($D442="","",$D442)</f>
        <v>15</v>
      </c>
      <c r="DK444" s="493"/>
    </row>
    <row r="445" spans="1:115" ht="14.5" customHeight="1" x14ac:dyDescent="0.2">
      <c r="A445" s="459">
        <f>$A442+1</f>
        <v>148</v>
      </c>
      <c r="B445" s="507" t="str">
        <f>IF(OR(C445="W",C446="W",C447="W",C445="1/2W",C446="1/2W",C447="1/2W",C445="1/2L",C446="1/2L",C447="1/2L"),"OK",IF(OR(C445="L",C446="L",C447="L"),"LOSS",IF(OR(C445="X",C446="X",C447="X"),"Anulado"," ")))</f>
        <v>OK</v>
      </c>
      <c r="C445" s="93" t="s">
        <v>55</v>
      </c>
      <c r="D445" s="468" t="str">
        <f>IF(G445="","",$D442)</f>
        <v>15</v>
      </c>
      <c r="E445" s="485" t="str">
        <f>IF(G445=""," ","– "&amp;COUNTIF(D$4:D447,$D445))</f>
        <v>– 6</v>
      </c>
      <c r="F445" s="509" t="str">
        <f ca="1">IF(G445="","",IF(OR(AND($C445&lt;&gt;" ",$C446=" "),AND($C446&lt;&gt;" ",$C445=" "),AND(L447&gt;0,OR(AND($C447&lt;&gt;" ",OR($C445=" ",$C446=" ")),AND($C447=" ",OR($C445&lt;&gt;" ",$C446&lt;&gt;" "))))),IF(SUM(F$4:F444)=0,1,LARGE(F$4:F444,1)+1),IF(MONTH(G445)=MONTH(TODAY()),IF(AND(DAY(G445)&lt;DAY(TODAY()),$B445=" "),IF(SUM(F$4:F444)=0,1,LARGE(F$4:F444,1)+1),IF($B445=" ",IF(AND(DAY(G445)=DAY(TODAY()),HOUR(G445)&lt;=HOUR(NOW())+1),IF(AND(HOUR(G445)+2&lt;=HOUR(NOW()),DAY(G445)&lt;=DAY(TODAY()),MINUTE(G445)&lt;=MINUTE(NOW())),IF(SUM(F$4:F444)=0,1,LARGE(F$4:F444,1)+1),IF(OR(MINUTE(G445)&lt;=MINUTE(NOW()),HOUR(G445)&lt;=HOUR(NOW())),"!!!","")),""),"")),"")))</f>
        <v/>
      </c>
      <c r="G445" s="482">
        <v>45000.4375</v>
      </c>
      <c r="H445" s="475" t="s">
        <v>187</v>
      </c>
      <c r="I445" s="94" t="s">
        <v>66</v>
      </c>
      <c r="J445" s="176"/>
      <c r="K445" s="96" t="s">
        <v>43</v>
      </c>
      <c r="L445" s="97">
        <v>2.09</v>
      </c>
      <c r="M445" s="98"/>
      <c r="N445" s="478">
        <v>0</v>
      </c>
      <c r="O445" s="99">
        <f>IF(OR(AE445="",AE446=""),"",ROUND(IF(L447&gt;0,IF(M445&gt;0,M445,IF(M446&gt;0,ROUND((M446*AE445)/AE446,IF(N445=0,2,IF(N445=0.1,1,0))),ROUND((M447*AE445)/AE447,IF(N445=0,2,IF(N445=0.1,1,0))))),IF(M445&gt;0,M445,ROUND((M446*AE445)/AE446,IF(N445=0,2,IF(N445=0.1,1,0))))),2))</f>
        <v>13.09</v>
      </c>
      <c r="P445" s="100">
        <f>IF(OR(L445="",O445=""),"",IF($C445="1/2W",O445/2+O445/2*L445,IF($C445="1/2L",O445/2,IF(I445="Lay",(O445*(L445/(L445-1))-O445)*(1-_xlfn.XLOOKUP(K445,'Fevereiro 2023 - Valor Real'!A3:A15,'Fevereiro 2023 - Valor Real'!C3:C15,0))+O445,(O445*L445-O445)*(1-_xlfn.XLOOKUP(K445,'Fevereiro 2023 - Valor Real'!A3:A15,'Fevereiro 2023 - Valor Real'!C3:C15,0))+O445))))</f>
        <v>27.358099999999997</v>
      </c>
      <c r="Q445" s="101">
        <f>IF(K445="","",IF(_xlfn.XLOOKUP(K445,K$4:K444,$DJ$4:DJ444,0,,-1)=DJ445,_xlfn.XLOOKUP(K445,K$4:K444,Q$4:Q444,1,,-1)+1,1))</f>
        <v>3</v>
      </c>
      <c r="R445" s="102">
        <f>IF(K445="","",_xlfn.XLOOKUP(K445,K$4:K444,R$4:R444,0,,-1)+IF($C445=" ",1,0))</f>
        <v>0</v>
      </c>
      <c r="S445" s="474">
        <f>IF($B445="Anulado",0,ROUND(IF(OR($B445="LOSS",$B445="OK"),IF(OR($C445="W",$C445="1/2W",$C445="1/2L"),P445-O445,IF($C445="L",-O445,0))+IF(OR($C446="W",$C446="1/2W",$C446="1/2L"),P446-O446,IF($C446="L",-O446,0))+IF(OR($C447="W",$C447="1/2W",$C447="1/2L"),P447-O447,IF($C447="L",-O447,0)),IF(AND(OR($C445="W",$C445="1/2W",$C445="1/2L"),C446="W"),P445+P446-SUM(O445:O447)+_xlfn.XLOOKUP("X",C445:C447,O445:O447,0),IF(AND(C445=TRUE,C447="W"),P445+P447-SUM(O445:O447),IF(AND(C446="W",C447="W"),P446+P447-SUM(O445:O447)+_xlfn.XLOOKUP("X",C445:C447,O445:O447,0),IF(L447&gt;0,IF(OR($C445="W",$C445="1/2W",$C445="1/2L"),P445-SUM(O445:O447)+_xlfn.XLOOKUP("X",C445:C447,O445:O447,0),IF(OR($C445="W",$C445="1/2W",$C445="1/2L"),P446-SUM(O445:O447)+_xlfn.XLOOKUP("X",C445:C447,O445:O447,0),IF(OR($C445="W",$C445="1/2W",$C445="1/2L"),P447-SUM(O445:O447)+_xlfn.XLOOKUP("X",C445:C447,O445:O447,0),IF(SUM(P445:P447)/3-SUM(O445:O447)+_xlfn.XLOOKUP("X",C445:C447,O445:O447,0)&gt;0,SUM(P445:P447)/3-SUM(O445:O447)+_xlfn.XLOOKUP("X",C445:C447,O445:O447,0),LARGE(P445:P447,1)-SUM(O445:O447))))),IF(OR($C445="W",$C445="1/2W",$C445="1/2L"),P445-SUM(O445:O446)+_xlfn.XLOOKUP("X",C445:C447,O445:O447,0),IF(OR($C445="W",$C445="1/2W",$C445="1/2L"),P446-SUM(O445:O446)+_xlfn.XLOOKUP("X",C445:C447,O445:O447,0),SUM(P445:P446)/2-SUM(O445:O446)+_xlfn.XLOOKUP("X",C445:C447,O445:O447,0)))))))),2))</f>
        <v>1.24</v>
      </c>
      <c r="T445" s="458">
        <f>IF(S445=0,0,S445/SUM(O445:O447))</f>
        <v>4.7473200612557429E-2</v>
      </c>
      <c r="U445" s="470">
        <f>IF($D445=$D442,IF(OR($B445="LOSS",$B445="OK",$B445="Anulada"),S445,0)+U442,IF(OR($B445="LOSS",$B445="OK",$B445="Anulada"),S445,0))</f>
        <v>19.86</v>
      </c>
      <c r="V445" s="470">
        <f>IF($D445="",0,IF($D445=$D442,IF($B445=" ",IF(I447="",IF(OR(AND(I445="DNB1",I446="DNB2"),AND(OR(I445="DNB1",I445="DNB2"),J446=0),AND(OR(I446="DNB1",I446="DNB2"),J445=0),AND(I445="DNB2",I446="DNB1"),AND(IF(J445=0,(J445+1)/ROUND(J445+1,0),J445/ROUND(J445,0))=1,IF(J446=0,(J446+1)/ROUND(IF(J446="",0,J446)+1,0),IF(J446="",0,J446)/ROUND(IF(J446="",1,J446),0))=1,OR(J445&lt;&gt;""),J446&lt;&gt;"")),0,IF(S445&lt;0,IF(I447="",SMALL(P445:P446,1)-SUM(O445:O446),0),SMALL(P445:P446,1)-SUM(O445:O446))),IF(S445&lt;0,IF(I447="",SMALL(P445:P447,1)-SUM(O445:O447),0),LARGE(P445:P447,1)-SUM(O445:O447))),S445)+V442,IF(I447="",IF(OR(AND(I445="DNB1",I446="DNB2"),AND(OR(I445="DNB1",I445="DNB2"),J446=0),AND(OR(I446="DNB1",I446="DNB2"),J445=0),AND(I445="DNB2",I446="DNB1"),AND(IF(J445=0,(J445+1)/ROUND(J445+1,0),J445/ROUND(J445,0))=1,IF(J446=0,(IF(J446="",0,J446)+1)/ROUND(IF(J446="",0,J446)+1,0),IF(J446="",0,J446)/ROUND(IF(J446="",0,J446)+1,0))=1,OR(J445&lt;&gt;""),J446&lt;&gt;"")),0,IF(S445&lt;0,IF(I447="",SMALL(P445:P446,1)-SUM(O445:O446),0),SMALL(P445:P447,1)-SUM(O445:O447))),IF(S445&lt;0,IF(I447="",SMALL(P445:P447,1)-SUM(O445:O447),0),LARGE(P445:P447,1)-SUM(O445:O447)))))</f>
        <v>19.846599999999999</v>
      </c>
      <c r="W445" s="470">
        <f>IF($D445=$D442,IF(S445&lt;0,IF(I447="",S445,0),S445)+W442,S445)</f>
        <v>19.86</v>
      </c>
      <c r="X445" s="480" t="str">
        <f>IF(OR(SUM(R445:R447)=0,V445=W445),ROUND(IF(W445=0,0,W445/Y445)*100,2)&amp;"%",ROUND(IF(V445=0,0,V445/Y445)*100,2)&amp;"% a "&amp;ROUND(IF(W445=0,0,W445/Y445)*100,2)&amp;"%")</f>
        <v>4,41%</v>
      </c>
      <c r="Y445" s="471">
        <f>IF($D445=$D442,Y442+SUM(O445:O447),SUM(O445:O447))</f>
        <v>450.43000000000006</v>
      </c>
      <c r="Z445" s="470">
        <f>IF($B445=" ",SUM(O445:O447),0)+Z442</f>
        <v>0</v>
      </c>
      <c r="AA445" s="470">
        <f>IF(G445="","",IF($B445="Anulado",LARGE(P445:P447,1)-SUM(O445:O447)+AA442,AA442))</f>
        <v>12.425099999999992</v>
      </c>
      <c r="AB445" s="470">
        <f>IF($D445="","",AB442+S445)</f>
        <v>548.28000000000009</v>
      </c>
      <c r="AC445" s="472">
        <f ca="1">IF($D445="","",IF($B445=" ",IF(DAY(G445)=DAY(TODAY()),1+AC442,0+AC442),0+AC442))</f>
        <v>0</v>
      </c>
      <c r="AD445" s="103">
        <f>(((L446/(L446-1)-1)*(1-_xlfn.XLOOKUP(K446,'Fevereiro 2023 - Valor Real'!A3:A15,'Fevereiro 2023 - Valor Real'!C3:C15,0))+1))/(((L445-1)*(1-_xlfn.XLOOKUP(K445,'Fevereiro 2023 - Valor Real'!A3:A15,'Fevereiro 2023 - Valor Real'!C3:C15,0))+1)+((L446/(L446-1)-1)*(1-_xlfn.XLOOKUP(K446,'Fevereiro 2023 - Valor Real'!A3:A15,'Fevereiro 2023 - Valor Real'!C3:C15,0))+1))</f>
        <v>0.47738122300522845</v>
      </c>
      <c r="AE445" s="104">
        <f>IF(L445="","",IF(L447&gt;0,(SUM(((L445-1)*(1-_xlfn.XLOOKUP(K445,'Fevereiro 2023 - Valor Real'!A3:A15,'Fevereiro 2023 - Valor Real'!C3:C15,0))+1),((L446-1)*(1-_xlfn.XLOOKUP(K446,'Fevereiro 2023 - Valor Real'!A3:A15,'Fevereiro 2023 - Valor Real'!C3:C15,0))+1),((L447-1)*(1-_xlfn.XLOOKUP(K447,'Fevereiro 2023 - Valor Real'!A3:A15,'Fevereiro 2023 - Valor Real'!C3:C15,0))+1))/((L445-1)*(1-_xlfn.XLOOKUP(K445,'Fevereiro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Real'!C3:C15,0))+1))/((L445-1)*(1-_xlfn.XLOOKUP(K445,'Fevereiro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Real'!C3:C15,0))+1))/((L446-1)*(1-_xlfn.XLOOKUP(K446,'Fevereiro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Real'!C3:C15,0))+1))/((L447-1)*(1-_xlfn.XLOOKUP(K447,'Fevereiro 2023 - Valor Real'!A3:A15,'Fevereiro 2023 - Valor Real'!C3:C15,0))+1)),IF(I445="Lay",IF(I446="Lay",((L446/(L446-1)-1)*(1-_xlfn.XLOOKUP(K446,'Fevereiro 2023 - Valor Real'!A3:A15,'Fevereiro 2023 - Valor Real'!C3:C15,0))+1)/(((L446/(L446-1)-1)*(1-_xlfn.XLOOKUP(K446,'Fevereiro 2023 - Valor Real'!A3:A15,'Fevereiro 2023 - Valor Real'!C3:C15,0))+1)+((L445/(L445-1)-1)*(1-_xlfn.XLOOKUP(K445,'Fevereiro 2023 - Valor Real'!A3:A15,'Fevereiro 2023 - Valor Real'!C3:C15,0))+1)),((L446-1)*(1-_xlfn.XLOOKUP(K446,'Fevereiro 2023 - Valor Real'!A3:A15,'Fevereiro 2023 - Valor Real'!C3:C15,0))+1)/(((L446-1)*(1-_xlfn.XLOOKUP(K446,'Fevereiro 2023 - Valor Real'!A3:A15,'Fevereiro 2023 - Valor Real'!C3:C15,0))+1)+((L445/(L445-1)-1)*(1-_xlfn.XLOOKUP(K445,'Fevereiro 2023 - Valor Real'!A3:A15,'Fevereiro 2023 - Valor Real'!C3:C15,0))+1))),IF(I446="Lay",(((L446/(L446-1)-1)*(1-_xlfn.XLOOKUP(K446,'Fevereiro 2023 - Valor Real'!A3:A15,'Fevereiro 2023 - Valor Real'!C3:C15,0))+1))/(((L445-1)*(1-_xlfn.XLOOKUP(K445,'Fevereiro 2023 - Valor Real'!A3:A15,'Fevereiro 2023 - Valor Real'!C3:C15,0))+1)+((L446/(L446-1)-1)*(1-_xlfn.XLOOKUP(K446,'Fevereiro 2023 - Valor Real'!A3:A15,'Fevereiro 2023 - Valor Real'!C3:C15,0))+1)),((L446-1)*(1-_xlfn.XLOOKUP(K446,'Fevereiro 2023 - Valor Real'!A3:A15,'Fevereiro 2023 - Valor Real'!C3:C15,0))+1)/(((L446-1)*(1-_xlfn.XLOOKUP(K446,'Fevereiro 2023 - Valor Real'!A3:A15,'Fevereiro 2023 - Valor Real'!C3:C15,0))+1)+((L445-1)*(1-_xlfn.XLOOKUP(K445,'Fevereiro 2023 - Valor Real'!A3:A15,'Fevereiro 2023 - Valor Real'!C3:C15,0))+1))))))</f>
        <v>0.50119331742243445</v>
      </c>
      <c r="AF445" s="105">
        <f t="shared" si="885"/>
        <v>0</v>
      </c>
      <c r="AG445" s="106">
        <f t="shared" si="885"/>
        <v>0</v>
      </c>
      <c r="AH445" s="106">
        <f t="shared" si="885"/>
        <v>0</v>
      </c>
      <c r="AI445" s="106">
        <f t="shared" si="885"/>
        <v>0</v>
      </c>
      <c r="AJ445" s="106">
        <f t="shared" si="885"/>
        <v>0</v>
      </c>
      <c r="AK445" s="106">
        <f t="shared" si="885"/>
        <v>0</v>
      </c>
      <c r="AL445" s="106">
        <f t="shared" si="885"/>
        <v>0</v>
      </c>
      <c r="AM445" s="106">
        <f t="shared" si="885"/>
        <v>-13.09</v>
      </c>
      <c r="AN445" s="106">
        <f t="shared" si="885"/>
        <v>0</v>
      </c>
      <c r="AO445" s="106">
        <f t="shared" si="885"/>
        <v>0</v>
      </c>
      <c r="AP445" s="106">
        <f t="shared" si="885"/>
        <v>0</v>
      </c>
      <c r="AQ445" s="106">
        <f t="shared" si="885"/>
        <v>0</v>
      </c>
      <c r="AR445" s="107">
        <f t="shared" si="885"/>
        <v>0</v>
      </c>
      <c r="AS445" s="105">
        <f t="shared" ref="AS445:BE445" si="888">IF(AND($B445=" ",$K445=AS$3),$O445,0)</f>
        <v>0</v>
      </c>
      <c r="AT445" s="106">
        <f t="shared" si="888"/>
        <v>0</v>
      </c>
      <c r="AU445" s="106">
        <f t="shared" si="888"/>
        <v>0</v>
      </c>
      <c r="AV445" s="106">
        <f t="shared" si="888"/>
        <v>0</v>
      </c>
      <c r="AW445" s="106">
        <f t="shared" si="888"/>
        <v>0</v>
      </c>
      <c r="AX445" s="106">
        <f t="shared" si="888"/>
        <v>0</v>
      </c>
      <c r="AY445" s="108">
        <f t="shared" si="888"/>
        <v>0</v>
      </c>
      <c r="AZ445" s="109">
        <f t="shared" si="888"/>
        <v>0</v>
      </c>
      <c r="BA445" s="109">
        <f t="shared" si="888"/>
        <v>0</v>
      </c>
      <c r="BB445" s="109">
        <f t="shared" si="888"/>
        <v>0</v>
      </c>
      <c r="BC445" s="110">
        <f t="shared" si="888"/>
        <v>0</v>
      </c>
      <c r="BD445" s="106">
        <f t="shared" si="888"/>
        <v>0</v>
      </c>
      <c r="BE445" s="107">
        <f t="shared" si="888"/>
        <v>0</v>
      </c>
      <c r="BF445" s="111">
        <f t="shared" si="887"/>
        <v>0</v>
      </c>
      <c r="BG445" s="106">
        <f t="shared" si="887"/>
        <v>0</v>
      </c>
      <c r="BH445" s="106">
        <f t="shared" si="887"/>
        <v>0</v>
      </c>
      <c r="BI445" s="106">
        <f t="shared" si="887"/>
        <v>0</v>
      </c>
      <c r="BJ445" s="106">
        <f t="shared" si="887"/>
        <v>0</v>
      </c>
      <c r="BK445" s="106">
        <f t="shared" si="887"/>
        <v>0</v>
      </c>
      <c r="BL445" s="106">
        <f t="shared" si="887"/>
        <v>0</v>
      </c>
      <c r="BM445" s="108">
        <f t="shared" si="887"/>
        <v>13.09</v>
      </c>
      <c r="BN445" s="109">
        <f t="shared" si="887"/>
        <v>0</v>
      </c>
      <c r="BO445" s="109">
        <f t="shared" si="887"/>
        <v>0</v>
      </c>
      <c r="BP445" s="109">
        <f t="shared" si="887"/>
        <v>0</v>
      </c>
      <c r="BQ445" s="110">
        <f t="shared" si="887"/>
        <v>0</v>
      </c>
      <c r="BR445" s="107">
        <f t="shared" si="887"/>
        <v>0</v>
      </c>
      <c r="BS445" s="463">
        <f>IF($B445="LOSS",IF(AND($K445=BS$3,$C445="L"),-$O445,0)+IF(AND($K446=BS$3,$C446="L"),-$O446,0)+IF(AND($K447=BS$3,$C447="L"),-$O447,0),IF(OR(AND($K445=BS$3,OR($C445="W",$C445="1/2W")),AND($K446=BS$3,OR($C446="W",$C446="1/2W")),AND($K447=BS$3,OR($C447="W",$C447="1/2W"))),$S445,0))</f>
        <v>0</v>
      </c>
      <c r="BT445" s="462">
        <f>IF($B445="LOSS",IF(AND($K445=BT$3,$C445="L"),-$O445,0)+IF(AND($K446=BT$3,$C446="L"),-$O446,0)+IF(AND($K446=BT$3,$C447="L"),-$O447,0),IF(OR(AND($K446=BT$3,OR($C445="W",$C445="1/2W")),AND($K446=BT$3,OR($C446="W",$C446="1/2W")),AND($K446=BT$3,OR($C447="W",$C447="1/2W"))),$S445,0))</f>
        <v>1.24</v>
      </c>
      <c r="BU445" s="462">
        <f>IF($B445="LOSS",IF(AND($K445=BU$3,$C445="L"),-$O445,0)+IF(AND($K446=BU$3,$C446="L"),-$O446,0)+IF(AND($K446=BU$3,$C447="L"),-$O447,0),IF(OR(AND($K446=BU$3,OR($C445="W",$C445="1/2W")),AND($K446=BU$3,OR($C446="W",$C446="1/2W")),AND($K446=BU$3,OR($C447="W",$C447="1/2W"))),$S445,0))</f>
        <v>0</v>
      </c>
      <c r="BV445" s="462">
        <f t="shared" ref="BV445:CE445" si="889">IF($B445="LOSS",IF(AND($K445=BV$3,$C445="L"),-$O445,0)+IF(AND($K446=BV$3,$C446="L"),-$O446,0)+IF(AND($K447=BV$3,$C447="L"),-$O447,0),IF(OR(AND($K445=BV$3,OR($C445="W",$C445="1/2W")),AND($K446=BV$3,OR($C446="W",$C446="1/2W")),AND($K447=BV$3,OR($C447="W",$C447="1/2W"))),$S445,0))</f>
        <v>0</v>
      </c>
      <c r="BW445" s="462">
        <f t="shared" si="889"/>
        <v>0</v>
      </c>
      <c r="BX445" s="462">
        <f t="shared" si="889"/>
        <v>0</v>
      </c>
      <c r="BY445" s="462">
        <f t="shared" si="889"/>
        <v>0</v>
      </c>
      <c r="BZ445" s="460">
        <f t="shared" si="889"/>
        <v>0</v>
      </c>
      <c r="CA445" s="460">
        <f t="shared" si="889"/>
        <v>0</v>
      </c>
      <c r="CB445" s="460">
        <f t="shared" si="889"/>
        <v>0</v>
      </c>
      <c r="CC445" s="460">
        <f t="shared" si="889"/>
        <v>0</v>
      </c>
      <c r="CD445" s="473">
        <f t="shared" si="889"/>
        <v>0</v>
      </c>
      <c r="CE445" s="479">
        <f t="shared" si="889"/>
        <v>0</v>
      </c>
      <c r="CF445" s="113">
        <f t="shared" si="772"/>
        <v>0</v>
      </c>
      <c r="CG445" s="114">
        <f t="shared" si="773"/>
        <v>0</v>
      </c>
      <c r="CH445" s="114">
        <f t="shared" si="774"/>
        <v>0</v>
      </c>
      <c r="CI445" s="114">
        <f t="shared" si="775"/>
        <v>0</v>
      </c>
      <c r="CJ445" s="114">
        <f t="shared" si="776"/>
        <v>0</v>
      </c>
      <c r="CK445" s="114">
        <f t="shared" si="777"/>
        <v>0</v>
      </c>
      <c r="CL445" s="114">
        <f t="shared" si="778"/>
        <v>0</v>
      </c>
      <c r="CM445" s="114">
        <f t="shared" si="779"/>
        <v>0</v>
      </c>
      <c r="CN445" s="114">
        <f t="shared" si="780"/>
        <v>0</v>
      </c>
      <c r="CO445" s="114">
        <f t="shared" si="781"/>
        <v>0</v>
      </c>
      <c r="CP445" s="114">
        <f t="shared" si="782"/>
        <v>0</v>
      </c>
      <c r="CQ445" s="114">
        <f t="shared" si="783"/>
        <v>0</v>
      </c>
      <c r="CR445" s="114">
        <f t="shared" si="784"/>
        <v>0</v>
      </c>
      <c r="CS445" s="114">
        <f t="shared" si="785"/>
        <v>0</v>
      </c>
      <c r="CT445" s="115">
        <f t="shared" si="786"/>
        <v>0</v>
      </c>
      <c r="CU445" s="116">
        <f t="shared" si="787"/>
        <v>1</v>
      </c>
      <c r="CV445" s="116">
        <f t="shared" si="788"/>
        <v>0</v>
      </c>
      <c r="CW445" s="116">
        <f t="shared" si="789"/>
        <v>0</v>
      </c>
      <c r="CX445" s="116">
        <f t="shared" si="790"/>
        <v>0</v>
      </c>
      <c r="CY445" s="116">
        <f t="shared" si="791"/>
        <v>0</v>
      </c>
      <c r="CZ445" s="116">
        <f t="shared" si="792"/>
        <v>0</v>
      </c>
      <c r="DA445" s="116">
        <f t="shared" si="793"/>
        <v>0</v>
      </c>
      <c r="DB445" s="116">
        <f t="shared" si="794"/>
        <v>0</v>
      </c>
      <c r="DC445" s="116">
        <f t="shared" si="795"/>
        <v>0</v>
      </c>
      <c r="DD445" s="116">
        <f t="shared" si="796"/>
        <v>0</v>
      </c>
      <c r="DE445" s="117">
        <f t="shared" si="797"/>
        <v>0</v>
      </c>
      <c r="DF445" s="118">
        <f t="shared" si="799"/>
        <v>30</v>
      </c>
      <c r="DG445" s="106">
        <f t="shared" si="800"/>
        <v>38.739999999999995</v>
      </c>
      <c r="DH445" s="116">
        <f t="shared" si="801"/>
        <v>11</v>
      </c>
      <c r="DI445" s="106">
        <f t="shared" si="802"/>
        <v>45.699999999999996</v>
      </c>
      <c r="DJ445" s="201" t="str">
        <f>IF($D445="","",$D445)</f>
        <v>15</v>
      </c>
      <c r="DK445" s="465">
        <f>IF(AND($B445=" ",$D445&lt;&gt;""),1,0)</f>
        <v>0</v>
      </c>
    </row>
    <row r="446" spans="1:115" ht="14.5" customHeight="1" x14ac:dyDescent="0.2">
      <c r="A446" s="389"/>
      <c r="B446" s="456"/>
      <c r="C446" s="120" t="s">
        <v>54</v>
      </c>
      <c r="D446" s="374"/>
      <c r="E446" s="386"/>
      <c r="F446" s="377"/>
      <c r="G446" s="483"/>
      <c r="H446" s="476"/>
      <c r="I446" s="121" t="s">
        <v>61</v>
      </c>
      <c r="J446" s="179" t="str">
        <f>IF(OR(I445="TO",I445="TU",I445="TO1",I445="TU1",I445="TO2",I445="TU2"),J445,IF(OR(I445="AH1",I445="AH2"),IF(OR(I446="AH1",I446="AH2"),-J445,IF(OR(I446="EH1",I446="EH2"),-J445+0.5,"")),IF(OR(I445="EH1",I445="EH2"),IF(OR(I446="AH1",I446="AH2"),-J445+0.5,IF(OR(I446="EH1",I446="EH2"),-J445+1,"")),IF(AND(OR(I445="DNB1",I445="DNB2"),OR(I446="AH1",I446="AH2")),0,IF(AND(I445="Not ScoreBoth",OR(I446="TO1",I446="TO2")),0.5,"")))))</f>
        <v/>
      </c>
      <c r="K446" s="123" t="s">
        <v>37</v>
      </c>
      <c r="L446" s="124">
        <v>2.1</v>
      </c>
      <c r="M446" s="125">
        <v>13.03</v>
      </c>
      <c r="N446" s="406"/>
      <c r="O446" s="126">
        <f>IF(OR(AE445="",AE446=""),"",ROUND(IF(L447&gt;0,IF(M446&gt;0,M446,IF(M445&gt;0,IF(N445=TRUE,ROUND((M445*AE446)/AE445,0),(M445*AE446)/AE445),IF(M446&gt;0,ROUND(M446,IF(N445=0,2,IF(N445=0.1,1,0))),IF(M447&gt;0,ROUND(O447*AE446/AE447,IF(N445=0,2,IF(N445=0.1,1,0))),0)))),IF(M446&gt;0,M446,ROUND((M445*AE446)/AE445,IF(N445=0,2,IF(N445=0.1,1,0))))),2))</f>
        <v>13.03</v>
      </c>
      <c r="P446" s="127">
        <f>IF(OR(L446="",O446=""),"",IF($C446="1/2W",O446/2+O446/2*L446,IF($C446="1/2L",O446/2,IF(I446="Lay",((O446*(L446/(L446-1)))-O446)*(1-_xlfn.XLOOKUP(K446,'Fevereiro 2023 - Valor Real'!A3:A15,'Fevereiro 2023 - Valor Real'!C3:C15,0))+O446,(O446*L446-O446)*(1-_xlfn.XLOOKUP(K446,'Fevereiro 2023 - Valor Real'!A3:A15,'Fevereiro 2023 - Valor Real'!C3:C15,0))+O446))))</f>
        <v>27.363</v>
      </c>
      <c r="Q446" s="128">
        <f>IF(K446="","",IF(_xlfn.XLOOKUP(K446,K$4:K445,$DJ$4:DJ445,0,,-1)=DJ446,_xlfn.XLOOKUP(K446,K$4:K445,Q$4:Q445,1,,-1)+1,1))</f>
        <v>3</v>
      </c>
      <c r="R446" s="129">
        <f>IF(K446="","",_xlfn.XLOOKUP(K446,K$4:K445,R$4:R445,0,,-1)+IF($C446=" ",1,0))</f>
        <v>0</v>
      </c>
      <c r="S446" s="403"/>
      <c r="T446" s="380"/>
      <c r="U446" s="380"/>
      <c r="V446" s="481"/>
      <c r="W446" s="380"/>
      <c r="X446" s="452"/>
      <c r="Y446" s="383"/>
      <c r="Z446" s="384"/>
      <c r="AA446" s="384"/>
      <c r="AB446" s="384"/>
      <c r="AC446" s="384"/>
      <c r="AD446" s="130">
        <f>(((L446/(L446-1)-1)*(1-_xlfn.XLOOKUP(K446,'Fevereiro 2023 - Valor Real'!A3:A15,'Fevereiro 2023 - Valor Real'!C3:C15,0))+1))</f>
        <v>1.9090909090909089</v>
      </c>
      <c r="AE446" s="131">
        <f>IF(L446="","",IF(L447&gt;0,(SUM(((L445-1)*(1-_xlfn.XLOOKUP(K445,'Fevereiro 2023 - Valor Real'!A3:A15,'Fevereiro 2023 - Valor Real'!C3:C15,0))+1),((L446-1)*(1-_xlfn.XLOOKUP(K446,'Fevereiro 2023 - Valor Real'!A3:A15,'Fevereiro 2023 - Valor Real'!C3:C15,0))+1),((L447-1)*(1-_xlfn.XLOOKUP(K447,'Fevereiro 2023 - Valor Real'!A3:A15,'Fevereiro 2023 - Valor Real'!C3:C15,0))+1))/((L446-1)*(1-_xlfn.XLOOKUP(K446,'Fevereiro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Real'!C3:C15,0))+1))/((L445-1)*(1-_xlfn.XLOOKUP(K445,'Fevereiro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Real'!C3:C15,0))+1))/((L446-1)*(1-_xlfn.XLOOKUP(K446,'Fevereiro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Real'!C3:C15,0))+1))/((L447-1)*(1-_xlfn.XLOOKUP(K447,'Fevereiro 2023 - Valor Real'!A3:A15,'Fevereiro 2023 - Valor Real'!C3:C15,0))+1)),IF(I446="Lay",IF(I445="Lay",((L445/(L445-1)-1)*(1-_xlfn.XLOOKUP(K445,'Fevereiro 2023 - Valor Real'!A3:A15,'Fevereiro 2023 - Valor Real'!C3:C15,0))+1)/(((L445/(L445-1)-1)*(1-_xlfn.XLOOKUP(K445,'Fevereiro 2023 - Valor Real'!A3:A15,'Fevereiro 2023 - Valor Real'!C3:C15,0))+1)+((L446/(L446-1)-1)*(1-_xlfn.XLOOKUP(K446,'Fevereiro 2023 - Valor Real'!A3:A15,'Fevereiro 2023 - Valor Real'!C3:C15,0))+1)),((L445-1)*(1-_xlfn.XLOOKUP(K445,'Fevereiro 2023 - Valor Real'!A3:A15,'Fevereiro 2023 - Valor Real'!C3:C15,0))+1)/(((L445-1)*(1-_xlfn.XLOOKUP(K445,'Fevereiro 2023 - Valor Real'!A3:A15,'Fevereiro 2023 - Valor Real'!C3:C15,0))+1)+((L446/(L446-1)-1)*(1-_xlfn.XLOOKUP(K446,'Fevereiro 2023 - Valor Real'!A3:A15,'Fevereiro 2023 - Valor Real'!C3:C15,0))+1))),IF(I445="Lay",((L445/(L445-1)-1)*(1-_xlfn.XLOOKUP(K445,'Fevereiro 2023 - Valor Real'!A3:A15,'Fevereiro 2023 - Valor Real'!C3:C15,0))+1)/((((L445/(L445-1)-1)*(1-_xlfn.XLOOKUP(K445,'Fevereiro 2023 - Valor Real'!A3:A15,'Fevereiro 2023 - Valor Real'!C3:C15,0))+1))+((L446-1)*(1-_xlfn.XLOOKUP(K446,'Fevereiro 2023 - Valor Real'!A3:A15,'Fevereiro 2023 - Valor Real'!C3:C15,0))+1)),((L445-1)*(1-_xlfn.XLOOKUP(K445,'Fevereiro 2023 - Valor Real'!A3:A15,'Fevereiro 2023 - Valor Real'!C3:C15,0))+1)/(((L445-1)*(1-_xlfn.XLOOKUP(K445,'Fevereiro 2023 - Valor Real'!A3:A15,'Fevereiro 2023 - Valor Real'!C3:C15,0))+1)+((L446-1)*(1-_xlfn.XLOOKUP(K446,'Fevereiro 2023 - Valor Real'!A3:A15,'Fevereiro 2023 - Valor Real'!C3:C15,0))+1))))))</f>
        <v>0.49880668257756566</v>
      </c>
      <c r="AF446" s="105">
        <f t="shared" si="885"/>
        <v>0</v>
      </c>
      <c r="AG446" s="106">
        <f t="shared" si="885"/>
        <v>14.33</v>
      </c>
      <c r="AH446" s="106">
        <f t="shared" si="885"/>
        <v>0</v>
      </c>
      <c r="AI446" s="106">
        <f t="shared" si="885"/>
        <v>0</v>
      </c>
      <c r="AJ446" s="106">
        <f t="shared" si="885"/>
        <v>0</v>
      </c>
      <c r="AK446" s="106">
        <f t="shared" si="885"/>
        <v>0</v>
      </c>
      <c r="AL446" s="106">
        <f t="shared" si="885"/>
        <v>0</v>
      </c>
      <c r="AM446" s="106">
        <f t="shared" si="885"/>
        <v>0</v>
      </c>
      <c r="AN446" s="106">
        <f t="shared" si="885"/>
        <v>0</v>
      </c>
      <c r="AO446" s="106">
        <f t="shared" si="885"/>
        <v>0</v>
      </c>
      <c r="AP446" s="106">
        <f t="shared" si="885"/>
        <v>0</v>
      </c>
      <c r="AQ446" s="106">
        <f t="shared" si="885"/>
        <v>0</v>
      </c>
      <c r="AR446" s="107">
        <f t="shared" si="885"/>
        <v>0</v>
      </c>
      <c r="AS446" s="105">
        <f>IF(AND($B445=" ",$K446=AS$3),$O446,0)</f>
        <v>0</v>
      </c>
      <c r="AT446" s="106">
        <f>IF(AND($B445=" ",K446=AT$3),$O446,0)</f>
        <v>0</v>
      </c>
      <c r="AU446" s="106">
        <f t="shared" ref="AU446:BE446" si="890">IF(AND($B445=" ",$K446=AU$3),$O446,0)</f>
        <v>0</v>
      </c>
      <c r="AV446" s="106">
        <f t="shared" si="890"/>
        <v>0</v>
      </c>
      <c r="AW446" s="106">
        <f t="shared" si="890"/>
        <v>0</v>
      </c>
      <c r="AX446" s="106">
        <f t="shared" si="890"/>
        <v>0</v>
      </c>
      <c r="AY446" s="108">
        <f t="shared" si="890"/>
        <v>0</v>
      </c>
      <c r="AZ446" s="109">
        <f t="shared" si="890"/>
        <v>0</v>
      </c>
      <c r="BA446" s="109">
        <f t="shared" si="890"/>
        <v>0</v>
      </c>
      <c r="BB446" s="109">
        <f t="shared" si="890"/>
        <v>0</v>
      </c>
      <c r="BC446" s="110">
        <f t="shared" si="890"/>
        <v>0</v>
      </c>
      <c r="BD446" s="106">
        <f t="shared" si="890"/>
        <v>0</v>
      </c>
      <c r="BE446" s="107">
        <f t="shared" si="890"/>
        <v>0</v>
      </c>
      <c r="BF446" s="105">
        <f t="shared" si="887"/>
        <v>0</v>
      </c>
      <c r="BG446" s="106">
        <f t="shared" si="887"/>
        <v>13.03</v>
      </c>
      <c r="BH446" s="106">
        <f t="shared" si="887"/>
        <v>0</v>
      </c>
      <c r="BI446" s="106">
        <f t="shared" si="887"/>
        <v>0</v>
      </c>
      <c r="BJ446" s="106">
        <f t="shared" si="887"/>
        <v>0</v>
      </c>
      <c r="BK446" s="106">
        <f t="shared" si="887"/>
        <v>0</v>
      </c>
      <c r="BL446" s="106">
        <f t="shared" si="887"/>
        <v>0</v>
      </c>
      <c r="BM446" s="132">
        <f t="shared" si="887"/>
        <v>0</v>
      </c>
      <c r="BN446" s="112">
        <f t="shared" si="887"/>
        <v>0</v>
      </c>
      <c r="BO446" s="112">
        <f t="shared" si="887"/>
        <v>0</v>
      </c>
      <c r="BP446" s="112">
        <f t="shared" si="887"/>
        <v>0</v>
      </c>
      <c r="BQ446" s="110">
        <f t="shared" si="887"/>
        <v>0</v>
      </c>
      <c r="BR446" s="107">
        <f t="shared" si="887"/>
        <v>0</v>
      </c>
      <c r="BS446" s="464"/>
      <c r="BT446" s="461"/>
      <c r="BU446" s="392"/>
      <c r="BV446" s="461"/>
      <c r="BW446" s="392"/>
      <c r="BX446" s="392"/>
      <c r="BY446" s="392"/>
      <c r="BZ446" s="461"/>
      <c r="CA446" s="392"/>
      <c r="CB446" s="392"/>
      <c r="CC446" s="392"/>
      <c r="CD446" s="401"/>
      <c r="CE446" s="409"/>
      <c r="CF446" s="133">
        <f t="shared" si="772"/>
        <v>0</v>
      </c>
      <c r="CG446" s="134">
        <f t="shared" si="773"/>
        <v>0</v>
      </c>
      <c r="CH446" s="134">
        <f t="shared" si="774"/>
        <v>1</v>
      </c>
      <c r="CI446" s="134">
        <f t="shared" si="775"/>
        <v>0</v>
      </c>
      <c r="CJ446" s="134">
        <f t="shared" si="776"/>
        <v>0</v>
      </c>
      <c r="CK446" s="134">
        <f t="shared" si="777"/>
        <v>0</v>
      </c>
      <c r="CL446" s="134">
        <f t="shared" si="778"/>
        <v>0</v>
      </c>
      <c r="CM446" s="134">
        <f t="shared" si="779"/>
        <v>0</v>
      </c>
      <c r="CN446" s="134">
        <f t="shared" si="780"/>
        <v>0</v>
      </c>
      <c r="CO446" s="134">
        <f t="shared" si="781"/>
        <v>0</v>
      </c>
      <c r="CP446" s="134">
        <f t="shared" si="782"/>
        <v>0</v>
      </c>
      <c r="CQ446" s="134">
        <f t="shared" si="783"/>
        <v>0</v>
      </c>
      <c r="CR446" s="134">
        <f t="shared" si="784"/>
        <v>0</v>
      </c>
      <c r="CS446" s="134">
        <f t="shared" si="785"/>
        <v>0</v>
      </c>
      <c r="CT446" s="115">
        <f t="shared" si="786"/>
        <v>0</v>
      </c>
      <c r="CU446" s="116">
        <f t="shared" si="787"/>
        <v>0</v>
      </c>
      <c r="CV446" s="116">
        <f t="shared" si="788"/>
        <v>0</v>
      </c>
      <c r="CW446" s="116">
        <f t="shared" si="789"/>
        <v>0</v>
      </c>
      <c r="CX446" s="116">
        <f t="shared" si="790"/>
        <v>0</v>
      </c>
      <c r="CY446" s="116">
        <f t="shared" si="791"/>
        <v>0</v>
      </c>
      <c r="CZ446" s="116">
        <f t="shared" si="792"/>
        <v>0</v>
      </c>
      <c r="DA446" s="116">
        <f t="shared" si="793"/>
        <v>0</v>
      </c>
      <c r="DB446" s="116">
        <f t="shared" si="794"/>
        <v>0</v>
      </c>
      <c r="DC446" s="116">
        <f t="shared" si="795"/>
        <v>0</v>
      </c>
      <c r="DD446" s="116">
        <f t="shared" si="796"/>
        <v>0</v>
      </c>
      <c r="DE446" s="117">
        <f t="shared" si="797"/>
        <v>0</v>
      </c>
      <c r="DF446" s="118">
        <f t="shared" si="799"/>
        <v>30</v>
      </c>
      <c r="DG446" s="106">
        <f t="shared" si="800"/>
        <v>38.739999999999995</v>
      </c>
      <c r="DH446" s="116">
        <f t="shared" si="801"/>
        <v>11</v>
      </c>
      <c r="DI446" s="106">
        <f t="shared" si="802"/>
        <v>45.699999999999996</v>
      </c>
      <c r="DJ446" s="201" t="str">
        <f>IF($D445="","",$D445)</f>
        <v>15</v>
      </c>
      <c r="DK446" s="466"/>
    </row>
    <row r="447" spans="1:115" ht="14.5" customHeight="1" x14ac:dyDescent="0.2">
      <c r="A447" s="390"/>
      <c r="B447" s="457"/>
      <c r="C447" s="135" t="s">
        <v>53</v>
      </c>
      <c r="D447" s="375"/>
      <c r="E447" s="387"/>
      <c r="F447" s="378"/>
      <c r="G447" s="484"/>
      <c r="H447" s="477"/>
      <c r="I447" s="136"/>
      <c r="J447" s="137"/>
      <c r="K447" s="138"/>
      <c r="L447" s="139"/>
      <c r="M447" s="140"/>
      <c r="N447" s="407"/>
      <c r="O447" s="141" t="str">
        <f>IF(OR(AE445="",AE446=""),"",IF(L447&gt;0,ROUND(IF(M447&gt;0,M447,IF(M445&gt;0,ROUND((M445*AE447)/AE445,IF(N445=0,2,IF(N445=0.1,1,0))),IF(M446&gt;0,ROUND((M446*AE447)/AE446,IF(N445=0,2,IF(N445=0.1,1,0))),IF(M447&gt;0,M447,0)))),2),""))</f>
        <v/>
      </c>
      <c r="P447" s="142" t="str">
        <f>IF(I446="Lay",O446*(L446/(L446-1))-O446,IF(I445="Lay",O445*(L445/(L445-1))-O445,IF(OR(L447="",O447=""),"",IF($C447="1/2W",O447/2+O447/2*L447,IF($C447="1/2L",O447/2,(O447*L447-O447)*(1-_xlfn.XLOOKUP(K447,'Fevereiro 2023 - Valor Real'!A3:A15,'Fevereiro 2023 - Valor Real'!C3:C15,0))+O447)))))</f>
        <v/>
      </c>
      <c r="Q447" s="143" t="str">
        <f>IF(K447="","",IF(_xlfn.XLOOKUP(K447,K$4:K446,$DJ$4:DJ446,0,,-1)=DJ447,_xlfn.XLOOKUP(K447,K$4:K446,Q$4:Q446,1,,-1)+1,1))</f>
        <v/>
      </c>
      <c r="R447" s="144" t="str">
        <f>IF(K447="","",_xlfn.XLOOKUP(K447,K$4:K446,R$4:R446,0,,-1)+IF($C447=" ",1,0))</f>
        <v/>
      </c>
      <c r="S447" s="404"/>
      <c r="T447" s="378"/>
      <c r="U447" s="378"/>
      <c r="V447" s="404"/>
      <c r="W447" s="378"/>
      <c r="X447" s="453"/>
      <c r="Y447" s="383"/>
      <c r="Z447" s="384"/>
      <c r="AA447" s="384"/>
      <c r="AB447" s="384"/>
      <c r="AC447" s="384"/>
      <c r="AD447" s="145">
        <f>((L446/(L446-1)-1))</f>
        <v>0.90909090909090895</v>
      </c>
      <c r="AE447" s="146" t="str">
        <f>IF(L447="","",(SUM(((L445-1)*(1-_xlfn.XLOOKUP(K445,'Fevereiro 2023 - Valor Real'!A3:A15,'Fevereiro 2023 - Valor Real'!C3:C15,0))+1),((L446-1)*(1-_xlfn.XLOOKUP(K446,'Fevereiro 2023 - Valor Real'!A3:A15,'Fevereiro 2023 - Valor Real'!C3:C15,0))+1),((L447-1)*(1-_xlfn.XLOOKUP(K447,'Fevereiro 2023 - Valor Real'!A3:A15,'Fevereiro 2023 - Valor Real'!C3:C15,0))+1))/((L447-1)*(1-_xlfn.XLOOKUP(K447,'Fevereiro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Real'!C3:C15,0))+1))/((L445-1)*(1-_xlfn.XLOOKUP(K445,'Fevereiro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Real'!C3:C15,0))+1))/((L446-1)*(1-_xlfn.XLOOKUP(K446,'Fevereiro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Real'!C3:C15,0))+1))/((L447-1)*(1-_xlfn.XLOOKUP(K447,'Fevereiro 2023 - Valor Real'!A3:A15,'Fevereiro 2023 - Valor Real'!C3:C15,0))+1)))</f>
        <v/>
      </c>
      <c r="AF447" s="105">
        <f t="shared" si="885"/>
        <v>0</v>
      </c>
      <c r="AG447" s="106">
        <f t="shared" si="885"/>
        <v>0</v>
      </c>
      <c r="AH447" s="106">
        <f t="shared" si="885"/>
        <v>0</v>
      </c>
      <c r="AI447" s="106">
        <f t="shared" si="885"/>
        <v>0</v>
      </c>
      <c r="AJ447" s="106">
        <f t="shared" si="885"/>
        <v>0</v>
      </c>
      <c r="AK447" s="106">
        <f t="shared" si="885"/>
        <v>0</v>
      </c>
      <c r="AL447" s="106">
        <f t="shared" si="885"/>
        <v>0</v>
      </c>
      <c r="AM447" s="106">
        <f t="shared" si="885"/>
        <v>0</v>
      </c>
      <c r="AN447" s="106">
        <f t="shared" si="885"/>
        <v>0</v>
      </c>
      <c r="AO447" s="106">
        <f t="shared" si="885"/>
        <v>0</v>
      </c>
      <c r="AP447" s="106">
        <f t="shared" si="885"/>
        <v>0</v>
      </c>
      <c r="AQ447" s="106">
        <f t="shared" si="885"/>
        <v>0</v>
      </c>
      <c r="AR447" s="107">
        <f t="shared" si="885"/>
        <v>0</v>
      </c>
      <c r="AS447" s="105">
        <f>IF(AND($B445=" ",$K447=AS$3),$O447,0)</f>
        <v>0</v>
      </c>
      <c r="AT447" s="106">
        <f>IF(AND($B445=" ",K447=AT$3),$O447,0)</f>
        <v>0</v>
      </c>
      <c r="AU447" s="106">
        <f t="shared" ref="AU447:BE447" si="891">IF(AND($B445=" ",$K447=AU$3),$O447,0)</f>
        <v>0</v>
      </c>
      <c r="AV447" s="106">
        <f t="shared" si="891"/>
        <v>0</v>
      </c>
      <c r="AW447" s="106">
        <f t="shared" si="891"/>
        <v>0</v>
      </c>
      <c r="AX447" s="106">
        <f t="shared" si="891"/>
        <v>0</v>
      </c>
      <c r="AY447" s="108">
        <f t="shared" si="891"/>
        <v>0</v>
      </c>
      <c r="AZ447" s="109">
        <f t="shared" si="891"/>
        <v>0</v>
      </c>
      <c r="BA447" s="109">
        <f t="shared" si="891"/>
        <v>0</v>
      </c>
      <c r="BB447" s="109">
        <f t="shared" si="891"/>
        <v>0</v>
      </c>
      <c r="BC447" s="110">
        <f t="shared" si="891"/>
        <v>0</v>
      </c>
      <c r="BD447" s="106">
        <f t="shared" si="891"/>
        <v>0</v>
      </c>
      <c r="BE447" s="107">
        <f t="shared" si="891"/>
        <v>0</v>
      </c>
      <c r="BF447" s="105">
        <f t="shared" si="887"/>
        <v>0</v>
      </c>
      <c r="BG447" s="106">
        <f t="shared" si="887"/>
        <v>0</v>
      </c>
      <c r="BH447" s="106">
        <f t="shared" si="887"/>
        <v>0</v>
      </c>
      <c r="BI447" s="106">
        <f t="shared" si="887"/>
        <v>0</v>
      </c>
      <c r="BJ447" s="106">
        <f t="shared" si="887"/>
        <v>0</v>
      </c>
      <c r="BK447" s="106">
        <f t="shared" si="887"/>
        <v>0</v>
      </c>
      <c r="BL447" s="106">
        <f t="shared" si="887"/>
        <v>0</v>
      </c>
      <c r="BM447" s="108">
        <f t="shared" si="887"/>
        <v>0</v>
      </c>
      <c r="BN447" s="109">
        <f t="shared" si="887"/>
        <v>0</v>
      </c>
      <c r="BO447" s="109">
        <f t="shared" si="887"/>
        <v>0</v>
      </c>
      <c r="BP447" s="109">
        <f t="shared" si="887"/>
        <v>0</v>
      </c>
      <c r="BQ447" s="110">
        <f t="shared" si="887"/>
        <v>0</v>
      </c>
      <c r="BR447" s="107">
        <f t="shared" si="887"/>
        <v>0</v>
      </c>
      <c r="BS447" s="464"/>
      <c r="BT447" s="461"/>
      <c r="BU447" s="392"/>
      <c r="BV447" s="461"/>
      <c r="BW447" s="392"/>
      <c r="BX447" s="392"/>
      <c r="BY447" s="392"/>
      <c r="BZ447" s="461"/>
      <c r="CA447" s="392"/>
      <c r="CB447" s="392"/>
      <c r="CC447" s="392"/>
      <c r="CD447" s="401"/>
      <c r="CE447" s="409"/>
      <c r="CF447" s="133">
        <f t="shared" si="772"/>
        <v>0</v>
      </c>
      <c r="CG447" s="134">
        <f t="shared" si="773"/>
        <v>0</v>
      </c>
      <c r="CH447" s="134">
        <f t="shared" si="774"/>
        <v>0</v>
      </c>
      <c r="CI447" s="134">
        <f t="shared" si="775"/>
        <v>0</v>
      </c>
      <c r="CJ447" s="134">
        <f t="shared" si="776"/>
        <v>0</v>
      </c>
      <c r="CK447" s="134">
        <f t="shared" si="777"/>
        <v>0</v>
      </c>
      <c r="CL447" s="134">
        <f t="shared" si="778"/>
        <v>0</v>
      </c>
      <c r="CM447" s="134">
        <f t="shared" si="779"/>
        <v>0</v>
      </c>
      <c r="CN447" s="134">
        <f t="shared" si="780"/>
        <v>0</v>
      </c>
      <c r="CO447" s="134">
        <f t="shared" si="781"/>
        <v>0</v>
      </c>
      <c r="CP447" s="134">
        <f t="shared" si="782"/>
        <v>0</v>
      </c>
      <c r="CQ447" s="134">
        <f t="shared" si="783"/>
        <v>0</v>
      </c>
      <c r="CR447" s="134">
        <f t="shared" si="784"/>
        <v>0</v>
      </c>
      <c r="CS447" s="134">
        <f t="shared" si="785"/>
        <v>0</v>
      </c>
      <c r="CT447" s="115">
        <f t="shared" si="786"/>
        <v>0</v>
      </c>
      <c r="CU447" s="116">
        <f t="shared" si="787"/>
        <v>0</v>
      </c>
      <c r="CV447" s="116">
        <f t="shared" si="788"/>
        <v>0</v>
      </c>
      <c r="CW447" s="116">
        <f t="shared" si="789"/>
        <v>0</v>
      </c>
      <c r="CX447" s="116">
        <f t="shared" si="790"/>
        <v>0</v>
      </c>
      <c r="CY447" s="116">
        <f t="shared" si="791"/>
        <v>0</v>
      </c>
      <c r="CZ447" s="116">
        <f t="shared" si="792"/>
        <v>0</v>
      </c>
      <c r="DA447" s="116">
        <f t="shared" si="793"/>
        <v>0</v>
      </c>
      <c r="DB447" s="116">
        <f t="shared" si="794"/>
        <v>0</v>
      </c>
      <c r="DC447" s="116">
        <f t="shared" si="795"/>
        <v>0</v>
      </c>
      <c r="DD447" s="116">
        <f t="shared" si="796"/>
        <v>0</v>
      </c>
      <c r="DE447" s="117">
        <f t="shared" si="797"/>
        <v>0</v>
      </c>
      <c r="DF447" s="118">
        <f t="shared" si="799"/>
        <v>30</v>
      </c>
      <c r="DG447" s="106">
        <f t="shared" si="800"/>
        <v>38.739999999999995</v>
      </c>
      <c r="DH447" s="116">
        <f t="shared" si="801"/>
        <v>11</v>
      </c>
      <c r="DI447" s="106">
        <f t="shared" si="802"/>
        <v>45.699999999999996</v>
      </c>
      <c r="DJ447" s="201" t="str">
        <f>IF($D445="","",$D445)</f>
        <v>15</v>
      </c>
      <c r="DK447" s="466"/>
    </row>
    <row r="448" spans="1:115" ht="14.5" customHeight="1" x14ac:dyDescent="0.2">
      <c r="A448" s="487">
        <f>$A445+1</f>
        <v>149</v>
      </c>
      <c r="B448" s="506" t="str">
        <f>IF(OR(C448="W",C449="W",C450="W",C448="1/2W",C449="1/2W",C450="1/2W",C448="1/2L",C449="1/2L",C450="1/2L"),"OK",IF(OR(C448="L",C449="L",C450="L"),"LOSS",IF(OR(C448="X",C449="X",C450="X"),"Anulado"," ")))</f>
        <v>OK</v>
      </c>
      <c r="C448" s="147" t="s">
        <v>54</v>
      </c>
      <c r="D448" s="494" t="str">
        <f>IF(G448="","",$D445)</f>
        <v>15</v>
      </c>
      <c r="E448" s="511" t="str">
        <f>IF(G448=""," ","– "&amp;COUNTIF(D$4:D450,$D448))</f>
        <v>– 7</v>
      </c>
      <c r="F448" s="510" t="str">
        <f ca="1">IF(G448="","",IF(OR(AND($C448&lt;&gt;" ",$C449=" "),AND($C449&lt;&gt;" ",$C448=" "),AND(L450&gt;0,OR(AND($C450&lt;&gt;" ",OR($C448=" ",$C449=" ")),AND($C450=" ",OR($C448&lt;&gt;" ",$C449&lt;&gt;" "))))),IF(SUM(F$4:F447)=0,1,LARGE(F$4:F447,1)+1),IF(MONTH(G448)=MONTH(TODAY()),IF(AND(DAY(G448)&lt;DAY(TODAY()),$B448=" "),IF(SUM(F$4:F447)=0,1,LARGE(F$4:F447,1)+1),IF($B448=" ",IF(AND(DAY(G448)=DAY(TODAY()),HOUR(G448)&lt;=HOUR(NOW())+1),IF(AND(HOUR(G448)+2&lt;=HOUR(NOW()),DAY(G448)&lt;=DAY(TODAY()),MINUTE(G448)&lt;=MINUTE(NOW())),IF(SUM(F$4:F447)=0,1,LARGE(F$4:F447,1)+1),IF(OR(MINUTE(G448)&lt;=MINUTE(NOW()),HOUR(G448)&lt;=HOUR(NOW())),"!!!","")),""),"")),"")))</f>
        <v/>
      </c>
      <c r="G448" s="508">
        <v>45002.208333333336</v>
      </c>
      <c r="H448" s="502" t="s">
        <v>188</v>
      </c>
      <c r="I448" s="180" t="s">
        <v>76</v>
      </c>
      <c r="J448" s="181">
        <v>-5.5</v>
      </c>
      <c r="K448" s="150" t="s">
        <v>40</v>
      </c>
      <c r="L448" s="151">
        <v>1.8</v>
      </c>
      <c r="M448" s="152">
        <v>14.06</v>
      </c>
      <c r="N448" s="503">
        <v>0</v>
      </c>
      <c r="O448" s="153">
        <f>IF(OR(AE448="",AE449=""),"",ROUND(IF(L450&gt;0,IF(M448&gt;0,M448,IF(M449&gt;0,ROUND((M449*AE448)/AE449,IF(N448=0,2,IF(N448=0.1,1,0))),ROUND((M450*AE448)/AE450,IF(N448=0,2,IF(N448=0.1,1,0))))),IF(M448&gt;0,M448,ROUND((M449*AE448)/AE449,IF(N448=0,2,IF(N448=0.1,1,0))))),2))</f>
        <v>14.06</v>
      </c>
      <c r="P448" s="154">
        <f>IF(OR(L448="",O448=""),"",IF($C448="1/2W",O448/2+O448/2*L448,IF($C448="1/2L",O448/2,IF(I448="Lay",(O448*(L448/(L448-1))-O448)*(1-_xlfn.XLOOKUP(K448,'Fevereiro 2023 - Valor Real'!A3:A15,'Fevereiro 2023 - Valor Real'!C3:C15,0))+O448,(O448*L448-O448)*(1-_xlfn.XLOOKUP(K448,'Fevereiro 2023 - Valor Real'!A3:A15,'Fevereiro 2023 - Valor Real'!C3:C15,0))+O448))))</f>
        <v>25.308</v>
      </c>
      <c r="Q448" s="155">
        <f>IF(K448="","",IF(_xlfn.XLOOKUP(K448,K$9:K440,$DJ$9:DJ440,0,,-1)=DJ448,_xlfn.XLOOKUP(K448,K$9:K440,Q$9:Q440,1,,-1)+1,1))</f>
        <v>2</v>
      </c>
      <c r="R448" s="156">
        <f>IF(K448="","",_xlfn.XLOOKUP(K448,K$9:K440,R$9:R440,0,,-1)+IF($C448=" ",1,0))</f>
        <v>0</v>
      </c>
      <c r="S448" s="501">
        <f>IF($B448="Anulado",0,ROUND(IF(OR($B448="LOSS",$B448="OK"),IF(OR($C448="W",$C448="1/2W",$C448="1/2L"),P448-O448,IF($C448="L",-O448,0))+IF(OR($C449="W",$C449="1/2W",$C449="1/2L"),P449-O449,IF($C449="L",-O449,0))+IF(OR($C450="W",$C450="1/2W",$C450="1/2L"),P450-O450,IF($C450="L",-O450,0)),IF(AND(OR($C448="W",$C448="1/2W",$C448="1/2L"),C449="W"),P448+P449-SUM(O448:O450)+_xlfn.XLOOKUP("X",C448:C450,O448:O450,0),IF(AND(C448=TRUE,C450="W"),P448+P450-SUM(O448:O450),IF(AND(C449="W",C450="W"),P449+P450-SUM(O448:O450)+_xlfn.XLOOKUP("X",C448:C450,O448:O450,0),IF(L450&gt;0,IF(OR($C448="W",$C448="1/2W",$C448="1/2L"),P448-SUM(O448:O450)+_xlfn.XLOOKUP("X",C448:C450,O448:O450,0),IF(OR($C448="W",$C448="1/2W",$C448="1/2L"),P449-SUM(O448:O450)+_xlfn.XLOOKUP("X",C448:C450,O448:O450,0),IF(OR($C448="W",$C448="1/2W",$C448="1/2L"),P450-SUM(O448:O450)+_xlfn.XLOOKUP("X",C448:C450,O448:O450,0),IF(SUM(P448:P450)/3-SUM(O448:O450)+_xlfn.XLOOKUP("X",C448:C450,O448:O450,0)&gt;0,SUM(P448:P450)/3-SUM(O448:O450)+_xlfn.XLOOKUP("X",C448:C450,O448:O450,0),LARGE(P448:P450,1)-SUM(O448:O450))))),IF(OR($C448="W",$C448="1/2W",$C448="1/2L"),P448-SUM(O448:O449)+_xlfn.XLOOKUP("X",C448:C450,O448:O450,0),IF(OR($C448="W",$C448="1/2W",$C448="1/2L"),P449-SUM(O448:O449)+_xlfn.XLOOKUP("X",C448:C450,O448:O450,0),SUM(P448:P449)/2-SUM(O448:O449)+_xlfn.XLOOKUP("X",C448:C450,O448:O450,0)))))))),2))</f>
        <v>1.63</v>
      </c>
      <c r="T448" s="486">
        <f>IF(S448=0,0,S448/SUM(O448:O450))</f>
        <v>6.8834459459459457E-2</v>
      </c>
      <c r="U448" s="496">
        <f>IF($D448=$D445,IF(OR($B448="LOSS",$B448="OK",$B448="Anulada"),S448,0)+U445,IF(OR($B448="LOSS",$B448="OK",$B448="Anulada"),S448,0))</f>
        <v>21.49</v>
      </c>
      <c r="V448" s="496">
        <f>IF($D448="",0,IF($D448=$D445,IF($B448=" ",IF(I450="",IF(OR(AND(I448="DNB1",I449="DNB2"),AND(OR(I448="DNB1",I448="DNB2"),J449=0),AND(OR(I449="DNB1",I449="DNB2"),J448=0),AND(I448="DNB2",I449="DNB1"),AND(IF(J448=0,(J448+1)/ROUND(J448+1,0),J448/ROUND(J448,0))=1,IF(J449=0,(J449+1)/ROUND(IF(J449="",0,J449)+1,0),IF(J449="",0,J449)/ROUND(IF(J449="",1,J449),0))=1,OR(J448&lt;&gt;""),J449&lt;&gt;"")),0,IF(S448&lt;0,IF(I450="",SMALL(P448:P449,1)-SUM(O448:O449),0),SMALL(P448:P449,1)-SUM(O448:O449))),IF(S448&lt;0,IF(I450="",SMALL(P448:P450,1)-SUM(O448:O450),0),LARGE(P448:P450,1)-SUM(O448:O450))),S448)+V445,IF(I450="",IF(OR(AND(I448="DNB1",I449="DNB2"),AND(OR(I448="DNB1",I448="DNB2"),J449=0),AND(OR(I449="DNB1",I449="DNB2"),J448=0),AND(I448="DNB2",I449="DNB1"),AND(IF(J448=0,(J448+1)/ROUND(J448+1,0),J448/ROUND(J448,0))=1,IF(J449=0,(IF(J449="",0,J449)+1)/ROUND(IF(J449="",0,J449)+1,0),IF(J449="",0,J449)/ROUND(IF(J449="",0,J449)+1,0))=1,OR(J448&lt;&gt;""),J449&lt;&gt;"")),0,IF(S448&lt;0,IF(I450="",SMALL(P448:P449,1)-SUM(O448:O449),0),SMALL(P448:P450,1)-SUM(O448:O450))),IF(S448&lt;0,IF(I450="",SMALL(P448:P450,1)-SUM(O448:O450),0),LARGE(P448:P450,1)-SUM(O448:O450)))))</f>
        <v>21.476599999999998</v>
      </c>
      <c r="W448" s="496">
        <f>IF($D448=$D445,IF(S448&lt;0,IF(I450="",S448,0),S448)+W445,S448)</f>
        <v>21.49</v>
      </c>
      <c r="X448" s="505" t="str">
        <f>IF(OR(SUM(R448:R450)=0,V448=W448),ROUND(IF(W448=0,0,W448/Y448)*100,2)&amp;"%",ROUND(IF(V448=0,0,V448/Y448)*100,2)&amp;"% a "&amp;ROUND(IF(W448=0,0,W448/Y448)*100,2)&amp;"%")</f>
        <v>4,53%</v>
      </c>
      <c r="Y448" s="497">
        <f>IF($D448=$D445,Y445+SUM(O448:O450),SUM(O448:O450))</f>
        <v>474.11000000000007</v>
      </c>
      <c r="Z448" s="496">
        <f>IF($B448=" ",SUM(O448:O450),0)+Z445</f>
        <v>0</v>
      </c>
      <c r="AA448" s="496">
        <f>IF(G448="","",IF($B448="Anulado",LARGE(P448:P450,1)-SUM(O448:O450)+AA445,AA445))</f>
        <v>12.425099999999992</v>
      </c>
      <c r="AB448" s="496">
        <f>IF($D448="","",AB445+S448)</f>
        <v>549.91000000000008</v>
      </c>
      <c r="AC448" s="499">
        <f ca="1">IF($D448="","",IF($B448=" ",IF(DAY(G448)=DAY(TODAY()),1+AC445,0+AC445),0+AC445))</f>
        <v>0</v>
      </c>
      <c r="AD448" s="157">
        <f>(1-_xlfn.XLOOKUP(K446,'Fevereiro 2023 - Valor Real'!A3:A15,'Fevereiro 2023 - Valor Real'!C3:C15,0))+1</f>
        <v>2</v>
      </c>
      <c r="AE448" s="158">
        <f>IF(L448="","",IF(L450&gt;0,(SUM(((L448-1)*(1-_xlfn.XLOOKUP(K448,'Fevereiro 2023 - Valor Real'!A3:A15,'Fevereiro 2023 - Valor Real'!C3:C15,0))+1),((L449-1)*(1-_xlfn.XLOOKUP(K449,'Fevereiro 2023 - Valor Real'!A3:A15,'Fevereiro 2023 - Valor Real'!C3:C15,0))+1),((L450-1)*(1-_xlfn.XLOOKUP(K450,'Fevereiro 2023 - Valor Real'!A3:A15,'Fevereiro 2023 - Valor Real'!C3:C15,0))+1))/((L448-1)*(1-_xlfn.XLOOKUP(K448,'Fevereiro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Real'!C3:C15,0))+1))/((L448-1)*(1-_xlfn.XLOOKUP(K448,'Fevereiro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Real'!C3:C15,0))+1))/((L449-1)*(1-_xlfn.XLOOKUP(K449,'Fevereiro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Real'!C3:C15,0))+1))/((L450-1)*(1-_xlfn.XLOOKUP(K450,'Fevereiro 2023 - Valor Real'!A3:A15,'Fevereiro 2023 - Valor Real'!C3:C15,0))+1)),IF(I448="Lay",IF(I449="Lay",((L449/(L449-1)-1)*(1-_xlfn.XLOOKUP(K449,'Fevereiro 2023 - Valor Real'!A3:A15,'Fevereiro 2023 - Valor Real'!C3:C15,0))+1)/(((L449/(L449-1)-1)*(1-_xlfn.XLOOKUP(K449,'Fevereiro 2023 - Valor Real'!A3:A15,'Fevereiro 2023 - Valor Real'!C3:C15,0))+1)+((L448/(L448-1)-1)*(1-_xlfn.XLOOKUP(K448,'Fevereiro 2023 - Valor Real'!A3:A15,'Fevereiro 2023 - Valor Real'!C3:C15,0))+1)),((L449-1)*(1-_xlfn.XLOOKUP(K449,'Fevereiro 2023 - Valor Real'!A3:A15,'Fevereiro 2023 - Valor Real'!C3:C15,0))+1)/(((L449-1)*(1-_xlfn.XLOOKUP(K449,'Fevereiro 2023 - Valor Real'!A3:A15,'Fevereiro 2023 - Valor Real'!C3:C15,0))+1)+((L448/(L448-1)-1)*(1-_xlfn.XLOOKUP(K448,'Fevereiro 2023 - Valor Real'!A3:A15,'Fevereiro 2023 - Valor Real'!C3:C15,0))+1))),IF(I449="Lay",(((L449/(L449-1)-1)*(1-_xlfn.XLOOKUP(K449,'Fevereiro 2023 - Valor Real'!A3:A15,'Fevereiro 2023 - Valor Real'!C3:C15,0))+1))/(((L448-1)*(1-_xlfn.XLOOKUP(K448,'Fevereiro 2023 - Valor Real'!A3:A15,'Fevereiro 2023 - Valor Real'!C3:C15,0))+1)+((L449/(L449-1)-1)*(1-_xlfn.XLOOKUP(K449,'Fevereiro 2023 - Valor Real'!A3:A15,'Fevereiro 2023 - Valor Real'!C3:C15,0))+1)),((L449-1)*(1-_xlfn.XLOOKUP(K449,'Fevereiro 2023 - Valor Real'!A3:A15,'Fevereiro 2023 - Valor Real'!C3:C15,0))+1)/(((L449-1)*(1-_xlfn.XLOOKUP(K449,'Fevereiro 2023 - Valor Real'!A3:A15,'Fevereiro 2023 - Valor Real'!C3:C15,0))+1)+((L448-1)*(1-_xlfn.XLOOKUP(K448,'Fevereiro 2023 - Valor Real'!A3:A15,'Fevereiro 2023 - Valor Real'!C3:C15,0))+1))))))</f>
        <v>0.5936794582392777</v>
      </c>
      <c r="AF448" s="66">
        <f t="shared" si="885"/>
        <v>0</v>
      </c>
      <c r="AG448" s="67">
        <f t="shared" si="885"/>
        <v>0</v>
      </c>
      <c r="AH448" s="67">
        <f t="shared" si="885"/>
        <v>0</v>
      </c>
      <c r="AI448" s="67">
        <f t="shared" si="885"/>
        <v>0</v>
      </c>
      <c r="AJ448" s="67">
        <f t="shared" si="885"/>
        <v>11.25</v>
      </c>
      <c r="AK448" s="67">
        <f t="shared" si="885"/>
        <v>0</v>
      </c>
      <c r="AL448" s="67">
        <f t="shared" si="885"/>
        <v>0</v>
      </c>
      <c r="AM448" s="67">
        <f t="shared" si="885"/>
        <v>0</v>
      </c>
      <c r="AN448" s="67">
        <f t="shared" si="885"/>
        <v>0</v>
      </c>
      <c r="AO448" s="67">
        <f t="shared" si="885"/>
        <v>0</v>
      </c>
      <c r="AP448" s="67">
        <f t="shared" si="885"/>
        <v>0</v>
      </c>
      <c r="AQ448" s="67">
        <f t="shared" si="885"/>
        <v>0</v>
      </c>
      <c r="AR448" s="68">
        <f t="shared" si="885"/>
        <v>0</v>
      </c>
      <c r="AS448" s="66">
        <f t="shared" ref="AS448:BE448" si="892">IF(AND($B448=" ",$K448=AS$3),$O448,0)</f>
        <v>0</v>
      </c>
      <c r="AT448" s="67">
        <f t="shared" si="892"/>
        <v>0</v>
      </c>
      <c r="AU448" s="67">
        <f t="shared" si="892"/>
        <v>0</v>
      </c>
      <c r="AV448" s="67">
        <f t="shared" si="892"/>
        <v>0</v>
      </c>
      <c r="AW448" s="67">
        <f t="shared" si="892"/>
        <v>0</v>
      </c>
      <c r="AX448" s="67">
        <f t="shared" si="892"/>
        <v>0</v>
      </c>
      <c r="AY448" s="69">
        <f t="shared" si="892"/>
        <v>0</v>
      </c>
      <c r="AZ448" s="70">
        <f t="shared" si="892"/>
        <v>0</v>
      </c>
      <c r="BA448" s="70">
        <f t="shared" si="892"/>
        <v>0</v>
      </c>
      <c r="BB448" s="70">
        <f t="shared" si="892"/>
        <v>0</v>
      </c>
      <c r="BC448" s="71">
        <f t="shared" si="892"/>
        <v>0</v>
      </c>
      <c r="BD448" s="67">
        <f t="shared" si="892"/>
        <v>0</v>
      </c>
      <c r="BE448" s="68">
        <f t="shared" si="892"/>
        <v>0</v>
      </c>
      <c r="BF448" s="66">
        <f t="shared" si="887"/>
        <v>0</v>
      </c>
      <c r="BG448" s="67">
        <f t="shared" si="887"/>
        <v>0</v>
      </c>
      <c r="BH448" s="67">
        <f t="shared" si="887"/>
        <v>0</v>
      </c>
      <c r="BI448" s="67">
        <f t="shared" si="887"/>
        <v>0</v>
      </c>
      <c r="BJ448" s="67">
        <f t="shared" si="887"/>
        <v>14.06</v>
      </c>
      <c r="BK448" s="67">
        <f t="shared" si="887"/>
        <v>0</v>
      </c>
      <c r="BL448" s="67">
        <f t="shared" si="887"/>
        <v>0</v>
      </c>
      <c r="BM448" s="69">
        <f t="shared" si="887"/>
        <v>0</v>
      </c>
      <c r="BN448" s="70">
        <f t="shared" si="887"/>
        <v>0</v>
      </c>
      <c r="BO448" s="70">
        <f t="shared" si="887"/>
        <v>0</v>
      </c>
      <c r="BP448" s="70">
        <f t="shared" si="887"/>
        <v>0</v>
      </c>
      <c r="BQ448" s="71">
        <f t="shared" si="887"/>
        <v>0</v>
      </c>
      <c r="BR448" s="68">
        <f t="shared" si="887"/>
        <v>0</v>
      </c>
      <c r="BS448" s="490">
        <f>IF($B448="LOSS",IF(AND($K448=BS$3,$C448="L"),-$O448,0)+IF(AND($K449=BS$3,$C449="L"),-$O449,0)+IF(AND($K450=BS$3,$C450="L"),-$O450,0),IF(OR(AND($K448=BS$3,OR($C448="W",$C448="1/2W")),AND($K449=BS$3,OR($C449="W",$C449="1/2W")),AND($K450=BS$3,OR($C450="W",$C450="1/2W"))),$S448,0))</f>
        <v>0</v>
      </c>
      <c r="BT448" s="498">
        <f>IF($B448="LOSS",IF(AND($K448=BT$3,$C448="L"),-$O448,0)+IF(AND($K449=BT$3,$C449="L"),-$O449,0)+IF(AND($K449=BT$3,$C450="L"),-$O450,0),IF(OR(AND($K449=BT$3,OR($C448="W",$C448="1/2W")),AND($K449=BT$3,OR($C449="W",$C449="1/2W")),AND($K449=BT$3,OR($C450="W",$C450="1/2W"))),$S448,0))</f>
        <v>0</v>
      </c>
      <c r="BU448" s="488">
        <f>IF($B448="LOSS",IF(AND($K448=BU$3,$C448="L"),-$O448,0)+IF(AND($K449=BU$3,$C449="L"),-$O449,0)+IF(AND($K449=BU$3,$C450="L"),-$O450,0),IF(OR(AND($K449=BU$3,OR($C448="W",$C448="1/2W")),AND($K449=BU$3,OR($C449="W",$C449="1/2W")),AND($K449=BU$3,OR($C450="W",$C450="1/2W"))),$S448,0))</f>
        <v>0</v>
      </c>
      <c r="BV448" s="488">
        <f t="shared" ref="BV448:CE448" si="893">IF($B448="LOSS",IF(AND($K448=BV$3,$C448="L"),-$O448,0)+IF(AND($K449=BV$3,$C449="L"),-$O449,0)+IF(AND($K450=BV$3,$C450="L"),-$O450,0),IF(OR(AND($K448=BV$3,OR($C448="W",$C448="1/2W")),AND($K449=BV$3,OR($C449="W",$C449="1/2W")),AND($K450=BV$3,OR($C450="W",$C450="1/2W"))),$S448,0))</f>
        <v>0</v>
      </c>
      <c r="BW448" s="488">
        <f t="shared" si="893"/>
        <v>1.63</v>
      </c>
      <c r="BX448" s="488">
        <f t="shared" si="893"/>
        <v>0</v>
      </c>
      <c r="BY448" s="488">
        <f t="shared" si="893"/>
        <v>0</v>
      </c>
      <c r="BZ448" s="488">
        <f t="shared" si="893"/>
        <v>0</v>
      </c>
      <c r="CA448" s="488">
        <f t="shared" si="893"/>
        <v>0</v>
      </c>
      <c r="CB448" s="488">
        <f t="shared" si="893"/>
        <v>0</v>
      </c>
      <c r="CC448" s="488">
        <f t="shared" si="893"/>
        <v>0</v>
      </c>
      <c r="CD448" s="500">
        <f t="shared" si="893"/>
        <v>0</v>
      </c>
      <c r="CE448" s="504">
        <f t="shared" si="893"/>
        <v>0</v>
      </c>
      <c r="CF448" s="160">
        <f t="shared" si="772"/>
        <v>0</v>
      </c>
      <c r="CG448" s="161">
        <f t="shared" si="773"/>
        <v>0</v>
      </c>
      <c r="CH448" s="161">
        <f t="shared" si="774"/>
        <v>0</v>
      </c>
      <c r="CI448" s="161">
        <f t="shared" si="775"/>
        <v>0</v>
      </c>
      <c r="CJ448" s="161">
        <f t="shared" si="776"/>
        <v>0</v>
      </c>
      <c r="CK448" s="161">
        <f t="shared" si="777"/>
        <v>0</v>
      </c>
      <c r="CL448" s="161">
        <f t="shared" si="778"/>
        <v>0</v>
      </c>
      <c r="CM448" s="161">
        <f t="shared" si="779"/>
        <v>0</v>
      </c>
      <c r="CN448" s="161">
        <f t="shared" si="780"/>
        <v>1</v>
      </c>
      <c r="CO448" s="161">
        <f t="shared" si="781"/>
        <v>0</v>
      </c>
      <c r="CP448" s="161">
        <f t="shared" si="782"/>
        <v>0</v>
      </c>
      <c r="CQ448" s="161">
        <f t="shared" si="783"/>
        <v>0</v>
      </c>
      <c r="CR448" s="161">
        <f t="shared" si="784"/>
        <v>0</v>
      </c>
      <c r="CS448" s="161">
        <f t="shared" si="785"/>
        <v>0</v>
      </c>
      <c r="CT448" s="75">
        <f t="shared" si="786"/>
        <v>0</v>
      </c>
      <c r="CU448" s="76">
        <f t="shared" si="787"/>
        <v>0</v>
      </c>
      <c r="CV448" s="76">
        <f t="shared" si="788"/>
        <v>0</v>
      </c>
      <c r="CW448" s="76">
        <f t="shared" si="789"/>
        <v>0</v>
      </c>
      <c r="CX448" s="76">
        <f t="shared" si="790"/>
        <v>0</v>
      </c>
      <c r="CY448" s="76">
        <f t="shared" si="791"/>
        <v>0</v>
      </c>
      <c r="CZ448" s="76">
        <f t="shared" si="792"/>
        <v>0</v>
      </c>
      <c r="DA448" s="76">
        <f t="shared" si="793"/>
        <v>0</v>
      </c>
      <c r="DB448" s="76">
        <f t="shared" si="794"/>
        <v>0</v>
      </c>
      <c r="DC448" s="76">
        <f t="shared" si="795"/>
        <v>0</v>
      </c>
      <c r="DD448" s="76">
        <f t="shared" si="796"/>
        <v>0</v>
      </c>
      <c r="DE448" s="77">
        <f t="shared" si="797"/>
        <v>0</v>
      </c>
      <c r="DF448" s="73">
        <f t="shared" si="799"/>
        <v>30</v>
      </c>
      <c r="DG448" s="67">
        <f t="shared" si="800"/>
        <v>38.739999999999995</v>
      </c>
      <c r="DH448" s="76">
        <f t="shared" si="801"/>
        <v>11</v>
      </c>
      <c r="DI448" s="67">
        <f t="shared" si="802"/>
        <v>45.699999999999996</v>
      </c>
      <c r="DJ448" s="202" t="str">
        <f>IF($D448="","",$D448)</f>
        <v>15</v>
      </c>
      <c r="DK448" s="492">
        <f>IF(AND($B448=" ",$D448&lt;&gt;""),1,0)</f>
        <v>0</v>
      </c>
    </row>
    <row r="449" spans="1:115" ht="14.5" customHeight="1" x14ac:dyDescent="0.2">
      <c r="A449" s="389"/>
      <c r="B449" s="456"/>
      <c r="C449" s="53" t="s">
        <v>55</v>
      </c>
      <c r="D449" s="374"/>
      <c r="E449" s="386"/>
      <c r="F449" s="377"/>
      <c r="G449" s="508"/>
      <c r="H449" s="476"/>
      <c r="I449" s="182" t="s">
        <v>66</v>
      </c>
      <c r="J449" s="56">
        <f>IF(OR(I448="TO",I448="TU",I448="TO1",I448="TU1",I448="TO2",I448="TU2"),J448,IF(OR(I448="AH1",I448="AH2"),IF(OR(I449="AH1",I449="AH2"),-J448,IF(OR(I449="EH1",I449="EH2"),-J448+0.5,"")),IF(OR(I448="EH1",I448="EH2"),IF(OR(I449="AH1",I449="AH2"),-J448+0.5,IF(OR(I449="EH1",I449="EH2"),-J448+1,"")),IF(AND(OR(I448="DNB1",I448="DNB2"),OR(I449="AH1",I449="AH2")),0,IF(AND(I448="Not ScoreBoth",OR(I449="TO1",I449="TO2")),0.5,"")))))</f>
        <v>5.5</v>
      </c>
      <c r="K449" s="57" t="s">
        <v>43</v>
      </c>
      <c r="L449" s="164">
        <v>2.63</v>
      </c>
      <c r="M449" s="165"/>
      <c r="N449" s="406"/>
      <c r="O449" s="60">
        <f>IF(OR(AE448="",AE449=""),"",ROUND(IF(L450&gt;0,IF(M449&gt;0,M449,IF(M448&gt;0,IF(N448=TRUE,ROUND((M448*AE449)/AE448,0),(M448*AE449)/AE448),IF(M449&gt;0,ROUND(M449,IF(N448=0,2,IF(N448=0.1,1,0))),IF(M450&gt;0,ROUND(O450*AE449/AE450,IF(N448=0,2,IF(N448=0.1,1,0))),0)))),IF(M449&gt;0,M449,ROUND((M448*AE449)/AE448,IF(N448=0,2,IF(N448=0.1,1,0))))),2))</f>
        <v>9.6199999999999992</v>
      </c>
      <c r="P449" s="61">
        <f>IF(OR(L449="",O449=""),"",IF($C449="1/2W",O449/2+O449/2*L449,IF($C449="1/2L",O449/2,IF(I449="Lay",((O449*(L449/(L449-1)))-O449)*(1-_xlfn.XLOOKUP(K449,'Fevereiro 2023 - Valor Real'!A3:A15,'Fevereiro 2023 - Valor Real'!C3:C15,0))+O449,(O449*L449-O449)*(1-_xlfn.XLOOKUP(K449,'Fevereiro 2023 - Valor Real'!A3:A15,'Fevereiro 2023 - Valor Real'!C3:C15,0))+O449))))</f>
        <v>25.300599999999996</v>
      </c>
      <c r="Q449" s="166">
        <f>IF(K449="","",IF(_xlfn.XLOOKUP(K449,K$10:K440,$DJ$10:DJ440,0,,-1)=DJ449,_xlfn.XLOOKUP(K449,K$10:K440,Q$10:Q440,1,,-1)+1,1))</f>
        <v>2</v>
      </c>
      <c r="R449" s="167">
        <f>IF(K449="","",_xlfn.XLOOKUP(K449,K$10:K440,R$10:R440,0,,-1)+IF($C449=" ",1,0))</f>
        <v>0</v>
      </c>
      <c r="S449" s="403"/>
      <c r="T449" s="380"/>
      <c r="U449" s="380"/>
      <c r="V449" s="481"/>
      <c r="W449" s="380"/>
      <c r="X449" s="452"/>
      <c r="Y449" s="383"/>
      <c r="Z449" s="384"/>
      <c r="AA449" s="384"/>
      <c r="AB449" s="384"/>
      <c r="AC449" s="384"/>
      <c r="AD449" s="64"/>
      <c r="AE449" s="65">
        <f>IF(L449="","",IF(L450&gt;0,(SUM(((L448-1)*(1-_xlfn.XLOOKUP(K448,'Fevereiro 2023 - Valor Real'!A3:A15,'Fevereiro 2023 - Valor Real'!C3:C15,0))+1),((L449-1)*(1-_xlfn.XLOOKUP(K449,'Fevereiro 2023 - Valor Real'!A3:A15,'Fevereiro 2023 - Valor Real'!C3:C15,0))+1),((L450-1)*(1-_xlfn.XLOOKUP(K450,'Fevereiro 2023 - Valor Real'!A3:A15,'Fevereiro 2023 - Valor Real'!C3:C15,0))+1))/((L449-1)*(1-_xlfn.XLOOKUP(K449,'Fevereiro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Real'!C3:C15,0))+1))/((L448-1)*(1-_xlfn.XLOOKUP(K448,'Fevereiro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Real'!C3:C15,0))+1))/((L449-1)*(1-_xlfn.XLOOKUP(K449,'Fevereiro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Real'!C3:C15,0))+1))/((L450-1)*(1-_xlfn.XLOOKUP(K450,'Fevereiro 2023 - Valor Real'!A3:A15,'Fevereiro 2023 - Valor Real'!C3:C15,0))+1)),IF(I449="Lay",IF(I448="Lay",((L448/(L448-1)-1)*(1-_xlfn.XLOOKUP(K448,'Fevereiro 2023 - Valor Real'!A3:A15,'Fevereiro 2023 - Valor Real'!C3:C15,0))+1)/(((L448/(L448-1)-1)*(1-_xlfn.XLOOKUP(K448,'Fevereiro 2023 - Valor Real'!A3:A15,'Fevereiro 2023 - Valor Real'!C3:C15,0))+1)+((L449/(L449-1)-1)*(1-_xlfn.XLOOKUP(K449,'Fevereiro 2023 - Valor Real'!A3:A15,'Fevereiro 2023 - Valor Real'!C3:C15,0))+1)),((L448-1)*(1-_xlfn.XLOOKUP(K448,'Fevereiro 2023 - Valor Real'!A3:A15,'Fevereiro 2023 - Valor Real'!C3:C15,0))+1)/(((L448-1)*(1-_xlfn.XLOOKUP(K448,'Fevereiro 2023 - Valor Real'!A3:A15,'Fevereiro 2023 - Valor Real'!C3:C15,0))+1)+((L449/(L449-1)-1)*(1-_xlfn.XLOOKUP(K449,'Fevereiro 2023 - Valor Real'!A3:A15,'Fevereiro 2023 - Valor Real'!C3:C15,0))+1))),IF(I448="Lay",((L448/(L448-1)-1)*(1-_xlfn.XLOOKUP(K448,'Fevereiro 2023 - Valor Real'!A3:A15,'Fevereiro 2023 - Valor Real'!C3:C15,0))+1)/((((L448/(L448-1)-1)*(1-_xlfn.XLOOKUP(K448,'Fevereiro 2023 - Valor Real'!A3:A15,'Fevereiro 2023 - Valor Real'!C3:C15,0))+1))+((L449-1)*(1-_xlfn.XLOOKUP(K449,'Fevereiro 2023 - Valor Real'!A3:A15,'Fevereiro 2023 - Valor Real'!C3:C15,0))+1)),((L448-1)*(1-_xlfn.XLOOKUP(K448,'Fevereiro 2023 - Valor Real'!A3:A15,'Fevereiro 2023 - Valor Real'!C3:C15,0))+1)/(((L448-1)*(1-_xlfn.XLOOKUP(K448,'Fevereiro 2023 - Valor Real'!A3:A15,'Fevereiro 2023 - Valor Real'!C3:C15,0))+1)+((L449-1)*(1-_xlfn.XLOOKUP(K449,'Fevereiro 2023 - Valor Real'!A3:A15,'Fevereiro 2023 - Valor Real'!C3:C15,0))+1))))))</f>
        <v>0.40632054176072241</v>
      </c>
      <c r="AF449" s="66">
        <f t="shared" si="885"/>
        <v>0</v>
      </c>
      <c r="AG449" s="67">
        <f t="shared" si="885"/>
        <v>0</v>
      </c>
      <c r="AH449" s="67">
        <f t="shared" si="885"/>
        <v>0</v>
      </c>
      <c r="AI449" s="67">
        <f t="shared" si="885"/>
        <v>0</v>
      </c>
      <c r="AJ449" s="67">
        <f t="shared" si="885"/>
        <v>0</v>
      </c>
      <c r="AK449" s="67">
        <f t="shared" si="885"/>
        <v>0</v>
      </c>
      <c r="AL449" s="67">
        <f t="shared" si="885"/>
        <v>0</v>
      </c>
      <c r="AM449" s="67">
        <f t="shared" si="885"/>
        <v>-9.6199999999999992</v>
      </c>
      <c r="AN449" s="67">
        <f t="shared" si="885"/>
        <v>0</v>
      </c>
      <c r="AO449" s="67">
        <f t="shared" si="885"/>
        <v>0</v>
      </c>
      <c r="AP449" s="67">
        <f t="shared" si="885"/>
        <v>0</v>
      </c>
      <c r="AQ449" s="67">
        <f t="shared" si="885"/>
        <v>0</v>
      </c>
      <c r="AR449" s="68">
        <f t="shared" si="885"/>
        <v>0</v>
      </c>
      <c r="AS449" s="66">
        <f>IF(AND($B448=" ",$K449=AS$3),$O449,0)</f>
        <v>0</v>
      </c>
      <c r="AT449" s="67">
        <f>IF(AND($B448=" ",K449=AT$3),$O449,0)</f>
        <v>0</v>
      </c>
      <c r="AU449" s="67">
        <f t="shared" ref="AU449:BE449" si="894">IF(AND($B448=" ",$K449=AU$3),$O449,0)</f>
        <v>0</v>
      </c>
      <c r="AV449" s="67">
        <f t="shared" si="894"/>
        <v>0</v>
      </c>
      <c r="AW449" s="67">
        <f t="shared" si="894"/>
        <v>0</v>
      </c>
      <c r="AX449" s="67">
        <f t="shared" si="894"/>
        <v>0</v>
      </c>
      <c r="AY449" s="69">
        <f t="shared" si="894"/>
        <v>0</v>
      </c>
      <c r="AZ449" s="70">
        <f t="shared" si="894"/>
        <v>0</v>
      </c>
      <c r="BA449" s="70">
        <f t="shared" si="894"/>
        <v>0</v>
      </c>
      <c r="BB449" s="70">
        <f t="shared" si="894"/>
        <v>0</v>
      </c>
      <c r="BC449" s="71">
        <f t="shared" si="894"/>
        <v>0</v>
      </c>
      <c r="BD449" s="67">
        <f t="shared" si="894"/>
        <v>0</v>
      </c>
      <c r="BE449" s="68">
        <f t="shared" si="894"/>
        <v>0</v>
      </c>
      <c r="BF449" s="66">
        <f t="shared" si="887"/>
        <v>0</v>
      </c>
      <c r="BG449" s="168">
        <f t="shared" si="887"/>
        <v>0</v>
      </c>
      <c r="BH449" s="67">
        <f t="shared" si="887"/>
        <v>0</v>
      </c>
      <c r="BI449" s="67">
        <f t="shared" si="887"/>
        <v>0</v>
      </c>
      <c r="BJ449" s="67">
        <f t="shared" si="887"/>
        <v>0</v>
      </c>
      <c r="BK449" s="67">
        <f t="shared" si="887"/>
        <v>0</v>
      </c>
      <c r="BL449" s="67">
        <f t="shared" si="887"/>
        <v>0</v>
      </c>
      <c r="BM449" s="69">
        <f t="shared" si="887"/>
        <v>9.6199999999999992</v>
      </c>
      <c r="BN449" s="70">
        <f t="shared" si="887"/>
        <v>0</v>
      </c>
      <c r="BO449" s="70">
        <f t="shared" si="887"/>
        <v>0</v>
      </c>
      <c r="BP449" s="70">
        <f t="shared" si="887"/>
        <v>0</v>
      </c>
      <c r="BQ449" s="71">
        <f t="shared" si="887"/>
        <v>0</v>
      </c>
      <c r="BR449" s="68">
        <f t="shared" si="887"/>
        <v>0</v>
      </c>
      <c r="BS449" s="491"/>
      <c r="BT449" s="489"/>
      <c r="BU449" s="392"/>
      <c r="BV449" s="489"/>
      <c r="BW449" s="392"/>
      <c r="BX449" s="392"/>
      <c r="BY449" s="392"/>
      <c r="BZ449" s="489"/>
      <c r="CA449" s="392"/>
      <c r="CB449" s="392"/>
      <c r="CC449" s="392"/>
      <c r="CD449" s="401"/>
      <c r="CE449" s="409"/>
      <c r="CF449" s="169">
        <f t="shared" si="772"/>
        <v>0</v>
      </c>
      <c r="CG449" s="170">
        <f t="shared" si="773"/>
        <v>0</v>
      </c>
      <c r="CH449" s="170">
        <f t="shared" si="774"/>
        <v>0</v>
      </c>
      <c r="CI449" s="170">
        <f t="shared" si="775"/>
        <v>0</v>
      </c>
      <c r="CJ449" s="170">
        <f t="shared" si="776"/>
        <v>0</v>
      </c>
      <c r="CK449" s="170">
        <f t="shared" si="777"/>
        <v>0</v>
      </c>
      <c r="CL449" s="170">
        <f t="shared" si="778"/>
        <v>0</v>
      </c>
      <c r="CM449" s="170">
        <f t="shared" si="779"/>
        <v>0</v>
      </c>
      <c r="CN449" s="170">
        <f t="shared" si="780"/>
        <v>0</v>
      </c>
      <c r="CO449" s="170">
        <f t="shared" si="781"/>
        <v>0</v>
      </c>
      <c r="CP449" s="170">
        <f t="shared" si="782"/>
        <v>0</v>
      </c>
      <c r="CQ449" s="170">
        <f t="shared" si="783"/>
        <v>0</v>
      </c>
      <c r="CR449" s="170">
        <f t="shared" si="784"/>
        <v>0</v>
      </c>
      <c r="CS449" s="170">
        <f t="shared" si="785"/>
        <v>0</v>
      </c>
      <c r="CT449" s="75">
        <f t="shared" si="786"/>
        <v>0</v>
      </c>
      <c r="CU449" s="76">
        <f t="shared" si="787"/>
        <v>1</v>
      </c>
      <c r="CV449" s="76">
        <f t="shared" si="788"/>
        <v>0</v>
      </c>
      <c r="CW449" s="76">
        <f t="shared" si="789"/>
        <v>0</v>
      </c>
      <c r="CX449" s="76">
        <f t="shared" si="790"/>
        <v>0</v>
      </c>
      <c r="CY449" s="76">
        <f t="shared" si="791"/>
        <v>0</v>
      </c>
      <c r="CZ449" s="76">
        <f t="shared" si="792"/>
        <v>0</v>
      </c>
      <c r="DA449" s="76">
        <f t="shared" si="793"/>
        <v>0</v>
      </c>
      <c r="DB449" s="76">
        <f t="shared" si="794"/>
        <v>0</v>
      </c>
      <c r="DC449" s="76">
        <f t="shared" si="795"/>
        <v>0</v>
      </c>
      <c r="DD449" s="76">
        <f t="shared" si="796"/>
        <v>0</v>
      </c>
      <c r="DE449" s="77">
        <f t="shared" si="797"/>
        <v>0</v>
      </c>
      <c r="DF449" s="73">
        <f t="shared" si="799"/>
        <v>30</v>
      </c>
      <c r="DG449" s="67">
        <f t="shared" si="800"/>
        <v>38.739999999999995</v>
      </c>
      <c r="DH449" s="76">
        <f t="shared" si="801"/>
        <v>11</v>
      </c>
      <c r="DI449" s="67">
        <f t="shared" si="802"/>
        <v>45.699999999999996</v>
      </c>
      <c r="DJ449" s="202" t="str">
        <f>IF($D448="","",$D448)</f>
        <v>15</v>
      </c>
      <c r="DK449" s="493"/>
    </row>
    <row r="450" spans="1:115" ht="14.5" customHeight="1" x14ac:dyDescent="0.2">
      <c r="A450" s="390"/>
      <c r="B450" s="457"/>
      <c r="C450" s="79" t="s">
        <v>53</v>
      </c>
      <c r="D450" s="375"/>
      <c r="E450" s="387"/>
      <c r="F450" s="378"/>
      <c r="G450" s="508"/>
      <c r="H450" s="477"/>
      <c r="I450" s="171"/>
      <c r="J450" s="172"/>
      <c r="K450" s="81"/>
      <c r="L450" s="173"/>
      <c r="M450" s="174"/>
      <c r="N450" s="407"/>
      <c r="O450" s="86" t="str">
        <f>IF(OR(AE448="",AE449=""),"",IF(L450&gt;0,ROUND(IF(M450&gt;0,M450,IF(M448&gt;0,ROUND((M448*AE450)/AE448,IF(N448=0,2,IF(N448=0.1,1,0))),IF(M449&gt;0,ROUND((M449*AE450)/AE449,IF(N448=0,2,IF(N448=0.1,1,0))),IF(M450&gt;0,M450,0)))),2),""))</f>
        <v/>
      </c>
      <c r="P450" s="87" t="str">
        <f>IF(I449="Lay",O449*(L449/(L449-1))-O449,IF(I448="Lay",O448*(L448/(L448-1))-O448,IF(OR(L450="",O450=""),"",IF($C450="1/2W",O450/2+O450/2*L450,IF($C450="1/2L",O450/2,(O450*L450-O450)*(1-_xlfn.XLOOKUP(K450,'Fevereiro 2023 - Valor Real'!A3:A15,'Fevereiro 2023 - Valor Real'!C3:C15,0))+O450)))))</f>
        <v/>
      </c>
      <c r="Q450" s="54" t="str">
        <f>IF(K450="","",IF(_xlfn.XLOOKUP(K450,K$11:K440,$DJ$11:DJ440,0,,-1)=DJ450,_xlfn.XLOOKUP(K450,K$11:K440,Q$11:Q440,1,,-1)+1,1))</f>
        <v/>
      </c>
      <c r="R450" s="87" t="str">
        <f>IF(K450="","",_xlfn.XLOOKUP(K450,K$11:K440,R$11:R440,0,,-1)+IF($C450=" ",1,0))</f>
        <v/>
      </c>
      <c r="S450" s="404"/>
      <c r="T450" s="378"/>
      <c r="U450" s="378"/>
      <c r="V450" s="404"/>
      <c r="W450" s="378"/>
      <c r="X450" s="453"/>
      <c r="Y450" s="383"/>
      <c r="Z450" s="384"/>
      <c r="AA450" s="384"/>
      <c r="AB450" s="384"/>
      <c r="AC450" s="384"/>
      <c r="AD450" s="90"/>
      <c r="AE450" s="91" t="str">
        <f>IF(L450="","",(SUM(((L448-1)*(1-_xlfn.XLOOKUP(K448,'Fevereiro 2023 - Valor Real'!A3:A15,'Fevereiro 2023 - Valor Real'!C3:C15,0))+1),((L449-1)*(1-_xlfn.XLOOKUP(K449,'Fevereiro 2023 - Valor Real'!A3:A15,'Fevereiro 2023 - Valor Real'!C3:C15,0))+1),((L450-1)*(1-_xlfn.XLOOKUP(K450,'Fevereiro 2023 - Valor Real'!A3:A15,'Fevereiro 2023 - Valor Real'!C3:C15,0))+1))/((L450-1)*(1-_xlfn.XLOOKUP(K450,'Fevereiro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Real'!C3:C15,0))+1))/((L448-1)*(1-_xlfn.XLOOKUP(K448,'Fevereiro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Real'!C3:C15,0))+1))/((L449-1)*(1-_xlfn.XLOOKUP(K449,'Fevereiro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Real'!C3:C15,0))+1))/((L450-1)*(1-_xlfn.XLOOKUP(K450,'Fevereiro 2023 - Valor Real'!A3:A15,'Fevereiro 2023 - Valor Real'!C3:C15,0))+1)))</f>
        <v/>
      </c>
      <c r="AF450" s="66">
        <f t="shared" si="885"/>
        <v>0</v>
      </c>
      <c r="AG450" s="67">
        <f t="shared" si="885"/>
        <v>0</v>
      </c>
      <c r="AH450" s="67">
        <f t="shared" si="885"/>
        <v>0</v>
      </c>
      <c r="AI450" s="67">
        <f t="shared" si="885"/>
        <v>0</v>
      </c>
      <c r="AJ450" s="67">
        <f t="shared" si="885"/>
        <v>0</v>
      </c>
      <c r="AK450" s="67">
        <f t="shared" si="885"/>
        <v>0</v>
      </c>
      <c r="AL450" s="67">
        <f t="shared" si="885"/>
        <v>0</v>
      </c>
      <c r="AM450" s="67">
        <f t="shared" si="885"/>
        <v>0</v>
      </c>
      <c r="AN450" s="67">
        <f t="shared" si="885"/>
        <v>0</v>
      </c>
      <c r="AO450" s="67">
        <f t="shared" si="885"/>
        <v>0</v>
      </c>
      <c r="AP450" s="67">
        <f t="shared" si="885"/>
        <v>0</v>
      </c>
      <c r="AQ450" s="67">
        <f t="shared" si="885"/>
        <v>0</v>
      </c>
      <c r="AR450" s="68">
        <f t="shared" si="885"/>
        <v>0</v>
      </c>
      <c r="AS450" s="66">
        <f>IF(AND($B448=" ",$K450=AS$3),$O450,0)</f>
        <v>0</v>
      </c>
      <c r="AT450" s="67">
        <f>IF(AND($B448=" ",K450=AT$3),$O450,0)</f>
        <v>0</v>
      </c>
      <c r="AU450" s="67">
        <f t="shared" ref="AU450:BE450" si="895">IF(AND($B448=" ",$K450=AU$3),$O450,0)</f>
        <v>0</v>
      </c>
      <c r="AV450" s="67">
        <f t="shared" si="895"/>
        <v>0</v>
      </c>
      <c r="AW450" s="67">
        <f t="shared" si="895"/>
        <v>0</v>
      </c>
      <c r="AX450" s="67">
        <f t="shared" si="895"/>
        <v>0</v>
      </c>
      <c r="AY450" s="69">
        <f t="shared" si="895"/>
        <v>0</v>
      </c>
      <c r="AZ450" s="70">
        <f t="shared" si="895"/>
        <v>0</v>
      </c>
      <c r="BA450" s="70">
        <f t="shared" si="895"/>
        <v>0</v>
      </c>
      <c r="BB450" s="70">
        <f t="shared" si="895"/>
        <v>0</v>
      </c>
      <c r="BC450" s="71">
        <f t="shared" si="895"/>
        <v>0</v>
      </c>
      <c r="BD450" s="67">
        <f t="shared" si="895"/>
        <v>0</v>
      </c>
      <c r="BE450" s="68">
        <f t="shared" si="895"/>
        <v>0</v>
      </c>
      <c r="BF450" s="66">
        <f t="shared" si="887"/>
        <v>0</v>
      </c>
      <c r="BG450" s="168">
        <f t="shared" si="887"/>
        <v>0</v>
      </c>
      <c r="BH450" s="67">
        <f t="shared" si="887"/>
        <v>0</v>
      </c>
      <c r="BI450" s="67">
        <f t="shared" si="887"/>
        <v>0</v>
      </c>
      <c r="BJ450" s="67">
        <f t="shared" si="887"/>
        <v>0</v>
      </c>
      <c r="BK450" s="67">
        <f t="shared" si="887"/>
        <v>0</v>
      </c>
      <c r="BL450" s="67">
        <f t="shared" si="887"/>
        <v>0</v>
      </c>
      <c r="BM450" s="69">
        <f t="shared" si="887"/>
        <v>0</v>
      </c>
      <c r="BN450" s="70">
        <f t="shared" si="887"/>
        <v>0</v>
      </c>
      <c r="BO450" s="70">
        <f t="shared" si="887"/>
        <v>0</v>
      </c>
      <c r="BP450" s="70">
        <f t="shared" si="887"/>
        <v>0</v>
      </c>
      <c r="BQ450" s="71">
        <f t="shared" si="887"/>
        <v>0</v>
      </c>
      <c r="BR450" s="68">
        <f t="shared" si="887"/>
        <v>0</v>
      </c>
      <c r="BS450" s="491"/>
      <c r="BT450" s="489"/>
      <c r="BU450" s="392"/>
      <c r="BV450" s="489"/>
      <c r="BW450" s="392"/>
      <c r="BX450" s="392"/>
      <c r="BY450" s="392"/>
      <c r="BZ450" s="489"/>
      <c r="CA450" s="392"/>
      <c r="CB450" s="392"/>
      <c r="CC450" s="392"/>
      <c r="CD450" s="401"/>
      <c r="CE450" s="409"/>
      <c r="CF450" s="169">
        <f t="shared" si="772"/>
        <v>0</v>
      </c>
      <c r="CG450" s="170">
        <f t="shared" si="773"/>
        <v>0</v>
      </c>
      <c r="CH450" s="170">
        <f t="shared" si="774"/>
        <v>0</v>
      </c>
      <c r="CI450" s="170">
        <f t="shared" si="775"/>
        <v>0</v>
      </c>
      <c r="CJ450" s="170">
        <f t="shared" si="776"/>
        <v>0</v>
      </c>
      <c r="CK450" s="170">
        <f t="shared" si="777"/>
        <v>0</v>
      </c>
      <c r="CL450" s="170">
        <f t="shared" si="778"/>
        <v>0</v>
      </c>
      <c r="CM450" s="170">
        <f t="shared" si="779"/>
        <v>0</v>
      </c>
      <c r="CN450" s="170">
        <f t="shared" si="780"/>
        <v>0</v>
      </c>
      <c r="CO450" s="170">
        <f t="shared" si="781"/>
        <v>0</v>
      </c>
      <c r="CP450" s="170">
        <f t="shared" si="782"/>
        <v>0</v>
      </c>
      <c r="CQ450" s="170">
        <f t="shared" si="783"/>
        <v>0</v>
      </c>
      <c r="CR450" s="170">
        <f t="shared" si="784"/>
        <v>0</v>
      </c>
      <c r="CS450" s="170">
        <f t="shared" si="785"/>
        <v>0</v>
      </c>
      <c r="CT450" s="75">
        <f t="shared" si="786"/>
        <v>0</v>
      </c>
      <c r="CU450" s="76">
        <f t="shared" si="787"/>
        <v>0</v>
      </c>
      <c r="CV450" s="76">
        <f t="shared" si="788"/>
        <v>0</v>
      </c>
      <c r="CW450" s="76">
        <f t="shared" si="789"/>
        <v>0</v>
      </c>
      <c r="CX450" s="76">
        <f t="shared" si="790"/>
        <v>0</v>
      </c>
      <c r="CY450" s="76">
        <f t="shared" si="791"/>
        <v>0</v>
      </c>
      <c r="CZ450" s="76">
        <f t="shared" si="792"/>
        <v>0</v>
      </c>
      <c r="DA450" s="76">
        <f t="shared" si="793"/>
        <v>0</v>
      </c>
      <c r="DB450" s="76">
        <f t="shared" si="794"/>
        <v>0</v>
      </c>
      <c r="DC450" s="76">
        <f t="shared" si="795"/>
        <v>0</v>
      </c>
      <c r="DD450" s="76">
        <f t="shared" si="796"/>
        <v>0</v>
      </c>
      <c r="DE450" s="77">
        <f t="shared" si="797"/>
        <v>0</v>
      </c>
      <c r="DF450" s="73">
        <f t="shared" si="799"/>
        <v>30</v>
      </c>
      <c r="DG450" s="67">
        <f t="shared" si="800"/>
        <v>38.739999999999995</v>
      </c>
      <c r="DH450" s="76">
        <f t="shared" si="801"/>
        <v>11</v>
      </c>
      <c r="DI450" s="67">
        <f t="shared" si="802"/>
        <v>45.699999999999996</v>
      </c>
      <c r="DJ450" s="202" t="str">
        <f>IF($D448="","",$D448)</f>
        <v>15</v>
      </c>
      <c r="DK450" s="493"/>
    </row>
    <row r="451" spans="1:115" ht="14.5" customHeight="1" x14ac:dyDescent="0.2">
      <c r="A451" s="459">
        <f>$A448+1</f>
        <v>150</v>
      </c>
      <c r="B451" s="507" t="str">
        <f>IF(OR(C451="W",C452="W",C453="W",C451="1/2W",C452="1/2W",C453="1/2W",C451="1/2L",C452="1/2L",C453="1/2L"),"OK",IF(OR(C451="L",C452="L",C453="L"),"LOSS",IF(OR(C451="X",C452="X",C453="X"),"Anulado"," ")))</f>
        <v>OK</v>
      </c>
      <c r="C451" s="93" t="s">
        <v>54</v>
      </c>
      <c r="D451" s="468" t="str">
        <f>IF(G451="","",$D448)</f>
        <v>15</v>
      </c>
      <c r="E451" s="485" t="str">
        <f>IF(G451=""," ","– "&amp;COUNTIF(D$4:D453,$D451))</f>
        <v>– 8</v>
      </c>
      <c r="F451" s="509" t="str">
        <f ca="1">IF(G451="","",IF(OR(AND($C451&lt;&gt;" ",$C452=" "),AND($C452&lt;&gt;" ",$C451=" "),AND(L453&gt;0,OR(AND($C453&lt;&gt;" ",OR($C451=" ",$C452=" ")),AND($C453=" ",OR($C451&lt;&gt;" ",$C452&lt;&gt;" "))))),IF(SUM(F$4:F450)=0,1,LARGE(F$4:F450,1)+1),IF(MONTH(G451)=MONTH(TODAY()),IF(AND(DAY(G451)&lt;DAY(TODAY()),$B451=" "),IF(SUM(F$4:F450)=0,1,LARGE(F$4:F450,1)+1),IF($B451=" ",IF(AND(DAY(G451)=DAY(TODAY()),HOUR(G451)&lt;=HOUR(NOW())+1),IF(AND(HOUR(G451)+2&lt;=HOUR(NOW()),DAY(G451)&lt;=DAY(TODAY()),MINUTE(G451)&lt;=MINUTE(NOW())),IF(SUM(F$4:F450)=0,1,LARGE(F$4:F450,1)+1),IF(OR(MINUTE(G451)&lt;=MINUTE(NOW()),HOUR(G451)&lt;=HOUR(NOW())),"!!!","")),""),"")),"")))</f>
        <v/>
      </c>
      <c r="G451" s="482">
        <f>IF(H451="","",_xlfn.XLOOKUP(H451,$H$4:H450,$G$4:G450,""))</f>
        <v>45002.208333333336</v>
      </c>
      <c r="H451" s="475" t="s">
        <v>188</v>
      </c>
      <c r="I451" s="94" t="s">
        <v>76</v>
      </c>
      <c r="J451" s="95">
        <v>-6.5</v>
      </c>
      <c r="K451" s="96" t="s">
        <v>40</v>
      </c>
      <c r="L451" s="97">
        <v>2</v>
      </c>
      <c r="M451" s="98">
        <v>11.25</v>
      </c>
      <c r="N451" s="478">
        <v>0</v>
      </c>
      <c r="O451" s="99">
        <f>IF(OR(AE451="",AE452=""),"",ROUND(IF(L453&gt;0,IF(M451&gt;0,M451,IF(M452&gt;0,ROUND((M452*AE451)/AE452,IF(N451=0,2,IF(N451=0.1,1,0))),ROUND((M453*AE451)/AE453,IF(N451=0,2,IF(N451=0.1,1,0))))),IF(M451&gt;0,M451,ROUND((M452*AE451)/AE452,IF(N451=0,2,IF(N451=0.1,1,0))))),2))</f>
        <v>11.25</v>
      </c>
      <c r="P451" s="100">
        <f>IF(OR(L451="",O451=""),"",IF($C451="1/2W",O451/2+O451/2*L451,IF($C451="1/2L",O451/2,IF(I451="Lay",(O451*(L451/(L451-1))-O451)*(1-_xlfn.XLOOKUP(K451,'Fevereiro 2023 - Valor Real'!A3:A15,'Fevereiro 2023 - Valor Real'!C3:C15,0))+O451,(O451*L451-O451)*(1-_xlfn.XLOOKUP(K451,'Fevereiro 2023 - Valor Real'!A3:A15,'Fevereiro 2023 - Valor Real'!C3:C15,0))+O451))))</f>
        <v>22.5</v>
      </c>
      <c r="Q451" s="101">
        <f>IF(K451="","",IF(_xlfn.XLOOKUP(K451,K$4:K450,$DJ$4:DJ450,0,,-1)=DJ451,_xlfn.XLOOKUP(K451,K$4:K450,Q$4:Q450,1,,-1)+1,1))</f>
        <v>3</v>
      </c>
      <c r="R451" s="102">
        <f>IF(K451="","",_xlfn.XLOOKUP(K451,K$4:K450,R$4:R450,0,,-1)+IF($C451=" ",1,0))</f>
        <v>0</v>
      </c>
      <c r="S451" s="474">
        <f>IF($B451="Anulado",0,ROUND(IF(OR($B451="LOSS",$B451="OK"),IF(OR($C451="W",$C451="1/2W",$C451="1/2L"),P451-O451,IF($C451="L",-O451,0))+IF(OR($C452="W",$C452="1/2W",$C452="1/2L"),P452-O452,IF($C452="L",-O452,0))+IF(OR($C453="W",$C453="1/2W",$C453="1/2L"),P453-O453,IF($C453="L",-O453,0)),IF(AND(OR($C451="W",$C451="1/2W",$C451="1/2L"),C452="W"),P451+P452-SUM(O451:O453)+_xlfn.XLOOKUP("X",C451:C453,O451:O453,0),IF(AND(C451=TRUE,C453="W"),P451+P453-SUM(O451:O453),IF(AND(C452="W",C453="W"),P452+P453-SUM(O451:O453)+_xlfn.XLOOKUP("X",C451:C453,O451:O453,0),IF(L453&gt;0,IF(OR($C451="W",$C451="1/2W",$C451="1/2L"),P451-SUM(O451:O453)+_xlfn.XLOOKUP("X",C451:C453,O451:O453,0),IF(OR($C451="W",$C451="1/2W",$C451="1/2L"),P452-SUM(O451:O453)+_xlfn.XLOOKUP("X",C451:C453,O451:O453,0),IF(OR($C451="W",$C451="1/2W",$C451="1/2L"),P453-SUM(O451:O453)+_xlfn.XLOOKUP("X",C451:C453,O451:O453,0),IF(SUM(P451:P453)/3-SUM(O451:O453)+_xlfn.XLOOKUP("X",C451:C453,O451:O453,0)&gt;0,SUM(P451:P453)/3-SUM(O451:O453)+_xlfn.XLOOKUP("X",C451:C453,O451:O453,0),LARGE(P451:P453,1)-SUM(O451:O453))))),IF(OR($C451="W",$C451="1/2W",$C451="1/2L"),P451-SUM(O451:O452)+_xlfn.XLOOKUP("X",C451:C453,O451:O453,0),IF(OR($C451="W",$C451="1/2W",$C451="1/2L"),P452-SUM(O451:O452)+_xlfn.XLOOKUP("X",C451:C453,O451:O453,0),SUM(P451:P452)/2-SUM(O451:O452)+_xlfn.XLOOKUP("X",C451:C453,O451:O453,0)))))))),2))</f>
        <v>1.21</v>
      </c>
      <c r="T451" s="458">
        <f>IF(S451=0,0,S451/SUM(O451:O453))</f>
        <v>5.6834194457491778E-2</v>
      </c>
      <c r="U451" s="470">
        <f>IF($D451=$D448,IF(OR($B451="LOSS",$B451="OK",$B451="Anulada"),S451,0)+U448,IF(OR($B451="LOSS",$B451="OK",$B451="Anulada"),S451,0))</f>
        <v>22.7</v>
      </c>
      <c r="V451" s="470">
        <f>IF($D451="",0,IF($D451=$D448,IF($B451=" ",IF(I453="",IF(OR(AND(I451="DNB1",I452="DNB2"),AND(OR(I451="DNB1",I451="DNB2"),J452=0),AND(OR(I452="DNB1",I452="DNB2"),J451=0),AND(I451="DNB2",I452="DNB1"),AND(IF(J451=0,(J451+1)/ROUND(J451+1,0),J451/ROUND(J451,0))=1,IF(J452=0,(J452+1)/ROUND(IF(J452="",0,J452)+1,0),IF(J452="",0,J452)/ROUND(IF(J452="",1,J452),0))=1,OR(J451&lt;&gt;""),J452&lt;&gt;"")),0,IF(S451&lt;0,IF(I453="",SMALL(P451:P452,1)-SUM(O451:O452),0),SMALL(P451:P452,1)-SUM(O451:O452))),IF(S451&lt;0,IF(I453="",SMALL(P451:P453,1)-SUM(O451:O453),0),LARGE(P451:P453,1)-SUM(O451:O453))),S451)+V448,IF(I453="",IF(OR(AND(I451="DNB1",I452="DNB2"),AND(OR(I451="DNB1",I451="DNB2"),J452=0),AND(OR(I452="DNB1",I452="DNB2"),J451=0),AND(I451="DNB2",I452="DNB1"),AND(IF(J451=0,(J451+1)/ROUND(J451+1,0),J451/ROUND(J451,0))=1,IF(J452=0,(IF(J452="",0,J452)+1)/ROUND(IF(J452="",0,J452)+1,0),IF(J452="",0,J452)/ROUND(IF(J452="",0,J452)+1,0))=1,OR(J451&lt;&gt;""),J452&lt;&gt;"")),0,IF(S451&lt;0,IF(I453="",SMALL(P451:P452,1)-SUM(O451:O452),0),SMALL(P451:P453,1)-SUM(O451:O453))),IF(S451&lt;0,IF(I453="",SMALL(P451:P453,1)-SUM(O451:O453),0),LARGE(P451:P453,1)-SUM(O451:O453)))))</f>
        <v>22.686599999999999</v>
      </c>
      <c r="W451" s="470">
        <f>IF($D451=$D448,IF(S451&lt;0,IF(I453="",S451,0),S451)+W448,S451)</f>
        <v>22.7</v>
      </c>
      <c r="X451" s="480" t="str">
        <f>IF(OR(SUM(R451:R453)=0,V451=W451),ROUND(IF(W451=0,0,W451/Y451)*100,2)&amp;"%",ROUND(IF(V451=0,0,V451/Y451)*100,2)&amp;"% a "&amp;ROUND(IF(W451=0,0,W451/Y451)*100,2)&amp;"%")</f>
        <v>4,58%</v>
      </c>
      <c r="Y451" s="471">
        <f>IF($D451=$D448,Y448+SUM(O451:O453),SUM(O451:O453))</f>
        <v>495.40000000000009</v>
      </c>
      <c r="Z451" s="470">
        <f>IF($B451=" ",SUM(O451:O453),0)+Z448</f>
        <v>0</v>
      </c>
      <c r="AA451" s="470">
        <f>IF(G451="","",IF($B451="Anulado",LARGE(P451:P453,1)-SUM(O451:O453)+AA448,AA448))</f>
        <v>12.425099999999992</v>
      </c>
      <c r="AB451" s="470">
        <f>IF($D451="","",AB448+S451)</f>
        <v>551.12000000000012</v>
      </c>
      <c r="AC451" s="472">
        <f ca="1">IF($D451="","",IF($B451=" ",IF(DAY(G451)=DAY(TODAY()),1+AC448,0+AC448),0+AC448))</f>
        <v>0</v>
      </c>
      <c r="AD451" s="103">
        <f>(((L452/(L452-1)-1)*(1-_xlfn.XLOOKUP(K452,'Fevereiro 2023 - Valor Real'!A3:A15,'Fevereiro 2023 - Valor Real'!C3:C15,0))+1))/(((L451-1)*(1-_xlfn.XLOOKUP(K451,'Fevereiro 2023 - Valor Real'!A3:A15,'Fevereiro 2023 - Valor Real'!C3:C15,0))+1)+((L452/(L452-1)-1)*(1-_xlfn.XLOOKUP(K452,'Fevereiro 2023 - Valor Real'!A3:A15,'Fevereiro 2023 - Valor Real'!C3:C15,0))+1))</f>
        <v>0.47457627118644063</v>
      </c>
      <c r="AE451" s="104">
        <f>IF(L451="","",IF(L453&gt;0,(SUM(((L451-1)*(1-_xlfn.XLOOKUP(K451,'Fevereiro 2023 - Valor Real'!A3:A15,'Fevereiro 2023 - Valor Real'!C3:C15,0))+1),((L452-1)*(1-_xlfn.XLOOKUP(K452,'Fevereiro 2023 - Valor Real'!A3:A15,'Fevereiro 2023 - Valor Real'!C3:C15,0))+1),((L453-1)*(1-_xlfn.XLOOKUP(K453,'Fevereiro 2023 - Valor Real'!A3:A15,'Fevereiro 2023 - Valor Real'!C3:C15,0))+1))/((L451-1)*(1-_xlfn.XLOOKUP(K451,'Fevereiro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Real'!C3:C15,0))+1))/((L451-1)*(1-_xlfn.XLOOKUP(K451,'Fevereiro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Real'!C3:C15,0))+1))/((L452-1)*(1-_xlfn.XLOOKUP(K452,'Fevereiro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Real'!C3:C15,0))+1))/((L453-1)*(1-_xlfn.XLOOKUP(K453,'Fevereiro 2023 - Valor Real'!A3:A15,'Fevereiro 2023 - Valor Real'!C3:C15,0))+1)),IF(I451="Lay",IF(I452="Lay",((L452/(L452-1)-1)*(1-_xlfn.XLOOKUP(K452,'Fevereiro 2023 - Valor Real'!A3:A15,'Fevereiro 2023 - Valor Real'!C3:C15,0))+1)/(((L452/(L452-1)-1)*(1-_xlfn.XLOOKUP(K452,'Fevereiro 2023 - Valor Real'!A3:A15,'Fevereiro 2023 - Valor Real'!C3:C15,0))+1)+((L451/(L451-1)-1)*(1-_xlfn.XLOOKUP(K451,'Fevereiro 2023 - Valor Real'!A3:A15,'Fevereiro 2023 - Valor Real'!C3:C15,0))+1)),((L452-1)*(1-_xlfn.XLOOKUP(K452,'Fevereiro 2023 - Valor Real'!A3:A15,'Fevereiro 2023 - Valor Real'!C3:C15,0))+1)/(((L452-1)*(1-_xlfn.XLOOKUP(K452,'Fevereiro 2023 - Valor Real'!A3:A15,'Fevereiro 2023 - Valor Real'!C3:C15,0))+1)+((L451/(L451-1)-1)*(1-_xlfn.XLOOKUP(K451,'Fevereiro 2023 - Valor Real'!A3:A15,'Fevereiro 2023 - Valor Real'!C3:C15,0))+1))),IF(I452="Lay",(((L452/(L452-1)-1)*(1-_xlfn.XLOOKUP(K452,'Fevereiro 2023 - Valor Real'!A3:A15,'Fevereiro 2023 - Valor Real'!C3:C15,0))+1))/(((L451-1)*(1-_xlfn.XLOOKUP(K451,'Fevereiro 2023 - Valor Real'!A3:A15,'Fevereiro 2023 - Valor Real'!C3:C15,0))+1)+((L452/(L452-1)-1)*(1-_xlfn.XLOOKUP(K452,'Fevereiro 2023 - Valor Real'!A3:A15,'Fevereiro 2023 - Valor Real'!C3:C15,0))+1)),((L452-1)*(1-_xlfn.XLOOKUP(K452,'Fevereiro 2023 - Valor Real'!A3:A15,'Fevereiro 2023 - Valor Real'!C3:C15,0))+1)/(((L452-1)*(1-_xlfn.XLOOKUP(K452,'Fevereiro 2023 - Valor Real'!A3:A15,'Fevereiro 2023 - Valor Real'!C3:C15,0))+1)+((L451-1)*(1-_xlfn.XLOOKUP(K451,'Fevereiro 2023 - Valor Real'!A3:A15,'Fevereiro 2023 - Valor Real'!C3:C15,0))+1))))))</f>
        <v>0.52830188679245282</v>
      </c>
      <c r="AF451" s="105">
        <f t="shared" si="885"/>
        <v>0</v>
      </c>
      <c r="AG451" s="106">
        <f t="shared" si="885"/>
        <v>0</v>
      </c>
      <c r="AH451" s="106">
        <f t="shared" si="885"/>
        <v>0</v>
      </c>
      <c r="AI451" s="106">
        <f t="shared" si="885"/>
        <v>0</v>
      </c>
      <c r="AJ451" s="106">
        <f t="shared" si="885"/>
        <v>11.25</v>
      </c>
      <c r="AK451" s="106">
        <f t="shared" si="885"/>
        <v>0</v>
      </c>
      <c r="AL451" s="106">
        <f t="shared" si="885"/>
        <v>0</v>
      </c>
      <c r="AM451" s="106">
        <f t="shared" si="885"/>
        <v>0</v>
      </c>
      <c r="AN451" s="106">
        <f t="shared" si="885"/>
        <v>0</v>
      </c>
      <c r="AO451" s="106">
        <f t="shared" si="885"/>
        <v>0</v>
      </c>
      <c r="AP451" s="106">
        <f t="shared" si="885"/>
        <v>0</v>
      </c>
      <c r="AQ451" s="106">
        <f t="shared" si="885"/>
        <v>0</v>
      </c>
      <c r="AR451" s="107">
        <f t="shared" si="885"/>
        <v>0</v>
      </c>
      <c r="AS451" s="105">
        <f t="shared" ref="AS451:BE451" si="896">IF(AND($B451=" ",$K451=AS$3),$O451,0)</f>
        <v>0</v>
      </c>
      <c r="AT451" s="106">
        <f t="shared" si="896"/>
        <v>0</v>
      </c>
      <c r="AU451" s="106">
        <f t="shared" si="896"/>
        <v>0</v>
      </c>
      <c r="AV451" s="106">
        <f t="shared" si="896"/>
        <v>0</v>
      </c>
      <c r="AW451" s="106">
        <f t="shared" si="896"/>
        <v>0</v>
      </c>
      <c r="AX451" s="106">
        <f t="shared" si="896"/>
        <v>0</v>
      </c>
      <c r="AY451" s="108">
        <f t="shared" si="896"/>
        <v>0</v>
      </c>
      <c r="AZ451" s="109">
        <f t="shared" si="896"/>
        <v>0</v>
      </c>
      <c r="BA451" s="109">
        <f t="shared" si="896"/>
        <v>0</v>
      </c>
      <c r="BB451" s="109">
        <f t="shared" si="896"/>
        <v>0</v>
      </c>
      <c r="BC451" s="110">
        <f t="shared" si="896"/>
        <v>0</v>
      </c>
      <c r="BD451" s="106">
        <f t="shared" si="896"/>
        <v>0</v>
      </c>
      <c r="BE451" s="107">
        <f t="shared" si="896"/>
        <v>0</v>
      </c>
      <c r="BF451" s="111">
        <f t="shared" si="887"/>
        <v>0</v>
      </c>
      <c r="BG451" s="106">
        <f t="shared" si="887"/>
        <v>0</v>
      </c>
      <c r="BH451" s="106">
        <f t="shared" si="887"/>
        <v>0</v>
      </c>
      <c r="BI451" s="106">
        <f t="shared" si="887"/>
        <v>0</v>
      </c>
      <c r="BJ451" s="106">
        <f t="shared" si="887"/>
        <v>11.25</v>
      </c>
      <c r="BK451" s="106">
        <f t="shared" si="887"/>
        <v>0</v>
      </c>
      <c r="BL451" s="106">
        <f t="shared" si="887"/>
        <v>0</v>
      </c>
      <c r="BM451" s="108">
        <f t="shared" si="887"/>
        <v>0</v>
      </c>
      <c r="BN451" s="109">
        <f t="shared" si="887"/>
        <v>0</v>
      </c>
      <c r="BO451" s="109">
        <f t="shared" si="887"/>
        <v>0</v>
      </c>
      <c r="BP451" s="109">
        <f t="shared" si="887"/>
        <v>0</v>
      </c>
      <c r="BQ451" s="110">
        <f t="shared" si="887"/>
        <v>0</v>
      </c>
      <c r="BR451" s="107">
        <f t="shared" si="887"/>
        <v>0</v>
      </c>
      <c r="BS451" s="463">
        <f>IF($B451="LOSS",IF(AND($K451=BS$3,$C451="L"),-$O451,0)+IF(AND($K452=BS$3,$C452="L"),-$O452,0)+IF(AND($K453=BS$3,$C453="L"),-$O453,0),IF(OR(AND($K451=BS$3,OR($C451="W",$C451="1/2W")),AND($K452=BS$3,OR($C452="W",$C452="1/2W")),AND($K453=BS$3,OR($C453="W",$C453="1/2W"))),$S451,0))</f>
        <v>0</v>
      </c>
      <c r="BT451" s="462">
        <f>IF($B451="LOSS",IF(AND($K451=BT$3,$C451="L"),-$O451,0)+IF(AND($K452=BT$3,$C452="L"),-$O452,0)+IF(AND($K452=BT$3,$C453="L"),-$O453,0),IF(OR(AND($K452=BT$3,OR($C451="W",$C451="1/2W")),AND($K452=BT$3,OR($C452="W",$C452="1/2W")),AND($K452=BT$3,OR($C453="W",$C453="1/2W"))),$S451,0))</f>
        <v>0</v>
      </c>
      <c r="BU451" s="462">
        <f>IF($B451="LOSS",IF(AND($K451=BU$3,$C451="L"),-$O451,0)+IF(AND($K452=BU$3,$C452="L"),-$O452,0)+IF(AND($K452=BU$3,$C453="L"),-$O453,0),IF(OR(AND($K452=BU$3,OR($C451="W",$C451="1/2W")),AND($K452=BU$3,OR($C452="W",$C452="1/2W")),AND($K452=BU$3,OR($C453="W",$C453="1/2W"))),$S451,0))</f>
        <v>0</v>
      </c>
      <c r="BV451" s="462">
        <f t="shared" ref="BV451:CE451" si="897">IF($B451="LOSS",IF(AND($K451=BV$3,$C451="L"),-$O451,0)+IF(AND($K452=BV$3,$C452="L"),-$O452,0)+IF(AND($K453=BV$3,$C453="L"),-$O453,0),IF(OR(AND($K451=BV$3,OR($C451="W",$C451="1/2W")),AND($K452=BV$3,OR($C452="W",$C452="1/2W")),AND($K453=BV$3,OR($C453="W",$C453="1/2W"))),$S451,0))</f>
        <v>0</v>
      </c>
      <c r="BW451" s="462">
        <f t="shared" si="897"/>
        <v>1.21</v>
      </c>
      <c r="BX451" s="462">
        <f t="shared" si="897"/>
        <v>0</v>
      </c>
      <c r="BY451" s="462">
        <f t="shared" si="897"/>
        <v>0</v>
      </c>
      <c r="BZ451" s="460">
        <f t="shared" si="897"/>
        <v>0</v>
      </c>
      <c r="CA451" s="460">
        <f t="shared" si="897"/>
        <v>0</v>
      </c>
      <c r="CB451" s="460">
        <f t="shared" si="897"/>
        <v>0</v>
      </c>
      <c r="CC451" s="460">
        <f t="shared" si="897"/>
        <v>0</v>
      </c>
      <c r="CD451" s="473">
        <f t="shared" si="897"/>
        <v>0</v>
      </c>
      <c r="CE451" s="479">
        <f t="shared" si="897"/>
        <v>0</v>
      </c>
      <c r="CF451" s="113">
        <f t="shared" si="772"/>
        <v>0</v>
      </c>
      <c r="CG451" s="114">
        <f t="shared" si="773"/>
        <v>0</v>
      </c>
      <c r="CH451" s="114">
        <f t="shared" si="774"/>
        <v>0</v>
      </c>
      <c r="CI451" s="114">
        <f t="shared" si="775"/>
        <v>0</v>
      </c>
      <c r="CJ451" s="114">
        <f t="shared" si="776"/>
        <v>0</v>
      </c>
      <c r="CK451" s="114">
        <f t="shared" si="777"/>
        <v>0</v>
      </c>
      <c r="CL451" s="114">
        <f t="shared" si="778"/>
        <v>0</v>
      </c>
      <c r="CM451" s="114">
        <f t="shared" si="779"/>
        <v>0</v>
      </c>
      <c r="CN451" s="114">
        <f t="shared" si="780"/>
        <v>1</v>
      </c>
      <c r="CO451" s="114">
        <f t="shared" si="781"/>
        <v>0</v>
      </c>
      <c r="CP451" s="114">
        <f t="shared" si="782"/>
        <v>0</v>
      </c>
      <c r="CQ451" s="114">
        <f t="shared" si="783"/>
        <v>0</v>
      </c>
      <c r="CR451" s="114">
        <f t="shared" si="784"/>
        <v>0</v>
      </c>
      <c r="CS451" s="114">
        <f t="shared" si="785"/>
        <v>0</v>
      </c>
      <c r="CT451" s="115">
        <f t="shared" si="786"/>
        <v>0</v>
      </c>
      <c r="CU451" s="116">
        <f t="shared" si="787"/>
        <v>0</v>
      </c>
      <c r="CV451" s="116">
        <f t="shared" si="788"/>
        <v>0</v>
      </c>
      <c r="CW451" s="116">
        <f t="shared" si="789"/>
        <v>0</v>
      </c>
      <c r="CX451" s="116">
        <f t="shared" si="790"/>
        <v>0</v>
      </c>
      <c r="CY451" s="116">
        <f t="shared" si="791"/>
        <v>0</v>
      </c>
      <c r="CZ451" s="116">
        <f t="shared" si="792"/>
        <v>0</v>
      </c>
      <c r="DA451" s="116">
        <f t="shared" si="793"/>
        <v>0</v>
      </c>
      <c r="DB451" s="116">
        <f t="shared" si="794"/>
        <v>0</v>
      </c>
      <c r="DC451" s="116">
        <f t="shared" si="795"/>
        <v>0</v>
      </c>
      <c r="DD451" s="116">
        <f t="shared" si="796"/>
        <v>0</v>
      </c>
      <c r="DE451" s="117">
        <f t="shared" si="797"/>
        <v>0</v>
      </c>
      <c r="DF451" s="118">
        <f t="shared" si="799"/>
        <v>30</v>
      </c>
      <c r="DG451" s="106">
        <f t="shared" si="800"/>
        <v>38.739999999999995</v>
      </c>
      <c r="DH451" s="116">
        <f t="shared" si="801"/>
        <v>11</v>
      </c>
      <c r="DI451" s="106">
        <f t="shared" si="802"/>
        <v>45.699999999999996</v>
      </c>
      <c r="DJ451" s="201" t="str">
        <f>IF($D451="","",$D451)</f>
        <v>15</v>
      </c>
      <c r="DK451" s="465">
        <f>IF(AND($B451=" ",$D451&lt;&gt;""),1,0)</f>
        <v>0</v>
      </c>
    </row>
    <row r="452" spans="1:115" ht="14.5" customHeight="1" x14ac:dyDescent="0.2">
      <c r="A452" s="389"/>
      <c r="B452" s="456"/>
      <c r="C452" s="120" t="s">
        <v>55</v>
      </c>
      <c r="D452" s="374"/>
      <c r="E452" s="386"/>
      <c r="F452" s="377"/>
      <c r="G452" s="483"/>
      <c r="H452" s="476"/>
      <c r="I452" s="121" t="s">
        <v>66</v>
      </c>
      <c r="J452" s="122">
        <f>IF(OR(I451="TO",I451="TU",I451="TO1",I451="TU1",I451="TO2",I451="TU2"),J451,IF(OR(I451="AH1",I451="AH2"),IF(OR(I452="AH1",I452="AH2"),-J451,IF(OR(I452="EH1",I452="EH2"),-J451+0.5,"")),IF(OR(I451="EH1",I451="EH2"),IF(OR(I452="AH1",I452="AH2"),-J451+0.5,IF(OR(I452="EH1",I452="EH2"),-J451+1,"")),IF(AND(OR(I451="DNB1",I451="DNB2"),OR(I452="AH1",I452="AH2")),0,IF(AND(I451="Not ScoreBoth",OR(I452="TO1",I452="TO2")),0.5,"")))))</f>
        <v>6.5</v>
      </c>
      <c r="K452" s="123" t="s">
        <v>43</v>
      </c>
      <c r="L452" s="124">
        <v>2.2400000000000002</v>
      </c>
      <c r="M452" s="125"/>
      <c r="N452" s="406"/>
      <c r="O452" s="126">
        <f>IF(OR(AE451="",AE452=""),"",ROUND(IF(L453&gt;0,IF(M452&gt;0,M452,IF(M451&gt;0,IF(N451=TRUE,ROUND((M451*AE452)/AE451,0),(M451*AE452)/AE451),IF(M452&gt;0,ROUND(M452,IF(N451=0,2,IF(N451=0.1,1,0))),IF(M453&gt;0,ROUND(O453*AE452/AE453,IF(N451=0,2,IF(N451=0.1,1,0))),0)))),IF(M452&gt;0,M452,ROUND((M451*AE452)/AE451,IF(N451=0,2,IF(N451=0.1,1,0))))),2))</f>
        <v>10.039999999999999</v>
      </c>
      <c r="P452" s="127">
        <f>IF(OR(L452="",O452=""),"",IF($C452="1/2W",O452/2+O452/2*L452,IF($C452="1/2L",O452/2,IF(I452="Lay",((O452*(L452/(L452-1)))-O452)*(1-_xlfn.XLOOKUP(K452,'Fevereiro 2023 - Valor Real'!A3:A15,'Fevereiro 2023 - Valor Real'!C3:C15,0))+O452,(O452*L452-O452)*(1-_xlfn.XLOOKUP(K452,'Fevereiro 2023 - Valor Real'!A3:A15,'Fevereiro 2023 - Valor Real'!C3:C15,0))+O452))))</f>
        <v>22.489599999999999</v>
      </c>
      <c r="Q452" s="128">
        <f>IF(K452="","",IF(_xlfn.XLOOKUP(K452,K$4:K451,$DJ$4:DJ451,0,,-1)=DJ452,_xlfn.XLOOKUP(K452,K$4:K451,Q$4:Q451,1,,-1)+1,1))</f>
        <v>3</v>
      </c>
      <c r="R452" s="129">
        <f>IF(K452="","",_xlfn.XLOOKUP(K452,K$4:K451,R$4:R451,0,,-1)+IF($C452=" ",1,0))</f>
        <v>0</v>
      </c>
      <c r="S452" s="403"/>
      <c r="T452" s="380"/>
      <c r="U452" s="380"/>
      <c r="V452" s="481"/>
      <c r="W452" s="380"/>
      <c r="X452" s="452"/>
      <c r="Y452" s="383"/>
      <c r="Z452" s="384"/>
      <c r="AA452" s="384"/>
      <c r="AB452" s="384"/>
      <c r="AC452" s="384"/>
      <c r="AD452" s="130">
        <f>(((L452/(L452-1)-1)*(1-_xlfn.XLOOKUP(K452,'Fevereiro 2023 - Valor Real'!A3:A15,'Fevereiro 2023 - Valor Real'!C3:C15,0))+1))</f>
        <v>1.8064516129032258</v>
      </c>
      <c r="AE452" s="131">
        <f>IF(L452="","",IF(L453&gt;0,(SUM(((L451-1)*(1-_xlfn.XLOOKUP(K451,'Fevereiro 2023 - Valor Real'!A3:A15,'Fevereiro 2023 - Valor Real'!C3:C15,0))+1),((L452-1)*(1-_xlfn.XLOOKUP(K452,'Fevereiro 2023 - Valor Real'!A3:A15,'Fevereiro 2023 - Valor Real'!C3:C15,0))+1),((L453-1)*(1-_xlfn.XLOOKUP(K453,'Fevereiro 2023 - Valor Real'!A3:A15,'Fevereiro 2023 - Valor Real'!C3:C15,0))+1))/((L452-1)*(1-_xlfn.XLOOKUP(K452,'Fevereiro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Real'!C3:C15,0))+1))/((L451-1)*(1-_xlfn.XLOOKUP(K451,'Fevereiro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Real'!C3:C15,0))+1))/((L452-1)*(1-_xlfn.XLOOKUP(K452,'Fevereiro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Real'!C3:C15,0))+1))/((L453-1)*(1-_xlfn.XLOOKUP(K453,'Fevereiro 2023 - Valor Real'!A3:A15,'Fevereiro 2023 - Valor Real'!C3:C15,0))+1)),IF(I452="Lay",IF(I451="Lay",((L451/(L451-1)-1)*(1-_xlfn.XLOOKUP(K451,'Fevereiro 2023 - Valor Real'!A3:A15,'Fevereiro 2023 - Valor Real'!C3:C15,0))+1)/(((L451/(L451-1)-1)*(1-_xlfn.XLOOKUP(K451,'Fevereiro 2023 - Valor Real'!A3:A15,'Fevereiro 2023 - Valor Real'!C3:C15,0))+1)+((L452/(L452-1)-1)*(1-_xlfn.XLOOKUP(K452,'Fevereiro 2023 - Valor Real'!A3:A15,'Fevereiro 2023 - Valor Real'!C3:C15,0))+1)),((L451-1)*(1-_xlfn.XLOOKUP(K451,'Fevereiro 2023 - Valor Real'!A3:A15,'Fevereiro 2023 - Valor Real'!C3:C15,0))+1)/(((L451-1)*(1-_xlfn.XLOOKUP(K451,'Fevereiro 2023 - Valor Real'!A3:A15,'Fevereiro 2023 - Valor Real'!C3:C15,0))+1)+((L452/(L452-1)-1)*(1-_xlfn.XLOOKUP(K452,'Fevereiro 2023 - Valor Real'!A3:A15,'Fevereiro 2023 - Valor Real'!C3:C15,0))+1))),IF(I451="Lay",((L451/(L451-1)-1)*(1-_xlfn.XLOOKUP(K451,'Fevereiro 2023 - Valor Real'!A3:A15,'Fevereiro 2023 - Valor Real'!C3:C15,0))+1)/((((L451/(L451-1)-1)*(1-_xlfn.XLOOKUP(K451,'Fevereiro 2023 - Valor Real'!A3:A15,'Fevereiro 2023 - Valor Real'!C3:C15,0))+1))+((L452-1)*(1-_xlfn.XLOOKUP(K452,'Fevereiro 2023 - Valor Real'!A3:A15,'Fevereiro 2023 - Valor Real'!C3:C15,0))+1)),((L451-1)*(1-_xlfn.XLOOKUP(K451,'Fevereiro 2023 - Valor Real'!A3:A15,'Fevereiro 2023 - Valor Real'!C3:C15,0))+1)/(((L451-1)*(1-_xlfn.XLOOKUP(K451,'Fevereiro 2023 - Valor Real'!A3:A15,'Fevereiro 2023 - Valor Real'!C3:C15,0))+1)+((L452-1)*(1-_xlfn.XLOOKUP(K452,'Fevereiro 2023 - Valor Real'!A3:A15,'Fevereiro 2023 - Valor Real'!C3:C15,0))+1))))))</f>
        <v>0.47169811320754712</v>
      </c>
      <c r="AF452" s="105">
        <f t="shared" si="885"/>
        <v>0</v>
      </c>
      <c r="AG452" s="106">
        <f t="shared" si="885"/>
        <v>0</v>
      </c>
      <c r="AH452" s="106">
        <f t="shared" si="885"/>
        <v>0</v>
      </c>
      <c r="AI452" s="106">
        <f t="shared" si="885"/>
        <v>0</v>
      </c>
      <c r="AJ452" s="106">
        <f t="shared" si="885"/>
        <v>0</v>
      </c>
      <c r="AK452" s="106">
        <f t="shared" si="885"/>
        <v>0</v>
      </c>
      <c r="AL452" s="106">
        <f t="shared" si="885"/>
        <v>0</v>
      </c>
      <c r="AM452" s="106">
        <f t="shared" si="885"/>
        <v>-10.039999999999999</v>
      </c>
      <c r="AN452" s="106">
        <f t="shared" si="885"/>
        <v>0</v>
      </c>
      <c r="AO452" s="106">
        <f t="shared" si="885"/>
        <v>0</v>
      </c>
      <c r="AP452" s="106">
        <f t="shared" si="885"/>
        <v>0</v>
      </c>
      <c r="AQ452" s="106">
        <f t="shared" si="885"/>
        <v>0</v>
      </c>
      <c r="AR452" s="107">
        <f t="shared" si="885"/>
        <v>0</v>
      </c>
      <c r="AS452" s="105">
        <f>IF(AND($B451=" ",$K452=AS$3),$O452,0)</f>
        <v>0</v>
      </c>
      <c r="AT452" s="106">
        <f>IF(AND($B451=" ",K452=AT$3),$O452,0)</f>
        <v>0</v>
      </c>
      <c r="AU452" s="106">
        <f t="shared" ref="AU452:BE452" si="898">IF(AND($B451=" ",$K452=AU$3),$O452,0)</f>
        <v>0</v>
      </c>
      <c r="AV452" s="106">
        <f t="shared" si="898"/>
        <v>0</v>
      </c>
      <c r="AW452" s="106">
        <f t="shared" si="898"/>
        <v>0</v>
      </c>
      <c r="AX452" s="106">
        <f t="shared" si="898"/>
        <v>0</v>
      </c>
      <c r="AY452" s="108">
        <f t="shared" si="898"/>
        <v>0</v>
      </c>
      <c r="AZ452" s="109">
        <f t="shared" si="898"/>
        <v>0</v>
      </c>
      <c r="BA452" s="109">
        <f t="shared" si="898"/>
        <v>0</v>
      </c>
      <c r="BB452" s="109">
        <f t="shared" si="898"/>
        <v>0</v>
      </c>
      <c r="BC452" s="110">
        <f t="shared" si="898"/>
        <v>0</v>
      </c>
      <c r="BD452" s="106">
        <f t="shared" si="898"/>
        <v>0</v>
      </c>
      <c r="BE452" s="107">
        <f t="shared" si="898"/>
        <v>0</v>
      </c>
      <c r="BF452" s="105">
        <f t="shared" si="887"/>
        <v>0</v>
      </c>
      <c r="BG452" s="106">
        <f t="shared" si="887"/>
        <v>0</v>
      </c>
      <c r="BH452" s="106">
        <f t="shared" si="887"/>
        <v>0</v>
      </c>
      <c r="BI452" s="106">
        <f t="shared" si="887"/>
        <v>0</v>
      </c>
      <c r="BJ452" s="106">
        <f t="shared" si="887"/>
        <v>0</v>
      </c>
      <c r="BK452" s="106">
        <f t="shared" si="887"/>
        <v>0</v>
      </c>
      <c r="BL452" s="106">
        <f t="shared" si="887"/>
        <v>0</v>
      </c>
      <c r="BM452" s="132">
        <f t="shared" si="887"/>
        <v>10.039999999999999</v>
      </c>
      <c r="BN452" s="112">
        <f t="shared" si="887"/>
        <v>0</v>
      </c>
      <c r="BO452" s="112">
        <f t="shared" si="887"/>
        <v>0</v>
      </c>
      <c r="BP452" s="112">
        <f t="shared" si="887"/>
        <v>0</v>
      </c>
      <c r="BQ452" s="110">
        <f t="shared" si="887"/>
        <v>0</v>
      </c>
      <c r="BR452" s="107">
        <f t="shared" si="887"/>
        <v>0</v>
      </c>
      <c r="BS452" s="464"/>
      <c r="BT452" s="461"/>
      <c r="BU452" s="392"/>
      <c r="BV452" s="461"/>
      <c r="BW452" s="392"/>
      <c r="BX452" s="392"/>
      <c r="BY452" s="392"/>
      <c r="BZ452" s="461"/>
      <c r="CA452" s="392"/>
      <c r="CB452" s="392"/>
      <c r="CC452" s="392"/>
      <c r="CD452" s="401"/>
      <c r="CE452" s="409"/>
      <c r="CF452" s="133">
        <f t="shared" ref="CF452:CF515" si="899">IF(CF$3=$K452,IF($C452="W",1,IF($C452="1/2W",0.5,0)),0)</f>
        <v>0</v>
      </c>
      <c r="CG452" s="134">
        <f t="shared" ref="CG452:CG515" si="900">IF(CF$3=$K452,IF($C452="L",1,IF($C452="1/2L",0.5,0)),0)</f>
        <v>0</v>
      </c>
      <c r="CH452" s="134">
        <f t="shared" ref="CH452:CH515" si="901">IF(CH$3=$K452,IF($C452="W",1,IF($C452="1/2W",0.5,0)),0)</f>
        <v>0</v>
      </c>
      <c r="CI452" s="134">
        <f t="shared" ref="CI452:CI515" si="902">IF(CH$3=$K452,IF($C452="L",1,IF($C452="1/2L",0.5,0)),0)</f>
        <v>0</v>
      </c>
      <c r="CJ452" s="134">
        <f t="shared" ref="CJ452:CJ515" si="903">IF(CJ$3=$K452,IF($C452="W",1,IF($C452="1/2W",0.5,0)),0)</f>
        <v>0</v>
      </c>
      <c r="CK452" s="134">
        <f t="shared" ref="CK452:CK515" si="904">IF(CJ$3=$K452,IF($C452="L",1,IF($C452="1/2L",0.5,0)),0)</f>
        <v>0</v>
      </c>
      <c r="CL452" s="134">
        <f t="shared" ref="CL452:CL515" si="905">IF(CL$3=$K452,IF($C452="W",1,IF($C452="1/2W",0.5,0)),0)</f>
        <v>0</v>
      </c>
      <c r="CM452" s="134">
        <f t="shared" ref="CM452:CM515" si="906">IF(CL$3=$K452,IF($C452="L",1,IF($C452="1/2L",0.5,0)),0)</f>
        <v>0</v>
      </c>
      <c r="CN452" s="134">
        <f t="shared" ref="CN452:CN515" si="907">IF(CN$3=$K452,IF($C452="W",1,IF($C452="1/2W",0.5,0)),0)</f>
        <v>0</v>
      </c>
      <c r="CO452" s="134">
        <f t="shared" ref="CO452:CO515" si="908">IF(CN$3=$K452,IF($C452="L",1,IF($C452="1/2L",0.5,0)),0)</f>
        <v>0</v>
      </c>
      <c r="CP452" s="134">
        <f t="shared" ref="CP452:CP515" si="909">IF(CP$3=$K452,IF($C452="W",1,IF($C452="1/2W",0.5,0)),0)</f>
        <v>0</v>
      </c>
      <c r="CQ452" s="134">
        <f t="shared" ref="CQ452:CQ515" si="910">IF(CP$3=$K452,IF($C452="L",1,IF($C452="1/2L",0.5,0)),0)</f>
        <v>0</v>
      </c>
      <c r="CR452" s="134">
        <f t="shared" ref="CR452:CR515" si="911">IF(CR$3=$K452,IF($C452="W",1,IF($C452="1/2W",0.5,0)),0)</f>
        <v>0</v>
      </c>
      <c r="CS452" s="134">
        <f t="shared" ref="CS452:CS515" si="912">IF(CR$3=$K452,IF($C452="L",1,IF($C452="1/2L",0.5,0)),0)</f>
        <v>0</v>
      </c>
      <c r="CT452" s="115">
        <f t="shared" ref="CT452:CT515" si="913">IF(CT$3=$K452,IF($C452="W",1,IF($C452="1/2W",0.5,0)),0)</f>
        <v>0</v>
      </c>
      <c r="CU452" s="116">
        <f t="shared" ref="CU452:CU515" si="914">IF(CT$3=$K452,IF($C452="L",1,IF($C452="1/2L",0.5,0)),0)</f>
        <v>1</v>
      </c>
      <c r="CV452" s="116">
        <f t="shared" ref="CV452:CV515" si="915">IF(CV$3=$K452,IF($C452="W",1,IF($C452="1/2W",0.5,0)),0)</f>
        <v>0</v>
      </c>
      <c r="CW452" s="116">
        <f t="shared" ref="CW452:CW515" si="916">IF(CV$3=$K452,IF($C452="L",1,IF($C452="1/2L",0.5,0)),0)</f>
        <v>0</v>
      </c>
      <c r="CX452" s="116">
        <f t="shared" ref="CX452:CX515" si="917">IF(CX$3=$K452,IF($C452="W",1,IF($C452="1/2W",0.5,0)),0)</f>
        <v>0</v>
      </c>
      <c r="CY452" s="116">
        <f t="shared" ref="CY452:CY515" si="918">IF(CX$3=$K452,IF($C452="L",1,IF($C452="1/2L",0.5,0)),0)</f>
        <v>0</v>
      </c>
      <c r="CZ452" s="116">
        <f t="shared" ref="CZ452:CZ515" si="919">IF(CZ$3=$K452,IF($C452="W",1,IF($C452="1/2W",0.5,0)),0)</f>
        <v>0</v>
      </c>
      <c r="DA452" s="116">
        <f t="shared" ref="DA452:DA515" si="920">IF(CZ$3=$K452,IF($C452="L",1,IF($C452="1/2L",0.5,0)),0)</f>
        <v>0</v>
      </c>
      <c r="DB452" s="116">
        <f t="shared" ref="DB452:DB515" si="921">IF(DB$3=$K452,IF($C452="W",1,IF($C452="1/2W",0.5,0)),0)</f>
        <v>0</v>
      </c>
      <c r="DC452" s="116">
        <f t="shared" ref="DC452:DC515" si="922">IF(DB$3=$K452,IF($C452="L",1,IF($C452="1/2L",0.5,0)),0)</f>
        <v>0</v>
      </c>
      <c r="DD452" s="116">
        <f t="shared" ref="DD452:DD515" si="923">IF(DD$3=$K452,IF($C452="W",1,IF($C452="1/2W",0.5,0)),0)</f>
        <v>0</v>
      </c>
      <c r="DE452" s="117">
        <f t="shared" ref="DE452:DE515" si="924">IF(DD$3=$K452,IF($C452="L",1,IF($C452="1/2L",0.5,0)),0)</f>
        <v>0</v>
      </c>
      <c r="DF452" s="118">
        <f t="shared" si="799"/>
        <v>30</v>
      </c>
      <c r="DG452" s="106">
        <f t="shared" si="800"/>
        <v>38.739999999999995</v>
      </c>
      <c r="DH452" s="116">
        <f t="shared" si="801"/>
        <v>11</v>
      </c>
      <c r="DI452" s="106">
        <f t="shared" si="802"/>
        <v>45.699999999999996</v>
      </c>
      <c r="DJ452" s="201" t="str">
        <f>IF($D451="","",$D451)</f>
        <v>15</v>
      </c>
      <c r="DK452" s="466"/>
    </row>
    <row r="453" spans="1:115" ht="14.5" customHeight="1" x14ac:dyDescent="0.2">
      <c r="A453" s="390"/>
      <c r="B453" s="457"/>
      <c r="C453" s="135" t="s">
        <v>53</v>
      </c>
      <c r="D453" s="375"/>
      <c r="E453" s="387"/>
      <c r="F453" s="378"/>
      <c r="G453" s="484"/>
      <c r="H453" s="477"/>
      <c r="I453" s="136"/>
      <c r="J453" s="137"/>
      <c r="K453" s="138"/>
      <c r="L453" s="139"/>
      <c r="M453" s="140"/>
      <c r="N453" s="407"/>
      <c r="O453" s="141" t="str">
        <f>IF(OR(AE451="",AE452=""),"",IF(L453&gt;0,ROUND(IF(M453&gt;0,M453,IF(M451&gt;0,ROUND((M451*AE453)/AE451,IF(N451=0,2,IF(N451=0.1,1,0))),IF(M452&gt;0,ROUND((M452*AE453)/AE452,IF(N451=0,2,IF(N451=0.1,1,0))),IF(M453&gt;0,M453,0)))),2),""))</f>
        <v/>
      </c>
      <c r="P453" s="142" t="str">
        <f>IF(I452="Lay",O452*(L452/(L452-1))-O452,IF(I451="Lay",O451*(L451/(L451-1))-O451,IF(OR(L453="",O453=""),"",IF($C453="1/2W",O453/2+O453/2*L453,IF($C453="1/2L",O453/2,(O453*L453-O453)*(1-_xlfn.XLOOKUP(K453,'Fevereiro 2023 - Valor Real'!A3:A15,'Fevereiro 2023 - Valor Real'!C3:C15,0))+O453)))))</f>
        <v/>
      </c>
      <c r="Q453" s="143" t="str">
        <f>IF(K453="","",IF(_xlfn.XLOOKUP(K453,K$4:K452,$DJ$4:DJ452,0,,-1)=DJ453,_xlfn.XLOOKUP(K453,K$4:K452,Q$4:Q452,1,,-1)+1,1))</f>
        <v/>
      </c>
      <c r="R453" s="144" t="str">
        <f>IF(K453="","",_xlfn.XLOOKUP(K453,K$4:K452,R$4:R452,0,,-1)+IF($C453=" ",1,0))</f>
        <v/>
      </c>
      <c r="S453" s="404"/>
      <c r="T453" s="378"/>
      <c r="U453" s="378"/>
      <c r="V453" s="404"/>
      <c r="W453" s="378"/>
      <c r="X453" s="453"/>
      <c r="Y453" s="383"/>
      <c r="Z453" s="384"/>
      <c r="AA453" s="384"/>
      <c r="AB453" s="384"/>
      <c r="AC453" s="384"/>
      <c r="AD453" s="145">
        <f>((L452/(L452-1)-1))</f>
        <v>0.80645161290322576</v>
      </c>
      <c r="AE453" s="146" t="str">
        <f>IF(L453="","",(SUM(((L451-1)*(1-_xlfn.XLOOKUP(K451,'Fevereiro 2023 - Valor Real'!A3:A15,'Fevereiro 2023 - Valor Real'!C3:C15,0))+1),((L452-1)*(1-_xlfn.XLOOKUP(K452,'Fevereiro 2023 - Valor Real'!A3:A15,'Fevereiro 2023 - Valor Real'!C3:C15,0))+1),((L453-1)*(1-_xlfn.XLOOKUP(K453,'Fevereiro 2023 - Valor Real'!A3:A15,'Fevereiro 2023 - Valor Real'!C3:C15,0))+1))/((L453-1)*(1-_xlfn.XLOOKUP(K453,'Fevereiro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Real'!C3:C15,0))+1))/((L451-1)*(1-_xlfn.XLOOKUP(K451,'Fevereiro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Real'!C3:C15,0))+1))/((L452-1)*(1-_xlfn.XLOOKUP(K452,'Fevereiro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Real'!C3:C15,0))+1))/((L453-1)*(1-_xlfn.XLOOKUP(K453,'Fevereiro 2023 - Valor Real'!A3:A15,'Fevereiro 2023 - Valor Real'!C3:C15,0))+1)))</f>
        <v/>
      </c>
      <c r="AF453" s="105">
        <f t="shared" si="885"/>
        <v>0</v>
      </c>
      <c r="AG453" s="106">
        <f t="shared" si="885"/>
        <v>0</v>
      </c>
      <c r="AH453" s="106">
        <f t="shared" si="885"/>
        <v>0</v>
      </c>
      <c r="AI453" s="106">
        <f t="shared" si="885"/>
        <v>0</v>
      </c>
      <c r="AJ453" s="106">
        <f t="shared" si="885"/>
        <v>0</v>
      </c>
      <c r="AK453" s="106">
        <f t="shared" si="885"/>
        <v>0</v>
      </c>
      <c r="AL453" s="106">
        <f t="shared" si="885"/>
        <v>0</v>
      </c>
      <c r="AM453" s="106">
        <f t="shared" si="885"/>
        <v>0</v>
      </c>
      <c r="AN453" s="106">
        <f t="shared" si="885"/>
        <v>0</v>
      </c>
      <c r="AO453" s="106">
        <f t="shared" si="885"/>
        <v>0</v>
      </c>
      <c r="AP453" s="106">
        <f t="shared" si="885"/>
        <v>0</v>
      </c>
      <c r="AQ453" s="106">
        <f t="shared" si="885"/>
        <v>0</v>
      </c>
      <c r="AR453" s="107">
        <f t="shared" si="885"/>
        <v>0</v>
      </c>
      <c r="AS453" s="105">
        <f>IF(AND($B451=" ",$K453=AS$3),$O453,0)</f>
        <v>0</v>
      </c>
      <c r="AT453" s="106">
        <f>IF(AND($B451=" ",K453=AT$3),$O453,0)</f>
        <v>0</v>
      </c>
      <c r="AU453" s="106">
        <f t="shared" ref="AU453:BE453" si="925">IF(AND($B451=" ",$K453=AU$3),$O453,0)</f>
        <v>0</v>
      </c>
      <c r="AV453" s="106">
        <f t="shared" si="925"/>
        <v>0</v>
      </c>
      <c r="AW453" s="106">
        <f t="shared" si="925"/>
        <v>0</v>
      </c>
      <c r="AX453" s="106">
        <f t="shared" si="925"/>
        <v>0</v>
      </c>
      <c r="AY453" s="108">
        <f t="shared" si="925"/>
        <v>0</v>
      </c>
      <c r="AZ453" s="109">
        <f t="shared" si="925"/>
        <v>0</v>
      </c>
      <c r="BA453" s="109">
        <f t="shared" si="925"/>
        <v>0</v>
      </c>
      <c r="BB453" s="109">
        <f t="shared" si="925"/>
        <v>0</v>
      </c>
      <c r="BC453" s="110">
        <f t="shared" si="925"/>
        <v>0</v>
      </c>
      <c r="BD453" s="106">
        <f t="shared" si="925"/>
        <v>0</v>
      </c>
      <c r="BE453" s="107">
        <f t="shared" si="925"/>
        <v>0</v>
      </c>
      <c r="BF453" s="105">
        <f t="shared" si="887"/>
        <v>0</v>
      </c>
      <c r="BG453" s="106">
        <f t="shared" si="887"/>
        <v>0</v>
      </c>
      <c r="BH453" s="106">
        <f t="shared" si="887"/>
        <v>0</v>
      </c>
      <c r="BI453" s="106">
        <f t="shared" si="887"/>
        <v>0</v>
      </c>
      <c r="BJ453" s="106">
        <f t="shared" si="887"/>
        <v>0</v>
      </c>
      <c r="BK453" s="106">
        <f t="shared" si="887"/>
        <v>0</v>
      </c>
      <c r="BL453" s="106">
        <f t="shared" si="887"/>
        <v>0</v>
      </c>
      <c r="BM453" s="108">
        <f t="shared" si="887"/>
        <v>0</v>
      </c>
      <c r="BN453" s="109">
        <f t="shared" si="887"/>
        <v>0</v>
      </c>
      <c r="BO453" s="109">
        <f t="shared" si="887"/>
        <v>0</v>
      </c>
      <c r="BP453" s="109">
        <f t="shared" si="887"/>
        <v>0</v>
      </c>
      <c r="BQ453" s="110">
        <f t="shared" si="887"/>
        <v>0</v>
      </c>
      <c r="BR453" s="107">
        <f t="shared" si="887"/>
        <v>0</v>
      </c>
      <c r="BS453" s="464"/>
      <c r="BT453" s="461"/>
      <c r="BU453" s="392"/>
      <c r="BV453" s="461"/>
      <c r="BW453" s="392"/>
      <c r="BX453" s="392"/>
      <c r="BY453" s="392"/>
      <c r="BZ453" s="461"/>
      <c r="CA453" s="392"/>
      <c r="CB453" s="392"/>
      <c r="CC453" s="392"/>
      <c r="CD453" s="401"/>
      <c r="CE453" s="409"/>
      <c r="CF453" s="133">
        <f t="shared" si="899"/>
        <v>0</v>
      </c>
      <c r="CG453" s="134">
        <f t="shared" si="900"/>
        <v>0</v>
      </c>
      <c r="CH453" s="134">
        <f t="shared" si="901"/>
        <v>0</v>
      </c>
      <c r="CI453" s="134">
        <f t="shared" si="902"/>
        <v>0</v>
      </c>
      <c r="CJ453" s="134">
        <f t="shared" si="903"/>
        <v>0</v>
      </c>
      <c r="CK453" s="134">
        <f t="shared" si="904"/>
        <v>0</v>
      </c>
      <c r="CL453" s="134">
        <f t="shared" si="905"/>
        <v>0</v>
      </c>
      <c r="CM453" s="134">
        <f t="shared" si="906"/>
        <v>0</v>
      </c>
      <c r="CN453" s="134">
        <f t="shared" si="907"/>
        <v>0</v>
      </c>
      <c r="CO453" s="134">
        <f t="shared" si="908"/>
        <v>0</v>
      </c>
      <c r="CP453" s="134">
        <f t="shared" si="909"/>
        <v>0</v>
      </c>
      <c r="CQ453" s="134">
        <f t="shared" si="910"/>
        <v>0</v>
      </c>
      <c r="CR453" s="134">
        <f t="shared" si="911"/>
        <v>0</v>
      </c>
      <c r="CS453" s="134">
        <f t="shared" si="912"/>
        <v>0</v>
      </c>
      <c r="CT453" s="115">
        <f t="shared" si="913"/>
        <v>0</v>
      </c>
      <c r="CU453" s="116">
        <f t="shared" si="914"/>
        <v>0</v>
      </c>
      <c r="CV453" s="116">
        <f t="shared" si="915"/>
        <v>0</v>
      </c>
      <c r="CW453" s="116">
        <f t="shared" si="916"/>
        <v>0</v>
      </c>
      <c r="CX453" s="116">
        <f t="shared" si="917"/>
        <v>0</v>
      </c>
      <c r="CY453" s="116">
        <f t="shared" si="918"/>
        <v>0</v>
      </c>
      <c r="CZ453" s="116">
        <f t="shared" si="919"/>
        <v>0</v>
      </c>
      <c r="DA453" s="116">
        <f t="shared" si="920"/>
        <v>0</v>
      </c>
      <c r="DB453" s="116">
        <f t="shared" si="921"/>
        <v>0</v>
      </c>
      <c r="DC453" s="116">
        <f t="shared" si="922"/>
        <v>0</v>
      </c>
      <c r="DD453" s="116">
        <f t="shared" si="923"/>
        <v>0</v>
      </c>
      <c r="DE453" s="117">
        <f t="shared" si="924"/>
        <v>0</v>
      </c>
      <c r="DF453" s="118">
        <f t="shared" ref="DF453:DF516" si="926">IF(AND(L453&lt;DF$3,$C453="W"),1+DF452,DF452)</f>
        <v>30</v>
      </c>
      <c r="DG453" s="106">
        <f t="shared" ref="DG453:DG516" si="927">IF(DF453&gt;DF452,L453+DG452,DG452)</f>
        <v>38.739999999999995</v>
      </c>
      <c r="DH453" s="116">
        <f t="shared" ref="DH453:DH516" si="928">IF(AND(L453&gt;DH$3,$C453="W"),1+DH452,0+DH452)</f>
        <v>11</v>
      </c>
      <c r="DI453" s="106">
        <f t="shared" ref="DI453:DI516" si="929">IF(DH453&gt;DH452,L453+DI452,DI452)</f>
        <v>45.699999999999996</v>
      </c>
      <c r="DJ453" s="201" t="str">
        <f>IF($D451="","",$D451)</f>
        <v>15</v>
      </c>
      <c r="DK453" s="466"/>
    </row>
    <row r="454" spans="1:115" ht="14.5" customHeight="1" x14ac:dyDescent="0.2">
      <c r="A454" s="487">
        <f>$A451+1</f>
        <v>151</v>
      </c>
      <c r="B454" s="506" t="str">
        <f>IF(OR(C454="W",C455="W",C456="W",C454="1/2W",C455="1/2W",C456="1/2W",C454="1/2L",C455="1/2L",C456="1/2L"),"OK",IF(OR(C454="L",C455="L",C456="L"),"LOSS",IF(OR(C454="X",C455="X",C456="X"),"Anulado"," ")))</f>
        <v>OK</v>
      </c>
      <c r="C454" s="147" t="s">
        <v>55</v>
      </c>
      <c r="D454" s="494" t="str">
        <f>IF(G454="","",$D451)</f>
        <v>15</v>
      </c>
      <c r="E454" s="511" t="str">
        <f>IF(G454=""," ","– "&amp;COUNTIF(D$4:D456,$D454))</f>
        <v>– 9</v>
      </c>
      <c r="F454" s="510" t="str">
        <f ca="1">IF(G454="","",IF(OR(AND($C454&lt;&gt;" ",$C455=" "),AND($C455&lt;&gt;" ",$C454=" "),AND(L456&gt;0,OR(AND($C456&lt;&gt;" ",OR($C454=" ",$C455=" ")),AND($C456=" ",OR($C454&lt;&gt;" ",$C455&lt;&gt;" "))))),IF(SUM(F$4:F453)=0,1,LARGE(F$4:F453,1)+1),IF(MONTH(G454)=MONTH(TODAY()),IF(AND(DAY(G454)&lt;DAY(TODAY()),$B454=" "),IF(SUM(F$4:F453)=0,1,LARGE(F$4:F453,1)+1),IF($B454=" ",IF(AND(DAY(G454)=DAY(TODAY()),HOUR(G454)&lt;=HOUR(NOW())+1),IF(AND(HOUR(G454)+2&lt;=HOUR(NOW()),DAY(G454)&lt;=DAY(TODAY()),MINUTE(G454)&lt;=MINUTE(NOW())),IF(SUM(F$4:F453)=0,1,LARGE(F$4:F453,1)+1),IF(OR(MINUTE(G454)&lt;=MINUTE(NOW()),HOUR(G454)&lt;=HOUR(NOW())),"!!!","")),""),"")),"")))</f>
        <v/>
      </c>
      <c r="G454" s="508">
        <v>45003.604166666664</v>
      </c>
      <c r="H454" s="502" t="s">
        <v>189</v>
      </c>
      <c r="I454" s="180" t="s">
        <v>102</v>
      </c>
      <c r="J454" s="181">
        <v>2</v>
      </c>
      <c r="K454" s="150" t="s">
        <v>47</v>
      </c>
      <c r="L454" s="151">
        <v>2.98</v>
      </c>
      <c r="M454" s="152">
        <v>1.65</v>
      </c>
      <c r="N454" s="503">
        <v>0</v>
      </c>
      <c r="O454" s="153">
        <f>IF(OR(AE454="",AE455=""),"",ROUND(IF(L456&gt;0,IF(M454&gt;0,M454,IF(M455&gt;0,ROUND((M455*AE454)/AE455,IF(N454=0,2,IF(N454=0.1,1,0))),ROUND((M456*AE454)/AE456,IF(N454=0,2,IF(N454=0.1,1,0))))),IF(M454&gt;0,M454,ROUND((M455*AE454)/AE455,IF(N454=0,2,IF(N454=0.1,1,0))))),2))</f>
        <v>1.65</v>
      </c>
      <c r="P454" s="154">
        <f>IF(OR(L454="",O454=""),"",IF($C454="1/2W",O454/2+O454/2*L454,IF($C454="1/2L",O454/2,IF(I454="Lay",(O454*(L454/(L454-1))-O454)*(1-_xlfn.XLOOKUP(K454,'Fevereiro 2023 - Valor Real'!A3:A15,'Fevereiro 2023 - Valor Real'!C3:C15,0))+O454,(O454*L454-O454)*(1-_xlfn.XLOOKUP(K454,'Fevereiro 2023 - Valor Real'!A3:A15,'Fevereiro 2023 - Valor Real'!C3:C15,0))+O454))))</f>
        <v>4.9169999999999998</v>
      </c>
      <c r="Q454" s="155">
        <f>IF(K454="","",IF(_xlfn.XLOOKUP(K454,K$9:K446,$DJ$9:DJ446,0,,-1)=DJ454,_xlfn.XLOOKUP(K454,K$9:K446,Q$9:Q446,1,,-1)+1,1))</f>
        <v>4</v>
      </c>
      <c r="R454" s="156">
        <f>IF(K454="","",_xlfn.XLOOKUP(K454,K$9:K446,R$9:R446,0,,-1)+IF($C454=" ",1,0))</f>
        <v>0</v>
      </c>
      <c r="S454" s="501">
        <f>IF($B454="Anulado",0,ROUND(IF(OR($B454="LOSS",$B454="OK"),IF(OR($C454="W",$C454="1/2W",$C454="1/2L"),P454-O454,IF($C454="L",-O454,0))+IF(OR($C455="W",$C455="1/2W",$C455="1/2L"),P455-O455,IF($C455="L",-O455,0))+IF(OR($C456="W",$C456="1/2W",$C456="1/2L"),P456-O456,IF($C456="L",-O456,0)),IF(AND(OR($C454="W",$C454="1/2W",$C454="1/2L"),C455="W"),P454+P455-SUM(O454:O456)+_xlfn.XLOOKUP("X",C454:C456,O454:O456,0),IF(AND(C454=TRUE,C456="W"),P454+P456-SUM(O454:O456),IF(AND(C455="W",C456="W"),P455+P456-SUM(O454:O456)+_xlfn.XLOOKUP("X",C454:C456,O454:O456,0),IF(L456&gt;0,IF(OR($C454="W",$C454="1/2W",$C454="1/2L"),P454-SUM(O454:O456)+_xlfn.XLOOKUP("X",C454:C456,O454:O456,0),IF(OR($C454="W",$C454="1/2W",$C454="1/2L"),P455-SUM(O454:O456)+_xlfn.XLOOKUP("X",C454:C456,O454:O456,0),IF(OR($C454="W",$C454="1/2W",$C454="1/2L"),P456-SUM(O454:O456)+_xlfn.XLOOKUP("X",C454:C456,O454:O456,0),IF(SUM(P454:P456)/3-SUM(O454:O456)+_xlfn.XLOOKUP("X",C454:C456,O454:O456,0)&gt;0,SUM(P454:P456)/3-SUM(O454:O456)+_xlfn.XLOOKUP("X",C454:C456,O454:O456,0),LARGE(P454:P456,1)-SUM(O454:O456))))),IF(OR($C454="W",$C454="1/2W",$C454="1/2L"),P454-SUM(O454:O455)+_xlfn.XLOOKUP("X",C454:C456,O454:O456,0),IF(OR($C454="W",$C454="1/2W",$C454="1/2L"),P455-SUM(O454:O455)+_xlfn.XLOOKUP("X",C454:C456,O454:O456,0),SUM(P454:P455)/2-SUM(O454:O455)+_xlfn.XLOOKUP("X",C454:C456,O454:O456,0)))))))),2))</f>
        <v>1.31</v>
      </c>
      <c r="T454" s="486">
        <f>IF(S454=0,0,S454/SUM(O454:O456))</f>
        <v>8.4028223220012827E-2</v>
      </c>
      <c r="U454" s="496">
        <f>IF($D454=$D451,IF(OR($B454="LOSS",$B454="OK",$B454="Anulada"),S454,0)+U451,IF(OR($B454="LOSS",$B454="OK",$B454="Anulada"),S454,0))</f>
        <v>24.009999999999998</v>
      </c>
      <c r="V454" s="496">
        <f>IF($D454="",0,IF($D454=$D451,IF($B454=" ",IF(I456="",IF(OR(AND(I454="DNB1",I455="DNB2"),AND(OR(I454="DNB1",I454="DNB2"),J455=0),AND(OR(I455="DNB1",I455="DNB2"),J454=0),AND(I454="DNB2",I455="DNB1"),AND(IF(J454=0,(J454+1)/ROUND(J454+1,0),J454/ROUND(J454,0))=1,IF(J455=0,(J455+1)/ROUND(IF(J455="",0,J455)+1,0),IF(J455="",0,J455)/ROUND(IF(J455="",1,J455),0))=1,OR(J454&lt;&gt;""),J455&lt;&gt;"")),0,IF(S454&lt;0,IF(I456="",SMALL(P454:P455,1)-SUM(O454:O455),0),SMALL(P454:P455,1)-SUM(O454:O455))),IF(S454&lt;0,IF(I456="",SMALL(P454:P456,1)-SUM(O454:O456),0),LARGE(P454:P456,1)-SUM(O454:O456))),S454)+V451,IF(I456="",IF(OR(AND(I454="DNB1",I455="DNB2"),AND(OR(I454="DNB1",I454="DNB2"),J455=0),AND(OR(I455="DNB1",I455="DNB2"),J454=0),AND(I454="DNB2",I455="DNB1"),AND(IF(J454=0,(J454+1)/ROUND(J454+1,0),J454/ROUND(J454,0))=1,IF(J455=0,(IF(J455="",0,J455)+1)/ROUND(IF(J455="",0,J455)+1,0),IF(J455="",0,J455)/ROUND(IF(J455="",0,J455)+1,0))=1,OR(J454&lt;&gt;""),J455&lt;&gt;"")),0,IF(S454&lt;0,IF(I456="",SMALL(P454:P455,1)-SUM(O454:O455),0),SMALL(P454:P456,1)-SUM(O454:O456))),IF(S454&lt;0,IF(I456="",SMALL(P454:P456,1)-SUM(O454:O456),0),LARGE(P454:P456,1)-SUM(O454:O456)))))</f>
        <v>23.996599999999997</v>
      </c>
      <c r="W454" s="496">
        <f>IF($D454=$D451,IF(S454&lt;0,IF(I456="",S454,0),S454)+W451,S454)</f>
        <v>24.009999999999998</v>
      </c>
      <c r="X454" s="505" t="str">
        <f>IF(OR(SUM(R454:R456)=0,V454=W454),ROUND(IF(W454=0,0,W454/Y454)*100,2)&amp;"%",ROUND(IF(V454=0,0,V454/Y454)*100,2)&amp;"% a "&amp;ROUND(IF(W454=0,0,W454/Y454)*100,2)&amp;"%")</f>
        <v>4,7%</v>
      </c>
      <c r="Y454" s="497">
        <f>IF($D454=$D451,Y451+SUM(O454:O456),SUM(O454:O456))</f>
        <v>510.99000000000007</v>
      </c>
      <c r="Z454" s="496">
        <f>IF($B454=" ",SUM(O454:O456),0)+Z451</f>
        <v>0</v>
      </c>
      <c r="AA454" s="496">
        <f>IF(G454="","",IF($B454="Anulado",LARGE(P454:P456,1)-SUM(O454:O456)+AA451,AA451))</f>
        <v>12.425099999999992</v>
      </c>
      <c r="AB454" s="496">
        <f>IF($D454="","",AB451+S454)</f>
        <v>552.43000000000006</v>
      </c>
      <c r="AC454" s="499">
        <f ca="1">IF($D454="","",IF($B454=" ",IF(DAY(G454)=DAY(TODAY()),1+AC451,0+AC451),0+AC451))</f>
        <v>0</v>
      </c>
      <c r="AD454" s="157">
        <f>(1-_xlfn.XLOOKUP(K452,'Fevereiro 2023 - Valor Real'!A3:A15,'Fevereiro 2023 - Valor Real'!C3:C15,0))+1</f>
        <v>2</v>
      </c>
      <c r="AE454" s="158">
        <f>IF(L454="","",IF(L456&gt;0,(SUM(((L454-1)*(1-_xlfn.XLOOKUP(K454,'Fevereiro 2023 - Valor Real'!A3:A15,'Fevereiro 2023 - Valor Real'!C3:C15,0))+1),((L455-1)*(1-_xlfn.XLOOKUP(K455,'Fevereiro 2023 - Valor Real'!A3:A15,'Fevereiro 2023 - Valor Real'!C3:C15,0))+1),((L456-1)*(1-_xlfn.XLOOKUP(K456,'Fevereiro 2023 - Valor Real'!A3:A15,'Fevereiro 2023 - Valor Real'!C3:C15,0))+1))/((L454-1)*(1-_xlfn.XLOOKUP(K454,'Fevereiro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Real'!C3:C15,0))+1))/((L454-1)*(1-_xlfn.XLOOKUP(K454,'Fevereiro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Real'!C3:C15,0))+1))/((L455-1)*(1-_xlfn.XLOOKUP(K455,'Fevereiro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Real'!C3:C15,0))+1))/((L456-1)*(1-_xlfn.XLOOKUP(K456,'Fevereiro 2023 - Valor Real'!A3:A15,'Fevereiro 2023 - Valor Real'!C3:C15,0))+1)),IF(I454="Lay",IF(I455="Lay",((L455/(L455-1)-1)*(1-_xlfn.XLOOKUP(K455,'Fevereiro 2023 - Valor Real'!A3:A15,'Fevereiro 2023 - Valor Real'!C3:C15,0))+1)/(((L455/(L455-1)-1)*(1-_xlfn.XLOOKUP(K455,'Fevereiro 2023 - Valor Real'!A3:A15,'Fevereiro 2023 - Valor Real'!C3:C15,0))+1)+((L454/(L454-1)-1)*(1-_xlfn.XLOOKUP(K454,'Fevereiro 2023 - Valor Real'!A3:A15,'Fevereiro 2023 - Valor Real'!C3:C15,0))+1)),((L455-1)*(1-_xlfn.XLOOKUP(K455,'Fevereiro 2023 - Valor Real'!A3:A15,'Fevereiro 2023 - Valor Real'!C3:C15,0))+1)/(((L455-1)*(1-_xlfn.XLOOKUP(K455,'Fevereiro 2023 - Valor Real'!A3:A15,'Fevereiro 2023 - Valor Real'!C3:C15,0))+1)+((L454/(L454-1)-1)*(1-_xlfn.XLOOKUP(K454,'Fevereiro 2023 - Valor Real'!A3:A15,'Fevereiro 2023 - Valor Real'!C3:C15,0))+1))),IF(I455="Lay",(((L455/(L455-1)-1)*(1-_xlfn.XLOOKUP(K455,'Fevereiro 2023 - Valor Real'!A3:A15,'Fevereiro 2023 - Valor Real'!C3:C15,0))+1))/(((L454-1)*(1-_xlfn.XLOOKUP(K454,'Fevereiro 2023 - Valor Real'!A3:A15,'Fevereiro 2023 - Valor Real'!C3:C15,0))+1)+((L455/(L455-1)-1)*(1-_xlfn.XLOOKUP(K455,'Fevereiro 2023 - Valor Real'!A3:A15,'Fevereiro 2023 - Valor Real'!C3:C15,0))+1)),((L455-1)*(1-_xlfn.XLOOKUP(K455,'Fevereiro 2023 - Valor Real'!A3:A15,'Fevereiro 2023 - Valor Real'!C3:C15,0))+1)/(((L455-1)*(1-_xlfn.XLOOKUP(K455,'Fevereiro 2023 - Valor Real'!A3:A15,'Fevereiro 2023 - Valor Real'!C3:C15,0))+1)+((L454-1)*(1-_xlfn.XLOOKUP(K454,'Fevereiro 2023 - Valor Real'!A3:A15,'Fevereiro 2023 - Valor Real'!C3:C15,0))+1))))))</f>
        <v>0.25656986460629255</v>
      </c>
      <c r="AF454" s="66">
        <f t="shared" ref="AF454:AR463" si="930">IF($K454=AF$3,ROUND(IF(OR($C454="W",$C454="1/2W",$C454="1/2L"),$P454-$O454,IF($C454="X",0,-$O454)),2),0)</f>
        <v>0</v>
      </c>
      <c r="AG454" s="67">
        <f t="shared" si="930"/>
        <v>0</v>
      </c>
      <c r="AH454" s="67">
        <f t="shared" si="930"/>
        <v>0</v>
      </c>
      <c r="AI454" s="67">
        <f t="shared" si="930"/>
        <v>0</v>
      </c>
      <c r="AJ454" s="67">
        <f t="shared" si="930"/>
        <v>0</v>
      </c>
      <c r="AK454" s="67">
        <f t="shared" si="930"/>
        <v>0</v>
      </c>
      <c r="AL454" s="67">
        <f t="shared" si="930"/>
        <v>0</v>
      </c>
      <c r="AM454" s="67">
        <f t="shared" si="930"/>
        <v>0</v>
      </c>
      <c r="AN454" s="67">
        <f t="shared" si="930"/>
        <v>0</v>
      </c>
      <c r="AO454" s="67">
        <f t="shared" si="930"/>
        <v>0</v>
      </c>
      <c r="AP454" s="67">
        <f t="shared" si="930"/>
        <v>0</v>
      </c>
      <c r="AQ454" s="67">
        <f t="shared" si="930"/>
        <v>-1.65</v>
      </c>
      <c r="AR454" s="68">
        <f t="shared" si="930"/>
        <v>0</v>
      </c>
      <c r="AS454" s="66">
        <f t="shared" ref="AS454:BE454" si="931">IF(AND($B454=" ",$K454=AS$3),$O454,0)</f>
        <v>0</v>
      </c>
      <c r="AT454" s="67">
        <f t="shared" si="931"/>
        <v>0</v>
      </c>
      <c r="AU454" s="67">
        <f t="shared" si="931"/>
        <v>0</v>
      </c>
      <c r="AV454" s="67">
        <f t="shared" si="931"/>
        <v>0</v>
      </c>
      <c r="AW454" s="67">
        <f t="shared" si="931"/>
        <v>0</v>
      </c>
      <c r="AX454" s="67">
        <f t="shared" si="931"/>
        <v>0</v>
      </c>
      <c r="AY454" s="69">
        <f t="shared" si="931"/>
        <v>0</v>
      </c>
      <c r="AZ454" s="70">
        <f t="shared" si="931"/>
        <v>0</v>
      </c>
      <c r="BA454" s="70">
        <f t="shared" si="931"/>
        <v>0</v>
      </c>
      <c r="BB454" s="70">
        <f t="shared" si="931"/>
        <v>0</v>
      </c>
      <c r="BC454" s="71">
        <f t="shared" si="931"/>
        <v>0</v>
      </c>
      <c r="BD454" s="67">
        <f t="shared" si="931"/>
        <v>0</v>
      </c>
      <c r="BE454" s="68">
        <f t="shared" si="931"/>
        <v>0</v>
      </c>
      <c r="BF454" s="66">
        <f t="shared" ref="BF454:BR463" si="932">IF($K454=BF$3,IF($C454="X",0,$O454),0)</f>
        <v>0</v>
      </c>
      <c r="BG454" s="67">
        <f t="shared" si="932"/>
        <v>0</v>
      </c>
      <c r="BH454" s="67">
        <f t="shared" si="932"/>
        <v>0</v>
      </c>
      <c r="BI454" s="67">
        <f t="shared" si="932"/>
        <v>0</v>
      </c>
      <c r="BJ454" s="67">
        <f t="shared" si="932"/>
        <v>0</v>
      </c>
      <c r="BK454" s="67">
        <f t="shared" si="932"/>
        <v>0</v>
      </c>
      <c r="BL454" s="67">
        <f t="shared" si="932"/>
        <v>0</v>
      </c>
      <c r="BM454" s="69">
        <f t="shared" si="932"/>
        <v>0</v>
      </c>
      <c r="BN454" s="70">
        <f t="shared" si="932"/>
        <v>0</v>
      </c>
      <c r="BO454" s="70">
        <f t="shared" si="932"/>
        <v>0</v>
      </c>
      <c r="BP454" s="70">
        <f t="shared" si="932"/>
        <v>0</v>
      </c>
      <c r="BQ454" s="71">
        <f t="shared" si="932"/>
        <v>1.65</v>
      </c>
      <c r="BR454" s="68">
        <f t="shared" si="932"/>
        <v>0</v>
      </c>
      <c r="BS454" s="490">
        <f>IF($B454="LOSS",IF(AND($K454=BS$3,$C454="L"),-$O454,0)+IF(AND($K455=BS$3,$C455="L"),-$O455,0)+IF(AND($K456=BS$3,$C456="L"),-$O456,0),IF(OR(AND($K454=BS$3,OR($C454="W",$C454="1/2W")),AND($K455=BS$3,OR($C455="W",$C455="1/2W")),AND($K456=BS$3,OR($C456="W",$C456="1/2W"))),$S454,0))</f>
        <v>0</v>
      </c>
      <c r="BT454" s="498">
        <f>IF($B454="LOSS",IF(AND($K454=BT$3,$C454="L"),-$O454,0)+IF(AND($K455=BT$3,$C455="L"),-$O455,0)+IF(AND($K455=BT$3,$C456="L"),-$O456,0),IF(OR(AND($K455=BT$3,OR($C454="W",$C454="1/2W")),AND($K455=BT$3,OR($C455="W",$C455="1/2W")),AND($K455=BT$3,OR($C456="W",$C456="1/2W"))),$S454,0))</f>
        <v>0</v>
      </c>
      <c r="BU454" s="488">
        <f>IF($B454="LOSS",IF(AND($K454=BU$3,$C454="L"),-$O454,0)+IF(AND($K455=BU$3,$C455="L"),-$O455,0)+IF(AND($K455=BU$3,$C456="L"),-$O456,0),IF(OR(AND($K455=BU$3,OR($C454="W",$C454="1/2W")),AND($K455=BU$3,OR($C455="W",$C455="1/2W")),AND($K455=BU$3,OR($C456="W",$C456="1/2W"))),$S454,0))</f>
        <v>0</v>
      </c>
      <c r="BV454" s="488">
        <f t="shared" ref="BV454:CE454" si="933">IF($B454="LOSS",IF(AND($K454=BV$3,$C454="L"),-$O454,0)+IF(AND($K455=BV$3,$C455="L"),-$O455,0)+IF(AND($K456=BV$3,$C456="L"),-$O456,0),IF(OR(AND($K454=BV$3,OR($C454="W",$C454="1/2W")),AND($K455=BV$3,OR($C455="W",$C455="1/2W")),AND($K456=BV$3,OR($C456="W",$C456="1/2W"))),$S454,0))</f>
        <v>0</v>
      </c>
      <c r="BW454" s="488">
        <f t="shared" si="933"/>
        <v>0</v>
      </c>
      <c r="BX454" s="488">
        <f t="shared" si="933"/>
        <v>0</v>
      </c>
      <c r="BY454" s="488">
        <f t="shared" si="933"/>
        <v>0</v>
      </c>
      <c r="BZ454" s="488">
        <f t="shared" si="933"/>
        <v>0</v>
      </c>
      <c r="CA454" s="488">
        <f t="shared" si="933"/>
        <v>0</v>
      </c>
      <c r="CB454" s="488">
        <f t="shared" si="933"/>
        <v>0</v>
      </c>
      <c r="CC454" s="488">
        <f t="shared" si="933"/>
        <v>0</v>
      </c>
      <c r="CD454" s="500">
        <f t="shared" si="933"/>
        <v>1.31</v>
      </c>
      <c r="CE454" s="504">
        <f t="shared" si="933"/>
        <v>0</v>
      </c>
      <c r="CF454" s="160">
        <f t="shared" si="899"/>
        <v>0</v>
      </c>
      <c r="CG454" s="161">
        <f t="shared" si="900"/>
        <v>0</v>
      </c>
      <c r="CH454" s="161">
        <f t="shared" si="901"/>
        <v>0</v>
      </c>
      <c r="CI454" s="161">
        <f t="shared" si="902"/>
        <v>0</v>
      </c>
      <c r="CJ454" s="161">
        <f t="shared" si="903"/>
        <v>0</v>
      </c>
      <c r="CK454" s="161">
        <f t="shared" si="904"/>
        <v>0</v>
      </c>
      <c r="CL454" s="161">
        <f t="shared" si="905"/>
        <v>0</v>
      </c>
      <c r="CM454" s="161">
        <f t="shared" si="906"/>
        <v>0</v>
      </c>
      <c r="CN454" s="161">
        <f t="shared" si="907"/>
        <v>0</v>
      </c>
      <c r="CO454" s="161">
        <f t="shared" si="908"/>
        <v>0</v>
      </c>
      <c r="CP454" s="161">
        <f t="shared" si="909"/>
        <v>0</v>
      </c>
      <c r="CQ454" s="161">
        <f t="shared" si="910"/>
        <v>0</v>
      </c>
      <c r="CR454" s="161">
        <f t="shared" si="911"/>
        <v>0</v>
      </c>
      <c r="CS454" s="161">
        <f t="shared" si="912"/>
        <v>0</v>
      </c>
      <c r="CT454" s="75">
        <f t="shared" si="913"/>
        <v>0</v>
      </c>
      <c r="CU454" s="76">
        <f t="shared" si="914"/>
        <v>0</v>
      </c>
      <c r="CV454" s="76">
        <f t="shared" si="915"/>
        <v>0</v>
      </c>
      <c r="CW454" s="76">
        <f t="shared" si="916"/>
        <v>0</v>
      </c>
      <c r="CX454" s="76">
        <f t="shared" si="917"/>
        <v>0</v>
      </c>
      <c r="CY454" s="76">
        <f t="shared" si="918"/>
        <v>0</v>
      </c>
      <c r="CZ454" s="76">
        <f t="shared" si="919"/>
        <v>0</v>
      </c>
      <c r="DA454" s="76">
        <f t="shared" si="920"/>
        <v>0</v>
      </c>
      <c r="DB454" s="76">
        <f t="shared" si="921"/>
        <v>0</v>
      </c>
      <c r="DC454" s="76">
        <f t="shared" si="922"/>
        <v>1</v>
      </c>
      <c r="DD454" s="76">
        <f t="shared" si="923"/>
        <v>0</v>
      </c>
      <c r="DE454" s="77">
        <f t="shared" si="924"/>
        <v>0</v>
      </c>
      <c r="DF454" s="73">
        <f t="shared" si="926"/>
        <v>30</v>
      </c>
      <c r="DG454" s="67">
        <f t="shared" si="927"/>
        <v>38.739999999999995</v>
      </c>
      <c r="DH454" s="76">
        <f t="shared" si="928"/>
        <v>11</v>
      </c>
      <c r="DI454" s="67">
        <f t="shared" si="929"/>
        <v>45.699999999999996</v>
      </c>
      <c r="DJ454" s="202" t="str">
        <f>IF($D454="","",$D454)</f>
        <v>15</v>
      </c>
      <c r="DK454" s="492">
        <f>IF(AND($B454=" ",$D454&lt;&gt;""),1,0)</f>
        <v>0</v>
      </c>
    </row>
    <row r="455" spans="1:115" ht="14.5" customHeight="1" x14ac:dyDescent="0.2">
      <c r="A455" s="389"/>
      <c r="B455" s="456"/>
      <c r="C455" s="53" t="s">
        <v>184</v>
      </c>
      <c r="D455" s="374"/>
      <c r="E455" s="386"/>
      <c r="F455" s="377"/>
      <c r="G455" s="508"/>
      <c r="H455" s="476"/>
      <c r="I455" s="182" t="s">
        <v>66</v>
      </c>
      <c r="J455" s="56">
        <v>2.25</v>
      </c>
      <c r="K455" s="57" t="s">
        <v>47</v>
      </c>
      <c r="L455" s="164">
        <v>1.98</v>
      </c>
      <c r="M455" s="165">
        <v>6.05</v>
      </c>
      <c r="N455" s="406"/>
      <c r="O455" s="60">
        <f>IF(OR(AE454="",AE455=""),"",ROUND(IF(L456&gt;0,IF(M455&gt;0,M455,IF(M454&gt;0,IF(N454=TRUE,ROUND((M454*AE455)/AE454,0),(M454*AE455)/AE454),IF(M455&gt;0,ROUND(M455,IF(N454=0,2,IF(N454=0.1,1,0))),IF(M456&gt;0,ROUND(O456*AE455/AE456,IF(N454=0,2,IF(N454=0.1,1,0))),0)))),IF(M455&gt;0,M455,ROUND((M454*AE455)/AE454,IF(N454=0,2,IF(N454=0.1,1,0))))),2))</f>
        <v>6.05</v>
      </c>
      <c r="P455" s="61">
        <f>IF(OR(L455="",O455=""),"",IF($C455="1/2W",O455/2+O455/2*L455,IF($C455="1/2L",O455/2,IF(I455="Lay",((O455*(L455/(L455-1)))-O455)*(1-_xlfn.XLOOKUP(K455,'Fevereiro 2023 - Valor Real'!A3:A15,'Fevereiro 2023 - Valor Real'!C3:C15,0))+O455,(O455*L455-O455)*(1-_xlfn.XLOOKUP(K455,'Fevereiro 2023 - Valor Real'!A3:A15,'Fevereiro 2023 - Valor Real'!C3:C15,0))+O455))))</f>
        <v>9.0145</v>
      </c>
      <c r="Q455" s="166">
        <f>IF(K455="","",IF(_xlfn.XLOOKUP(K455,K$10:K446,$DJ$10:DJ446,0,,-1)=DJ455,_xlfn.XLOOKUP(K455,K$10:K446,Q$10:Q446,1,,-1)+1,1))</f>
        <v>4</v>
      </c>
      <c r="R455" s="167">
        <f>IF(K455="","",_xlfn.XLOOKUP(K455,K$10:K446,R$10:R446,0,,-1)+IF($C455=" ",1,0))</f>
        <v>0</v>
      </c>
      <c r="S455" s="403"/>
      <c r="T455" s="380"/>
      <c r="U455" s="380"/>
      <c r="V455" s="481"/>
      <c r="W455" s="380"/>
      <c r="X455" s="452"/>
      <c r="Y455" s="383"/>
      <c r="Z455" s="384"/>
      <c r="AA455" s="384"/>
      <c r="AB455" s="384"/>
      <c r="AC455" s="384"/>
      <c r="AD455" s="64"/>
      <c r="AE455" s="65">
        <f>IF(L455="","",IF(L456&gt;0,(SUM(((L454-1)*(1-_xlfn.XLOOKUP(K454,'Fevereiro 2023 - Valor Real'!A3:A15,'Fevereiro 2023 - Valor Real'!C3:C15,0))+1),((L455-1)*(1-_xlfn.XLOOKUP(K455,'Fevereiro 2023 - Valor Real'!A3:A15,'Fevereiro 2023 - Valor Real'!C3:C15,0))+1),((L456-1)*(1-_xlfn.XLOOKUP(K456,'Fevereiro 2023 - Valor Real'!A3:A15,'Fevereiro 2023 - Valor Real'!C3:C15,0))+1))/((L455-1)*(1-_xlfn.XLOOKUP(K455,'Fevereiro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Real'!C3:C15,0))+1))/((L454-1)*(1-_xlfn.XLOOKUP(K454,'Fevereiro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Real'!C3:C15,0))+1))/((L455-1)*(1-_xlfn.XLOOKUP(K455,'Fevereiro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Real'!C3:C15,0))+1))/((L456-1)*(1-_xlfn.XLOOKUP(K456,'Fevereiro 2023 - Valor Real'!A3:A15,'Fevereiro 2023 - Valor Real'!C3:C15,0))+1)),IF(I455="Lay",IF(I454="Lay",((L454/(L454-1)-1)*(1-_xlfn.XLOOKUP(K454,'Fevereiro 2023 - Valor Real'!A3:A15,'Fevereiro 2023 - Valor Real'!C3:C15,0))+1)/(((L454/(L454-1)-1)*(1-_xlfn.XLOOKUP(K454,'Fevereiro 2023 - Valor Real'!A3:A15,'Fevereiro 2023 - Valor Real'!C3:C15,0))+1)+((L455/(L455-1)-1)*(1-_xlfn.XLOOKUP(K455,'Fevereiro 2023 - Valor Real'!A3:A15,'Fevereiro 2023 - Valor Real'!C3:C15,0))+1)),((L454-1)*(1-_xlfn.XLOOKUP(K454,'Fevereiro 2023 - Valor Real'!A3:A15,'Fevereiro 2023 - Valor Real'!C3:C15,0))+1)/(((L454-1)*(1-_xlfn.XLOOKUP(K454,'Fevereiro 2023 - Valor Real'!A3:A15,'Fevereiro 2023 - Valor Real'!C3:C15,0))+1)+((L455/(L455-1)-1)*(1-_xlfn.XLOOKUP(K455,'Fevereiro 2023 - Valor Real'!A3:A15,'Fevereiro 2023 - Valor Real'!C3:C15,0))+1))),IF(I454="Lay",((L454/(L454-1)-1)*(1-_xlfn.XLOOKUP(K454,'Fevereiro 2023 - Valor Real'!A3:A15,'Fevereiro 2023 - Valor Real'!C3:C15,0))+1)/((((L454/(L454-1)-1)*(1-_xlfn.XLOOKUP(K454,'Fevereiro 2023 - Valor Real'!A3:A15,'Fevereiro 2023 - Valor Real'!C3:C15,0))+1))+((L455-1)*(1-_xlfn.XLOOKUP(K455,'Fevereiro 2023 - Valor Real'!A3:A15,'Fevereiro 2023 - Valor Real'!C3:C15,0))+1)),((L454-1)*(1-_xlfn.XLOOKUP(K454,'Fevereiro 2023 - Valor Real'!A3:A15,'Fevereiro 2023 - Valor Real'!C3:C15,0))+1)/(((L454-1)*(1-_xlfn.XLOOKUP(K454,'Fevereiro 2023 - Valor Real'!A3:A15,'Fevereiro 2023 - Valor Real'!C3:C15,0))+1)+((L455-1)*(1-_xlfn.XLOOKUP(K455,'Fevereiro 2023 - Valor Real'!A3:A15,'Fevereiro 2023 - Valor Real'!C3:C15,0))+1))))))</f>
        <v>0.38615060430644027</v>
      </c>
      <c r="AF455" s="66">
        <f t="shared" si="930"/>
        <v>0</v>
      </c>
      <c r="AG455" s="67">
        <f t="shared" si="930"/>
        <v>0</v>
      </c>
      <c r="AH455" s="67">
        <f t="shared" si="930"/>
        <v>0</v>
      </c>
      <c r="AI455" s="67">
        <f t="shared" si="930"/>
        <v>0</v>
      </c>
      <c r="AJ455" s="67">
        <f t="shared" si="930"/>
        <v>0</v>
      </c>
      <c r="AK455" s="67">
        <f t="shared" si="930"/>
        <v>0</v>
      </c>
      <c r="AL455" s="67">
        <f t="shared" si="930"/>
        <v>0</v>
      </c>
      <c r="AM455" s="67">
        <f t="shared" si="930"/>
        <v>0</v>
      </c>
      <c r="AN455" s="67">
        <f t="shared" si="930"/>
        <v>0</v>
      </c>
      <c r="AO455" s="67">
        <f t="shared" si="930"/>
        <v>0</v>
      </c>
      <c r="AP455" s="67">
        <f t="shared" si="930"/>
        <v>0</v>
      </c>
      <c r="AQ455" s="67">
        <f t="shared" si="930"/>
        <v>2.96</v>
      </c>
      <c r="AR455" s="68">
        <f t="shared" si="930"/>
        <v>0</v>
      </c>
      <c r="AS455" s="66">
        <f>IF(AND($B454=" ",$K455=AS$3),$O455,0)</f>
        <v>0</v>
      </c>
      <c r="AT455" s="67">
        <f>IF(AND($B454=" ",K455=AT$3),$O455,0)</f>
        <v>0</v>
      </c>
      <c r="AU455" s="67">
        <f t="shared" ref="AU455:BE455" si="934">IF(AND($B454=" ",$K455=AU$3),$O455,0)</f>
        <v>0</v>
      </c>
      <c r="AV455" s="67">
        <f t="shared" si="934"/>
        <v>0</v>
      </c>
      <c r="AW455" s="67">
        <f t="shared" si="934"/>
        <v>0</v>
      </c>
      <c r="AX455" s="67">
        <f t="shared" si="934"/>
        <v>0</v>
      </c>
      <c r="AY455" s="69">
        <f t="shared" si="934"/>
        <v>0</v>
      </c>
      <c r="AZ455" s="70">
        <f t="shared" si="934"/>
        <v>0</v>
      </c>
      <c r="BA455" s="70">
        <f t="shared" si="934"/>
        <v>0</v>
      </c>
      <c r="BB455" s="70">
        <f t="shared" si="934"/>
        <v>0</v>
      </c>
      <c r="BC455" s="71">
        <f t="shared" si="934"/>
        <v>0</v>
      </c>
      <c r="BD455" s="67">
        <f t="shared" si="934"/>
        <v>0</v>
      </c>
      <c r="BE455" s="68">
        <f t="shared" si="934"/>
        <v>0</v>
      </c>
      <c r="BF455" s="66">
        <f t="shared" si="932"/>
        <v>0</v>
      </c>
      <c r="BG455" s="168">
        <f t="shared" si="932"/>
        <v>0</v>
      </c>
      <c r="BH455" s="67">
        <f t="shared" si="932"/>
        <v>0</v>
      </c>
      <c r="BI455" s="67">
        <f t="shared" si="932"/>
        <v>0</v>
      </c>
      <c r="BJ455" s="67">
        <f t="shared" si="932"/>
        <v>0</v>
      </c>
      <c r="BK455" s="67">
        <f t="shared" si="932"/>
        <v>0</v>
      </c>
      <c r="BL455" s="67">
        <f t="shared" si="932"/>
        <v>0</v>
      </c>
      <c r="BM455" s="69">
        <f t="shared" si="932"/>
        <v>0</v>
      </c>
      <c r="BN455" s="70">
        <f t="shared" si="932"/>
        <v>0</v>
      </c>
      <c r="BO455" s="70">
        <f t="shared" si="932"/>
        <v>0</v>
      </c>
      <c r="BP455" s="70">
        <f t="shared" si="932"/>
        <v>0</v>
      </c>
      <c r="BQ455" s="71">
        <f t="shared" si="932"/>
        <v>6.05</v>
      </c>
      <c r="BR455" s="68">
        <f t="shared" si="932"/>
        <v>0</v>
      </c>
      <c r="BS455" s="491"/>
      <c r="BT455" s="489"/>
      <c r="BU455" s="392"/>
      <c r="BV455" s="489"/>
      <c r="BW455" s="392"/>
      <c r="BX455" s="392"/>
      <c r="BY455" s="392"/>
      <c r="BZ455" s="489"/>
      <c r="CA455" s="392"/>
      <c r="CB455" s="392"/>
      <c r="CC455" s="392"/>
      <c r="CD455" s="401"/>
      <c r="CE455" s="409"/>
      <c r="CF455" s="169">
        <f t="shared" si="899"/>
        <v>0</v>
      </c>
      <c r="CG455" s="170">
        <f t="shared" si="900"/>
        <v>0</v>
      </c>
      <c r="CH455" s="170">
        <f t="shared" si="901"/>
        <v>0</v>
      </c>
      <c r="CI455" s="170">
        <f t="shared" si="902"/>
        <v>0</v>
      </c>
      <c r="CJ455" s="170">
        <f t="shared" si="903"/>
        <v>0</v>
      </c>
      <c r="CK455" s="170">
        <f t="shared" si="904"/>
        <v>0</v>
      </c>
      <c r="CL455" s="170">
        <f t="shared" si="905"/>
        <v>0</v>
      </c>
      <c r="CM455" s="170">
        <f t="shared" si="906"/>
        <v>0</v>
      </c>
      <c r="CN455" s="170">
        <f t="shared" si="907"/>
        <v>0</v>
      </c>
      <c r="CO455" s="170">
        <f t="shared" si="908"/>
        <v>0</v>
      </c>
      <c r="CP455" s="170">
        <f t="shared" si="909"/>
        <v>0</v>
      </c>
      <c r="CQ455" s="170">
        <f t="shared" si="910"/>
        <v>0</v>
      </c>
      <c r="CR455" s="170">
        <f t="shared" si="911"/>
        <v>0</v>
      </c>
      <c r="CS455" s="170">
        <f t="shared" si="912"/>
        <v>0</v>
      </c>
      <c r="CT455" s="75">
        <f t="shared" si="913"/>
        <v>0</v>
      </c>
      <c r="CU455" s="76">
        <f t="shared" si="914"/>
        <v>0</v>
      </c>
      <c r="CV455" s="76">
        <f t="shared" si="915"/>
        <v>0</v>
      </c>
      <c r="CW455" s="76">
        <f t="shared" si="916"/>
        <v>0</v>
      </c>
      <c r="CX455" s="76">
        <f t="shared" si="917"/>
        <v>0</v>
      </c>
      <c r="CY455" s="76">
        <f t="shared" si="918"/>
        <v>0</v>
      </c>
      <c r="CZ455" s="76">
        <f t="shared" si="919"/>
        <v>0</v>
      </c>
      <c r="DA455" s="76">
        <f t="shared" si="920"/>
        <v>0</v>
      </c>
      <c r="DB455" s="76">
        <f t="shared" si="921"/>
        <v>0.5</v>
      </c>
      <c r="DC455" s="76">
        <f t="shared" si="922"/>
        <v>0</v>
      </c>
      <c r="DD455" s="76">
        <f t="shared" si="923"/>
        <v>0</v>
      </c>
      <c r="DE455" s="77">
        <f t="shared" si="924"/>
        <v>0</v>
      </c>
      <c r="DF455" s="73">
        <f t="shared" si="926"/>
        <v>30</v>
      </c>
      <c r="DG455" s="67">
        <f t="shared" si="927"/>
        <v>38.739999999999995</v>
      </c>
      <c r="DH455" s="76">
        <f t="shared" si="928"/>
        <v>11</v>
      </c>
      <c r="DI455" s="67">
        <f t="shared" si="929"/>
        <v>45.699999999999996</v>
      </c>
      <c r="DJ455" s="202" t="str">
        <f>IF($D454="","",$D454)</f>
        <v>15</v>
      </c>
      <c r="DK455" s="493"/>
    </row>
    <row r="456" spans="1:115" ht="14.5" customHeight="1" x14ac:dyDescent="0.2">
      <c r="A456" s="390"/>
      <c r="B456" s="457"/>
      <c r="C456" s="79" t="s">
        <v>49</v>
      </c>
      <c r="D456" s="375"/>
      <c r="E456" s="387"/>
      <c r="F456" s="378"/>
      <c r="G456" s="508"/>
      <c r="H456" s="477"/>
      <c r="I456" s="183" t="s">
        <v>76</v>
      </c>
      <c r="J456" s="184">
        <v>-2</v>
      </c>
      <c r="K456" s="185" t="s">
        <v>40</v>
      </c>
      <c r="L456" s="186">
        <v>2.14</v>
      </c>
      <c r="M456" s="174">
        <v>7.89</v>
      </c>
      <c r="N456" s="407"/>
      <c r="O456" s="187">
        <f>IF(OR(AE454="",AE455=""),"",IF(L456&gt;0,ROUND(IF(M456&gt;0,M456,IF(M454&gt;0,ROUND((M454*AE456)/AE454,IF(N454=0,2,IF(N454=0.1,1,0))),IF(M455&gt;0,ROUND((M455*AE456)/AE455,IF(N454=0,2,IF(N454=0.1,1,0))),IF(M456&gt;0,M456,0)))),2),""))</f>
        <v>7.89</v>
      </c>
      <c r="P456" s="188">
        <f>IF(I455="Lay",O455*(L455/(L455-1))-O455,IF(I454="Lay",O454*(L454/(L454-1))-O454,IF(OR(L456="",O456=""),"",IF($C456="1/2W",O456/2+O456/2*L456,IF($C456="1/2L",O456/2,(O456*L456-O456)*(1-_xlfn.XLOOKUP(K456,'Fevereiro 2023 - Valor Real'!A3:A15,'Fevereiro 2023 - Valor Real'!C3:C15,0))+O456)))))</f>
        <v>16.884599999999999</v>
      </c>
      <c r="Q456" s="166">
        <f>IF(K456="","",IF(_xlfn.XLOOKUP(K456,K$11:K446,$DJ$11:DJ446,0,,-1)=DJ456,_xlfn.XLOOKUP(K456,K$11:K446,Q$11:Q446,1,,-1)+1,1))</f>
        <v>2</v>
      </c>
      <c r="R456" s="189">
        <f>IF(K456="","",_xlfn.XLOOKUP(K456,K$11:K446,R$11:R446,0,,-1)+IF($C456=" ",1,0))</f>
        <v>0</v>
      </c>
      <c r="S456" s="404"/>
      <c r="T456" s="378"/>
      <c r="U456" s="378"/>
      <c r="V456" s="404"/>
      <c r="W456" s="378"/>
      <c r="X456" s="453"/>
      <c r="Y456" s="383"/>
      <c r="Z456" s="384"/>
      <c r="AA456" s="384"/>
      <c r="AB456" s="384"/>
      <c r="AC456" s="384"/>
      <c r="AD456" s="90"/>
      <c r="AE456" s="190">
        <f>IF(L456="","",(SUM(((L454-1)*(1-_xlfn.XLOOKUP(K454,'Fevereiro 2023 - Valor Real'!A3:A15,'Fevereiro 2023 - Valor Real'!C3:C15,0))+1),((L455-1)*(1-_xlfn.XLOOKUP(K455,'Fevereiro 2023 - Valor Real'!A3:A15,'Fevereiro 2023 - Valor Real'!C3:C15,0))+1),((L456-1)*(1-_xlfn.XLOOKUP(K456,'Fevereiro 2023 - Valor Real'!A3:A15,'Fevereiro 2023 - Valor Real'!C3:C15,0))+1))/((L456-1)*(1-_xlfn.XLOOKUP(K456,'Fevereiro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Real'!C3:C15,0))+1))/((L454-1)*(1-_xlfn.XLOOKUP(K454,'Fevereiro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Real'!C3:C15,0))+1))/((L455-1)*(1-_xlfn.XLOOKUP(K455,'Fevereiro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Real'!C3:C15,0))+1))/((L456-1)*(1-_xlfn.XLOOKUP(K456,'Fevereiro 2023 - Valor Real'!A3:A15,'Fevereiro 2023 - Valor Real'!C3:C15,0))+1)))</f>
        <v>0.35727953108726718</v>
      </c>
      <c r="AF456" s="66">
        <f t="shared" si="930"/>
        <v>0</v>
      </c>
      <c r="AG456" s="67">
        <f t="shared" si="930"/>
        <v>0</v>
      </c>
      <c r="AH456" s="67">
        <f t="shared" si="930"/>
        <v>0</v>
      </c>
      <c r="AI456" s="67">
        <f t="shared" si="930"/>
        <v>0</v>
      </c>
      <c r="AJ456" s="67">
        <f t="shared" si="930"/>
        <v>0</v>
      </c>
      <c r="AK456" s="67">
        <f t="shared" si="930"/>
        <v>0</v>
      </c>
      <c r="AL456" s="67">
        <f t="shared" si="930"/>
        <v>0</v>
      </c>
      <c r="AM456" s="67">
        <f t="shared" si="930"/>
        <v>0</v>
      </c>
      <c r="AN456" s="67">
        <f t="shared" si="930"/>
        <v>0</v>
      </c>
      <c r="AO456" s="67">
        <f t="shared" si="930"/>
        <v>0</v>
      </c>
      <c r="AP456" s="67">
        <f t="shared" si="930"/>
        <v>0</v>
      </c>
      <c r="AQ456" s="67">
        <f t="shared" si="930"/>
        <v>0</v>
      </c>
      <c r="AR456" s="68">
        <f t="shared" si="930"/>
        <v>0</v>
      </c>
      <c r="AS456" s="66">
        <f>IF(AND($B454=" ",$K456=AS$3),$O456,0)</f>
        <v>0</v>
      </c>
      <c r="AT456" s="67">
        <f>IF(AND($B454=" ",K456=AT$3),$O456,0)</f>
        <v>0</v>
      </c>
      <c r="AU456" s="67">
        <f t="shared" ref="AU456:BE456" si="935">IF(AND($B454=" ",$K456=AU$3),$O456,0)</f>
        <v>0</v>
      </c>
      <c r="AV456" s="67">
        <f t="shared" si="935"/>
        <v>0</v>
      </c>
      <c r="AW456" s="67">
        <f t="shared" si="935"/>
        <v>0</v>
      </c>
      <c r="AX456" s="67">
        <f t="shared" si="935"/>
        <v>0</v>
      </c>
      <c r="AY456" s="69">
        <f t="shared" si="935"/>
        <v>0</v>
      </c>
      <c r="AZ456" s="70">
        <f t="shared" si="935"/>
        <v>0</v>
      </c>
      <c r="BA456" s="70">
        <f t="shared" si="935"/>
        <v>0</v>
      </c>
      <c r="BB456" s="70">
        <f t="shared" si="935"/>
        <v>0</v>
      </c>
      <c r="BC456" s="71">
        <f t="shared" si="935"/>
        <v>0</v>
      </c>
      <c r="BD456" s="67">
        <f t="shared" si="935"/>
        <v>0</v>
      </c>
      <c r="BE456" s="68">
        <f t="shared" si="935"/>
        <v>0</v>
      </c>
      <c r="BF456" s="66">
        <f t="shared" si="932"/>
        <v>0</v>
      </c>
      <c r="BG456" s="168">
        <f t="shared" si="932"/>
        <v>0</v>
      </c>
      <c r="BH456" s="67">
        <f t="shared" si="932"/>
        <v>0</v>
      </c>
      <c r="BI456" s="67">
        <f t="shared" si="932"/>
        <v>0</v>
      </c>
      <c r="BJ456" s="67">
        <f t="shared" si="932"/>
        <v>0</v>
      </c>
      <c r="BK456" s="67">
        <f t="shared" si="932"/>
        <v>0</v>
      </c>
      <c r="BL456" s="67">
        <f t="shared" si="932"/>
        <v>0</v>
      </c>
      <c r="BM456" s="69">
        <f t="shared" si="932"/>
        <v>0</v>
      </c>
      <c r="BN456" s="70">
        <f t="shared" si="932"/>
        <v>0</v>
      </c>
      <c r="BO456" s="70">
        <f t="shared" si="932"/>
        <v>0</v>
      </c>
      <c r="BP456" s="70">
        <f t="shared" si="932"/>
        <v>0</v>
      </c>
      <c r="BQ456" s="71">
        <f t="shared" si="932"/>
        <v>0</v>
      </c>
      <c r="BR456" s="68">
        <f t="shared" si="932"/>
        <v>0</v>
      </c>
      <c r="BS456" s="491"/>
      <c r="BT456" s="489"/>
      <c r="BU456" s="392"/>
      <c r="BV456" s="489"/>
      <c r="BW456" s="392"/>
      <c r="BX456" s="392"/>
      <c r="BY456" s="392"/>
      <c r="BZ456" s="489"/>
      <c r="CA456" s="392"/>
      <c r="CB456" s="392"/>
      <c r="CC456" s="392"/>
      <c r="CD456" s="401"/>
      <c r="CE456" s="409"/>
      <c r="CF456" s="169">
        <f t="shared" si="899"/>
        <v>0</v>
      </c>
      <c r="CG456" s="170">
        <f t="shared" si="900"/>
        <v>0</v>
      </c>
      <c r="CH456" s="170">
        <f t="shared" si="901"/>
        <v>0</v>
      </c>
      <c r="CI456" s="170">
        <f t="shared" si="902"/>
        <v>0</v>
      </c>
      <c r="CJ456" s="170">
        <f t="shared" si="903"/>
        <v>0</v>
      </c>
      <c r="CK456" s="170">
        <f t="shared" si="904"/>
        <v>0</v>
      </c>
      <c r="CL456" s="170">
        <f t="shared" si="905"/>
        <v>0</v>
      </c>
      <c r="CM456" s="170">
        <f t="shared" si="906"/>
        <v>0</v>
      </c>
      <c r="CN456" s="170">
        <f t="shared" si="907"/>
        <v>0</v>
      </c>
      <c r="CO456" s="170">
        <f t="shared" si="908"/>
        <v>0</v>
      </c>
      <c r="CP456" s="170">
        <f t="shared" si="909"/>
        <v>0</v>
      </c>
      <c r="CQ456" s="170">
        <f t="shared" si="910"/>
        <v>0</v>
      </c>
      <c r="CR456" s="170">
        <f t="shared" si="911"/>
        <v>0</v>
      </c>
      <c r="CS456" s="170">
        <f t="shared" si="912"/>
        <v>0</v>
      </c>
      <c r="CT456" s="75">
        <f t="shared" si="913"/>
        <v>0</v>
      </c>
      <c r="CU456" s="76">
        <f t="shared" si="914"/>
        <v>0</v>
      </c>
      <c r="CV456" s="76">
        <f t="shared" si="915"/>
        <v>0</v>
      </c>
      <c r="CW456" s="76">
        <f t="shared" si="916"/>
        <v>0</v>
      </c>
      <c r="CX456" s="76">
        <f t="shared" si="917"/>
        <v>0</v>
      </c>
      <c r="CY456" s="76">
        <f t="shared" si="918"/>
        <v>0</v>
      </c>
      <c r="CZ456" s="76">
        <f t="shared" si="919"/>
        <v>0</v>
      </c>
      <c r="DA456" s="76">
        <f t="shared" si="920"/>
        <v>0</v>
      </c>
      <c r="DB456" s="76">
        <f t="shared" si="921"/>
        <v>0</v>
      </c>
      <c r="DC456" s="76">
        <f t="shared" si="922"/>
        <v>0</v>
      </c>
      <c r="DD456" s="76">
        <f t="shared" si="923"/>
        <v>0</v>
      </c>
      <c r="DE456" s="77">
        <f t="shared" si="924"/>
        <v>0</v>
      </c>
      <c r="DF456" s="73">
        <f t="shared" si="926"/>
        <v>30</v>
      </c>
      <c r="DG456" s="67">
        <f t="shared" si="927"/>
        <v>38.739999999999995</v>
      </c>
      <c r="DH456" s="76">
        <f t="shared" si="928"/>
        <v>11</v>
      </c>
      <c r="DI456" s="67">
        <f t="shared" si="929"/>
        <v>45.699999999999996</v>
      </c>
      <c r="DJ456" s="202" t="str">
        <f>IF($D454="","",$D454)</f>
        <v>15</v>
      </c>
      <c r="DK456" s="493"/>
    </row>
    <row r="457" spans="1:115" ht="14.5" customHeight="1" x14ac:dyDescent="0.2">
      <c r="A457" s="459">
        <f>$A454+1</f>
        <v>152</v>
      </c>
      <c r="B457" s="507" t="str">
        <f>IF(OR(C457="W",C458="W",C459="W",C457="1/2W",C458="1/2W",C459="1/2W",C457="1/2L",C458="1/2L",C459="1/2L"),"OK",IF(OR(C457="L",C458="L",C459="L"),"LOSS",IF(OR(C457="X",C458="X",C459="X"),"Anulado"," ")))</f>
        <v>OK</v>
      </c>
      <c r="C457" s="93" t="s">
        <v>54</v>
      </c>
      <c r="D457" s="468" t="str">
        <f>IF(G457="","",$D454)</f>
        <v>15</v>
      </c>
      <c r="E457" s="485" t="str">
        <f>IF(G457=""," ","– "&amp;COUNTIF(D$4:D459,$D457))</f>
        <v>– 10</v>
      </c>
      <c r="F457" s="509" t="str">
        <f ca="1">IF(G457="","",IF(OR(AND($C457&lt;&gt;" ",$C458=" "),AND($C458&lt;&gt;" ",$C457=" "),AND(L459&gt;0,OR(AND($C459&lt;&gt;" ",OR($C457=" ",$C458=" ")),AND($C459=" ",OR($C457&lt;&gt;" ",$C458&lt;&gt;" "))))),IF(SUM(F$4:F456)=0,1,LARGE(F$4:F456,1)+1),IF(MONTH(G457)=MONTH(TODAY()),IF(AND(DAY(G457)&lt;DAY(TODAY()),$B457=" "),IF(SUM(F$4:F456)=0,1,LARGE(F$4:F456,1)+1),IF($B457=" ",IF(AND(DAY(G457)=DAY(TODAY()),HOUR(G457)&lt;=HOUR(NOW())+1),IF(AND(HOUR(G457)+2&lt;=HOUR(NOW()),DAY(G457)&lt;=DAY(TODAY()),MINUTE(G457)&lt;=MINUTE(NOW())),IF(SUM(F$4:F456)=0,1,LARGE(F$4:F456,1)+1),IF(OR(MINUTE(G457)&lt;=MINUTE(NOW()),HOUR(G457)&lt;=HOUR(NOW())),"!!!","")),""),"")),"")))</f>
        <v/>
      </c>
      <c r="G457" s="482">
        <f>IF(H457="","",_xlfn.XLOOKUP(H457,$H$4:H456,$G$4:G456,""))</f>
        <v>45003.604166666664</v>
      </c>
      <c r="H457" s="475" t="s">
        <v>189</v>
      </c>
      <c r="I457" s="94" t="s">
        <v>66</v>
      </c>
      <c r="J457" s="95">
        <v>1.5</v>
      </c>
      <c r="K457" s="96" t="s">
        <v>47</v>
      </c>
      <c r="L457" s="97">
        <v>2.85</v>
      </c>
      <c r="M457" s="98"/>
      <c r="N457" s="478">
        <v>0</v>
      </c>
      <c r="O457" s="99">
        <f>IF(OR(AE457="",AE458=""),"",ROUND(IF(L459&gt;0,IF(M457&gt;0,M457,IF(M458&gt;0,ROUND((M458*AE457)/AE458,IF(N457=0,2,IF(N457=0.1,1,0))),ROUND((M459*AE457)/AE459,IF(N457=0,2,IF(N457=0.1,1,0))))),IF(M457&gt;0,M457,ROUND((M458*AE457)/AE458,IF(N457=0,2,IF(N457=0.1,1,0))))),2))</f>
        <v>7.8</v>
      </c>
      <c r="P457" s="100">
        <f>IF(OR(L457="",O457=""),"",IF($C457="1/2W",O457/2+O457/2*L457,IF($C457="1/2L",O457/2,IF(I457="Lay",(O457*(L457/(L457-1))-O457)*(1-_xlfn.XLOOKUP(K457,'Fevereiro 2023 - Valor Real'!A3:A15,'Fevereiro 2023 - Valor Real'!C3:C15,0))+O457,(O457*L457-O457)*(1-_xlfn.XLOOKUP(K457,'Fevereiro 2023 - Valor Real'!A3:A15,'Fevereiro 2023 - Valor Real'!C3:C15,0))+O457))))</f>
        <v>22.23</v>
      </c>
      <c r="Q457" s="101">
        <f>IF(K457="","",IF(_xlfn.XLOOKUP(K457,K$4:K456,$DJ$4:DJ456,0,,-1)=DJ457,_xlfn.XLOOKUP(K457,K$4:K456,Q$4:Q456,1,,-1)+1,1))</f>
        <v>5</v>
      </c>
      <c r="R457" s="102">
        <f>IF(K457="","",_xlfn.XLOOKUP(K457,K$4:K456,R$4:R456,0,,-1)+IF($C457=" ",1,0))</f>
        <v>0</v>
      </c>
      <c r="S457" s="474">
        <f>IF($B457="Anulado",0,ROUND(IF(OR($B457="LOSS",$B457="OK"),IF(OR($C457="W",$C457="1/2W",$C457="1/2L"),P457-O457,IF($C457="L",-O457,0))+IF(OR($C458="W",$C458="1/2W",$C458="1/2L"),P458-O458,IF($C458="L",-O458,0))+IF(OR($C459="W",$C459="1/2W",$C459="1/2L"),P459-O459,IF($C459="L",-O459,0)),IF(AND(OR($C457="W",$C457="1/2W",$C457="1/2L"),C458="W"),P457+P458-SUM(O457:O459)+_xlfn.XLOOKUP("X",C457:C459,O457:O459,0),IF(AND(C457=TRUE,C459="W"),P457+P459-SUM(O457:O459),IF(AND(C458="W",C459="W"),P458+P459-SUM(O457:O459)+_xlfn.XLOOKUP("X",C457:C459,O457:O459,0),IF(L459&gt;0,IF(OR($C457="W",$C457="1/2W",$C457="1/2L"),P457-SUM(O457:O459)+_xlfn.XLOOKUP("X",C457:C459,O457:O459,0),IF(OR($C457="W",$C457="1/2W",$C457="1/2L"),P458-SUM(O457:O459)+_xlfn.XLOOKUP("X",C457:C459,O457:O459,0),IF(OR($C457="W",$C457="1/2W",$C457="1/2L"),P459-SUM(O457:O459)+_xlfn.XLOOKUP("X",C457:C459,O457:O459,0),IF(SUM(P457:P459)/3-SUM(O457:O459)+_xlfn.XLOOKUP("X",C457:C459,O457:O459,0)&gt;0,SUM(P457:P459)/3-SUM(O457:O459)+_xlfn.XLOOKUP("X",C457:C459,O457:O459,0),LARGE(P457:P459,1)-SUM(O457:O459))))),IF(OR($C457="W",$C457="1/2W",$C457="1/2L"),P457-SUM(O457:O458)+_xlfn.XLOOKUP("X",C457:C459,O457:O459,0),IF(OR($C457="W",$C457="1/2W",$C457="1/2L"),P458-SUM(O457:O458)+_xlfn.XLOOKUP("X",C457:C459,O457:O459,0),SUM(P457:P458)/2-SUM(O457:O458)+_xlfn.XLOOKUP("X",C457:C459,O457:O459,0)))))))),2))</f>
        <v>1.19</v>
      </c>
      <c r="T457" s="458">
        <f>IF(S457=0,0,S457/SUM(O457:O459))</f>
        <v>5.6558935361216728E-2</v>
      </c>
      <c r="U457" s="470">
        <f>IF($D457=$D454,IF(OR($B457="LOSS",$B457="OK",$B457="Anulada"),S457,0)+U454,IF(OR($B457="LOSS",$B457="OK",$B457="Anulada"),S457,0))</f>
        <v>25.2</v>
      </c>
      <c r="V457" s="470">
        <f>IF($D457="",0,IF($D457=$D454,IF($B457=" ",IF(I459="",IF(OR(AND(I457="DNB1",I458="DNB2"),AND(OR(I457="DNB1",I457="DNB2"),J458=0),AND(OR(I458="DNB1",I458="DNB2"),J457=0),AND(I457="DNB2",I458="DNB1"),AND(IF(J457=0,(J457+1)/ROUND(J457+1,0),J457/ROUND(J457,0))=1,IF(J458=0,(J458+1)/ROUND(IF(J458="",0,J458)+1,0),IF(J458="",0,J458)/ROUND(IF(J458="",1,J458),0))=1,OR(J457&lt;&gt;""),J458&lt;&gt;"")),0,IF(S457&lt;0,IF(I459="",SMALL(P457:P458,1)-SUM(O457:O458),0),SMALL(P457:P458,1)-SUM(O457:O458))),IF(S457&lt;0,IF(I459="",SMALL(P457:P459,1)-SUM(O457:O459),0),LARGE(P457:P459,1)-SUM(O457:O459))),S457)+V454,IF(I459="",IF(OR(AND(I457="DNB1",I458="DNB2"),AND(OR(I457="DNB1",I457="DNB2"),J458=0),AND(OR(I458="DNB1",I458="DNB2"),J457=0),AND(I457="DNB2",I458="DNB1"),AND(IF(J457=0,(J457+1)/ROUND(J457+1,0),J457/ROUND(J457,0))=1,IF(J458=0,(IF(J458="",0,J458)+1)/ROUND(IF(J458="",0,J458)+1,0),IF(J458="",0,J458)/ROUND(IF(J458="",0,J458)+1,0))=1,OR(J457&lt;&gt;""),J458&lt;&gt;"")),0,IF(S457&lt;0,IF(I459="",SMALL(P457:P458,1)-SUM(O457:O458),0),SMALL(P457:P459,1)-SUM(O457:O459))),IF(S457&lt;0,IF(I459="",SMALL(P457:P459,1)-SUM(O457:O459),0),LARGE(P457:P459,1)-SUM(O457:O459)))))</f>
        <v>25.186599999999999</v>
      </c>
      <c r="W457" s="470">
        <f>IF($D457=$D454,IF(S457&lt;0,IF(I459="",S457,0),S457)+W454,S457)</f>
        <v>25.2</v>
      </c>
      <c r="X457" s="480" t="str">
        <f>IF(OR(SUM(R457:R459)=0,V457=W457),ROUND(IF(W457=0,0,W457/Y457)*100,2)&amp;"%",ROUND(IF(V457=0,0,V457/Y457)*100,2)&amp;"% a "&amp;ROUND(IF(W457=0,0,W457/Y457)*100,2)&amp;"%")</f>
        <v>4,74%</v>
      </c>
      <c r="Y457" s="471">
        <f>IF($D457=$D454,Y454+SUM(O457:O459),SUM(O457:O459))</f>
        <v>532.03000000000009</v>
      </c>
      <c r="Z457" s="470">
        <f>IF($B457=" ",SUM(O457:O459),0)+Z454</f>
        <v>0</v>
      </c>
      <c r="AA457" s="470">
        <f>IF(G457="","",IF($B457="Anulado",LARGE(P457:P459,1)-SUM(O457:O459)+AA454,AA454))</f>
        <v>12.425099999999992</v>
      </c>
      <c r="AB457" s="470">
        <f>IF($D457="","",AB454+S457)</f>
        <v>553.62000000000012</v>
      </c>
      <c r="AC457" s="472">
        <f ca="1">IF($D457="","",IF($B457=" ",IF(DAY(G457)=DAY(TODAY()),1+AC454,0+AC454),0+AC454))</f>
        <v>0</v>
      </c>
      <c r="AD457" s="103">
        <f>(((L458/(L458-1)-1)*(1-_xlfn.XLOOKUP(K458,'Fevereiro 2023 - Valor Real'!A3:A15,'Fevereiro 2023 - Valor Real'!C3:C15,0))+1))/(((L457-1)*(1-_xlfn.XLOOKUP(K457,'Fevereiro 2023 - Valor Real'!A3:A15,'Fevereiro 2023 - Valor Real'!C3:C15,0))+1)+((L458/(L458-1)-1)*(1-_xlfn.XLOOKUP(K458,'Fevereiro 2023 - Valor Real'!A3:A15,'Fevereiro 2023 - Valor Real'!C3:C15,0))+1))</f>
        <v>0.46434494195688231</v>
      </c>
      <c r="AE457" s="104">
        <f>IF(L457="","",IF(L459&gt;0,(SUM(((L457-1)*(1-_xlfn.XLOOKUP(K457,'Fevereiro 2023 - Valor Real'!A3:A15,'Fevereiro 2023 - Valor Real'!C3:C15,0))+1),((L458-1)*(1-_xlfn.XLOOKUP(K458,'Fevereiro 2023 - Valor Real'!A3:A15,'Fevereiro 2023 - Valor Real'!C3:C15,0))+1),((L459-1)*(1-_xlfn.XLOOKUP(K459,'Fevereiro 2023 - Valor Real'!A3:A15,'Fevereiro 2023 - Valor Real'!C3:C15,0))+1))/((L457-1)*(1-_xlfn.XLOOKUP(K457,'Fevereiro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Real'!C3:C15,0))+1))/((L457-1)*(1-_xlfn.XLOOKUP(K457,'Fevereiro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Real'!C3:C15,0))+1))/((L458-1)*(1-_xlfn.XLOOKUP(K458,'Fevereiro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Real'!C3:C15,0))+1))/((L459-1)*(1-_xlfn.XLOOKUP(K459,'Fevereiro 2023 - Valor Real'!A3:A15,'Fevereiro 2023 - Valor Real'!C3:C15,0))+1)),IF(I457="Lay",IF(I458="Lay",((L458/(L458-1)-1)*(1-_xlfn.XLOOKUP(K458,'Fevereiro 2023 - Valor Real'!A3:A15,'Fevereiro 2023 - Valor Real'!C3:C15,0))+1)/(((L458/(L458-1)-1)*(1-_xlfn.XLOOKUP(K458,'Fevereiro 2023 - Valor Real'!A3:A15,'Fevereiro 2023 - Valor Real'!C3:C15,0))+1)+((L457/(L457-1)-1)*(1-_xlfn.XLOOKUP(K457,'Fevereiro 2023 - Valor Real'!A3:A15,'Fevereiro 2023 - Valor Real'!C3:C15,0))+1)),((L458-1)*(1-_xlfn.XLOOKUP(K458,'Fevereiro 2023 - Valor Real'!A3:A15,'Fevereiro 2023 - Valor Real'!C3:C15,0))+1)/(((L458-1)*(1-_xlfn.XLOOKUP(K458,'Fevereiro 2023 - Valor Real'!A3:A15,'Fevereiro 2023 - Valor Real'!C3:C15,0))+1)+((L457/(L457-1)-1)*(1-_xlfn.XLOOKUP(K457,'Fevereiro 2023 - Valor Real'!A3:A15,'Fevereiro 2023 - Valor Real'!C3:C15,0))+1))),IF(I458="Lay",(((L458/(L458-1)-1)*(1-_xlfn.XLOOKUP(K458,'Fevereiro 2023 - Valor Real'!A3:A15,'Fevereiro 2023 - Valor Real'!C3:C15,0))+1))/(((L457-1)*(1-_xlfn.XLOOKUP(K457,'Fevereiro 2023 - Valor Real'!A3:A15,'Fevereiro 2023 - Valor Real'!C3:C15,0))+1)+((L458/(L458-1)-1)*(1-_xlfn.XLOOKUP(K458,'Fevereiro 2023 - Valor Real'!A3:A15,'Fevereiro 2023 - Valor Real'!C3:C15,0))+1)),((L458-1)*(1-_xlfn.XLOOKUP(K458,'Fevereiro 2023 - Valor Real'!A3:A15,'Fevereiro 2023 - Valor Real'!C3:C15,0))+1)/(((L458-1)*(1-_xlfn.XLOOKUP(K458,'Fevereiro 2023 - Valor Real'!A3:A15,'Fevereiro 2023 - Valor Real'!C3:C15,0))+1)+((L457-1)*(1-_xlfn.XLOOKUP(K457,'Fevereiro 2023 - Valor Real'!A3:A15,'Fevereiro 2023 - Valor Real'!C3:C15,0))+1))))))</f>
        <v>0.37086092715231783</v>
      </c>
      <c r="AF457" s="105">
        <f t="shared" si="930"/>
        <v>0</v>
      </c>
      <c r="AG457" s="106">
        <f t="shared" si="930"/>
        <v>0</v>
      </c>
      <c r="AH457" s="106">
        <f t="shared" si="930"/>
        <v>0</v>
      </c>
      <c r="AI457" s="106">
        <f t="shared" si="930"/>
        <v>0</v>
      </c>
      <c r="AJ457" s="106">
        <f t="shared" si="930"/>
        <v>0</v>
      </c>
      <c r="AK457" s="106">
        <f t="shared" si="930"/>
        <v>0</v>
      </c>
      <c r="AL457" s="106">
        <f t="shared" si="930"/>
        <v>0</v>
      </c>
      <c r="AM457" s="106">
        <f t="shared" si="930"/>
        <v>0</v>
      </c>
      <c r="AN457" s="106">
        <f t="shared" si="930"/>
        <v>0</v>
      </c>
      <c r="AO457" s="106">
        <f t="shared" si="930"/>
        <v>0</v>
      </c>
      <c r="AP457" s="106">
        <f t="shared" si="930"/>
        <v>0</v>
      </c>
      <c r="AQ457" s="106">
        <f t="shared" si="930"/>
        <v>14.43</v>
      </c>
      <c r="AR457" s="107">
        <f t="shared" si="930"/>
        <v>0</v>
      </c>
      <c r="AS457" s="105">
        <f t="shared" ref="AS457:BE457" si="936">IF(AND($B457=" ",$K457=AS$3),$O457,0)</f>
        <v>0</v>
      </c>
      <c r="AT457" s="106">
        <f t="shared" si="936"/>
        <v>0</v>
      </c>
      <c r="AU457" s="106">
        <f t="shared" si="936"/>
        <v>0</v>
      </c>
      <c r="AV457" s="106">
        <f t="shared" si="936"/>
        <v>0</v>
      </c>
      <c r="AW457" s="106">
        <f t="shared" si="936"/>
        <v>0</v>
      </c>
      <c r="AX457" s="106">
        <f t="shared" si="936"/>
        <v>0</v>
      </c>
      <c r="AY457" s="108">
        <f t="shared" si="936"/>
        <v>0</v>
      </c>
      <c r="AZ457" s="109">
        <f t="shared" si="936"/>
        <v>0</v>
      </c>
      <c r="BA457" s="109">
        <f t="shared" si="936"/>
        <v>0</v>
      </c>
      <c r="BB457" s="109">
        <f t="shared" si="936"/>
        <v>0</v>
      </c>
      <c r="BC457" s="110">
        <f t="shared" si="936"/>
        <v>0</v>
      </c>
      <c r="BD457" s="106">
        <f t="shared" si="936"/>
        <v>0</v>
      </c>
      <c r="BE457" s="107">
        <f t="shared" si="936"/>
        <v>0</v>
      </c>
      <c r="BF457" s="111">
        <f t="shared" si="932"/>
        <v>0</v>
      </c>
      <c r="BG457" s="106">
        <f t="shared" si="932"/>
        <v>0</v>
      </c>
      <c r="BH457" s="106">
        <f t="shared" si="932"/>
        <v>0</v>
      </c>
      <c r="BI457" s="106">
        <f t="shared" si="932"/>
        <v>0</v>
      </c>
      <c r="BJ457" s="106">
        <f t="shared" si="932"/>
        <v>0</v>
      </c>
      <c r="BK457" s="106">
        <f t="shared" si="932"/>
        <v>0</v>
      </c>
      <c r="BL457" s="106">
        <f t="shared" si="932"/>
        <v>0</v>
      </c>
      <c r="BM457" s="108">
        <f t="shared" si="932"/>
        <v>0</v>
      </c>
      <c r="BN457" s="109">
        <f t="shared" si="932"/>
        <v>0</v>
      </c>
      <c r="BO457" s="109">
        <f t="shared" si="932"/>
        <v>0</v>
      </c>
      <c r="BP457" s="109">
        <f t="shared" si="932"/>
        <v>0</v>
      </c>
      <c r="BQ457" s="110">
        <f t="shared" si="932"/>
        <v>7.8</v>
      </c>
      <c r="BR457" s="107">
        <f t="shared" si="932"/>
        <v>0</v>
      </c>
      <c r="BS457" s="463">
        <f>IF($B457="LOSS",IF(AND($K457=BS$3,$C457="L"),-$O457,0)+IF(AND($K458=BS$3,$C458="L"),-$O458,0)+IF(AND($K459=BS$3,$C459="L"),-$O459,0),IF(OR(AND($K457=BS$3,OR($C457="W",$C457="1/2W")),AND($K458=BS$3,OR($C458="W",$C458="1/2W")),AND($K459=BS$3,OR($C459="W",$C459="1/2W"))),$S457,0))</f>
        <v>0</v>
      </c>
      <c r="BT457" s="462">
        <f>IF($B457="LOSS",IF(AND($K457=BT$3,$C457="L"),-$O457,0)+IF(AND($K458=BT$3,$C458="L"),-$O458,0)+IF(AND($K458=BT$3,$C459="L"),-$O459,0),IF(OR(AND($K458=BT$3,OR($C457="W",$C457="1/2W")),AND($K458=BT$3,OR($C458="W",$C458="1/2W")),AND($K458=BT$3,OR($C459="W",$C459="1/2W"))),$S457,0))</f>
        <v>0</v>
      </c>
      <c r="BU457" s="462">
        <f>IF($B457="LOSS",IF(AND($K457=BU$3,$C457="L"),-$O457,0)+IF(AND($K458=BU$3,$C458="L"),-$O458,0)+IF(AND($K458=BU$3,$C459="L"),-$O459,0),IF(OR(AND($K458=BU$3,OR($C457="W",$C457="1/2W")),AND($K458=BU$3,OR($C458="W",$C458="1/2W")),AND($K458=BU$3,OR($C459="W",$C459="1/2W"))),$S457,0))</f>
        <v>0</v>
      </c>
      <c r="BV457" s="462">
        <f t="shared" ref="BV457:CE457" si="937">IF($B457="LOSS",IF(AND($K457=BV$3,$C457="L"),-$O457,0)+IF(AND($K458=BV$3,$C458="L"),-$O458,0)+IF(AND($K459=BV$3,$C459="L"),-$O459,0),IF(OR(AND($K457=BV$3,OR($C457="W",$C457="1/2W")),AND($K458=BV$3,OR($C458="W",$C458="1/2W")),AND($K459=BV$3,OR($C459="W",$C459="1/2W"))),$S457,0))</f>
        <v>0</v>
      </c>
      <c r="BW457" s="462">
        <f t="shared" si="937"/>
        <v>0</v>
      </c>
      <c r="BX457" s="462">
        <f t="shared" si="937"/>
        <v>0</v>
      </c>
      <c r="BY457" s="462">
        <f t="shared" si="937"/>
        <v>0</v>
      </c>
      <c r="BZ457" s="460">
        <f t="shared" si="937"/>
        <v>0</v>
      </c>
      <c r="CA457" s="460">
        <f t="shared" si="937"/>
        <v>0</v>
      </c>
      <c r="CB457" s="460">
        <f t="shared" si="937"/>
        <v>0</v>
      </c>
      <c r="CC457" s="460">
        <f t="shared" si="937"/>
        <v>0</v>
      </c>
      <c r="CD457" s="473">
        <f t="shared" si="937"/>
        <v>1.19</v>
      </c>
      <c r="CE457" s="479">
        <f t="shared" si="937"/>
        <v>0</v>
      </c>
      <c r="CF457" s="113">
        <f t="shared" si="899"/>
        <v>0</v>
      </c>
      <c r="CG457" s="114">
        <f t="shared" si="900"/>
        <v>0</v>
      </c>
      <c r="CH457" s="114">
        <f t="shared" si="901"/>
        <v>0</v>
      </c>
      <c r="CI457" s="114">
        <f t="shared" si="902"/>
        <v>0</v>
      </c>
      <c r="CJ457" s="114">
        <f t="shared" si="903"/>
        <v>0</v>
      </c>
      <c r="CK457" s="114">
        <f t="shared" si="904"/>
        <v>0</v>
      </c>
      <c r="CL457" s="114">
        <f t="shared" si="905"/>
        <v>0</v>
      </c>
      <c r="CM457" s="114">
        <f t="shared" si="906"/>
        <v>0</v>
      </c>
      <c r="CN457" s="114">
        <f t="shared" si="907"/>
        <v>0</v>
      </c>
      <c r="CO457" s="114">
        <f t="shared" si="908"/>
        <v>0</v>
      </c>
      <c r="CP457" s="114">
        <f t="shared" si="909"/>
        <v>0</v>
      </c>
      <c r="CQ457" s="114">
        <f t="shared" si="910"/>
        <v>0</v>
      </c>
      <c r="CR457" s="114">
        <f t="shared" si="911"/>
        <v>0</v>
      </c>
      <c r="CS457" s="114">
        <f t="shared" si="912"/>
        <v>0</v>
      </c>
      <c r="CT457" s="115">
        <f t="shared" si="913"/>
        <v>0</v>
      </c>
      <c r="CU457" s="116">
        <f t="shared" si="914"/>
        <v>0</v>
      </c>
      <c r="CV457" s="116">
        <f t="shared" si="915"/>
        <v>0</v>
      </c>
      <c r="CW457" s="116">
        <f t="shared" si="916"/>
        <v>0</v>
      </c>
      <c r="CX457" s="116">
        <f t="shared" si="917"/>
        <v>0</v>
      </c>
      <c r="CY457" s="116">
        <f t="shared" si="918"/>
        <v>0</v>
      </c>
      <c r="CZ457" s="116">
        <f t="shared" si="919"/>
        <v>0</v>
      </c>
      <c r="DA457" s="116">
        <f t="shared" si="920"/>
        <v>0</v>
      </c>
      <c r="DB457" s="116">
        <f t="shared" si="921"/>
        <v>1</v>
      </c>
      <c r="DC457" s="116">
        <f t="shared" si="922"/>
        <v>0</v>
      </c>
      <c r="DD457" s="116">
        <f t="shared" si="923"/>
        <v>0</v>
      </c>
      <c r="DE457" s="117">
        <f t="shared" si="924"/>
        <v>0</v>
      </c>
      <c r="DF457" s="118">
        <f t="shared" si="926"/>
        <v>30</v>
      </c>
      <c r="DG457" s="106">
        <f t="shared" si="927"/>
        <v>38.739999999999995</v>
      </c>
      <c r="DH457" s="116">
        <f t="shared" si="928"/>
        <v>11</v>
      </c>
      <c r="DI457" s="106">
        <f t="shared" si="929"/>
        <v>45.699999999999996</v>
      </c>
      <c r="DJ457" s="201" t="str">
        <f>IF($D457="","",$D457)</f>
        <v>15</v>
      </c>
      <c r="DK457" s="465">
        <f>IF(AND($B457=" ",$D457&lt;&gt;""),1,0)</f>
        <v>0</v>
      </c>
    </row>
    <row r="458" spans="1:115" ht="14.5" customHeight="1" x14ac:dyDescent="0.2">
      <c r="A458" s="389"/>
      <c r="B458" s="456"/>
      <c r="C458" s="120" t="s">
        <v>55</v>
      </c>
      <c r="D458" s="374"/>
      <c r="E458" s="386"/>
      <c r="F458" s="377"/>
      <c r="G458" s="483"/>
      <c r="H458" s="476"/>
      <c r="I458" s="121" t="s">
        <v>76</v>
      </c>
      <c r="J458" s="122">
        <f>IF(OR(I457="TO",I457="TU",I457="TO1",I457="TU1",I457="TO2",I457="TU2"),J457,IF(OR(I457="AH1",I457="AH2"),IF(OR(I458="AH1",I458="AH2"),-J457,IF(OR(I458="EH1",I458="EH2"),-J457+0.5,"")),IF(OR(I457="EH1",I457="EH2"),IF(OR(I458="AH1",I458="AH2"),-J457+0.5,IF(OR(I458="EH1",I458="EH2"),-J457+1,"")),IF(AND(OR(I457="DNB1",I457="DNB2"),OR(I458="AH1",I458="AH2")),0,IF(AND(I457="Not ScoreBoth",OR(I458="TO1",I458="TO2")),0.5,"")))))</f>
        <v>-1.5</v>
      </c>
      <c r="K458" s="123" t="s">
        <v>40</v>
      </c>
      <c r="L458" s="124">
        <v>1.68</v>
      </c>
      <c r="M458" s="125">
        <v>13.24</v>
      </c>
      <c r="N458" s="406"/>
      <c r="O458" s="126">
        <f>IF(OR(AE457="",AE458=""),"",ROUND(IF(L459&gt;0,IF(M458&gt;0,M458,IF(M457&gt;0,IF(N457=TRUE,ROUND((M457*AE458)/AE457,0),(M457*AE458)/AE457),IF(M458&gt;0,ROUND(M458,IF(N457=0,2,IF(N457=0.1,1,0))),IF(M459&gt;0,ROUND(O459*AE458/AE459,IF(N457=0,2,IF(N457=0.1,1,0))),0)))),IF(M458&gt;0,M458,ROUND((M457*AE458)/AE457,IF(N457=0,2,IF(N457=0.1,1,0))))),2))</f>
        <v>13.24</v>
      </c>
      <c r="P458" s="127">
        <f>IF(OR(L458="",O458=""),"",IF($C458="1/2W",O458/2+O458/2*L458,IF($C458="1/2L",O458/2,IF(I458="Lay",((O458*(L458/(L458-1)))-O458)*(1-_xlfn.XLOOKUP(K458,'Fevereiro 2023 - Valor Real'!A3:A15,'Fevereiro 2023 - Valor Real'!C3:C15,0))+O458,(O458*L458-O458)*(1-_xlfn.XLOOKUP(K458,'Fevereiro 2023 - Valor Real'!A3:A15,'Fevereiro 2023 - Valor Real'!C3:C15,0))+O458))))</f>
        <v>22.243199999999998</v>
      </c>
      <c r="Q458" s="128">
        <f>IF(K458="","",IF(_xlfn.XLOOKUP(K458,K$4:K457,$DJ$4:DJ457,0,,-1)=DJ458,_xlfn.XLOOKUP(K458,K$4:K457,Q$4:Q457,1,,-1)+1,1))</f>
        <v>3</v>
      </c>
      <c r="R458" s="129">
        <f>IF(K458="","",_xlfn.XLOOKUP(K458,K$4:K457,R$4:R457,0,,-1)+IF($C458=" ",1,0))</f>
        <v>0</v>
      </c>
      <c r="S458" s="403"/>
      <c r="T458" s="380"/>
      <c r="U458" s="380"/>
      <c r="V458" s="481"/>
      <c r="W458" s="380"/>
      <c r="X458" s="452"/>
      <c r="Y458" s="383"/>
      <c r="Z458" s="384"/>
      <c r="AA458" s="384"/>
      <c r="AB458" s="384"/>
      <c r="AC458" s="384"/>
      <c r="AD458" s="130">
        <f>(((L458/(L458-1)-1)*(1-_xlfn.XLOOKUP(K458,'Fevereiro 2023 - Valor Real'!A3:A15,'Fevereiro 2023 - Valor Real'!C3:C15,0))+1))</f>
        <v>2.4705882352941178</v>
      </c>
      <c r="AE458" s="131">
        <f>IF(L458="","",IF(L459&gt;0,(SUM(((L457-1)*(1-_xlfn.XLOOKUP(K457,'Fevereiro 2023 - Valor Real'!A3:A15,'Fevereiro 2023 - Valor Real'!C3:C15,0))+1),((L458-1)*(1-_xlfn.XLOOKUP(K458,'Fevereiro 2023 - Valor Real'!A3:A15,'Fevereiro 2023 - Valor Real'!C3:C15,0))+1),((L459-1)*(1-_xlfn.XLOOKUP(K459,'Fevereiro 2023 - Valor Real'!A3:A15,'Fevereiro 2023 - Valor Real'!C3:C15,0))+1))/((L458-1)*(1-_xlfn.XLOOKUP(K458,'Fevereiro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Real'!C3:C15,0))+1))/((L457-1)*(1-_xlfn.XLOOKUP(K457,'Fevereiro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Real'!C3:C15,0))+1))/((L458-1)*(1-_xlfn.XLOOKUP(K458,'Fevereiro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Real'!C3:C15,0))+1))/((L459-1)*(1-_xlfn.XLOOKUP(K459,'Fevereiro 2023 - Valor Real'!A3:A15,'Fevereiro 2023 - Valor Real'!C3:C15,0))+1)),IF(I458="Lay",IF(I457="Lay",((L457/(L457-1)-1)*(1-_xlfn.XLOOKUP(K457,'Fevereiro 2023 - Valor Real'!A3:A15,'Fevereiro 2023 - Valor Real'!C3:C15,0))+1)/(((L457/(L457-1)-1)*(1-_xlfn.XLOOKUP(K457,'Fevereiro 2023 - Valor Real'!A3:A15,'Fevereiro 2023 - Valor Real'!C3:C15,0))+1)+((L458/(L458-1)-1)*(1-_xlfn.XLOOKUP(K458,'Fevereiro 2023 - Valor Real'!A3:A15,'Fevereiro 2023 - Valor Real'!C3:C15,0))+1)),((L457-1)*(1-_xlfn.XLOOKUP(K457,'Fevereiro 2023 - Valor Real'!A3:A15,'Fevereiro 2023 - Valor Real'!C3:C15,0))+1)/(((L457-1)*(1-_xlfn.XLOOKUP(K457,'Fevereiro 2023 - Valor Real'!A3:A15,'Fevereiro 2023 - Valor Real'!C3:C15,0))+1)+((L458/(L458-1)-1)*(1-_xlfn.XLOOKUP(K458,'Fevereiro 2023 - Valor Real'!A3:A15,'Fevereiro 2023 - Valor Real'!C3:C15,0))+1))),IF(I457="Lay",((L457/(L457-1)-1)*(1-_xlfn.XLOOKUP(K457,'Fevereiro 2023 - Valor Real'!A3:A15,'Fevereiro 2023 - Valor Real'!C3:C15,0))+1)/((((L457/(L457-1)-1)*(1-_xlfn.XLOOKUP(K457,'Fevereiro 2023 - Valor Real'!A3:A15,'Fevereiro 2023 - Valor Real'!C3:C15,0))+1))+((L458-1)*(1-_xlfn.XLOOKUP(K458,'Fevereiro 2023 - Valor Real'!A3:A15,'Fevereiro 2023 - Valor Real'!C3:C15,0))+1)),((L457-1)*(1-_xlfn.XLOOKUP(K457,'Fevereiro 2023 - Valor Real'!A3:A15,'Fevereiro 2023 - Valor Real'!C3:C15,0))+1)/(((L457-1)*(1-_xlfn.XLOOKUP(K457,'Fevereiro 2023 - Valor Real'!A3:A15,'Fevereiro 2023 - Valor Real'!C3:C15,0))+1)+((L458-1)*(1-_xlfn.XLOOKUP(K458,'Fevereiro 2023 - Valor Real'!A3:A15,'Fevereiro 2023 - Valor Real'!C3:C15,0))+1))))))</f>
        <v>0.62913907284768211</v>
      </c>
      <c r="AF458" s="105">
        <f t="shared" si="930"/>
        <v>0</v>
      </c>
      <c r="AG458" s="106">
        <f t="shared" si="930"/>
        <v>0</v>
      </c>
      <c r="AH458" s="106">
        <f t="shared" si="930"/>
        <v>0</v>
      </c>
      <c r="AI458" s="106">
        <f t="shared" si="930"/>
        <v>0</v>
      </c>
      <c r="AJ458" s="106">
        <f t="shared" si="930"/>
        <v>-13.24</v>
      </c>
      <c r="AK458" s="106">
        <f t="shared" si="930"/>
        <v>0</v>
      </c>
      <c r="AL458" s="106">
        <f t="shared" si="930"/>
        <v>0</v>
      </c>
      <c r="AM458" s="106">
        <f t="shared" si="930"/>
        <v>0</v>
      </c>
      <c r="AN458" s="106">
        <f t="shared" si="930"/>
        <v>0</v>
      </c>
      <c r="AO458" s="106">
        <f t="shared" si="930"/>
        <v>0</v>
      </c>
      <c r="AP458" s="106">
        <f t="shared" si="930"/>
        <v>0</v>
      </c>
      <c r="AQ458" s="106">
        <f t="shared" si="930"/>
        <v>0</v>
      </c>
      <c r="AR458" s="107">
        <f t="shared" si="930"/>
        <v>0</v>
      </c>
      <c r="AS458" s="105">
        <f>IF(AND($B457=" ",$K458=AS$3),$O458,0)</f>
        <v>0</v>
      </c>
      <c r="AT458" s="106">
        <f>IF(AND($B457=" ",K458=AT$3),$O458,0)</f>
        <v>0</v>
      </c>
      <c r="AU458" s="106">
        <f t="shared" ref="AU458:BE458" si="938">IF(AND($B457=" ",$K458=AU$3),$O458,0)</f>
        <v>0</v>
      </c>
      <c r="AV458" s="106">
        <f t="shared" si="938"/>
        <v>0</v>
      </c>
      <c r="AW458" s="106">
        <f t="shared" si="938"/>
        <v>0</v>
      </c>
      <c r="AX458" s="106">
        <f t="shared" si="938"/>
        <v>0</v>
      </c>
      <c r="AY458" s="108">
        <f t="shared" si="938"/>
        <v>0</v>
      </c>
      <c r="AZ458" s="109">
        <f t="shared" si="938"/>
        <v>0</v>
      </c>
      <c r="BA458" s="109">
        <f t="shared" si="938"/>
        <v>0</v>
      </c>
      <c r="BB458" s="109">
        <f t="shared" si="938"/>
        <v>0</v>
      </c>
      <c r="BC458" s="110">
        <f t="shared" si="938"/>
        <v>0</v>
      </c>
      <c r="BD458" s="106">
        <f t="shared" si="938"/>
        <v>0</v>
      </c>
      <c r="BE458" s="107">
        <f t="shared" si="938"/>
        <v>0</v>
      </c>
      <c r="BF458" s="105">
        <f t="shared" si="932"/>
        <v>0</v>
      </c>
      <c r="BG458" s="106">
        <f t="shared" si="932"/>
        <v>0</v>
      </c>
      <c r="BH458" s="106">
        <f t="shared" si="932"/>
        <v>0</v>
      </c>
      <c r="BI458" s="106">
        <f t="shared" si="932"/>
        <v>0</v>
      </c>
      <c r="BJ458" s="106">
        <f t="shared" si="932"/>
        <v>13.24</v>
      </c>
      <c r="BK458" s="106">
        <f t="shared" si="932"/>
        <v>0</v>
      </c>
      <c r="BL458" s="106">
        <f t="shared" si="932"/>
        <v>0</v>
      </c>
      <c r="BM458" s="132">
        <f t="shared" si="932"/>
        <v>0</v>
      </c>
      <c r="BN458" s="112">
        <f t="shared" si="932"/>
        <v>0</v>
      </c>
      <c r="BO458" s="112">
        <f t="shared" si="932"/>
        <v>0</v>
      </c>
      <c r="BP458" s="112">
        <f t="shared" si="932"/>
        <v>0</v>
      </c>
      <c r="BQ458" s="110">
        <f t="shared" si="932"/>
        <v>0</v>
      </c>
      <c r="BR458" s="107">
        <f t="shared" si="932"/>
        <v>0</v>
      </c>
      <c r="BS458" s="464"/>
      <c r="BT458" s="461"/>
      <c r="BU458" s="392"/>
      <c r="BV458" s="461"/>
      <c r="BW458" s="392"/>
      <c r="BX458" s="392"/>
      <c r="BY458" s="392"/>
      <c r="BZ458" s="461"/>
      <c r="CA458" s="392"/>
      <c r="CB458" s="392"/>
      <c r="CC458" s="392"/>
      <c r="CD458" s="401"/>
      <c r="CE458" s="409"/>
      <c r="CF458" s="133">
        <f t="shared" si="899"/>
        <v>0</v>
      </c>
      <c r="CG458" s="134">
        <f t="shared" si="900"/>
        <v>0</v>
      </c>
      <c r="CH458" s="134">
        <f t="shared" si="901"/>
        <v>0</v>
      </c>
      <c r="CI458" s="134">
        <f t="shared" si="902"/>
        <v>0</v>
      </c>
      <c r="CJ458" s="134">
        <f t="shared" si="903"/>
        <v>0</v>
      </c>
      <c r="CK458" s="134">
        <f t="shared" si="904"/>
        <v>0</v>
      </c>
      <c r="CL458" s="134">
        <f t="shared" si="905"/>
        <v>0</v>
      </c>
      <c r="CM458" s="134">
        <f t="shared" si="906"/>
        <v>0</v>
      </c>
      <c r="CN458" s="134">
        <f t="shared" si="907"/>
        <v>0</v>
      </c>
      <c r="CO458" s="134">
        <f t="shared" si="908"/>
        <v>1</v>
      </c>
      <c r="CP458" s="134">
        <f t="shared" si="909"/>
        <v>0</v>
      </c>
      <c r="CQ458" s="134">
        <f t="shared" si="910"/>
        <v>0</v>
      </c>
      <c r="CR458" s="134">
        <f t="shared" si="911"/>
        <v>0</v>
      </c>
      <c r="CS458" s="134">
        <f t="shared" si="912"/>
        <v>0</v>
      </c>
      <c r="CT458" s="115">
        <f t="shared" si="913"/>
        <v>0</v>
      </c>
      <c r="CU458" s="116">
        <f t="shared" si="914"/>
        <v>0</v>
      </c>
      <c r="CV458" s="116">
        <f t="shared" si="915"/>
        <v>0</v>
      </c>
      <c r="CW458" s="116">
        <f t="shared" si="916"/>
        <v>0</v>
      </c>
      <c r="CX458" s="116">
        <f t="shared" si="917"/>
        <v>0</v>
      </c>
      <c r="CY458" s="116">
        <f t="shared" si="918"/>
        <v>0</v>
      </c>
      <c r="CZ458" s="116">
        <f t="shared" si="919"/>
        <v>0</v>
      </c>
      <c r="DA458" s="116">
        <f t="shared" si="920"/>
        <v>0</v>
      </c>
      <c r="DB458" s="116">
        <f t="shared" si="921"/>
        <v>0</v>
      </c>
      <c r="DC458" s="116">
        <f t="shared" si="922"/>
        <v>0</v>
      </c>
      <c r="DD458" s="116">
        <f t="shared" si="923"/>
        <v>0</v>
      </c>
      <c r="DE458" s="117">
        <f t="shared" si="924"/>
        <v>0</v>
      </c>
      <c r="DF458" s="118">
        <f t="shared" si="926"/>
        <v>30</v>
      </c>
      <c r="DG458" s="106">
        <f t="shared" si="927"/>
        <v>38.739999999999995</v>
      </c>
      <c r="DH458" s="116">
        <f t="shared" si="928"/>
        <v>11</v>
      </c>
      <c r="DI458" s="106">
        <f t="shared" si="929"/>
        <v>45.699999999999996</v>
      </c>
      <c r="DJ458" s="201" t="str">
        <f>IF($D457="","",$D457)</f>
        <v>15</v>
      </c>
      <c r="DK458" s="466"/>
    </row>
    <row r="459" spans="1:115" ht="14.5" customHeight="1" x14ac:dyDescent="0.2">
      <c r="A459" s="390"/>
      <c r="B459" s="457"/>
      <c r="C459" s="135" t="s">
        <v>53</v>
      </c>
      <c r="D459" s="375"/>
      <c r="E459" s="387"/>
      <c r="F459" s="378"/>
      <c r="G459" s="484"/>
      <c r="H459" s="477"/>
      <c r="I459" s="136"/>
      <c r="J459" s="137"/>
      <c r="K459" s="138"/>
      <c r="L459" s="139"/>
      <c r="M459" s="140"/>
      <c r="N459" s="407"/>
      <c r="O459" s="141" t="str">
        <f>IF(OR(AE457="",AE458=""),"",IF(L459&gt;0,ROUND(IF(M459&gt;0,M459,IF(M457&gt;0,ROUND((M457*AE459)/AE457,IF(N457=0,2,IF(N457=0.1,1,0))),IF(M458&gt;0,ROUND((M458*AE459)/AE458,IF(N457=0,2,IF(N457=0.1,1,0))),IF(M459&gt;0,M459,0)))),2),""))</f>
        <v/>
      </c>
      <c r="P459" s="142" t="str">
        <f>IF(I458="Lay",O458*(L458/(L458-1))-O458,IF(I457="Lay",O457*(L457/(L457-1))-O457,IF(OR(L459="",O459=""),"",IF($C459="1/2W",O459/2+O459/2*L459,IF($C459="1/2L",O459/2,(O459*L459-O459)*(1-_xlfn.XLOOKUP(K459,'Fevereiro 2023 - Valor Real'!A3:A15,'Fevereiro 2023 - Valor Real'!C3:C15,0))+O459)))))</f>
        <v/>
      </c>
      <c r="Q459" s="143" t="str">
        <f>IF(K459="","",IF(_xlfn.XLOOKUP(K459,K$4:K458,$DJ$4:DJ458,0,,-1)=DJ459,_xlfn.XLOOKUP(K459,K$4:K458,Q$4:Q458,1,,-1)+1,1))</f>
        <v/>
      </c>
      <c r="R459" s="144" t="str">
        <f>IF(K459="","",_xlfn.XLOOKUP(K459,K$4:K458,R$4:R458,0,,-1)+IF($C459=" ",1,0))</f>
        <v/>
      </c>
      <c r="S459" s="404"/>
      <c r="T459" s="378"/>
      <c r="U459" s="378"/>
      <c r="V459" s="404"/>
      <c r="W459" s="378"/>
      <c r="X459" s="453"/>
      <c r="Y459" s="383"/>
      <c r="Z459" s="384"/>
      <c r="AA459" s="384"/>
      <c r="AB459" s="384"/>
      <c r="AC459" s="384"/>
      <c r="AD459" s="145">
        <f>((L458/(L458-1)-1))</f>
        <v>1.4705882352941178</v>
      </c>
      <c r="AE459" s="146" t="str">
        <f>IF(L459="","",(SUM(((L457-1)*(1-_xlfn.XLOOKUP(K457,'Fevereiro 2023 - Valor Real'!A3:A15,'Fevereiro 2023 - Valor Real'!C3:C15,0))+1),((L458-1)*(1-_xlfn.XLOOKUP(K458,'Fevereiro 2023 - Valor Real'!A3:A15,'Fevereiro 2023 - Valor Real'!C3:C15,0))+1),((L459-1)*(1-_xlfn.XLOOKUP(K459,'Fevereiro 2023 - Valor Real'!A3:A15,'Fevereiro 2023 - Valor Real'!C3:C15,0))+1))/((L459-1)*(1-_xlfn.XLOOKUP(K459,'Fevereiro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Real'!C3:C15,0))+1))/((L457-1)*(1-_xlfn.XLOOKUP(K457,'Fevereiro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Real'!C3:C15,0))+1))/((L458-1)*(1-_xlfn.XLOOKUP(K458,'Fevereiro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Real'!C3:C15,0))+1))/((L459-1)*(1-_xlfn.XLOOKUP(K459,'Fevereiro 2023 - Valor Real'!A3:A15,'Fevereiro 2023 - Valor Real'!C3:C15,0))+1)))</f>
        <v/>
      </c>
      <c r="AF459" s="105">
        <f t="shared" si="930"/>
        <v>0</v>
      </c>
      <c r="AG459" s="106">
        <f t="shared" si="930"/>
        <v>0</v>
      </c>
      <c r="AH459" s="106">
        <f t="shared" si="930"/>
        <v>0</v>
      </c>
      <c r="AI459" s="106">
        <f t="shared" si="930"/>
        <v>0</v>
      </c>
      <c r="AJ459" s="106">
        <f t="shared" si="930"/>
        <v>0</v>
      </c>
      <c r="AK459" s="106">
        <f t="shared" si="930"/>
        <v>0</v>
      </c>
      <c r="AL459" s="106">
        <f t="shared" si="930"/>
        <v>0</v>
      </c>
      <c r="AM459" s="106">
        <f t="shared" si="930"/>
        <v>0</v>
      </c>
      <c r="AN459" s="106">
        <f t="shared" si="930"/>
        <v>0</v>
      </c>
      <c r="AO459" s="106">
        <f t="shared" si="930"/>
        <v>0</v>
      </c>
      <c r="AP459" s="106">
        <f t="shared" si="930"/>
        <v>0</v>
      </c>
      <c r="AQ459" s="106">
        <f t="shared" si="930"/>
        <v>0</v>
      </c>
      <c r="AR459" s="107">
        <f t="shared" si="930"/>
        <v>0</v>
      </c>
      <c r="AS459" s="105">
        <f>IF(AND($B457=" ",$K459=AS$3),$O459,0)</f>
        <v>0</v>
      </c>
      <c r="AT459" s="106">
        <f>IF(AND($B457=" ",K459=AT$3),$O459,0)</f>
        <v>0</v>
      </c>
      <c r="AU459" s="106">
        <f t="shared" ref="AU459:BE459" si="939">IF(AND($B457=" ",$K459=AU$3),$O459,0)</f>
        <v>0</v>
      </c>
      <c r="AV459" s="106">
        <f t="shared" si="939"/>
        <v>0</v>
      </c>
      <c r="AW459" s="106">
        <f t="shared" si="939"/>
        <v>0</v>
      </c>
      <c r="AX459" s="106">
        <f t="shared" si="939"/>
        <v>0</v>
      </c>
      <c r="AY459" s="108">
        <f t="shared" si="939"/>
        <v>0</v>
      </c>
      <c r="AZ459" s="109">
        <f t="shared" si="939"/>
        <v>0</v>
      </c>
      <c r="BA459" s="109">
        <f t="shared" si="939"/>
        <v>0</v>
      </c>
      <c r="BB459" s="109">
        <f t="shared" si="939"/>
        <v>0</v>
      </c>
      <c r="BC459" s="110">
        <f t="shared" si="939"/>
        <v>0</v>
      </c>
      <c r="BD459" s="106">
        <f t="shared" si="939"/>
        <v>0</v>
      </c>
      <c r="BE459" s="107">
        <f t="shared" si="939"/>
        <v>0</v>
      </c>
      <c r="BF459" s="105">
        <f t="shared" si="932"/>
        <v>0</v>
      </c>
      <c r="BG459" s="106">
        <f t="shared" si="932"/>
        <v>0</v>
      </c>
      <c r="BH459" s="106">
        <f t="shared" si="932"/>
        <v>0</v>
      </c>
      <c r="BI459" s="106">
        <f t="shared" si="932"/>
        <v>0</v>
      </c>
      <c r="BJ459" s="106">
        <f t="shared" si="932"/>
        <v>0</v>
      </c>
      <c r="BK459" s="106">
        <f t="shared" si="932"/>
        <v>0</v>
      </c>
      <c r="BL459" s="106">
        <f t="shared" si="932"/>
        <v>0</v>
      </c>
      <c r="BM459" s="108">
        <f t="shared" si="932"/>
        <v>0</v>
      </c>
      <c r="BN459" s="109">
        <f t="shared" si="932"/>
        <v>0</v>
      </c>
      <c r="BO459" s="109">
        <f t="shared" si="932"/>
        <v>0</v>
      </c>
      <c r="BP459" s="109">
        <f t="shared" si="932"/>
        <v>0</v>
      </c>
      <c r="BQ459" s="110">
        <f t="shared" si="932"/>
        <v>0</v>
      </c>
      <c r="BR459" s="107">
        <f t="shared" si="932"/>
        <v>0</v>
      </c>
      <c r="BS459" s="464"/>
      <c r="BT459" s="461"/>
      <c r="BU459" s="392"/>
      <c r="BV459" s="461"/>
      <c r="BW459" s="392"/>
      <c r="BX459" s="392"/>
      <c r="BY459" s="392"/>
      <c r="BZ459" s="461"/>
      <c r="CA459" s="392"/>
      <c r="CB459" s="392"/>
      <c r="CC459" s="392"/>
      <c r="CD459" s="401"/>
      <c r="CE459" s="409"/>
      <c r="CF459" s="133">
        <f t="shared" si="899"/>
        <v>0</v>
      </c>
      <c r="CG459" s="134">
        <f t="shared" si="900"/>
        <v>0</v>
      </c>
      <c r="CH459" s="134">
        <f t="shared" si="901"/>
        <v>0</v>
      </c>
      <c r="CI459" s="134">
        <f t="shared" si="902"/>
        <v>0</v>
      </c>
      <c r="CJ459" s="134">
        <f t="shared" si="903"/>
        <v>0</v>
      </c>
      <c r="CK459" s="134">
        <f t="shared" si="904"/>
        <v>0</v>
      </c>
      <c r="CL459" s="134">
        <f t="shared" si="905"/>
        <v>0</v>
      </c>
      <c r="CM459" s="134">
        <f t="shared" si="906"/>
        <v>0</v>
      </c>
      <c r="CN459" s="134">
        <f t="shared" si="907"/>
        <v>0</v>
      </c>
      <c r="CO459" s="134">
        <f t="shared" si="908"/>
        <v>0</v>
      </c>
      <c r="CP459" s="134">
        <f t="shared" si="909"/>
        <v>0</v>
      </c>
      <c r="CQ459" s="134">
        <f t="shared" si="910"/>
        <v>0</v>
      </c>
      <c r="CR459" s="134">
        <f t="shared" si="911"/>
        <v>0</v>
      </c>
      <c r="CS459" s="134">
        <f t="shared" si="912"/>
        <v>0</v>
      </c>
      <c r="CT459" s="115">
        <f t="shared" si="913"/>
        <v>0</v>
      </c>
      <c r="CU459" s="116">
        <f t="shared" si="914"/>
        <v>0</v>
      </c>
      <c r="CV459" s="116">
        <f t="shared" si="915"/>
        <v>0</v>
      </c>
      <c r="CW459" s="116">
        <f t="shared" si="916"/>
        <v>0</v>
      </c>
      <c r="CX459" s="116">
        <f t="shared" si="917"/>
        <v>0</v>
      </c>
      <c r="CY459" s="116">
        <f t="shared" si="918"/>
        <v>0</v>
      </c>
      <c r="CZ459" s="116">
        <f t="shared" si="919"/>
        <v>0</v>
      </c>
      <c r="DA459" s="116">
        <f t="shared" si="920"/>
        <v>0</v>
      </c>
      <c r="DB459" s="116">
        <f t="shared" si="921"/>
        <v>0</v>
      </c>
      <c r="DC459" s="116">
        <f t="shared" si="922"/>
        <v>0</v>
      </c>
      <c r="DD459" s="116">
        <f t="shared" si="923"/>
        <v>0</v>
      </c>
      <c r="DE459" s="117">
        <f t="shared" si="924"/>
        <v>0</v>
      </c>
      <c r="DF459" s="118">
        <f t="shared" si="926"/>
        <v>30</v>
      </c>
      <c r="DG459" s="106">
        <f t="shared" si="927"/>
        <v>38.739999999999995</v>
      </c>
      <c r="DH459" s="116">
        <f t="shared" si="928"/>
        <v>11</v>
      </c>
      <c r="DI459" s="106">
        <f t="shared" si="929"/>
        <v>45.699999999999996</v>
      </c>
      <c r="DJ459" s="201" t="str">
        <f>IF($D457="","",$D457)</f>
        <v>15</v>
      </c>
      <c r="DK459" s="466"/>
    </row>
    <row r="460" spans="1:115" ht="14.5" customHeight="1" x14ac:dyDescent="0.2">
      <c r="A460" s="487">
        <f>$A457+1</f>
        <v>153</v>
      </c>
      <c r="B460" s="506" t="str">
        <f>IF(OR(C460="W",C461="W",C462="W",C460="1/2W",C461="1/2W",C462="1/2W",C460="1/2L",C461="1/2L",C462="1/2L"),"OK",IF(OR(C460="L",C461="L",C462="L"),"LOSS",IF(OR(C460="X",C461="X",C462="X"),"Anulado"," ")))</f>
        <v>OK</v>
      </c>
      <c r="C460" s="147" t="s">
        <v>55</v>
      </c>
      <c r="D460" s="494" t="str">
        <f>IF(G460="","",$D457)</f>
        <v>15</v>
      </c>
      <c r="E460" s="511" t="str">
        <f>IF(G460=""," ","– "&amp;COUNTIF(D$4:D462,$D460))</f>
        <v>– 11</v>
      </c>
      <c r="F460" s="510" t="str">
        <f ca="1">IF(G460="","",IF(OR(AND($C460&lt;&gt;" ",$C461=" "),AND($C461&lt;&gt;" ",$C460=" "),AND(L462&gt;0,OR(AND($C462&lt;&gt;" ",OR($C460=" ",$C461=" ")),AND($C462=" ",OR($C460&lt;&gt;" ",$C461&lt;&gt;" "))))),IF(SUM(F$4:F459)=0,1,LARGE(F$4:F459,1)+1),IF(MONTH(G460)=MONTH(TODAY()),IF(AND(DAY(G460)&lt;DAY(TODAY()),$B460=" "),IF(SUM(F$4:F459)=0,1,LARGE(F$4:F459,1)+1),IF($B460=" ",IF(AND(DAY(G460)=DAY(TODAY()),HOUR(G460)&lt;=HOUR(NOW())+1),IF(AND(HOUR(G460)+2&lt;=HOUR(NOW()),DAY(G460)&lt;=DAY(TODAY()),MINUTE(G460)&lt;=MINUTE(NOW())),IF(SUM(F$4:F459)=0,1,LARGE(F$4:F459,1)+1),IF(OR(MINUTE(G460)&lt;=MINUTE(NOW()),HOUR(G460)&lt;=HOUR(NOW())),"!!!","")),""),"")),"")))</f>
        <v/>
      </c>
      <c r="G460" s="508">
        <v>45001.333333333336</v>
      </c>
      <c r="H460" s="502" t="s">
        <v>190</v>
      </c>
      <c r="I460" s="180" t="s">
        <v>66</v>
      </c>
      <c r="J460" s="181">
        <v>1.5</v>
      </c>
      <c r="K460" s="150" t="s">
        <v>47</v>
      </c>
      <c r="L460" s="151">
        <v>2.0499999999999998</v>
      </c>
      <c r="M460" s="152">
        <v>75.69</v>
      </c>
      <c r="N460" s="503">
        <v>0</v>
      </c>
      <c r="O460" s="153">
        <f>IF(OR(AE460="",AE461=""),"",ROUND(IF(L462&gt;0,IF(M460&gt;0,M460,IF(M461&gt;0,ROUND((M461*AE460)/AE461,IF(N460=0,2,IF(N460=0.1,1,0))),ROUND((M462*AE460)/AE462,IF(N460=0,2,IF(N460=0.1,1,0))))),IF(M460&gt;0,M460,ROUND((M461*AE460)/AE461,IF(N460=0,2,IF(N460=0.1,1,0))))),2))</f>
        <v>75.69</v>
      </c>
      <c r="P460" s="154">
        <f>IF(OR(L460="",O460=""),"",IF($C460="1/2W",O460/2+O460/2*L460,IF($C460="1/2L",O460/2,IF(I460="Lay",(O460*(L460/(L460-1))-O460)*(1-_xlfn.XLOOKUP(K460,'Fevereiro 2023 - Valor Real'!A3:A15,'Fevereiro 2023 - Valor Real'!C3:C15,0))+O460,(O460*L460-O460)*(1-_xlfn.XLOOKUP(K460,'Fevereiro 2023 - Valor Real'!A3:A15,'Fevereiro 2023 - Valor Real'!C3:C15,0))+O460))))</f>
        <v>155.16449999999998</v>
      </c>
      <c r="Q460" s="155">
        <f>IF(K460="","",IF(_xlfn.XLOOKUP(K460,K$9:K452,$DJ$9:DJ452,0,,-1)=DJ460,_xlfn.XLOOKUP(K460,K$9:K452,Q$9:Q452,1,,-1)+1,1))</f>
        <v>4</v>
      </c>
      <c r="R460" s="156">
        <f>IF(K460="","",_xlfn.XLOOKUP(K460,K$9:K452,R$9:R452,0,,-1)+IF($C460=" ",1,0))</f>
        <v>0</v>
      </c>
      <c r="S460" s="501">
        <f>IF($B460="Anulado",0,ROUND(IF(OR($B460="LOSS",$B460="OK"),IF(OR($C460="W",$C460="1/2W",$C460="1/2L"),P460-O460,IF($C460="L",-O460,0))+IF(OR($C461="W",$C461="1/2W",$C461="1/2L"),P461-O461,IF($C461="L",-O461,0))+IF(OR($C462="W",$C462="1/2W",$C462="1/2L"),P462-O462,IF($C462="L",-O462,0)),IF(AND(OR($C460="W",$C460="1/2W",$C460="1/2L"),C461="W"),P460+P461-SUM(O460:O462)+_xlfn.XLOOKUP("X",C460:C462,O460:O462,0),IF(AND(C460=TRUE,C462="W"),P460+P462-SUM(O460:O462),IF(AND(C461="W",C462="W"),P461+P462-SUM(O460:O462)+_xlfn.XLOOKUP("X",C460:C462,O460:O462,0),IF(L462&gt;0,IF(OR($C460="W",$C460="1/2W",$C460="1/2L"),P460-SUM(O460:O462)+_xlfn.XLOOKUP("X",C460:C462,O460:O462,0),IF(OR($C460="W",$C460="1/2W",$C460="1/2L"),P461-SUM(O460:O462)+_xlfn.XLOOKUP("X",C460:C462,O460:O462,0),IF(OR($C460="W",$C460="1/2W",$C460="1/2L"),P462-SUM(O460:O462)+_xlfn.XLOOKUP("X",C460:C462,O460:O462,0),IF(SUM(P460:P462)/3-SUM(O460:O462)+_xlfn.XLOOKUP("X",C460:C462,O460:O462,0)&gt;0,SUM(P460:P462)/3-SUM(O460:O462)+_xlfn.XLOOKUP("X",C460:C462,O460:O462,0),LARGE(P460:P462,1)-SUM(O460:O462))))),IF(OR($C460="W",$C460="1/2W",$C460="1/2L"),P460-SUM(O460:O461)+_xlfn.XLOOKUP("X",C460:C462,O460:O462,0),IF(OR($C460="W",$C460="1/2W",$C460="1/2L"),P461-SUM(O460:O461)+_xlfn.XLOOKUP("X",C460:C462,O460:O462,0),SUM(P460:P461)/2-SUM(O460:O461)+_xlfn.XLOOKUP("X",C460:C462,O460:O462,0)))))))),2))</f>
        <v>8.3000000000000007</v>
      </c>
      <c r="T460" s="486">
        <f>IF(S460=0,0,S460/SUM(O460:O462))</f>
        <v>5.6512562129774631E-2</v>
      </c>
      <c r="U460" s="496">
        <f>IF($D460=$D457,IF(OR($B460="LOSS",$B460="OK",$B460="Anulada"),S460,0)+U457,IF(OR($B460="LOSS",$B460="OK",$B460="Anulada"),S460,0))</f>
        <v>33.5</v>
      </c>
      <c r="V460" s="496">
        <f>IF($D460="",0,IF($D460=$D457,IF($B460=" ",IF(I462="",IF(OR(AND(I460="DNB1",I461="DNB2"),AND(OR(I460="DNB1",I460="DNB2"),J461=0),AND(OR(I461="DNB1",I461="DNB2"),J460=0),AND(I460="DNB2",I461="DNB1"),AND(IF(J460=0,(J460+1)/ROUND(J460+1,0),J460/ROUND(J460,0))=1,IF(J461=0,(J461+1)/ROUND(IF(J461="",0,J461)+1,0),IF(J461="",0,J461)/ROUND(IF(J461="",1,J461),0))=1,OR(J460&lt;&gt;""),J461&lt;&gt;"")),0,IF(S460&lt;0,IF(I462="",SMALL(P460:P461,1)-SUM(O460:O461),0),SMALL(P460:P461,1)-SUM(O460:O461))),IF(S460&lt;0,IF(I462="",SMALL(P460:P462,1)-SUM(O460:O462),0),LARGE(P460:P462,1)-SUM(O460:O462))),S460)+V457,IF(I462="",IF(OR(AND(I460="DNB1",I461="DNB2"),AND(OR(I460="DNB1",I460="DNB2"),J461=0),AND(OR(I461="DNB1",I461="DNB2"),J460=0),AND(I460="DNB2",I461="DNB1"),AND(IF(J460=0,(J460+1)/ROUND(J460+1,0),J460/ROUND(J460,0))=1,IF(J461=0,(IF(J461="",0,J461)+1)/ROUND(IF(J461="",0,J461)+1,0),IF(J461="",0,J461)/ROUND(IF(J461="",0,J461)+1,0))=1,OR(J460&lt;&gt;""),J461&lt;&gt;"")),0,IF(S460&lt;0,IF(I462="",SMALL(P460:P461,1)-SUM(O460:O461),0),SMALL(P460:P462,1)-SUM(O460:O462))),IF(S460&lt;0,IF(I462="",SMALL(P460:P462,1)-SUM(O460:O462),0),LARGE(P460:P462,1)-SUM(O460:O462)))))</f>
        <v>33.486599999999996</v>
      </c>
      <c r="W460" s="496">
        <f>IF($D460=$D457,IF(S460&lt;0,IF(I462="",S460,0),S460)+W457,S460)</f>
        <v>33.5</v>
      </c>
      <c r="X460" s="505" t="str">
        <f>IF(OR(SUM(R460:R462)=0,V460=W460),ROUND(IF(W460=0,0,W460/Y460)*100,2)&amp;"%",ROUND(IF(V460=0,0,V460/Y460)*100,2)&amp;"% a "&amp;ROUND(IF(W460=0,0,W460/Y460)*100,2)&amp;"%")</f>
        <v>4,93%</v>
      </c>
      <c r="Y460" s="497">
        <f>IF($D460=$D457,Y457+SUM(O460:O462),SUM(O460:O462))</f>
        <v>678.90000000000009</v>
      </c>
      <c r="Z460" s="496">
        <f>IF($B460=" ",SUM(O460:O462),0)+Z457</f>
        <v>0</v>
      </c>
      <c r="AA460" s="496">
        <f>IF(G460="","",IF($B460="Anulado",LARGE(P460:P462,1)-SUM(O460:O462)+AA457,AA457))</f>
        <v>12.425099999999992</v>
      </c>
      <c r="AB460" s="496">
        <f>IF($D460="","",AB457+S460)</f>
        <v>561.92000000000007</v>
      </c>
      <c r="AC460" s="499">
        <f ca="1">IF($D460="","",IF($B460=" ",IF(DAY(G460)=DAY(TODAY()),1+AC457,0+AC457),0+AC457))</f>
        <v>0</v>
      </c>
      <c r="AD460" s="157">
        <f>(1-_xlfn.XLOOKUP(K458,'Fevereiro 2023 - Valor Real'!A3:A15,'Fevereiro 2023 - Valor Real'!C3:C15,0))+1</f>
        <v>2</v>
      </c>
      <c r="AE460" s="158">
        <f>IF(L460="","",IF(L462&gt;0,(SUM(((L460-1)*(1-_xlfn.XLOOKUP(K460,'Fevereiro 2023 - Valor Real'!A3:A15,'Fevereiro 2023 - Valor Real'!C3:C15,0))+1),((L461-1)*(1-_xlfn.XLOOKUP(K461,'Fevereiro 2023 - Valor Real'!A3:A15,'Fevereiro 2023 - Valor Real'!C3:C15,0))+1),((L462-1)*(1-_xlfn.XLOOKUP(K462,'Fevereiro 2023 - Valor Real'!A3:A15,'Fevereiro 2023 - Valor Real'!C3:C15,0))+1))/((L460-1)*(1-_xlfn.XLOOKUP(K460,'Fevereiro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Real'!C3:C15,0))+1))/((L460-1)*(1-_xlfn.XLOOKUP(K460,'Fevereiro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Real'!C3:C15,0))+1))/((L461-1)*(1-_xlfn.XLOOKUP(K461,'Fevereiro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Real'!C3:C15,0))+1))/((L462-1)*(1-_xlfn.XLOOKUP(K462,'Fevereiro 2023 - Valor Real'!A3:A15,'Fevereiro 2023 - Valor Real'!C3:C15,0))+1)),IF(I460="Lay",IF(I461="Lay",((L461/(L461-1)-1)*(1-_xlfn.XLOOKUP(K461,'Fevereiro 2023 - Valor Real'!A3:A15,'Fevereiro 2023 - Valor Real'!C3:C15,0))+1)/(((L461/(L461-1)-1)*(1-_xlfn.XLOOKUP(K461,'Fevereiro 2023 - Valor Real'!A3:A15,'Fevereiro 2023 - Valor Real'!C3:C15,0))+1)+((L460/(L460-1)-1)*(1-_xlfn.XLOOKUP(K460,'Fevereiro 2023 - Valor Real'!A3:A15,'Fevereiro 2023 - Valor Real'!C3:C15,0))+1)),((L461-1)*(1-_xlfn.XLOOKUP(K461,'Fevereiro 2023 - Valor Real'!A3:A15,'Fevereiro 2023 - Valor Real'!C3:C15,0))+1)/(((L461-1)*(1-_xlfn.XLOOKUP(K461,'Fevereiro 2023 - Valor Real'!A3:A15,'Fevereiro 2023 - Valor Real'!C3:C15,0))+1)+((L460/(L460-1)-1)*(1-_xlfn.XLOOKUP(K460,'Fevereiro 2023 - Valor Real'!A3:A15,'Fevereiro 2023 - Valor Real'!C3:C15,0))+1))),IF(I461="Lay",(((L461/(L461-1)-1)*(1-_xlfn.XLOOKUP(K461,'Fevereiro 2023 - Valor Real'!A3:A15,'Fevereiro 2023 - Valor Real'!C3:C15,0))+1))/(((L460-1)*(1-_xlfn.XLOOKUP(K460,'Fevereiro 2023 - Valor Real'!A3:A15,'Fevereiro 2023 - Valor Real'!C3:C15,0))+1)+((L461/(L461-1)-1)*(1-_xlfn.XLOOKUP(K461,'Fevereiro 2023 - Valor Real'!A3:A15,'Fevereiro 2023 - Valor Real'!C3:C15,0))+1)),((L461-1)*(1-_xlfn.XLOOKUP(K461,'Fevereiro 2023 - Valor Real'!A3:A15,'Fevereiro 2023 - Valor Real'!C3:C15,0))+1)/(((L461-1)*(1-_xlfn.XLOOKUP(K461,'Fevereiro 2023 - Valor Real'!A3:A15,'Fevereiro 2023 - Valor Real'!C3:C15,0))+1)+((L460-1)*(1-_xlfn.XLOOKUP(K460,'Fevereiro 2023 - Valor Real'!A3:A15,'Fevereiro 2023 - Valor Real'!C3:C15,0))+1))))))</f>
        <v>0.51536643026004725</v>
      </c>
      <c r="AF460" s="66">
        <f t="shared" si="930"/>
        <v>0</v>
      </c>
      <c r="AG460" s="67">
        <f t="shared" si="930"/>
        <v>0</v>
      </c>
      <c r="AH460" s="67">
        <f t="shared" si="930"/>
        <v>0</v>
      </c>
      <c r="AI460" s="67">
        <f t="shared" si="930"/>
        <v>0</v>
      </c>
      <c r="AJ460" s="67">
        <f t="shared" si="930"/>
        <v>0</v>
      </c>
      <c r="AK460" s="67">
        <f t="shared" si="930"/>
        <v>0</v>
      </c>
      <c r="AL460" s="67">
        <f t="shared" si="930"/>
        <v>0</v>
      </c>
      <c r="AM460" s="67">
        <f t="shared" si="930"/>
        <v>0</v>
      </c>
      <c r="AN460" s="67">
        <f t="shared" si="930"/>
        <v>0</v>
      </c>
      <c r="AO460" s="67">
        <f t="shared" si="930"/>
        <v>0</v>
      </c>
      <c r="AP460" s="67">
        <f t="shared" si="930"/>
        <v>0</v>
      </c>
      <c r="AQ460" s="67">
        <f t="shared" si="930"/>
        <v>-75.69</v>
      </c>
      <c r="AR460" s="68">
        <f t="shared" si="930"/>
        <v>0</v>
      </c>
      <c r="AS460" s="66">
        <f t="shared" ref="AS460:BE460" si="940">IF(AND($B460=" ",$K460=AS$3),$O460,0)</f>
        <v>0</v>
      </c>
      <c r="AT460" s="67">
        <f t="shared" si="940"/>
        <v>0</v>
      </c>
      <c r="AU460" s="67">
        <f t="shared" si="940"/>
        <v>0</v>
      </c>
      <c r="AV460" s="67">
        <f t="shared" si="940"/>
        <v>0</v>
      </c>
      <c r="AW460" s="67">
        <f t="shared" si="940"/>
        <v>0</v>
      </c>
      <c r="AX460" s="67">
        <f t="shared" si="940"/>
        <v>0</v>
      </c>
      <c r="AY460" s="69">
        <f t="shared" si="940"/>
        <v>0</v>
      </c>
      <c r="AZ460" s="70">
        <f t="shared" si="940"/>
        <v>0</v>
      </c>
      <c r="BA460" s="70">
        <f t="shared" si="940"/>
        <v>0</v>
      </c>
      <c r="BB460" s="70">
        <f t="shared" si="940"/>
        <v>0</v>
      </c>
      <c r="BC460" s="71">
        <f t="shared" si="940"/>
        <v>0</v>
      </c>
      <c r="BD460" s="67">
        <f t="shared" si="940"/>
        <v>0</v>
      </c>
      <c r="BE460" s="68">
        <f t="shared" si="940"/>
        <v>0</v>
      </c>
      <c r="BF460" s="66">
        <f t="shared" si="932"/>
        <v>0</v>
      </c>
      <c r="BG460" s="67">
        <f t="shared" si="932"/>
        <v>0</v>
      </c>
      <c r="BH460" s="67">
        <f t="shared" si="932"/>
        <v>0</v>
      </c>
      <c r="BI460" s="67">
        <f t="shared" si="932"/>
        <v>0</v>
      </c>
      <c r="BJ460" s="67">
        <f t="shared" si="932"/>
        <v>0</v>
      </c>
      <c r="BK460" s="67">
        <f t="shared" si="932"/>
        <v>0</v>
      </c>
      <c r="BL460" s="67">
        <f t="shared" si="932"/>
        <v>0</v>
      </c>
      <c r="BM460" s="69">
        <f t="shared" si="932"/>
        <v>0</v>
      </c>
      <c r="BN460" s="70">
        <f t="shared" si="932"/>
        <v>0</v>
      </c>
      <c r="BO460" s="70">
        <f t="shared" si="932"/>
        <v>0</v>
      </c>
      <c r="BP460" s="70">
        <f t="shared" si="932"/>
        <v>0</v>
      </c>
      <c r="BQ460" s="71">
        <f t="shared" si="932"/>
        <v>75.69</v>
      </c>
      <c r="BR460" s="68">
        <f t="shared" si="932"/>
        <v>0</v>
      </c>
      <c r="BS460" s="490">
        <f>IF($B460="LOSS",IF(AND($K460=BS$3,$C460="L"),-$O460,0)+IF(AND($K461=BS$3,$C461="L"),-$O461,0)+IF(AND($K462=BS$3,$C462="L"),-$O462,0),IF(OR(AND($K460=BS$3,OR($C460="W",$C460="1/2W")),AND($K461=BS$3,OR($C461="W",$C461="1/2W")),AND($K462=BS$3,OR($C462="W",$C462="1/2W"))),$S460,0))</f>
        <v>0</v>
      </c>
      <c r="BT460" s="498">
        <f>IF($B460="LOSS",IF(AND($K460=BT$3,$C460="L"),-$O460,0)+IF(AND($K461=BT$3,$C461="L"),-$O461,0)+IF(AND($K461=BT$3,$C462="L"),-$O462,0),IF(OR(AND($K461=BT$3,OR($C460="W",$C460="1/2W")),AND($K461=BT$3,OR($C461="W",$C461="1/2W")),AND($K461=BT$3,OR($C462="W",$C462="1/2W"))),$S460,0))</f>
        <v>0</v>
      </c>
      <c r="BU460" s="488">
        <f>IF($B460="LOSS",IF(AND($K460=BU$3,$C460="L"),-$O460,0)+IF(AND($K461=BU$3,$C461="L"),-$O461,0)+IF(AND($K461=BU$3,$C462="L"),-$O462,0),IF(OR(AND($K461=BU$3,OR($C460="W",$C460="1/2W")),AND($K461=BU$3,OR($C461="W",$C461="1/2W")),AND($K461=BU$3,OR($C462="W",$C462="1/2W"))),$S460,0))</f>
        <v>0</v>
      </c>
      <c r="BV460" s="488">
        <f t="shared" ref="BV460:CE460" si="941">IF($B460="LOSS",IF(AND($K460=BV$3,$C460="L"),-$O460,0)+IF(AND($K461=BV$3,$C461="L"),-$O461,0)+IF(AND($K462=BV$3,$C462="L"),-$O462,0),IF(OR(AND($K460=BV$3,OR($C460="W",$C460="1/2W")),AND($K461=BV$3,OR($C461="W",$C461="1/2W")),AND($K462=BV$3,OR($C462="W",$C462="1/2W"))),$S460,0))</f>
        <v>0</v>
      </c>
      <c r="BW460" s="488">
        <f t="shared" si="941"/>
        <v>0</v>
      </c>
      <c r="BX460" s="488">
        <f t="shared" si="941"/>
        <v>0</v>
      </c>
      <c r="BY460" s="488">
        <f t="shared" si="941"/>
        <v>0</v>
      </c>
      <c r="BZ460" s="488">
        <f t="shared" si="941"/>
        <v>8.3000000000000007</v>
      </c>
      <c r="CA460" s="488">
        <f t="shared" si="941"/>
        <v>0</v>
      </c>
      <c r="CB460" s="488">
        <f t="shared" si="941"/>
        <v>0</v>
      </c>
      <c r="CC460" s="488">
        <f t="shared" si="941"/>
        <v>0</v>
      </c>
      <c r="CD460" s="500">
        <f t="shared" si="941"/>
        <v>0</v>
      </c>
      <c r="CE460" s="504">
        <f t="shared" si="941"/>
        <v>0</v>
      </c>
      <c r="CF460" s="160">
        <f t="shared" si="899"/>
        <v>0</v>
      </c>
      <c r="CG460" s="161">
        <f t="shared" si="900"/>
        <v>0</v>
      </c>
      <c r="CH460" s="161">
        <f t="shared" si="901"/>
        <v>0</v>
      </c>
      <c r="CI460" s="161">
        <f t="shared" si="902"/>
        <v>0</v>
      </c>
      <c r="CJ460" s="161">
        <f t="shared" si="903"/>
        <v>0</v>
      </c>
      <c r="CK460" s="161">
        <f t="shared" si="904"/>
        <v>0</v>
      </c>
      <c r="CL460" s="161">
        <f t="shared" si="905"/>
        <v>0</v>
      </c>
      <c r="CM460" s="161">
        <f t="shared" si="906"/>
        <v>0</v>
      </c>
      <c r="CN460" s="161">
        <f t="shared" si="907"/>
        <v>0</v>
      </c>
      <c r="CO460" s="161">
        <f t="shared" si="908"/>
        <v>0</v>
      </c>
      <c r="CP460" s="161">
        <f t="shared" si="909"/>
        <v>0</v>
      </c>
      <c r="CQ460" s="161">
        <f t="shared" si="910"/>
        <v>0</v>
      </c>
      <c r="CR460" s="161">
        <f t="shared" si="911"/>
        <v>0</v>
      </c>
      <c r="CS460" s="161">
        <f t="shared" si="912"/>
        <v>0</v>
      </c>
      <c r="CT460" s="75">
        <f t="shared" si="913"/>
        <v>0</v>
      </c>
      <c r="CU460" s="76">
        <f t="shared" si="914"/>
        <v>0</v>
      </c>
      <c r="CV460" s="76">
        <f t="shared" si="915"/>
        <v>0</v>
      </c>
      <c r="CW460" s="76">
        <f t="shared" si="916"/>
        <v>0</v>
      </c>
      <c r="CX460" s="76">
        <f t="shared" si="917"/>
        <v>0</v>
      </c>
      <c r="CY460" s="76">
        <f t="shared" si="918"/>
        <v>0</v>
      </c>
      <c r="CZ460" s="76">
        <f t="shared" si="919"/>
        <v>0</v>
      </c>
      <c r="DA460" s="76">
        <f t="shared" si="920"/>
        <v>0</v>
      </c>
      <c r="DB460" s="76">
        <f t="shared" si="921"/>
        <v>0</v>
      </c>
      <c r="DC460" s="76">
        <f t="shared" si="922"/>
        <v>1</v>
      </c>
      <c r="DD460" s="76">
        <f t="shared" si="923"/>
        <v>0</v>
      </c>
      <c r="DE460" s="77">
        <f t="shared" si="924"/>
        <v>0</v>
      </c>
      <c r="DF460" s="73">
        <f t="shared" si="926"/>
        <v>30</v>
      </c>
      <c r="DG460" s="67">
        <f t="shared" si="927"/>
        <v>38.739999999999995</v>
      </c>
      <c r="DH460" s="76">
        <f t="shared" si="928"/>
        <v>11</v>
      </c>
      <c r="DI460" s="67">
        <f t="shared" si="929"/>
        <v>45.699999999999996</v>
      </c>
      <c r="DJ460" s="202" t="str">
        <f>IF($D460="","",$D460)</f>
        <v>15</v>
      </c>
      <c r="DK460" s="492">
        <f>IF(AND($B460=" ",$D460&lt;&gt;""),1,0)</f>
        <v>0</v>
      </c>
    </row>
    <row r="461" spans="1:115" ht="14.5" customHeight="1" x14ac:dyDescent="0.2">
      <c r="A461" s="389"/>
      <c r="B461" s="456"/>
      <c r="C461" s="53" t="s">
        <v>54</v>
      </c>
      <c r="D461" s="374"/>
      <c r="E461" s="386"/>
      <c r="F461" s="377"/>
      <c r="G461" s="508"/>
      <c r="H461" s="476"/>
      <c r="I461" s="182" t="s">
        <v>76</v>
      </c>
      <c r="J461" s="56">
        <f>IF(OR(I460="TO",I460="TU",I460="TO1",I460="TU1",I460="TO2",I460="TU2"),J460,IF(OR(I460="AH1",I460="AH2"),IF(OR(I461="AH1",I461="AH2"),-J460,IF(OR(I461="EH1",I461="EH2"),-J460+0.5,"")),IF(OR(I460="EH1",I460="EH2"),IF(OR(I461="AH1",I461="AH2"),-J460+0.5,IF(OR(I461="EH1",I461="EH2"),-J460+1,"")),IF(AND(OR(I460="DNB1",I460="DNB2"),OR(I461="AH1",I461="AH2")),0,IF(AND(I460="Not ScoreBoth",OR(I461="TO1",I461="TO2")),0.5,"")))))</f>
        <v>-1.5</v>
      </c>
      <c r="K461" s="57" t="s">
        <v>43</v>
      </c>
      <c r="L461" s="164">
        <v>2.1800000000000002</v>
      </c>
      <c r="M461" s="165"/>
      <c r="N461" s="406"/>
      <c r="O461" s="60">
        <f>IF(OR(AE460="",AE461=""),"",ROUND(IF(L462&gt;0,IF(M461&gt;0,M461,IF(M460&gt;0,IF(N460=TRUE,ROUND((M460*AE461)/AE460,0),(M460*AE461)/AE460),IF(M461&gt;0,ROUND(M461,IF(N460=0,2,IF(N460=0.1,1,0))),IF(M462&gt;0,ROUND(O462*AE461/AE462,IF(N460=0,2,IF(N460=0.1,1,0))),0)))),IF(M461&gt;0,M461,ROUND((M460*AE461)/AE460,IF(N460=0,2,IF(N460=0.1,1,0))))),2))</f>
        <v>71.180000000000007</v>
      </c>
      <c r="P461" s="61">
        <f>IF(OR(L461="",O461=""),"",IF($C461="1/2W",O461/2+O461/2*L461,IF($C461="1/2L",O461/2,IF(I461="Lay",((O461*(L461/(L461-1)))-O461)*(1-_xlfn.XLOOKUP(K461,'Fevereiro 2023 - Valor Real'!A3:A15,'Fevereiro 2023 - Valor Real'!C3:C15,0))+O461,(O461*L461-O461)*(1-_xlfn.XLOOKUP(K461,'Fevereiro 2023 - Valor Real'!A3:A15,'Fevereiro 2023 - Valor Real'!C3:C15,0))+O461))))</f>
        <v>155.17240000000004</v>
      </c>
      <c r="Q461" s="166">
        <f>IF(K461="","",IF(_xlfn.XLOOKUP(K461,K$10:K452,$DJ$10:DJ452,0,,-1)=DJ461,_xlfn.XLOOKUP(K461,K$10:K452,Q$10:Q452,1,,-1)+1,1))</f>
        <v>4</v>
      </c>
      <c r="R461" s="167">
        <f>IF(K461="","",_xlfn.XLOOKUP(K461,K$10:K452,R$10:R452,0,,-1)+IF($C461=" ",1,0))</f>
        <v>0</v>
      </c>
      <c r="S461" s="403"/>
      <c r="T461" s="380"/>
      <c r="U461" s="380"/>
      <c r="V461" s="481"/>
      <c r="W461" s="380"/>
      <c r="X461" s="452"/>
      <c r="Y461" s="383"/>
      <c r="Z461" s="384"/>
      <c r="AA461" s="384"/>
      <c r="AB461" s="384"/>
      <c r="AC461" s="384"/>
      <c r="AD461" s="64"/>
      <c r="AE461" s="65">
        <f>IF(L461="","",IF(L462&gt;0,(SUM(((L460-1)*(1-_xlfn.XLOOKUP(K460,'Fevereiro 2023 - Valor Real'!A3:A15,'Fevereiro 2023 - Valor Real'!C3:C15,0))+1),((L461-1)*(1-_xlfn.XLOOKUP(K461,'Fevereiro 2023 - Valor Real'!A3:A15,'Fevereiro 2023 - Valor Real'!C3:C15,0))+1),((L462-1)*(1-_xlfn.XLOOKUP(K462,'Fevereiro 2023 - Valor Real'!A3:A15,'Fevereiro 2023 - Valor Real'!C3:C15,0))+1))/((L461-1)*(1-_xlfn.XLOOKUP(K461,'Fevereiro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Real'!C3:C15,0))+1))/((L460-1)*(1-_xlfn.XLOOKUP(K460,'Fevereiro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Real'!C3:C15,0))+1))/((L461-1)*(1-_xlfn.XLOOKUP(K461,'Fevereiro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Real'!C3:C15,0))+1))/((L462-1)*(1-_xlfn.XLOOKUP(K462,'Fevereiro 2023 - Valor Real'!A3:A15,'Fevereiro 2023 - Valor Real'!C3:C15,0))+1)),IF(I461="Lay",IF(I460="Lay",((L460/(L460-1)-1)*(1-_xlfn.XLOOKUP(K460,'Fevereiro 2023 - Valor Real'!A3:A15,'Fevereiro 2023 - Valor Real'!C3:C15,0))+1)/(((L460/(L460-1)-1)*(1-_xlfn.XLOOKUP(K460,'Fevereiro 2023 - Valor Real'!A3:A15,'Fevereiro 2023 - Valor Real'!C3:C15,0))+1)+((L461/(L461-1)-1)*(1-_xlfn.XLOOKUP(K461,'Fevereiro 2023 - Valor Real'!A3:A15,'Fevereiro 2023 - Valor Real'!C3:C15,0))+1)),((L460-1)*(1-_xlfn.XLOOKUP(K460,'Fevereiro 2023 - Valor Real'!A3:A15,'Fevereiro 2023 - Valor Real'!C3:C15,0))+1)/(((L460-1)*(1-_xlfn.XLOOKUP(K460,'Fevereiro 2023 - Valor Real'!A3:A15,'Fevereiro 2023 - Valor Real'!C3:C15,0))+1)+((L461/(L461-1)-1)*(1-_xlfn.XLOOKUP(K461,'Fevereiro 2023 - Valor Real'!A3:A15,'Fevereiro 2023 - Valor Real'!C3:C15,0))+1))),IF(I460="Lay",((L460/(L460-1)-1)*(1-_xlfn.XLOOKUP(K460,'Fevereiro 2023 - Valor Real'!A3:A15,'Fevereiro 2023 - Valor Real'!C3:C15,0))+1)/((((L460/(L460-1)-1)*(1-_xlfn.XLOOKUP(K460,'Fevereiro 2023 - Valor Real'!A3:A15,'Fevereiro 2023 - Valor Real'!C3:C15,0))+1))+((L461-1)*(1-_xlfn.XLOOKUP(K461,'Fevereiro 2023 - Valor Real'!A3:A15,'Fevereiro 2023 - Valor Real'!C3:C15,0))+1)),((L460-1)*(1-_xlfn.XLOOKUP(K460,'Fevereiro 2023 - Valor Real'!A3:A15,'Fevereiro 2023 - Valor Real'!C3:C15,0))+1)/(((L460-1)*(1-_xlfn.XLOOKUP(K460,'Fevereiro 2023 - Valor Real'!A3:A15,'Fevereiro 2023 - Valor Real'!C3:C15,0))+1)+((L461-1)*(1-_xlfn.XLOOKUP(K461,'Fevereiro 2023 - Valor Real'!A3:A15,'Fevereiro 2023 - Valor Real'!C3:C15,0))+1))))))</f>
        <v>0.48463356973995264</v>
      </c>
      <c r="AF461" s="66">
        <f t="shared" si="930"/>
        <v>0</v>
      </c>
      <c r="AG461" s="67">
        <f t="shared" si="930"/>
        <v>0</v>
      </c>
      <c r="AH461" s="67">
        <f t="shared" si="930"/>
        <v>0</v>
      </c>
      <c r="AI461" s="67">
        <f t="shared" si="930"/>
        <v>0</v>
      </c>
      <c r="AJ461" s="67">
        <f t="shared" si="930"/>
        <v>0</v>
      </c>
      <c r="AK461" s="67">
        <f t="shared" si="930"/>
        <v>0</v>
      </c>
      <c r="AL461" s="67">
        <f t="shared" si="930"/>
        <v>0</v>
      </c>
      <c r="AM461" s="67">
        <f t="shared" si="930"/>
        <v>83.99</v>
      </c>
      <c r="AN461" s="67">
        <f t="shared" si="930"/>
        <v>0</v>
      </c>
      <c r="AO461" s="67">
        <f t="shared" si="930"/>
        <v>0</v>
      </c>
      <c r="AP461" s="67">
        <f t="shared" si="930"/>
        <v>0</v>
      </c>
      <c r="AQ461" s="67">
        <f t="shared" si="930"/>
        <v>0</v>
      </c>
      <c r="AR461" s="68">
        <f t="shared" si="930"/>
        <v>0</v>
      </c>
      <c r="AS461" s="66">
        <f>IF(AND($B460=" ",$K461=AS$3),$O461,0)</f>
        <v>0</v>
      </c>
      <c r="AT461" s="67">
        <f>IF(AND($B460=" ",K461=AT$3),$O461,0)</f>
        <v>0</v>
      </c>
      <c r="AU461" s="67">
        <f t="shared" ref="AU461:BE461" si="942">IF(AND($B460=" ",$K461=AU$3),$O461,0)</f>
        <v>0</v>
      </c>
      <c r="AV461" s="67">
        <f t="shared" si="942"/>
        <v>0</v>
      </c>
      <c r="AW461" s="67">
        <f t="shared" si="942"/>
        <v>0</v>
      </c>
      <c r="AX461" s="67">
        <f t="shared" si="942"/>
        <v>0</v>
      </c>
      <c r="AY461" s="69">
        <f t="shared" si="942"/>
        <v>0</v>
      </c>
      <c r="AZ461" s="70">
        <f t="shared" si="942"/>
        <v>0</v>
      </c>
      <c r="BA461" s="70">
        <f t="shared" si="942"/>
        <v>0</v>
      </c>
      <c r="BB461" s="70">
        <f t="shared" si="942"/>
        <v>0</v>
      </c>
      <c r="BC461" s="71">
        <f t="shared" si="942"/>
        <v>0</v>
      </c>
      <c r="BD461" s="67">
        <f t="shared" si="942"/>
        <v>0</v>
      </c>
      <c r="BE461" s="68">
        <f t="shared" si="942"/>
        <v>0</v>
      </c>
      <c r="BF461" s="66">
        <f t="shared" si="932"/>
        <v>0</v>
      </c>
      <c r="BG461" s="168">
        <f t="shared" si="932"/>
        <v>0</v>
      </c>
      <c r="BH461" s="67">
        <f t="shared" si="932"/>
        <v>0</v>
      </c>
      <c r="BI461" s="67">
        <f t="shared" si="932"/>
        <v>0</v>
      </c>
      <c r="BJ461" s="67">
        <f t="shared" si="932"/>
        <v>0</v>
      </c>
      <c r="BK461" s="67">
        <f t="shared" si="932"/>
        <v>0</v>
      </c>
      <c r="BL461" s="67">
        <f t="shared" si="932"/>
        <v>0</v>
      </c>
      <c r="BM461" s="69">
        <f t="shared" si="932"/>
        <v>71.180000000000007</v>
      </c>
      <c r="BN461" s="70">
        <f t="shared" si="932"/>
        <v>0</v>
      </c>
      <c r="BO461" s="70">
        <f t="shared" si="932"/>
        <v>0</v>
      </c>
      <c r="BP461" s="70">
        <f t="shared" si="932"/>
        <v>0</v>
      </c>
      <c r="BQ461" s="71">
        <f t="shared" si="932"/>
        <v>0</v>
      </c>
      <c r="BR461" s="68">
        <f t="shared" si="932"/>
        <v>0</v>
      </c>
      <c r="BS461" s="491"/>
      <c r="BT461" s="489"/>
      <c r="BU461" s="392"/>
      <c r="BV461" s="489"/>
      <c r="BW461" s="392"/>
      <c r="BX461" s="392"/>
      <c r="BY461" s="392"/>
      <c r="BZ461" s="489"/>
      <c r="CA461" s="392"/>
      <c r="CB461" s="392"/>
      <c r="CC461" s="392"/>
      <c r="CD461" s="401"/>
      <c r="CE461" s="409"/>
      <c r="CF461" s="169">
        <f t="shared" si="899"/>
        <v>0</v>
      </c>
      <c r="CG461" s="170">
        <f t="shared" si="900"/>
        <v>0</v>
      </c>
      <c r="CH461" s="170">
        <f t="shared" si="901"/>
        <v>0</v>
      </c>
      <c r="CI461" s="170">
        <f t="shared" si="902"/>
        <v>0</v>
      </c>
      <c r="CJ461" s="170">
        <f t="shared" si="903"/>
        <v>0</v>
      </c>
      <c r="CK461" s="170">
        <f t="shared" si="904"/>
        <v>0</v>
      </c>
      <c r="CL461" s="170">
        <f t="shared" si="905"/>
        <v>0</v>
      </c>
      <c r="CM461" s="170">
        <f t="shared" si="906"/>
        <v>0</v>
      </c>
      <c r="CN461" s="170">
        <f t="shared" si="907"/>
        <v>0</v>
      </c>
      <c r="CO461" s="170">
        <f t="shared" si="908"/>
        <v>0</v>
      </c>
      <c r="CP461" s="170">
        <f t="shared" si="909"/>
        <v>0</v>
      </c>
      <c r="CQ461" s="170">
        <f t="shared" si="910"/>
        <v>0</v>
      </c>
      <c r="CR461" s="170">
        <f t="shared" si="911"/>
        <v>0</v>
      </c>
      <c r="CS461" s="170">
        <f t="shared" si="912"/>
        <v>0</v>
      </c>
      <c r="CT461" s="75">
        <f t="shared" si="913"/>
        <v>1</v>
      </c>
      <c r="CU461" s="76">
        <f t="shared" si="914"/>
        <v>0</v>
      </c>
      <c r="CV461" s="76">
        <f t="shared" si="915"/>
        <v>0</v>
      </c>
      <c r="CW461" s="76">
        <f t="shared" si="916"/>
        <v>0</v>
      </c>
      <c r="CX461" s="76">
        <f t="shared" si="917"/>
        <v>0</v>
      </c>
      <c r="CY461" s="76">
        <f t="shared" si="918"/>
        <v>0</v>
      </c>
      <c r="CZ461" s="76">
        <f t="shared" si="919"/>
        <v>0</v>
      </c>
      <c r="DA461" s="76">
        <f t="shared" si="920"/>
        <v>0</v>
      </c>
      <c r="DB461" s="76">
        <f t="shared" si="921"/>
        <v>0</v>
      </c>
      <c r="DC461" s="76">
        <f t="shared" si="922"/>
        <v>0</v>
      </c>
      <c r="DD461" s="76">
        <f t="shared" si="923"/>
        <v>0</v>
      </c>
      <c r="DE461" s="77">
        <f t="shared" si="924"/>
        <v>0</v>
      </c>
      <c r="DF461" s="73">
        <f t="shared" si="926"/>
        <v>30</v>
      </c>
      <c r="DG461" s="67">
        <f t="shared" si="927"/>
        <v>38.739999999999995</v>
      </c>
      <c r="DH461" s="76">
        <f t="shared" si="928"/>
        <v>11</v>
      </c>
      <c r="DI461" s="67">
        <f t="shared" si="929"/>
        <v>45.699999999999996</v>
      </c>
      <c r="DJ461" s="202" t="str">
        <f>IF($D460="","",$D460)</f>
        <v>15</v>
      </c>
      <c r="DK461" s="493"/>
    </row>
    <row r="462" spans="1:115" ht="14.5" customHeight="1" x14ac:dyDescent="0.2">
      <c r="A462" s="390"/>
      <c r="B462" s="457"/>
      <c r="C462" s="79" t="s">
        <v>53</v>
      </c>
      <c r="D462" s="375"/>
      <c r="E462" s="387"/>
      <c r="F462" s="378"/>
      <c r="G462" s="508"/>
      <c r="H462" s="477"/>
      <c r="I462" s="171"/>
      <c r="J462" s="172"/>
      <c r="K462" s="81"/>
      <c r="L462" s="173"/>
      <c r="M462" s="174"/>
      <c r="N462" s="407"/>
      <c r="O462" s="86" t="str">
        <f>IF(OR(AE460="",AE461=""),"",IF(L462&gt;0,ROUND(IF(M462&gt;0,M462,IF(M460&gt;0,ROUND((M460*AE462)/AE460,IF(N460=0,2,IF(N460=0.1,1,0))),IF(M461&gt;0,ROUND((M461*AE462)/AE461,IF(N460=0,2,IF(N460=0.1,1,0))),IF(M462&gt;0,M462,0)))),2),""))</f>
        <v/>
      </c>
      <c r="P462" s="87" t="str">
        <f>IF(I461="Lay",O461*(L461/(L461-1))-O461,IF(I460="Lay",O460*(L460/(L460-1))-O460,IF(OR(L462="",O462=""),"",IF($C462="1/2W",O462/2+O462/2*L462,IF($C462="1/2L",O462/2,(O462*L462-O462)*(1-_xlfn.XLOOKUP(K462,'Fevereiro 2023 - Valor Real'!A3:A15,'Fevereiro 2023 - Valor Real'!C3:C15,0))+O462)))))</f>
        <v/>
      </c>
      <c r="Q462" s="54" t="str">
        <f>IF(K462="","",IF(_xlfn.XLOOKUP(K462,K$11:K452,$DJ$11:DJ452,0,,-1)=DJ462,_xlfn.XLOOKUP(K462,K$11:K452,Q$11:Q452,1,,-1)+1,1))</f>
        <v/>
      </c>
      <c r="R462" s="87" t="str">
        <f>IF(K462="","",_xlfn.XLOOKUP(K462,K$11:K452,R$11:R452,0,,-1)+IF($C462=" ",1,0))</f>
        <v/>
      </c>
      <c r="S462" s="404"/>
      <c r="T462" s="378"/>
      <c r="U462" s="378"/>
      <c r="V462" s="404"/>
      <c r="W462" s="378"/>
      <c r="X462" s="453"/>
      <c r="Y462" s="383"/>
      <c r="Z462" s="384"/>
      <c r="AA462" s="384"/>
      <c r="AB462" s="384"/>
      <c r="AC462" s="384"/>
      <c r="AD462" s="90"/>
      <c r="AE462" s="91" t="str">
        <f>IF(L462="","",(SUM(((L460-1)*(1-_xlfn.XLOOKUP(K460,'Fevereiro 2023 - Valor Real'!A3:A15,'Fevereiro 2023 - Valor Real'!C3:C15,0))+1),((L461-1)*(1-_xlfn.XLOOKUP(K461,'Fevereiro 2023 - Valor Real'!A3:A15,'Fevereiro 2023 - Valor Real'!C3:C15,0))+1),((L462-1)*(1-_xlfn.XLOOKUP(K462,'Fevereiro 2023 - Valor Real'!A3:A15,'Fevereiro 2023 - Valor Real'!C3:C15,0))+1))/((L462-1)*(1-_xlfn.XLOOKUP(K462,'Fevereiro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Real'!C3:C15,0))+1))/((L460-1)*(1-_xlfn.XLOOKUP(K460,'Fevereiro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Real'!C3:C15,0))+1))/((L461-1)*(1-_xlfn.XLOOKUP(K461,'Fevereiro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Real'!C3:C15,0))+1))/((L462-1)*(1-_xlfn.XLOOKUP(K462,'Fevereiro 2023 - Valor Real'!A3:A15,'Fevereiro 2023 - Valor Real'!C3:C15,0))+1)))</f>
        <v/>
      </c>
      <c r="AF462" s="66">
        <f t="shared" si="930"/>
        <v>0</v>
      </c>
      <c r="AG462" s="67">
        <f t="shared" si="930"/>
        <v>0</v>
      </c>
      <c r="AH462" s="67">
        <f t="shared" si="930"/>
        <v>0</v>
      </c>
      <c r="AI462" s="67">
        <f t="shared" si="930"/>
        <v>0</v>
      </c>
      <c r="AJ462" s="67">
        <f t="shared" si="930"/>
        <v>0</v>
      </c>
      <c r="AK462" s="67">
        <f t="shared" si="930"/>
        <v>0</v>
      </c>
      <c r="AL462" s="67">
        <f t="shared" si="930"/>
        <v>0</v>
      </c>
      <c r="AM462" s="67">
        <f t="shared" si="930"/>
        <v>0</v>
      </c>
      <c r="AN462" s="67">
        <f t="shared" si="930"/>
        <v>0</v>
      </c>
      <c r="AO462" s="67">
        <f t="shared" si="930"/>
        <v>0</v>
      </c>
      <c r="AP462" s="67">
        <f t="shared" si="930"/>
        <v>0</v>
      </c>
      <c r="AQ462" s="67">
        <f t="shared" si="930"/>
        <v>0</v>
      </c>
      <c r="AR462" s="68">
        <f t="shared" si="930"/>
        <v>0</v>
      </c>
      <c r="AS462" s="66">
        <f>IF(AND($B460=" ",$K462=AS$3),$O462,0)</f>
        <v>0</v>
      </c>
      <c r="AT462" s="67">
        <f>IF(AND($B460=" ",K462=AT$3),$O462,0)</f>
        <v>0</v>
      </c>
      <c r="AU462" s="67">
        <f t="shared" ref="AU462:BE462" si="943">IF(AND($B460=" ",$K462=AU$3),$O462,0)</f>
        <v>0</v>
      </c>
      <c r="AV462" s="67">
        <f t="shared" si="943"/>
        <v>0</v>
      </c>
      <c r="AW462" s="67">
        <f t="shared" si="943"/>
        <v>0</v>
      </c>
      <c r="AX462" s="67">
        <f t="shared" si="943"/>
        <v>0</v>
      </c>
      <c r="AY462" s="69">
        <f t="shared" si="943"/>
        <v>0</v>
      </c>
      <c r="AZ462" s="70">
        <f t="shared" si="943"/>
        <v>0</v>
      </c>
      <c r="BA462" s="70">
        <f t="shared" si="943"/>
        <v>0</v>
      </c>
      <c r="BB462" s="70">
        <f t="shared" si="943"/>
        <v>0</v>
      </c>
      <c r="BC462" s="71">
        <f t="shared" si="943"/>
        <v>0</v>
      </c>
      <c r="BD462" s="67">
        <f t="shared" si="943"/>
        <v>0</v>
      </c>
      <c r="BE462" s="68">
        <f t="shared" si="943"/>
        <v>0</v>
      </c>
      <c r="BF462" s="66">
        <f t="shared" si="932"/>
        <v>0</v>
      </c>
      <c r="BG462" s="168">
        <f t="shared" si="932"/>
        <v>0</v>
      </c>
      <c r="BH462" s="67">
        <f t="shared" si="932"/>
        <v>0</v>
      </c>
      <c r="BI462" s="67">
        <f t="shared" si="932"/>
        <v>0</v>
      </c>
      <c r="BJ462" s="67">
        <f t="shared" si="932"/>
        <v>0</v>
      </c>
      <c r="BK462" s="67">
        <f t="shared" si="932"/>
        <v>0</v>
      </c>
      <c r="BL462" s="67">
        <f t="shared" si="932"/>
        <v>0</v>
      </c>
      <c r="BM462" s="69">
        <f t="shared" si="932"/>
        <v>0</v>
      </c>
      <c r="BN462" s="70">
        <f t="shared" si="932"/>
        <v>0</v>
      </c>
      <c r="BO462" s="70">
        <f t="shared" si="932"/>
        <v>0</v>
      </c>
      <c r="BP462" s="70">
        <f t="shared" si="932"/>
        <v>0</v>
      </c>
      <c r="BQ462" s="71">
        <f t="shared" si="932"/>
        <v>0</v>
      </c>
      <c r="BR462" s="68">
        <f t="shared" si="932"/>
        <v>0</v>
      </c>
      <c r="BS462" s="491"/>
      <c r="BT462" s="489"/>
      <c r="BU462" s="392"/>
      <c r="BV462" s="489"/>
      <c r="BW462" s="392"/>
      <c r="BX462" s="392"/>
      <c r="BY462" s="392"/>
      <c r="BZ462" s="489"/>
      <c r="CA462" s="392"/>
      <c r="CB462" s="392"/>
      <c r="CC462" s="392"/>
      <c r="CD462" s="401"/>
      <c r="CE462" s="409"/>
      <c r="CF462" s="169">
        <f t="shared" si="899"/>
        <v>0</v>
      </c>
      <c r="CG462" s="170">
        <f t="shared" si="900"/>
        <v>0</v>
      </c>
      <c r="CH462" s="170">
        <f t="shared" si="901"/>
        <v>0</v>
      </c>
      <c r="CI462" s="170">
        <f t="shared" si="902"/>
        <v>0</v>
      </c>
      <c r="CJ462" s="170">
        <f t="shared" si="903"/>
        <v>0</v>
      </c>
      <c r="CK462" s="170">
        <f t="shared" si="904"/>
        <v>0</v>
      </c>
      <c r="CL462" s="170">
        <f t="shared" si="905"/>
        <v>0</v>
      </c>
      <c r="CM462" s="170">
        <f t="shared" si="906"/>
        <v>0</v>
      </c>
      <c r="CN462" s="170">
        <f t="shared" si="907"/>
        <v>0</v>
      </c>
      <c r="CO462" s="170">
        <f t="shared" si="908"/>
        <v>0</v>
      </c>
      <c r="CP462" s="170">
        <f t="shared" si="909"/>
        <v>0</v>
      </c>
      <c r="CQ462" s="170">
        <f t="shared" si="910"/>
        <v>0</v>
      </c>
      <c r="CR462" s="170">
        <f t="shared" si="911"/>
        <v>0</v>
      </c>
      <c r="CS462" s="170">
        <f t="shared" si="912"/>
        <v>0</v>
      </c>
      <c r="CT462" s="75">
        <f t="shared" si="913"/>
        <v>0</v>
      </c>
      <c r="CU462" s="76">
        <f t="shared" si="914"/>
        <v>0</v>
      </c>
      <c r="CV462" s="76">
        <f t="shared" si="915"/>
        <v>0</v>
      </c>
      <c r="CW462" s="76">
        <f t="shared" si="916"/>
        <v>0</v>
      </c>
      <c r="CX462" s="76">
        <f t="shared" si="917"/>
        <v>0</v>
      </c>
      <c r="CY462" s="76">
        <f t="shared" si="918"/>
        <v>0</v>
      </c>
      <c r="CZ462" s="76">
        <f t="shared" si="919"/>
        <v>0</v>
      </c>
      <c r="DA462" s="76">
        <f t="shared" si="920"/>
        <v>0</v>
      </c>
      <c r="DB462" s="76">
        <f t="shared" si="921"/>
        <v>0</v>
      </c>
      <c r="DC462" s="76">
        <f t="shared" si="922"/>
        <v>0</v>
      </c>
      <c r="DD462" s="76">
        <f t="shared" si="923"/>
        <v>0</v>
      </c>
      <c r="DE462" s="77">
        <f t="shared" si="924"/>
        <v>0</v>
      </c>
      <c r="DF462" s="73">
        <f t="shared" si="926"/>
        <v>30</v>
      </c>
      <c r="DG462" s="67">
        <f t="shared" si="927"/>
        <v>38.739999999999995</v>
      </c>
      <c r="DH462" s="76">
        <f t="shared" si="928"/>
        <v>11</v>
      </c>
      <c r="DI462" s="67">
        <f t="shared" si="929"/>
        <v>45.699999999999996</v>
      </c>
      <c r="DJ462" s="202" t="str">
        <f>IF($D460="","",$D460)</f>
        <v>15</v>
      </c>
      <c r="DK462" s="493"/>
    </row>
    <row r="463" spans="1:115" ht="14.5" customHeight="1" x14ac:dyDescent="0.2">
      <c r="A463" s="459">
        <f>$A460+1</f>
        <v>154</v>
      </c>
      <c r="B463" s="507" t="str">
        <f>IF(OR(C463="W",C464="W",C465="W",C463="1/2W",C464="1/2W",C465="1/2W",C463="1/2L",C464="1/2L",C465="1/2L"),"OK",IF(OR(C463="L",C464="L",C465="L"),"LOSS",IF(OR(C463="X",C464="X",C465="X"),"Anulado"," ")))</f>
        <v>OK</v>
      </c>
      <c r="C463" s="93" t="s">
        <v>55</v>
      </c>
      <c r="D463" s="468" t="str">
        <f>IF(G463="","",$D460)</f>
        <v>15</v>
      </c>
      <c r="E463" s="485" t="str">
        <f>IF(G463=""," ","– "&amp;COUNTIF(D$4:D465,$D463))</f>
        <v>– 12</v>
      </c>
      <c r="F463" s="509" t="str">
        <f ca="1">IF(G463="","",IF(OR(AND($C463&lt;&gt;" ",$C464=" "),AND($C464&lt;&gt;" ",$C463=" "),AND(L465&gt;0,OR(AND($C465&lt;&gt;" ",OR($C463=" ",$C464=" ")),AND($C465=" ",OR($C463&lt;&gt;" ",$C464&lt;&gt;" "))))),IF(SUM(F$4:F462)=0,1,LARGE(F$4:F462,1)+1),IF(MONTH(G463)=MONTH(TODAY()),IF(AND(DAY(G463)&lt;DAY(TODAY()),$B463=" "),IF(SUM(F$4:F462)=0,1,LARGE(F$4:F462,1)+1),IF($B463=" ",IF(AND(DAY(G463)=DAY(TODAY()),HOUR(G463)&lt;=HOUR(NOW())+1),IF(AND(HOUR(G463)+2&lt;=HOUR(NOW()),DAY(G463)&lt;=DAY(TODAY()),MINUTE(G463)&lt;=MINUTE(NOW())),IF(SUM(F$4:F462)=0,1,LARGE(F$4:F462,1)+1),IF(OR(MINUTE(G463)&lt;=MINUTE(NOW()),HOUR(G463)&lt;=HOUR(NOW())),"!!!","")),""),"")),"")))</f>
        <v/>
      </c>
      <c r="G463" s="482">
        <f>IF(H463="","",_xlfn.XLOOKUP(H463,$H$4:H462,$G$4:G462,""))</f>
        <v>45001.333333333336</v>
      </c>
      <c r="H463" s="475" t="s">
        <v>191</v>
      </c>
      <c r="I463" s="175">
        <v>1</v>
      </c>
      <c r="J463" s="176"/>
      <c r="K463" s="96" t="s">
        <v>47</v>
      </c>
      <c r="L463" s="97">
        <v>13</v>
      </c>
      <c r="M463" s="98">
        <v>6.54</v>
      </c>
      <c r="N463" s="478">
        <v>0.1</v>
      </c>
      <c r="O463" s="99">
        <f>IF(OR(AE463="",AE464=""),"",ROUND(IF(L465&gt;0,IF(M463&gt;0,M463,IF(M464&gt;0,ROUND((M464*AE463)/AE464,IF(N463=0,2,IF(N463=0.1,1,0))),ROUND((M465*AE463)/AE465,IF(N463=0,2,IF(N463=0.1,1,0))))),IF(M463&gt;0,M463,ROUND((M464*AE463)/AE464,IF(N463=0,2,IF(N463=0.1,1,0))))),2))</f>
        <v>6.54</v>
      </c>
      <c r="P463" s="100">
        <f>IF(OR(L463="",O463=""),"",IF($C463="1/2W",O463/2+O463/2*L463,IF($C463="1/2L",O463/2,IF(I463="Lay",(O463*(L463/(L463-1))-O463)*(1-_xlfn.XLOOKUP(K463,'Fevereiro 2023 - Valor Real'!A3:A15,'Fevereiro 2023 - Valor Real'!C3:C15,0))+O463,(O463*L463-O463)*(1-_xlfn.XLOOKUP(K463,'Fevereiro 2023 - Valor Real'!A3:A15,'Fevereiro 2023 - Valor Real'!C3:C15,0))+O463))))</f>
        <v>85.02</v>
      </c>
      <c r="Q463" s="101">
        <f>IF(K463="","",IF(_xlfn.XLOOKUP(K463,K$4:K462,$DJ$4:DJ462,0,,-1)=DJ463,_xlfn.XLOOKUP(K463,K$4:K462,Q$4:Q462,1,,-1)+1,1))</f>
        <v>5</v>
      </c>
      <c r="R463" s="102">
        <f>IF(K463="","",_xlfn.XLOOKUP(K463,K$4:K462,R$4:R462,0,,-1)+IF($C463=" ",1,0))</f>
        <v>0</v>
      </c>
      <c r="S463" s="474">
        <f>IF($B463="Anulado",0,ROUND(IF(OR($B463="LOSS",$B463="OK"),IF(OR($C463="W",$C463="1/2W",$C463="1/2L"),P463-O463,IF($C463="L",-O463,0))+IF(OR($C464="W",$C464="1/2W",$C464="1/2L"),P464-O464,IF($C464="L",-O464,0))+IF(OR($C465="W",$C465="1/2W",$C465="1/2L"),P465-O465,IF($C465="L",-O465,0)),IF(AND(OR($C463="W",$C463="1/2W",$C463="1/2L"),C464="W"),P463+P464-SUM(O463:O465)+_xlfn.XLOOKUP("X",C463:C465,O463:O465,0),IF(AND(C463=TRUE,C465="W"),P463+P465-SUM(O463:O465),IF(AND(C464="W",C465="W"),P464+P465-SUM(O463:O465)+_xlfn.XLOOKUP("X",C463:C465,O463:O465,0),IF(L465&gt;0,IF(OR($C463="W",$C463="1/2W",$C463="1/2L"),P463-SUM(O463:O465)+_xlfn.XLOOKUP("X",C463:C465,O463:O465,0),IF(OR($C463="W",$C463="1/2W",$C463="1/2L"),P464-SUM(O463:O465)+_xlfn.XLOOKUP("X",C463:C465,O463:O465,0),IF(OR($C463="W",$C463="1/2W",$C463="1/2L"),P465-SUM(O463:O465)+_xlfn.XLOOKUP("X",C463:C465,O463:O465,0),IF(SUM(P463:P465)/3-SUM(O463:O465)+_xlfn.XLOOKUP("X",C463:C465,O463:O465,0)&gt;0,SUM(P463:P465)/3-SUM(O463:O465)+_xlfn.XLOOKUP("X",C463:C465,O463:O465,0),LARGE(P463:P465,1)-SUM(O463:O465))))),IF(OR($C463="W",$C463="1/2W",$C463="1/2L"),P463-SUM(O463:O464)+_xlfn.XLOOKUP("X",C463:C465,O463:O465,0),IF(OR($C463="W",$C463="1/2W",$C463="1/2L"),P464-SUM(O463:O464)+_xlfn.XLOOKUP("X",C463:C465,O463:O465,0),SUM(P463:P464)/2-SUM(O463:O464)+_xlfn.XLOOKUP("X",C463:C465,O463:O465,0)))))))),2))</f>
        <v>2.96</v>
      </c>
      <c r="T463" s="458">
        <f>IF(S463=0,0,S463/SUM(O463:O465))</f>
        <v>3.5904900533721494E-2</v>
      </c>
      <c r="U463" s="470">
        <f>IF($D463=$D460,IF(OR($B463="LOSS",$B463="OK",$B463="Anulada"),S463,0)+U460,IF(OR($B463="LOSS",$B463="OK",$B463="Anulada"),S463,0))</f>
        <v>36.46</v>
      </c>
      <c r="V463" s="470">
        <f>IF($D463="",0,IF($D463=$D460,IF($B463=" ",IF(I465="",IF(OR(AND(I463="DNB1",I464="DNB2"),AND(OR(I463="DNB1",I463="DNB2"),J464=0),AND(OR(I464="DNB1",I464="DNB2"),J463=0),AND(I463="DNB2",I464="DNB1"),AND(IF(J463=0,(J463+1)/ROUND(J463+1,0),J463/ROUND(J463,0))=1,IF(J464=0,(J464+1)/ROUND(IF(J464="",0,J464)+1,0),IF(J464="",0,J464)/ROUND(IF(J464="",1,J464),0))=1,OR(J463&lt;&gt;""),J464&lt;&gt;"")),0,IF(S463&lt;0,IF(I465="",SMALL(P463:P464,1)-SUM(O463:O464),0),SMALL(P463:P464,1)-SUM(O463:O464))),IF(S463&lt;0,IF(I465="",SMALL(P463:P465,1)-SUM(O463:O465),0),LARGE(P463:P465,1)-SUM(O463:O465))),S463)+V460,IF(I465="",IF(OR(AND(I463="DNB1",I464="DNB2"),AND(OR(I463="DNB1",I463="DNB2"),J464=0),AND(OR(I464="DNB1",I464="DNB2"),J463=0),AND(I463="DNB2",I464="DNB1"),AND(IF(J463=0,(J463+1)/ROUND(J463+1,0),J463/ROUND(J463,0))=1,IF(J464=0,(IF(J464="",0,J464)+1)/ROUND(IF(J464="",0,J464)+1,0),IF(J464="",0,J464)/ROUND(IF(J464="",0,J464)+1,0))=1,OR(J463&lt;&gt;""),J464&lt;&gt;"")),0,IF(S463&lt;0,IF(I465="",SMALL(P463:P464,1)-SUM(O463:O464),0),SMALL(P463:P465,1)-SUM(O463:O465))),IF(S463&lt;0,IF(I465="",SMALL(P463:P465,1)-SUM(O463:O465),0),LARGE(P463:P465,1)-SUM(O463:O465)))))</f>
        <v>36.446599999999997</v>
      </c>
      <c r="W463" s="470">
        <f>IF($D463=$D460,IF(S463&lt;0,IF(I465="",S463,0),S463)+W460,S463)</f>
        <v>36.46</v>
      </c>
      <c r="X463" s="480" t="str">
        <f>IF(OR(SUM(R463:R465)=0,V463=W463),ROUND(IF(W463=0,0,W463/Y463)*100,2)&amp;"%",ROUND(IF(V463=0,0,V463/Y463)*100,2)&amp;"% a "&amp;ROUND(IF(W463=0,0,W463/Y463)*100,2)&amp;"%")</f>
        <v>4,79%</v>
      </c>
      <c r="Y463" s="471">
        <f>IF($D463=$D460,Y460+SUM(O463:O465),SUM(O463:O465))</f>
        <v>761.34000000000015</v>
      </c>
      <c r="Z463" s="470">
        <f>IF($B463=" ",SUM(O463:O465),0)+Z460</f>
        <v>0</v>
      </c>
      <c r="AA463" s="470">
        <f>IF(G463="","",IF($B463="Anulado",LARGE(P463:P465,1)-SUM(O463:O465)+AA460,AA460))</f>
        <v>12.425099999999992</v>
      </c>
      <c r="AB463" s="470">
        <f>IF($D463="","",AB460+S463)</f>
        <v>564.88000000000011</v>
      </c>
      <c r="AC463" s="472">
        <f ca="1">IF($D463="","",IF($B463=" ",IF(DAY(G463)=DAY(TODAY()),1+AC460,0+AC460),0+AC460))</f>
        <v>0</v>
      </c>
      <c r="AD463" s="103">
        <f>(((L464/(L464-1)-1)*(1-_xlfn.XLOOKUP(K464,'Fevereiro 2023 - Valor Real'!A3:A15,'Fevereiro 2023 - Valor Real'!C3:C15,0))+1))/(((L463-1)*(1-_xlfn.XLOOKUP(K463,'Fevereiro 2023 - Valor Real'!A3:A15,'Fevereiro 2023 - Valor Real'!C3:C15,0))+1)+((L464/(L464-1)-1)*(1-_xlfn.XLOOKUP(K464,'Fevereiro 2023 - Valor Real'!A3:A15,'Fevereiro 2023 - Valor Real'!C3:C15,0))+1))</f>
        <v>8.5329341317365276E-2</v>
      </c>
      <c r="AE463" s="104">
        <f>IF(L463="","",IF(L465&gt;0,(SUM(((L463-1)*(1-_xlfn.XLOOKUP(K463,'Fevereiro 2023 - Valor Real'!A3:A15,'Fevereiro 2023 - Valor Real'!C3:C15,0))+1),((L464-1)*(1-_xlfn.XLOOKUP(K464,'Fevereiro 2023 - Valor Real'!A3:A15,'Fevereiro 2023 - Valor Real'!C3:C15,0))+1),((L465-1)*(1-_xlfn.XLOOKUP(K465,'Fevereiro 2023 - Valor Real'!A3:A15,'Fevereiro 2023 - Valor Real'!C3:C15,0))+1))/((L463-1)*(1-_xlfn.XLOOKUP(K463,'Fevereiro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Real'!C3:C15,0))+1))/((L463-1)*(1-_xlfn.XLOOKUP(K463,'Fevereiro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Real'!C3:C15,0))+1))/((L464-1)*(1-_xlfn.XLOOKUP(K464,'Fevereiro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Real'!C3:C15,0))+1))/((L465-1)*(1-_xlfn.XLOOKUP(K465,'Fevereiro 2023 - Valor Real'!A3:A15,'Fevereiro 2023 - Valor Real'!C3:C15,0))+1)),IF(I463="Lay",IF(I464="Lay",((L464/(L464-1)-1)*(1-_xlfn.XLOOKUP(K464,'Fevereiro 2023 - Valor Real'!A3:A15,'Fevereiro 2023 - Valor Real'!C3:C15,0))+1)/(((L464/(L464-1)-1)*(1-_xlfn.XLOOKUP(K464,'Fevereiro 2023 - Valor Real'!A3:A15,'Fevereiro 2023 - Valor Real'!C3:C15,0))+1)+((L463/(L463-1)-1)*(1-_xlfn.XLOOKUP(K463,'Fevereiro 2023 - Valor Real'!A3:A15,'Fevereiro 2023 - Valor Real'!C3:C15,0))+1)),((L464-1)*(1-_xlfn.XLOOKUP(K464,'Fevereiro 2023 - Valor Real'!A3:A15,'Fevereiro 2023 - Valor Real'!C3:C15,0))+1)/(((L464-1)*(1-_xlfn.XLOOKUP(K464,'Fevereiro 2023 - Valor Real'!A3:A15,'Fevereiro 2023 - Valor Real'!C3:C15,0))+1)+((L463/(L463-1)-1)*(1-_xlfn.XLOOKUP(K463,'Fevereiro 2023 - Valor Real'!A3:A15,'Fevereiro 2023 - Valor Real'!C3:C15,0))+1))),IF(I464="Lay",(((L464/(L464-1)-1)*(1-_xlfn.XLOOKUP(K464,'Fevereiro 2023 - Valor Real'!A3:A15,'Fevereiro 2023 - Valor Real'!C3:C15,0))+1))/(((L463-1)*(1-_xlfn.XLOOKUP(K463,'Fevereiro 2023 - Valor Real'!A3:A15,'Fevereiro 2023 - Valor Real'!C3:C15,0))+1)+((L464/(L464-1)-1)*(1-_xlfn.XLOOKUP(K464,'Fevereiro 2023 - Valor Real'!A3:A15,'Fevereiro 2023 - Valor Real'!C3:C15,0))+1)),((L464-1)*(1-_xlfn.XLOOKUP(K464,'Fevereiro 2023 - Valor Real'!A3:A15,'Fevereiro 2023 - Valor Real'!C3:C15,0))+1)/(((L464-1)*(1-_xlfn.XLOOKUP(K464,'Fevereiro 2023 - Valor Real'!A3:A15,'Fevereiro 2023 - Valor Real'!C3:C15,0))+1)+((L463-1)*(1-_xlfn.XLOOKUP(K463,'Fevereiro 2023 - Valor Real'!A3:A15,'Fevereiro 2023 - Valor Real'!C3:C15,0))+1))))))</f>
        <v>7.9577183885121666E-2</v>
      </c>
      <c r="AF463" s="105">
        <f t="shared" si="930"/>
        <v>0</v>
      </c>
      <c r="AG463" s="106">
        <f t="shared" si="930"/>
        <v>0</v>
      </c>
      <c r="AH463" s="106">
        <f t="shared" si="930"/>
        <v>0</v>
      </c>
      <c r="AI463" s="106">
        <f t="shared" si="930"/>
        <v>0</v>
      </c>
      <c r="AJ463" s="106">
        <f t="shared" si="930"/>
        <v>0</v>
      </c>
      <c r="AK463" s="106">
        <f t="shared" si="930"/>
        <v>0</v>
      </c>
      <c r="AL463" s="106">
        <f t="shared" si="930"/>
        <v>0</v>
      </c>
      <c r="AM463" s="106">
        <f t="shared" si="930"/>
        <v>0</v>
      </c>
      <c r="AN463" s="106">
        <f t="shared" si="930"/>
        <v>0</v>
      </c>
      <c r="AO463" s="106">
        <f t="shared" si="930"/>
        <v>0</v>
      </c>
      <c r="AP463" s="106">
        <f t="shared" si="930"/>
        <v>0</v>
      </c>
      <c r="AQ463" s="106">
        <f t="shared" si="930"/>
        <v>-6.54</v>
      </c>
      <c r="AR463" s="107">
        <f t="shared" si="930"/>
        <v>0</v>
      </c>
      <c r="AS463" s="105">
        <f t="shared" ref="AS463:BE463" si="944">IF(AND($B463=" ",$K463=AS$3),$O463,0)</f>
        <v>0</v>
      </c>
      <c r="AT463" s="106">
        <f t="shared" si="944"/>
        <v>0</v>
      </c>
      <c r="AU463" s="106">
        <f t="shared" si="944"/>
        <v>0</v>
      </c>
      <c r="AV463" s="106">
        <f t="shared" si="944"/>
        <v>0</v>
      </c>
      <c r="AW463" s="106">
        <f t="shared" si="944"/>
        <v>0</v>
      </c>
      <c r="AX463" s="106">
        <f t="shared" si="944"/>
        <v>0</v>
      </c>
      <c r="AY463" s="108">
        <f t="shared" si="944"/>
        <v>0</v>
      </c>
      <c r="AZ463" s="109">
        <f t="shared" si="944"/>
        <v>0</v>
      </c>
      <c r="BA463" s="109">
        <f t="shared" si="944"/>
        <v>0</v>
      </c>
      <c r="BB463" s="109">
        <f t="shared" si="944"/>
        <v>0</v>
      </c>
      <c r="BC463" s="110">
        <f t="shared" si="944"/>
        <v>0</v>
      </c>
      <c r="BD463" s="106">
        <f t="shared" si="944"/>
        <v>0</v>
      </c>
      <c r="BE463" s="107">
        <f t="shared" si="944"/>
        <v>0</v>
      </c>
      <c r="BF463" s="111">
        <f t="shared" si="932"/>
        <v>0</v>
      </c>
      <c r="BG463" s="106">
        <f t="shared" si="932"/>
        <v>0</v>
      </c>
      <c r="BH463" s="106">
        <f t="shared" si="932"/>
        <v>0</v>
      </c>
      <c r="BI463" s="106">
        <f t="shared" si="932"/>
        <v>0</v>
      </c>
      <c r="BJ463" s="106">
        <f t="shared" si="932"/>
        <v>0</v>
      </c>
      <c r="BK463" s="106">
        <f t="shared" si="932"/>
        <v>0</v>
      </c>
      <c r="BL463" s="106">
        <f t="shared" si="932"/>
        <v>0</v>
      </c>
      <c r="BM463" s="108">
        <f t="shared" si="932"/>
        <v>0</v>
      </c>
      <c r="BN463" s="109">
        <f t="shared" si="932"/>
        <v>0</v>
      </c>
      <c r="BO463" s="109">
        <f t="shared" si="932"/>
        <v>0</v>
      </c>
      <c r="BP463" s="109">
        <f t="shared" si="932"/>
        <v>0</v>
      </c>
      <c r="BQ463" s="110">
        <f t="shared" si="932"/>
        <v>6.54</v>
      </c>
      <c r="BR463" s="107">
        <f t="shared" si="932"/>
        <v>0</v>
      </c>
      <c r="BS463" s="463">
        <f>IF($B463="LOSS",IF(AND($K463=BS$3,$C463="L"),-$O463,0)+IF(AND($K464=BS$3,$C464="L"),-$O464,0)+IF(AND($K465=BS$3,$C465="L"),-$O465,0),IF(OR(AND($K463=BS$3,OR($C463="W",$C463="1/2W")),AND($K464=BS$3,OR($C464="W",$C464="1/2W")),AND($K465=BS$3,OR($C465="W",$C465="1/2W"))),$S463,0))</f>
        <v>0</v>
      </c>
      <c r="BT463" s="462">
        <f>IF($B463="LOSS",IF(AND($K463=BT$3,$C463="L"),-$O463,0)+IF(AND($K464=BT$3,$C464="L"),-$O464,0)+IF(AND($K464=BT$3,$C465="L"),-$O465,0),IF(OR(AND($K464=BT$3,OR($C463="W",$C463="1/2W")),AND($K464=BT$3,OR($C464="W",$C464="1/2W")),AND($K464=BT$3,OR($C465="W",$C465="1/2W"))),$S463,0))</f>
        <v>0</v>
      </c>
      <c r="BU463" s="462">
        <f>IF($B463="LOSS",IF(AND($K463=BU$3,$C463="L"),-$O463,0)+IF(AND($K464=BU$3,$C464="L"),-$O464,0)+IF(AND($K464=BU$3,$C465="L"),-$O465,0),IF(OR(AND($K464=BU$3,OR($C463="W",$C463="1/2W")),AND($K464=BU$3,OR($C464="W",$C464="1/2W")),AND($K464=BU$3,OR($C465="W",$C465="1/2W"))),$S463,0))</f>
        <v>0</v>
      </c>
      <c r="BV463" s="462">
        <f t="shared" ref="BV463:CE463" si="945">IF($B463="LOSS",IF(AND($K463=BV$3,$C463="L"),-$O463,0)+IF(AND($K464=BV$3,$C464="L"),-$O464,0)+IF(AND($K465=BV$3,$C465="L"),-$O465,0),IF(OR(AND($K463=BV$3,OR($C463="W",$C463="1/2W")),AND($K464=BV$3,OR($C464="W",$C464="1/2W")),AND($K465=BV$3,OR($C465="W",$C465="1/2W"))),$S463,0))</f>
        <v>0</v>
      </c>
      <c r="BW463" s="462">
        <f t="shared" si="945"/>
        <v>0</v>
      </c>
      <c r="BX463" s="462">
        <f t="shared" si="945"/>
        <v>0</v>
      </c>
      <c r="BY463" s="462">
        <f t="shared" si="945"/>
        <v>0</v>
      </c>
      <c r="BZ463" s="460">
        <f t="shared" si="945"/>
        <v>2.96</v>
      </c>
      <c r="CA463" s="460">
        <f t="shared" si="945"/>
        <v>0</v>
      </c>
      <c r="CB463" s="460">
        <f t="shared" si="945"/>
        <v>0</v>
      </c>
      <c r="CC463" s="460">
        <f t="shared" si="945"/>
        <v>0</v>
      </c>
      <c r="CD463" s="473">
        <f t="shared" si="945"/>
        <v>0</v>
      </c>
      <c r="CE463" s="479">
        <f t="shared" si="945"/>
        <v>0</v>
      </c>
      <c r="CF463" s="113">
        <f t="shared" si="899"/>
        <v>0</v>
      </c>
      <c r="CG463" s="114">
        <f t="shared" si="900"/>
        <v>0</v>
      </c>
      <c r="CH463" s="114">
        <f t="shared" si="901"/>
        <v>0</v>
      </c>
      <c r="CI463" s="114">
        <f t="shared" si="902"/>
        <v>0</v>
      </c>
      <c r="CJ463" s="114">
        <f t="shared" si="903"/>
        <v>0</v>
      </c>
      <c r="CK463" s="114">
        <f t="shared" si="904"/>
        <v>0</v>
      </c>
      <c r="CL463" s="114">
        <f t="shared" si="905"/>
        <v>0</v>
      </c>
      <c r="CM463" s="114">
        <f t="shared" si="906"/>
        <v>0</v>
      </c>
      <c r="CN463" s="114">
        <f t="shared" si="907"/>
        <v>0</v>
      </c>
      <c r="CO463" s="114">
        <f t="shared" si="908"/>
        <v>0</v>
      </c>
      <c r="CP463" s="114">
        <f t="shared" si="909"/>
        <v>0</v>
      </c>
      <c r="CQ463" s="114">
        <f t="shared" si="910"/>
        <v>0</v>
      </c>
      <c r="CR463" s="114">
        <f t="shared" si="911"/>
        <v>0</v>
      </c>
      <c r="CS463" s="114">
        <f t="shared" si="912"/>
        <v>0</v>
      </c>
      <c r="CT463" s="115">
        <f t="shared" si="913"/>
        <v>0</v>
      </c>
      <c r="CU463" s="116">
        <f t="shared" si="914"/>
        <v>0</v>
      </c>
      <c r="CV463" s="116">
        <f t="shared" si="915"/>
        <v>0</v>
      </c>
      <c r="CW463" s="116">
        <f t="shared" si="916"/>
        <v>0</v>
      </c>
      <c r="CX463" s="116">
        <f t="shared" si="917"/>
        <v>0</v>
      </c>
      <c r="CY463" s="116">
        <f t="shared" si="918"/>
        <v>0</v>
      </c>
      <c r="CZ463" s="116">
        <f t="shared" si="919"/>
        <v>0</v>
      </c>
      <c r="DA463" s="116">
        <f t="shared" si="920"/>
        <v>0</v>
      </c>
      <c r="DB463" s="116">
        <f t="shared" si="921"/>
        <v>0</v>
      </c>
      <c r="DC463" s="116">
        <f t="shared" si="922"/>
        <v>1</v>
      </c>
      <c r="DD463" s="116">
        <f t="shared" si="923"/>
        <v>0</v>
      </c>
      <c r="DE463" s="117">
        <f t="shared" si="924"/>
        <v>0</v>
      </c>
      <c r="DF463" s="118">
        <f t="shared" si="926"/>
        <v>30</v>
      </c>
      <c r="DG463" s="106">
        <f t="shared" si="927"/>
        <v>38.739999999999995</v>
      </c>
      <c r="DH463" s="116">
        <f t="shared" si="928"/>
        <v>11</v>
      </c>
      <c r="DI463" s="106">
        <f t="shared" si="929"/>
        <v>45.699999999999996</v>
      </c>
      <c r="DJ463" s="201" t="str">
        <f>IF($D463="","",$D463)</f>
        <v>15</v>
      </c>
      <c r="DK463" s="465">
        <f>IF(AND($B463=" ",$D463&lt;&gt;""),1,0)</f>
        <v>0</v>
      </c>
    </row>
    <row r="464" spans="1:115" ht="14.5" customHeight="1" x14ac:dyDescent="0.2">
      <c r="A464" s="389"/>
      <c r="B464" s="456"/>
      <c r="C464" s="120" t="s">
        <v>55</v>
      </c>
      <c r="D464" s="374"/>
      <c r="E464" s="386"/>
      <c r="F464" s="377"/>
      <c r="G464" s="483"/>
      <c r="H464" s="476"/>
      <c r="I464" s="121" t="s">
        <v>49</v>
      </c>
      <c r="J464" s="179" t="str">
        <f>IF(OR(I463="TO",I463="TU",I463="TO1",I463="TU1",I463="TO2",I463="TU2"),J463,IF(OR(I463="AH1",I463="AH2"),IF(OR(I464="AH1",I464="AH2"),-J463,IF(OR(I464="EH1",I464="EH2"),-J463+0.5,"")),IF(OR(I463="EH1",I463="EH2"),IF(OR(I464="AH1",I464="AH2"),-J463+0.5,IF(OR(I464="EH1",I464="EH2"),-J463+1,"")),IF(AND(OR(I463="DNB1",I463="DNB2"),OR(I464="AH1",I464="AH2")),0,IF(AND(I463="Not ScoreBoth",OR(I464="TO1",I464="TO2")),0.5,"")))))</f>
        <v/>
      </c>
      <c r="K464" s="123" t="s">
        <v>47</v>
      </c>
      <c r="L464" s="124">
        <v>5.7</v>
      </c>
      <c r="M464" s="125">
        <v>14.9</v>
      </c>
      <c r="N464" s="406"/>
      <c r="O464" s="126">
        <f>IF(OR(AE463="",AE464=""),"",ROUND(IF(L465&gt;0,IF(M464&gt;0,M464,IF(M463&gt;0,IF(N463=TRUE,ROUND((M463*AE464)/AE463,0),(M463*AE464)/AE463),IF(M464&gt;0,ROUND(M464,IF(N463=0,2,IF(N463=0.1,1,0))),IF(M465&gt;0,ROUND(O465*AE464/AE465,IF(N463=0,2,IF(N463=0.1,1,0))),0)))),IF(M464&gt;0,M464,ROUND((M463*AE464)/AE463,IF(N463=0,2,IF(N463=0.1,1,0))))),2))</f>
        <v>14.9</v>
      </c>
      <c r="P464" s="127">
        <f>IF(OR(L464="",O464=""),"",IF($C464="1/2W",O464/2+O464/2*L464,IF($C464="1/2L",O464/2,IF(I464="Lay",((O464*(L464/(L464-1)))-O464)*(1-_xlfn.XLOOKUP(K464,'Fevereiro 2023 - Valor Real'!A3:A15,'Fevereiro 2023 - Valor Real'!C3:C15,0))+O464,(O464*L464-O464)*(1-_xlfn.XLOOKUP(K464,'Fevereiro 2023 - Valor Real'!A3:A15,'Fevereiro 2023 - Valor Real'!C3:C15,0))+O464))))</f>
        <v>84.93</v>
      </c>
      <c r="Q464" s="128">
        <f>IF(K464="","",IF(_xlfn.XLOOKUP(K464,K$4:K463,$DJ$4:DJ463,0,,-1)=DJ464,_xlfn.XLOOKUP(K464,K$4:K463,Q$4:Q463,1,,-1)+1,1))</f>
        <v>6</v>
      </c>
      <c r="R464" s="129">
        <f>IF(K464="","",_xlfn.XLOOKUP(K464,K$4:K463,R$4:R463,0,,-1)+IF($C464=" ",1,0))</f>
        <v>0</v>
      </c>
      <c r="S464" s="403"/>
      <c r="T464" s="380"/>
      <c r="U464" s="380"/>
      <c r="V464" s="481"/>
      <c r="W464" s="380"/>
      <c r="X464" s="452"/>
      <c r="Y464" s="383"/>
      <c r="Z464" s="384"/>
      <c r="AA464" s="384"/>
      <c r="AB464" s="384"/>
      <c r="AC464" s="384"/>
      <c r="AD464" s="130">
        <f>(((L464/(L464-1)-1)*(1-_xlfn.XLOOKUP(K464,'Fevereiro 2023 - Valor Real'!A3:A15,'Fevereiro 2023 - Valor Real'!C3:C15,0))+1))</f>
        <v>1.2127659574468086</v>
      </c>
      <c r="AE464" s="131">
        <f>IF(L464="","",IF(L465&gt;0,(SUM(((L463-1)*(1-_xlfn.XLOOKUP(K463,'Fevereiro 2023 - Valor Real'!A3:A15,'Fevereiro 2023 - Valor Real'!C3:C15,0))+1),((L464-1)*(1-_xlfn.XLOOKUP(K464,'Fevereiro 2023 - Valor Real'!A3:A15,'Fevereiro 2023 - Valor Real'!C3:C15,0))+1),((L465-1)*(1-_xlfn.XLOOKUP(K465,'Fevereiro 2023 - Valor Real'!A3:A15,'Fevereiro 2023 - Valor Real'!C3:C15,0))+1))/((L464-1)*(1-_xlfn.XLOOKUP(K464,'Fevereiro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Real'!C3:C15,0))+1))/((L463-1)*(1-_xlfn.XLOOKUP(K463,'Fevereiro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Real'!C3:C15,0))+1))/((L464-1)*(1-_xlfn.XLOOKUP(K464,'Fevereiro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Real'!C3:C15,0))+1))/((L465-1)*(1-_xlfn.XLOOKUP(K465,'Fevereiro 2023 - Valor Real'!A3:A15,'Fevereiro 2023 - Valor Real'!C3:C15,0))+1)),IF(I464="Lay",IF(I463="Lay",((L463/(L463-1)-1)*(1-_xlfn.XLOOKUP(K463,'Fevereiro 2023 - Valor Real'!A3:A15,'Fevereiro 2023 - Valor Real'!C3:C15,0))+1)/(((L463/(L463-1)-1)*(1-_xlfn.XLOOKUP(K463,'Fevereiro 2023 - Valor Real'!A3:A15,'Fevereiro 2023 - Valor Real'!C3:C15,0))+1)+((L464/(L464-1)-1)*(1-_xlfn.XLOOKUP(K464,'Fevereiro 2023 - Valor Real'!A3:A15,'Fevereiro 2023 - Valor Real'!C3:C15,0))+1)),((L463-1)*(1-_xlfn.XLOOKUP(K463,'Fevereiro 2023 - Valor Real'!A3:A15,'Fevereiro 2023 - Valor Real'!C3:C15,0))+1)/(((L463-1)*(1-_xlfn.XLOOKUP(K463,'Fevereiro 2023 - Valor Real'!A3:A15,'Fevereiro 2023 - Valor Real'!C3:C15,0))+1)+((L464/(L464-1)-1)*(1-_xlfn.XLOOKUP(K464,'Fevereiro 2023 - Valor Real'!A3:A15,'Fevereiro 2023 - Valor Real'!C3:C15,0))+1))),IF(I463="Lay",((L463/(L463-1)-1)*(1-_xlfn.XLOOKUP(K463,'Fevereiro 2023 - Valor Real'!A3:A15,'Fevereiro 2023 - Valor Real'!C3:C15,0))+1)/((((L463/(L463-1)-1)*(1-_xlfn.XLOOKUP(K463,'Fevereiro 2023 - Valor Real'!A3:A15,'Fevereiro 2023 - Valor Real'!C3:C15,0))+1))+((L464-1)*(1-_xlfn.XLOOKUP(K464,'Fevereiro 2023 - Valor Real'!A3:A15,'Fevereiro 2023 - Valor Real'!C3:C15,0))+1)),((L463-1)*(1-_xlfn.XLOOKUP(K463,'Fevereiro 2023 - Valor Real'!A3:A15,'Fevereiro 2023 - Valor Real'!C3:C15,0))+1)/(((L463-1)*(1-_xlfn.XLOOKUP(K463,'Fevereiro 2023 - Valor Real'!A3:A15,'Fevereiro 2023 - Valor Real'!C3:C15,0))+1)+((L464-1)*(1-_xlfn.XLOOKUP(K464,'Fevereiro 2023 - Valor Real'!A3:A15,'Fevereiro 2023 - Valor Real'!C3:C15,0))+1))))))</f>
        <v>0.1814918228958915</v>
      </c>
      <c r="AF464" s="105">
        <f t="shared" ref="AF464:AR473" si="946">IF($K464=AF$3,ROUND(IF(OR($C464="W",$C464="1/2W",$C464="1/2L"),$P464-$O464,IF($C464="X",0,-$O464)),2),0)</f>
        <v>0</v>
      </c>
      <c r="AG464" s="106">
        <f t="shared" si="946"/>
        <v>0</v>
      </c>
      <c r="AH464" s="106">
        <f t="shared" si="946"/>
        <v>0</v>
      </c>
      <c r="AI464" s="106">
        <f t="shared" si="946"/>
        <v>0</v>
      </c>
      <c r="AJ464" s="106">
        <f t="shared" si="946"/>
        <v>0</v>
      </c>
      <c r="AK464" s="106">
        <f t="shared" si="946"/>
        <v>0</v>
      </c>
      <c r="AL464" s="106">
        <f t="shared" si="946"/>
        <v>0</v>
      </c>
      <c r="AM464" s="106">
        <f t="shared" si="946"/>
        <v>0</v>
      </c>
      <c r="AN464" s="106">
        <f t="shared" si="946"/>
        <v>0</v>
      </c>
      <c r="AO464" s="106">
        <f t="shared" si="946"/>
        <v>0</v>
      </c>
      <c r="AP464" s="106">
        <f t="shared" si="946"/>
        <v>0</v>
      </c>
      <c r="AQ464" s="106">
        <f t="shared" si="946"/>
        <v>-14.9</v>
      </c>
      <c r="AR464" s="107">
        <f t="shared" si="946"/>
        <v>0</v>
      </c>
      <c r="AS464" s="105">
        <f>IF(AND($B463=" ",$K464=AS$3),$O464,0)</f>
        <v>0</v>
      </c>
      <c r="AT464" s="106">
        <f>IF(AND($B463=" ",K464=AT$3),$O464,0)</f>
        <v>0</v>
      </c>
      <c r="AU464" s="106">
        <f t="shared" ref="AU464:BE464" si="947">IF(AND($B463=" ",$K464=AU$3),$O464,0)</f>
        <v>0</v>
      </c>
      <c r="AV464" s="106">
        <f t="shared" si="947"/>
        <v>0</v>
      </c>
      <c r="AW464" s="106">
        <f t="shared" si="947"/>
        <v>0</v>
      </c>
      <c r="AX464" s="106">
        <f t="shared" si="947"/>
        <v>0</v>
      </c>
      <c r="AY464" s="108">
        <f t="shared" si="947"/>
        <v>0</v>
      </c>
      <c r="AZ464" s="109">
        <f t="shared" si="947"/>
        <v>0</v>
      </c>
      <c r="BA464" s="109">
        <f t="shared" si="947"/>
        <v>0</v>
      </c>
      <c r="BB464" s="109">
        <f t="shared" si="947"/>
        <v>0</v>
      </c>
      <c r="BC464" s="110">
        <f t="shared" si="947"/>
        <v>0</v>
      </c>
      <c r="BD464" s="106">
        <f t="shared" si="947"/>
        <v>0</v>
      </c>
      <c r="BE464" s="107">
        <f t="shared" si="947"/>
        <v>0</v>
      </c>
      <c r="BF464" s="105">
        <f t="shared" ref="BF464:BR473" si="948">IF($K464=BF$3,IF($C464="X",0,$O464),0)</f>
        <v>0</v>
      </c>
      <c r="BG464" s="106">
        <f t="shared" si="948"/>
        <v>0</v>
      </c>
      <c r="BH464" s="106">
        <f t="shared" si="948"/>
        <v>0</v>
      </c>
      <c r="BI464" s="106">
        <f t="shared" si="948"/>
        <v>0</v>
      </c>
      <c r="BJ464" s="106">
        <f t="shared" si="948"/>
        <v>0</v>
      </c>
      <c r="BK464" s="106">
        <f t="shared" si="948"/>
        <v>0</v>
      </c>
      <c r="BL464" s="106">
        <f t="shared" si="948"/>
        <v>0</v>
      </c>
      <c r="BM464" s="132">
        <f t="shared" si="948"/>
        <v>0</v>
      </c>
      <c r="BN464" s="112">
        <f t="shared" si="948"/>
        <v>0</v>
      </c>
      <c r="BO464" s="112">
        <f t="shared" si="948"/>
        <v>0</v>
      </c>
      <c r="BP464" s="112">
        <f t="shared" si="948"/>
        <v>0</v>
      </c>
      <c r="BQ464" s="110">
        <f t="shared" si="948"/>
        <v>14.9</v>
      </c>
      <c r="BR464" s="107">
        <f t="shared" si="948"/>
        <v>0</v>
      </c>
      <c r="BS464" s="464"/>
      <c r="BT464" s="461"/>
      <c r="BU464" s="392"/>
      <c r="BV464" s="461"/>
      <c r="BW464" s="392"/>
      <c r="BX464" s="392"/>
      <c r="BY464" s="392"/>
      <c r="BZ464" s="461"/>
      <c r="CA464" s="392"/>
      <c r="CB464" s="392"/>
      <c r="CC464" s="392"/>
      <c r="CD464" s="401"/>
      <c r="CE464" s="409"/>
      <c r="CF464" s="133">
        <f t="shared" si="899"/>
        <v>0</v>
      </c>
      <c r="CG464" s="134">
        <f t="shared" si="900"/>
        <v>0</v>
      </c>
      <c r="CH464" s="134">
        <f t="shared" si="901"/>
        <v>0</v>
      </c>
      <c r="CI464" s="134">
        <f t="shared" si="902"/>
        <v>0</v>
      </c>
      <c r="CJ464" s="134">
        <f t="shared" si="903"/>
        <v>0</v>
      </c>
      <c r="CK464" s="134">
        <f t="shared" si="904"/>
        <v>0</v>
      </c>
      <c r="CL464" s="134">
        <f t="shared" si="905"/>
        <v>0</v>
      </c>
      <c r="CM464" s="134">
        <f t="shared" si="906"/>
        <v>0</v>
      </c>
      <c r="CN464" s="134">
        <f t="shared" si="907"/>
        <v>0</v>
      </c>
      <c r="CO464" s="134">
        <f t="shared" si="908"/>
        <v>0</v>
      </c>
      <c r="CP464" s="134">
        <f t="shared" si="909"/>
        <v>0</v>
      </c>
      <c r="CQ464" s="134">
        <f t="shared" si="910"/>
        <v>0</v>
      </c>
      <c r="CR464" s="134">
        <f t="shared" si="911"/>
        <v>0</v>
      </c>
      <c r="CS464" s="134">
        <f t="shared" si="912"/>
        <v>0</v>
      </c>
      <c r="CT464" s="115">
        <f t="shared" si="913"/>
        <v>0</v>
      </c>
      <c r="CU464" s="116">
        <f t="shared" si="914"/>
        <v>0</v>
      </c>
      <c r="CV464" s="116">
        <f t="shared" si="915"/>
        <v>0</v>
      </c>
      <c r="CW464" s="116">
        <f t="shared" si="916"/>
        <v>0</v>
      </c>
      <c r="CX464" s="116">
        <f t="shared" si="917"/>
        <v>0</v>
      </c>
      <c r="CY464" s="116">
        <f t="shared" si="918"/>
        <v>0</v>
      </c>
      <c r="CZ464" s="116">
        <f t="shared" si="919"/>
        <v>0</v>
      </c>
      <c r="DA464" s="116">
        <f t="shared" si="920"/>
        <v>0</v>
      </c>
      <c r="DB464" s="116">
        <f t="shared" si="921"/>
        <v>0</v>
      </c>
      <c r="DC464" s="116">
        <f t="shared" si="922"/>
        <v>1</v>
      </c>
      <c r="DD464" s="116">
        <f t="shared" si="923"/>
        <v>0</v>
      </c>
      <c r="DE464" s="117">
        <f t="shared" si="924"/>
        <v>0</v>
      </c>
      <c r="DF464" s="118">
        <f t="shared" si="926"/>
        <v>30</v>
      </c>
      <c r="DG464" s="106">
        <f t="shared" si="927"/>
        <v>38.739999999999995</v>
      </c>
      <c r="DH464" s="116">
        <f t="shared" si="928"/>
        <v>11</v>
      </c>
      <c r="DI464" s="106">
        <f t="shared" si="929"/>
        <v>45.699999999999996</v>
      </c>
      <c r="DJ464" s="201" t="str">
        <f>IF($D463="","",$D463)</f>
        <v>15</v>
      </c>
      <c r="DK464" s="466"/>
    </row>
    <row r="465" spans="1:115" ht="14.5" customHeight="1" x14ac:dyDescent="0.2">
      <c r="A465" s="390"/>
      <c r="B465" s="457"/>
      <c r="C465" s="135" t="s">
        <v>54</v>
      </c>
      <c r="D465" s="375"/>
      <c r="E465" s="387"/>
      <c r="F465" s="378"/>
      <c r="G465" s="484"/>
      <c r="H465" s="477"/>
      <c r="I465" s="192">
        <v>2</v>
      </c>
      <c r="J465" s="137"/>
      <c r="K465" s="193" t="s">
        <v>43</v>
      </c>
      <c r="L465" s="194">
        <v>1.4</v>
      </c>
      <c r="M465" s="140">
        <v>61</v>
      </c>
      <c r="N465" s="407"/>
      <c r="O465" s="195">
        <f>IF(OR(AE463="",AE464=""),"",IF(L465&gt;0,ROUND(IF(M465&gt;0,M465,IF(M463&gt;0,ROUND((M463*AE465)/AE463,IF(N463=0,2,IF(N463=0.1,1,0))),IF(M464&gt;0,ROUND((M464*AE465)/AE464,IF(N463=0,2,IF(N463=0.1,1,0))),IF(M465&gt;0,M465,0)))),2),""))</f>
        <v>61</v>
      </c>
      <c r="P465" s="196">
        <f>IF(I464="Lay",O464*(L464/(L464-1))-O464,IF(I463="Lay",O463*(L463/(L463-1))-O463,IF(OR(L465="",O465=""),"",IF($C465="1/2W",O465/2+O465/2*L465,IF($C465="1/2L",O465/2,(O465*L465-O465)*(1-_xlfn.XLOOKUP(K465,'Fevereiro 2023 - Valor Real'!A3:A15,'Fevereiro 2023 - Valor Real'!C3:C15,0))+O465)))))</f>
        <v>85.399999999999991</v>
      </c>
      <c r="Q465" s="197">
        <f>IF(K465="","",IF(_xlfn.XLOOKUP(K465,K$4:K464,$DJ$4:DJ464,0,,-1)=DJ465,_xlfn.XLOOKUP(K465,K$4:K464,Q$4:Q464,1,,-1)+1,1))</f>
        <v>5</v>
      </c>
      <c r="R465" s="198">
        <f>IF(K465="","",_xlfn.XLOOKUP(K465,K$4:K464,R$4:R464,0,,-1)+IF($C465=" ",1,0))</f>
        <v>0</v>
      </c>
      <c r="S465" s="404"/>
      <c r="T465" s="378"/>
      <c r="U465" s="378"/>
      <c r="V465" s="404"/>
      <c r="W465" s="378"/>
      <c r="X465" s="453"/>
      <c r="Y465" s="383"/>
      <c r="Z465" s="384"/>
      <c r="AA465" s="384"/>
      <c r="AB465" s="384"/>
      <c r="AC465" s="384"/>
      <c r="AD465" s="145">
        <f>((L464/(L464-1)-1))</f>
        <v>0.2127659574468086</v>
      </c>
      <c r="AE465" s="199">
        <f>IF(L465="","",(SUM(((L463-1)*(1-_xlfn.XLOOKUP(K463,'Fevereiro 2023 - Valor Real'!A3:A15,'Fevereiro 2023 - Valor Real'!C3:C15,0))+1),((L464-1)*(1-_xlfn.XLOOKUP(K464,'Fevereiro 2023 - Valor Real'!A3:A15,'Fevereiro 2023 - Valor Real'!C3:C15,0))+1),((L465-1)*(1-_xlfn.XLOOKUP(K465,'Fevereiro 2023 - Valor Real'!A3:A15,'Fevereiro 2023 - Valor Real'!C3:C15,0))+1))/((L465-1)*(1-_xlfn.XLOOKUP(K465,'Fevereiro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Real'!C3:C15,0))+1))/((L463-1)*(1-_xlfn.XLOOKUP(K463,'Fevereiro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Real'!C3:C15,0))+1))/((L464-1)*(1-_xlfn.XLOOKUP(K464,'Fevereiro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Real'!C3:C15,0))+1))/((L465-1)*(1-_xlfn.XLOOKUP(K465,'Fevereiro 2023 - Valor Real'!A3:A15,'Fevereiro 2023 - Valor Real'!C3:C15,0))+1)))</f>
        <v>0.73893099321898692</v>
      </c>
      <c r="AF465" s="105">
        <f t="shared" si="946"/>
        <v>0</v>
      </c>
      <c r="AG465" s="106">
        <f t="shared" si="946"/>
        <v>0</v>
      </c>
      <c r="AH465" s="106">
        <f t="shared" si="946"/>
        <v>0</v>
      </c>
      <c r="AI465" s="106">
        <f t="shared" si="946"/>
        <v>0</v>
      </c>
      <c r="AJ465" s="106">
        <f t="shared" si="946"/>
        <v>0</v>
      </c>
      <c r="AK465" s="106">
        <f t="shared" si="946"/>
        <v>0</v>
      </c>
      <c r="AL465" s="106">
        <f t="shared" si="946"/>
        <v>0</v>
      </c>
      <c r="AM465" s="106">
        <f t="shared" si="946"/>
        <v>24.4</v>
      </c>
      <c r="AN465" s="106">
        <f t="shared" si="946"/>
        <v>0</v>
      </c>
      <c r="AO465" s="106">
        <f t="shared" si="946"/>
        <v>0</v>
      </c>
      <c r="AP465" s="106">
        <f t="shared" si="946"/>
        <v>0</v>
      </c>
      <c r="AQ465" s="106">
        <f t="shared" si="946"/>
        <v>0</v>
      </c>
      <c r="AR465" s="107">
        <f t="shared" si="946"/>
        <v>0</v>
      </c>
      <c r="AS465" s="105">
        <f>IF(AND($B463=" ",$K465=AS$3),$O465,0)</f>
        <v>0</v>
      </c>
      <c r="AT465" s="106">
        <f>IF(AND($B463=" ",K465=AT$3),$O465,0)</f>
        <v>0</v>
      </c>
      <c r="AU465" s="106">
        <f t="shared" ref="AU465:BE465" si="949">IF(AND($B463=" ",$K465=AU$3),$O465,0)</f>
        <v>0</v>
      </c>
      <c r="AV465" s="106">
        <f t="shared" si="949"/>
        <v>0</v>
      </c>
      <c r="AW465" s="106">
        <f t="shared" si="949"/>
        <v>0</v>
      </c>
      <c r="AX465" s="106">
        <f t="shared" si="949"/>
        <v>0</v>
      </c>
      <c r="AY465" s="108">
        <f t="shared" si="949"/>
        <v>0</v>
      </c>
      <c r="AZ465" s="109">
        <f t="shared" si="949"/>
        <v>0</v>
      </c>
      <c r="BA465" s="109">
        <f t="shared" si="949"/>
        <v>0</v>
      </c>
      <c r="BB465" s="109">
        <f t="shared" si="949"/>
        <v>0</v>
      </c>
      <c r="BC465" s="110">
        <f t="shared" si="949"/>
        <v>0</v>
      </c>
      <c r="BD465" s="106">
        <f t="shared" si="949"/>
        <v>0</v>
      </c>
      <c r="BE465" s="107">
        <f t="shared" si="949"/>
        <v>0</v>
      </c>
      <c r="BF465" s="105">
        <f t="shared" si="948"/>
        <v>0</v>
      </c>
      <c r="BG465" s="106">
        <f t="shared" si="948"/>
        <v>0</v>
      </c>
      <c r="BH465" s="106">
        <f t="shared" si="948"/>
        <v>0</v>
      </c>
      <c r="BI465" s="106">
        <f t="shared" si="948"/>
        <v>0</v>
      </c>
      <c r="BJ465" s="106">
        <f t="shared" si="948"/>
        <v>0</v>
      </c>
      <c r="BK465" s="106">
        <f t="shared" si="948"/>
        <v>0</v>
      </c>
      <c r="BL465" s="106">
        <f t="shared" si="948"/>
        <v>0</v>
      </c>
      <c r="BM465" s="108">
        <f t="shared" si="948"/>
        <v>61</v>
      </c>
      <c r="BN465" s="109">
        <f t="shared" si="948"/>
        <v>0</v>
      </c>
      <c r="BO465" s="109">
        <f t="shared" si="948"/>
        <v>0</v>
      </c>
      <c r="BP465" s="109">
        <f t="shared" si="948"/>
        <v>0</v>
      </c>
      <c r="BQ465" s="110">
        <f t="shared" si="948"/>
        <v>0</v>
      </c>
      <c r="BR465" s="107">
        <f t="shared" si="948"/>
        <v>0</v>
      </c>
      <c r="BS465" s="464"/>
      <c r="BT465" s="461"/>
      <c r="BU465" s="392"/>
      <c r="BV465" s="461"/>
      <c r="BW465" s="392"/>
      <c r="BX465" s="392"/>
      <c r="BY465" s="392"/>
      <c r="BZ465" s="461"/>
      <c r="CA465" s="392"/>
      <c r="CB465" s="392"/>
      <c r="CC465" s="392"/>
      <c r="CD465" s="401"/>
      <c r="CE465" s="409"/>
      <c r="CF465" s="133">
        <f t="shared" si="899"/>
        <v>0</v>
      </c>
      <c r="CG465" s="134">
        <f t="shared" si="900"/>
        <v>0</v>
      </c>
      <c r="CH465" s="134">
        <f t="shared" si="901"/>
        <v>0</v>
      </c>
      <c r="CI465" s="134">
        <f t="shared" si="902"/>
        <v>0</v>
      </c>
      <c r="CJ465" s="134">
        <f t="shared" si="903"/>
        <v>0</v>
      </c>
      <c r="CK465" s="134">
        <f t="shared" si="904"/>
        <v>0</v>
      </c>
      <c r="CL465" s="134">
        <f t="shared" si="905"/>
        <v>0</v>
      </c>
      <c r="CM465" s="134">
        <f t="shared" si="906"/>
        <v>0</v>
      </c>
      <c r="CN465" s="134">
        <f t="shared" si="907"/>
        <v>0</v>
      </c>
      <c r="CO465" s="134">
        <f t="shared" si="908"/>
        <v>0</v>
      </c>
      <c r="CP465" s="134">
        <f t="shared" si="909"/>
        <v>0</v>
      </c>
      <c r="CQ465" s="134">
        <f t="shared" si="910"/>
        <v>0</v>
      </c>
      <c r="CR465" s="134">
        <f t="shared" si="911"/>
        <v>0</v>
      </c>
      <c r="CS465" s="134">
        <f t="shared" si="912"/>
        <v>0</v>
      </c>
      <c r="CT465" s="115">
        <f t="shared" si="913"/>
        <v>1</v>
      </c>
      <c r="CU465" s="116">
        <f t="shared" si="914"/>
        <v>0</v>
      </c>
      <c r="CV465" s="116">
        <f t="shared" si="915"/>
        <v>0</v>
      </c>
      <c r="CW465" s="116">
        <f t="shared" si="916"/>
        <v>0</v>
      </c>
      <c r="CX465" s="116">
        <f t="shared" si="917"/>
        <v>0</v>
      </c>
      <c r="CY465" s="116">
        <f t="shared" si="918"/>
        <v>0</v>
      </c>
      <c r="CZ465" s="116">
        <f t="shared" si="919"/>
        <v>0</v>
      </c>
      <c r="DA465" s="116">
        <f t="shared" si="920"/>
        <v>0</v>
      </c>
      <c r="DB465" s="116">
        <f t="shared" si="921"/>
        <v>0</v>
      </c>
      <c r="DC465" s="116">
        <f t="shared" si="922"/>
        <v>0</v>
      </c>
      <c r="DD465" s="116">
        <f t="shared" si="923"/>
        <v>0</v>
      </c>
      <c r="DE465" s="117">
        <f t="shared" si="924"/>
        <v>0</v>
      </c>
      <c r="DF465" s="118">
        <f t="shared" si="926"/>
        <v>31</v>
      </c>
      <c r="DG465" s="106">
        <f t="shared" si="927"/>
        <v>40.139999999999993</v>
      </c>
      <c r="DH465" s="116">
        <f t="shared" si="928"/>
        <v>11</v>
      </c>
      <c r="DI465" s="106">
        <f t="shared" si="929"/>
        <v>45.699999999999996</v>
      </c>
      <c r="DJ465" s="201" t="str">
        <f>IF($D463="","",$D463)</f>
        <v>15</v>
      </c>
      <c r="DK465" s="466"/>
    </row>
    <row r="466" spans="1:115" ht="14.5" customHeight="1" x14ac:dyDescent="0.2">
      <c r="A466" s="487">
        <f>$A463+1</f>
        <v>155</v>
      </c>
      <c r="B466" s="506" t="str">
        <f>IF(OR(C466="W",C467="W",C468="W",C466="1/2W",C467="1/2W",C468="1/2W",C466="1/2L",C467="1/2L",C468="1/2L"),"OK",IF(OR(C466="L",C467="L",C468="L"),"LOSS",IF(OR(C466="X",C467="X",C468="X"),"Anulado"," ")))</f>
        <v>OK</v>
      </c>
      <c r="C466" s="147" t="s">
        <v>54</v>
      </c>
      <c r="D466" s="494" t="str">
        <f>IF(G466="","",$D463)</f>
        <v>15</v>
      </c>
      <c r="E466" s="511" t="str">
        <f>IF(G466=""," ","– "&amp;COUNTIF(D$4:D468,$D466))</f>
        <v>– 13</v>
      </c>
      <c r="F466" s="510" t="str">
        <f ca="1">IF(G466="","",IF(OR(AND($C466&lt;&gt;" ",$C467=" "),AND($C467&lt;&gt;" ",$C466=" "),AND(L468&gt;0,OR(AND($C468&lt;&gt;" ",OR($C466=" ",$C467=" ")),AND($C468=" ",OR($C466&lt;&gt;" ",$C467&lt;&gt;" "))))),IF(SUM(F$4:F465)=0,1,LARGE(F$4:F465,1)+1),IF(MONTH(G466)=MONTH(TODAY()),IF(AND(DAY(G466)&lt;DAY(TODAY()),$B466=" "),IF(SUM(F$4:F465)=0,1,LARGE(F$4:F465,1)+1),IF($B466=" ",IF(AND(DAY(G466)=DAY(TODAY()),HOUR(G466)&lt;=HOUR(NOW())+1),IF(AND(HOUR(G466)+2&lt;=HOUR(NOW()),DAY(G466)&lt;=DAY(TODAY()),MINUTE(G466)&lt;=MINUTE(NOW())),IF(SUM(F$4:F465)=0,1,LARGE(F$4:F465,1)+1),IF(OR(MINUTE(G466)&lt;=MINUTE(NOW()),HOUR(G466)&lt;=HOUR(NOW())),"!!!","")),""),"")),"")))</f>
        <v/>
      </c>
      <c r="G466" s="508">
        <v>45000.791666666664</v>
      </c>
      <c r="H466" s="502" t="s">
        <v>192</v>
      </c>
      <c r="I466" s="180" t="s">
        <v>51</v>
      </c>
      <c r="J466" s="181">
        <v>5.5</v>
      </c>
      <c r="K466" s="150" t="s">
        <v>37</v>
      </c>
      <c r="L466" s="151">
        <v>2.6</v>
      </c>
      <c r="M466" s="152">
        <v>10.86</v>
      </c>
      <c r="N466" s="503">
        <v>0</v>
      </c>
      <c r="O466" s="153">
        <f>IF(OR(AE466="",AE467=""),"",ROUND(IF(L468&gt;0,IF(M466&gt;0,M466,IF(M467&gt;0,ROUND((M467*AE466)/AE467,IF(N466=0,2,IF(N466=0.1,1,0))),ROUND((M468*AE466)/AE468,IF(N466=0,2,IF(N466=0.1,1,0))))),IF(M466&gt;0,M466,ROUND((M467*AE466)/AE467,IF(N466=0,2,IF(N466=0.1,1,0))))),2))</f>
        <v>10.86</v>
      </c>
      <c r="P466" s="154">
        <f>IF(OR(L466="",O466=""),"",IF($C466="1/2W",O466/2+O466/2*L466,IF($C466="1/2L",O466/2,IF(I466="Lay",(O466*(L466/(L466-1))-O466)*(1-_xlfn.XLOOKUP(K466,'Fevereiro 2023 - Valor Real'!A3:A15,'Fevereiro 2023 - Valor Real'!C3:C15,0))+O466,(O466*L466-O466)*(1-_xlfn.XLOOKUP(K466,'Fevereiro 2023 - Valor Real'!A3:A15,'Fevereiro 2023 - Valor Real'!C3:C15,0))+O466))))</f>
        <v>28.236000000000001</v>
      </c>
      <c r="Q466" s="155">
        <f>IF(K466="","",IF(_xlfn.XLOOKUP(K466,K$9:K458,$DJ$9:DJ458,0,,-1)=DJ466,_xlfn.XLOOKUP(K466,K$9:K458,Q$9:Q458,1,,-1)+1,1))</f>
        <v>4</v>
      </c>
      <c r="R466" s="156">
        <f>IF(K466="","",_xlfn.XLOOKUP(K466,K$9:K458,R$9:R458,0,,-1)+IF($C466=" ",1,0))</f>
        <v>0</v>
      </c>
      <c r="S466" s="501">
        <f>IF($B466="Anulado",0,ROUND(IF(OR($B466="LOSS",$B466="OK"),IF(OR($C466="W",$C466="1/2W",$C466="1/2L"),P466-O466,IF($C466="L",-O466,0))+IF(OR($C467="W",$C467="1/2W",$C467="1/2L"),P467-O467,IF($C467="L",-O467,0))+IF(OR($C468="W",$C468="1/2W",$C468="1/2L"),P468-O468,IF($C468="L",-O468,0)),IF(AND(OR($C466="W",$C466="1/2W",$C466="1/2L"),C467="W"),P466+P467-SUM(O466:O468)+_xlfn.XLOOKUP("X",C466:C468,O466:O468,0),IF(AND(C466=TRUE,C468="W"),P466+P468-SUM(O466:O468),IF(AND(C467="W",C468="W"),P467+P468-SUM(O466:O468)+_xlfn.XLOOKUP("X",C466:C468,O466:O468,0),IF(L468&gt;0,IF(OR($C466="W",$C466="1/2W",$C466="1/2L"),P466-SUM(O466:O468)+_xlfn.XLOOKUP("X",C466:C468,O466:O468,0),IF(OR($C466="W",$C466="1/2W",$C466="1/2L"),P467-SUM(O466:O468)+_xlfn.XLOOKUP("X",C466:C468,O466:O468,0),IF(OR($C466="W",$C466="1/2W",$C466="1/2L"),P468-SUM(O466:O468)+_xlfn.XLOOKUP("X",C466:C468,O466:O468,0),IF(SUM(P466:P468)/3-SUM(O466:O468)+_xlfn.XLOOKUP("X",C466:C468,O466:O468,0)&gt;0,SUM(P466:P468)/3-SUM(O466:O468)+_xlfn.XLOOKUP("X",C466:C468,O466:O468,0),LARGE(P466:P468,1)-SUM(O466:O468))))),IF(OR($C466="W",$C466="1/2W",$C466="1/2L"),P466-SUM(O466:O467)+_xlfn.XLOOKUP("X",C466:C468,O466:O468,0),IF(OR($C466="W",$C466="1/2W",$C466="1/2L"),P467-SUM(O466:O467)+_xlfn.XLOOKUP("X",C466:C468,O466:O468,0),SUM(P466:P467)/2-SUM(O466:O467)+_xlfn.XLOOKUP("X",C466:C468,O466:O468,0)))))))),2))</f>
        <v>3.03</v>
      </c>
      <c r="T466" s="486">
        <f>IF(S466=0,0,S466/SUM(O466:O468))</f>
        <v>0.12019040063466876</v>
      </c>
      <c r="U466" s="496">
        <f>IF($D466=$D463,IF(OR($B466="LOSS",$B466="OK",$B466="Anulada"),S466,0)+U463,IF(OR($B466="LOSS",$B466="OK",$B466="Anulada"),S466,0))</f>
        <v>39.49</v>
      </c>
      <c r="V466" s="496">
        <f>IF($D466="",0,IF($D466=$D463,IF($B466=" ",IF(I468="",IF(OR(AND(I466="DNB1",I467="DNB2"),AND(OR(I466="DNB1",I466="DNB2"),J467=0),AND(OR(I467="DNB1",I467="DNB2"),J466=0),AND(I466="DNB2",I467="DNB1"),AND(IF(J466=0,(J466+1)/ROUND(J466+1,0),J466/ROUND(J466,0))=1,IF(J467=0,(J467+1)/ROUND(IF(J467="",0,J467)+1,0),IF(J467="",0,J467)/ROUND(IF(J467="",1,J467),0))=1,OR(J466&lt;&gt;""),J467&lt;&gt;"")),0,IF(S466&lt;0,IF(I468="",SMALL(P466:P467,1)-SUM(O466:O467),0),SMALL(P466:P467,1)-SUM(O466:O467))),IF(S466&lt;0,IF(I468="",SMALL(P466:P468,1)-SUM(O466:O468),0),LARGE(P466:P468,1)-SUM(O466:O468))),S466)+V463,IF(I468="",IF(OR(AND(I466="DNB1",I467="DNB2"),AND(OR(I466="DNB1",I466="DNB2"),J467=0),AND(OR(I467="DNB1",I467="DNB2"),J466=0),AND(I466="DNB2",I467="DNB1"),AND(IF(J466=0,(J466+1)/ROUND(J466+1,0),J466/ROUND(J466,0))=1,IF(J467=0,(IF(J467="",0,J467)+1)/ROUND(IF(J467="",0,J467)+1,0),IF(J467="",0,J467)/ROUND(IF(J467="",0,J467)+1,0))=1,OR(J466&lt;&gt;""),J467&lt;&gt;"")),0,IF(S466&lt;0,IF(I468="",SMALL(P466:P467,1)-SUM(O466:O467),0),SMALL(P466:P468,1)-SUM(O466:O468))),IF(S466&lt;0,IF(I468="",SMALL(P466:P468,1)-SUM(O466:O468),0),LARGE(P466:P468,1)-SUM(O466:O468)))))</f>
        <v>39.476599999999998</v>
      </c>
      <c r="W466" s="496">
        <f>IF($D466=$D463,IF(S466&lt;0,IF(I468="",S466,0),S466)+W463,S466)</f>
        <v>39.49</v>
      </c>
      <c r="X466" s="505" t="str">
        <f>IF(OR(SUM(R466:R468)=0,V466=W466),ROUND(IF(W466=0,0,W466/Y466)*100,2)&amp;"%",ROUND(IF(V466=0,0,V466/Y466)*100,2)&amp;"% a "&amp;ROUND(IF(W466=0,0,W466/Y466)*100,2)&amp;"%")</f>
        <v>5,02%</v>
      </c>
      <c r="Y466" s="497">
        <f>IF($D466=$D463,Y463+SUM(O466:O468),SUM(O466:O468))</f>
        <v>786.55000000000018</v>
      </c>
      <c r="Z466" s="496">
        <f>IF($B466=" ",SUM(O466:O468),0)+Z463</f>
        <v>0</v>
      </c>
      <c r="AA466" s="496">
        <f>IF(G466="","",IF($B466="Anulado",LARGE(P466:P468,1)-SUM(O466:O468)+AA463,AA463))</f>
        <v>12.425099999999992</v>
      </c>
      <c r="AB466" s="496">
        <f>IF($D466="","",AB463+S466)</f>
        <v>567.91000000000008</v>
      </c>
      <c r="AC466" s="499">
        <f ca="1">IF($D466="","",IF($B466=" ",IF(DAY(G466)=DAY(TODAY()),1+AC463,0+AC463),0+AC463))</f>
        <v>0</v>
      </c>
      <c r="AD466" s="157">
        <f>(1-_xlfn.XLOOKUP(K464,'Fevereiro 2023 - Valor Real'!A3:A15,'Fevereiro 2023 - Valor Real'!C3:C15,0))+1</f>
        <v>2</v>
      </c>
      <c r="AE466" s="158">
        <f>IF(L466="","",IF(L468&gt;0,(SUM(((L466-1)*(1-_xlfn.XLOOKUP(K466,'Fevereiro 2023 - Valor Real'!A3:A15,'Fevereiro 2023 - Valor Real'!C3:C15,0))+1),((L467-1)*(1-_xlfn.XLOOKUP(K467,'Fevereiro 2023 - Valor Real'!A3:A15,'Fevereiro 2023 - Valor Real'!C3:C15,0))+1),((L468-1)*(1-_xlfn.XLOOKUP(K468,'Fevereiro 2023 - Valor Real'!A3:A15,'Fevereiro 2023 - Valor Real'!C3:C15,0))+1))/((L466-1)*(1-_xlfn.XLOOKUP(K466,'Fevereiro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Real'!C3:C15,0))+1))/((L466-1)*(1-_xlfn.XLOOKUP(K466,'Fevereiro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Real'!C3:C15,0))+1))/((L467-1)*(1-_xlfn.XLOOKUP(K467,'Fevereiro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Real'!C3:C15,0))+1))/((L468-1)*(1-_xlfn.XLOOKUP(K468,'Fevereiro 2023 - Valor Real'!A3:A15,'Fevereiro 2023 - Valor Real'!C3:C15,0))+1)),IF(I466="Lay",IF(I467="Lay",((L467/(L467-1)-1)*(1-_xlfn.XLOOKUP(K467,'Fevereiro 2023 - Valor Real'!A3:A15,'Fevereiro 2023 - Valor Real'!C3:C15,0))+1)/(((L467/(L467-1)-1)*(1-_xlfn.XLOOKUP(K467,'Fevereiro 2023 - Valor Real'!A3:A15,'Fevereiro 2023 - Valor Real'!C3:C15,0))+1)+((L466/(L466-1)-1)*(1-_xlfn.XLOOKUP(K466,'Fevereiro 2023 - Valor Real'!A3:A15,'Fevereiro 2023 - Valor Real'!C3:C15,0))+1)),((L467-1)*(1-_xlfn.XLOOKUP(K467,'Fevereiro 2023 - Valor Real'!A3:A15,'Fevereiro 2023 - Valor Real'!C3:C15,0))+1)/(((L467-1)*(1-_xlfn.XLOOKUP(K467,'Fevereiro 2023 - Valor Real'!A3:A15,'Fevereiro 2023 - Valor Real'!C3:C15,0))+1)+((L466/(L466-1)-1)*(1-_xlfn.XLOOKUP(K466,'Fevereiro 2023 - Valor Real'!A3:A15,'Fevereiro 2023 - Valor Real'!C3:C15,0))+1))),IF(I467="Lay",(((L467/(L467-1)-1)*(1-_xlfn.XLOOKUP(K467,'Fevereiro 2023 - Valor Real'!A3:A15,'Fevereiro 2023 - Valor Real'!C3:C15,0))+1))/(((L466-1)*(1-_xlfn.XLOOKUP(K466,'Fevereiro 2023 - Valor Real'!A3:A15,'Fevereiro 2023 - Valor Real'!C3:C15,0))+1)+((L467/(L467-1)-1)*(1-_xlfn.XLOOKUP(K467,'Fevereiro 2023 - Valor Real'!A3:A15,'Fevereiro 2023 - Valor Real'!C3:C15,0))+1)),((L467-1)*(1-_xlfn.XLOOKUP(K467,'Fevereiro 2023 - Valor Real'!A3:A15,'Fevereiro 2023 - Valor Real'!C3:C15,0))+1)/(((L467-1)*(1-_xlfn.XLOOKUP(K467,'Fevereiro 2023 - Valor Real'!A3:A15,'Fevereiro 2023 - Valor Real'!C3:C15,0))+1)+((L466-1)*(1-_xlfn.XLOOKUP(K466,'Fevereiro 2023 - Valor Real'!A3:A15,'Fevereiro 2023 - Valor Real'!C3:C15,0))+1))))))</f>
        <v>0.4310722100656455</v>
      </c>
      <c r="AF466" s="66">
        <f t="shared" si="946"/>
        <v>0</v>
      </c>
      <c r="AG466" s="67">
        <f t="shared" si="946"/>
        <v>17.38</v>
      </c>
      <c r="AH466" s="67">
        <f t="shared" si="946"/>
        <v>0</v>
      </c>
      <c r="AI466" s="67">
        <f t="shared" si="946"/>
        <v>0</v>
      </c>
      <c r="AJ466" s="67">
        <f t="shared" si="946"/>
        <v>0</v>
      </c>
      <c r="AK466" s="67">
        <f t="shared" si="946"/>
        <v>0</v>
      </c>
      <c r="AL466" s="67">
        <f t="shared" si="946"/>
        <v>0</v>
      </c>
      <c r="AM466" s="67">
        <f t="shared" si="946"/>
        <v>0</v>
      </c>
      <c r="AN466" s="67">
        <f t="shared" si="946"/>
        <v>0</v>
      </c>
      <c r="AO466" s="67">
        <f t="shared" si="946"/>
        <v>0</v>
      </c>
      <c r="AP466" s="67">
        <f t="shared" si="946"/>
        <v>0</v>
      </c>
      <c r="AQ466" s="67">
        <f t="shared" si="946"/>
        <v>0</v>
      </c>
      <c r="AR466" s="68">
        <f t="shared" si="946"/>
        <v>0</v>
      </c>
      <c r="AS466" s="66">
        <f t="shared" ref="AS466:BE466" si="950">IF(AND($B466=" ",$K466=AS$3),$O466,0)</f>
        <v>0</v>
      </c>
      <c r="AT466" s="67">
        <f t="shared" si="950"/>
        <v>0</v>
      </c>
      <c r="AU466" s="67">
        <f t="shared" si="950"/>
        <v>0</v>
      </c>
      <c r="AV466" s="67">
        <f t="shared" si="950"/>
        <v>0</v>
      </c>
      <c r="AW466" s="67">
        <f t="shared" si="950"/>
        <v>0</v>
      </c>
      <c r="AX466" s="67">
        <f t="shared" si="950"/>
        <v>0</v>
      </c>
      <c r="AY466" s="69">
        <f t="shared" si="950"/>
        <v>0</v>
      </c>
      <c r="AZ466" s="70">
        <f t="shared" si="950"/>
        <v>0</v>
      </c>
      <c r="BA466" s="70">
        <f t="shared" si="950"/>
        <v>0</v>
      </c>
      <c r="BB466" s="70">
        <f t="shared" si="950"/>
        <v>0</v>
      </c>
      <c r="BC466" s="71">
        <f t="shared" si="950"/>
        <v>0</v>
      </c>
      <c r="BD466" s="67">
        <f t="shared" si="950"/>
        <v>0</v>
      </c>
      <c r="BE466" s="68">
        <f t="shared" si="950"/>
        <v>0</v>
      </c>
      <c r="BF466" s="66">
        <f t="shared" si="948"/>
        <v>0</v>
      </c>
      <c r="BG466" s="67">
        <f t="shared" si="948"/>
        <v>10.86</v>
      </c>
      <c r="BH466" s="67">
        <f t="shared" si="948"/>
        <v>0</v>
      </c>
      <c r="BI466" s="67">
        <f t="shared" si="948"/>
        <v>0</v>
      </c>
      <c r="BJ466" s="67">
        <f t="shared" si="948"/>
        <v>0</v>
      </c>
      <c r="BK466" s="67">
        <f t="shared" si="948"/>
        <v>0</v>
      </c>
      <c r="BL466" s="67">
        <f t="shared" si="948"/>
        <v>0</v>
      </c>
      <c r="BM466" s="69">
        <f t="shared" si="948"/>
        <v>0</v>
      </c>
      <c r="BN466" s="70">
        <f t="shared" si="948"/>
        <v>0</v>
      </c>
      <c r="BO466" s="70">
        <f t="shared" si="948"/>
        <v>0</v>
      </c>
      <c r="BP466" s="70">
        <f t="shared" si="948"/>
        <v>0</v>
      </c>
      <c r="BQ466" s="71">
        <f t="shared" si="948"/>
        <v>0</v>
      </c>
      <c r="BR466" s="68">
        <f t="shared" si="948"/>
        <v>0</v>
      </c>
      <c r="BS466" s="490">
        <f>IF($B466="LOSS",IF(AND($K466=BS$3,$C466="L"),-$O466,0)+IF(AND($K467=BS$3,$C467="L"),-$O467,0)+IF(AND($K468=BS$3,$C468="L"),-$O468,0),IF(OR(AND($K466=BS$3,OR($C466="W",$C466="1/2W")),AND($K467=BS$3,OR($C467="W",$C467="1/2W")),AND($K468=BS$3,OR($C468="W",$C468="1/2W"))),$S466,0))</f>
        <v>0</v>
      </c>
      <c r="BT466" s="498">
        <f>IF($B466="LOSS",IF(AND($K466=BT$3,$C466="L"),-$O466,0)+IF(AND($K467=BT$3,$C467="L"),-$O467,0)+IF(AND($K467=BT$3,$C468="L"),-$O468,0),IF(OR(AND($K467=BT$3,OR($C466="W",$C466="1/2W")),AND($K467=BT$3,OR($C467="W",$C467="1/2W")),AND($K467=BT$3,OR($C468="W",$C468="1/2W"))),$S466,0))</f>
        <v>0</v>
      </c>
      <c r="BU466" s="488">
        <f>IF($B466="LOSS",IF(AND($K466=BU$3,$C466="L"),-$O466,0)+IF(AND($K467=BU$3,$C467="L"),-$O467,0)+IF(AND($K467=BU$3,$C468="L"),-$O468,0),IF(OR(AND($K467=BU$3,OR($C466="W",$C466="1/2W")),AND($K467=BU$3,OR($C467="W",$C467="1/2W")),AND($K467=BU$3,OR($C468="W",$C468="1/2W"))),$S466,0))</f>
        <v>0</v>
      </c>
      <c r="BV466" s="488">
        <f t="shared" ref="BV466:CE466" si="951">IF($B466="LOSS",IF(AND($K466=BV$3,$C466="L"),-$O466,0)+IF(AND($K467=BV$3,$C467="L"),-$O467,0)+IF(AND($K468=BV$3,$C468="L"),-$O468,0),IF(OR(AND($K466=BV$3,OR($C466="W",$C466="1/2W")),AND($K467=BV$3,OR($C467="W",$C467="1/2W")),AND($K468=BV$3,OR($C468="W",$C468="1/2W"))),$S466,0))</f>
        <v>0</v>
      </c>
      <c r="BW466" s="488">
        <f t="shared" si="951"/>
        <v>0</v>
      </c>
      <c r="BX466" s="488">
        <f t="shared" si="951"/>
        <v>0</v>
      </c>
      <c r="BY466" s="488">
        <f t="shared" si="951"/>
        <v>0</v>
      </c>
      <c r="BZ466" s="488">
        <f t="shared" si="951"/>
        <v>0</v>
      </c>
      <c r="CA466" s="488">
        <f t="shared" si="951"/>
        <v>0</v>
      </c>
      <c r="CB466" s="488">
        <f t="shared" si="951"/>
        <v>0</v>
      </c>
      <c r="CC466" s="488">
        <f t="shared" si="951"/>
        <v>0</v>
      </c>
      <c r="CD466" s="500">
        <f t="shared" si="951"/>
        <v>0</v>
      </c>
      <c r="CE466" s="504">
        <f t="shared" si="951"/>
        <v>0</v>
      </c>
      <c r="CF466" s="160">
        <f t="shared" si="899"/>
        <v>0</v>
      </c>
      <c r="CG466" s="161">
        <f t="shared" si="900"/>
        <v>0</v>
      </c>
      <c r="CH466" s="161">
        <f t="shared" si="901"/>
        <v>1</v>
      </c>
      <c r="CI466" s="161">
        <f t="shared" si="902"/>
        <v>0</v>
      </c>
      <c r="CJ466" s="161">
        <f t="shared" si="903"/>
        <v>0</v>
      </c>
      <c r="CK466" s="161">
        <f t="shared" si="904"/>
        <v>0</v>
      </c>
      <c r="CL466" s="161">
        <f t="shared" si="905"/>
        <v>0</v>
      </c>
      <c r="CM466" s="161">
        <f t="shared" si="906"/>
        <v>0</v>
      </c>
      <c r="CN466" s="161">
        <f t="shared" si="907"/>
        <v>0</v>
      </c>
      <c r="CO466" s="161">
        <f t="shared" si="908"/>
        <v>0</v>
      </c>
      <c r="CP466" s="161">
        <f t="shared" si="909"/>
        <v>0</v>
      </c>
      <c r="CQ466" s="161">
        <f t="shared" si="910"/>
        <v>0</v>
      </c>
      <c r="CR466" s="161">
        <f t="shared" si="911"/>
        <v>0</v>
      </c>
      <c r="CS466" s="161">
        <f t="shared" si="912"/>
        <v>0</v>
      </c>
      <c r="CT466" s="75">
        <f t="shared" si="913"/>
        <v>0</v>
      </c>
      <c r="CU466" s="76">
        <f t="shared" si="914"/>
        <v>0</v>
      </c>
      <c r="CV466" s="76">
        <f t="shared" si="915"/>
        <v>0</v>
      </c>
      <c r="CW466" s="76">
        <f t="shared" si="916"/>
        <v>0</v>
      </c>
      <c r="CX466" s="76">
        <f t="shared" si="917"/>
        <v>0</v>
      </c>
      <c r="CY466" s="76">
        <f t="shared" si="918"/>
        <v>0</v>
      </c>
      <c r="CZ466" s="76">
        <f t="shared" si="919"/>
        <v>0</v>
      </c>
      <c r="DA466" s="76">
        <f t="shared" si="920"/>
        <v>0</v>
      </c>
      <c r="DB466" s="76">
        <f t="shared" si="921"/>
        <v>0</v>
      </c>
      <c r="DC466" s="76">
        <f t="shared" si="922"/>
        <v>0</v>
      </c>
      <c r="DD466" s="76">
        <f t="shared" si="923"/>
        <v>0</v>
      </c>
      <c r="DE466" s="77">
        <f t="shared" si="924"/>
        <v>0</v>
      </c>
      <c r="DF466" s="73">
        <f t="shared" si="926"/>
        <v>31</v>
      </c>
      <c r="DG466" s="67">
        <f t="shared" si="927"/>
        <v>40.139999999999993</v>
      </c>
      <c r="DH466" s="76">
        <f t="shared" si="928"/>
        <v>11</v>
      </c>
      <c r="DI466" s="67">
        <f t="shared" si="929"/>
        <v>45.699999999999996</v>
      </c>
      <c r="DJ466" s="202" t="str">
        <f>IF($D466="","",$D466)</f>
        <v>15</v>
      </c>
      <c r="DK466" s="492">
        <f>IF(AND($B466=" ",$D466&lt;&gt;""),1,0)</f>
        <v>0</v>
      </c>
    </row>
    <row r="467" spans="1:115" ht="14.5" customHeight="1" x14ac:dyDescent="0.2">
      <c r="A467" s="389"/>
      <c r="B467" s="456"/>
      <c r="C467" s="53" t="s">
        <v>55</v>
      </c>
      <c r="D467" s="374"/>
      <c r="E467" s="386"/>
      <c r="F467" s="377"/>
      <c r="G467" s="508"/>
      <c r="H467" s="476"/>
      <c r="I467" s="182" t="s">
        <v>52</v>
      </c>
      <c r="J467" s="56">
        <f>IF(OR(I466="TO",I466="TU",I466="TO1",I466="TU1",I466="TO2",I466="TU2"),J466,IF(OR(I466="AH1",I466="AH2"),IF(OR(I467="AH1",I467="AH2"),-J466,IF(OR(I467="EH1",I467="EH2"),-J466+0.5,"")),IF(OR(I466="EH1",I466="EH2"),IF(OR(I467="AH1",I467="AH2"),-J466+0.5,IF(OR(I467="EH1",I467="EH2"),-J466+1,"")),IF(AND(OR(I466="DNB1",I466="DNB2"),OR(I467="AH1",I467="AH2")),0,IF(AND(I466="Not ScoreBoth",OR(I467="TO1",I467="TO2")),0.5,"")))))</f>
        <v>5.5</v>
      </c>
      <c r="K467" s="57" t="s">
        <v>47</v>
      </c>
      <c r="L467" s="164">
        <v>1.97</v>
      </c>
      <c r="M467" s="165">
        <v>14.35</v>
      </c>
      <c r="N467" s="406"/>
      <c r="O467" s="60">
        <f>IF(OR(AE466="",AE467=""),"",ROUND(IF(L468&gt;0,IF(M467&gt;0,M467,IF(M466&gt;0,IF(N466=TRUE,ROUND((M466*AE467)/AE466,0),(M466*AE467)/AE466),IF(M467&gt;0,ROUND(M467,IF(N466=0,2,IF(N466=0.1,1,0))),IF(M468&gt;0,ROUND(O468*AE467/AE468,IF(N466=0,2,IF(N466=0.1,1,0))),0)))),IF(M467&gt;0,M467,ROUND((M466*AE467)/AE466,IF(N466=0,2,IF(N466=0.1,1,0))))),2))</f>
        <v>14.35</v>
      </c>
      <c r="P467" s="61">
        <f>IF(OR(L467="",O467=""),"",IF($C467="1/2W",O467/2+O467/2*L467,IF($C467="1/2L",O467/2,IF(I467="Lay",((O467*(L467/(L467-1)))-O467)*(1-_xlfn.XLOOKUP(K467,'Fevereiro 2023 - Valor Real'!A3:A15,'Fevereiro 2023 - Valor Real'!C3:C15,0))+O467,(O467*L467-O467)*(1-_xlfn.XLOOKUP(K467,'Fevereiro 2023 - Valor Real'!A3:A15,'Fevereiro 2023 - Valor Real'!C3:C15,0))+O467))))</f>
        <v>28.269499999999997</v>
      </c>
      <c r="Q467" s="166">
        <f>IF(K467="","",IF(_xlfn.XLOOKUP(K467,K$10:K458,$DJ$10:DJ458,0,,-1)=DJ467,_xlfn.XLOOKUP(K467,K$10:K458,Q$10:Q458,1,,-1)+1,1))</f>
        <v>6</v>
      </c>
      <c r="R467" s="167">
        <f>IF(K467="","",_xlfn.XLOOKUP(K467,K$10:K458,R$10:R458,0,,-1)+IF($C467=" ",1,0))</f>
        <v>0</v>
      </c>
      <c r="S467" s="403"/>
      <c r="T467" s="380"/>
      <c r="U467" s="380"/>
      <c r="V467" s="481"/>
      <c r="W467" s="380"/>
      <c r="X467" s="452"/>
      <c r="Y467" s="383"/>
      <c r="Z467" s="384"/>
      <c r="AA467" s="384"/>
      <c r="AB467" s="384"/>
      <c r="AC467" s="384"/>
      <c r="AD467" s="64"/>
      <c r="AE467" s="65">
        <f>IF(L467="","",IF(L468&gt;0,(SUM(((L466-1)*(1-_xlfn.XLOOKUP(K466,'Fevereiro 2023 - Valor Real'!A3:A15,'Fevereiro 2023 - Valor Real'!C3:C15,0))+1),((L467-1)*(1-_xlfn.XLOOKUP(K467,'Fevereiro 2023 - Valor Real'!A3:A15,'Fevereiro 2023 - Valor Real'!C3:C15,0))+1),((L468-1)*(1-_xlfn.XLOOKUP(K468,'Fevereiro 2023 - Valor Real'!A3:A15,'Fevereiro 2023 - Valor Real'!C3:C15,0))+1))/((L467-1)*(1-_xlfn.XLOOKUP(K467,'Fevereiro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Real'!C3:C15,0))+1))/((L466-1)*(1-_xlfn.XLOOKUP(K466,'Fevereiro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Real'!C3:C15,0))+1))/((L467-1)*(1-_xlfn.XLOOKUP(K467,'Fevereiro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Real'!C3:C15,0))+1))/((L468-1)*(1-_xlfn.XLOOKUP(K468,'Fevereiro 2023 - Valor Real'!A3:A15,'Fevereiro 2023 - Valor Real'!C3:C15,0))+1)),IF(I467="Lay",IF(I466="Lay",((L466/(L466-1)-1)*(1-_xlfn.XLOOKUP(K466,'Fevereiro 2023 - Valor Real'!A3:A15,'Fevereiro 2023 - Valor Real'!C3:C15,0))+1)/(((L466/(L466-1)-1)*(1-_xlfn.XLOOKUP(K466,'Fevereiro 2023 - Valor Real'!A3:A15,'Fevereiro 2023 - Valor Real'!C3:C15,0))+1)+((L467/(L467-1)-1)*(1-_xlfn.XLOOKUP(K467,'Fevereiro 2023 - Valor Real'!A3:A15,'Fevereiro 2023 - Valor Real'!C3:C15,0))+1)),((L466-1)*(1-_xlfn.XLOOKUP(K466,'Fevereiro 2023 - Valor Real'!A3:A15,'Fevereiro 2023 - Valor Real'!C3:C15,0))+1)/(((L466-1)*(1-_xlfn.XLOOKUP(K466,'Fevereiro 2023 - Valor Real'!A3:A15,'Fevereiro 2023 - Valor Real'!C3:C15,0))+1)+((L467/(L467-1)-1)*(1-_xlfn.XLOOKUP(K467,'Fevereiro 2023 - Valor Real'!A3:A15,'Fevereiro 2023 - Valor Real'!C3:C15,0))+1))),IF(I466="Lay",((L466/(L466-1)-1)*(1-_xlfn.XLOOKUP(K466,'Fevereiro 2023 - Valor Real'!A3:A15,'Fevereiro 2023 - Valor Real'!C3:C15,0))+1)/((((L466/(L466-1)-1)*(1-_xlfn.XLOOKUP(K466,'Fevereiro 2023 - Valor Real'!A3:A15,'Fevereiro 2023 - Valor Real'!C3:C15,0))+1))+((L467-1)*(1-_xlfn.XLOOKUP(K467,'Fevereiro 2023 - Valor Real'!A3:A15,'Fevereiro 2023 - Valor Real'!C3:C15,0))+1)),((L466-1)*(1-_xlfn.XLOOKUP(K466,'Fevereiro 2023 - Valor Real'!A3:A15,'Fevereiro 2023 - Valor Real'!C3:C15,0))+1)/(((L466-1)*(1-_xlfn.XLOOKUP(K466,'Fevereiro 2023 - Valor Real'!A3:A15,'Fevereiro 2023 - Valor Real'!C3:C15,0))+1)+((L467-1)*(1-_xlfn.XLOOKUP(K467,'Fevereiro 2023 - Valor Real'!A3:A15,'Fevereiro 2023 - Valor Real'!C3:C15,0))+1))))))</f>
        <v>0.56892778993435444</v>
      </c>
      <c r="AF467" s="66">
        <f t="shared" si="946"/>
        <v>0</v>
      </c>
      <c r="AG467" s="67">
        <f t="shared" si="946"/>
        <v>0</v>
      </c>
      <c r="AH467" s="67">
        <f t="shared" si="946"/>
        <v>0</v>
      </c>
      <c r="AI467" s="67">
        <f t="shared" si="946"/>
        <v>0</v>
      </c>
      <c r="AJ467" s="67">
        <f t="shared" si="946"/>
        <v>0</v>
      </c>
      <c r="AK467" s="67">
        <f t="shared" si="946"/>
        <v>0</v>
      </c>
      <c r="AL467" s="67">
        <f t="shared" si="946"/>
        <v>0</v>
      </c>
      <c r="AM467" s="67">
        <f t="shared" si="946"/>
        <v>0</v>
      </c>
      <c r="AN467" s="67">
        <f t="shared" si="946"/>
        <v>0</v>
      </c>
      <c r="AO467" s="67">
        <f t="shared" si="946"/>
        <v>0</v>
      </c>
      <c r="AP467" s="67">
        <f t="shared" si="946"/>
        <v>0</v>
      </c>
      <c r="AQ467" s="67">
        <f t="shared" si="946"/>
        <v>-14.35</v>
      </c>
      <c r="AR467" s="68">
        <f t="shared" si="946"/>
        <v>0</v>
      </c>
      <c r="AS467" s="66">
        <f>IF(AND($B466=" ",$K467=AS$3),$O467,0)</f>
        <v>0</v>
      </c>
      <c r="AT467" s="67">
        <f>IF(AND($B466=" ",K467=AT$3),$O467,0)</f>
        <v>0</v>
      </c>
      <c r="AU467" s="67">
        <f t="shared" ref="AU467:BE467" si="952">IF(AND($B466=" ",$K467=AU$3),$O467,0)</f>
        <v>0</v>
      </c>
      <c r="AV467" s="67">
        <f t="shared" si="952"/>
        <v>0</v>
      </c>
      <c r="AW467" s="67">
        <f t="shared" si="952"/>
        <v>0</v>
      </c>
      <c r="AX467" s="67">
        <f t="shared" si="952"/>
        <v>0</v>
      </c>
      <c r="AY467" s="69">
        <f t="shared" si="952"/>
        <v>0</v>
      </c>
      <c r="AZ467" s="70">
        <f t="shared" si="952"/>
        <v>0</v>
      </c>
      <c r="BA467" s="70">
        <f t="shared" si="952"/>
        <v>0</v>
      </c>
      <c r="BB467" s="70">
        <f t="shared" si="952"/>
        <v>0</v>
      </c>
      <c r="BC467" s="71">
        <f t="shared" si="952"/>
        <v>0</v>
      </c>
      <c r="BD467" s="67">
        <f t="shared" si="952"/>
        <v>0</v>
      </c>
      <c r="BE467" s="68">
        <f t="shared" si="952"/>
        <v>0</v>
      </c>
      <c r="BF467" s="66">
        <f t="shared" si="948"/>
        <v>0</v>
      </c>
      <c r="BG467" s="168">
        <f t="shared" si="948"/>
        <v>0</v>
      </c>
      <c r="BH467" s="67">
        <f t="shared" si="948"/>
        <v>0</v>
      </c>
      <c r="BI467" s="67">
        <f t="shared" si="948"/>
        <v>0</v>
      </c>
      <c r="BJ467" s="67">
        <f t="shared" si="948"/>
        <v>0</v>
      </c>
      <c r="BK467" s="67">
        <f t="shared" si="948"/>
        <v>0</v>
      </c>
      <c r="BL467" s="67">
        <f t="shared" si="948"/>
        <v>0</v>
      </c>
      <c r="BM467" s="69">
        <f t="shared" si="948"/>
        <v>0</v>
      </c>
      <c r="BN467" s="70">
        <f t="shared" si="948"/>
        <v>0</v>
      </c>
      <c r="BO467" s="70">
        <f t="shared" si="948"/>
        <v>0</v>
      </c>
      <c r="BP467" s="70">
        <f t="shared" si="948"/>
        <v>0</v>
      </c>
      <c r="BQ467" s="71">
        <f t="shared" si="948"/>
        <v>14.35</v>
      </c>
      <c r="BR467" s="68">
        <f t="shared" si="948"/>
        <v>0</v>
      </c>
      <c r="BS467" s="491"/>
      <c r="BT467" s="489"/>
      <c r="BU467" s="392"/>
      <c r="BV467" s="489"/>
      <c r="BW467" s="392"/>
      <c r="BX467" s="392"/>
      <c r="BY467" s="392"/>
      <c r="BZ467" s="489"/>
      <c r="CA467" s="392"/>
      <c r="CB467" s="392"/>
      <c r="CC467" s="392"/>
      <c r="CD467" s="401"/>
      <c r="CE467" s="409"/>
      <c r="CF467" s="169">
        <f t="shared" si="899"/>
        <v>0</v>
      </c>
      <c r="CG467" s="170">
        <f t="shared" si="900"/>
        <v>0</v>
      </c>
      <c r="CH467" s="170">
        <f t="shared" si="901"/>
        <v>0</v>
      </c>
      <c r="CI467" s="170">
        <f t="shared" si="902"/>
        <v>0</v>
      </c>
      <c r="CJ467" s="170">
        <f t="shared" si="903"/>
        <v>0</v>
      </c>
      <c r="CK467" s="170">
        <f t="shared" si="904"/>
        <v>0</v>
      </c>
      <c r="CL467" s="170">
        <f t="shared" si="905"/>
        <v>0</v>
      </c>
      <c r="CM467" s="170">
        <f t="shared" si="906"/>
        <v>0</v>
      </c>
      <c r="CN467" s="170">
        <f t="shared" si="907"/>
        <v>0</v>
      </c>
      <c r="CO467" s="170">
        <f t="shared" si="908"/>
        <v>0</v>
      </c>
      <c r="CP467" s="170">
        <f t="shared" si="909"/>
        <v>0</v>
      </c>
      <c r="CQ467" s="170">
        <f t="shared" si="910"/>
        <v>0</v>
      </c>
      <c r="CR467" s="170">
        <f t="shared" si="911"/>
        <v>0</v>
      </c>
      <c r="CS467" s="170">
        <f t="shared" si="912"/>
        <v>0</v>
      </c>
      <c r="CT467" s="75">
        <f t="shared" si="913"/>
        <v>0</v>
      </c>
      <c r="CU467" s="76">
        <f t="shared" si="914"/>
        <v>0</v>
      </c>
      <c r="CV467" s="76">
        <f t="shared" si="915"/>
        <v>0</v>
      </c>
      <c r="CW467" s="76">
        <f t="shared" si="916"/>
        <v>0</v>
      </c>
      <c r="CX467" s="76">
        <f t="shared" si="917"/>
        <v>0</v>
      </c>
      <c r="CY467" s="76">
        <f t="shared" si="918"/>
        <v>0</v>
      </c>
      <c r="CZ467" s="76">
        <f t="shared" si="919"/>
        <v>0</v>
      </c>
      <c r="DA467" s="76">
        <f t="shared" si="920"/>
        <v>0</v>
      </c>
      <c r="DB467" s="76">
        <f t="shared" si="921"/>
        <v>0</v>
      </c>
      <c r="DC467" s="76">
        <f t="shared" si="922"/>
        <v>1</v>
      </c>
      <c r="DD467" s="76">
        <f t="shared" si="923"/>
        <v>0</v>
      </c>
      <c r="DE467" s="77">
        <f t="shared" si="924"/>
        <v>0</v>
      </c>
      <c r="DF467" s="73">
        <f t="shared" si="926"/>
        <v>31</v>
      </c>
      <c r="DG467" s="67">
        <f t="shared" si="927"/>
        <v>40.139999999999993</v>
      </c>
      <c r="DH467" s="76">
        <f t="shared" si="928"/>
        <v>11</v>
      </c>
      <c r="DI467" s="67">
        <f t="shared" si="929"/>
        <v>45.699999999999996</v>
      </c>
      <c r="DJ467" s="202" t="str">
        <f>IF($D466="","",$D466)</f>
        <v>15</v>
      </c>
      <c r="DK467" s="493"/>
    </row>
    <row r="468" spans="1:115" ht="14.5" customHeight="1" x14ac:dyDescent="0.2">
      <c r="A468" s="390"/>
      <c r="B468" s="457"/>
      <c r="C468" s="79" t="s">
        <v>53</v>
      </c>
      <c r="D468" s="375"/>
      <c r="E468" s="387"/>
      <c r="F468" s="378"/>
      <c r="G468" s="508"/>
      <c r="H468" s="477"/>
      <c r="I468" s="171"/>
      <c r="J468" s="172"/>
      <c r="K468" s="81"/>
      <c r="L468" s="173"/>
      <c r="M468" s="174"/>
      <c r="N468" s="407"/>
      <c r="O468" s="86" t="str">
        <f>IF(OR(AE466="",AE467=""),"",IF(L468&gt;0,ROUND(IF(M468&gt;0,M468,IF(M466&gt;0,ROUND((M466*AE468)/AE466,IF(N466=0,2,IF(N466=0.1,1,0))),IF(M467&gt;0,ROUND((M467*AE468)/AE467,IF(N466=0,2,IF(N466=0.1,1,0))),IF(M468&gt;0,M468,0)))),2),""))</f>
        <v/>
      </c>
      <c r="P468" s="87" t="str">
        <f>IF(I467="Lay",O467*(L467/(L467-1))-O467,IF(I466="Lay",O466*(L466/(L466-1))-O466,IF(OR(L468="",O468=""),"",IF($C468="1/2W",O468/2+O468/2*L468,IF($C468="1/2L",O468/2,(O468*L468-O468)*(1-_xlfn.XLOOKUP(K468,'Fevereiro 2023 - Valor Real'!A3:A15,'Fevereiro 2023 - Valor Real'!C3:C15,0))+O468)))))</f>
        <v/>
      </c>
      <c r="Q468" s="54" t="str">
        <f>IF(K468="","",IF(_xlfn.XLOOKUP(K468,K$11:K458,$DJ$11:DJ458,0,,-1)=DJ468,_xlfn.XLOOKUP(K468,K$11:K458,Q$11:Q458,1,,-1)+1,1))</f>
        <v/>
      </c>
      <c r="R468" s="87" t="str">
        <f>IF(K468="","",_xlfn.XLOOKUP(K468,K$11:K458,R$11:R458,0,,-1)+IF($C468=" ",1,0))</f>
        <v/>
      </c>
      <c r="S468" s="404"/>
      <c r="T468" s="378"/>
      <c r="U468" s="378"/>
      <c r="V468" s="404"/>
      <c r="W468" s="378"/>
      <c r="X468" s="453"/>
      <c r="Y468" s="383"/>
      <c r="Z468" s="384"/>
      <c r="AA468" s="384"/>
      <c r="AB468" s="384"/>
      <c r="AC468" s="384"/>
      <c r="AD468" s="90"/>
      <c r="AE468" s="91" t="str">
        <f>IF(L468="","",(SUM(((L466-1)*(1-_xlfn.XLOOKUP(K466,'Fevereiro 2023 - Valor Real'!A3:A15,'Fevereiro 2023 - Valor Real'!C3:C15,0))+1),((L467-1)*(1-_xlfn.XLOOKUP(K467,'Fevereiro 2023 - Valor Real'!A3:A15,'Fevereiro 2023 - Valor Real'!C3:C15,0))+1),((L468-1)*(1-_xlfn.XLOOKUP(K468,'Fevereiro 2023 - Valor Real'!A3:A15,'Fevereiro 2023 - Valor Real'!C3:C15,0))+1))/((L468-1)*(1-_xlfn.XLOOKUP(K468,'Fevereiro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Real'!C3:C15,0))+1))/((L466-1)*(1-_xlfn.XLOOKUP(K466,'Fevereiro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Real'!C3:C15,0))+1))/((L467-1)*(1-_xlfn.XLOOKUP(K467,'Fevereiro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Real'!C3:C15,0))+1))/((L468-1)*(1-_xlfn.XLOOKUP(K468,'Fevereiro 2023 - Valor Real'!A3:A15,'Fevereiro 2023 - Valor Real'!C3:C15,0))+1)))</f>
        <v/>
      </c>
      <c r="AF468" s="66">
        <f t="shared" si="946"/>
        <v>0</v>
      </c>
      <c r="AG468" s="67">
        <f t="shared" si="946"/>
        <v>0</v>
      </c>
      <c r="AH468" s="67">
        <f t="shared" si="946"/>
        <v>0</v>
      </c>
      <c r="AI468" s="67">
        <f t="shared" si="946"/>
        <v>0</v>
      </c>
      <c r="AJ468" s="67">
        <f t="shared" si="946"/>
        <v>0</v>
      </c>
      <c r="AK468" s="67">
        <f t="shared" si="946"/>
        <v>0</v>
      </c>
      <c r="AL468" s="67">
        <f t="shared" si="946"/>
        <v>0</v>
      </c>
      <c r="AM468" s="67">
        <f t="shared" si="946"/>
        <v>0</v>
      </c>
      <c r="AN468" s="67">
        <f t="shared" si="946"/>
        <v>0</v>
      </c>
      <c r="AO468" s="67">
        <f t="shared" si="946"/>
        <v>0</v>
      </c>
      <c r="AP468" s="67">
        <f t="shared" si="946"/>
        <v>0</v>
      </c>
      <c r="AQ468" s="67">
        <f t="shared" si="946"/>
        <v>0</v>
      </c>
      <c r="AR468" s="68">
        <f t="shared" si="946"/>
        <v>0</v>
      </c>
      <c r="AS468" s="66">
        <f>IF(AND($B466=" ",$K468=AS$3),$O468,0)</f>
        <v>0</v>
      </c>
      <c r="AT468" s="67">
        <f>IF(AND($B466=" ",K468=AT$3),$O468,0)</f>
        <v>0</v>
      </c>
      <c r="AU468" s="67">
        <f t="shared" ref="AU468:BE468" si="953">IF(AND($B466=" ",$K468=AU$3),$O468,0)</f>
        <v>0</v>
      </c>
      <c r="AV468" s="67">
        <f t="shared" si="953"/>
        <v>0</v>
      </c>
      <c r="AW468" s="67">
        <f t="shared" si="953"/>
        <v>0</v>
      </c>
      <c r="AX468" s="67">
        <f t="shared" si="953"/>
        <v>0</v>
      </c>
      <c r="AY468" s="69">
        <f t="shared" si="953"/>
        <v>0</v>
      </c>
      <c r="AZ468" s="70">
        <f t="shared" si="953"/>
        <v>0</v>
      </c>
      <c r="BA468" s="70">
        <f t="shared" si="953"/>
        <v>0</v>
      </c>
      <c r="BB468" s="70">
        <f t="shared" si="953"/>
        <v>0</v>
      </c>
      <c r="BC468" s="71">
        <f t="shared" si="953"/>
        <v>0</v>
      </c>
      <c r="BD468" s="67">
        <f t="shared" si="953"/>
        <v>0</v>
      </c>
      <c r="BE468" s="68">
        <f t="shared" si="953"/>
        <v>0</v>
      </c>
      <c r="BF468" s="66">
        <f t="shared" si="948"/>
        <v>0</v>
      </c>
      <c r="BG468" s="168">
        <f t="shared" si="948"/>
        <v>0</v>
      </c>
      <c r="BH468" s="67">
        <f t="shared" si="948"/>
        <v>0</v>
      </c>
      <c r="BI468" s="67">
        <f t="shared" si="948"/>
        <v>0</v>
      </c>
      <c r="BJ468" s="67">
        <f t="shared" si="948"/>
        <v>0</v>
      </c>
      <c r="BK468" s="67">
        <f t="shared" si="948"/>
        <v>0</v>
      </c>
      <c r="BL468" s="67">
        <f t="shared" si="948"/>
        <v>0</v>
      </c>
      <c r="BM468" s="69">
        <f t="shared" si="948"/>
        <v>0</v>
      </c>
      <c r="BN468" s="70">
        <f t="shared" si="948"/>
        <v>0</v>
      </c>
      <c r="BO468" s="70">
        <f t="shared" si="948"/>
        <v>0</v>
      </c>
      <c r="BP468" s="70">
        <f t="shared" si="948"/>
        <v>0</v>
      </c>
      <c r="BQ468" s="71">
        <f t="shared" si="948"/>
        <v>0</v>
      </c>
      <c r="BR468" s="68">
        <f t="shared" si="948"/>
        <v>0</v>
      </c>
      <c r="BS468" s="491"/>
      <c r="BT468" s="489"/>
      <c r="BU468" s="392"/>
      <c r="BV468" s="489"/>
      <c r="BW468" s="392"/>
      <c r="BX468" s="392"/>
      <c r="BY468" s="392"/>
      <c r="BZ468" s="489"/>
      <c r="CA468" s="392"/>
      <c r="CB468" s="392"/>
      <c r="CC468" s="392"/>
      <c r="CD468" s="401"/>
      <c r="CE468" s="409"/>
      <c r="CF468" s="169">
        <f t="shared" si="899"/>
        <v>0</v>
      </c>
      <c r="CG468" s="170">
        <f t="shared" si="900"/>
        <v>0</v>
      </c>
      <c r="CH468" s="170">
        <f t="shared" si="901"/>
        <v>0</v>
      </c>
      <c r="CI468" s="170">
        <f t="shared" si="902"/>
        <v>0</v>
      </c>
      <c r="CJ468" s="170">
        <f t="shared" si="903"/>
        <v>0</v>
      </c>
      <c r="CK468" s="170">
        <f t="shared" si="904"/>
        <v>0</v>
      </c>
      <c r="CL468" s="170">
        <f t="shared" si="905"/>
        <v>0</v>
      </c>
      <c r="CM468" s="170">
        <f t="shared" si="906"/>
        <v>0</v>
      </c>
      <c r="CN468" s="170">
        <f t="shared" si="907"/>
        <v>0</v>
      </c>
      <c r="CO468" s="170">
        <f t="shared" si="908"/>
        <v>0</v>
      </c>
      <c r="CP468" s="170">
        <f t="shared" si="909"/>
        <v>0</v>
      </c>
      <c r="CQ468" s="170">
        <f t="shared" si="910"/>
        <v>0</v>
      </c>
      <c r="CR468" s="170">
        <f t="shared" si="911"/>
        <v>0</v>
      </c>
      <c r="CS468" s="170">
        <f t="shared" si="912"/>
        <v>0</v>
      </c>
      <c r="CT468" s="75">
        <f t="shared" si="913"/>
        <v>0</v>
      </c>
      <c r="CU468" s="76">
        <f t="shared" si="914"/>
        <v>0</v>
      </c>
      <c r="CV468" s="76">
        <f t="shared" si="915"/>
        <v>0</v>
      </c>
      <c r="CW468" s="76">
        <f t="shared" si="916"/>
        <v>0</v>
      </c>
      <c r="CX468" s="76">
        <f t="shared" si="917"/>
        <v>0</v>
      </c>
      <c r="CY468" s="76">
        <f t="shared" si="918"/>
        <v>0</v>
      </c>
      <c r="CZ468" s="76">
        <f t="shared" si="919"/>
        <v>0</v>
      </c>
      <c r="DA468" s="76">
        <f t="shared" si="920"/>
        <v>0</v>
      </c>
      <c r="DB468" s="76">
        <f t="shared" si="921"/>
        <v>0</v>
      </c>
      <c r="DC468" s="76">
        <f t="shared" si="922"/>
        <v>0</v>
      </c>
      <c r="DD468" s="76">
        <f t="shared" si="923"/>
        <v>0</v>
      </c>
      <c r="DE468" s="77">
        <f t="shared" si="924"/>
        <v>0</v>
      </c>
      <c r="DF468" s="73">
        <f t="shared" si="926"/>
        <v>31</v>
      </c>
      <c r="DG468" s="67">
        <f t="shared" si="927"/>
        <v>40.139999999999993</v>
      </c>
      <c r="DH468" s="76">
        <f t="shared" si="928"/>
        <v>11</v>
      </c>
      <c r="DI468" s="67">
        <f t="shared" si="929"/>
        <v>45.699999999999996</v>
      </c>
      <c r="DJ468" s="202" t="str">
        <f>IF($D466="","",$D466)</f>
        <v>15</v>
      </c>
      <c r="DK468" s="493"/>
    </row>
    <row r="469" spans="1:115" ht="14.5" customHeight="1" x14ac:dyDescent="0.2">
      <c r="A469" s="459">
        <f>$A466+1</f>
        <v>156</v>
      </c>
      <c r="B469" s="507" t="str">
        <f>IF(OR(C469="W",C470="W",C471="W",C469="1/2W",C470="1/2W",C471="1/2W",C469="1/2L",C470="1/2L",C471="1/2L"),"OK",IF(OR(C469="L",C470="L",C471="L"),"LOSS",IF(OR(C469="X",C470="X",C471="X"),"Anulado"," ")))</f>
        <v>OK</v>
      </c>
      <c r="C469" s="93" t="s">
        <v>55</v>
      </c>
      <c r="D469" s="468" t="str">
        <f>IF(G469="","",$D466)</f>
        <v>15</v>
      </c>
      <c r="E469" s="485" t="str">
        <f>IF(G469=""," ","– "&amp;COUNTIF(D$4:D471,$D469))</f>
        <v>– 14</v>
      </c>
      <c r="F469" s="509" t="str">
        <f ca="1">IF(G469="","",IF(OR(AND($C469&lt;&gt;" ",$C470=" "),AND($C470&lt;&gt;" ",$C469=" "),AND(L471&gt;0,OR(AND($C471&lt;&gt;" ",OR($C469=" ",$C470=" ")),AND($C471=" ",OR($C469&lt;&gt;" ",$C470&lt;&gt;" "))))),IF(SUM(F$4:F468)=0,1,LARGE(F$4:F468,1)+1),IF(MONTH(G469)=MONTH(TODAY()),IF(AND(DAY(G469)&lt;DAY(TODAY()),$B469=" "),IF(SUM(F$4:F468)=0,1,LARGE(F$4:F468,1)+1),IF($B469=" ",IF(AND(DAY(G469)=DAY(TODAY()),HOUR(G469)&lt;=HOUR(NOW())+1),IF(AND(HOUR(G469)+2&lt;=HOUR(NOW()),DAY(G469)&lt;=DAY(TODAY()),MINUTE(G469)&lt;=MINUTE(NOW())),IF(SUM(F$4:F468)=0,1,LARGE(F$4:F468,1)+1),IF(OR(MINUTE(G469)&lt;=MINUTE(NOW()),HOUR(G469)&lt;=HOUR(NOW())),"!!!","")),""),"")),"")))</f>
        <v/>
      </c>
      <c r="G469" s="482">
        <f>IF(H469="","",_xlfn.XLOOKUP(H469,$H$4:H468,$G$4:G468,""))</f>
        <v>45000.791666666664</v>
      </c>
      <c r="H469" s="475" t="s">
        <v>192</v>
      </c>
      <c r="I469" s="94" t="s">
        <v>59</v>
      </c>
      <c r="J469" s="176"/>
      <c r="K469" s="96" t="s">
        <v>47</v>
      </c>
      <c r="L469" s="97">
        <v>2.21</v>
      </c>
      <c r="M469" s="98"/>
      <c r="N469" s="478">
        <v>0.1</v>
      </c>
      <c r="O469" s="99">
        <f>IF(OR(AE469="",AE470=""),"",ROUND(IF(L471&gt;0,IF(M469&gt;0,M469,IF(M470&gt;0,ROUND((M470*AE469)/AE470,IF(N469=0,2,IF(N469=0.1,1,0))),ROUND((M471*AE469)/AE471,IF(N469=0,2,IF(N469=0.1,1,0))))),IF(M469&gt;0,M469,ROUND((M470*AE469)/AE470,IF(N469=0,2,IF(N469=0.1,1,0))))),2))</f>
        <v>20</v>
      </c>
      <c r="P469" s="100">
        <f>IF(OR(L469="",O469=""),"",IF($C469="1/2W",O469/2+O469/2*L469,IF($C469="1/2L",O469/2,IF(I469="Lay",(O469*(L469/(L469-1))-O469)*(1-_xlfn.XLOOKUP(K469,'Fevereiro 2023 - Valor Real'!A3:A15,'Fevereiro 2023 - Valor Real'!C3:C15,0))+O469,(O469*L469-O469)*(1-_xlfn.XLOOKUP(K469,'Fevereiro 2023 - Valor Real'!A3:A15,'Fevereiro 2023 - Valor Real'!C3:C15,0))+O469))))</f>
        <v>44.2</v>
      </c>
      <c r="Q469" s="101">
        <f>IF(K469="","",IF(_xlfn.XLOOKUP(K469,K$4:K468,$DJ$4:DJ468,0,,-1)=DJ469,_xlfn.XLOOKUP(K469,K$4:K468,Q$4:Q468,1,,-1)+1,1))</f>
        <v>7</v>
      </c>
      <c r="R469" s="102">
        <f>IF(K469="","",_xlfn.XLOOKUP(K469,K$4:K468,R$4:R468,0,,-1)+IF($C469=" ",1,0))</f>
        <v>0</v>
      </c>
      <c r="S469" s="474">
        <f>IF($B469="Anulado",0,ROUND(IF(OR($B469="LOSS",$B469="OK"),IF(OR($C469="W",$C469="1/2W",$C469="1/2L"),P469-O469,IF($C469="L",-O469,0))+IF(OR($C470="W",$C470="1/2W",$C470="1/2L"),P470-O470,IF($C470="L",-O470,0))+IF(OR($C471="W",$C471="1/2W",$C471="1/2L"),P471-O471,IF($C471="L",-O471,0)),IF(AND(OR($C469="W",$C469="1/2W",$C469="1/2L"),C470="W"),P469+P470-SUM(O469:O471)+_xlfn.XLOOKUP("X",C469:C471,O469:O471,0),IF(AND(C469=TRUE,C471="W"),P469+P471-SUM(O469:O471),IF(AND(C470="W",C471="W"),P470+P471-SUM(O469:O471)+_xlfn.XLOOKUP("X",C469:C471,O469:O471,0),IF(L471&gt;0,IF(OR($C469="W",$C469="1/2W",$C469="1/2L"),P469-SUM(O469:O471)+_xlfn.XLOOKUP("X",C469:C471,O469:O471,0),IF(OR($C469="W",$C469="1/2W",$C469="1/2L"),P470-SUM(O469:O471)+_xlfn.XLOOKUP("X",C469:C471,O469:O471,0),IF(OR($C469="W",$C469="1/2W",$C469="1/2L"),P471-SUM(O469:O471)+_xlfn.XLOOKUP("X",C469:C471,O469:O471,0),IF(SUM(P469:P471)/3-SUM(O469:O471)+_xlfn.XLOOKUP("X",C469:C471,O469:O471,0)&gt;0,SUM(P469:P471)/3-SUM(O469:O471)+_xlfn.XLOOKUP("X",C469:C471,O469:O471,0),LARGE(P469:P471,1)-SUM(O469:O471))))),IF(OR($C469="W",$C469="1/2W",$C469="1/2L"),P469-SUM(O469:O470)+_xlfn.XLOOKUP("X",C469:C471,O469:O471,0),IF(OR($C469="W",$C469="1/2W",$C469="1/2L"),P470-SUM(O469:O470)+_xlfn.XLOOKUP("X",C469:C471,O469:O471,0),SUM(P469:P470)/2-SUM(O469:O470)+_xlfn.XLOOKUP("X",C469:C471,O469:O471,0)))))))),2))</f>
        <v>3.19</v>
      </c>
      <c r="T469" s="458">
        <f>IF(S469=0,0,S469/SUM(O469:O471))</f>
        <v>7.7653359298928915E-2</v>
      </c>
      <c r="U469" s="470">
        <f>IF($D469=$D466,IF(OR($B469="LOSS",$B469="OK",$B469="Anulada"),S469,0)+U466,IF(OR($B469="LOSS",$B469="OK",$B469="Anulada"),S469,0))</f>
        <v>42.68</v>
      </c>
      <c r="V469" s="470">
        <f>IF($D469="",0,IF($D469=$D466,IF($B469=" ",IF(I471="",IF(OR(AND(I469="DNB1",I470="DNB2"),AND(OR(I469="DNB1",I469="DNB2"),J470=0),AND(OR(I470="DNB1",I470="DNB2"),J469=0),AND(I469="DNB2",I470="DNB1"),AND(IF(J469=0,(J469+1)/ROUND(J469+1,0),J469/ROUND(J469,0))=1,IF(J470=0,(J470+1)/ROUND(IF(J470="",0,J470)+1,0),IF(J470="",0,J470)/ROUND(IF(J470="",1,J470),0))=1,OR(J469&lt;&gt;""),J470&lt;&gt;"")),0,IF(S469&lt;0,IF(I471="",SMALL(P469:P470,1)-SUM(O469:O470),0),SMALL(P469:P470,1)-SUM(O469:O470))),IF(S469&lt;0,IF(I471="",SMALL(P469:P471,1)-SUM(O469:O471),0),LARGE(P469:P471,1)-SUM(O469:O471))),S469)+V466,IF(I471="",IF(OR(AND(I469="DNB1",I470="DNB2"),AND(OR(I469="DNB1",I469="DNB2"),J470=0),AND(OR(I470="DNB1",I470="DNB2"),J469=0),AND(I469="DNB2",I470="DNB1"),AND(IF(J469=0,(J469+1)/ROUND(J469+1,0),J469/ROUND(J469,0))=1,IF(J470=0,(IF(J470="",0,J470)+1)/ROUND(IF(J470="",0,J470)+1,0),IF(J470="",0,J470)/ROUND(IF(J470="",0,J470)+1,0))=1,OR(J469&lt;&gt;""),J470&lt;&gt;"")),0,IF(S469&lt;0,IF(I471="",SMALL(P469:P470,1)-SUM(O469:O470),0),SMALL(P469:P471,1)-SUM(O469:O471))),IF(S469&lt;0,IF(I471="",SMALL(P469:P471,1)-SUM(O469:O471),0),LARGE(P469:P471,1)-SUM(O469:O471)))))</f>
        <v>42.666599999999995</v>
      </c>
      <c r="W469" s="470">
        <f>IF($D469=$D466,IF(S469&lt;0,IF(I471="",S469,0),S469)+W466,S469)</f>
        <v>42.68</v>
      </c>
      <c r="X469" s="480" t="str">
        <f>IF(OR(SUM(R469:R471)=0,V469=W469),ROUND(IF(W469=0,0,W469/Y469)*100,2)&amp;"%",ROUND(IF(V469=0,0,V469/Y469)*100,2)&amp;"% a "&amp;ROUND(IF(W469=0,0,W469/Y469)*100,2)&amp;"%")</f>
        <v>5,16%</v>
      </c>
      <c r="Y469" s="471">
        <f>IF($D469=$D466,Y466+SUM(O469:O471),SUM(O469:O471))</f>
        <v>827.63000000000022</v>
      </c>
      <c r="Z469" s="470">
        <f>IF($B469=" ",SUM(O469:O471),0)+Z466</f>
        <v>0</v>
      </c>
      <c r="AA469" s="470">
        <f>IF(G469="","",IF($B469="Anulado",LARGE(P469:P471,1)-SUM(O469:O471)+AA466,AA466))</f>
        <v>12.425099999999992</v>
      </c>
      <c r="AB469" s="470">
        <f>IF($D469="","",AB466+S469)</f>
        <v>571.10000000000014</v>
      </c>
      <c r="AC469" s="472">
        <f ca="1">IF($D469="","",IF($B469=" ",IF(DAY(G469)=DAY(TODAY()),1+AC466,0+AC466),0+AC466))</f>
        <v>0</v>
      </c>
      <c r="AD469" s="103">
        <f>(((L470/(L470-1)-1)*(1-_xlfn.XLOOKUP(K470,'Fevereiro 2023 - Valor Real'!A3:A15,'Fevereiro 2023 - Valor Real'!C3:C15,0))+1))/(((L469-1)*(1-_xlfn.XLOOKUP(K469,'Fevereiro 2023 - Valor Real'!A3:A15,'Fevereiro 2023 - Valor Real'!C3:C15,0))+1)+((L470/(L470-1)-1)*(1-_xlfn.XLOOKUP(K470,'Fevereiro 2023 - Valor Real'!A3:A15,'Fevereiro 2023 - Valor Real'!C3:C15,0))+1))</f>
        <v>0.46347384683292869</v>
      </c>
      <c r="AE469" s="104">
        <f>IF(L469="","",IF(L471&gt;0,(SUM(((L469-1)*(1-_xlfn.XLOOKUP(K469,'Fevereiro 2023 - Valor Real'!A3:A15,'Fevereiro 2023 - Valor Real'!C3:C15,0))+1),((L470-1)*(1-_xlfn.XLOOKUP(K470,'Fevereiro 2023 - Valor Real'!A3:A15,'Fevereiro 2023 - Valor Real'!C3:C15,0))+1),((L471-1)*(1-_xlfn.XLOOKUP(K471,'Fevereiro 2023 - Valor Real'!A3:A15,'Fevereiro 2023 - Valor Real'!C3:C15,0))+1))/((L469-1)*(1-_xlfn.XLOOKUP(K469,'Fevereiro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Real'!C3:C15,0))+1))/((L469-1)*(1-_xlfn.XLOOKUP(K469,'Fevereiro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Real'!C3:C15,0))+1))/((L470-1)*(1-_xlfn.XLOOKUP(K470,'Fevereiro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Real'!C3:C15,0))+1))/((L471-1)*(1-_xlfn.XLOOKUP(K471,'Fevereiro 2023 - Valor Real'!A3:A15,'Fevereiro 2023 - Valor Real'!C3:C15,0))+1)),IF(I469="Lay",IF(I470="Lay",((L470/(L470-1)-1)*(1-_xlfn.XLOOKUP(K470,'Fevereiro 2023 - Valor Real'!A3:A15,'Fevereiro 2023 - Valor Real'!C3:C15,0))+1)/(((L470/(L470-1)-1)*(1-_xlfn.XLOOKUP(K470,'Fevereiro 2023 - Valor Real'!A3:A15,'Fevereiro 2023 - Valor Real'!C3:C15,0))+1)+((L469/(L469-1)-1)*(1-_xlfn.XLOOKUP(K469,'Fevereiro 2023 - Valor Real'!A3:A15,'Fevereiro 2023 - Valor Real'!C3:C15,0))+1)),((L470-1)*(1-_xlfn.XLOOKUP(K470,'Fevereiro 2023 - Valor Real'!A3:A15,'Fevereiro 2023 - Valor Real'!C3:C15,0))+1)/(((L470-1)*(1-_xlfn.XLOOKUP(K470,'Fevereiro 2023 - Valor Real'!A3:A15,'Fevereiro 2023 - Valor Real'!C3:C15,0))+1)+((L469/(L469-1)-1)*(1-_xlfn.XLOOKUP(K469,'Fevereiro 2023 - Valor Real'!A3:A15,'Fevereiro 2023 - Valor Real'!C3:C15,0))+1))),IF(I470="Lay",(((L470/(L470-1)-1)*(1-_xlfn.XLOOKUP(K470,'Fevereiro 2023 - Valor Real'!A3:A15,'Fevereiro 2023 - Valor Real'!C3:C15,0))+1))/(((L469-1)*(1-_xlfn.XLOOKUP(K469,'Fevereiro 2023 - Valor Real'!A3:A15,'Fevereiro 2023 - Valor Real'!C3:C15,0))+1)+((L470/(L470-1)-1)*(1-_xlfn.XLOOKUP(K470,'Fevereiro 2023 - Valor Real'!A3:A15,'Fevereiro 2023 - Valor Real'!C3:C15,0))+1)),((L470-1)*(1-_xlfn.XLOOKUP(K470,'Fevereiro 2023 - Valor Real'!A3:A15,'Fevereiro 2023 - Valor Real'!C3:C15,0))+1)/(((L470-1)*(1-_xlfn.XLOOKUP(K470,'Fevereiro 2023 - Valor Real'!A3:A15,'Fevereiro 2023 - Valor Real'!C3:C15,0))+1)+((L469-1)*(1-_xlfn.XLOOKUP(K469,'Fevereiro 2023 - Valor Real'!A3:A15,'Fevereiro 2023 - Valor Real'!C3:C15,0))+1))))))</f>
        <v>0.48723897911832942</v>
      </c>
      <c r="AF469" s="105">
        <f t="shared" si="946"/>
        <v>0</v>
      </c>
      <c r="AG469" s="106">
        <f t="shared" si="946"/>
        <v>0</v>
      </c>
      <c r="AH469" s="106">
        <f t="shared" si="946"/>
        <v>0</v>
      </c>
      <c r="AI469" s="106">
        <f t="shared" si="946"/>
        <v>0</v>
      </c>
      <c r="AJ469" s="106">
        <f t="shared" si="946"/>
        <v>0</v>
      </c>
      <c r="AK469" s="106">
        <f t="shared" si="946"/>
        <v>0</v>
      </c>
      <c r="AL469" s="106">
        <f t="shared" si="946"/>
        <v>0</v>
      </c>
      <c r="AM469" s="106">
        <f t="shared" si="946"/>
        <v>0</v>
      </c>
      <c r="AN469" s="106">
        <f t="shared" si="946"/>
        <v>0</v>
      </c>
      <c r="AO469" s="106">
        <f t="shared" si="946"/>
        <v>0</v>
      </c>
      <c r="AP469" s="106">
        <f t="shared" si="946"/>
        <v>0</v>
      </c>
      <c r="AQ469" s="106">
        <f t="shared" si="946"/>
        <v>-20</v>
      </c>
      <c r="AR469" s="107">
        <f t="shared" si="946"/>
        <v>0</v>
      </c>
      <c r="AS469" s="105">
        <f t="shared" ref="AS469:BE469" si="954">IF(AND($B469=" ",$K469=AS$3),$O469,0)</f>
        <v>0</v>
      </c>
      <c r="AT469" s="106">
        <f t="shared" si="954"/>
        <v>0</v>
      </c>
      <c r="AU469" s="106">
        <f t="shared" si="954"/>
        <v>0</v>
      </c>
      <c r="AV469" s="106">
        <f t="shared" si="954"/>
        <v>0</v>
      </c>
      <c r="AW469" s="106">
        <f t="shared" si="954"/>
        <v>0</v>
      </c>
      <c r="AX469" s="106">
        <f t="shared" si="954"/>
        <v>0</v>
      </c>
      <c r="AY469" s="108">
        <f t="shared" si="954"/>
        <v>0</v>
      </c>
      <c r="AZ469" s="109">
        <f t="shared" si="954"/>
        <v>0</v>
      </c>
      <c r="BA469" s="109">
        <f t="shared" si="954"/>
        <v>0</v>
      </c>
      <c r="BB469" s="109">
        <f t="shared" si="954"/>
        <v>0</v>
      </c>
      <c r="BC469" s="110">
        <f t="shared" si="954"/>
        <v>0</v>
      </c>
      <c r="BD469" s="106">
        <f t="shared" si="954"/>
        <v>0</v>
      </c>
      <c r="BE469" s="107">
        <f t="shared" si="954"/>
        <v>0</v>
      </c>
      <c r="BF469" s="111">
        <f t="shared" si="948"/>
        <v>0</v>
      </c>
      <c r="BG469" s="106">
        <f t="shared" si="948"/>
        <v>0</v>
      </c>
      <c r="BH469" s="106">
        <f t="shared" si="948"/>
        <v>0</v>
      </c>
      <c r="BI469" s="106">
        <f t="shared" si="948"/>
        <v>0</v>
      </c>
      <c r="BJ469" s="106">
        <f t="shared" si="948"/>
        <v>0</v>
      </c>
      <c r="BK469" s="106">
        <f t="shared" si="948"/>
        <v>0</v>
      </c>
      <c r="BL469" s="106">
        <f t="shared" si="948"/>
        <v>0</v>
      </c>
      <c r="BM469" s="108">
        <f t="shared" si="948"/>
        <v>0</v>
      </c>
      <c r="BN469" s="109">
        <f t="shared" si="948"/>
        <v>0</v>
      </c>
      <c r="BO469" s="109">
        <f t="shared" si="948"/>
        <v>0</v>
      </c>
      <c r="BP469" s="109">
        <f t="shared" si="948"/>
        <v>0</v>
      </c>
      <c r="BQ469" s="110">
        <f t="shared" si="948"/>
        <v>20</v>
      </c>
      <c r="BR469" s="107">
        <f t="shared" si="948"/>
        <v>0</v>
      </c>
      <c r="BS469" s="463">
        <f>IF($B469="LOSS",IF(AND($K469=BS$3,$C469="L"),-$O469,0)+IF(AND($K470=BS$3,$C470="L"),-$O470,0)+IF(AND($K471=BS$3,$C471="L"),-$O471,0),IF(OR(AND($K469=BS$3,OR($C469="W",$C469="1/2W")),AND($K470=BS$3,OR($C470="W",$C470="1/2W")),AND($K471=BS$3,OR($C471="W",$C471="1/2W"))),$S469,0))</f>
        <v>0</v>
      </c>
      <c r="BT469" s="462">
        <f>IF($B469="LOSS",IF(AND($K469=BT$3,$C469="L"),-$O469,0)+IF(AND($K470=BT$3,$C470="L"),-$O470,0)+IF(AND($K470=BT$3,$C471="L"),-$O471,0),IF(OR(AND($K470=BT$3,OR($C469="W",$C469="1/2W")),AND($K470=BT$3,OR($C470="W",$C470="1/2W")),AND($K470=BT$3,OR($C471="W",$C471="1/2W"))),$S469,0))</f>
        <v>3.19</v>
      </c>
      <c r="BU469" s="462">
        <f>IF($B469="LOSS",IF(AND($K469=BU$3,$C469="L"),-$O469,0)+IF(AND($K470=BU$3,$C470="L"),-$O470,0)+IF(AND($K470=BU$3,$C471="L"),-$O471,0),IF(OR(AND($K470=BU$3,OR($C469="W",$C469="1/2W")),AND($K470=BU$3,OR($C470="W",$C470="1/2W")),AND($K470=BU$3,OR($C471="W",$C471="1/2W"))),$S469,0))</f>
        <v>0</v>
      </c>
      <c r="BV469" s="462">
        <f t="shared" ref="BV469:CE469" si="955">IF($B469="LOSS",IF(AND($K469=BV$3,$C469="L"),-$O469,0)+IF(AND($K470=BV$3,$C470="L"),-$O470,0)+IF(AND($K471=BV$3,$C471="L"),-$O471,0),IF(OR(AND($K469=BV$3,OR($C469="W",$C469="1/2W")),AND($K470=BV$3,OR($C470="W",$C470="1/2W")),AND($K471=BV$3,OR($C471="W",$C471="1/2W"))),$S469,0))</f>
        <v>0</v>
      </c>
      <c r="BW469" s="462">
        <f t="shared" si="955"/>
        <v>0</v>
      </c>
      <c r="BX469" s="462">
        <f t="shared" si="955"/>
        <v>0</v>
      </c>
      <c r="BY469" s="462">
        <f t="shared" si="955"/>
        <v>0</v>
      </c>
      <c r="BZ469" s="460">
        <f t="shared" si="955"/>
        <v>0</v>
      </c>
      <c r="CA469" s="460">
        <f t="shared" si="955"/>
        <v>0</v>
      </c>
      <c r="CB469" s="460">
        <f t="shared" si="955"/>
        <v>0</v>
      </c>
      <c r="CC469" s="460">
        <f t="shared" si="955"/>
        <v>0</v>
      </c>
      <c r="CD469" s="473">
        <f t="shared" si="955"/>
        <v>0</v>
      </c>
      <c r="CE469" s="479">
        <f t="shared" si="955"/>
        <v>0</v>
      </c>
      <c r="CF469" s="113">
        <f t="shared" si="899"/>
        <v>0</v>
      </c>
      <c r="CG469" s="114">
        <f t="shared" si="900"/>
        <v>0</v>
      </c>
      <c r="CH469" s="114">
        <f t="shared" si="901"/>
        <v>0</v>
      </c>
      <c r="CI469" s="114">
        <f t="shared" si="902"/>
        <v>0</v>
      </c>
      <c r="CJ469" s="114">
        <f t="shared" si="903"/>
        <v>0</v>
      </c>
      <c r="CK469" s="114">
        <f t="shared" si="904"/>
        <v>0</v>
      </c>
      <c r="CL469" s="114">
        <f t="shared" si="905"/>
        <v>0</v>
      </c>
      <c r="CM469" s="114">
        <f t="shared" si="906"/>
        <v>0</v>
      </c>
      <c r="CN469" s="114">
        <f t="shared" si="907"/>
        <v>0</v>
      </c>
      <c r="CO469" s="114">
        <f t="shared" si="908"/>
        <v>0</v>
      </c>
      <c r="CP469" s="114">
        <f t="shared" si="909"/>
        <v>0</v>
      </c>
      <c r="CQ469" s="114">
        <f t="shared" si="910"/>
        <v>0</v>
      </c>
      <c r="CR469" s="114">
        <f t="shared" si="911"/>
        <v>0</v>
      </c>
      <c r="CS469" s="114">
        <f t="shared" si="912"/>
        <v>0</v>
      </c>
      <c r="CT469" s="115">
        <f t="shared" si="913"/>
        <v>0</v>
      </c>
      <c r="CU469" s="116">
        <f t="shared" si="914"/>
        <v>0</v>
      </c>
      <c r="CV469" s="116">
        <f t="shared" si="915"/>
        <v>0</v>
      </c>
      <c r="CW469" s="116">
        <f t="shared" si="916"/>
        <v>0</v>
      </c>
      <c r="CX469" s="116">
        <f t="shared" si="917"/>
        <v>0</v>
      </c>
      <c r="CY469" s="116">
        <f t="shared" si="918"/>
        <v>0</v>
      </c>
      <c r="CZ469" s="116">
        <f t="shared" si="919"/>
        <v>0</v>
      </c>
      <c r="DA469" s="116">
        <f t="shared" si="920"/>
        <v>0</v>
      </c>
      <c r="DB469" s="116">
        <f t="shared" si="921"/>
        <v>0</v>
      </c>
      <c r="DC469" s="116">
        <f t="shared" si="922"/>
        <v>1</v>
      </c>
      <c r="DD469" s="116">
        <f t="shared" si="923"/>
        <v>0</v>
      </c>
      <c r="DE469" s="117">
        <f t="shared" si="924"/>
        <v>0</v>
      </c>
      <c r="DF469" s="118">
        <f t="shared" si="926"/>
        <v>31</v>
      </c>
      <c r="DG469" s="106">
        <f t="shared" si="927"/>
        <v>40.139999999999993</v>
      </c>
      <c r="DH469" s="116">
        <f t="shared" si="928"/>
        <v>11</v>
      </c>
      <c r="DI469" s="106">
        <f t="shared" si="929"/>
        <v>45.699999999999996</v>
      </c>
      <c r="DJ469" s="201" t="str">
        <f>IF($D469="","",$D469)</f>
        <v>15</v>
      </c>
      <c r="DK469" s="465">
        <f>IF(AND($B469=" ",$D469&lt;&gt;""),1,0)</f>
        <v>0</v>
      </c>
    </row>
    <row r="470" spans="1:115" ht="14.5" customHeight="1" x14ac:dyDescent="0.2">
      <c r="A470" s="389"/>
      <c r="B470" s="456"/>
      <c r="C470" s="120" t="s">
        <v>54</v>
      </c>
      <c r="D470" s="374"/>
      <c r="E470" s="386"/>
      <c r="F470" s="377"/>
      <c r="G470" s="483"/>
      <c r="H470" s="476"/>
      <c r="I470" s="178">
        <v>2</v>
      </c>
      <c r="J470" s="179" t="str">
        <f>IF(OR(I469="TO",I469="TU",I469="TO1",I469="TU1",I469="TO2",I469="TU2"),J469,IF(OR(I469="AH1",I469="AH2"),IF(OR(I470="AH1",I470="AH2"),-J469,IF(OR(I470="EH1",I470="EH2"),-J469+0.5,"")),IF(OR(I469="EH1",I469="EH2"),IF(OR(I470="AH1",I470="AH2"),-J469+0.5,IF(OR(I470="EH1",I470="EH2"),-J469+1,"")),IF(AND(OR(I469="DNB1",I469="DNB2"),OR(I470="AH1",I470="AH2")),0,IF(AND(I469="Not ScoreBoth",OR(I470="TO1",I470="TO2")),0.5,"")))))</f>
        <v/>
      </c>
      <c r="K470" s="123" t="s">
        <v>37</v>
      </c>
      <c r="L470" s="124">
        <v>2.1</v>
      </c>
      <c r="M470" s="125">
        <v>21.08</v>
      </c>
      <c r="N470" s="406"/>
      <c r="O470" s="126">
        <f>IF(OR(AE469="",AE470=""),"",ROUND(IF(L471&gt;0,IF(M470&gt;0,M470,IF(M469&gt;0,IF(N469=TRUE,ROUND((M469*AE470)/AE469,0),(M469*AE470)/AE469),IF(M470&gt;0,ROUND(M470,IF(N469=0,2,IF(N469=0.1,1,0))),IF(M471&gt;0,ROUND(O471*AE470/AE471,IF(N469=0,2,IF(N469=0.1,1,0))),0)))),IF(M470&gt;0,M470,ROUND((M469*AE470)/AE469,IF(N469=0,2,IF(N469=0.1,1,0))))),2))</f>
        <v>21.08</v>
      </c>
      <c r="P470" s="127">
        <f>IF(OR(L470="",O470=""),"",IF($C470="1/2W",O470/2+O470/2*L470,IF($C470="1/2L",O470/2,IF(I470="Lay",((O470*(L470/(L470-1)))-O470)*(1-_xlfn.XLOOKUP(K470,'Fevereiro 2023 - Valor Real'!A3:A15,'Fevereiro 2023 - Valor Real'!C3:C15,0))+O470,(O470*L470-O470)*(1-_xlfn.XLOOKUP(K470,'Fevereiro 2023 - Valor Real'!A3:A15,'Fevereiro 2023 - Valor Real'!C3:C15,0))+O470))))</f>
        <v>44.268000000000001</v>
      </c>
      <c r="Q470" s="128">
        <f>IF(K470="","",IF(_xlfn.XLOOKUP(K470,K$4:K469,$DJ$4:DJ469,0,,-1)=DJ470,_xlfn.XLOOKUP(K470,K$4:K469,Q$4:Q469,1,,-1)+1,1))</f>
        <v>5</v>
      </c>
      <c r="R470" s="129">
        <f>IF(K470="","",_xlfn.XLOOKUP(K470,K$4:K469,R$4:R469,0,,-1)+IF($C470=" ",1,0))</f>
        <v>0</v>
      </c>
      <c r="S470" s="403"/>
      <c r="T470" s="380"/>
      <c r="U470" s="380"/>
      <c r="V470" s="481"/>
      <c r="W470" s="380"/>
      <c r="X470" s="452"/>
      <c r="Y470" s="383"/>
      <c r="Z470" s="384"/>
      <c r="AA470" s="384"/>
      <c r="AB470" s="384"/>
      <c r="AC470" s="384"/>
      <c r="AD470" s="130">
        <f>(((L470/(L470-1)-1)*(1-_xlfn.XLOOKUP(K470,'Fevereiro 2023 - Valor Real'!A3:A15,'Fevereiro 2023 - Valor Real'!C3:C15,0))+1))</f>
        <v>1.9090909090909089</v>
      </c>
      <c r="AE470" s="131">
        <f>IF(L470="","",IF(L471&gt;0,(SUM(((L469-1)*(1-_xlfn.XLOOKUP(K469,'Fevereiro 2023 - Valor Real'!A3:A15,'Fevereiro 2023 - Valor Real'!C3:C15,0))+1),((L470-1)*(1-_xlfn.XLOOKUP(K470,'Fevereiro 2023 - Valor Real'!A3:A15,'Fevereiro 2023 - Valor Real'!C3:C15,0))+1),((L471-1)*(1-_xlfn.XLOOKUP(K471,'Fevereiro 2023 - Valor Real'!A3:A15,'Fevereiro 2023 - Valor Real'!C3:C15,0))+1))/((L470-1)*(1-_xlfn.XLOOKUP(K470,'Fevereiro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Real'!C3:C15,0))+1))/((L469-1)*(1-_xlfn.XLOOKUP(K469,'Fevereiro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Real'!C3:C15,0))+1))/((L470-1)*(1-_xlfn.XLOOKUP(K470,'Fevereiro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Real'!C3:C15,0))+1))/((L471-1)*(1-_xlfn.XLOOKUP(K471,'Fevereiro 2023 - Valor Real'!A3:A15,'Fevereiro 2023 - Valor Real'!C3:C15,0))+1)),IF(I470="Lay",IF(I469="Lay",((L469/(L469-1)-1)*(1-_xlfn.XLOOKUP(K469,'Fevereiro 2023 - Valor Real'!A3:A15,'Fevereiro 2023 - Valor Real'!C3:C15,0))+1)/(((L469/(L469-1)-1)*(1-_xlfn.XLOOKUP(K469,'Fevereiro 2023 - Valor Real'!A3:A15,'Fevereiro 2023 - Valor Real'!C3:C15,0))+1)+((L470/(L470-1)-1)*(1-_xlfn.XLOOKUP(K470,'Fevereiro 2023 - Valor Real'!A3:A15,'Fevereiro 2023 - Valor Real'!C3:C15,0))+1)),((L469-1)*(1-_xlfn.XLOOKUP(K469,'Fevereiro 2023 - Valor Real'!A3:A15,'Fevereiro 2023 - Valor Real'!C3:C15,0))+1)/(((L469-1)*(1-_xlfn.XLOOKUP(K469,'Fevereiro 2023 - Valor Real'!A3:A15,'Fevereiro 2023 - Valor Real'!C3:C15,0))+1)+((L470/(L470-1)-1)*(1-_xlfn.XLOOKUP(K470,'Fevereiro 2023 - Valor Real'!A3:A15,'Fevereiro 2023 - Valor Real'!C3:C15,0))+1))),IF(I469="Lay",((L469/(L469-1)-1)*(1-_xlfn.XLOOKUP(K469,'Fevereiro 2023 - Valor Real'!A3:A15,'Fevereiro 2023 - Valor Real'!C3:C15,0))+1)/((((L469/(L469-1)-1)*(1-_xlfn.XLOOKUP(K469,'Fevereiro 2023 - Valor Real'!A3:A15,'Fevereiro 2023 - Valor Real'!C3:C15,0))+1))+((L470-1)*(1-_xlfn.XLOOKUP(K470,'Fevereiro 2023 - Valor Real'!A3:A15,'Fevereiro 2023 - Valor Real'!C3:C15,0))+1)),((L469-1)*(1-_xlfn.XLOOKUP(K469,'Fevereiro 2023 - Valor Real'!A3:A15,'Fevereiro 2023 - Valor Real'!C3:C15,0))+1)/(((L469-1)*(1-_xlfn.XLOOKUP(K469,'Fevereiro 2023 - Valor Real'!A3:A15,'Fevereiro 2023 - Valor Real'!C3:C15,0))+1)+((L470-1)*(1-_xlfn.XLOOKUP(K470,'Fevereiro 2023 - Valor Real'!A3:A15,'Fevereiro 2023 - Valor Real'!C3:C15,0))+1))))))</f>
        <v>0.51276102088167042</v>
      </c>
      <c r="AF470" s="105">
        <f t="shared" si="946"/>
        <v>0</v>
      </c>
      <c r="AG470" s="106">
        <f t="shared" si="946"/>
        <v>23.19</v>
      </c>
      <c r="AH470" s="106">
        <f t="shared" si="946"/>
        <v>0</v>
      </c>
      <c r="AI470" s="106">
        <f t="shared" si="946"/>
        <v>0</v>
      </c>
      <c r="AJ470" s="106">
        <f t="shared" si="946"/>
        <v>0</v>
      </c>
      <c r="AK470" s="106">
        <f t="shared" si="946"/>
        <v>0</v>
      </c>
      <c r="AL470" s="106">
        <f t="shared" si="946"/>
        <v>0</v>
      </c>
      <c r="AM470" s="106">
        <f t="shared" si="946"/>
        <v>0</v>
      </c>
      <c r="AN470" s="106">
        <f t="shared" si="946"/>
        <v>0</v>
      </c>
      <c r="AO470" s="106">
        <f t="shared" si="946"/>
        <v>0</v>
      </c>
      <c r="AP470" s="106">
        <f t="shared" si="946"/>
        <v>0</v>
      </c>
      <c r="AQ470" s="106">
        <f t="shared" si="946"/>
        <v>0</v>
      </c>
      <c r="AR470" s="107">
        <f t="shared" si="946"/>
        <v>0</v>
      </c>
      <c r="AS470" s="105">
        <f>IF(AND($B469=" ",$K470=AS$3),$O470,0)</f>
        <v>0</v>
      </c>
      <c r="AT470" s="106">
        <f>IF(AND($B469=" ",K470=AT$3),$O470,0)</f>
        <v>0</v>
      </c>
      <c r="AU470" s="106">
        <f t="shared" ref="AU470:BE470" si="956">IF(AND($B469=" ",$K470=AU$3),$O470,0)</f>
        <v>0</v>
      </c>
      <c r="AV470" s="106">
        <f t="shared" si="956"/>
        <v>0</v>
      </c>
      <c r="AW470" s="106">
        <f t="shared" si="956"/>
        <v>0</v>
      </c>
      <c r="AX470" s="106">
        <f t="shared" si="956"/>
        <v>0</v>
      </c>
      <c r="AY470" s="108">
        <f t="shared" si="956"/>
        <v>0</v>
      </c>
      <c r="AZ470" s="109">
        <f t="shared" si="956"/>
        <v>0</v>
      </c>
      <c r="BA470" s="109">
        <f t="shared" si="956"/>
        <v>0</v>
      </c>
      <c r="BB470" s="109">
        <f t="shared" si="956"/>
        <v>0</v>
      </c>
      <c r="BC470" s="110">
        <f t="shared" si="956"/>
        <v>0</v>
      </c>
      <c r="BD470" s="106">
        <f t="shared" si="956"/>
        <v>0</v>
      </c>
      <c r="BE470" s="107">
        <f t="shared" si="956"/>
        <v>0</v>
      </c>
      <c r="BF470" s="105">
        <f t="shared" si="948"/>
        <v>0</v>
      </c>
      <c r="BG470" s="106">
        <f t="shared" si="948"/>
        <v>21.08</v>
      </c>
      <c r="BH470" s="106">
        <f t="shared" si="948"/>
        <v>0</v>
      </c>
      <c r="BI470" s="106">
        <f t="shared" si="948"/>
        <v>0</v>
      </c>
      <c r="BJ470" s="106">
        <f t="shared" si="948"/>
        <v>0</v>
      </c>
      <c r="BK470" s="106">
        <f t="shared" si="948"/>
        <v>0</v>
      </c>
      <c r="BL470" s="106">
        <f t="shared" si="948"/>
        <v>0</v>
      </c>
      <c r="BM470" s="132">
        <f t="shared" si="948"/>
        <v>0</v>
      </c>
      <c r="BN470" s="112">
        <f t="shared" si="948"/>
        <v>0</v>
      </c>
      <c r="BO470" s="112">
        <f t="shared" si="948"/>
        <v>0</v>
      </c>
      <c r="BP470" s="112">
        <f t="shared" si="948"/>
        <v>0</v>
      </c>
      <c r="BQ470" s="110">
        <f t="shared" si="948"/>
        <v>0</v>
      </c>
      <c r="BR470" s="107">
        <f t="shared" si="948"/>
        <v>0</v>
      </c>
      <c r="BS470" s="464"/>
      <c r="BT470" s="461"/>
      <c r="BU470" s="392"/>
      <c r="BV470" s="461"/>
      <c r="BW470" s="392"/>
      <c r="BX470" s="392"/>
      <c r="BY470" s="392"/>
      <c r="BZ470" s="461"/>
      <c r="CA470" s="392"/>
      <c r="CB470" s="392"/>
      <c r="CC470" s="392"/>
      <c r="CD470" s="401"/>
      <c r="CE470" s="409"/>
      <c r="CF470" s="133">
        <f t="shared" si="899"/>
        <v>0</v>
      </c>
      <c r="CG470" s="134">
        <f t="shared" si="900"/>
        <v>0</v>
      </c>
      <c r="CH470" s="134">
        <f t="shared" si="901"/>
        <v>1</v>
      </c>
      <c r="CI470" s="134">
        <f t="shared" si="902"/>
        <v>0</v>
      </c>
      <c r="CJ470" s="134">
        <f t="shared" si="903"/>
        <v>0</v>
      </c>
      <c r="CK470" s="134">
        <f t="shared" si="904"/>
        <v>0</v>
      </c>
      <c r="CL470" s="134">
        <f t="shared" si="905"/>
        <v>0</v>
      </c>
      <c r="CM470" s="134">
        <f t="shared" si="906"/>
        <v>0</v>
      </c>
      <c r="CN470" s="134">
        <f t="shared" si="907"/>
        <v>0</v>
      </c>
      <c r="CO470" s="134">
        <f t="shared" si="908"/>
        <v>0</v>
      </c>
      <c r="CP470" s="134">
        <f t="shared" si="909"/>
        <v>0</v>
      </c>
      <c r="CQ470" s="134">
        <f t="shared" si="910"/>
        <v>0</v>
      </c>
      <c r="CR470" s="134">
        <f t="shared" si="911"/>
        <v>0</v>
      </c>
      <c r="CS470" s="134">
        <f t="shared" si="912"/>
        <v>0</v>
      </c>
      <c r="CT470" s="115">
        <f t="shared" si="913"/>
        <v>0</v>
      </c>
      <c r="CU470" s="116">
        <f t="shared" si="914"/>
        <v>0</v>
      </c>
      <c r="CV470" s="116">
        <f t="shared" si="915"/>
        <v>0</v>
      </c>
      <c r="CW470" s="116">
        <f t="shared" si="916"/>
        <v>0</v>
      </c>
      <c r="CX470" s="116">
        <f t="shared" si="917"/>
        <v>0</v>
      </c>
      <c r="CY470" s="116">
        <f t="shared" si="918"/>
        <v>0</v>
      </c>
      <c r="CZ470" s="116">
        <f t="shared" si="919"/>
        <v>0</v>
      </c>
      <c r="DA470" s="116">
        <f t="shared" si="920"/>
        <v>0</v>
      </c>
      <c r="DB470" s="116">
        <f t="shared" si="921"/>
        <v>0</v>
      </c>
      <c r="DC470" s="116">
        <f t="shared" si="922"/>
        <v>0</v>
      </c>
      <c r="DD470" s="116">
        <f t="shared" si="923"/>
        <v>0</v>
      </c>
      <c r="DE470" s="117">
        <f t="shared" si="924"/>
        <v>0</v>
      </c>
      <c r="DF470" s="118">
        <f t="shared" si="926"/>
        <v>31</v>
      </c>
      <c r="DG470" s="106">
        <f t="shared" si="927"/>
        <v>40.139999999999993</v>
      </c>
      <c r="DH470" s="116">
        <f t="shared" si="928"/>
        <v>11</v>
      </c>
      <c r="DI470" s="106">
        <f t="shared" si="929"/>
        <v>45.699999999999996</v>
      </c>
      <c r="DJ470" s="201" t="str">
        <f>IF($D469="","",$D469)</f>
        <v>15</v>
      </c>
      <c r="DK470" s="466"/>
    </row>
    <row r="471" spans="1:115" ht="14.5" customHeight="1" x14ac:dyDescent="0.2">
      <c r="A471" s="390"/>
      <c r="B471" s="457"/>
      <c r="C471" s="135" t="s">
        <v>53</v>
      </c>
      <c r="D471" s="375"/>
      <c r="E471" s="387"/>
      <c r="F471" s="378"/>
      <c r="G471" s="484"/>
      <c r="H471" s="477"/>
      <c r="I471" s="136"/>
      <c r="J471" s="137"/>
      <c r="K471" s="138"/>
      <c r="L471" s="139"/>
      <c r="M471" s="140"/>
      <c r="N471" s="407"/>
      <c r="O471" s="141" t="str">
        <f>IF(OR(AE469="",AE470=""),"",IF(L471&gt;0,ROUND(IF(M471&gt;0,M471,IF(M469&gt;0,ROUND((M469*AE471)/AE469,IF(N469=0,2,IF(N469=0.1,1,0))),IF(M470&gt;0,ROUND((M470*AE471)/AE470,IF(N469=0,2,IF(N469=0.1,1,0))),IF(M471&gt;0,M471,0)))),2),""))</f>
        <v/>
      </c>
      <c r="P471" s="142" t="str">
        <f>IF(I470="Lay",O470*(L470/(L470-1))-O470,IF(I469="Lay",O469*(L469/(L469-1))-O469,IF(OR(L471="",O471=""),"",IF($C471="1/2W",O471/2+O471/2*L471,IF($C471="1/2L",O471/2,(O471*L471-O471)*(1-_xlfn.XLOOKUP(K471,'Fevereiro 2023 - Valor Real'!A3:A15,'Fevereiro 2023 - Valor Real'!C3:C15,0))+O471)))))</f>
        <v/>
      </c>
      <c r="Q471" s="143" t="str">
        <f>IF(K471="","",IF(_xlfn.XLOOKUP(K471,K$4:K470,$DJ$4:DJ470,0,,-1)=DJ471,_xlfn.XLOOKUP(K471,K$4:K470,Q$4:Q470,1,,-1)+1,1))</f>
        <v/>
      </c>
      <c r="R471" s="144" t="str">
        <f>IF(K471="","",_xlfn.XLOOKUP(K471,K$4:K470,R$4:R470,0,,-1)+IF($C471=" ",1,0))</f>
        <v/>
      </c>
      <c r="S471" s="404"/>
      <c r="T471" s="378"/>
      <c r="U471" s="378"/>
      <c r="V471" s="404"/>
      <c r="W471" s="378"/>
      <c r="X471" s="453"/>
      <c r="Y471" s="383"/>
      <c r="Z471" s="384"/>
      <c r="AA471" s="384"/>
      <c r="AB471" s="384"/>
      <c r="AC471" s="384"/>
      <c r="AD471" s="145">
        <f>((L470/(L470-1)-1))</f>
        <v>0.90909090909090895</v>
      </c>
      <c r="AE471" s="146" t="str">
        <f>IF(L471="","",(SUM(((L469-1)*(1-_xlfn.XLOOKUP(K469,'Fevereiro 2023 - Valor Real'!A3:A15,'Fevereiro 2023 - Valor Real'!C3:C15,0))+1),((L470-1)*(1-_xlfn.XLOOKUP(K470,'Fevereiro 2023 - Valor Real'!A3:A15,'Fevereiro 2023 - Valor Real'!C3:C15,0))+1),((L471-1)*(1-_xlfn.XLOOKUP(K471,'Fevereiro 2023 - Valor Real'!A3:A15,'Fevereiro 2023 - Valor Real'!C3:C15,0))+1))/((L471-1)*(1-_xlfn.XLOOKUP(K471,'Fevereiro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Real'!C3:C15,0))+1))/((L469-1)*(1-_xlfn.XLOOKUP(K469,'Fevereiro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Real'!C3:C15,0))+1))/((L470-1)*(1-_xlfn.XLOOKUP(K470,'Fevereiro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Real'!C3:C15,0))+1))/((L471-1)*(1-_xlfn.XLOOKUP(K471,'Fevereiro 2023 - Valor Real'!A3:A15,'Fevereiro 2023 - Valor Real'!C3:C15,0))+1)))</f>
        <v/>
      </c>
      <c r="AF471" s="105">
        <f t="shared" si="946"/>
        <v>0</v>
      </c>
      <c r="AG471" s="106">
        <f t="shared" si="946"/>
        <v>0</v>
      </c>
      <c r="AH471" s="106">
        <f t="shared" si="946"/>
        <v>0</v>
      </c>
      <c r="AI471" s="106">
        <f t="shared" si="946"/>
        <v>0</v>
      </c>
      <c r="AJ471" s="106">
        <f t="shared" si="946"/>
        <v>0</v>
      </c>
      <c r="AK471" s="106">
        <f t="shared" si="946"/>
        <v>0</v>
      </c>
      <c r="AL471" s="106">
        <f t="shared" si="946"/>
        <v>0</v>
      </c>
      <c r="AM471" s="106">
        <f t="shared" si="946"/>
        <v>0</v>
      </c>
      <c r="AN471" s="106">
        <f t="shared" si="946"/>
        <v>0</v>
      </c>
      <c r="AO471" s="106">
        <f t="shared" si="946"/>
        <v>0</v>
      </c>
      <c r="AP471" s="106">
        <f t="shared" si="946"/>
        <v>0</v>
      </c>
      <c r="AQ471" s="106">
        <f t="shared" si="946"/>
        <v>0</v>
      </c>
      <c r="AR471" s="107">
        <f t="shared" si="946"/>
        <v>0</v>
      </c>
      <c r="AS471" s="105">
        <f>IF(AND($B469=" ",$K471=AS$3),$O471,0)</f>
        <v>0</v>
      </c>
      <c r="AT471" s="106">
        <f>IF(AND($B469=" ",K471=AT$3),$O471,0)</f>
        <v>0</v>
      </c>
      <c r="AU471" s="106">
        <f t="shared" ref="AU471:BE471" si="957">IF(AND($B469=" ",$K471=AU$3),$O471,0)</f>
        <v>0</v>
      </c>
      <c r="AV471" s="106">
        <f t="shared" si="957"/>
        <v>0</v>
      </c>
      <c r="AW471" s="106">
        <f t="shared" si="957"/>
        <v>0</v>
      </c>
      <c r="AX471" s="106">
        <f t="shared" si="957"/>
        <v>0</v>
      </c>
      <c r="AY471" s="108">
        <f t="shared" si="957"/>
        <v>0</v>
      </c>
      <c r="AZ471" s="109">
        <f t="shared" si="957"/>
        <v>0</v>
      </c>
      <c r="BA471" s="109">
        <f t="shared" si="957"/>
        <v>0</v>
      </c>
      <c r="BB471" s="109">
        <f t="shared" si="957"/>
        <v>0</v>
      </c>
      <c r="BC471" s="110">
        <f t="shared" si="957"/>
        <v>0</v>
      </c>
      <c r="BD471" s="106">
        <f t="shared" si="957"/>
        <v>0</v>
      </c>
      <c r="BE471" s="107">
        <f t="shared" si="957"/>
        <v>0</v>
      </c>
      <c r="BF471" s="105">
        <f t="shared" si="948"/>
        <v>0</v>
      </c>
      <c r="BG471" s="106">
        <f t="shared" si="948"/>
        <v>0</v>
      </c>
      <c r="BH471" s="106">
        <f t="shared" si="948"/>
        <v>0</v>
      </c>
      <c r="BI471" s="106">
        <f t="shared" si="948"/>
        <v>0</v>
      </c>
      <c r="BJ471" s="106">
        <f t="shared" si="948"/>
        <v>0</v>
      </c>
      <c r="BK471" s="106">
        <f t="shared" si="948"/>
        <v>0</v>
      </c>
      <c r="BL471" s="106">
        <f t="shared" si="948"/>
        <v>0</v>
      </c>
      <c r="BM471" s="108">
        <f t="shared" si="948"/>
        <v>0</v>
      </c>
      <c r="BN471" s="109">
        <f t="shared" si="948"/>
        <v>0</v>
      </c>
      <c r="BO471" s="109">
        <f t="shared" si="948"/>
        <v>0</v>
      </c>
      <c r="BP471" s="109">
        <f t="shared" si="948"/>
        <v>0</v>
      </c>
      <c r="BQ471" s="110">
        <f t="shared" si="948"/>
        <v>0</v>
      </c>
      <c r="BR471" s="107">
        <f t="shared" si="948"/>
        <v>0</v>
      </c>
      <c r="BS471" s="464"/>
      <c r="BT471" s="461"/>
      <c r="BU471" s="392"/>
      <c r="BV471" s="461"/>
      <c r="BW471" s="392"/>
      <c r="BX471" s="392"/>
      <c r="BY471" s="392"/>
      <c r="BZ471" s="461"/>
      <c r="CA471" s="392"/>
      <c r="CB471" s="392"/>
      <c r="CC471" s="392"/>
      <c r="CD471" s="401"/>
      <c r="CE471" s="409"/>
      <c r="CF471" s="133">
        <f t="shared" si="899"/>
        <v>0</v>
      </c>
      <c r="CG471" s="134">
        <f t="shared" si="900"/>
        <v>0</v>
      </c>
      <c r="CH471" s="134">
        <f t="shared" si="901"/>
        <v>0</v>
      </c>
      <c r="CI471" s="134">
        <f t="shared" si="902"/>
        <v>0</v>
      </c>
      <c r="CJ471" s="134">
        <f t="shared" si="903"/>
        <v>0</v>
      </c>
      <c r="CK471" s="134">
        <f t="shared" si="904"/>
        <v>0</v>
      </c>
      <c r="CL471" s="134">
        <f t="shared" si="905"/>
        <v>0</v>
      </c>
      <c r="CM471" s="134">
        <f t="shared" si="906"/>
        <v>0</v>
      </c>
      <c r="CN471" s="134">
        <f t="shared" si="907"/>
        <v>0</v>
      </c>
      <c r="CO471" s="134">
        <f t="shared" si="908"/>
        <v>0</v>
      </c>
      <c r="CP471" s="134">
        <f t="shared" si="909"/>
        <v>0</v>
      </c>
      <c r="CQ471" s="134">
        <f t="shared" si="910"/>
        <v>0</v>
      </c>
      <c r="CR471" s="134">
        <f t="shared" si="911"/>
        <v>0</v>
      </c>
      <c r="CS471" s="134">
        <f t="shared" si="912"/>
        <v>0</v>
      </c>
      <c r="CT471" s="115">
        <f t="shared" si="913"/>
        <v>0</v>
      </c>
      <c r="CU471" s="116">
        <f t="shared" si="914"/>
        <v>0</v>
      </c>
      <c r="CV471" s="116">
        <f t="shared" si="915"/>
        <v>0</v>
      </c>
      <c r="CW471" s="116">
        <f t="shared" si="916"/>
        <v>0</v>
      </c>
      <c r="CX471" s="116">
        <f t="shared" si="917"/>
        <v>0</v>
      </c>
      <c r="CY471" s="116">
        <f t="shared" si="918"/>
        <v>0</v>
      </c>
      <c r="CZ471" s="116">
        <f t="shared" si="919"/>
        <v>0</v>
      </c>
      <c r="DA471" s="116">
        <f t="shared" si="920"/>
        <v>0</v>
      </c>
      <c r="DB471" s="116">
        <f t="shared" si="921"/>
        <v>0</v>
      </c>
      <c r="DC471" s="116">
        <f t="shared" si="922"/>
        <v>0</v>
      </c>
      <c r="DD471" s="116">
        <f t="shared" si="923"/>
        <v>0</v>
      </c>
      <c r="DE471" s="117">
        <f t="shared" si="924"/>
        <v>0</v>
      </c>
      <c r="DF471" s="118">
        <f t="shared" si="926"/>
        <v>31</v>
      </c>
      <c r="DG471" s="106">
        <f t="shared" si="927"/>
        <v>40.139999999999993</v>
      </c>
      <c r="DH471" s="116">
        <f t="shared" si="928"/>
        <v>11</v>
      </c>
      <c r="DI471" s="106">
        <f t="shared" si="929"/>
        <v>45.699999999999996</v>
      </c>
      <c r="DJ471" s="201" t="str">
        <f>IF($D469="","",$D469)</f>
        <v>15</v>
      </c>
      <c r="DK471" s="466"/>
    </row>
    <row r="472" spans="1:115" ht="14.5" customHeight="1" x14ac:dyDescent="0.2">
      <c r="A472" s="487">
        <f>$A469+1</f>
        <v>157</v>
      </c>
      <c r="B472" s="506" t="str">
        <f>IF(OR(C472="W",C473="W",C474="W",C472="1/2W",C473="1/2W",C474="1/2W",C472="1/2L",C473="1/2L",C474="1/2L"),"OK",IF(OR(C472="L",C473="L",C474="L"),"LOSS",IF(OR(C472="X",C473="X",C474="X"),"Anulado"," ")))</f>
        <v>OK</v>
      </c>
      <c r="C472" s="147" t="s">
        <v>55</v>
      </c>
      <c r="D472" s="494" t="str">
        <f>IF(G472="","",$D469)</f>
        <v>15</v>
      </c>
      <c r="E472" s="511" t="str">
        <f>IF(G472=""," ","– "&amp;COUNTIF(D$4:D474,$D472))</f>
        <v>– 15</v>
      </c>
      <c r="F472" s="510" t="str">
        <f ca="1">IF(G472="","",IF(OR(AND($C472&lt;&gt;" ",$C473=" "),AND($C473&lt;&gt;" ",$C472=" "),AND(L474&gt;0,OR(AND($C474&lt;&gt;" ",OR($C472=" ",$C473=" ")),AND($C474=" ",OR($C472&lt;&gt;" ",$C473&lt;&gt;" "))))),IF(SUM(F$4:F471)=0,1,LARGE(F$4:F471,1)+1),IF(MONTH(G472)=MONTH(TODAY()),IF(AND(DAY(G472)&lt;DAY(TODAY()),$B472=" "),IF(SUM(F$4:F471)=0,1,LARGE(F$4:F471,1)+1),IF($B472=" ",IF(AND(DAY(G472)=DAY(TODAY()),HOUR(G472)&lt;=HOUR(NOW())+1),IF(AND(HOUR(G472)+2&lt;=HOUR(NOW()),DAY(G472)&lt;=DAY(TODAY()),MINUTE(G472)&lt;=MINUTE(NOW())),IF(SUM(F$4:F471)=0,1,LARGE(F$4:F471,1)+1),IF(OR(MINUTE(G472)&lt;=MINUTE(NOW()),HOUR(G472)&lt;=HOUR(NOW())),"!!!","")),""),"")),"")))</f>
        <v/>
      </c>
      <c r="G472" s="508">
        <f>IF(H472="","",_xlfn.XLOOKUP(H472,$H$4:H471,$G$4:G471,""))</f>
        <v>45000.791666666664</v>
      </c>
      <c r="H472" s="502" t="s">
        <v>192</v>
      </c>
      <c r="I472" s="180" t="s">
        <v>66</v>
      </c>
      <c r="J472" s="181">
        <v>1.5</v>
      </c>
      <c r="K472" s="150" t="s">
        <v>43</v>
      </c>
      <c r="L472" s="151">
        <v>1.869</v>
      </c>
      <c r="M472" s="152"/>
      <c r="N472" s="503">
        <v>0</v>
      </c>
      <c r="O472" s="153">
        <f>IF(OR(AE472="",AE473=""),"",ROUND(IF(L474&gt;0,IF(M472&gt;0,M472,IF(M473&gt;0,ROUND((M473*AE472)/AE473,IF(N472=0,2,IF(N472=0.1,1,0))),ROUND((M474*AE472)/AE474,IF(N472=0,2,IF(N472=0.1,1,0))))),IF(M472&gt;0,M472,ROUND((M473*AE472)/AE473,IF(N472=0,2,IF(N472=0.1,1,0))))),2))</f>
        <v>10.02</v>
      </c>
      <c r="P472" s="154">
        <f>IF(OR(L472="",O472=""),"",IF($C472="1/2W",O472/2+O472/2*L472,IF($C472="1/2L",O472/2,IF(I472="Lay",(O472*(L472/(L472-1))-O472)*(1-_xlfn.XLOOKUP(K472,'Fevereiro 2023 - Valor Real'!A3:A15,'Fevereiro 2023 - Valor Real'!C3:C15,0))+O472,(O472*L472-O472)*(1-_xlfn.XLOOKUP(K472,'Fevereiro 2023 - Valor Real'!A3:A15,'Fevereiro 2023 - Valor Real'!C3:C15,0))+O472))))</f>
        <v>18.72738</v>
      </c>
      <c r="Q472" s="155">
        <f>IF(K472="","",IF(_xlfn.XLOOKUP(K472,K$9:K464,$DJ$9:DJ464,0,,-1)=DJ472,_xlfn.XLOOKUP(K472,K$9:K464,Q$9:Q464,1,,-1)+1,1))</f>
        <v>5</v>
      </c>
      <c r="R472" s="156">
        <f>IF(K472="","",_xlfn.XLOOKUP(K472,K$9:K464,R$9:R464,0,,-1)+IF($C472=" ",1,0))</f>
        <v>0</v>
      </c>
      <c r="S472" s="501">
        <f>IF($B472="Anulado",0,ROUND(IF(OR($B472="LOSS",$B472="OK"),IF(OR($C472="W",$C472="1/2W",$C472="1/2L"),P472-O472,IF($C472="L",-O472,0))+IF(OR($C473="W",$C473="1/2W",$C473="1/2L"),P473-O473,IF($C473="L",-O473,0))+IF(OR($C474="W",$C474="1/2W",$C474="1/2L"),P474-O474,IF($C474="L",-O474,0)),IF(AND(OR($C472="W",$C472="1/2W",$C472="1/2L"),C473="W"),P472+P473-SUM(O472:O474)+_xlfn.XLOOKUP("X",C472:C474,O472:O474,0),IF(AND(C472=TRUE,C474="W"),P472+P474-SUM(O472:O474),IF(AND(C473="W",C474="W"),P473+P474-SUM(O472:O474)+_xlfn.XLOOKUP("X",C472:C474,O472:O474,0),IF(L474&gt;0,IF(OR($C472="W",$C472="1/2W",$C472="1/2L"),P472-SUM(O472:O474)+_xlfn.XLOOKUP("X",C472:C474,O472:O474,0),IF(OR($C472="W",$C472="1/2W",$C472="1/2L"),P473-SUM(O472:O474)+_xlfn.XLOOKUP("X",C472:C474,O472:O474,0),IF(OR($C472="W",$C472="1/2W",$C472="1/2L"),P474-SUM(O472:O474)+_xlfn.XLOOKUP("X",C472:C474,O472:O474,0),IF(SUM(P472:P474)/3-SUM(O472:O474)+_xlfn.XLOOKUP("X",C472:C474,O472:O474,0)&gt;0,SUM(P472:P474)/3-SUM(O472:O474)+_xlfn.XLOOKUP("X",C472:C474,O472:O474,0),LARGE(P472:P474,1)-SUM(O472:O474))))),IF(OR($C472="W",$C472="1/2W",$C472="1/2L"),P472-SUM(O472:O473)+_xlfn.XLOOKUP("X",C472:C474,O472:O474,0),IF(OR($C472="W",$C472="1/2W",$C472="1/2L"),P473-SUM(O472:O473)+_xlfn.XLOOKUP("X",C472:C474,O472:O474,0),SUM(P472:P473)/2-SUM(O472:O473)+_xlfn.XLOOKUP("X",C472:C474,O472:O474,0)))))))),2))</f>
        <v>1.59</v>
      </c>
      <c r="T472" s="486">
        <f>IF(S472=0,0,S472/SUM(O472:O474))</f>
        <v>9.2765460910151698E-2</v>
      </c>
      <c r="U472" s="496">
        <f>IF($D472=$D469,IF(OR($B472="LOSS",$B472="OK",$B472="Anulada"),S472,0)+U469,IF(OR($B472="LOSS",$B472="OK",$B472="Anulada"),S472,0))</f>
        <v>44.27</v>
      </c>
      <c r="V472" s="496">
        <f>IF($D472="",0,IF($D472=$D469,IF($B472=" ",IF(I474="",IF(OR(AND(I472="DNB1",I473="DNB2"),AND(OR(I472="DNB1",I472="DNB2"),J473=0),AND(OR(I473="DNB1",I473="DNB2"),J472=0),AND(I472="DNB2",I473="DNB1"),AND(IF(J472=0,(J472+1)/ROUND(J472+1,0),J472/ROUND(J472,0))=1,IF(J473=0,(J473+1)/ROUND(IF(J473="",0,J473)+1,0),IF(J473="",0,J473)/ROUND(IF(J473="",1,J473),0))=1,OR(J472&lt;&gt;""),J473&lt;&gt;"")),0,IF(S472&lt;0,IF(I474="",SMALL(P472:P473,1)-SUM(O472:O473),0),SMALL(P472:P473,1)-SUM(O472:O473))),IF(S472&lt;0,IF(I474="",SMALL(P472:P474,1)-SUM(O472:O474),0),LARGE(P472:P474,1)-SUM(O472:O474))),S472)+V469,IF(I474="",IF(OR(AND(I472="DNB1",I473="DNB2"),AND(OR(I472="DNB1",I472="DNB2"),J473=0),AND(OR(I473="DNB1",I473="DNB2"),J472=0),AND(I472="DNB2",I473="DNB1"),AND(IF(J472=0,(J472+1)/ROUND(J472+1,0),J472/ROUND(J472,0))=1,IF(J473=0,(IF(J473="",0,J473)+1)/ROUND(IF(J473="",0,J473)+1,0),IF(J473="",0,J473)/ROUND(IF(J473="",0,J473)+1,0))=1,OR(J472&lt;&gt;""),J473&lt;&gt;"")),0,IF(S472&lt;0,IF(I474="",SMALL(P472:P473,1)-SUM(O472:O473),0),SMALL(P472:P474,1)-SUM(O472:O474))),IF(S472&lt;0,IF(I474="",SMALL(P472:P474,1)-SUM(O472:O474),0),LARGE(P472:P474,1)-SUM(O472:O474)))))</f>
        <v>44.256599999999999</v>
      </c>
      <c r="W472" s="496">
        <f>IF($D472=$D469,IF(S472&lt;0,IF(I474="",S472,0),S472)+W469,S472)</f>
        <v>44.27</v>
      </c>
      <c r="X472" s="505" t="str">
        <f>IF(OR(SUM(R472:R474)=0,V472=W472),ROUND(IF(W472=0,0,W472/Y472)*100,2)&amp;"%",ROUND(IF(V472=0,0,V472/Y472)*100,2)&amp;"% a "&amp;ROUND(IF(W472=0,0,W472/Y472)*100,2)&amp;"%")</f>
        <v>5,24%</v>
      </c>
      <c r="Y472" s="497">
        <f>IF($D472=$D469,Y469+SUM(O472:O474),SUM(O472:O474))</f>
        <v>844.77000000000021</v>
      </c>
      <c r="Z472" s="496">
        <f>IF($B472=" ",SUM(O472:O474),0)+Z469</f>
        <v>0</v>
      </c>
      <c r="AA472" s="496">
        <f>IF(G472="","",IF($B472="Anulado",LARGE(P472:P474,1)-SUM(O472:O474)+AA469,AA469))</f>
        <v>12.425099999999992</v>
      </c>
      <c r="AB472" s="496">
        <f>IF($D472="","",AB469+S472)</f>
        <v>572.69000000000017</v>
      </c>
      <c r="AC472" s="499">
        <f ca="1">IF($D472="","",IF($B472=" ",IF(DAY(G472)=DAY(TODAY()),1+AC469,0+AC469),0+AC469))</f>
        <v>0</v>
      </c>
      <c r="AD472" s="157">
        <f>(1-_xlfn.XLOOKUP(K470,'Fevereiro 2023 - Valor Real'!A3:A15,'Fevereiro 2023 - Valor Real'!C3:C15,0))+1</f>
        <v>2</v>
      </c>
      <c r="AE472" s="158">
        <f>IF(L472="","",IF(L474&gt;0,(SUM(((L472-1)*(1-_xlfn.XLOOKUP(K472,'Fevereiro 2023 - Valor Real'!A3:A15,'Fevereiro 2023 - Valor Real'!C3:C15,0))+1),((L473-1)*(1-_xlfn.XLOOKUP(K473,'Fevereiro 2023 - Valor Real'!A3:A15,'Fevereiro 2023 - Valor Real'!C3:C15,0))+1),((L474-1)*(1-_xlfn.XLOOKUP(K474,'Fevereiro 2023 - Valor Real'!A3:A15,'Fevereiro 2023 - Valor Real'!C3:C15,0))+1))/((L472-1)*(1-_xlfn.XLOOKUP(K472,'Fevereiro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Real'!C3:C15,0))+1))/((L472-1)*(1-_xlfn.XLOOKUP(K472,'Fevereiro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Real'!C3:C15,0))+1))/((L473-1)*(1-_xlfn.XLOOKUP(K473,'Fevereiro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Real'!C3:C15,0))+1))/((L474-1)*(1-_xlfn.XLOOKUP(K474,'Fevereiro 2023 - Valor Real'!A3:A15,'Fevereiro 2023 - Valor Real'!C3:C15,0))+1)),IF(I472="Lay",IF(I473="Lay",((L473/(L473-1)-1)*(1-_xlfn.XLOOKUP(K473,'Fevereiro 2023 - Valor Real'!A3:A15,'Fevereiro 2023 - Valor Real'!C3:C15,0))+1)/(((L473/(L473-1)-1)*(1-_xlfn.XLOOKUP(K473,'Fevereiro 2023 - Valor Real'!A3:A15,'Fevereiro 2023 - Valor Real'!C3:C15,0))+1)+((L472/(L472-1)-1)*(1-_xlfn.XLOOKUP(K472,'Fevereiro 2023 - Valor Real'!A3:A15,'Fevereiro 2023 - Valor Real'!C3:C15,0))+1)),((L473-1)*(1-_xlfn.XLOOKUP(K473,'Fevereiro 2023 - Valor Real'!A3:A15,'Fevereiro 2023 - Valor Real'!C3:C15,0))+1)/(((L473-1)*(1-_xlfn.XLOOKUP(K473,'Fevereiro 2023 - Valor Real'!A3:A15,'Fevereiro 2023 - Valor Real'!C3:C15,0))+1)+((L472/(L472-1)-1)*(1-_xlfn.XLOOKUP(K472,'Fevereiro 2023 - Valor Real'!A3:A15,'Fevereiro 2023 - Valor Real'!C3:C15,0))+1))),IF(I473="Lay",(((L473/(L473-1)-1)*(1-_xlfn.XLOOKUP(K473,'Fevereiro 2023 - Valor Real'!A3:A15,'Fevereiro 2023 - Valor Real'!C3:C15,0))+1))/(((L472-1)*(1-_xlfn.XLOOKUP(K472,'Fevereiro 2023 - Valor Real'!A3:A15,'Fevereiro 2023 - Valor Real'!C3:C15,0))+1)+((L473/(L473-1)-1)*(1-_xlfn.XLOOKUP(K473,'Fevereiro 2023 - Valor Real'!A3:A15,'Fevereiro 2023 - Valor Real'!C3:C15,0))+1)),((L473-1)*(1-_xlfn.XLOOKUP(K473,'Fevereiro 2023 - Valor Real'!A3:A15,'Fevereiro 2023 - Valor Real'!C3:C15,0))+1)/(((L473-1)*(1-_xlfn.XLOOKUP(K473,'Fevereiro 2023 - Valor Real'!A3:A15,'Fevereiro 2023 - Valor Real'!C3:C15,0))+1)+((L472-1)*(1-_xlfn.XLOOKUP(K472,'Fevereiro 2023 - Valor Real'!A3:A15,'Fevereiro 2023 - Valor Real'!C3:C15,0))+1))))))</f>
        <v>0.58457434985552348</v>
      </c>
      <c r="AF472" s="66">
        <f t="shared" si="946"/>
        <v>0</v>
      </c>
      <c r="AG472" s="67">
        <f t="shared" si="946"/>
        <v>0</v>
      </c>
      <c r="AH472" s="67">
        <f t="shared" si="946"/>
        <v>0</v>
      </c>
      <c r="AI472" s="67">
        <f t="shared" si="946"/>
        <v>0</v>
      </c>
      <c r="AJ472" s="67">
        <f t="shared" si="946"/>
        <v>0</v>
      </c>
      <c r="AK472" s="67">
        <f t="shared" si="946"/>
        <v>0</v>
      </c>
      <c r="AL472" s="67">
        <f t="shared" si="946"/>
        <v>0</v>
      </c>
      <c r="AM472" s="67">
        <f t="shared" si="946"/>
        <v>-10.02</v>
      </c>
      <c r="AN472" s="67">
        <f t="shared" si="946"/>
        <v>0</v>
      </c>
      <c r="AO472" s="67">
        <f t="shared" si="946"/>
        <v>0</v>
      </c>
      <c r="AP472" s="67">
        <f t="shared" si="946"/>
        <v>0</v>
      </c>
      <c r="AQ472" s="67">
        <f t="shared" si="946"/>
        <v>0</v>
      </c>
      <c r="AR472" s="68">
        <f t="shared" si="946"/>
        <v>0</v>
      </c>
      <c r="AS472" s="66">
        <f t="shared" ref="AS472:BE472" si="958">IF(AND($B472=" ",$K472=AS$3),$O472,0)</f>
        <v>0</v>
      </c>
      <c r="AT472" s="67">
        <f t="shared" si="958"/>
        <v>0</v>
      </c>
      <c r="AU472" s="67">
        <f t="shared" si="958"/>
        <v>0</v>
      </c>
      <c r="AV472" s="67">
        <f t="shared" si="958"/>
        <v>0</v>
      </c>
      <c r="AW472" s="67">
        <f t="shared" si="958"/>
        <v>0</v>
      </c>
      <c r="AX472" s="67">
        <f t="shared" si="958"/>
        <v>0</v>
      </c>
      <c r="AY472" s="69">
        <f t="shared" si="958"/>
        <v>0</v>
      </c>
      <c r="AZ472" s="70">
        <f t="shared" si="958"/>
        <v>0</v>
      </c>
      <c r="BA472" s="70">
        <f t="shared" si="958"/>
        <v>0</v>
      </c>
      <c r="BB472" s="70">
        <f t="shared" si="958"/>
        <v>0</v>
      </c>
      <c r="BC472" s="71">
        <f t="shared" si="958"/>
        <v>0</v>
      </c>
      <c r="BD472" s="67">
        <f t="shared" si="958"/>
        <v>0</v>
      </c>
      <c r="BE472" s="68">
        <f t="shared" si="958"/>
        <v>0</v>
      </c>
      <c r="BF472" s="66">
        <f t="shared" si="948"/>
        <v>0</v>
      </c>
      <c r="BG472" s="67">
        <f t="shared" si="948"/>
        <v>0</v>
      </c>
      <c r="BH472" s="67">
        <f t="shared" si="948"/>
        <v>0</v>
      </c>
      <c r="BI472" s="67">
        <f t="shared" si="948"/>
        <v>0</v>
      </c>
      <c r="BJ472" s="67">
        <f t="shared" si="948"/>
        <v>0</v>
      </c>
      <c r="BK472" s="67">
        <f t="shared" si="948"/>
        <v>0</v>
      </c>
      <c r="BL472" s="67">
        <f t="shared" si="948"/>
        <v>0</v>
      </c>
      <c r="BM472" s="69">
        <f t="shared" si="948"/>
        <v>10.02</v>
      </c>
      <c r="BN472" s="70">
        <f t="shared" si="948"/>
        <v>0</v>
      </c>
      <c r="BO472" s="70">
        <f t="shared" si="948"/>
        <v>0</v>
      </c>
      <c r="BP472" s="70">
        <f t="shared" si="948"/>
        <v>0</v>
      </c>
      <c r="BQ472" s="71">
        <f t="shared" si="948"/>
        <v>0</v>
      </c>
      <c r="BR472" s="68">
        <f t="shared" si="948"/>
        <v>0</v>
      </c>
      <c r="BS472" s="490">
        <f>IF($B472="LOSS",IF(AND($K472=BS$3,$C472="L"),-$O472,0)+IF(AND($K473=BS$3,$C473="L"),-$O473,0)+IF(AND($K474=BS$3,$C474="L"),-$O474,0),IF(OR(AND($K472=BS$3,OR($C472="W",$C472="1/2W")),AND($K473=BS$3,OR($C473="W",$C473="1/2W")),AND($K474=BS$3,OR($C474="W",$C474="1/2W"))),$S472,0))</f>
        <v>0</v>
      </c>
      <c r="BT472" s="498">
        <f>IF($B472="LOSS",IF(AND($K472=BT$3,$C472="L"),-$O472,0)+IF(AND($K473=BT$3,$C473="L"),-$O473,0)+IF(AND($K473=BT$3,$C474="L"),-$O474,0),IF(OR(AND($K473=BT$3,OR($C472="W",$C472="1/2W")),AND($K473=BT$3,OR($C473="W",$C473="1/2W")),AND($K473=BT$3,OR($C474="W",$C474="1/2W"))),$S472,0))</f>
        <v>1.59</v>
      </c>
      <c r="BU472" s="488">
        <f>IF($B472="LOSS",IF(AND($K472=BU$3,$C472="L"),-$O472,0)+IF(AND($K473=BU$3,$C473="L"),-$O473,0)+IF(AND($K473=BU$3,$C474="L"),-$O474,0),IF(OR(AND($K473=BU$3,OR($C472="W",$C472="1/2W")),AND($K473=BU$3,OR($C473="W",$C473="1/2W")),AND($K473=BU$3,OR($C474="W",$C474="1/2W"))),$S472,0))</f>
        <v>0</v>
      </c>
      <c r="BV472" s="488">
        <f t="shared" ref="BV472:CE472" si="959">IF($B472="LOSS",IF(AND($K472=BV$3,$C472="L"),-$O472,0)+IF(AND($K473=BV$3,$C473="L"),-$O473,0)+IF(AND($K474=BV$3,$C474="L"),-$O474,0),IF(OR(AND($K472=BV$3,OR($C472="W",$C472="1/2W")),AND($K473=BV$3,OR($C473="W",$C473="1/2W")),AND($K474=BV$3,OR($C474="W",$C474="1/2W"))),$S472,0))</f>
        <v>0</v>
      </c>
      <c r="BW472" s="488">
        <f t="shared" si="959"/>
        <v>0</v>
      </c>
      <c r="BX472" s="488">
        <f t="shared" si="959"/>
        <v>0</v>
      </c>
      <c r="BY472" s="488">
        <f t="shared" si="959"/>
        <v>0</v>
      </c>
      <c r="BZ472" s="488">
        <f t="shared" si="959"/>
        <v>0</v>
      </c>
      <c r="CA472" s="488">
        <f t="shared" si="959"/>
        <v>0</v>
      </c>
      <c r="CB472" s="488">
        <f t="shared" si="959"/>
        <v>0</v>
      </c>
      <c r="CC472" s="488">
        <f t="shared" si="959"/>
        <v>0</v>
      </c>
      <c r="CD472" s="500">
        <f t="shared" si="959"/>
        <v>0</v>
      </c>
      <c r="CE472" s="504">
        <f t="shared" si="959"/>
        <v>0</v>
      </c>
      <c r="CF472" s="160">
        <f t="shared" si="899"/>
        <v>0</v>
      </c>
      <c r="CG472" s="161">
        <f t="shared" si="900"/>
        <v>0</v>
      </c>
      <c r="CH472" s="161">
        <f t="shared" si="901"/>
        <v>0</v>
      </c>
      <c r="CI472" s="161">
        <f t="shared" si="902"/>
        <v>0</v>
      </c>
      <c r="CJ472" s="161">
        <f t="shared" si="903"/>
        <v>0</v>
      </c>
      <c r="CK472" s="161">
        <f t="shared" si="904"/>
        <v>0</v>
      </c>
      <c r="CL472" s="161">
        <f t="shared" si="905"/>
        <v>0</v>
      </c>
      <c r="CM472" s="161">
        <f t="shared" si="906"/>
        <v>0</v>
      </c>
      <c r="CN472" s="161">
        <f t="shared" si="907"/>
        <v>0</v>
      </c>
      <c r="CO472" s="161">
        <f t="shared" si="908"/>
        <v>0</v>
      </c>
      <c r="CP472" s="161">
        <f t="shared" si="909"/>
        <v>0</v>
      </c>
      <c r="CQ472" s="161">
        <f t="shared" si="910"/>
        <v>0</v>
      </c>
      <c r="CR472" s="161">
        <f t="shared" si="911"/>
        <v>0</v>
      </c>
      <c r="CS472" s="161">
        <f t="shared" si="912"/>
        <v>0</v>
      </c>
      <c r="CT472" s="75">
        <f t="shared" si="913"/>
        <v>0</v>
      </c>
      <c r="CU472" s="76">
        <f t="shared" si="914"/>
        <v>1</v>
      </c>
      <c r="CV472" s="76">
        <f t="shared" si="915"/>
        <v>0</v>
      </c>
      <c r="CW472" s="76">
        <f t="shared" si="916"/>
        <v>0</v>
      </c>
      <c r="CX472" s="76">
        <f t="shared" si="917"/>
        <v>0</v>
      </c>
      <c r="CY472" s="76">
        <f t="shared" si="918"/>
        <v>0</v>
      </c>
      <c r="CZ472" s="76">
        <f t="shared" si="919"/>
        <v>0</v>
      </c>
      <c r="DA472" s="76">
        <f t="shared" si="920"/>
        <v>0</v>
      </c>
      <c r="DB472" s="76">
        <f t="shared" si="921"/>
        <v>0</v>
      </c>
      <c r="DC472" s="76">
        <f t="shared" si="922"/>
        <v>0</v>
      </c>
      <c r="DD472" s="76">
        <f t="shared" si="923"/>
        <v>0</v>
      </c>
      <c r="DE472" s="77">
        <f t="shared" si="924"/>
        <v>0</v>
      </c>
      <c r="DF472" s="73">
        <f t="shared" si="926"/>
        <v>31</v>
      </c>
      <c r="DG472" s="67">
        <f t="shared" si="927"/>
        <v>40.139999999999993</v>
      </c>
      <c r="DH472" s="76">
        <f t="shared" si="928"/>
        <v>11</v>
      </c>
      <c r="DI472" s="67">
        <f t="shared" si="929"/>
        <v>45.699999999999996</v>
      </c>
      <c r="DJ472" s="202" t="str">
        <f>IF($D472="","",$D472)</f>
        <v>15</v>
      </c>
      <c r="DK472" s="492">
        <f>IF(AND($B472=" ",$D472&lt;&gt;""),1,0)</f>
        <v>0</v>
      </c>
    </row>
    <row r="473" spans="1:115" ht="14.5" customHeight="1" x14ac:dyDescent="0.2">
      <c r="A473" s="389"/>
      <c r="B473" s="456"/>
      <c r="C473" s="53" t="s">
        <v>54</v>
      </c>
      <c r="D473" s="374"/>
      <c r="E473" s="386"/>
      <c r="F473" s="377"/>
      <c r="G473" s="508"/>
      <c r="H473" s="476"/>
      <c r="I473" s="182" t="s">
        <v>67</v>
      </c>
      <c r="J473" s="56">
        <f>IF(OR(I472="TO",I472="TU",I472="TO1",I472="TU1",I472="TO2",I472="TU2"),J472,IF(OR(I472="AH1",I472="AH2"),IF(OR(I473="AH1",I473="AH2"),-J472,IF(OR(I473="EH1",I473="EH2"),-J472+0.5,"")),IF(OR(I472="EH1",I472="EH2"),IF(OR(I473="AH1",I473="AH2"),-J472+0.5,IF(OR(I473="EH1",I473="EH2"),-J472+1,"")),IF(AND(OR(I472="DNB1",I472="DNB2"),OR(I473="AH1",I473="AH2")),0,IF(AND(I472="Not ScoreBoth",OR(I473="TO1",I473="TO2")),0.5,"")))))</f>
        <v>-1</v>
      </c>
      <c r="K473" s="57" t="s">
        <v>37</v>
      </c>
      <c r="L473" s="164">
        <v>2.63</v>
      </c>
      <c r="M473" s="165">
        <v>7.12</v>
      </c>
      <c r="N473" s="406"/>
      <c r="O473" s="60">
        <f>IF(OR(AE472="",AE473=""),"",ROUND(IF(L474&gt;0,IF(M473&gt;0,M473,IF(M472&gt;0,IF(N472=TRUE,ROUND((M472*AE473)/AE472,0),(M472*AE473)/AE472),IF(M473&gt;0,ROUND(M473,IF(N472=0,2,IF(N472=0.1,1,0))),IF(M474&gt;0,ROUND(O474*AE473/AE474,IF(N472=0,2,IF(N472=0.1,1,0))),0)))),IF(M473&gt;0,M473,ROUND((M472*AE473)/AE472,IF(N472=0,2,IF(N472=0.1,1,0))))),2))</f>
        <v>7.12</v>
      </c>
      <c r="P473" s="61">
        <f>IF(OR(L473="",O473=""),"",IF($C473="1/2W",O473/2+O473/2*L473,IF($C473="1/2L",O473/2,IF(I473="Lay",((O473*(L473/(L473-1)))-O473)*(1-_xlfn.XLOOKUP(K473,'Fevereiro 2023 - Valor Real'!A3:A15,'Fevereiro 2023 - Valor Real'!C3:C15,0))+O473,(O473*L473-O473)*(1-_xlfn.XLOOKUP(K473,'Fevereiro 2023 - Valor Real'!A3:A15,'Fevereiro 2023 - Valor Real'!C3:C15,0))+O473))))</f>
        <v>18.7256</v>
      </c>
      <c r="Q473" s="166">
        <f>IF(K473="","",IF(_xlfn.XLOOKUP(K473,K$10:K464,$DJ$10:DJ464,0,,-1)=DJ473,_xlfn.XLOOKUP(K473,K$10:K464,Q$10:Q464,1,,-1)+1,1))</f>
        <v>4</v>
      </c>
      <c r="R473" s="167">
        <f>IF(K473="","",_xlfn.XLOOKUP(K473,K$10:K464,R$10:R464,0,,-1)+IF($C473=" ",1,0))</f>
        <v>0</v>
      </c>
      <c r="S473" s="403"/>
      <c r="T473" s="380"/>
      <c r="U473" s="380"/>
      <c r="V473" s="481"/>
      <c r="W473" s="380"/>
      <c r="X473" s="452"/>
      <c r="Y473" s="383"/>
      <c r="Z473" s="384"/>
      <c r="AA473" s="384"/>
      <c r="AB473" s="384"/>
      <c r="AC473" s="384"/>
      <c r="AD473" s="64"/>
      <c r="AE473" s="65">
        <f>IF(L473="","",IF(L474&gt;0,(SUM(((L472-1)*(1-_xlfn.XLOOKUP(K472,'Fevereiro 2023 - Valor Real'!A3:A15,'Fevereiro 2023 - Valor Real'!C3:C15,0))+1),((L473-1)*(1-_xlfn.XLOOKUP(K473,'Fevereiro 2023 - Valor Real'!A3:A15,'Fevereiro 2023 - Valor Real'!C3:C15,0))+1),((L474-1)*(1-_xlfn.XLOOKUP(K474,'Fevereiro 2023 - Valor Real'!A3:A15,'Fevereiro 2023 - Valor Real'!C3:C15,0))+1))/((L473-1)*(1-_xlfn.XLOOKUP(K473,'Fevereiro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Real'!C3:C15,0))+1))/((L472-1)*(1-_xlfn.XLOOKUP(K472,'Fevereiro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Real'!C3:C15,0))+1))/((L473-1)*(1-_xlfn.XLOOKUP(K473,'Fevereiro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Real'!C3:C15,0))+1))/((L474-1)*(1-_xlfn.XLOOKUP(K474,'Fevereiro 2023 - Valor Real'!A3:A15,'Fevereiro 2023 - Valor Real'!C3:C15,0))+1)),IF(I473="Lay",IF(I472="Lay",((L472/(L472-1)-1)*(1-_xlfn.XLOOKUP(K472,'Fevereiro 2023 - Valor Real'!A3:A15,'Fevereiro 2023 - Valor Real'!C3:C15,0))+1)/(((L472/(L472-1)-1)*(1-_xlfn.XLOOKUP(K472,'Fevereiro 2023 - Valor Real'!A3:A15,'Fevereiro 2023 - Valor Real'!C3:C15,0))+1)+((L473/(L473-1)-1)*(1-_xlfn.XLOOKUP(K473,'Fevereiro 2023 - Valor Real'!A3:A15,'Fevereiro 2023 - Valor Real'!C3:C15,0))+1)),((L472-1)*(1-_xlfn.XLOOKUP(K472,'Fevereiro 2023 - Valor Real'!A3:A15,'Fevereiro 2023 - Valor Real'!C3:C15,0))+1)/(((L472-1)*(1-_xlfn.XLOOKUP(K472,'Fevereiro 2023 - Valor Real'!A3:A15,'Fevereiro 2023 - Valor Real'!C3:C15,0))+1)+((L473/(L473-1)-1)*(1-_xlfn.XLOOKUP(K473,'Fevereiro 2023 - Valor Real'!A3:A15,'Fevereiro 2023 - Valor Real'!C3:C15,0))+1))),IF(I472="Lay",((L472/(L472-1)-1)*(1-_xlfn.XLOOKUP(K472,'Fevereiro 2023 - Valor Real'!A3:A15,'Fevereiro 2023 - Valor Real'!C3:C15,0))+1)/((((L472/(L472-1)-1)*(1-_xlfn.XLOOKUP(K472,'Fevereiro 2023 - Valor Real'!A3:A15,'Fevereiro 2023 - Valor Real'!C3:C15,0))+1))+((L473-1)*(1-_xlfn.XLOOKUP(K473,'Fevereiro 2023 - Valor Real'!A3:A15,'Fevereiro 2023 - Valor Real'!C3:C15,0))+1)),((L472-1)*(1-_xlfn.XLOOKUP(K472,'Fevereiro 2023 - Valor Real'!A3:A15,'Fevereiro 2023 - Valor Real'!C3:C15,0))+1)/(((L472-1)*(1-_xlfn.XLOOKUP(K472,'Fevereiro 2023 - Valor Real'!A3:A15,'Fevereiro 2023 - Valor Real'!C3:C15,0))+1)+((L473-1)*(1-_xlfn.XLOOKUP(K473,'Fevereiro 2023 - Valor Real'!A3:A15,'Fevereiro 2023 - Valor Real'!C3:C15,0))+1))))))</f>
        <v>0.41542565014447658</v>
      </c>
      <c r="AF473" s="66">
        <f t="shared" si="946"/>
        <v>0</v>
      </c>
      <c r="AG473" s="67">
        <f t="shared" si="946"/>
        <v>11.61</v>
      </c>
      <c r="AH473" s="67">
        <f t="shared" si="946"/>
        <v>0</v>
      </c>
      <c r="AI473" s="67">
        <f t="shared" si="946"/>
        <v>0</v>
      </c>
      <c r="AJ473" s="67">
        <f t="shared" si="946"/>
        <v>0</v>
      </c>
      <c r="AK473" s="67">
        <f t="shared" si="946"/>
        <v>0</v>
      </c>
      <c r="AL473" s="67">
        <f t="shared" si="946"/>
        <v>0</v>
      </c>
      <c r="AM473" s="67">
        <f t="shared" si="946"/>
        <v>0</v>
      </c>
      <c r="AN473" s="67">
        <f t="shared" si="946"/>
        <v>0</v>
      </c>
      <c r="AO473" s="67">
        <f t="shared" si="946"/>
        <v>0</v>
      </c>
      <c r="AP473" s="67">
        <f t="shared" si="946"/>
        <v>0</v>
      </c>
      <c r="AQ473" s="67">
        <f t="shared" si="946"/>
        <v>0</v>
      </c>
      <c r="AR473" s="68">
        <f t="shared" si="946"/>
        <v>0</v>
      </c>
      <c r="AS473" s="66">
        <f>IF(AND($B472=" ",$K473=AS$3),$O473,0)</f>
        <v>0</v>
      </c>
      <c r="AT473" s="67">
        <f>IF(AND($B472=" ",K473=AT$3),$O473,0)</f>
        <v>0</v>
      </c>
      <c r="AU473" s="67">
        <f t="shared" ref="AU473:BE473" si="960">IF(AND($B472=" ",$K473=AU$3),$O473,0)</f>
        <v>0</v>
      </c>
      <c r="AV473" s="67">
        <f t="shared" si="960"/>
        <v>0</v>
      </c>
      <c r="AW473" s="67">
        <f t="shared" si="960"/>
        <v>0</v>
      </c>
      <c r="AX473" s="67">
        <f t="shared" si="960"/>
        <v>0</v>
      </c>
      <c r="AY473" s="69">
        <f t="shared" si="960"/>
        <v>0</v>
      </c>
      <c r="AZ473" s="70">
        <f t="shared" si="960"/>
        <v>0</v>
      </c>
      <c r="BA473" s="70">
        <f t="shared" si="960"/>
        <v>0</v>
      </c>
      <c r="BB473" s="70">
        <f t="shared" si="960"/>
        <v>0</v>
      </c>
      <c r="BC473" s="71">
        <f t="shared" si="960"/>
        <v>0</v>
      </c>
      <c r="BD473" s="67">
        <f t="shared" si="960"/>
        <v>0</v>
      </c>
      <c r="BE473" s="68">
        <f t="shared" si="960"/>
        <v>0</v>
      </c>
      <c r="BF473" s="66">
        <f t="shared" si="948"/>
        <v>0</v>
      </c>
      <c r="BG473" s="168">
        <f t="shared" si="948"/>
        <v>7.12</v>
      </c>
      <c r="BH473" s="67">
        <f t="shared" si="948"/>
        <v>0</v>
      </c>
      <c r="BI473" s="67">
        <f t="shared" si="948"/>
        <v>0</v>
      </c>
      <c r="BJ473" s="67">
        <f t="shared" si="948"/>
        <v>0</v>
      </c>
      <c r="BK473" s="67">
        <f t="shared" si="948"/>
        <v>0</v>
      </c>
      <c r="BL473" s="67">
        <f t="shared" si="948"/>
        <v>0</v>
      </c>
      <c r="BM473" s="69">
        <f t="shared" si="948"/>
        <v>0</v>
      </c>
      <c r="BN473" s="70">
        <f t="shared" si="948"/>
        <v>0</v>
      </c>
      <c r="BO473" s="70">
        <f t="shared" si="948"/>
        <v>0</v>
      </c>
      <c r="BP473" s="70">
        <f t="shared" si="948"/>
        <v>0</v>
      </c>
      <c r="BQ473" s="71">
        <f t="shared" si="948"/>
        <v>0</v>
      </c>
      <c r="BR473" s="68">
        <f t="shared" si="948"/>
        <v>0</v>
      </c>
      <c r="BS473" s="491"/>
      <c r="BT473" s="489"/>
      <c r="BU473" s="392"/>
      <c r="BV473" s="489"/>
      <c r="BW473" s="392"/>
      <c r="BX473" s="392"/>
      <c r="BY473" s="392"/>
      <c r="BZ473" s="489"/>
      <c r="CA473" s="392"/>
      <c r="CB473" s="392"/>
      <c r="CC473" s="392"/>
      <c r="CD473" s="401"/>
      <c r="CE473" s="409"/>
      <c r="CF473" s="169">
        <f t="shared" si="899"/>
        <v>0</v>
      </c>
      <c r="CG473" s="170">
        <f t="shared" si="900"/>
        <v>0</v>
      </c>
      <c r="CH473" s="170">
        <f t="shared" si="901"/>
        <v>1</v>
      </c>
      <c r="CI473" s="170">
        <f t="shared" si="902"/>
        <v>0</v>
      </c>
      <c r="CJ473" s="170">
        <f t="shared" si="903"/>
        <v>0</v>
      </c>
      <c r="CK473" s="170">
        <f t="shared" si="904"/>
        <v>0</v>
      </c>
      <c r="CL473" s="170">
        <f t="shared" si="905"/>
        <v>0</v>
      </c>
      <c r="CM473" s="170">
        <f t="shared" si="906"/>
        <v>0</v>
      </c>
      <c r="CN473" s="170">
        <f t="shared" si="907"/>
        <v>0</v>
      </c>
      <c r="CO473" s="170">
        <f t="shared" si="908"/>
        <v>0</v>
      </c>
      <c r="CP473" s="170">
        <f t="shared" si="909"/>
        <v>0</v>
      </c>
      <c r="CQ473" s="170">
        <f t="shared" si="910"/>
        <v>0</v>
      </c>
      <c r="CR473" s="170">
        <f t="shared" si="911"/>
        <v>0</v>
      </c>
      <c r="CS473" s="170">
        <f t="shared" si="912"/>
        <v>0</v>
      </c>
      <c r="CT473" s="75">
        <f t="shared" si="913"/>
        <v>0</v>
      </c>
      <c r="CU473" s="76">
        <f t="shared" si="914"/>
        <v>0</v>
      </c>
      <c r="CV473" s="76">
        <f t="shared" si="915"/>
        <v>0</v>
      </c>
      <c r="CW473" s="76">
        <f t="shared" si="916"/>
        <v>0</v>
      </c>
      <c r="CX473" s="76">
        <f t="shared" si="917"/>
        <v>0</v>
      </c>
      <c r="CY473" s="76">
        <f t="shared" si="918"/>
        <v>0</v>
      </c>
      <c r="CZ473" s="76">
        <f t="shared" si="919"/>
        <v>0</v>
      </c>
      <c r="DA473" s="76">
        <f t="shared" si="920"/>
        <v>0</v>
      </c>
      <c r="DB473" s="76">
        <f t="shared" si="921"/>
        <v>0</v>
      </c>
      <c r="DC473" s="76">
        <f t="shared" si="922"/>
        <v>0</v>
      </c>
      <c r="DD473" s="76">
        <f t="shared" si="923"/>
        <v>0</v>
      </c>
      <c r="DE473" s="77">
        <f t="shared" si="924"/>
        <v>0</v>
      </c>
      <c r="DF473" s="73">
        <f t="shared" si="926"/>
        <v>31</v>
      </c>
      <c r="DG473" s="67">
        <f t="shared" si="927"/>
        <v>40.139999999999993</v>
      </c>
      <c r="DH473" s="76">
        <f t="shared" si="928"/>
        <v>11</v>
      </c>
      <c r="DI473" s="67">
        <f t="shared" si="929"/>
        <v>45.699999999999996</v>
      </c>
      <c r="DJ473" s="202" t="str">
        <f>IF($D472="","",$D472)</f>
        <v>15</v>
      </c>
      <c r="DK473" s="493"/>
    </row>
    <row r="474" spans="1:115" ht="14.5" customHeight="1" x14ac:dyDescent="0.2">
      <c r="A474" s="390"/>
      <c r="B474" s="457"/>
      <c r="C474" s="79" t="s">
        <v>53</v>
      </c>
      <c r="D474" s="375"/>
      <c r="E474" s="387"/>
      <c r="F474" s="378"/>
      <c r="G474" s="508"/>
      <c r="H474" s="477"/>
      <c r="I474" s="171"/>
      <c r="J474" s="172"/>
      <c r="K474" s="81"/>
      <c r="L474" s="173"/>
      <c r="M474" s="174"/>
      <c r="N474" s="407"/>
      <c r="O474" s="86" t="str">
        <f>IF(OR(AE472="",AE473=""),"",IF(L474&gt;0,ROUND(IF(M474&gt;0,M474,IF(M472&gt;0,ROUND((M472*AE474)/AE472,IF(N472=0,2,IF(N472=0.1,1,0))),IF(M473&gt;0,ROUND((M473*AE474)/AE473,IF(N472=0,2,IF(N472=0.1,1,0))),IF(M474&gt;0,M474,0)))),2),""))</f>
        <v/>
      </c>
      <c r="P474" s="87" t="str">
        <f>IF(I473="Lay",O473*(L473/(L473-1))-O473,IF(I472="Lay",O472*(L472/(L472-1))-O472,IF(OR(L474="",O474=""),"",IF($C474="1/2W",O474/2+O474/2*L474,IF($C474="1/2L",O474/2,(O474*L474-O474)*(1-_xlfn.XLOOKUP(K474,'Fevereiro 2023 - Valor Real'!A3:A15,'Fevereiro 2023 - Valor Real'!C3:C15,0))+O474)))))</f>
        <v/>
      </c>
      <c r="Q474" s="54" t="str">
        <f>IF(K474="","",IF(_xlfn.XLOOKUP(K474,K$11:K464,$DJ$11:DJ464,0,,-1)=DJ474,_xlfn.XLOOKUP(K474,K$11:K464,Q$11:Q464,1,,-1)+1,1))</f>
        <v/>
      </c>
      <c r="R474" s="87" t="str">
        <f>IF(K474="","",_xlfn.XLOOKUP(K474,K$11:K464,R$11:R464,0,,-1)+IF($C474=" ",1,0))</f>
        <v/>
      </c>
      <c r="S474" s="404"/>
      <c r="T474" s="378"/>
      <c r="U474" s="378"/>
      <c r="V474" s="404"/>
      <c r="W474" s="378"/>
      <c r="X474" s="453"/>
      <c r="Y474" s="383"/>
      <c r="Z474" s="384"/>
      <c r="AA474" s="384"/>
      <c r="AB474" s="384"/>
      <c r="AC474" s="384"/>
      <c r="AD474" s="90"/>
      <c r="AE474" s="91" t="str">
        <f>IF(L474="","",(SUM(((L472-1)*(1-_xlfn.XLOOKUP(K472,'Fevereiro 2023 - Valor Real'!A3:A15,'Fevereiro 2023 - Valor Real'!C3:C15,0))+1),((L473-1)*(1-_xlfn.XLOOKUP(K473,'Fevereiro 2023 - Valor Real'!A3:A15,'Fevereiro 2023 - Valor Real'!C3:C15,0))+1),((L474-1)*(1-_xlfn.XLOOKUP(K474,'Fevereiro 2023 - Valor Real'!A3:A15,'Fevereiro 2023 - Valor Real'!C3:C15,0))+1))/((L474-1)*(1-_xlfn.XLOOKUP(K474,'Fevereiro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Real'!C3:C15,0))+1))/((L472-1)*(1-_xlfn.XLOOKUP(K472,'Fevereiro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Real'!C3:C15,0))+1))/((L473-1)*(1-_xlfn.XLOOKUP(K473,'Fevereiro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Real'!C3:C15,0))+1))/((L474-1)*(1-_xlfn.XLOOKUP(K474,'Fevereiro 2023 - Valor Real'!A3:A15,'Fevereiro 2023 - Valor Real'!C3:C15,0))+1)))</f>
        <v/>
      </c>
      <c r="AF474" s="66">
        <f t="shared" ref="AF474:AR483" si="961">IF($K474=AF$3,ROUND(IF(OR($C474="W",$C474="1/2W",$C474="1/2L"),$P474-$O474,IF($C474="X",0,-$O474)),2),0)</f>
        <v>0</v>
      </c>
      <c r="AG474" s="67">
        <f t="shared" si="961"/>
        <v>0</v>
      </c>
      <c r="AH474" s="67">
        <f t="shared" si="961"/>
        <v>0</v>
      </c>
      <c r="AI474" s="67">
        <f t="shared" si="961"/>
        <v>0</v>
      </c>
      <c r="AJ474" s="67">
        <f t="shared" si="961"/>
        <v>0</v>
      </c>
      <c r="AK474" s="67">
        <f t="shared" si="961"/>
        <v>0</v>
      </c>
      <c r="AL474" s="67">
        <f t="shared" si="961"/>
        <v>0</v>
      </c>
      <c r="AM474" s="67">
        <f t="shared" si="961"/>
        <v>0</v>
      </c>
      <c r="AN474" s="67">
        <f t="shared" si="961"/>
        <v>0</v>
      </c>
      <c r="AO474" s="67">
        <f t="shared" si="961"/>
        <v>0</v>
      </c>
      <c r="AP474" s="67">
        <f t="shared" si="961"/>
        <v>0</v>
      </c>
      <c r="AQ474" s="67">
        <f t="shared" si="961"/>
        <v>0</v>
      </c>
      <c r="AR474" s="68">
        <f t="shared" si="961"/>
        <v>0</v>
      </c>
      <c r="AS474" s="66">
        <f>IF(AND($B472=" ",$K474=AS$3),$O474,0)</f>
        <v>0</v>
      </c>
      <c r="AT474" s="67">
        <f>IF(AND($B472=" ",K474=AT$3),$O474,0)</f>
        <v>0</v>
      </c>
      <c r="AU474" s="67">
        <f t="shared" ref="AU474:BE474" si="962">IF(AND($B472=" ",$K474=AU$3),$O474,0)</f>
        <v>0</v>
      </c>
      <c r="AV474" s="67">
        <f t="shared" si="962"/>
        <v>0</v>
      </c>
      <c r="AW474" s="67">
        <f t="shared" si="962"/>
        <v>0</v>
      </c>
      <c r="AX474" s="67">
        <f t="shared" si="962"/>
        <v>0</v>
      </c>
      <c r="AY474" s="69">
        <f t="shared" si="962"/>
        <v>0</v>
      </c>
      <c r="AZ474" s="70">
        <f t="shared" si="962"/>
        <v>0</v>
      </c>
      <c r="BA474" s="70">
        <f t="shared" si="962"/>
        <v>0</v>
      </c>
      <c r="BB474" s="70">
        <f t="shared" si="962"/>
        <v>0</v>
      </c>
      <c r="BC474" s="71">
        <f t="shared" si="962"/>
        <v>0</v>
      </c>
      <c r="BD474" s="67">
        <f t="shared" si="962"/>
        <v>0</v>
      </c>
      <c r="BE474" s="68">
        <f t="shared" si="962"/>
        <v>0</v>
      </c>
      <c r="BF474" s="66">
        <f t="shared" ref="BF474:BR483" si="963">IF($K474=BF$3,IF($C474="X",0,$O474),0)</f>
        <v>0</v>
      </c>
      <c r="BG474" s="168">
        <f t="shared" si="963"/>
        <v>0</v>
      </c>
      <c r="BH474" s="67">
        <f t="shared" si="963"/>
        <v>0</v>
      </c>
      <c r="BI474" s="67">
        <f t="shared" si="963"/>
        <v>0</v>
      </c>
      <c r="BJ474" s="67">
        <f t="shared" si="963"/>
        <v>0</v>
      </c>
      <c r="BK474" s="67">
        <f t="shared" si="963"/>
        <v>0</v>
      </c>
      <c r="BL474" s="67">
        <f t="shared" si="963"/>
        <v>0</v>
      </c>
      <c r="BM474" s="69">
        <f t="shared" si="963"/>
        <v>0</v>
      </c>
      <c r="BN474" s="70">
        <f t="shared" si="963"/>
        <v>0</v>
      </c>
      <c r="BO474" s="70">
        <f t="shared" si="963"/>
        <v>0</v>
      </c>
      <c r="BP474" s="70">
        <f t="shared" si="963"/>
        <v>0</v>
      </c>
      <c r="BQ474" s="71">
        <f t="shared" si="963"/>
        <v>0</v>
      </c>
      <c r="BR474" s="68">
        <f t="shared" si="963"/>
        <v>0</v>
      </c>
      <c r="BS474" s="491"/>
      <c r="BT474" s="489"/>
      <c r="BU474" s="392"/>
      <c r="BV474" s="489"/>
      <c r="BW474" s="392"/>
      <c r="BX474" s="392"/>
      <c r="BY474" s="392"/>
      <c r="BZ474" s="489"/>
      <c r="CA474" s="392"/>
      <c r="CB474" s="392"/>
      <c r="CC474" s="392"/>
      <c r="CD474" s="401"/>
      <c r="CE474" s="409"/>
      <c r="CF474" s="169">
        <f t="shared" si="899"/>
        <v>0</v>
      </c>
      <c r="CG474" s="170">
        <f t="shared" si="900"/>
        <v>0</v>
      </c>
      <c r="CH474" s="170">
        <f t="shared" si="901"/>
        <v>0</v>
      </c>
      <c r="CI474" s="170">
        <f t="shared" si="902"/>
        <v>0</v>
      </c>
      <c r="CJ474" s="170">
        <f t="shared" si="903"/>
        <v>0</v>
      </c>
      <c r="CK474" s="170">
        <f t="shared" si="904"/>
        <v>0</v>
      </c>
      <c r="CL474" s="170">
        <f t="shared" si="905"/>
        <v>0</v>
      </c>
      <c r="CM474" s="170">
        <f t="shared" si="906"/>
        <v>0</v>
      </c>
      <c r="CN474" s="170">
        <f t="shared" si="907"/>
        <v>0</v>
      </c>
      <c r="CO474" s="170">
        <f t="shared" si="908"/>
        <v>0</v>
      </c>
      <c r="CP474" s="170">
        <f t="shared" si="909"/>
        <v>0</v>
      </c>
      <c r="CQ474" s="170">
        <f t="shared" si="910"/>
        <v>0</v>
      </c>
      <c r="CR474" s="170">
        <f t="shared" si="911"/>
        <v>0</v>
      </c>
      <c r="CS474" s="170">
        <f t="shared" si="912"/>
        <v>0</v>
      </c>
      <c r="CT474" s="75">
        <f t="shared" si="913"/>
        <v>0</v>
      </c>
      <c r="CU474" s="76">
        <f t="shared" si="914"/>
        <v>0</v>
      </c>
      <c r="CV474" s="76">
        <f t="shared" si="915"/>
        <v>0</v>
      </c>
      <c r="CW474" s="76">
        <f t="shared" si="916"/>
        <v>0</v>
      </c>
      <c r="CX474" s="76">
        <f t="shared" si="917"/>
        <v>0</v>
      </c>
      <c r="CY474" s="76">
        <f t="shared" si="918"/>
        <v>0</v>
      </c>
      <c r="CZ474" s="76">
        <f t="shared" si="919"/>
        <v>0</v>
      </c>
      <c r="DA474" s="76">
        <f t="shared" si="920"/>
        <v>0</v>
      </c>
      <c r="DB474" s="76">
        <f t="shared" si="921"/>
        <v>0</v>
      </c>
      <c r="DC474" s="76">
        <f t="shared" si="922"/>
        <v>0</v>
      </c>
      <c r="DD474" s="76">
        <f t="shared" si="923"/>
        <v>0</v>
      </c>
      <c r="DE474" s="77">
        <f t="shared" si="924"/>
        <v>0</v>
      </c>
      <c r="DF474" s="73">
        <f t="shared" si="926"/>
        <v>31</v>
      </c>
      <c r="DG474" s="67">
        <f t="shared" si="927"/>
        <v>40.139999999999993</v>
      </c>
      <c r="DH474" s="76">
        <f t="shared" si="928"/>
        <v>11</v>
      </c>
      <c r="DI474" s="67">
        <f t="shared" si="929"/>
        <v>45.699999999999996</v>
      </c>
      <c r="DJ474" s="202" t="str">
        <f>IF($D472="","",$D472)</f>
        <v>15</v>
      </c>
      <c r="DK474" s="493"/>
    </row>
    <row r="475" spans="1:115" ht="14.5" customHeight="1" x14ac:dyDescent="0.2">
      <c r="A475" s="459">
        <f>$A472+1</f>
        <v>158</v>
      </c>
      <c r="B475" s="507" t="str">
        <f>IF(OR(C475="W",C476="W",C477="W",C475="1/2W",C476="1/2W",C477="1/2W",C475="1/2L",C476="1/2L",C477="1/2L"),"OK",IF(OR(C475="L",C476="L",C477="L"),"LOSS",IF(OR(C475="X",C476="X",C477="X"),"Anulado"," ")))</f>
        <v>OK</v>
      </c>
      <c r="C475" s="93" t="s">
        <v>54</v>
      </c>
      <c r="D475" s="468" t="str">
        <f>IF(G475="","",$D472)</f>
        <v>15</v>
      </c>
      <c r="E475" s="485" t="str">
        <f>IF(G475=""," ","– "&amp;COUNTIF(D$4:D477,$D475))</f>
        <v>– 16</v>
      </c>
      <c r="F475" s="509" t="str">
        <f ca="1">IF(G475="","",IF(OR(AND($C475&lt;&gt;" ",$C476=" "),AND($C476&lt;&gt;" ",$C475=" "),AND(L477&gt;0,OR(AND($C477&lt;&gt;" ",OR($C475=" ",$C476=" ")),AND($C477=" ",OR($C475&lt;&gt;" ",$C476&lt;&gt;" "))))),IF(SUM(F$4:F474)=0,1,LARGE(F$4:F474,1)+1),IF(MONTH(G475)=MONTH(TODAY()),IF(AND(DAY(G475)&lt;DAY(TODAY()),$B475=" "),IF(SUM(F$4:F474)=0,1,LARGE(F$4:F474,1)+1),IF($B475=" ",IF(AND(DAY(G475)=DAY(TODAY()),HOUR(G475)&lt;=HOUR(NOW())+1),IF(AND(HOUR(G475)+2&lt;=HOUR(NOW()),DAY(G475)&lt;=DAY(TODAY()),MINUTE(G475)&lt;=MINUTE(NOW())),IF(SUM(F$4:F474)=0,1,LARGE(F$4:F474,1)+1),IF(OR(MINUTE(G475)&lt;=MINUTE(NOW()),HOUR(G475)&lt;=HOUR(NOW())),"!!!","")),""),"")),"")))</f>
        <v/>
      </c>
      <c r="G475" s="482">
        <v>45000.895833333336</v>
      </c>
      <c r="H475" s="475" t="s">
        <v>193</v>
      </c>
      <c r="I475" s="94" t="s">
        <v>52</v>
      </c>
      <c r="J475" s="95">
        <v>11</v>
      </c>
      <c r="K475" s="96" t="s">
        <v>43</v>
      </c>
      <c r="L475" s="97">
        <v>1.452</v>
      </c>
      <c r="M475" s="98">
        <v>33.24</v>
      </c>
      <c r="N475" s="478">
        <v>0</v>
      </c>
      <c r="O475" s="99">
        <f>IF(OR(AE475="",AE476=""),"",ROUND(IF(L477&gt;0,IF(M475&gt;0,M475,IF(M476&gt;0,ROUND((M476*AE475)/AE476,IF(N475=0,2,IF(N475=0.1,1,0))),ROUND((M477*AE475)/AE477,IF(N475=0,2,IF(N475=0.1,1,0))))),IF(M475&gt;0,M475,ROUND((M476*AE475)/AE476,IF(N475=0,2,IF(N475=0.1,1,0))))),2))</f>
        <v>33.24</v>
      </c>
      <c r="P475" s="100">
        <f>IF(OR(L475="",O475=""),"",IF($C475="1/2W",O475/2+O475/2*L475,IF($C475="1/2L",O475/2,IF(I475="Lay",(O475*(L475/(L475-1))-O475)*(1-_xlfn.XLOOKUP(K475,'Fevereiro 2023 - Valor Real'!A3:A15,'Fevereiro 2023 - Valor Real'!C3:C15,0))+O475,(O475*L475-O475)*(1-_xlfn.XLOOKUP(K475,'Fevereiro 2023 - Valor Real'!A3:A15,'Fevereiro 2023 - Valor Real'!C3:C15,0))+O475))))</f>
        <v>48.264479999999999</v>
      </c>
      <c r="Q475" s="101">
        <f>IF(K475="","",IF(_xlfn.XLOOKUP(K475,K$4:K474,$DJ$4:DJ474,0,,-1)=DJ475,_xlfn.XLOOKUP(K475,K$4:K474,Q$4:Q474,1,,-1)+1,1))</f>
        <v>6</v>
      </c>
      <c r="R475" s="102">
        <f>IF(K475="","",_xlfn.XLOOKUP(K475,K$4:K474,R$4:R474,0,,-1)+IF($C475=" ",1,0))</f>
        <v>0</v>
      </c>
      <c r="S475" s="474">
        <f>IF($B475="Anulado",0,ROUND(IF(OR($B475="LOSS",$B475="OK"),IF(OR($C475="W",$C475="1/2W",$C475="1/2L"),P475-O475,IF($C475="L",-O475,0))+IF(OR($C476="W",$C476="1/2W",$C476="1/2L"),P476-O476,IF($C476="L",-O476,0))+IF(OR($C477="W",$C477="1/2W",$C477="1/2L"),P477-O477,IF($C477="L",-O477,0)),IF(AND(OR($C475="W",$C475="1/2W",$C475="1/2L"),C476="W"),P475+P476-SUM(O475:O477)+_xlfn.XLOOKUP("X",C475:C477,O475:O477,0),IF(AND(C475=TRUE,C477="W"),P475+P477-SUM(O475:O477),IF(AND(C476="W",C477="W"),P476+P477-SUM(O475:O477)+_xlfn.XLOOKUP("X",C475:C477,O475:O477,0),IF(L477&gt;0,IF(OR($C475="W",$C475="1/2W",$C475="1/2L"),P475-SUM(O475:O477)+_xlfn.XLOOKUP("X",C475:C477,O475:O477,0),IF(OR($C475="W",$C475="1/2W",$C475="1/2L"),P476-SUM(O475:O477)+_xlfn.XLOOKUP("X",C475:C477,O475:O477,0),IF(OR($C475="W",$C475="1/2W",$C475="1/2L"),P477-SUM(O475:O477)+_xlfn.XLOOKUP("X",C475:C477,O475:O477,0),IF(SUM(P475:P477)/3-SUM(O475:O477)+_xlfn.XLOOKUP("X",C475:C477,O475:O477,0)&gt;0,SUM(P475:P477)/3-SUM(O475:O477)+_xlfn.XLOOKUP("X",C475:C477,O475:O477,0),LARGE(P475:P477,1)-SUM(O475:O477))))),IF(OR($C475="W",$C475="1/2W",$C475="1/2L"),P475-SUM(O475:O476)+_xlfn.XLOOKUP("X",C475:C477,O475:O477,0),IF(OR($C475="W",$C475="1/2W",$C475="1/2L"),P476-SUM(O475:O476)+_xlfn.XLOOKUP("X",C475:C477,O475:O477,0),SUM(P475:P476)/2-SUM(O475:O476)+_xlfn.XLOOKUP("X",C475:C477,O475:O477,0)))))))),2))</f>
        <v>2.02</v>
      </c>
      <c r="T475" s="458">
        <f>IF(S475=0,0,S475/SUM(O475:O477))</f>
        <v>4.3685121107266432E-2</v>
      </c>
      <c r="U475" s="470">
        <f>IF($D475=$D472,IF(OR($B475="LOSS",$B475="OK",$B475="Anulada"),S475,0)+U472,IF(OR($B475="LOSS",$B475="OK",$B475="Anulada"),S475,0))</f>
        <v>46.290000000000006</v>
      </c>
      <c r="V475" s="470">
        <f>IF($D475="",0,IF($D475=$D472,IF($B475=" ",IF(I477="",IF(OR(AND(I475="DNB1",I476="DNB2"),AND(OR(I475="DNB1",I475="DNB2"),J476=0),AND(OR(I476="DNB1",I476="DNB2"),J475=0),AND(I475="DNB2",I476="DNB1"),AND(IF(J475=0,(J475+1)/ROUND(J475+1,0),J475/ROUND(J475,0))=1,IF(J476=0,(J476+1)/ROUND(IF(J476="",0,J476)+1,0),IF(J476="",0,J476)/ROUND(IF(J476="",1,J476),0))=1,OR(J475&lt;&gt;""),J476&lt;&gt;"")),0,IF(S475&lt;0,IF(I477="",SMALL(P475:P476,1)-SUM(O475:O476),0),SMALL(P475:P476,1)-SUM(O475:O476))),IF(S475&lt;0,IF(I477="",SMALL(P475:P477,1)-SUM(O475:O477),0),LARGE(P475:P477,1)-SUM(O475:O477))),S475)+V472,IF(I477="",IF(OR(AND(I475="DNB1",I476="DNB2"),AND(OR(I475="DNB1",I475="DNB2"),J476=0),AND(OR(I476="DNB1",I476="DNB2"),J475=0),AND(I475="DNB2",I476="DNB1"),AND(IF(J475=0,(J475+1)/ROUND(J475+1,0),J475/ROUND(J475,0))=1,IF(J476=0,(IF(J476="",0,J476)+1)/ROUND(IF(J476="",0,J476)+1,0),IF(J476="",0,J476)/ROUND(IF(J476="",0,J476)+1,0))=1,OR(J475&lt;&gt;""),J476&lt;&gt;"")),0,IF(S475&lt;0,IF(I477="",SMALL(P475:P476,1)-SUM(O475:O476),0),SMALL(P475:P477,1)-SUM(O475:O477))),IF(S475&lt;0,IF(I477="",SMALL(P475:P477,1)-SUM(O475:O477),0),LARGE(P475:P477,1)-SUM(O475:O477)))))</f>
        <v>46.276600000000002</v>
      </c>
      <c r="W475" s="470">
        <f>IF($D475=$D472,IF(S475&lt;0,IF(I477="",S475,0),S475)+W472,S475)</f>
        <v>46.290000000000006</v>
      </c>
      <c r="X475" s="480" t="str">
        <f>IF(OR(SUM(R475:R477)=0,V475=W475),ROUND(IF(W475=0,0,W475/Y475)*100,2)&amp;"%",ROUND(IF(V475=0,0,V475/Y475)*100,2)&amp;"% a "&amp;ROUND(IF(W475=0,0,W475/Y475)*100,2)&amp;"%")</f>
        <v>5,2%</v>
      </c>
      <c r="Y475" s="471">
        <f>IF($D475=$D472,Y472+SUM(O475:O477),SUM(O475:O477))</f>
        <v>891.01000000000022</v>
      </c>
      <c r="Z475" s="470">
        <f>IF($B475=" ",SUM(O475:O477),0)+Z472</f>
        <v>0</v>
      </c>
      <c r="AA475" s="470">
        <f>IF(G475="","",IF($B475="Anulado",LARGE(P475:P477,1)-SUM(O475:O477)+AA472,AA472))</f>
        <v>12.425099999999992</v>
      </c>
      <c r="AB475" s="470">
        <f>IF($D475="","",AB472+S475)</f>
        <v>574.71000000000015</v>
      </c>
      <c r="AC475" s="472">
        <f ca="1">IF($D475="","",IF($B475=" ",IF(DAY(G475)=DAY(TODAY()),1+AC472,0+AC472),0+AC472))</f>
        <v>0</v>
      </c>
      <c r="AD475" s="103">
        <f>(((L476/(L476-1)-1)*(1-_xlfn.XLOOKUP(K476,'Fevereiro 2023 - Valor Real'!A3:A15,'Fevereiro 2023 - Valor Real'!C3:C15,0))+1))/(((L475-1)*(1-_xlfn.XLOOKUP(K475,'Fevereiro 2023 - Valor Real'!A3:A15,'Fevereiro 2023 - Valor Real'!C3:C15,0))+1)+((L476/(L476-1)-1)*(1-_xlfn.XLOOKUP(K476,'Fevereiro 2023 - Valor Real'!A3:A15,'Fevereiro 2023 - Valor Real'!C3:C15,0))+1))</f>
        <v>0.51247614335194747</v>
      </c>
      <c r="AE475" s="104">
        <f>IF(L475="","",IF(L477&gt;0,(SUM(((L475-1)*(1-_xlfn.XLOOKUP(K475,'Fevereiro 2023 - Valor Real'!A3:A15,'Fevereiro 2023 - Valor Real'!C3:C15,0))+1),((L476-1)*(1-_xlfn.XLOOKUP(K476,'Fevereiro 2023 - Valor Real'!A3:A15,'Fevereiro 2023 - Valor Real'!C3:C15,0))+1),((L477-1)*(1-_xlfn.XLOOKUP(K477,'Fevereiro 2023 - Valor Real'!A3:A15,'Fevereiro 2023 - Valor Real'!C3:C15,0))+1))/((L475-1)*(1-_xlfn.XLOOKUP(K475,'Fevereiro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Real'!C3:C15,0))+1))/((L475-1)*(1-_xlfn.XLOOKUP(K475,'Fevereiro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Real'!C3:C15,0))+1))/((L476-1)*(1-_xlfn.XLOOKUP(K476,'Fevereiro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Real'!C3:C15,0))+1))/((L477-1)*(1-_xlfn.XLOOKUP(K477,'Fevereiro 2023 - Valor Real'!A3:A15,'Fevereiro 2023 - Valor Real'!C3:C15,0))+1)),IF(I475="Lay",IF(I476="Lay",((L476/(L476-1)-1)*(1-_xlfn.XLOOKUP(K476,'Fevereiro 2023 - Valor Real'!A3:A15,'Fevereiro 2023 - Valor Real'!C3:C15,0))+1)/(((L476/(L476-1)-1)*(1-_xlfn.XLOOKUP(K476,'Fevereiro 2023 - Valor Real'!A3:A15,'Fevereiro 2023 - Valor Real'!C3:C15,0))+1)+((L475/(L475-1)-1)*(1-_xlfn.XLOOKUP(K475,'Fevereiro 2023 - Valor Real'!A3:A15,'Fevereiro 2023 - Valor Real'!C3:C15,0))+1)),((L476-1)*(1-_xlfn.XLOOKUP(K476,'Fevereiro 2023 - Valor Real'!A3:A15,'Fevereiro 2023 - Valor Real'!C3:C15,0))+1)/(((L476-1)*(1-_xlfn.XLOOKUP(K476,'Fevereiro 2023 - Valor Real'!A3:A15,'Fevereiro 2023 - Valor Real'!C3:C15,0))+1)+((L475/(L475-1)-1)*(1-_xlfn.XLOOKUP(K475,'Fevereiro 2023 - Valor Real'!A3:A15,'Fevereiro 2023 - Valor Real'!C3:C15,0))+1))),IF(I476="Lay",(((L476/(L476-1)-1)*(1-_xlfn.XLOOKUP(K476,'Fevereiro 2023 - Valor Real'!A3:A15,'Fevereiro 2023 - Valor Real'!C3:C15,0))+1))/(((L475-1)*(1-_xlfn.XLOOKUP(K475,'Fevereiro 2023 - Valor Real'!A3:A15,'Fevereiro 2023 - Valor Real'!C3:C15,0))+1)+((L476/(L476-1)-1)*(1-_xlfn.XLOOKUP(K476,'Fevereiro 2023 - Valor Real'!A3:A15,'Fevereiro 2023 - Valor Real'!C3:C15,0))+1)),((L476-1)*(1-_xlfn.XLOOKUP(K476,'Fevereiro 2023 - Valor Real'!A3:A15,'Fevereiro 2023 - Valor Real'!C3:C15,0))+1)/(((L476-1)*(1-_xlfn.XLOOKUP(K476,'Fevereiro 2023 - Valor Real'!A3:A15,'Fevereiro 2023 - Valor Real'!C3:C15,0))+1)+((L475-1)*(1-_xlfn.XLOOKUP(K475,'Fevereiro 2023 - Valor Real'!A3:A15,'Fevereiro 2023 - Valor Real'!C3:C15,0))+1))))))</f>
        <v>0.54278894428100843</v>
      </c>
      <c r="AF475" s="105">
        <f t="shared" si="961"/>
        <v>0</v>
      </c>
      <c r="AG475" s="106">
        <f t="shared" si="961"/>
        <v>0</v>
      </c>
      <c r="AH475" s="106">
        <f t="shared" si="961"/>
        <v>0</v>
      </c>
      <c r="AI475" s="106">
        <f t="shared" si="961"/>
        <v>0</v>
      </c>
      <c r="AJ475" s="106">
        <f t="shared" si="961"/>
        <v>0</v>
      </c>
      <c r="AK475" s="106">
        <f t="shared" si="961"/>
        <v>0</v>
      </c>
      <c r="AL475" s="106">
        <f t="shared" si="961"/>
        <v>0</v>
      </c>
      <c r="AM475" s="106">
        <f t="shared" si="961"/>
        <v>15.02</v>
      </c>
      <c r="AN475" s="106">
        <f t="shared" si="961"/>
        <v>0</v>
      </c>
      <c r="AO475" s="106">
        <f t="shared" si="961"/>
        <v>0</v>
      </c>
      <c r="AP475" s="106">
        <f t="shared" si="961"/>
        <v>0</v>
      </c>
      <c r="AQ475" s="106">
        <f t="shared" si="961"/>
        <v>0</v>
      </c>
      <c r="AR475" s="107">
        <f t="shared" si="961"/>
        <v>0</v>
      </c>
      <c r="AS475" s="105">
        <f t="shared" ref="AS475:BE475" si="964">IF(AND($B475=" ",$K475=AS$3),$O475,0)</f>
        <v>0</v>
      </c>
      <c r="AT475" s="106">
        <f t="shared" si="964"/>
        <v>0</v>
      </c>
      <c r="AU475" s="106">
        <f t="shared" si="964"/>
        <v>0</v>
      </c>
      <c r="AV475" s="106">
        <f t="shared" si="964"/>
        <v>0</v>
      </c>
      <c r="AW475" s="106">
        <f t="shared" si="964"/>
        <v>0</v>
      </c>
      <c r="AX475" s="106">
        <f t="shared" si="964"/>
        <v>0</v>
      </c>
      <c r="AY475" s="108">
        <f t="shared" si="964"/>
        <v>0</v>
      </c>
      <c r="AZ475" s="109">
        <f t="shared" si="964"/>
        <v>0</v>
      </c>
      <c r="BA475" s="109">
        <f t="shared" si="964"/>
        <v>0</v>
      </c>
      <c r="BB475" s="109">
        <f t="shared" si="964"/>
        <v>0</v>
      </c>
      <c r="BC475" s="110">
        <f t="shared" si="964"/>
        <v>0</v>
      </c>
      <c r="BD475" s="106">
        <f t="shared" si="964"/>
        <v>0</v>
      </c>
      <c r="BE475" s="107">
        <f t="shared" si="964"/>
        <v>0</v>
      </c>
      <c r="BF475" s="111">
        <f t="shared" si="963"/>
        <v>0</v>
      </c>
      <c r="BG475" s="106">
        <f t="shared" si="963"/>
        <v>0</v>
      </c>
      <c r="BH475" s="106">
        <f t="shared" si="963"/>
        <v>0</v>
      </c>
      <c r="BI475" s="106">
        <f t="shared" si="963"/>
        <v>0</v>
      </c>
      <c r="BJ475" s="106">
        <f t="shared" si="963"/>
        <v>0</v>
      </c>
      <c r="BK475" s="106">
        <f t="shared" si="963"/>
        <v>0</v>
      </c>
      <c r="BL475" s="106">
        <f t="shared" si="963"/>
        <v>0</v>
      </c>
      <c r="BM475" s="108">
        <f t="shared" si="963"/>
        <v>33.24</v>
      </c>
      <c r="BN475" s="109">
        <f t="shared" si="963"/>
        <v>0</v>
      </c>
      <c r="BO475" s="109">
        <f t="shared" si="963"/>
        <v>0</v>
      </c>
      <c r="BP475" s="109">
        <f t="shared" si="963"/>
        <v>0</v>
      </c>
      <c r="BQ475" s="110">
        <f t="shared" si="963"/>
        <v>0</v>
      </c>
      <c r="BR475" s="107">
        <f t="shared" si="963"/>
        <v>0</v>
      </c>
      <c r="BS475" s="463">
        <f>IF($B475="LOSS",IF(AND($K475=BS$3,$C475="L"),-$O475,0)+IF(AND($K476=BS$3,$C476="L"),-$O476,0)+IF(AND($K477=BS$3,$C477="L"),-$O477,0),IF(OR(AND($K475=BS$3,OR($C475="W",$C475="1/2W")),AND($K476=BS$3,OR($C476="W",$C476="1/2W")),AND($K477=BS$3,OR($C477="W",$C477="1/2W"))),$S475,0))</f>
        <v>0</v>
      </c>
      <c r="BT475" s="462">
        <f>IF($B475="LOSS",IF(AND($K475=BT$3,$C475="L"),-$O475,0)+IF(AND($K476=BT$3,$C476="L"),-$O476,0)+IF(AND($K476=BT$3,$C477="L"),-$O477,0),IF(OR(AND($K476=BT$3,OR($C475="W",$C475="1/2W")),AND($K476=BT$3,OR($C476="W",$C476="1/2W")),AND($K476=BT$3,OR($C477="W",$C477="1/2W"))),$S475,0))</f>
        <v>2.02</v>
      </c>
      <c r="BU475" s="462">
        <f>IF($B475="LOSS",IF(AND($K475=BU$3,$C475="L"),-$O475,0)+IF(AND($K476=BU$3,$C476="L"),-$O476,0)+IF(AND($K476=BU$3,$C477="L"),-$O477,0),IF(OR(AND($K476=BU$3,OR($C475="W",$C475="1/2W")),AND($K476=BU$3,OR($C476="W",$C476="1/2W")),AND($K476=BU$3,OR($C477="W",$C477="1/2W"))),$S475,0))</f>
        <v>0</v>
      </c>
      <c r="BV475" s="462">
        <f t="shared" ref="BV475:CE475" si="965">IF($B475="LOSS",IF(AND($K475=BV$3,$C475="L"),-$O475,0)+IF(AND($K476=BV$3,$C476="L"),-$O476,0)+IF(AND($K477=BV$3,$C477="L"),-$O477,0),IF(OR(AND($K475=BV$3,OR($C475="W",$C475="1/2W")),AND($K476=BV$3,OR($C476="W",$C476="1/2W")),AND($K477=BV$3,OR($C477="W",$C477="1/2W"))),$S475,0))</f>
        <v>0</v>
      </c>
      <c r="BW475" s="462">
        <f t="shared" si="965"/>
        <v>0</v>
      </c>
      <c r="BX475" s="462">
        <f t="shared" si="965"/>
        <v>0</v>
      </c>
      <c r="BY475" s="462">
        <f t="shared" si="965"/>
        <v>0</v>
      </c>
      <c r="BZ475" s="460">
        <f t="shared" si="965"/>
        <v>2.02</v>
      </c>
      <c r="CA475" s="460">
        <f t="shared" si="965"/>
        <v>0</v>
      </c>
      <c r="CB475" s="460">
        <f t="shared" si="965"/>
        <v>0</v>
      </c>
      <c r="CC475" s="460">
        <f t="shared" si="965"/>
        <v>0</v>
      </c>
      <c r="CD475" s="473">
        <f t="shared" si="965"/>
        <v>0</v>
      </c>
      <c r="CE475" s="479">
        <f t="shared" si="965"/>
        <v>0</v>
      </c>
      <c r="CF475" s="113">
        <f t="shared" si="899"/>
        <v>0</v>
      </c>
      <c r="CG475" s="114">
        <f t="shared" si="900"/>
        <v>0</v>
      </c>
      <c r="CH475" s="114">
        <f t="shared" si="901"/>
        <v>0</v>
      </c>
      <c r="CI475" s="114">
        <f t="shared" si="902"/>
        <v>0</v>
      </c>
      <c r="CJ475" s="114">
        <f t="shared" si="903"/>
        <v>0</v>
      </c>
      <c r="CK475" s="114">
        <f t="shared" si="904"/>
        <v>0</v>
      </c>
      <c r="CL475" s="114">
        <f t="shared" si="905"/>
        <v>0</v>
      </c>
      <c r="CM475" s="114">
        <f t="shared" si="906"/>
        <v>0</v>
      </c>
      <c r="CN475" s="114">
        <f t="shared" si="907"/>
        <v>0</v>
      </c>
      <c r="CO475" s="114">
        <f t="shared" si="908"/>
        <v>0</v>
      </c>
      <c r="CP475" s="114">
        <f t="shared" si="909"/>
        <v>0</v>
      </c>
      <c r="CQ475" s="114">
        <f t="shared" si="910"/>
        <v>0</v>
      </c>
      <c r="CR475" s="114">
        <f t="shared" si="911"/>
        <v>0</v>
      </c>
      <c r="CS475" s="114">
        <f t="shared" si="912"/>
        <v>0</v>
      </c>
      <c r="CT475" s="115">
        <f t="shared" si="913"/>
        <v>1</v>
      </c>
      <c r="CU475" s="116">
        <f t="shared" si="914"/>
        <v>0</v>
      </c>
      <c r="CV475" s="116">
        <f t="shared" si="915"/>
        <v>0</v>
      </c>
      <c r="CW475" s="116">
        <f t="shared" si="916"/>
        <v>0</v>
      </c>
      <c r="CX475" s="116">
        <f t="shared" si="917"/>
        <v>0</v>
      </c>
      <c r="CY475" s="116">
        <f t="shared" si="918"/>
        <v>0</v>
      </c>
      <c r="CZ475" s="116">
        <f t="shared" si="919"/>
        <v>0</v>
      </c>
      <c r="DA475" s="116">
        <f t="shared" si="920"/>
        <v>0</v>
      </c>
      <c r="DB475" s="116">
        <f t="shared" si="921"/>
        <v>0</v>
      </c>
      <c r="DC475" s="116">
        <f t="shared" si="922"/>
        <v>0</v>
      </c>
      <c r="DD475" s="116">
        <f t="shared" si="923"/>
        <v>0</v>
      </c>
      <c r="DE475" s="117">
        <f t="shared" si="924"/>
        <v>0</v>
      </c>
      <c r="DF475" s="118">
        <f t="shared" si="926"/>
        <v>32</v>
      </c>
      <c r="DG475" s="106">
        <f t="shared" si="927"/>
        <v>41.591999999999992</v>
      </c>
      <c r="DH475" s="116">
        <f t="shared" si="928"/>
        <v>11</v>
      </c>
      <c r="DI475" s="106">
        <f t="shared" si="929"/>
        <v>45.699999999999996</v>
      </c>
      <c r="DJ475" s="201" t="str">
        <f>IF($D475="","",$D475)</f>
        <v>15</v>
      </c>
      <c r="DK475" s="465">
        <f>IF(AND($B475=" ",$D475&lt;&gt;""),1,0)</f>
        <v>0</v>
      </c>
    </row>
    <row r="476" spans="1:115" ht="14.5" customHeight="1" x14ac:dyDescent="0.2">
      <c r="A476" s="389"/>
      <c r="B476" s="456"/>
      <c r="C476" s="120" t="s">
        <v>55</v>
      </c>
      <c r="D476" s="374"/>
      <c r="E476" s="386"/>
      <c r="F476" s="377"/>
      <c r="G476" s="483"/>
      <c r="H476" s="476"/>
      <c r="I476" s="121" t="s">
        <v>51</v>
      </c>
      <c r="J476" s="122">
        <v>10.5</v>
      </c>
      <c r="K476" s="123" t="s">
        <v>37</v>
      </c>
      <c r="L476" s="124">
        <v>2.9</v>
      </c>
      <c r="M476" s="125">
        <v>5.18</v>
      </c>
      <c r="N476" s="406"/>
      <c r="O476" s="126">
        <f>IF(OR(AE475="",AE476=""),"",ROUND(IF(L477&gt;0,IF(M476&gt;0,M476,IF(M475&gt;0,IF(N475=TRUE,ROUND((M475*AE476)/AE475,0),(M475*AE476)/AE475),IF(M476&gt;0,ROUND(M476,IF(N475=0,2,IF(N475=0.1,1,0))),IF(M477&gt;0,ROUND(O477*AE476/AE477,IF(N475=0,2,IF(N475=0.1,1,0))),0)))),IF(M476&gt;0,M476,ROUND((M475*AE476)/AE475,IF(N475=0,2,IF(N475=0.1,1,0))))),2))</f>
        <v>5.18</v>
      </c>
      <c r="P476" s="127">
        <f>IF(OR(L476="",O476=""),"",IF($C476="1/2W",O476/2+O476/2*L476,IF($C476="1/2L",O476/2,IF(I476="Lay",((O476*(L476/(L476-1)))-O476)*(1-_xlfn.XLOOKUP(K476,'Fevereiro 2023 - Valor Real'!A3:A15,'Fevereiro 2023 - Valor Real'!C3:C15,0))+O476,(O476*L476-O476)*(1-_xlfn.XLOOKUP(K476,'Fevereiro 2023 - Valor Real'!A3:A15,'Fevereiro 2023 - Valor Real'!C3:C15,0))+O476))))</f>
        <v>15.021999999999998</v>
      </c>
      <c r="Q476" s="128">
        <f>IF(K476="","",IF(_xlfn.XLOOKUP(K476,K$4:K475,$DJ$4:DJ475,0,,-1)=DJ476,_xlfn.XLOOKUP(K476,K$4:K475,Q$4:Q475,1,,-1)+1,1))</f>
        <v>5</v>
      </c>
      <c r="R476" s="129">
        <f>IF(K476="","",_xlfn.XLOOKUP(K476,K$4:K475,R$4:R475,0,,-1)+IF($C476=" ",1,0))</f>
        <v>0</v>
      </c>
      <c r="S476" s="403"/>
      <c r="T476" s="380"/>
      <c r="U476" s="380"/>
      <c r="V476" s="481"/>
      <c r="W476" s="380"/>
      <c r="X476" s="452"/>
      <c r="Y476" s="383"/>
      <c r="Z476" s="384"/>
      <c r="AA476" s="384"/>
      <c r="AB476" s="384"/>
      <c r="AC476" s="384"/>
      <c r="AD476" s="130">
        <f>(((L476/(L476-1)-1)*(1-_xlfn.XLOOKUP(K476,'Fevereiro 2023 - Valor Real'!A3:A15,'Fevereiro 2023 - Valor Real'!C3:C15,0))+1))</f>
        <v>1.5263157894736843</v>
      </c>
      <c r="AE476" s="131">
        <f>IF(L476="","",IF(L477&gt;0,(SUM(((L475-1)*(1-_xlfn.XLOOKUP(K475,'Fevereiro 2023 - Valor Real'!A3:A15,'Fevereiro 2023 - Valor Real'!C3:C15,0))+1),((L476-1)*(1-_xlfn.XLOOKUP(K476,'Fevereiro 2023 - Valor Real'!A3:A15,'Fevereiro 2023 - Valor Real'!C3:C15,0))+1),((L477-1)*(1-_xlfn.XLOOKUP(K477,'Fevereiro 2023 - Valor Real'!A3:A15,'Fevereiro 2023 - Valor Real'!C3:C15,0))+1))/((L476-1)*(1-_xlfn.XLOOKUP(K476,'Fevereiro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Real'!C3:C15,0))+1))/((L475-1)*(1-_xlfn.XLOOKUP(K475,'Fevereiro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Real'!C3:C15,0))+1))/((L476-1)*(1-_xlfn.XLOOKUP(K476,'Fevereiro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Real'!C3:C15,0))+1))/((L477-1)*(1-_xlfn.XLOOKUP(K477,'Fevereiro 2023 - Valor Real'!A3:A15,'Fevereiro 2023 - Valor Real'!C3:C15,0))+1)),IF(I476="Lay",IF(I475="Lay",((L475/(L475-1)-1)*(1-_xlfn.XLOOKUP(K475,'Fevereiro 2023 - Valor Real'!A3:A15,'Fevereiro 2023 - Valor Real'!C3:C15,0))+1)/(((L475/(L475-1)-1)*(1-_xlfn.XLOOKUP(K475,'Fevereiro 2023 - Valor Real'!A3:A15,'Fevereiro 2023 - Valor Real'!C3:C15,0))+1)+((L476/(L476-1)-1)*(1-_xlfn.XLOOKUP(K476,'Fevereiro 2023 - Valor Real'!A3:A15,'Fevereiro 2023 - Valor Real'!C3:C15,0))+1)),((L475-1)*(1-_xlfn.XLOOKUP(K475,'Fevereiro 2023 - Valor Real'!A3:A15,'Fevereiro 2023 - Valor Real'!C3:C15,0))+1)/(((L475-1)*(1-_xlfn.XLOOKUP(K475,'Fevereiro 2023 - Valor Real'!A3:A15,'Fevereiro 2023 - Valor Real'!C3:C15,0))+1)+((L476/(L476-1)-1)*(1-_xlfn.XLOOKUP(K476,'Fevereiro 2023 - Valor Real'!A3:A15,'Fevereiro 2023 - Valor Real'!C3:C15,0))+1))),IF(I475="Lay",((L475/(L475-1)-1)*(1-_xlfn.XLOOKUP(K475,'Fevereiro 2023 - Valor Real'!A3:A15,'Fevereiro 2023 - Valor Real'!C3:C15,0))+1)/((((L475/(L475-1)-1)*(1-_xlfn.XLOOKUP(K475,'Fevereiro 2023 - Valor Real'!A3:A15,'Fevereiro 2023 - Valor Real'!C3:C15,0))+1))+((L476-1)*(1-_xlfn.XLOOKUP(K476,'Fevereiro 2023 - Valor Real'!A3:A15,'Fevereiro 2023 - Valor Real'!C3:C15,0))+1)),((L475-1)*(1-_xlfn.XLOOKUP(K475,'Fevereiro 2023 - Valor Real'!A3:A15,'Fevereiro 2023 - Valor Real'!C3:C15,0))+1)/(((L475-1)*(1-_xlfn.XLOOKUP(K475,'Fevereiro 2023 - Valor Real'!A3:A15,'Fevereiro 2023 - Valor Real'!C3:C15,0))+1)+((L476-1)*(1-_xlfn.XLOOKUP(K476,'Fevereiro 2023 - Valor Real'!A3:A15,'Fevereiro 2023 - Valor Real'!C3:C15,0))+1))))))</f>
        <v>0.27176880934345665</v>
      </c>
      <c r="AF476" s="105">
        <f t="shared" si="961"/>
        <v>0</v>
      </c>
      <c r="AG476" s="106">
        <f t="shared" si="961"/>
        <v>-5.18</v>
      </c>
      <c r="AH476" s="106">
        <f t="shared" si="961"/>
        <v>0</v>
      </c>
      <c r="AI476" s="106">
        <f t="shared" si="961"/>
        <v>0</v>
      </c>
      <c r="AJ476" s="106">
        <f t="shared" si="961"/>
        <v>0</v>
      </c>
      <c r="AK476" s="106">
        <f t="shared" si="961"/>
        <v>0</v>
      </c>
      <c r="AL476" s="106">
        <f t="shared" si="961"/>
        <v>0</v>
      </c>
      <c r="AM476" s="106">
        <f t="shared" si="961"/>
        <v>0</v>
      </c>
      <c r="AN476" s="106">
        <f t="shared" si="961"/>
        <v>0</v>
      </c>
      <c r="AO476" s="106">
        <f t="shared" si="961"/>
        <v>0</v>
      </c>
      <c r="AP476" s="106">
        <f t="shared" si="961"/>
        <v>0</v>
      </c>
      <c r="AQ476" s="106">
        <f t="shared" si="961"/>
        <v>0</v>
      </c>
      <c r="AR476" s="107">
        <f t="shared" si="961"/>
        <v>0</v>
      </c>
      <c r="AS476" s="105">
        <f>IF(AND($B475=" ",$K476=AS$3),$O476,0)</f>
        <v>0</v>
      </c>
      <c r="AT476" s="106">
        <f>IF(AND($B475=" ",K476=AT$3),$O476,0)</f>
        <v>0</v>
      </c>
      <c r="AU476" s="106">
        <f t="shared" ref="AU476:BE476" si="966">IF(AND($B475=" ",$K476=AU$3),$O476,0)</f>
        <v>0</v>
      </c>
      <c r="AV476" s="106">
        <f t="shared" si="966"/>
        <v>0</v>
      </c>
      <c r="AW476" s="106">
        <f t="shared" si="966"/>
        <v>0</v>
      </c>
      <c r="AX476" s="106">
        <f t="shared" si="966"/>
        <v>0</v>
      </c>
      <c r="AY476" s="108">
        <f t="shared" si="966"/>
        <v>0</v>
      </c>
      <c r="AZ476" s="109">
        <f t="shared" si="966"/>
        <v>0</v>
      </c>
      <c r="BA476" s="109">
        <f t="shared" si="966"/>
        <v>0</v>
      </c>
      <c r="BB476" s="109">
        <f t="shared" si="966"/>
        <v>0</v>
      </c>
      <c r="BC476" s="110">
        <f t="shared" si="966"/>
        <v>0</v>
      </c>
      <c r="BD476" s="106">
        <f t="shared" si="966"/>
        <v>0</v>
      </c>
      <c r="BE476" s="107">
        <f t="shared" si="966"/>
        <v>0</v>
      </c>
      <c r="BF476" s="105">
        <f t="shared" si="963"/>
        <v>0</v>
      </c>
      <c r="BG476" s="106">
        <f t="shared" si="963"/>
        <v>5.18</v>
      </c>
      <c r="BH476" s="106">
        <f t="shared" si="963"/>
        <v>0</v>
      </c>
      <c r="BI476" s="106">
        <f t="shared" si="963"/>
        <v>0</v>
      </c>
      <c r="BJ476" s="106">
        <f t="shared" si="963"/>
        <v>0</v>
      </c>
      <c r="BK476" s="106">
        <f t="shared" si="963"/>
        <v>0</v>
      </c>
      <c r="BL476" s="106">
        <f t="shared" si="963"/>
        <v>0</v>
      </c>
      <c r="BM476" s="132">
        <f t="shared" si="963"/>
        <v>0</v>
      </c>
      <c r="BN476" s="112">
        <f t="shared" si="963"/>
        <v>0</v>
      </c>
      <c r="BO476" s="112">
        <f t="shared" si="963"/>
        <v>0</v>
      </c>
      <c r="BP476" s="112">
        <f t="shared" si="963"/>
        <v>0</v>
      </c>
      <c r="BQ476" s="110">
        <f t="shared" si="963"/>
        <v>0</v>
      </c>
      <c r="BR476" s="107">
        <f t="shared" si="963"/>
        <v>0</v>
      </c>
      <c r="BS476" s="464"/>
      <c r="BT476" s="461"/>
      <c r="BU476" s="392"/>
      <c r="BV476" s="461"/>
      <c r="BW476" s="392"/>
      <c r="BX476" s="392"/>
      <c r="BY476" s="392"/>
      <c r="BZ476" s="461"/>
      <c r="CA476" s="392"/>
      <c r="CB476" s="392"/>
      <c r="CC476" s="392"/>
      <c r="CD476" s="401"/>
      <c r="CE476" s="409"/>
      <c r="CF476" s="133">
        <f t="shared" si="899"/>
        <v>0</v>
      </c>
      <c r="CG476" s="134">
        <f t="shared" si="900"/>
        <v>0</v>
      </c>
      <c r="CH476" s="134">
        <f t="shared" si="901"/>
        <v>0</v>
      </c>
      <c r="CI476" s="134">
        <f t="shared" si="902"/>
        <v>1</v>
      </c>
      <c r="CJ476" s="134">
        <f t="shared" si="903"/>
        <v>0</v>
      </c>
      <c r="CK476" s="134">
        <f t="shared" si="904"/>
        <v>0</v>
      </c>
      <c r="CL476" s="134">
        <f t="shared" si="905"/>
        <v>0</v>
      </c>
      <c r="CM476" s="134">
        <f t="shared" si="906"/>
        <v>0</v>
      </c>
      <c r="CN476" s="134">
        <f t="shared" si="907"/>
        <v>0</v>
      </c>
      <c r="CO476" s="134">
        <f t="shared" si="908"/>
        <v>0</v>
      </c>
      <c r="CP476" s="134">
        <f t="shared" si="909"/>
        <v>0</v>
      </c>
      <c r="CQ476" s="134">
        <f t="shared" si="910"/>
        <v>0</v>
      </c>
      <c r="CR476" s="134">
        <f t="shared" si="911"/>
        <v>0</v>
      </c>
      <c r="CS476" s="134">
        <f t="shared" si="912"/>
        <v>0</v>
      </c>
      <c r="CT476" s="115">
        <f t="shared" si="913"/>
        <v>0</v>
      </c>
      <c r="CU476" s="116">
        <f t="shared" si="914"/>
        <v>0</v>
      </c>
      <c r="CV476" s="116">
        <f t="shared" si="915"/>
        <v>0</v>
      </c>
      <c r="CW476" s="116">
        <f t="shared" si="916"/>
        <v>0</v>
      </c>
      <c r="CX476" s="116">
        <f t="shared" si="917"/>
        <v>0</v>
      </c>
      <c r="CY476" s="116">
        <f t="shared" si="918"/>
        <v>0</v>
      </c>
      <c r="CZ476" s="116">
        <f t="shared" si="919"/>
        <v>0</v>
      </c>
      <c r="DA476" s="116">
        <f t="shared" si="920"/>
        <v>0</v>
      </c>
      <c r="DB476" s="116">
        <f t="shared" si="921"/>
        <v>0</v>
      </c>
      <c r="DC476" s="116">
        <f t="shared" si="922"/>
        <v>0</v>
      </c>
      <c r="DD476" s="116">
        <f t="shared" si="923"/>
        <v>0</v>
      </c>
      <c r="DE476" s="117">
        <f t="shared" si="924"/>
        <v>0</v>
      </c>
      <c r="DF476" s="118">
        <f t="shared" si="926"/>
        <v>32</v>
      </c>
      <c r="DG476" s="106">
        <f t="shared" si="927"/>
        <v>41.591999999999992</v>
      </c>
      <c r="DH476" s="116">
        <f t="shared" si="928"/>
        <v>11</v>
      </c>
      <c r="DI476" s="106">
        <f t="shared" si="929"/>
        <v>45.699999999999996</v>
      </c>
      <c r="DJ476" s="201" t="str">
        <f>IF($D475="","",$D475)</f>
        <v>15</v>
      </c>
      <c r="DK476" s="466"/>
    </row>
    <row r="477" spans="1:115" ht="14.5" customHeight="1" x14ac:dyDescent="0.2">
      <c r="A477" s="390"/>
      <c r="B477" s="457"/>
      <c r="C477" s="135" t="s">
        <v>55</v>
      </c>
      <c r="D477" s="375"/>
      <c r="E477" s="387"/>
      <c r="F477" s="378"/>
      <c r="G477" s="484"/>
      <c r="H477" s="477"/>
      <c r="I477" s="203" t="s">
        <v>51</v>
      </c>
      <c r="J477" s="204">
        <v>11.5</v>
      </c>
      <c r="K477" s="193" t="s">
        <v>37</v>
      </c>
      <c r="L477" s="194">
        <v>4.25</v>
      </c>
      <c r="M477" s="140">
        <v>7.82</v>
      </c>
      <c r="N477" s="407"/>
      <c r="O477" s="195">
        <f>IF(OR(AE475="",AE476=""),"",IF(L477&gt;0,ROUND(IF(M477&gt;0,M477,IF(M475&gt;0,ROUND((M475*AE477)/AE475,IF(N475=0,2,IF(N475=0.1,1,0))),IF(M476&gt;0,ROUND((M476*AE477)/AE476,IF(N475=0,2,IF(N475=0.1,1,0))),IF(M477&gt;0,M477,0)))),2),""))</f>
        <v>7.82</v>
      </c>
      <c r="P477" s="196">
        <f>IF(I476="Lay",O476*(L476/(L476-1))-O476,IF(I475="Lay",O475*(L475/(L475-1))-O475,IF(OR(L477="",O477=""),"",IF($C477="1/2W",O477/2+O477/2*L477,IF($C477="1/2L",O477/2,(O477*L477-O477)*(1-_xlfn.XLOOKUP(K477,'Fevereiro 2023 - Valor Real'!A3:A15,'Fevereiro 2023 - Valor Real'!C3:C15,0))+O477)))))</f>
        <v>33.234999999999999</v>
      </c>
      <c r="Q477" s="197">
        <f>IF(K477="","",IF(_xlfn.XLOOKUP(K477,K$4:K476,$DJ$4:DJ476,0,,-1)=DJ477,_xlfn.XLOOKUP(K477,K$4:K476,Q$4:Q476,1,,-1)+1,1))</f>
        <v>6</v>
      </c>
      <c r="R477" s="198">
        <f>IF(K477="","",_xlfn.XLOOKUP(K477,K$4:K476,R$4:R476,0,,-1)+IF($C477=" ",1,0))</f>
        <v>0</v>
      </c>
      <c r="S477" s="404"/>
      <c r="T477" s="378"/>
      <c r="U477" s="378"/>
      <c r="V477" s="404"/>
      <c r="W477" s="378"/>
      <c r="X477" s="453"/>
      <c r="Y477" s="383"/>
      <c r="Z477" s="384"/>
      <c r="AA477" s="384"/>
      <c r="AB477" s="384"/>
      <c r="AC477" s="384"/>
      <c r="AD477" s="145">
        <f>((L476/(L476-1)-1))</f>
        <v>0.52631578947368429</v>
      </c>
      <c r="AE477" s="199">
        <f>IF(L477="","",(SUM(((L475-1)*(1-_xlfn.XLOOKUP(K475,'Fevereiro 2023 - Valor Real'!A3:A15,'Fevereiro 2023 - Valor Real'!C3:C15,0))+1),((L476-1)*(1-_xlfn.XLOOKUP(K476,'Fevereiro 2023 - Valor Real'!A3:A15,'Fevereiro 2023 - Valor Real'!C3:C15,0))+1),((L477-1)*(1-_xlfn.XLOOKUP(K477,'Fevereiro 2023 - Valor Real'!A3:A15,'Fevereiro 2023 - Valor Real'!C3:C15,0))+1))/((L477-1)*(1-_xlfn.XLOOKUP(K477,'Fevereiro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Real'!C3:C15,0))+1))/((L475-1)*(1-_xlfn.XLOOKUP(K475,'Fevereiro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Real'!C3:C15,0))+1))/((L476-1)*(1-_xlfn.XLOOKUP(K476,'Fevereiro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Real'!C3:C15,0))+1))/((L477-1)*(1-_xlfn.XLOOKUP(K477,'Fevereiro 2023 - Valor Real'!A3:A15,'Fevereiro 2023 - Valor Real'!C3:C15,0))+1)))</f>
        <v>0.18544224637553508</v>
      </c>
      <c r="AF477" s="105">
        <f t="shared" si="961"/>
        <v>0</v>
      </c>
      <c r="AG477" s="106">
        <f t="shared" si="961"/>
        <v>-7.82</v>
      </c>
      <c r="AH477" s="106">
        <f t="shared" si="961"/>
        <v>0</v>
      </c>
      <c r="AI477" s="106">
        <f t="shared" si="961"/>
        <v>0</v>
      </c>
      <c r="AJ477" s="106">
        <f t="shared" si="961"/>
        <v>0</v>
      </c>
      <c r="AK477" s="106">
        <f t="shared" si="961"/>
        <v>0</v>
      </c>
      <c r="AL477" s="106">
        <f t="shared" si="961"/>
        <v>0</v>
      </c>
      <c r="AM477" s="106">
        <f t="shared" si="961"/>
        <v>0</v>
      </c>
      <c r="AN477" s="106">
        <f t="shared" si="961"/>
        <v>0</v>
      </c>
      <c r="AO477" s="106">
        <f t="shared" si="961"/>
        <v>0</v>
      </c>
      <c r="AP477" s="106">
        <f t="shared" si="961"/>
        <v>0</v>
      </c>
      <c r="AQ477" s="106">
        <f t="shared" si="961"/>
        <v>0</v>
      </c>
      <c r="AR477" s="107">
        <f t="shared" si="961"/>
        <v>0</v>
      </c>
      <c r="AS477" s="105">
        <f>IF(AND($B475=" ",$K477=AS$3),$O477,0)</f>
        <v>0</v>
      </c>
      <c r="AT477" s="106">
        <f>IF(AND($B475=" ",K477=AT$3),$O477,0)</f>
        <v>0</v>
      </c>
      <c r="AU477" s="106">
        <f t="shared" ref="AU477:BE477" si="967">IF(AND($B475=" ",$K477=AU$3),$O477,0)</f>
        <v>0</v>
      </c>
      <c r="AV477" s="106">
        <f t="shared" si="967"/>
        <v>0</v>
      </c>
      <c r="AW477" s="106">
        <f t="shared" si="967"/>
        <v>0</v>
      </c>
      <c r="AX477" s="106">
        <f t="shared" si="967"/>
        <v>0</v>
      </c>
      <c r="AY477" s="108">
        <f t="shared" si="967"/>
        <v>0</v>
      </c>
      <c r="AZ477" s="109">
        <f t="shared" si="967"/>
        <v>0</v>
      </c>
      <c r="BA477" s="109">
        <f t="shared" si="967"/>
        <v>0</v>
      </c>
      <c r="BB477" s="109">
        <f t="shared" si="967"/>
        <v>0</v>
      </c>
      <c r="BC477" s="110">
        <f t="shared" si="967"/>
        <v>0</v>
      </c>
      <c r="BD477" s="106">
        <f t="shared" si="967"/>
        <v>0</v>
      </c>
      <c r="BE477" s="107">
        <f t="shared" si="967"/>
        <v>0</v>
      </c>
      <c r="BF477" s="105">
        <f t="shared" si="963"/>
        <v>0</v>
      </c>
      <c r="BG477" s="106">
        <f t="shared" si="963"/>
        <v>7.82</v>
      </c>
      <c r="BH477" s="106">
        <f t="shared" si="963"/>
        <v>0</v>
      </c>
      <c r="BI477" s="106">
        <f t="shared" si="963"/>
        <v>0</v>
      </c>
      <c r="BJ477" s="106">
        <f t="shared" si="963"/>
        <v>0</v>
      </c>
      <c r="BK477" s="106">
        <f t="shared" si="963"/>
        <v>0</v>
      </c>
      <c r="BL477" s="106">
        <f t="shared" si="963"/>
        <v>0</v>
      </c>
      <c r="BM477" s="108">
        <f t="shared" si="963"/>
        <v>0</v>
      </c>
      <c r="BN477" s="109">
        <f t="shared" si="963"/>
        <v>0</v>
      </c>
      <c r="BO477" s="109">
        <f t="shared" si="963"/>
        <v>0</v>
      </c>
      <c r="BP477" s="109">
        <f t="shared" si="963"/>
        <v>0</v>
      </c>
      <c r="BQ477" s="110">
        <f t="shared" si="963"/>
        <v>0</v>
      </c>
      <c r="BR477" s="107">
        <f t="shared" si="963"/>
        <v>0</v>
      </c>
      <c r="BS477" s="464"/>
      <c r="BT477" s="461"/>
      <c r="BU477" s="392"/>
      <c r="BV477" s="461"/>
      <c r="BW477" s="392"/>
      <c r="BX477" s="392"/>
      <c r="BY477" s="392"/>
      <c r="BZ477" s="461"/>
      <c r="CA477" s="392"/>
      <c r="CB477" s="392"/>
      <c r="CC477" s="392"/>
      <c r="CD477" s="401"/>
      <c r="CE477" s="409"/>
      <c r="CF477" s="133">
        <f t="shared" si="899"/>
        <v>0</v>
      </c>
      <c r="CG477" s="134">
        <f t="shared" si="900"/>
        <v>0</v>
      </c>
      <c r="CH477" s="134">
        <f t="shared" si="901"/>
        <v>0</v>
      </c>
      <c r="CI477" s="134">
        <f t="shared" si="902"/>
        <v>1</v>
      </c>
      <c r="CJ477" s="134">
        <f t="shared" si="903"/>
        <v>0</v>
      </c>
      <c r="CK477" s="134">
        <f t="shared" si="904"/>
        <v>0</v>
      </c>
      <c r="CL477" s="134">
        <f t="shared" si="905"/>
        <v>0</v>
      </c>
      <c r="CM477" s="134">
        <f t="shared" si="906"/>
        <v>0</v>
      </c>
      <c r="CN477" s="134">
        <f t="shared" si="907"/>
        <v>0</v>
      </c>
      <c r="CO477" s="134">
        <f t="shared" si="908"/>
        <v>0</v>
      </c>
      <c r="CP477" s="134">
        <f t="shared" si="909"/>
        <v>0</v>
      </c>
      <c r="CQ477" s="134">
        <f t="shared" si="910"/>
        <v>0</v>
      </c>
      <c r="CR477" s="134">
        <f t="shared" si="911"/>
        <v>0</v>
      </c>
      <c r="CS477" s="134">
        <f t="shared" si="912"/>
        <v>0</v>
      </c>
      <c r="CT477" s="115">
        <f t="shared" si="913"/>
        <v>0</v>
      </c>
      <c r="CU477" s="116">
        <f t="shared" si="914"/>
        <v>0</v>
      </c>
      <c r="CV477" s="116">
        <f t="shared" si="915"/>
        <v>0</v>
      </c>
      <c r="CW477" s="116">
        <f t="shared" si="916"/>
        <v>0</v>
      </c>
      <c r="CX477" s="116">
        <f t="shared" si="917"/>
        <v>0</v>
      </c>
      <c r="CY477" s="116">
        <f t="shared" si="918"/>
        <v>0</v>
      </c>
      <c r="CZ477" s="116">
        <f t="shared" si="919"/>
        <v>0</v>
      </c>
      <c r="DA477" s="116">
        <f t="shared" si="920"/>
        <v>0</v>
      </c>
      <c r="DB477" s="116">
        <f t="shared" si="921"/>
        <v>0</v>
      </c>
      <c r="DC477" s="116">
        <f t="shared" si="922"/>
        <v>0</v>
      </c>
      <c r="DD477" s="116">
        <f t="shared" si="923"/>
        <v>0</v>
      </c>
      <c r="DE477" s="117">
        <f t="shared" si="924"/>
        <v>0</v>
      </c>
      <c r="DF477" s="118">
        <f t="shared" si="926"/>
        <v>32</v>
      </c>
      <c r="DG477" s="106">
        <f t="shared" si="927"/>
        <v>41.591999999999992</v>
      </c>
      <c r="DH477" s="116">
        <f t="shared" si="928"/>
        <v>11</v>
      </c>
      <c r="DI477" s="106">
        <f t="shared" si="929"/>
        <v>45.699999999999996</v>
      </c>
      <c r="DJ477" s="201" t="str">
        <f>IF($D475="","",$D475)</f>
        <v>15</v>
      </c>
      <c r="DK477" s="466"/>
    </row>
    <row r="478" spans="1:115" ht="14.5" customHeight="1" x14ac:dyDescent="0.2">
      <c r="A478" s="487">
        <f>$A475+1</f>
        <v>159</v>
      </c>
      <c r="B478" s="506" t="str">
        <f>IF(OR(C478="W",C479="W",C480="W",C478="1/2W",C479="1/2W",C480="1/2W",C478="1/2L",C479="1/2L",C480="1/2L"),"OK",IF(OR(C478="L",C479="L",C480="L"),"LOSS",IF(OR(C478="X",C479="X",C480="X"),"Anulado"," ")))</f>
        <v>OK</v>
      </c>
      <c r="C478" s="147" t="s">
        <v>55</v>
      </c>
      <c r="D478" s="494" t="str">
        <f>IF(G478="","",$D475)</f>
        <v>15</v>
      </c>
      <c r="E478" s="511" t="str">
        <f>IF(G478=""," ","– "&amp;COUNTIF(D$4:D480,$D478))</f>
        <v>– 17</v>
      </c>
      <c r="F478" s="510" t="str">
        <f ca="1">IF(G478="","",IF(OR(AND($C478&lt;&gt;" ",$C479=" "),AND($C479&lt;&gt;" ",$C478=" "),AND(L480&gt;0,OR(AND($C480&lt;&gt;" ",OR($C478=" ",$C479=" ")),AND($C480=" ",OR($C478&lt;&gt;" ",$C479&lt;&gt;" "))))),IF(SUM(F$4:F477)=0,1,LARGE(F$4:F477,1)+1),IF(MONTH(G478)=MONTH(TODAY()),IF(AND(DAY(G478)&lt;DAY(TODAY()),$B478=" "),IF(SUM(F$4:F477)=0,1,LARGE(F$4:F477,1)+1),IF($B478=" ",IF(AND(DAY(G478)=DAY(TODAY()),HOUR(G478)&lt;=HOUR(NOW())+1),IF(AND(HOUR(G478)+2&lt;=HOUR(NOW()),DAY(G478)&lt;=DAY(TODAY()),MINUTE(G478)&lt;=MINUTE(NOW())),IF(SUM(F$4:F477)=0,1,LARGE(F$4:F477,1)+1),IF(OR(MINUTE(G478)&lt;=MINUTE(NOW()),HOUR(G478)&lt;=HOUR(NOW())),"!!!","")),""),"")),"")))</f>
        <v/>
      </c>
      <c r="G478" s="508">
        <v>45000.583333333336</v>
      </c>
      <c r="H478" s="502" t="s">
        <v>194</v>
      </c>
      <c r="I478" s="180" t="s">
        <v>52</v>
      </c>
      <c r="J478" s="181">
        <v>4</v>
      </c>
      <c r="K478" s="150" t="s">
        <v>40</v>
      </c>
      <c r="L478" s="151">
        <v>2.21</v>
      </c>
      <c r="M478" s="152">
        <v>37.19</v>
      </c>
      <c r="N478" s="503">
        <v>0</v>
      </c>
      <c r="O478" s="153">
        <f>IF(OR(AE478="",AE479=""),"",ROUND(IF(L480&gt;0,IF(M478&gt;0,M478,IF(M479&gt;0,ROUND((M479*AE478)/AE479,IF(N478=0,2,IF(N478=0.1,1,0))),ROUND((M480*AE478)/AE480,IF(N478=0,2,IF(N478=0.1,1,0))))),IF(M478&gt;0,M478,ROUND((M479*AE478)/AE479,IF(N478=0,2,IF(N478=0.1,1,0))))),2))</f>
        <v>37.19</v>
      </c>
      <c r="P478" s="154">
        <f>IF(OR(L478="",O478=""),"",IF($C478="1/2W",O478/2+O478/2*L478,IF($C478="1/2L",O478/2,IF(I478="Lay",(O478*(L478/(L478-1))-O478)*(1-_xlfn.XLOOKUP(K478,'Fevereiro 2023 - Valor Real'!A3:A15,'Fevereiro 2023 - Valor Real'!C3:C15,0))+O478,(O478*L478-O478)*(1-_xlfn.XLOOKUP(K478,'Fevereiro 2023 - Valor Real'!A3:A15,'Fevereiro 2023 - Valor Real'!C3:C15,0))+O478))))</f>
        <v>82.189899999999994</v>
      </c>
      <c r="Q478" s="155">
        <f>IF(K478="","",IF(_xlfn.XLOOKUP(K478,K$9:K470,$DJ$9:DJ470,0,,-1)=DJ478,_xlfn.XLOOKUP(K478,K$9:K470,Q$9:Q470,1,,-1)+1,1))</f>
        <v>4</v>
      </c>
      <c r="R478" s="156">
        <f>IF(K478="","",_xlfn.XLOOKUP(K478,K$9:K470,R$9:R470,0,,-1)+IF($C478=" ",1,0))</f>
        <v>0</v>
      </c>
      <c r="S478" s="501">
        <f>IF($B478="Anulado",0,ROUND(IF(OR($B478="LOSS",$B478="OK"),IF(OR($C478="W",$C478="1/2W",$C478="1/2L"),P478-O478,IF($C478="L",-O478,0))+IF(OR($C479="W",$C479="1/2W",$C479="1/2L"),P479-O479,IF($C479="L",-O479,0))+IF(OR($C480="W",$C480="1/2W",$C480="1/2L"),P480-O480,IF($C480="L",-O480,0)),IF(AND(OR($C478="W",$C478="1/2W",$C478="1/2L"),C479="W"),P478+P479-SUM(O478:O480)+_xlfn.XLOOKUP("X",C478:C480,O478:O480,0),IF(AND(C478=TRUE,C480="W"),P478+P480-SUM(O478:O480),IF(AND(C479="W",C480="W"),P479+P480-SUM(O478:O480)+_xlfn.XLOOKUP("X",C478:C480,O478:O480,0),IF(L480&gt;0,IF(OR($C478="W",$C478="1/2W",$C478="1/2L"),P478-SUM(O478:O480)+_xlfn.XLOOKUP("X",C478:C480,O478:O480,0),IF(OR($C478="W",$C478="1/2W",$C478="1/2L"),P479-SUM(O478:O480)+_xlfn.XLOOKUP("X",C478:C480,O478:O480,0),IF(OR($C478="W",$C478="1/2W",$C478="1/2L"),P480-SUM(O478:O480)+_xlfn.XLOOKUP("X",C478:C480,O478:O480,0),IF(SUM(P478:P480)/3-SUM(O478:O480)+_xlfn.XLOOKUP("X",C478:C480,O478:O480,0)&gt;0,SUM(P478:P480)/3-SUM(O478:O480)+_xlfn.XLOOKUP("X",C478:C480,O478:O480,0),LARGE(P478:P480,1)-SUM(O478:O480))))),IF(OR($C478="W",$C478="1/2W",$C478="1/2L"),P478-SUM(O478:O479)+_xlfn.XLOOKUP("X",C478:C480,O478:O480,0),IF(OR($C478="W",$C478="1/2W",$C478="1/2L"),P479-SUM(O478:O479)+_xlfn.XLOOKUP("X",C478:C480,O478:O480,0),SUM(P478:P479)/2-SUM(O478:O479)+_xlfn.XLOOKUP("X",C478:C480,O478:O480,0)))))))),2))</f>
        <v>3.35</v>
      </c>
      <c r="T478" s="486">
        <f>IF(S478=0,0,S478/SUM(O478:O480))</f>
        <v>4.2480344915039311E-2</v>
      </c>
      <c r="U478" s="496">
        <f>IF($D478=$D475,IF(OR($B478="LOSS",$B478="OK",$B478="Anulada"),S478,0)+U475,IF(OR($B478="LOSS",$B478="OK",$B478="Anulada"),S478,0))</f>
        <v>49.640000000000008</v>
      </c>
      <c r="V478" s="496">
        <f>IF($D478="",0,IF($D478=$D475,IF($B478=" ",IF(I480="",IF(OR(AND(I478="DNB1",I479="DNB2"),AND(OR(I478="DNB1",I478="DNB2"),J479=0),AND(OR(I479="DNB1",I479="DNB2"),J478=0),AND(I478="DNB2",I479="DNB1"),AND(IF(J478=0,(J478+1)/ROUND(J478+1,0),J478/ROUND(J478,0))=1,IF(J479=0,(J479+1)/ROUND(IF(J479="",0,J479)+1,0),IF(J479="",0,J479)/ROUND(IF(J479="",1,J479),0))=1,OR(J478&lt;&gt;""),J479&lt;&gt;"")),0,IF(S478&lt;0,IF(I480="",SMALL(P478:P479,1)-SUM(O478:O479),0),SMALL(P478:P479,1)-SUM(O478:O479))),IF(S478&lt;0,IF(I480="",SMALL(P478:P480,1)-SUM(O478:O480),0),LARGE(P478:P480,1)-SUM(O478:O480))),S478)+V475,IF(I480="",IF(OR(AND(I478="DNB1",I479="DNB2"),AND(OR(I478="DNB1",I478="DNB2"),J479=0),AND(OR(I479="DNB1",I479="DNB2"),J478=0),AND(I478="DNB2",I479="DNB1"),AND(IF(J478=0,(J478+1)/ROUND(J478+1,0),J478/ROUND(J478,0))=1,IF(J479=0,(IF(J479="",0,J479)+1)/ROUND(IF(J479="",0,J479)+1,0),IF(J479="",0,J479)/ROUND(IF(J479="",0,J479)+1,0))=1,OR(J478&lt;&gt;""),J479&lt;&gt;"")),0,IF(S478&lt;0,IF(I480="",SMALL(P478:P479,1)-SUM(O478:O479),0),SMALL(P478:P480,1)-SUM(O478:O480))),IF(S478&lt;0,IF(I480="",SMALL(P478:P480,1)-SUM(O478:O480),0),LARGE(P478:P480,1)-SUM(O478:O480)))))</f>
        <v>49.626600000000003</v>
      </c>
      <c r="W478" s="496">
        <f>IF($D478=$D475,IF(S478&lt;0,IF(I480="",S478,0),S478)+W475,S478)</f>
        <v>49.640000000000008</v>
      </c>
      <c r="X478" s="505" t="str">
        <f>IF(OR(SUM(R478:R480)=0,V478=W478),ROUND(IF(W478=0,0,W478/Y478)*100,2)&amp;"%",ROUND(IF(V478=0,0,V478/Y478)*100,2)&amp;"% a "&amp;ROUND(IF(W478=0,0,W478/Y478)*100,2)&amp;"%")</f>
        <v>5,12%</v>
      </c>
      <c r="Y478" s="497">
        <f>IF($D478=$D475,Y475+SUM(O478:O480),SUM(O478:O480))</f>
        <v>969.87000000000023</v>
      </c>
      <c r="Z478" s="496">
        <f>IF($B478=" ",SUM(O478:O480),0)+Z475</f>
        <v>0</v>
      </c>
      <c r="AA478" s="496">
        <f>IF(G478="","",IF($B478="Anulado",LARGE(P478:P480,1)-SUM(O478:O480)+AA475,AA475))</f>
        <v>12.425099999999992</v>
      </c>
      <c r="AB478" s="496">
        <f>IF($D478="","",AB475+S478)</f>
        <v>578.06000000000017</v>
      </c>
      <c r="AC478" s="499">
        <f ca="1">IF($D478="","",IF($B478=" ",IF(DAY(G478)=DAY(TODAY()),1+AC475,0+AC475),0+AC475))</f>
        <v>0</v>
      </c>
      <c r="AD478" s="157">
        <f>(1-_xlfn.XLOOKUP(K476,'Fevereiro 2023 - Valor Real'!A3:A15,'Fevereiro 2023 - Valor Real'!C3:C15,0))+1</f>
        <v>2</v>
      </c>
      <c r="AE478" s="158">
        <f>IF(L478="","",IF(L480&gt;0,(SUM(((L478-1)*(1-_xlfn.XLOOKUP(K478,'Fevereiro 2023 - Valor Real'!A3:A15,'Fevereiro 2023 - Valor Real'!C3:C15,0))+1),((L479-1)*(1-_xlfn.XLOOKUP(K479,'Fevereiro 2023 - Valor Real'!A3:A15,'Fevereiro 2023 - Valor Real'!C3:C15,0))+1),((L480-1)*(1-_xlfn.XLOOKUP(K480,'Fevereiro 2023 - Valor Real'!A3:A15,'Fevereiro 2023 - Valor Real'!C3:C15,0))+1))/((L478-1)*(1-_xlfn.XLOOKUP(K478,'Fevereiro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Real'!C3:C15,0))+1))/((L478-1)*(1-_xlfn.XLOOKUP(K478,'Fevereiro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Real'!C3:C15,0))+1))/((L479-1)*(1-_xlfn.XLOOKUP(K479,'Fevereiro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Real'!C3:C15,0))+1))/((L480-1)*(1-_xlfn.XLOOKUP(K480,'Fevereiro 2023 - Valor Real'!A3:A15,'Fevereiro 2023 - Valor Real'!C3:C15,0))+1)),IF(I478="Lay",IF(I479="Lay",((L479/(L479-1)-1)*(1-_xlfn.XLOOKUP(K479,'Fevereiro 2023 - Valor Real'!A3:A15,'Fevereiro 2023 - Valor Real'!C3:C15,0))+1)/(((L479/(L479-1)-1)*(1-_xlfn.XLOOKUP(K479,'Fevereiro 2023 - Valor Real'!A3:A15,'Fevereiro 2023 - Valor Real'!C3:C15,0))+1)+((L478/(L478-1)-1)*(1-_xlfn.XLOOKUP(K478,'Fevereiro 2023 - Valor Real'!A3:A15,'Fevereiro 2023 - Valor Real'!C3:C15,0))+1)),((L479-1)*(1-_xlfn.XLOOKUP(K479,'Fevereiro 2023 - Valor Real'!A3:A15,'Fevereiro 2023 - Valor Real'!C3:C15,0))+1)/(((L479-1)*(1-_xlfn.XLOOKUP(K479,'Fevereiro 2023 - Valor Real'!A3:A15,'Fevereiro 2023 - Valor Real'!C3:C15,0))+1)+((L478/(L478-1)-1)*(1-_xlfn.XLOOKUP(K478,'Fevereiro 2023 - Valor Real'!A3:A15,'Fevereiro 2023 - Valor Real'!C3:C15,0))+1))),IF(I479="Lay",(((L479/(L479-1)-1)*(1-_xlfn.XLOOKUP(K479,'Fevereiro 2023 - Valor Real'!A3:A15,'Fevereiro 2023 - Valor Real'!C3:C15,0))+1))/(((L478-1)*(1-_xlfn.XLOOKUP(K478,'Fevereiro 2023 - Valor Real'!A3:A15,'Fevereiro 2023 - Valor Real'!C3:C15,0))+1)+((L479/(L479-1)-1)*(1-_xlfn.XLOOKUP(K479,'Fevereiro 2023 - Valor Real'!A3:A15,'Fevereiro 2023 - Valor Real'!C3:C15,0))+1)),((L479-1)*(1-_xlfn.XLOOKUP(K479,'Fevereiro 2023 - Valor Real'!A3:A15,'Fevereiro 2023 - Valor Real'!C3:C15,0))+1)/(((L479-1)*(1-_xlfn.XLOOKUP(K479,'Fevereiro 2023 - Valor Real'!A3:A15,'Fevereiro 2023 - Valor Real'!C3:C15,0))+1)+((L478-1)*(1-_xlfn.XLOOKUP(K478,'Fevereiro 2023 - Valor Real'!A3:A15,'Fevereiro 2023 - Valor Real'!C3:C15,0))+1))))))</f>
        <v>0.31255116164848412</v>
      </c>
      <c r="AF478" s="66">
        <f t="shared" si="961"/>
        <v>0</v>
      </c>
      <c r="AG478" s="67">
        <f t="shared" si="961"/>
        <v>0</v>
      </c>
      <c r="AH478" s="67">
        <f t="shared" si="961"/>
        <v>0</v>
      </c>
      <c r="AI478" s="67">
        <f t="shared" si="961"/>
        <v>0</v>
      </c>
      <c r="AJ478" s="67">
        <f t="shared" si="961"/>
        <v>-37.19</v>
      </c>
      <c r="AK478" s="67">
        <f t="shared" si="961"/>
        <v>0</v>
      </c>
      <c r="AL478" s="67">
        <f t="shared" si="961"/>
        <v>0</v>
      </c>
      <c r="AM478" s="67">
        <f t="shared" si="961"/>
        <v>0</v>
      </c>
      <c r="AN478" s="67">
        <f t="shared" si="961"/>
        <v>0</v>
      </c>
      <c r="AO478" s="67">
        <f t="shared" si="961"/>
        <v>0</v>
      </c>
      <c r="AP478" s="67">
        <f t="shared" si="961"/>
        <v>0</v>
      </c>
      <c r="AQ478" s="67">
        <f t="shared" si="961"/>
        <v>0</v>
      </c>
      <c r="AR478" s="68">
        <f t="shared" si="961"/>
        <v>0</v>
      </c>
      <c r="AS478" s="66">
        <f t="shared" ref="AS478:BE478" si="968">IF(AND($B478=" ",$K478=AS$3),$O478,0)</f>
        <v>0</v>
      </c>
      <c r="AT478" s="67">
        <f t="shared" si="968"/>
        <v>0</v>
      </c>
      <c r="AU478" s="67">
        <f t="shared" si="968"/>
        <v>0</v>
      </c>
      <c r="AV478" s="67">
        <f t="shared" si="968"/>
        <v>0</v>
      </c>
      <c r="AW478" s="67">
        <f t="shared" si="968"/>
        <v>0</v>
      </c>
      <c r="AX478" s="67">
        <f t="shared" si="968"/>
        <v>0</v>
      </c>
      <c r="AY478" s="69">
        <f t="shared" si="968"/>
        <v>0</v>
      </c>
      <c r="AZ478" s="70">
        <f t="shared" si="968"/>
        <v>0</v>
      </c>
      <c r="BA478" s="70">
        <f t="shared" si="968"/>
        <v>0</v>
      </c>
      <c r="BB478" s="70">
        <f t="shared" si="968"/>
        <v>0</v>
      </c>
      <c r="BC478" s="71">
        <f t="shared" si="968"/>
        <v>0</v>
      </c>
      <c r="BD478" s="67">
        <f t="shared" si="968"/>
        <v>0</v>
      </c>
      <c r="BE478" s="68">
        <f t="shared" si="968"/>
        <v>0</v>
      </c>
      <c r="BF478" s="66">
        <f t="shared" si="963"/>
        <v>0</v>
      </c>
      <c r="BG478" s="67">
        <f t="shared" si="963"/>
        <v>0</v>
      </c>
      <c r="BH478" s="67">
        <f t="shared" si="963"/>
        <v>0</v>
      </c>
      <c r="BI478" s="67">
        <f t="shared" si="963"/>
        <v>0</v>
      </c>
      <c r="BJ478" s="67">
        <f t="shared" si="963"/>
        <v>37.19</v>
      </c>
      <c r="BK478" s="67">
        <f t="shared" si="963"/>
        <v>0</v>
      </c>
      <c r="BL478" s="67">
        <f t="shared" si="963"/>
        <v>0</v>
      </c>
      <c r="BM478" s="69">
        <f t="shared" si="963"/>
        <v>0</v>
      </c>
      <c r="BN478" s="70">
        <f t="shared" si="963"/>
        <v>0</v>
      </c>
      <c r="BO478" s="70">
        <f t="shared" si="963"/>
        <v>0</v>
      </c>
      <c r="BP478" s="70">
        <f t="shared" si="963"/>
        <v>0</v>
      </c>
      <c r="BQ478" s="71">
        <f t="shared" si="963"/>
        <v>0</v>
      </c>
      <c r="BR478" s="68">
        <f t="shared" si="963"/>
        <v>0</v>
      </c>
      <c r="BS478" s="490">
        <f>IF($B478="LOSS",IF(AND($K478=BS$3,$C478="L"),-$O478,0)+IF(AND($K479=BS$3,$C479="L"),-$O479,0)+IF(AND($K480=BS$3,$C480="L"),-$O480,0),IF(OR(AND($K478=BS$3,OR($C478="W",$C478="1/2W")),AND($K479=BS$3,OR($C479="W",$C479="1/2W")),AND($K480=BS$3,OR($C480="W",$C480="1/2W"))),$S478,0))</f>
        <v>0</v>
      </c>
      <c r="BT478" s="498">
        <f>IF($B478="LOSS",IF(AND($K478=BT$3,$C478="L"),-$O478,0)+IF(AND($K479=BT$3,$C479="L"),-$O479,0)+IF(AND($K479=BT$3,$C480="L"),-$O480,0),IF(OR(AND($K479=BT$3,OR($C478="W",$C478="1/2W")),AND($K479=BT$3,OR($C479="W",$C479="1/2W")),AND($K479=BT$3,OR($C480="W",$C480="1/2W"))),$S478,0))</f>
        <v>3.35</v>
      </c>
      <c r="BU478" s="488">
        <f>IF($B478="LOSS",IF(AND($K478=BU$3,$C478="L"),-$O478,0)+IF(AND($K479=BU$3,$C479="L"),-$O479,0)+IF(AND($K479=BU$3,$C480="L"),-$O480,0),IF(OR(AND($K479=BU$3,OR($C478="W",$C478="1/2W")),AND($K479=BU$3,OR($C479="W",$C479="1/2W")),AND($K479=BU$3,OR($C480="W",$C480="1/2W"))),$S478,0))</f>
        <v>0</v>
      </c>
      <c r="BV478" s="488">
        <f t="shared" ref="BV478:CE478" si="969">IF($B478="LOSS",IF(AND($K478=BV$3,$C478="L"),-$O478,0)+IF(AND($K479=BV$3,$C479="L"),-$O479,0)+IF(AND($K480=BV$3,$C480="L"),-$O480,0),IF(OR(AND($K478=BV$3,OR($C478="W",$C478="1/2W")),AND($K479=BV$3,OR($C479="W",$C479="1/2W")),AND($K480=BV$3,OR($C480="W",$C480="1/2W"))),$S478,0))</f>
        <v>0</v>
      </c>
      <c r="BW478" s="488">
        <f t="shared" si="969"/>
        <v>0</v>
      </c>
      <c r="BX478" s="488">
        <f t="shared" si="969"/>
        <v>0</v>
      </c>
      <c r="BY478" s="488">
        <f t="shared" si="969"/>
        <v>0</v>
      </c>
      <c r="BZ478" s="488">
        <f t="shared" si="969"/>
        <v>0</v>
      </c>
      <c r="CA478" s="488">
        <f t="shared" si="969"/>
        <v>0</v>
      </c>
      <c r="CB478" s="488">
        <f t="shared" si="969"/>
        <v>0</v>
      </c>
      <c r="CC478" s="488">
        <f t="shared" si="969"/>
        <v>0</v>
      </c>
      <c r="CD478" s="500">
        <f t="shared" si="969"/>
        <v>0</v>
      </c>
      <c r="CE478" s="504">
        <f t="shared" si="969"/>
        <v>0</v>
      </c>
      <c r="CF478" s="160">
        <f t="shared" si="899"/>
        <v>0</v>
      </c>
      <c r="CG478" s="161">
        <f t="shared" si="900"/>
        <v>0</v>
      </c>
      <c r="CH478" s="161">
        <f t="shared" si="901"/>
        <v>0</v>
      </c>
      <c r="CI478" s="161">
        <f t="shared" si="902"/>
        <v>0</v>
      </c>
      <c r="CJ478" s="161">
        <f t="shared" si="903"/>
        <v>0</v>
      </c>
      <c r="CK478" s="161">
        <f t="shared" si="904"/>
        <v>0</v>
      </c>
      <c r="CL478" s="161">
        <f t="shared" si="905"/>
        <v>0</v>
      </c>
      <c r="CM478" s="161">
        <f t="shared" si="906"/>
        <v>0</v>
      </c>
      <c r="CN478" s="161">
        <f t="shared" si="907"/>
        <v>0</v>
      </c>
      <c r="CO478" s="161">
        <f t="shared" si="908"/>
        <v>1</v>
      </c>
      <c r="CP478" s="161">
        <f t="shared" si="909"/>
        <v>0</v>
      </c>
      <c r="CQ478" s="161">
        <f t="shared" si="910"/>
        <v>0</v>
      </c>
      <c r="CR478" s="161">
        <f t="shared" si="911"/>
        <v>0</v>
      </c>
      <c r="CS478" s="161">
        <f t="shared" si="912"/>
        <v>0</v>
      </c>
      <c r="CT478" s="75">
        <f t="shared" si="913"/>
        <v>0</v>
      </c>
      <c r="CU478" s="76">
        <f t="shared" si="914"/>
        <v>0</v>
      </c>
      <c r="CV478" s="76">
        <f t="shared" si="915"/>
        <v>0</v>
      </c>
      <c r="CW478" s="76">
        <f t="shared" si="916"/>
        <v>0</v>
      </c>
      <c r="CX478" s="76">
        <f t="shared" si="917"/>
        <v>0</v>
      </c>
      <c r="CY478" s="76">
        <f t="shared" si="918"/>
        <v>0</v>
      </c>
      <c r="CZ478" s="76">
        <f t="shared" si="919"/>
        <v>0</v>
      </c>
      <c r="DA478" s="76">
        <f t="shared" si="920"/>
        <v>0</v>
      </c>
      <c r="DB478" s="76">
        <f t="shared" si="921"/>
        <v>0</v>
      </c>
      <c r="DC478" s="76">
        <f t="shared" si="922"/>
        <v>0</v>
      </c>
      <c r="DD478" s="76">
        <f t="shared" si="923"/>
        <v>0</v>
      </c>
      <c r="DE478" s="77">
        <f t="shared" si="924"/>
        <v>0</v>
      </c>
      <c r="DF478" s="73">
        <f t="shared" si="926"/>
        <v>32</v>
      </c>
      <c r="DG478" s="67">
        <f t="shared" si="927"/>
        <v>41.591999999999992</v>
      </c>
      <c r="DH478" s="76">
        <f t="shared" si="928"/>
        <v>11</v>
      </c>
      <c r="DI478" s="67">
        <f t="shared" si="929"/>
        <v>45.699999999999996</v>
      </c>
      <c r="DJ478" s="202" t="str">
        <f>IF($D478="","",$D478)</f>
        <v>15</v>
      </c>
      <c r="DK478" s="492">
        <f>IF(AND($B478=" ",$D478&lt;&gt;""),1,0)</f>
        <v>0</v>
      </c>
    </row>
    <row r="479" spans="1:115" ht="14.5" customHeight="1" x14ac:dyDescent="0.2">
      <c r="A479" s="389"/>
      <c r="B479" s="456"/>
      <c r="C479" s="53" t="s">
        <v>54</v>
      </c>
      <c r="D479" s="374"/>
      <c r="E479" s="386"/>
      <c r="F479" s="377"/>
      <c r="G479" s="508"/>
      <c r="H479" s="476"/>
      <c r="I479" s="182" t="s">
        <v>51</v>
      </c>
      <c r="J479" s="56">
        <v>3.5</v>
      </c>
      <c r="K479" s="57" t="s">
        <v>37</v>
      </c>
      <c r="L479" s="164">
        <v>1.68</v>
      </c>
      <c r="M479" s="165">
        <v>26.79</v>
      </c>
      <c r="N479" s="406"/>
      <c r="O479" s="60">
        <f>IF(OR(AE478="",AE479=""),"",ROUND(IF(L480&gt;0,IF(M479&gt;0,M479,IF(M478&gt;0,IF(N478=TRUE,ROUND((M478*AE479)/AE478,0),(M478*AE479)/AE478),IF(M479&gt;0,ROUND(M479,IF(N478=0,2,IF(N478=0.1,1,0))),IF(M480&gt;0,ROUND(O480*AE479/AE480,IF(N478=0,2,IF(N478=0.1,1,0))),0)))),IF(M479&gt;0,M479,ROUND((M478*AE479)/AE478,IF(N478=0,2,IF(N478=0.1,1,0))))),2))</f>
        <v>26.79</v>
      </c>
      <c r="P479" s="61">
        <f>IF(OR(L479="",O479=""),"",IF($C479="1/2W",O479/2+O479/2*L479,IF($C479="1/2L",O479/2,IF(I479="Lay",((O479*(L479/(L479-1)))-O479)*(1-_xlfn.XLOOKUP(K479,'Fevereiro 2023 - Valor Real'!A3:A15,'Fevereiro 2023 - Valor Real'!C3:C15,0))+O479,(O479*L479-O479)*(1-_xlfn.XLOOKUP(K479,'Fevereiro 2023 - Valor Real'!A3:A15,'Fevereiro 2023 - Valor Real'!C3:C15,0))+O479))))</f>
        <v>45.007199999999997</v>
      </c>
      <c r="Q479" s="166">
        <f>IF(K479="","",IF(_xlfn.XLOOKUP(K479,K$10:K470,$DJ$10:DJ470,0,,-1)=DJ479,_xlfn.XLOOKUP(K479,K$10:K470,Q$10:Q470,1,,-1)+1,1))</f>
        <v>6</v>
      </c>
      <c r="R479" s="167">
        <f>IF(K479="","",_xlfn.XLOOKUP(K479,K$10:K470,R$10:R470,0,,-1)+IF($C479=" ",1,0))</f>
        <v>0</v>
      </c>
      <c r="S479" s="403"/>
      <c r="T479" s="380"/>
      <c r="U479" s="380"/>
      <c r="V479" s="481"/>
      <c r="W479" s="380"/>
      <c r="X479" s="452"/>
      <c r="Y479" s="383"/>
      <c r="Z479" s="384"/>
      <c r="AA479" s="384"/>
      <c r="AB479" s="384"/>
      <c r="AC479" s="384"/>
      <c r="AD479" s="64"/>
      <c r="AE479" s="65">
        <f>IF(L479="","",IF(L480&gt;0,(SUM(((L478-1)*(1-_xlfn.XLOOKUP(K478,'Fevereiro 2023 - Valor Real'!A3:A15,'Fevereiro 2023 - Valor Real'!C3:C15,0))+1),((L479-1)*(1-_xlfn.XLOOKUP(K479,'Fevereiro 2023 - Valor Real'!A3:A15,'Fevereiro 2023 - Valor Real'!C3:C15,0))+1),((L480-1)*(1-_xlfn.XLOOKUP(K480,'Fevereiro 2023 - Valor Real'!A3:A15,'Fevereiro 2023 - Valor Real'!C3:C15,0))+1))/((L479-1)*(1-_xlfn.XLOOKUP(K479,'Fevereiro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Real'!C3:C15,0))+1))/((L478-1)*(1-_xlfn.XLOOKUP(K478,'Fevereiro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Real'!C3:C15,0))+1))/((L479-1)*(1-_xlfn.XLOOKUP(K479,'Fevereiro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Real'!C3:C15,0))+1))/((L480-1)*(1-_xlfn.XLOOKUP(K480,'Fevereiro 2023 - Valor Real'!A3:A15,'Fevereiro 2023 - Valor Real'!C3:C15,0))+1)),IF(I479="Lay",IF(I478="Lay",((L478/(L478-1)-1)*(1-_xlfn.XLOOKUP(K478,'Fevereiro 2023 - Valor Real'!A3:A15,'Fevereiro 2023 - Valor Real'!C3:C15,0))+1)/(((L478/(L478-1)-1)*(1-_xlfn.XLOOKUP(K478,'Fevereiro 2023 - Valor Real'!A3:A15,'Fevereiro 2023 - Valor Real'!C3:C15,0))+1)+((L479/(L479-1)-1)*(1-_xlfn.XLOOKUP(K479,'Fevereiro 2023 - Valor Real'!A3:A15,'Fevereiro 2023 - Valor Real'!C3:C15,0))+1)),((L478-1)*(1-_xlfn.XLOOKUP(K478,'Fevereiro 2023 - Valor Real'!A3:A15,'Fevereiro 2023 - Valor Real'!C3:C15,0))+1)/(((L478-1)*(1-_xlfn.XLOOKUP(K478,'Fevereiro 2023 - Valor Real'!A3:A15,'Fevereiro 2023 - Valor Real'!C3:C15,0))+1)+((L479/(L479-1)-1)*(1-_xlfn.XLOOKUP(K479,'Fevereiro 2023 - Valor Real'!A3:A15,'Fevereiro 2023 - Valor Real'!C3:C15,0))+1))),IF(I478="Lay",((L478/(L478-1)-1)*(1-_xlfn.XLOOKUP(K478,'Fevereiro 2023 - Valor Real'!A3:A15,'Fevereiro 2023 - Valor Real'!C3:C15,0))+1)/((((L478/(L478-1)-1)*(1-_xlfn.XLOOKUP(K478,'Fevereiro 2023 - Valor Real'!A3:A15,'Fevereiro 2023 - Valor Real'!C3:C15,0))+1))+((L479-1)*(1-_xlfn.XLOOKUP(K479,'Fevereiro 2023 - Valor Real'!A3:A15,'Fevereiro 2023 - Valor Real'!C3:C15,0))+1)),((L478-1)*(1-_xlfn.XLOOKUP(K478,'Fevereiro 2023 - Valor Real'!A3:A15,'Fevereiro 2023 - Valor Real'!C3:C15,0))+1)/(((L478-1)*(1-_xlfn.XLOOKUP(K478,'Fevereiro 2023 - Valor Real'!A3:A15,'Fevereiro 2023 - Valor Real'!C3:C15,0))+1)+((L479-1)*(1-_xlfn.XLOOKUP(K479,'Fevereiro 2023 - Valor Real'!A3:A15,'Fevereiro 2023 - Valor Real'!C3:C15,0))+1))))))</f>
        <v>0.41115361145425589</v>
      </c>
      <c r="AF479" s="66">
        <f t="shared" si="961"/>
        <v>0</v>
      </c>
      <c r="AG479" s="67">
        <f t="shared" si="961"/>
        <v>18.22</v>
      </c>
      <c r="AH479" s="67">
        <f t="shared" si="961"/>
        <v>0</v>
      </c>
      <c r="AI479" s="67">
        <f t="shared" si="961"/>
        <v>0</v>
      </c>
      <c r="AJ479" s="67">
        <f t="shared" si="961"/>
        <v>0</v>
      </c>
      <c r="AK479" s="67">
        <f t="shared" si="961"/>
        <v>0</v>
      </c>
      <c r="AL479" s="67">
        <f t="shared" si="961"/>
        <v>0</v>
      </c>
      <c r="AM479" s="67">
        <f t="shared" si="961"/>
        <v>0</v>
      </c>
      <c r="AN479" s="67">
        <f t="shared" si="961"/>
        <v>0</v>
      </c>
      <c r="AO479" s="67">
        <f t="shared" si="961"/>
        <v>0</v>
      </c>
      <c r="AP479" s="67">
        <f t="shared" si="961"/>
        <v>0</v>
      </c>
      <c r="AQ479" s="67">
        <f t="shared" si="961"/>
        <v>0</v>
      </c>
      <c r="AR479" s="68">
        <f t="shared" si="961"/>
        <v>0</v>
      </c>
      <c r="AS479" s="66">
        <f>IF(AND($B478=" ",$K479=AS$3),$O479,0)</f>
        <v>0</v>
      </c>
      <c r="AT479" s="67">
        <f>IF(AND($B478=" ",K479=AT$3),$O479,0)</f>
        <v>0</v>
      </c>
      <c r="AU479" s="67">
        <f t="shared" ref="AU479:BE479" si="970">IF(AND($B478=" ",$K479=AU$3),$O479,0)</f>
        <v>0</v>
      </c>
      <c r="AV479" s="67">
        <f t="shared" si="970"/>
        <v>0</v>
      </c>
      <c r="AW479" s="67">
        <f t="shared" si="970"/>
        <v>0</v>
      </c>
      <c r="AX479" s="67">
        <f t="shared" si="970"/>
        <v>0</v>
      </c>
      <c r="AY479" s="69">
        <f t="shared" si="970"/>
        <v>0</v>
      </c>
      <c r="AZ479" s="70">
        <f t="shared" si="970"/>
        <v>0</v>
      </c>
      <c r="BA479" s="70">
        <f t="shared" si="970"/>
        <v>0</v>
      </c>
      <c r="BB479" s="70">
        <f t="shared" si="970"/>
        <v>0</v>
      </c>
      <c r="BC479" s="71">
        <f t="shared" si="970"/>
        <v>0</v>
      </c>
      <c r="BD479" s="67">
        <f t="shared" si="970"/>
        <v>0</v>
      </c>
      <c r="BE479" s="68">
        <f t="shared" si="970"/>
        <v>0</v>
      </c>
      <c r="BF479" s="66">
        <f t="shared" si="963"/>
        <v>0</v>
      </c>
      <c r="BG479" s="168">
        <f t="shared" si="963"/>
        <v>26.79</v>
      </c>
      <c r="BH479" s="67">
        <f t="shared" si="963"/>
        <v>0</v>
      </c>
      <c r="BI479" s="67">
        <f t="shared" si="963"/>
        <v>0</v>
      </c>
      <c r="BJ479" s="67">
        <f t="shared" si="963"/>
        <v>0</v>
      </c>
      <c r="BK479" s="67">
        <f t="shared" si="963"/>
        <v>0</v>
      </c>
      <c r="BL479" s="67">
        <f t="shared" si="963"/>
        <v>0</v>
      </c>
      <c r="BM479" s="69">
        <f t="shared" si="963"/>
        <v>0</v>
      </c>
      <c r="BN479" s="70">
        <f t="shared" si="963"/>
        <v>0</v>
      </c>
      <c r="BO479" s="70">
        <f t="shared" si="963"/>
        <v>0</v>
      </c>
      <c r="BP479" s="70">
        <f t="shared" si="963"/>
        <v>0</v>
      </c>
      <c r="BQ479" s="71">
        <f t="shared" si="963"/>
        <v>0</v>
      </c>
      <c r="BR479" s="68">
        <f t="shared" si="963"/>
        <v>0</v>
      </c>
      <c r="BS479" s="491"/>
      <c r="BT479" s="489"/>
      <c r="BU479" s="392"/>
      <c r="BV479" s="489"/>
      <c r="BW479" s="392"/>
      <c r="BX479" s="392"/>
      <c r="BY479" s="392"/>
      <c r="BZ479" s="489"/>
      <c r="CA479" s="392"/>
      <c r="CB479" s="392"/>
      <c r="CC479" s="392"/>
      <c r="CD479" s="401"/>
      <c r="CE479" s="409"/>
      <c r="CF479" s="169">
        <f t="shared" si="899"/>
        <v>0</v>
      </c>
      <c r="CG479" s="170">
        <f t="shared" si="900"/>
        <v>0</v>
      </c>
      <c r="CH479" s="170">
        <f t="shared" si="901"/>
        <v>1</v>
      </c>
      <c r="CI479" s="170">
        <f t="shared" si="902"/>
        <v>0</v>
      </c>
      <c r="CJ479" s="170">
        <f t="shared" si="903"/>
        <v>0</v>
      </c>
      <c r="CK479" s="170">
        <f t="shared" si="904"/>
        <v>0</v>
      </c>
      <c r="CL479" s="170">
        <f t="shared" si="905"/>
        <v>0</v>
      </c>
      <c r="CM479" s="170">
        <f t="shared" si="906"/>
        <v>0</v>
      </c>
      <c r="CN479" s="170">
        <f t="shared" si="907"/>
        <v>0</v>
      </c>
      <c r="CO479" s="170">
        <f t="shared" si="908"/>
        <v>0</v>
      </c>
      <c r="CP479" s="170">
        <f t="shared" si="909"/>
        <v>0</v>
      </c>
      <c r="CQ479" s="170">
        <f t="shared" si="910"/>
        <v>0</v>
      </c>
      <c r="CR479" s="170">
        <f t="shared" si="911"/>
        <v>0</v>
      </c>
      <c r="CS479" s="170">
        <f t="shared" si="912"/>
        <v>0</v>
      </c>
      <c r="CT479" s="75">
        <f t="shared" si="913"/>
        <v>0</v>
      </c>
      <c r="CU479" s="76">
        <f t="shared" si="914"/>
        <v>0</v>
      </c>
      <c r="CV479" s="76">
        <f t="shared" si="915"/>
        <v>0</v>
      </c>
      <c r="CW479" s="76">
        <f t="shared" si="916"/>
        <v>0</v>
      </c>
      <c r="CX479" s="76">
        <f t="shared" si="917"/>
        <v>0</v>
      </c>
      <c r="CY479" s="76">
        <f t="shared" si="918"/>
        <v>0</v>
      </c>
      <c r="CZ479" s="76">
        <f t="shared" si="919"/>
        <v>0</v>
      </c>
      <c r="DA479" s="76">
        <f t="shared" si="920"/>
        <v>0</v>
      </c>
      <c r="DB479" s="76">
        <f t="shared" si="921"/>
        <v>0</v>
      </c>
      <c r="DC479" s="76">
        <f t="shared" si="922"/>
        <v>0</v>
      </c>
      <c r="DD479" s="76">
        <f t="shared" si="923"/>
        <v>0</v>
      </c>
      <c r="DE479" s="77">
        <f t="shared" si="924"/>
        <v>0</v>
      </c>
      <c r="DF479" s="73">
        <f t="shared" si="926"/>
        <v>32</v>
      </c>
      <c r="DG479" s="67">
        <f t="shared" si="927"/>
        <v>41.591999999999992</v>
      </c>
      <c r="DH479" s="76">
        <f t="shared" si="928"/>
        <v>11</v>
      </c>
      <c r="DI479" s="67">
        <f t="shared" si="929"/>
        <v>45.699999999999996</v>
      </c>
      <c r="DJ479" s="202" t="str">
        <f>IF($D478="","",$D478)</f>
        <v>15</v>
      </c>
      <c r="DK479" s="493"/>
    </row>
    <row r="480" spans="1:115" ht="14.5" customHeight="1" x14ac:dyDescent="0.2">
      <c r="A480" s="390"/>
      <c r="B480" s="457"/>
      <c r="C480" s="79" t="s">
        <v>54</v>
      </c>
      <c r="D480" s="375"/>
      <c r="E480" s="387"/>
      <c r="F480" s="378"/>
      <c r="G480" s="508"/>
      <c r="H480" s="477"/>
      <c r="I480" s="183" t="s">
        <v>51</v>
      </c>
      <c r="J480" s="184">
        <v>4.5</v>
      </c>
      <c r="K480" s="185" t="s">
        <v>37</v>
      </c>
      <c r="L480" s="186">
        <v>2.5</v>
      </c>
      <c r="M480" s="174">
        <v>14.88</v>
      </c>
      <c r="N480" s="407"/>
      <c r="O480" s="187">
        <f>IF(OR(AE478="",AE479=""),"",IF(L480&gt;0,ROUND(IF(M480&gt;0,M480,IF(M478&gt;0,ROUND((M478*AE480)/AE478,IF(N478=0,2,IF(N478=0.1,1,0))),IF(M479&gt;0,ROUND((M479*AE480)/AE479,IF(N478=0,2,IF(N478=0.1,1,0))),IF(M480&gt;0,M480,0)))),2),""))</f>
        <v>14.88</v>
      </c>
      <c r="P480" s="188">
        <f>IF(I479="Lay",O479*(L479/(L479-1))-O479,IF(I478="Lay",O478*(L478/(L478-1))-O478,IF(OR(L480="",O480=""),"",IF($C480="1/2W",O480/2+O480/2*L480,IF($C480="1/2L",O480/2,(O480*L480-O480)*(1-_xlfn.XLOOKUP(K480,'Fevereiro 2023 - Valor Real'!A3:A15,'Fevereiro 2023 - Valor Real'!C3:C15,0))+O480)))))</f>
        <v>37.200000000000003</v>
      </c>
      <c r="Q480" s="166">
        <f>IF(K480="","",IF(_xlfn.XLOOKUP(K480,K$11:K470,$DJ$11:DJ470,0,,-1)=DJ480,_xlfn.XLOOKUP(K480,K$11:K470,Q$11:Q470,1,,-1)+1,1))</f>
        <v>6</v>
      </c>
      <c r="R480" s="189">
        <f>IF(K480="","",_xlfn.XLOOKUP(K480,K$11:K470,R$11:R470,0,,-1)+IF($C480=" ",1,0))</f>
        <v>0</v>
      </c>
      <c r="S480" s="404"/>
      <c r="T480" s="378"/>
      <c r="U480" s="378"/>
      <c r="V480" s="404"/>
      <c r="W480" s="378"/>
      <c r="X480" s="453"/>
      <c r="Y480" s="383"/>
      <c r="Z480" s="384"/>
      <c r="AA480" s="384"/>
      <c r="AB480" s="384"/>
      <c r="AC480" s="384"/>
      <c r="AD480" s="90"/>
      <c r="AE480" s="190">
        <f>IF(L480="","",(SUM(((L478-1)*(1-_xlfn.XLOOKUP(K478,'Fevereiro 2023 - Valor Real'!A3:A15,'Fevereiro 2023 - Valor Real'!C3:C15,0))+1),((L479-1)*(1-_xlfn.XLOOKUP(K479,'Fevereiro 2023 - Valor Real'!A3:A15,'Fevereiro 2023 - Valor Real'!C3:C15,0))+1),((L480-1)*(1-_xlfn.XLOOKUP(K480,'Fevereiro 2023 - Valor Real'!A3:A15,'Fevereiro 2023 - Valor Real'!C3:C15,0))+1))/((L480-1)*(1-_xlfn.XLOOKUP(K480,'Fevereiro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Real'!C3:C15,0))+1))/((L478-1)*(1-_xlfn.XLOOKUP(K478,'Fevereiro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Real'!C3:C15,0))+1))/((L479-1)*(1-_xlfn.XLOOKUP(K479,'Fevereiro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Real'!C3:C15,0))+1))/((L480-1)*(1-_xlfn.XLOOKUP(K480,'Fevereiro 2023 - Valor Real'!A3:A15,'Fevereiro 2023 - Valor Real'!C3:C15,0))+1)))</f>
        <v>0.27629522689725999</v>
      </c>
      <c r="AF480" s="66">
        <f t="shared" si="961"/>
        <v>0</v>
      </c>
      <c r="AG480" s="67">
        <f t="shared" si="961"/>
        <v>22.32</v>
      </c>
      <c r="AH480" s="67">
        <f t="shared" si="961"/>
        <v>0</v>
      </c>
      <c r="AI480" s="67">
        <f t="shared" si="961"/>
        <v>0</v>
      </c>
      <c r="AJ480" s="67">
        <f t="shared" si="961"/>
        <v>0</v>
      </c>
      <c r="AK480" s="67">
        <f t="shared" si="961"/>
        <v>0</v>
      </c>
      <c r="AL480" s="67">
        <f t="shared" si="961"/>
        <v>0</v>
      </c>
      <c r="AM480" s="67">
        <f t="shared" si="961"/>
        <v>0</v>
      </c>
      <c r="AN480" s="67">
        <f t="shared" si="961"/>
        <v>0</v>
      </c>
      <c r="AO480" s="67">
        <f t="shared" si="961"/>
        <v>0</v>
      </c>
      <c r="AP480" s="67">
        <f t="shared" si="961"/>
        <v>0</v>
      </c>
      <c r="AQ480" s="67">
        <f t="shared" si="961"/>
        <v>0</v>
      </c>
      <c r="AR480" s="68">
        <f t="shared" si="961"/>
        <v>0</v>
      </c>
      <c r="AS480" s="66">
        <f>IF(AND($B478=" ",$K480=AS$3),$O480,0)</f>
        <v>0</v>
      </c>
      <c r="AT480" s="67">
        <f>IF(AND($B478=" ",K480=AT$3),$O480,0)</f>
        <v>0</v>
      </c>
      <c r="AU480" s="67">
        <f t="shared" ref="AU480:BE480" si="971">IF(AND($B478=" ",$K480=AU$3),$O480,0)</f>
        <v>0</v>
      </c>
      <c r="AV480" s="67">
        <f t="shared" si="971"/>
        <v>0</v>
      </c>
      <c r="AW480" s="67">
        <f t="shared" si="971"/>
        <v>0</v>
      </c>
      <c r="AX480" s="67">
        <f t="shared" si="971"/>
        <v>0</v>
      </c>
      <c r="AY480" s="69">
        <f t="shared" si="971"/>
        <v>0</v>
      </c>
      <c r="AZ480" s="70">
        <f t="shared" si="971"/>
        <v>0</v>
      </c>
      <c r="BA480" s="70">
        <f t="shared" si="971"/>
        <v>0</v>
      </c>
      <c r="BB480" s="70">
        <f t="shared" si="971"/>
        <v>0</v>
      </c>
      <c r="BC480" s="71">
        <f t="shared" si="971"/>
        <v>0</v>
      </c>
      <c r="BD480" s="67">
        <f t="shared" si="971"/>
        <v>0</v>
      </c>
      <c r="BE480" s="68">
        <f t="shared" si="971"/>
        <v>0</v>
      </c>
      <c r="BF480" s="66">
        <f t="shared" si="963"/>
        <v>0</v>
      </c>
      <c r="BG480" s="168">
        <f t="shared" si="963"/>
        <v>14.88</v>
      </c>
      <c r="BH480" s="67">
        <f t="shared" si="963"/>
        <v>0</v>
      </c>
      <c r="BI480" s="67">
        <f t="shared" si="963"/>
        <v>0</v>
      </c>
      <c r="BJ480" s="67">
        <f t="shared" si="963"/>
        <v>0</v>
      </c>
      <c r="BK480" s="67">
        <f t="shared" si="963"/>
        <v>0</v>
      </c>
      <c r="BL480" s="67">
        <f t="shared" si="963"/>
        <v>0</v>
      </c>
      <c r="BM480" s="69">
        <f t="shared" si="963"/>
        <v>0</v>
      </c>
      <c r="BN480" s="70">
        <f t="shared" si="963"/>
        <v>0</v>
      </c>
      <c r="BO480" s="70">
        <f t="shared" si="963"/>
        <v>0</v>
      </c>
      <c r="BP480" s="70">
        <f t="shared" si="963"/>
        <v>0</v>
      </c>
      <c r="BQ480" s="71">
        <f t="shared" si="963"/>
        <v>0</v>
      </c>
      <c r="BR480" s="68">
        <f t="shared" si="963"/>
        <v>0</v>
      </c>
      <c r="BS480" s="491"/>
      <c r="BT480" s="489"/>
      <c r="BU480" s="392"/>
      <c r="BV480" s="489"/>
      <c r="BW480" s="392"/>
      <c r="BX480" s="392"/>
      <c r="BY480" s="392"/>
      <c r="BZ480" s="489"/>
      <c r="CA480" s="392"/>
      <c r="CB480" s="392"/>
      <c r="CC480" s="392"/>
      <c r="CD480" s="401"/>
      <c r="CE480" s="409"/>
      <c r="CF480" s="169">
        <f t="shared" si="899"/>
        <v>0</v>
      </c>
      <c r="CG480" s="170">
        <f t="shared" si="900"/>
        <v>0</v>
      </c>
      <c r="CH480" s="170">
        <f t="shared" si="901"/>
        <v>1</v>
      </c>
      <c r="CI480" s="170">
        <f t="shared" si="902"/>
        <v>0</v>
      </c>
      <c r="CJ480" s="170">
        <f t="shared" si="903"/>
        <v>0</v>
      </c>
      <c r="CK480" s="170">
        <f t="shared" si="904"/>
        <v>0</v>
      </c>
      <c r="CL480" s="170">
        <f t="shared" si="905"/>
        <v>0</v>
      </c>
      <c r="CM480" s="170">
        <f t="shared" si="906"/>
        <v>0</v>
      </c>
      <c r="CN480" s="170">
        <f t="shared" si="907"/>
        <v>0</v>
      </c>
      <c r="CO480" s="170">
        <f t="shared" si="908"/>
        <v>0</v>
      </c>
      <c r="CP480" s="170">
        <f t="shared" si="909"/>
        <v>0</v>
      </c>
      <c r="CQ480" s="170">
        <f t="shared" si="910"/>
        <v>0</v>
      </c>
      <c r="CR480" s="170">
        <f t="shared" si="911"/>
        <v>0</v>
      </c>
      <c r="CS480" s="170">
        <f t="shared" si="912"/>
        <v>0</v>
      </c>
      <c r="CT480" s="75">
        <f t="shared" si="913"/>
        <v>0</v>
      </c>
      <c r="CU480" s="76">
        <f t="shared" si="914"/>
        <v>0</v>
      </c>
      <c r="CV480" s="76">
        <f t="shared" si="915"/>
        <v>0</v>
      </c>
      <c r="CW480" s="76">
        <f t="shared" si="916"/>
        <v>0</v>
      </c>
      <c r="CX480" s="76">
        <f t="shared" si="917"/>
        <v>0</v>
      </c>
      <c r="CY480" s="76">
        <f t="shared" si="918"/>
        <v>0</v>
      </c>
      <c r="CZ480" s="76">
        <f t="shared" si="919"/>
        <v>0</v>
      </c>
      <c r="DA480" s="76">
        <f t="shared" si="920"/>
        <v>0</v>
      </c>
      <c r="DB480" s="76">
        <f t="shared" si="921"/>
        <v>0</v>
      </c>
      <c r="DC480" s="76">
        <f t="shared" si="922"/>
        <v>0</v>
      </c>
      <c r="DD480" s="76">
        <f t="shared" si="923"/>
        <v>0</v>
      </c>
      <c r="DE480" s="77">
        <f t="shared" si="924"/>
        <v>0</v>
      </c>
      <c r="DF480" s="73">
        <f t="shared" si="926"/>
        <v>32</v>
      </c>
      <c r="DG480" s="67">
        <f t="shared" si="927"/>
        <v>41.591999999999992</v>
      </c>
      <c r="DH480" s="76">
        <f t="shared" si="928"/>
        <v>11</v>
      </c>
      <c r="DI480" s="67">
        <f t="shared" si="929"/>
        <v>45.699999999999996</v>
      </c>
      <c r="DJ480" s="202" t="str">
        <f>IF($D478="","",$D478)</f>
        <v>15</v>
      </c>
      <c r="DK480" s="493"/>
    </row>
    <row r="481" spans="1:115" ht="14.5" customHeight="1" x14ac:dyDescent="0.2">
      <c r="A481" s="459">
        <f>$A478+1</f>
        <v>160</v>
      </c>
      <c r="B481" s="507" t="str">
        <f>IF(OR(C481="W",C482="W",C483="W",C481="1/2W",C482="1/2W",C483="1/2W",C481="1/2L",C482="1/2L",C483="1/2L"),"OK",IF(OR(C481="L",C482="L",C483="L"),"LOSS",IF(OR(C481="X",C482="X",C483="X"),"Anulado"," ")))</f>
        <v>OK</v>
      </c>
      <c r="C481" s="93" t="s">
        <v>55</v>
      </c>
      <c r="D481" s="468" t="str">
        <f>IF(G481="","",$D478)</f>
        <v>15</v>
      </c>
      <c r="E481" s="485" t="str">
        <f>IF(G481=""," ","– "&amp;COUNTIF(D$4:D483,$D481))</f>
        <v>– 18</v>
      </c>
      <c r="F481" s="509" t="str">
        <f ca="1">IF(G481="","",IF(OR(AND($C481&lt;&gt;" ",$C482=" "),AND($C482&lt;&gt;" ",$C481=" "),AND(L483&gt;0,OR(AND($C483&lt;&gt;" ",OR($C481=" ",$C482=" ")),AND($C483=" ",OR($C481&lt;&gt;" ",$C482&lt;&gt;" "))))),IF(SUM(F$4:F480)=0,1,LARGE(F$4:F480,1)+1),IF(MONTH(G481)=MONTH(TODAY()),IF(AND(DAY(G481)&lt;DAY(TODAY()),$B481=" "),IF(SUM(F$4:F480)=0,1,LARGE(F$4:F480,1)+1),IF($B481=" ",IF(AND(DAY(G481)=DAY(TODAY()),HOUR(G481)&lt;=HOUR(NOW())+1),IF(AND(HOUR(G481)+2&lt;=HOUR(NOW()),DAY(G481)&lt;=DAY(TODAY()),MINUTE(G481)&lt;=MINUTE(NOW())),IF(SUM(F$4:F480)=0,1,LARGE(F$4:F480,1)+1),IF(OR(MINUTE(G481)&lt;=MINUTE(NOW()),HOUR(G481)&lt;=HOUR(NOW())),"!!!","")),""),"")),"")))</f>
        <v/>
      </c>
      <c r="G481" s="482">
        <v>45000.583333333336</v>
      </c>
      <c r="H481" s="475" t="s">
        <v>195</v>
      </c>
      <c r="I481" s="175">
        <v>2</v>
      </c>
      <c r="J481" s="176"/>
      <c r="K481" s="96" t="s">
        <v>43</v>
      </c>
      <c r="L481" s="97">
        <v>1.6990000000000001</v>
      </c>
      <c r="M481" s="98"/>
      <c r="N481" s="478">
        <v>0</v>
      </c>
      <c r="O481" s="99">
        <f>IF(OR(AE481="",AE482=""),"",ROUND(IF(L483&gt;0,IF(M481&gt;0,M481,IF(M482&gt;0,ROUND((M482*AE481)/AE482,IF(N481=0,2,IF(N481=0.1,1,0))),ROUND((M483*AE481)/AE483,IF(N481=0,2,IF(N481=0.1,1,0))))),IF(M481&gt;0,M481,ROUND((M482*AE481)/AE482,IF(N481=0,2,IF(N481=0.1,1,0))))),2))</f>
        <v>78.03</v>
      </c>
      <c r="P481" s="100">
        <f>IF(OR(L481="",O481=""),"",IF($C481="1/2W",O481/2+O481/2*L481,IF($C481="1/2L",O481/2,IF(I481="Lay",(O481*(L481/(L481-1))-O481)*(1-_xlfn.XLOOKUP(K481,'Fevereiro 2023 - Valor Real'!A3:A15,'Fevereiro 2023 - Valor Real'!C3:C15,0))+O481,(O481*L481-O481)*(1-_xlfn.XLOOKUP(K481,'Fevereiro 2023 - Valor Real'!A3:A15,'Fevereiro 2023 - Valor Real'!C3:C15,0))+O481))))</f>
        <v>132.57297</v>
      </c>
      <c r="Q481" s="101">
        <f>IF(K481="","",IF(_xlfn.XLOOKUP(K481,K$4:K480,$DJ$4:DJ480,0,,-1)=DJ481,_xlfn.XLOOKUP(K481,K$4:K480,Q$4:Q480,1,,-1)+1,1))</f>
        <v>7</v>
      </c>
      <c r="R481" s="102">
        <f>IF(K481="","",_xlfn.XLOOKUP(K481,K$4:K480,R$4:R480,0,,-1)+IF($C481=" ",1,0))</f>
        <v>0</v>
      </c>
      <c r="S481" s="474">
        <f>IF($B481="Anulado",0,ROUND(IF(OR($B481="LOSS",$B481="OK"),IF(OR($C481="W",$C481="1/2W",$C481="1/2L"),P481-O481,IF($C481="L",-O481,0))+IF(OR($C482="W",$C482="1/2W",$C482="1/2L"),P482-O482,IF($C482="L",-O482,0))+IF(OR($C483="W",$C483="1/2W",$C483="1/2L"),P483-O483,IF($C483="L",-O483,0)),IF(AND(OR($C481="W",$C481="1/2W",$C481="1/2L"),C482="W"),P481+P482-SUM(O481:O483)+_xlfn.XLOOKUP("X",C481:C483,O481:O483,0),IF(AND(C481=TRUE,C483="W"),P481+P483-SUM(O481:O483),IF(AND(C482="W",C483="W"),P482+P483-SUM(O481:O483)+_xlfn.XLOOKUP("X",C481:C483,O481:O483,0),IF(L483&gt;0,IF(OR($C481="W",$C481="1/2W",$C481="1/2L"),P481-SUM(O481:O483)+_xlfn.XLOOKUP("X",C481:C483,O481:O483,0),IF(OR($C481="W",$C481="1/2W",$C481="1/2L"),P482-SUM(O481:O483)+_xlfn.XLOOKUP("X",C481:C483,O481:O483,0),IF(OR($C481="W",$C481="1/2W",$C481="1/2L"),P483-SUM(O481:O483)+_xlfn.XLOOKUP("X",C481:C483,O481:O483,0),IF(SUM(P481:P483)/3-SUM(O481:O483)+_xlfn.XLOOKUP("X",C481:C483,O481:O483,0)&gt;0,SUM(P481:P483)/3-SUM(O481:O483)+_xlfn.XLOOKUP("X",C481:C483,O481:O483,0),LARGE(P481:P483,1)-SUM(O481:O483))))),IF(OR($C481="W",$C481="1/2W",$C481="1/2L"),P481-SUM(O481:O482)+_xlfn.XLOOKUP("X",C481:C483,O481:O483,0),IF(OR($C481="W",$C481="1/2W",$C481="1/2L"),P482-SUM(O481:O482)+_xlfn.XLOOKUP("X",C481:C483,O481:O483,0),SUM(P481:P482)/2-SUM(O481:O482)+_xlfn.XLOOKUP("X",C481:C483,O481:O483,0)))))))),2))</f>
        <v>6.34</v>
      </c>
      <c r="T481" s="458">
        <f>IF(S481=0,0,S481/SUM(O481:O483))</f>
        <v>5.022179974651457E-2</v>
      </c>
      <c r="U481" s="470">
        <f>IF($D481=$D478,IF(OR($B481="LOSS",$B481="OK",$B481="Anulada"),S481,0)+U478,IF(OR($B481="LOSS",$B481="OK",$B481="Anulada"),S481,0))</f>
        <v>55.980000000000004</v>
      </c>
      <c r="V481" s="470">
        <f>IF($D481="",0,IF($D481=$D478,IF($B481=" ",IF(I483="",IF(OR(AND(I481="DNB1",I482="DNB2"),AND(OR(I481="DNB1",I481="DNB2"),J482=0),AND(OR(I482="DNB1",I482="DNB2"),J481=0),AND(I481="DNB2",I482="DNB1"),AND(IF(J481=0,(J481+1)/ROUND(J481+1,0),J481/ROUND(J481,0))=1,IF(J482=0,(J482+1)/ROUND(IF(J482="",0,J482)+1,0),IF(J482="",0,J482)/ROUND(IF(J482="",1,J482),0))=1,OR(J481&lt;&gt;""),J482&lt;&gt;"")),0,IF(S481&lt;0,IF(I483="",SMALL(P481:P482,1)-SUM(O481:O482),0),SMALL(P481:P482,1)-SUM(O481:O482))),IF(S481&lt;0,IF(I483="",SMALL(P481:P483,1)-SUM(O481:O483),0),LARGE(P481:P483,1)-SUM(O481:O483))),S481)+V478,IF(I483="",IF(OR(AND(I481="DNB1",I482="DNB2"),AND(OR(I481="DNB1",I481="DNB2"),J482=0),AND(OR(I482="DNB1",I482="DNB2"),J481=0),AND(I481="DNB2",I482="DNB1"),AND(IF(J481=0,(J481+1)/ROUND(J481+1,0),J481/ROUND(J481,0))=1,IF(J482=0,(IF(J482="",0,J482)+1)/ROUND(IF(J482="",0,J482)+1,0),IF(J482="",0,J482)/ROUND(IF(J482="",0,J482)+1,0))=1,OR(J481&lt;&gt;""),J482&lt;&gt;"")),0,IF(S481&lt;0,IF(I483="",SMALL(P481:P482,1)-SUM(O481:O482),0),SMALL(P481:P483,1)-SUM(O481:O483))),IF(S481&lt;0,IF(I483="",SMALL(P481:P483,1)-SUM(O481:O483),0),LARGE(P481:P483,1)-SUM(O481:O483)))))</f>
        <v>55.9666</v>
      </c>
      <c r="W481" s="470">
        <f>IF($D481=$D478,IF(S481&lt;0,IF(I483="",S481,0),S481)+W478,S481)</f>
        <v>55.980000000000004</v>
      </c>
      <c r="X481" s="480" t="str">
        <f>IF(OR(SUM(R481:R483)=0,V481=W481),ROUND(IF(W481=0,0,W481/Y481)*100,2)&amp;"%",ROUND(IF(V481=0,0,V481/Y481)*100,2)&amp;"% a "&amp;ROUND(IF(W481=0,0,W481/Y481)*100,2)&amp;"%")</f>
        <v>5,11%</v>
      </c>
      <c r="Y481" s="471">
        <f>IF($D481=$D478,Y478+SUM(O481:O483),SUM(O481:O483))</f>
        <v>1096.1100000000001</v>
      </c>
      <c r="Z481" s="470">
        <f>IF($B481=" ",SUM(O481:O483),0)+Z478</f>
        <v>0</v>
      </c>
      <c r="AA481" s="470">
        <f>IF(G481="","",IF($B481="Anulado",LARGE(P481:P483,1)-SUM(O481:O483)+AA478,AA478))</f>
        <v>12.425099999999992</v>
      </c>
      <c r="AB481" s="470">
        <f>IF($D481="","",AB478+S481)</f>
        <v>584.4000000000002</v>
      </c>
      <c r="AC481" s="472">
        <f ca="1">IF($D481="","",IF($B481=" ",IF(DAY(G481)=DAY(TODAY()),1+AC478,0+AC478),0+AC478))</f>
        <v>0</v>
      </c>
      <c r="AD481" s="103">
        <f>(((L482/(L482-1)-1)*(1-_xlfn.XLOOKUP(K482,'Fevereiro 2023 - Valor Real'!A3:A15,'Fevereiro 2023 - Valor Real'!C3:C15,0))+1))/(((L481-1)*(1-_xlfn.XLOOKUP(K481,'Fevereiro 2023 - Valor Real'!A3:A15,'Fevereiro 2023 - Valor Real'!C3:C15,0))+1)+((L482/(L482-1)-1)*(1-_xlfn.XLOOKUP(K482,'Fevereiro 2023 - Valor Real'!A3:A15,'Fevereiro 2023 - Valor Real'!C3:C15,0))+1))</f>
        <v>0.4804962215524396</v>
      </c>
      <c r="AE481" s="104">
        <f>IF(L481="","",IF(L483&gt;0,(SUM(((L481-1)*(1-_xlfn.XLOOKUP(K481,'Fevereiro 2023 - Valor Real'!A3:A15,'Fevereiro 2023 - Valor Real'!C3:C15,0))+1),((L482-1)*(1-_xlfn.XLOOKUP(K482,'Fevereiro 2023 - Valor Real'!A3:A15,'Fevereiro 2023 - Valor Real'!C3:C15,0))+1),((L483-1)*(1-_xlfn.XLOOKUP(K483,'Fevereiro 2023 - Valor Real'!A3:A15,'Fevereiro 2023 - Valor Real'!C3:C15,0))+1))/((L481-1)*(1-_xlfn.XLOOKUP(K481,'Fevereiro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Real'!C3:C15,0))+1))/((L481-1)*(1-_xlfn.XLOOKUP(K481,'Fevereiro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Real'!C3:C15,0))+1))/((L482-1)*(1-_xlfn.XLOOKUP(K482,'Fevereiro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Real'!C3:C15,0))+1))/((L483-1)*(1-_xlfn.XLOOKUP(K483,'Fevereiro 2023 - Valor Real'!A3:A15,'Fevereiro 2023 - Valor Real'!C3:C15,0))+1)),IF(I481="Lay",IF(I482="Lay",((L482/(L482-1)-1)*(1-_xlfn.XLOOKUP(K482,'Fevereiro 2023 - Valor Real'!A3:A15,'Fevereiro 2023 - Valor Real'!C3:C15,0))+1)/(((L482/(L482-1)-1)*(1-_xlfn.XLOOKUP(K482,'Fevereiro 2023 - Valor Real'!A3:A15,'Fevereiro 2023 - Valor Real'!C3:C15,0))+1)+((L481/(L481-1)-1)*(1-_xlfn.XLOOKUP(K481,'Fevereiro 2023 - Valor Real'!A3:A15,'Fevereiro 2023 - Valor Real'!C3:C15,0))+1)),((L482-1)*(1-_xlfn.XLOOKUP(K482,'Fevereiro 2023 - Valor Real'!A3:A15,'Fevereiro 2023 - Valor Real'!C3:C15,0))+1)/(((L482-1)*(1-_xlfn.XLOOKUP(K482,'Fevereiro 2023 - Valor Real'!A3:A15,'Fevereiro 2023 - Valor Real'!C3:C15,0))+1)+((L481/(L481-1)-1)*(1-_xlfn.XLOOKUP(K481,'Fevereiro 2023 - Valor Real'!A3:A15,'Fevereiro 2023 - Valor Real'!C3:C15,0))+1))),IF(I482="Lay",(((L482/(L482-1)-1)*(1-_xlfn.XLOOKUP(K482,'Fevereiro 2023 - Valor Real'!A3:A15,'Fevereiro 2023 - Valor Real'!C3:C15,0))+1))/(((L481-1)*(1-_xlfn.XLOOKUP(K481,'Fevereiro 2023 - Valor Real'!A3:A15,'Fevereiro 2023 - Valor Real'!C3:C15,0))+1)+((L482/(L482-1)-1)*(1-_xlfn.XLOOKUP(K482,'Fevereiro 2023 - Valor Real'!A3:A15,'Fevereiro 2023 - Valor Real'!C3:C15,0))+1)),((L482-1)*(1-_xlfn.XLOOKUP(K482,'Fevereiro 2023 - Valor Real'!A3:A15,'Fevereiro 2023 - Valor Real'!C3:C15,0))+1)/(((L482-1)*(1-_xlfn.XLOOKUP(K482,'Fevereiro 2023 - Valor Real'!A3:A15,'Fevereiro 2023 - Valor Real'!C3:C15,0))+1)+((L481-1)*(1-_xlfn.XLOOKUP(K481,'Fevereiro 2023 - Valor Real'!A3:A15,'Fevereiro 2023 - Valor Real'!C3:C15,0))+1))))))</f>
        <v>0.61811643065857502</v>
      </c>
      <c r="AF481" s="105">
        <f t="shared" si="961"/>
        <v>0</v>
      </c>
      <c r="AG481" s="106">
        <f t="shared" si="961"/>
        <v>0</v>
      </c>
      <c r="AH481" s="106">
        <f t="shared" si="961"/>
        <v>0</v>
      </c>
      <c r="AI481" s="106">
        <f t="shared" si="961"/>
        <v>0</v>
      </c>
      <c r="AJ481" s="106">
        <f t="shared" si="961"/>
        <v>0</v>
      </c>
      <c r="AK481" s="106">
        <f t="shared" si="961"/>
        <v>0</v>
      </c>
      <c r="AL481" s="106">
        <f t="shared" si="961"/>
        <v>0</v>
      </c>
      <c r="AM481" s="106">
        <f t="shared" si="961"/>
        <v>-78.03</v>
      </c>
      <c r="AN481" s="106">
        <f t="shared" si="961"/>
        <v>0</v>
      </c>
      <c r="AO481" s="106">
        <f t="shared" si="961"/>
        <v>0</v>
      </c>
      <c r="AP481" s="106">
        <f t="shared" si="961"/>
        <v>0</v>
      </c>
      <c r="AQ481" s="106">
        <f t="shared" si="961"/>
        <v>0</v>
      </c>
      <c r="AR481" s="107">
        <f t="shared" si="961"/>
        <v>0</v>
      </c>
      <c r="AS481" s="105">
        <f t="shared" ref="AS481:BE481" si="972">IF(AND($B481=" ",$K481=AS$3),$O481,0)</f>
        <v>0</v>
      </c>
      <c r="AT481" s="106">
        <f t="shared" si="972"/>
        <v>0</v>
      </c>
      <c r="AU481" s="106">
        <f t="shared" si="972"/>
        <v>0</v>
      </c>
      <c r="AV481" s="106">
        <f t="shared" si="972"/>
        <v>0</v>
      </c>
      <c r="AW481" s="106">
        <f t="shared" si="972"/>
        <v>0</v>
      </c>
      <c r="AX481" s="106">
        <f t="shared" si="972"/>
        <v>0</v>
      </c>
      <c r="AY481" s="108">
        <f t="shared" si="972"/>
        <v>0</v>
      </c>
      <c r="AZ481" s="109">
        <f t="shared" si="972"/>
        <v>0</v>
      </c>
      <c r="BA481" s="109">
        <f t="shared" si="972"/>
        <v>0</v>
      </c>
      <c r="BB481" s="109">
        <f t="shared" si="972"/>
        <v>0</v>
      </c>
      <c r="BC481" s="110">
        <f t="shared" si="972"/>
        <v>0</v>
      </c>
      <c r="BD481" s="106">
        <f t="shared" si="972"/>
        <v>0</v>
      </c>
      <c r="BE481" s="107">
        <f t="shared" si="972"/>
        <v>0</v>
      </c>
      <c r="BF481" s="111">
        <f t="shared" si="963"/>
        <v>0</v>
      </c>
      <c r="BG481" s="106">
        <f t="shared" si="963"/>
        <v>0</v>
      </c>
      <c r="BH481" s="106">
        <f t="shared" si="963"/>
        <v>0</v>
      </c>
      <c r="BI481" s="106">
        <f t="shared" si="963"/>
        <v>0</v>
      </c>
      <c r="BJ481" s="106">
        <f t="shared" si="963"/>
        <v>0</v>
      </c>
      <c r="BK481" s="106">
        <f t="shared" si="963"/>
        <v>0</v>
      </c>
      <c r="BL481" s="106">
        <f t="shared" si="963"/>
        <v>0</v>
      </c>
      <c r="BM481" s="108">
        <f t="shared" si="963"/>
        <v>78.03</v>
      </c>
      <c r="BN481" s="109">
        <f t="shared" si="963"/>
        <v>0</v>
      </c>
      <c r="BO481" s="109">
        <f t="shared" si="963"/>
        <v>0</v>
      </c>
      <c r="BP481" s="109">
        <f t="shared" si="963"/>
        <v>0</v>
      </c>
      <c r="BQ481" s="110">
        <f t="shared" si="963"/>
        <v>0</v>
      </c>
      <c r="BR481" s="107">
        <f t="shared" si="963"/>
        <v>0</v>
      </c>
      <c r="BS481" s="463">
        <f>IF($B481="LOSS",IF(AND($K481=BS$3,$C481="L"),-$O481,0)+IF(AND($K482=BS$3,$C482="L"),-$O482,0)+IF(AND($K483=BS$3,$C483="L"),-$O483,0),IF(OR(AND($K481=BS$3,OR($C481="W",$C481="1/2W")),AND($K482=BS$3,OR($C482="W",$C482="1/2W")),AND($K483=BS$3,OR($C483="W",$C483="1/2W"))),$S481,0))</f>
        <v>0</v>
      </c>
      <c r="BT481" s="462">
        <f>IF($B481="LOSS",IF(AND($K481=BT$3,$C481="L"),-$O481,0)+IF(AND($K482=BT$3,$C482="L"),-$O482,0)+IF(AND($K482=BT$3,$C483="L"),-$O483,0),IF(OR(AND($K482=BT$3,OR($C481="W",$C481="1/2W")),AND($K482=BT$3,OR($C482="W",$C482="1/2W")),AND($K482=BT$3,OR($C483="W",$C483="1/2W"))),$S481,0))</f>
        <v>0</v>
      </c>
      <c r="BU481" s="462">
        <f>IF($B481="LOSS",IF(AND($K481=BU$3,$C481="L"),-$O481,0)+IF(AND($K482=BU$3,$C482="L"),-$O482,0)+IF(AND($K482=BU$3,$C483="L"),-$O483,0),IF(OR(AND($K482=BU$3,OR($C481="W",$C481="1/2W")),AND($K482=BU$3,OR($C482="W",$C482="1/2W")),AND($K482=BU$3,OR($C483="W",$C483="1/2W"))),$S481,0))</f>
        <v>0</v>
      </c>
      <c r="BV481" s="462">
        <f t="shared" ref="BV481:CE481" si="973">IF($B481="LOSS",IF(AND($K481=BV$3,$C481="L"),-$O481,0)+IF(AND($K482=BV$3,$C482="L"),-$O482,0)+IF(AND($K483=BV$3,$C483="L"),-$O483,0),IF(OR(AND($K481=BV$3,OR($C481="W",$C481="1/2W")),AND($K482=BV$3,OR($C482="W",$C482="1/2W")),AND($K483=BV$3,OR($C483="W",$C483="1/2W"))),$S481,0))</f>
        <v>0</v>
      </c>
      <c r="BW481" s="462">
        <f t="shared" si="973"/>
        <v>6.34</v>
      </c>
      <c r="BX481" s="462">
        <f t="shared" si="973"/>
        <v>0</v>
      </c>
      <c r="BY481" s="462">
        <f t="shared" si="973"/>
        <v>0</v>
      </c>
      <c r="BZ481" s="460">
        <f t="shared" si="973"/>
        <v>0</v>
      </c>
      <c r="CA481" s="460">
        <f t="shared" si="973"/>
        <v>0</v>
      </c>
      <c r="CB481" s="460">
        <f t="shared" si="973"/>
        <v>0</v>
      </c>
      <c r="CC481" s="460">
        <f t="shared" si="973"/>
        <v>0</v>
      </c>
      <c r="CD481" s="473">
        <f t="shared" si="973"/>
        <v>0</v>
      </c>
      <c r="CE481" s="479">
        <f t="shared" si="973"/>
        <v>0</v>
      </c>
      <c r="CF481" s="113">
        <f t="shared" si="899"/>
        <v>0</v>
      </c>
      <c r="CG481" s="114">
        <f t="shared" si="900"/>
        <v>0</v>
      </c>
      <c r="CH481" s="114">
        <f t="shared" si="901"/>
        <v>0</v>
      </c>
      <c r="CI481" s="114">
        <f t="shared" si="902"/>
        <v>0</v>
      </c>
      <c r="CJ481" s="114">
        <f t="shared" si="903"/>
        <v>0</v>
      </c>
      <c r="CK481" s="114">
        <f t="shared" si="904"/>
        <v>0</v>
      </c>
      <c r="CL481" s="114">
        <f t="shared" si="905"/>
        <v>0</v>
      </c>
      <c r="CM481" s="114">
        <f t="shared" si="906"/>
        <v>0</v>
      </c>
      <c r="CN481" s="114">
        <f t="shared" si="907"/>
        <v>0</v>
      </c>
      <c r="CO481" s="114">
        <f t="shared" si="908"/>
        <v>0</v>
      </c>
      <c r="CP481" s="114">
        <f t="shared" si="909"/>
        <v>0</v>
      </c>
      <c r="CQ481" s="114">
        <f t="shared" si="910"/>
        <v>0</v>
      </c>
      <c r="CR481" s="114">
        <f t="shared" si="911"/>
        <v>0</v>
      </c>
      <c r="CS481" s="114">
        <f t="shared" si="912"/>
        <v>0</v>
      </c>
      <c r="CT481" s="115">
        <f t="shared" si="913"/>
        <v>0</v>
      </c>
      <c r="CU481" s="116">
        <f t="shared" si="914"/>
        <v>1</v>
      </c>
      <c r="CV481" s="116">
        <f t="shared" si="915"/>
        <v>0</v>
      </c>
      <c r="CW481" s="116">
        <f t="shared" si="916"/>
        <v>0</v>
      </c>
      <c r="CX481" s="116">
        <f t="shared" si="917"/>
        <v>0</v>
      </c>
      <c r="CY481" s="116">
        <f t="shared" si="918"/>
        <v>0</v>
      </c>
      <c r="CZ481" s="116">
        <f t="shared" si="919"/>
        <v>0</v>
      </c>
      <c r="DA481" s="116">
        <f t="shared" si="920"/>
        <v>0</v>
      </c>
      <c r="DB481" s="116">
        <f t="shared" si="921"/>
        <v>0</v>
      </c>
      <c r="DC481" s="116">
        <f t="shared" si="922"/>
        <v>0</v>
      </c>
      <c r="DD481" s="116">
        <f t="shared" si="923"/>
        <v>0</v>
      </c>
      <c r="DE481" s="117">
        <f t="shared" si="924"/>
        <v>0</v>
      </c>
      <c r="DF481" s="118">
        <f t="shared" si="926"/>
        <v>32</v>
      </c>
      <c r="DG481" s="106">
        <f t="shared" si="927"/>
        <v>41.591999999999992</v>
      </c>
      <c r="DH481" s="116">
        <f t="shared" si="928"/>
        <v>11</v>
      </c>
      <c r="DI481" s="106">
        <f t="shared" si="929"/>
        <v>45.699999999999996</v>
      </c>
      <c r="DJ481" s="201" t="str">
        <f>IF($D481="","",$D481)</f>
        <v>15</v>
      </c>
      <c r="DK481" s="465">
        <f>IF(AND($B481=" ",$D481&lt;&gt;""),1,0)</f>
        <v>0</v>
      </c>
    </row>
    <row r="482" spans="1:115" ht="14.5" customHeight="1" x14ac:dyDescent="0.2">
      <c r="A482" s="389"/>
      <c r="B482" s="456"/>
      <c r="C482" s="120" t="s">
        <v>54</v>
      </c>
      <c r="D482" s="374"/>
      <c r="E482" s="386"/>
      <c r="F482" s="377"/>
      <c r="G482" s="483"/>
      <c r="H482" s="476"/>
      <c r="I482" s="178">
        <v>1</v>
      </c>
      <c r="J482" s="179" t="str">
        <f>IF(OR(I481="TO",I481="TU",I481="TO1",I481="TU1",I481="TO2",I481="TU2"),J481,IF(OR(I481="AH1",I481="AH2"),IF(OR(I482="AH1",I482="AH2"),-J481,IF(OR(I482="EH1",I482="EH2"),-J481+0.5,"")),IF(OR(I481="EH1",I481="EH2"),IF(OR(I482="AH1",I482="AH2"),-J481+0.5,IF(OR(I482="EH1",I482="EH2"),-J481+1,"")),IF(AND(OR(I481="DNB1",I481="DNB2"),OR(I482="AH1",I482="AH2")),0,IF(AND(I481="Not ScoreBoth",OR(I482="TO1",I482="TO2")),0.5,"")))))</f>
        <v/>
      </c>
      <c r="K482" s="123" t="s">
        <v>40</v>
      </c>
      <c r="L482" s="124">
        <v>2.75</v>
      </c>
      <c r="M482" s="125">
        <v>48.21</v>
      </c>
      <c r="N482" s="406"/>
      <c r="O482" s="126">
        <f>IF(OR(AE481="",AE482=""),"",ROUND(IF(L483&gt;0,IF(M482&gt;0,M482,IF(M481&gt;0,IF(N481=TRUE,ROUND((M481*AE482)/AE481,0),(M481*AE482)/AE481),IF(M482&gt;0,ROUND(M482,IF(N481=0,2,IF(N481=0.1,1,0))),IF(M483&gt;0,ROUND(O483*AE482/AE483,IF(N481=0,2,IF(N481=0.1,1,0))),0)))),IF(M482&gt;0,M482,ROUND((M481*AE482)/AE481,IF(N481=0,2,IF(N481=0.1,1,0))))),2))</f>
        <v>48.21</v>
      </c>
      <c r="P482" s="127">
        <f>IF(OR(L482="",O482=""),"",IF($C482="1/2W",O482/2+O482/2*L482,IF($C482="1/2L",O482/2,IF(I482="Lay",((O482*(L482/(L482-1)))-O482)*(1-_xlfn.XLOOKUP(K482,'Fevereiro 2023 - Valor Real'!A3:A15,'Fevereiro 2023 - Valor Real'!C3:C15,0))+O482,(O482*L482-O482)*(1-_xlfn.XLOOKUP(K482,'Fevereiro 2023 - Valor Real'!A3:A15,'Fevereiro 2023 - Valor Real'!C3:C15,0))+O482))))</f>
        <v>132.57750000000001</v>
      </c>
      <c r="Q482" s="128">
        <f>IF(K482="","",IF(_xlfn.XLOOKUP(K482,K$4:K481,$DJ$4:DJ481,0,,-1)=DJ482,_xlfn.XLOOKUP(K482,K$4:K481,Q$4:Q481,1,,-1)+1,1))</f>
        <v>5</v>
      </c>
      <c r="R482" s="129">
        <f>IF(K482="","",_xlfn.XLOOKUP(K482,K$4:K481,R$4:R481,0,,-1)+IF($C482=" ",1,0))</f>
        <v>0</v>
      </c>
      <c r="S482" s="403"/>
      <c r="T482" s="380"/>
      <c r="U482" s="380"/>
      <c r="V482" s="481"/>
      <c r="W482" s="380"/>
      <c r="X482" s="452"/>
      <c r="Y482" s="383"/>
      <c r="Z482" s="384"/>
      <c r="AA482" s="384"/>
      <c r="AB482" s="384"/>
      <c r="AC482" s="384"/>
      <c r="AD482" s="130">
        <f>(((L482/(L482-1)-1)*(1-_xlfn.XLOOKUP(K482,'Fevereiro 2023 - Valor Real'!A3:A15,'Fevereiro 2023 - Valor Real'!C3:C15,0))+1))</f>
        <v>1.5714285714285714</v>
      </c>
      <c r="AE482" s="131">
        <f>IF(L482="","",IF(L483&gt;0,(SUM(((L481-1)*(1-_xlfn.XLOOKUP(K481,'Fevereiro 2023 - Valor Real'!A3:A15,'Fevereiro 2023 - Valor Real'!C3:C15,0))+1),((L482-1)*(1-_xlfn.XLOOKUP(K482,'Fevereiro 2023 - Valor Real'!A3:A15,'Fevereiro 2023 - Valor Real'!C3:C15,0))+1),((L483-1)*(1-_xlfn.XLOOKUP(K483,'Fevereiro 2023 - Valor Real'!A3:A15,'Fevereiro 2023 - Valor Real'!C3:C15,0))+1))/((L482-1)*(1-_xlfn.XLOOKUP(K482,'Fevereiro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Real'!C3:C15,0))+1))/((L481-1)*(1-_xlfn.XLOOKUP(K481,'Fevereiro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Real'!C3:C15,0))+1))/((L482-1)*(1-_xlfn.XLOOKUP(K482,'Fevereiro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Real'!C3:C15,0))+1))/((L483-1)*(1-_xlfn.XLOOKUP(K483,'Fevereiro 2023 - Valor Real'!A3:A15,'Fevereiro 2023 - Valor Real'!C3:C15,0))+1)),IF(I482="Lay",IF(I481="Lay",((L481/(L481-1)-1)*(1-_xlfn.XLOOKUP(K481,'Fevereiro 2023 - Valor Real'!A3:A15,'Fevereiro 2023 - Valor Real'!C3:C15,0))+1)/(((L481/(L481-1)-1)*(1-_xlfn.XLOOKUP(K481,'Fevereiro 2023 - Valor Real'!A3:A15,'Fevereiro 2023 - Valor Real'!C3:C15,0))+1)+((L482/(L482-1)-1)*(1-_xlfn.XLOOKUP(K482,'Fevereiro 2023 - Valor Real'!A3:A15,'Fevereiro 2023 - Valor Real'!C3:C15,0))+1)),((L481-1)*(1-_xlfn.XLOOKUP(K481,'Fevereiro 2023 - Valor Real'!A3:A15,'Fevereiro 2023 - Valor Real'!C3:C15,0))+1)/(((L481-1)*(1-_xlfn.XLOOKUP(K481,'Fevereiro 2023 - Valor Real'!A3:A15,'Fevereiro 2023 - Valor Real'!C3:C15,0))+1)+((L482/(L482-1)-1)*(1-_xlfn.XLOOKUP(K482,'Fevereiro 2023 - Valor Real'!A3:A15,'Fevereiro 2023 - Valor Real'!C3:C15,0))+1))),IF(I481="Lay",((L481/(L481-1)-1)*(1-_xlfn.XLOOKUP(K481,'Fevereiro 2023 - Valor Real'!A3:A15,'Fevereiro 2023 - Valor Real'!C3:C15,0))+1)/((((L481/(L481-1)-1)*(1-_xlfn.XLOOKUP(K481,'Fevereiro 2023 - Valor Real'!A3:A15,'Fevereiro 2023 - Valor Real'!C3:C15,0))+1))+((L482-1)*(1-_xlfn.XLOOKUP(K482,'Fevereiro 2023 - Valor Real'!A3:A15,'Fevereiro 2023 - Valor Real'!C3:C15,0))+1)),((L481-1)*(1-_xlfn.XLOOKUP(K481,'Fevereiro 2023 - Valor Real'!A3:A15,'Fevereiro 2023 - Valor Real'!C3:C15,0))+1)/(((L481-1)*(1-_xlfn.XLOOKUP(K481,'Fevereiro 2023 - Valor Real'!A3:A15,'Fevereiro 2023 - Valor Real'!C3:C15,0))+1)+((L482-1)*(1-_xlfn.XLOOKUP(K482,'Fevereiro 2023 - Valor Real'!A3:A15,'Fevereiro 2023 - Valor Real'!C3:C15,0))+1))))))</f>
        <v>0.38188356934142509</v>
      </c>
      <c r="AF482" s="105">
        <f t="shared" si="961"/>
        <v>0</v>
      </c>
      <c r="AG482" s="106">
        <f t="shared" si="961"/>
        <v>0</v>
      </c>
      <c r="AH482" s="106">
        <f t="shared" si="961"/>
        <v>0</v>
      </c>
      <c r="AI482" s="106">
        <f t="shared" si="961"/>
        <v>0</v>
      </c>
      <c r="AJ482" s="106">
        <f t="shared" si="961"/>
        <v>84.37</v>
      </c>
      <c r="AK482" s="106">
        <f t="shared" si="961"/>
        <v>0</v>
      </c>
      <c r="AL482" s="106">
        <f t="shared" si="961"/>
        <v>0</v>
      </c>
      <c r="AM482" s="106">
        <f t="shared" si="961"/>
        <v>0</v>
      </c>
      <c r="AN482" s="106">
        <f t="shared" si="961"/>
        <v>0</v>
      </c>
      <c r="AO482" s="106">
        <f t="shared" si="961"/>
        <v>0</v>
      </c>
      <c r="AP482" s="106">
        <f t="shared" si="961"/>
        <v>0</v>
      </c>
      <c r="AQ482" s="106">
        <f t="shared" si="961"/>
        <v>0</v>
      </c>
      <c r="AR482" s="107">
        <f t="shared" si="961"/>
        <v>0</v>
      </c>
      <c r="AS482" s="105">
        <f>IF(AND($B481=" ",$K482=AS$3),$O482,0)</f>
        <v>0</v>
      </c>
      <c r="AT482" s="106">
        <f>IF(AND($B481=" ",K482=AT$3),$O482,0)</f>
        <v>0</v>
      </c>
      <c r="AU482" s="106">
        <f t="shared" ref="AU482:BE482" si="974">IF(AND($B481=" ",$K482=AU$3),$O482,0)</f>
        <v>0</v>
      </c>
      <c r="AV482" s="106">
        <f t="shared" si="974"/>
        <v>0</v>
      </c>
      <c r="AW482" s="106">
        <f t="shared" si="974"/>
        <v>0</v>
      </c>
      <c r="AX482" s="106">
        <f t="shared" si="974"/>
        <v>0</v>
      </c>
      <c r="AY482" s="108">
        <f t="shared" si="974"/>
        <v>0</v>
      </c>
      <c r="AZ482" s="109">
        <f t="shared" si="974"/>
        <v>0</v>
      </c>
      <c r="BA482" s="109">
        <f t="shared" si="974"/>
        <v>0</v>
      </c>
      <c r="BB482" s="109">
        <f t="shared" si="974"/>
        <v>0</v>
      </c>
      <c r="BC482" s="110">
        <f t="shared" si="974"/>
        <v>0</v>
      </c>
      <c r="BD482" s="106">
        <f t="shared" si="974"/>
        <v>0</v>
      </c>
      <c r="BE482" s="107">
        <f t="shared" si="974"/>
        <v>0</v>
      </c>
      <c r="BF482" s="105">
        <f t="shared" si="963"/>
        <v>0</v>
      </c>
      <c r="BG482" s="106">
        <f t="shared" si="963"/>
        <v>0</v>
      </c>
      <c r="BH482" s="106">
        <f t="shared" si="963"/>
        <v>0</v>
      </c>
      <c r="BI482" s="106">
        <f t="shared" si="963"/>
        <v>0</v>
      </c>
      <c r="BJ482" s="106">
        <f t="shared" si="963"/>
        <v>48.21</v>
      </c>
      <c r="BK482" s="106">
        <f t="shared" si="963"/>
        <v>0</v>
      </c>
      <c r="BL482" s="106">
        <f t="shared" si="963"/>
        <v>0</v>
      </c>
      <c r="BM482" s="132">
        <f t="shared" si="963"/>
        <v>0</v>
      </c>
      <c r="BN482" s="112">
        <f t="shared" si="963"/>
        <v>0</v>
      </c>
      <c r="BO482" s="112">
        <f t="shared" si="963"/>
        <v>0</v>
      </c>
      <c r="BP482" s="112">
        <f t="shared" si="963"/>
        <v>0</v>
      </c>
      <c r="BQ482" s="110">
        <f t="shared" si="963"/>
        <v>0</v>
      </c>
      <c r="BR482" s="107">
        <f t="shared" si="963"/>
        <v>0</v>
      </c>
      <c r="BS482" s="464"/>
      <c r="BT482" s="461"/>
      <c r="BU482" s="392"/>
      <c r="BV482" s="461"/>
      <c r="BW482" s="392"/>
      <c r="BX482" s="392"/>
      <c r="BY482" s="392"/>
      <c r="BZ482" s="461"/>
      <c r="CA482" s="392"/>
      <c r="CB482" s="392"/>
      <c r="CC482" s="392"/>
      <c r="CD482" s="401"/>
      <c r="CE482" s="409"/>
      <c r="CF482" s="133">
        <f t="shared" si="899"/>
        <v>0</v>
      </c>
      <c r="CG482" s="134">
        <f t="shared" si="900"/>
        <v>0</v>
      </c>
      <c r="CH482" s="134">
        <f t="shared" si="901"/>
        <v>0</v>
      </c>
      <c r="CI482" s="134">
        <f t="shared" si="902"/>
        <v>0</v>
      </c>
      <c r="CJ482" s="134">
        <f t="shared" si="903"/>
        <v>0</v>
      </c>
      <c r="CK482" s="134">
        <f t="shared" si="904"/>
        <v>0</v>
      </c>
      <c r="CL482" s="134">
        <f t="shared" si="905"/>
        <v>0</v>
      </c>
      <c r="CM482" s="134">
        <f t="shared" si="906"/>
        <v>0</v>
      </c>
      <c r="CN482" s="134">
        <f t="shared" si="907"/>
        <v>1</v>
      </c>
      <c r="CO482" s="134">
        <f t="shared" si="908"/>
        <v>0</v>
      </c>
      <c r="CP482" s="134">
        <f t="shared" si="909"/>
        <v>0</v>
      </c>
      <c r="CQ482" s="134">
        <f t="shared" si="910"/>
        <v>0</v>
      </c>
      <c r="CR482" s="134">
        <f t="shared" si="911"/>
        <v>0</v>
      </c>
      <c r="CS482" s="134">
        <f t="shared" si="912"/>
        <v>0</v>
      </c>
      <c r="CT482" s="115">
        <f t="shared" si="913"/>
        <v>0</v>
      </c>
      <c r="CU482" s="116">
        <f t="shared" si="914"/>
        <v>0</v>
      </c>
      <c r="CV482" s="116">
        <f t="shared" si="915"/>
        <v>0</v>
      </c>
      <c r="CW482" s="116">
        <f t="shared" si="916"/>
        <v>0</v>
      </c>
      <c r="CX482" s="116">
        <f t="shared" si="917"/>
        <v>0</v>
      </c>
      <c r="CY482" s="116">
        <f t="shared" si="918"/>
        <v>0</v>
      </c>
      <c r="CZ482" s="116">
        <f t="shared" si="919"/>
        <v>0</v>
      </c>
      <c r="DA482" s="116">
        <f t="shared" si="920"/>
        <v>0</v>
      </c>
      <c r="DB482" s="116">
        <f t="shared" si="921"/>
        <v>0</v>
      </c>
      <c r="DC482" s="116">
        <f t="shared" si="922"/>
        <v>0</v>
      </c>
      <c r="DD482" s="116">
        <f t="shared" si="923"/>
        <v>0</v>
      </c>
      <c r="DE482" s="117">
        <f t="shared" si="924"/>
        <v>0</v>
      </c>
      <c r="DF482" s="118">
        <f t="shared" si="926"/>
        <v>32</v>
      </c>
      <c r="DG482" s="106">
        <f t="shared" si="927"/>
        <v>41.591999999999992</v>
      </c>
      <c r="DH482" s="116">
        <f t="shared" si="928"/>
        <v>11</v>
      </c>
      <c r="DI482" s="106">
        <f t="shared" si="929"/>
        <v>45.699999999999996</v>
      </c>
      <c r="DJ482" s="201" t="str">
        <f>IF($D481="","",$D481)</f>
        <v>15</v>
      </c>
      <c r="DK482" s="466"/>
    </row>
    <row r="483" spans="1:115" ht="14.5" customHeight="1" x14ac:dyDescent="0.2">
      <c r="A483" s="390"/>
      <c r="B483" s="457"/>
      <c r="C483" s="135" t="s">
        <v>53</v>
      </c>
      <c r="D483" s="375"/>
      <c r="E483" s="387"/>
      <c r="F483" s="378"/>
      <c r="G483" s="484"/>
      <c r="H483" s="477"/>
      <c r="I483" s="136"/>
      <c r="J483" s="137"/>
      <c r="K483" s="138"/>
      <c r="L483" s="139"/>
      <c r="M483" s="140"/>
      <c r="N483" s="407"/>
      <c r="O483" s="141" t="str">
        <f>IF(OR(AE481="",AE482=""),"",IF(L483&gt;0,ROUND(IF(M483&gt;0,M483,IF(M481&gt;0,ROUND((M481*AE483)/AE481,IF(N481=0,2,IF(N481=0.1,1,0))),IF(M482&gt;0,ROUND((M482*AE483)/AE482,IF(N481=0,2,IF(N481=0.1,1,0))),IF(M483&gt;0,M483,0)))),2),""))</f>
        <v/>
      </c>
      <c r="P483" s="142" t="str">
        <f>IF(I482="Lay",O482*(L482/(L482-1))-O482,IF(I481="Lay",O481*(L481/(L481-1))-O481,IF(OR(L483="",O483=""),"",IF($C483="1/2W",O483/2+O483/2*L483,IF($C483="1/2L",O483/2,(O483*L483-O483)*(1-_xlfn.XLOOKUP(K483,'Fevereiro 2023 - Valor Real'!A3:A15,'Fevereiro 2023 - Valor Real'!C3:C15,0))+O483)))))</f>
        <v/>
      </c>
      <c r="Q483" s="143" t="str">
        <f>IF(K483="","",IF(_xlfn.XLOOKUP(K483,K$4:K482,$DJ$4:DJ482,0,,-1)=DJ483,_xlfn.XLOOKUP(K483,K$4:K482,Q$4:Q482,1,,-1)+1,1))</f>
        <v/>
      </c>
      <c r="R483" s="144" t="str">
        <f>IF(K483="","",_xlfn.XLOOKUP(K483,K$4:K482,R$4:R482,0,,-1)+IF($C483=" ",1,0))</f>
        <v/>
      </c>
      <c r="S483" s="404"/>
      <c r="T483" s="378"/>
      <c r="U483" s="378"/>
      <c r="V483" s="404"/>
      <c r="W483" s="378"/>
      <c r="X483" s="453"/>
      <c r="Y483" s="383"/>
      <c r="Z483" s="384"/>
      <c r="AA483" s="384"/>
      <c r="AB483" s="384"/>
      <c r="AC483" s="384"/>
      <c r="AD483" s="145">
        <f>((L482/(L482-1)-1))</f>
        <v>0.5714285714285714</v>
      </c>
      <c r="AE483" s="146" t="str">
        <f>IF(L483="","",(SUM(((L481-1)*(1-_xlfn.XLOOKUP(K481,'Fevereiro 2023 - Valor Real'!A3:A15,'Fevereiro 2023 - Valor Real'!C3:C15,0))+1),((L482-1)*(1-_xlfn.XLOOKUP(K482,'Fevereiro 2023 - Valor Real'!A3:A15,'Fevereiro 2023 - Valor Real'!C3:C15,0))+1),((L483-1)*(1-_xlfn.XLOOKUP(K483,'Fevereiro 2023 - Valor Real'!A3:A15,'Fevereiro 2023 - Valor Real'!C3:C15,0))+1))/((L483-1)*(1-_xlfn.XLOOKUP(K483,'Fevereiro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Real'!C3:C15,0))+1))/((L481-1)*(1-_xlfn.XLOOKUP(K481,'Fevereiro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Real'!C3:C15,0))+1))/((L482-1)*(1-_xlfn.XLOOKUP(K482,'Fevereiro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Real'!C3:C15,0))+1))/((L483-1)*(1-_xlfn.XLOOKUP(K483,'Fevereiro 2023 - Valor Real'!A3:A15,'Fevereiro 2023 - Valor Real'!C3:C15,0))+1)))</f>
        <v/>
      </c>
      <c r="AF483" s="105">
        <f t="shared" si="961"/>
        <v>0</v>
      </c>
      <c r="AG483" s="106">
        <f t="shared" si="961"/>
        <v>0</v>
      </c>
      <c r="AH483" s="106">
        <f t="shared" si="961"/>
        <v>0</v>
      </c>
      <c r="AI483" s="106">
        <f t="shared" si="961"/>
        <v>0</v>
      </c>
      <c r="AJ483" s="106">
        <f t="shared" si="961"/>
        <v>0</v>
      </c>
      <c r="AK483" s="106">
        <f t="shared" si="961"/>
        <v>0</v>
      </c>
      <c r="AL483" s="106">
        <f t="shared" si="961"/>
        <v>0</v>
      </c>
      <c r="AM483" s="106">
        <f t="shared" si="961"/>
        <v>0</v>
      </c>
      <c r="AN483" s="106">
        <f t="shared" si="961"/>
        <v>0</v>
      </c>
      <c r="AO483" s="106">
        <f t="shared" si="961"/>
        <v>0</v>
      </c>
      <c r="AP483" s="106">
        <f t="shared" si="961"/>
        <v>0</v>
      </c>
      <c r="AQ483" s="106">
        <f t="shared" si="961"/>
        <v>0</v>
      </c>
      <c r="AR483" s="107">
        <f t="shared" si="961"/>
        <v>0</v>
      </c>
      <c r="AS483" s="105">
        <f>IF(AND($B481=" ",$K483=AS$3),$O483,0)</f>
        <v>0</v>
      </c>
      <c r="AT483" s="106">
        <f>IF(AND($B481=" ",K483=AT$3),$O483,0)</f>
        <v>0</v>
      </c>
      <c r="AU483" s="106">
        <f t="shared" ref="AU483:BE483" si="975">IF(AND($B481=" ",$K483=AU$3),$O483,0)</f>
        <v>0</v>
      </c>
      <c r="AV483" s="106">
        <f t="shared" si="975"/>
        <v>0</v>
      </c>
      <c r="AW483" s="106">
        <f t="shared" si="975"/>
        <v>0</v>
      </c>
      <c r="AX483" s="106">
        <f t="shared" si="975"/>
        <v>0</v>
      </c>
      <c r="AY483" s="108">
        <f t="shared" si="975"/>
        <v>0</v>
      </c>
      <c r="AZ483" s="109">
        <f t="shared" si="975"/>
        <v>0</v>
      </c>
      <c r="BA483" s="109">
        <f t="shared" si="975"/>
        <v>0</v>
      </c>
      <c r="BB483" s="109">
        <f t="shared" si="975"/>
        <v>0</v>
      </c>
      <c r="BC483" s="110">
        <f t="shared" si="975"/>
        <v>0</v>
      </c>
      <c r="BD483" s="106">
        <f t="shared" si="975"/>
        <v>0</v>
      </c>
      <c r="BE483" s="107">
        <f t="shared" si="975"/>
        <v>0</v>
      </c>
      <c r="BF483" s="105">
        <f t="shared" si="963"/>
        <v>0</v>
      </c>
      <c r="BG483" s="106">
        <f t="shared" si="963"/>
        <v>0</v>
      </c>
      <c r="BH483" s="106">
        <f t="shared" si="963"/>
        <v>0</v>
      </c>
      <c r="BI483" s="106">
        <f t="shared" si="963"/>
        <v>0</v>
      </c>
      <c r="BJ483" s="106">
        <f t="shared" si="963"/>
        <v>0</v>
      </c>
      <c r="BK483" s="106">
        <f t="shared" si="963"/>
        <v>0</v>
      </c>
      <c r="BL483" s="106">
        <f t="shared" si="963"/>
        <v>0</v>
      </c>
      <c r="BM483" s="108">
        <f t="shared" si="963"/>
        <v>0</v>
      </c>
      <c r="BN483" s="109">
        <f t="shared" si="963"/>
        <v>0</v>
      </c>
      <c r="BO483" s="109">
        <f t="shared" si="963"/>
        <v>0</v>
      </c>
      <c r="BP483" s="109">
        <f t="shared" si="963"/>
        <v>0</v>
      </c>
      <c r="BQ483" s="110">
        <f t="shared" si="963"/>
        <v>0</v>
      </c>
      <c r="BR483" s="107">
        <f t="shared" si="963"/>
        <v>0</v>
      </c>
      <c r="BS483" s="464"/>
      <c r="BT483" s="461"/>
      <c r="BU483" s="392"/>
      <c r="BV483" s="461"/>
      <c r="BW483" s="392"/>
      <c r="BX483" s="392"/>
      <c r="BY483" s="392"/>
      <c r="BZ483" s="461"/>
      <c r="CA483" s="392"/>
      <c r="CB483" s="392"/>
      <c r="CC483" s="392"/>
      <c r="CD483" s="401"/>
      <c r="CE483" s="409"/>
      <c r="CF483" s="133">
        <f t="shared" si="899"/>
        <v>0</v>
      </c>
      <c r="CG483" s="134">
        <f t="shared" si="900"/>
        <v>0</v>
      </c>
      <c r="CH483" s="134">
        <f t="shared" si="901"/>
        <v>0</v>
      </c>
      <c r="CI483" s="134">
        <f t="shared" si="902"/>
        <v>0</v>
      </c>
      <c r="CJ483" s="134">
        <f t="shared" si="903"/>
        <v>0</v>
      </c>
      <c r="CK483" s="134">
        <f t="shared" si="904"/>
        <v>0</v>
      </c>
      <c r="CL483" s="134">
        <f t="shared" si="905"/>
        <v>0</v>
      </c>
      <c r="CM483" s="134">
        <f t="shared" si="906"/>
        <v>0</v>
      </c>
      <c r="CN483" s="134">
        <f t="shared" si="907"/>
        <v>0</v>
      </c>
      <c r="CO483" s="134">
        <f t="shared" si="908"/>
        <v>0</v>
      </c>
      <c r="CP483" s="134">
        <f t="shared" si="909"/>
        <v>0</v>
      </c>
      <c r="CQ483" s="134">
        <f t="shared" si="910"/>
        <v>0</v>
      </c>
      <c r="CR483" s="134">
        <f t="shared" si="911"/>
        <v>0</v>
      </c>
      <c r="CS483" s="134">
        <f t="shared" si="912"/>
        <v>0</v>
      </c>
      <c r="CT483" s="115">
        <f t="shared" si="913"/>
        <v>0</v>
      </c>
      <c r="CU483" s="116">
        <f t="shared" si="914"/>
        <v>0</v>
      </c>
      <c r="CV483" s="116">
        <f t="shared" si="915"/>
        <v>0</v>
      </c>
      <c r="CW483" s="116">
        <f t="shared" si="916"/>
        <v>0</v>
      </c>
      <c r="CX483" s="116">
        <f t="shared" si="917"/>
        <v>0</v>
      </c>
      <c r="CY483" s="116">
        <f t="shared" si="918"/>
        <v>0</v>
      </c>
      <c r="CZ483" s="116">
        <f t="shared" si="919"/>
        <v>0</v>
      </c>
      <c r="DA483" s="116">
        <f t="shared" si="920"/>
        <v>0</v>
      </c>
      <c r="DB483" s="116">
        <f t="shared" si="921"/>
        <v>0</v>
      </c>
      <c r="DC483" s="116">
        <f t="shared" si="922"/>
        <v>0</v>
      </c>
      <c r="DD483" s="116">
        <f t="shared" si="923"/>
        <v>0</v>
      </c>
      <c r="DE483" s="117">
        <f t="shared" si="924"/>
        <v>0</v>
      </c>
      <c r="DF483" s="118">
        <f t="shared" si="926"/>
        <v>32</v>
      </c>
      <c r="DG483" s="106">
        <f t="shared" si="927"/>
        <v>41.591999999999992</v>
      </c>
      <c r="DH483" s="116">
        <f t="shared" si="928"/>
        <v>11</v>
      </c>
      <c r="DI483" s="106">
        <f t="shared" si="929"/>
        <v>45.699999999999996</v>
      </c>
      <c r="DJ483" s="201" t="str">
        <f>IF($D481="","",$D481)</f>
        <v>15</v>
      </c>
      <c r="DK483" s="466"/>
    </row>
    <row r="484" spans="1:115" ht="14.5" customHeight="1" x14ac:dyDescent="0.2">
      <c r="A484" s="487">
        <f>$A481+1</f>
        <v>161</v>
      </c>
      <c r="B484" s="506" t="str">
        <f>IF(OR(C484="W",C485="W",C486="W",C484="1/2W",C485="1/2W",C486="1/2W",C484="1/2L",C485="1/2L",C486="1/2L"),"OK",IF(OR(C484="L",C485="L",C486="L"),"LOSS",IF(OR(C484="X",C485="X",C486="X"),"Anulado"," ")))</f>
        <v>OK</v>
      </c>
      <c r="C484" s="147" t="s">
        <v>54</v>
      </c>
      <c r="D484" s="494" t="str">
        <f>IF(G484="","",$D481)</f>
        <v>15</v>
      </c>
      <c r="E484" s="511" t="str">
        <f>IF(G484=""," ","– "&amp;COUNTIF(D$4:D486,$D484))</f>
        <v>– 19</v>
      </c>
      <c r="F484" s="510" t="str">
        <f ca="1">IF(G484="","",IF(OR(AND($C484&lt;&gt;" ",$C485=" "),AND($C485&lt;&gt;" ",$C484=" "),AND(L486&gt;0,OR(AND($C486&lt;&gt;" ",OR($C484=" ",$C485=" ")),AND($C486=" ",OR($C484&lt;&gt;" ",$C485&lt;&gt;" "))))),IF(SUM(F$4:F483)=0,1,LARGE(F$4:F483,1)+1),IF(MONTH(G484)=MONTH(TODAY()),IF(AND(DAY(G484)&lt;DAY(TODAY()),$B484=" "),IF(SUM(F$4:F483)=0,1,LARGE(F$4:F483,1)+1),IF($B484=" ",IF(AND(DAY(G484)=DAY(TODAY()),HOUR(G484)&lt;=HOUR(NOW())+1),IF(AND(HOUR(G484)+2&lt;=HOUR(NOW()),DAY(G484)&lt;=DAY(TODAY()),MINUTE(G484)&lt;=MINUTE(NOW())),IF(SUM(F$4:F483)=0,1,LARGE(F$4:F483,1)+1),IF(OR(MINUTE(G484)&lt;=MINUTE(NOW()),HOUR(G484)&lt;=HOUR(NOW())),"!!!","")),""),"")),"")))</f>
        <v/>
      </c>
      <c r="G484" s="508">
        <v>45000.604166666664</v>
      </c>
      <c r="H484" s="502" t="s">
        <v>196</v>
      </c>
      <c r="I484" s="148">
        <v>2</v>
      </c>
      <c r="J484" s="149"/>
      <c r="K484" s="150" t="s">
        <v>40</v>
      </c>
      <c r="L484" s="151">
        <v>1.44</v>
      </c>
      <c r="M484" s="152">
        <v>23</v>
      </c>
      <c r="N484" s="503">
        <v>0</v>
      </c>
      <c r="O484" s="153">
        <f>IF(OR(AE484="",AE485=""),"",ROUND(IF(L486&gt;0,IF(M484&gt;0,M484,IF(M485&gt;0,ROUND((M485*AE484)/AE485,IF(N484=0,2,IF(N484=0.1,1,0))),ROUND((M486*AE484)/AE486,IF(N484=0,2,IF(N484=0.1,1,0))))),IF(M484&gt;0,M484,ROUND((M485*AE484)/AE485,IF(N484=0,2,IF(N484=0.1,1,0))))),2))</f>
        <v>23</v>
      </c>
      <c r="P484" s="154">
        <f>IF(OR(L484="",O484=""),"",IF($C484="1/2W",O484/2+O484/2*L484,IF($C484="1/2L",O484/2,IF(I484="Lay",(O484*(L484/(L484-1))-O484)*(1-_xlfn.XLOOKUP(K484,'Fevereiro 2023 - Valor Real'!A3:A15,'Fevereiro 2023 - Valor Real'!C3:C15,0))+O484,(O484*L484-O484)*(1-_xlfn.XLOOKUP(K484,'Fevereiro 2023 - Valor Real'!A3:A15,'Fevereiro 2023 - Valor Real'!C3:C15,0))+O484))))</f>
        <v>33.119999999999997</v>
      </c>
      <c r="Q484" s="155">
        <f>IF(K484="","",IF(_xlfn.XLOOKUP(K484,K$9:K476,$DJ$9:DJ476,0,,-1)=DJ484,_xlfn.XLOOKUP(K484,K$9:K476,Q$9:Q476,1,,-1)+1,1))</f>
        <v>4</v>
      </c>
      <c r="R484" s="156">
        <f>IF(K484="","",_xlfn.XLOOKUP(K484,K$9:K476,R$9:R476,0,,-1)+IF($C484=" ",1,0))</f>
        <v>0</v>
      </c>
      <c r="S484" s="501">
        <f>IF($B484="Anulado",0,ROUND(IF(OR($B484="LOSS",$B484="OK"),IF(OR($C484="W",$C484="1/2W",$C484="1/2L"),P484-O484,IF($C484="L",-O484,0))+IF(OR($C485="W",$C485="1/2W",$C485="1/2L"),P485-O485,IF($C485="L",-O485,0))+IF(OR($C486="W",$C486="1/2W",$C486="1/2L"),P486-O486,IF($C486="L",-O486,0)),IF(AND(OR($C484="W",$C484="1/2W",$C484="1/2L"),C485="W"),P484+P485-SUM(O484:O486)+_xlfn.XLOOKUP("X",C484:C486,O484:O486,0),IF(AND(C484=TRUE,C486="W"),P484+P486-SUM(O484:O486),IF(AND(C485="W",C486="W"),P485+P486-SUM(O484:O486)+_xlfn.XLOOKUP("X",C484:C486,O484:O486,0),IF(L486&gt;0,IF(OR($C484="W",$C484="1/2W",$C484="1/2L"),P484-SUM(O484:O486)+_xlfn.XLOOKUP("X",C484:C486,O484:O486,0),IF(OR($C484="W",$C484="1/2W",$C484="1/2L"),P485-SUM(O484:O486)+_xlfn.XLOOKUP("X",C484:C486,O484:O486,0),IF(OR($C484="W",$C484="1/2W",$C484="1/2L"),P486-SUM(O484:O486)+_xlfn.XLOOKUP("X",C484:C486,O484:O486,0),IF(SUM(P484:P486)/3-SUM(O484:O486)+_xlfn.XLOOKUP("X",C484:C486,O484:O486,0)&gt;0,SUM(P484:P486)/3-SUM(O484:O486)+_xlfn.XLOOKUP("X",C484:C486,O484:O486,0),LARGE(P484:P486,1)-SUM(O484:O486))))),IF(OR($C484="W",$C484="1/2W",$C484="1/2L"),P484-SUM(O484:O485)+_xlfn.XLOOKUP("X",C484:C486,O484:O486,0),IF(OR($C484="W",$C484="1/2W",$C484="1/2L"),P485-SUM(O484:O485)+_xlfn.XLOOKUP("X",C484:C486,O484:O486,0),SUM(P484:P485)/2-SUM(O484:O485)+_xlfn.XLOOKUP("X",C484:C486,O484:O486,0)))))))),2))</f>
        <v>1.36</v>
      </c>
      <c r="T484" s="486">
        <f>IF(S484=0,0,S484/SUM(O484:O486))</f>
        <v>4.2821158690176331E-2</v>
      </c>
      <c r="U484" s="496">
        <f>IF($D484=$D481,IF(OR($B484="LOSS",$B484="OK",$B484="Anulada"),S484,0)+U481,IF(OR($B484="LOSS",$B484="OK",$B484="Anulada"),S484,0))</f>
        <v>57.34</v>
      </c>
      <c r="V484" s="496">
        <f>IF($D484="",0,IF($D484=$D481,IF($B484=" ",IF(I486="",IF(OR(AND(I484="DNB1",I485="DNB2"),AND(OR(I484="DNB1",I484="DNB2"),J485=0),AND(OR(I485="DNB1",I485="DNB2"),J484=0),AND(I484="DNB2",I485="DNB1"),AND(IF(J484=0,(J484+1)/ROUND(J484+1,0),J484/ROUND(J484,0))=1,IF(J485=0,(J485+1)/ROUND(IF(J485="",0,J485)+1,0),IF(J485="",0,J485)/ROUND(IF(J485="",1,J485),0))=1,OR(J484&lt;&gt;""),J485&lt;&gt;"")),0,IF(S484&lt;0,IF(I486="",SMALL(P484:P485,1)-SUM(O484:O485),0),SMALL(P484:P485,1)-SUM(O484:O485))),IF(S484&lt;0,IF(I486="",SMALL(P484:P486,1)-SUM(O484:O486),0),LARGE(P484:P486,1)-SUM(O484:O486))),S484)+V481,IF(I486="",IF(OR(AND(I484="DNB1",I485="DNB2"),AND(OR(I484="DNB1",I484="DNB2"),J485=0),AND(OR(I485="DNB1",I485="DNB2"),J484=0),AND(I484="DNB2",I485="DNB1"),AND(IF(J484=0,(J484+1)/ROUND(J484+1,0),J484/ROUND(J484,0))=1,IF(J485=0,(IF(J485="",0,J485)+1)/ROUND(IF(J485="",0,J485)+1,0),IF(J485="",0,J485)/ROUND(IF(J485="",0,J485)+1,0))=1,OR(J484&lt;&gt;""),J485&lt;&gt;"")),0,IF(S484&lt;0,IF(I486="",SMALL(P484:P485,1)-SUM(O484:O485),0),SMALL(P484:P486,1)-SUM(O484:O486))),IF(S484&lt;0,IF(I486="",SMALL(P484:P486,1)-SUM(O484:O486),0),LARGE(P484:P486,1)-SUM(O484:O486)))))</f>
        <v>57.326599999999999</v>
      </c>
      <c r="W484" s="496">
        <f>IF($D484=$D481,IF(S484&lt;0,IF(I486="",S484,0),S484)+W481,S484)</f>
        <v>57.34</v>
      </c>
      <c r="X484" s="505" t="str">
        <f>IF(OR(SUM(R484:R486)=0,V484=W484),ROUND(IF(W484=0,0,W484/Y484)*100,2)&amp;"%",ROUND(IF(V484=0,0,V484/Y484)*100,2)&amp;"% a "&amp;ROUND(IF(W484=0,0,W484/Y484)*100,2)&amp;"%")</f>
        <v>5,08%</v>
      </c>
      <c r="Y484" s="497">
        <f>IF($D484=$D481,Y481+SUM(O484:O486),SUM(O484:O486))</f>
        <v>1127.8700000000001</v>
      </c>
      <c r="Z484" s="496">
        <f>IF($B484=" ",SUM(O484:O486),0)+Z481</f>
        <v>0</v>
      </c>
      <c r="AA484" s="496">
        <f>IF(G484="","",IF($B484="Anulado",LARGE(P484:P486,1)-SUM(O484:O486)+AA481,AA481))</f>
        <v>12.425099999999992</v>
      </c>
      <c r="AB484" s="496">
        <f>IF($D484="","",AB481+S484)</f>
        <v>585.76000000000022</v>
      </c>
      <c r="AC484" s="499">
        <f ca="1">IF($D484="","",IF($B484=" ",IF(DAY(G484)=DAY(TODAY()),1+AC481,0+AC481),0+AC481))</f>
        <v>0</v>
      </c>
      <c r="AD484" s="157">
        <f>(1-_xlfn.XLOOKUP(K482,'Fevereiro 2023 - Valor Real'!A3:A15,'Fevereiro 2023 - Valor Real'!C3:C15,0))+1</f>
        <v>2</v>
      </c>
      <c r="AE484" s="158">
        <f>IF(L484="","",IF(L486&gt;0,(SUM(((L484-1)*(1-_xlfn.XLOOKUP(K484,'Fevereiro 2023 - Valor Real'!A3:A15,'Fevereiro 2023 - Valor Real'!C3:C15,0))+1),((L485-1)*(1-_xlfn.XLOOKUP(K485,'Fevereiro 2023 - Valor Real'!A3:A15,'Fevereiro 2023 - Valor Real'!C3:C15,0))+1),((L486-1)*(1-_xlfn.XLOOKUP(K486,'Fevereiro 2023 - Valor Real'!A3:A15,'Fevereiro 2023 - Valor Real'!C3:C15,0))+1))/((L484-1)*(1-_xlfn.XLOOKUP(K484,'Fevereiro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Real'!C3:C15,0))+1))/((L484-1)*(1-_xlfn.XLOOKUP(K484,'Fevereiro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Real'!C3:C15,0))+1))/((L485-1)*(1-_xlfn.XLOOKUP(K485,'Fevereiro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Real'!C3:C15,0))+1))/((L486-1)*(1-_xlfn.XLOOKUP(K486,'Fevereiro 2023 - Valor Real'!A3:A15,'Fevereiro 2023 - Valor Real'!C3:C15,0))+1)),IF(I484="Lay",IF(I485="Lay",((L485/(L485-1)-1)*(1-_xlfn.XLOOKUP(K485,'Fevereiro 2023 - Valor Real'!A3:A15,'Fevereiro 2023 - Valor Real'!C3:C15,0))+1)/(((L485/(L485-1)-1)*(1-_xlfn.XLOOKUP(K485,'Fevereiro 2023 - Valor Real'!A3:A15,'Fevereiro 2023 - Valor Real'!C3:C15,0))+1)+((L484/(L484-1)-1)*(1-_xlfn.XLOOKUP(K484,'Fevereiro 2023 - Valor Real'!A3:A15,'Fevereiro 2023 - Valor Real'!C3:C15,0))+1)),((L485-1)*(1-_xlfn.XLOOKUP(K485,'Fevereiro 2023 - Valor Real'!A3:A15,'Fevereiro 2023 - Valor Real'!C3:C15,0))+1)/(((L485-1)*(1-_xlfn.XLOOKUP(K485,'Fevereiro 2023 - Valor Real'!A3:A15,'Fevereiro 2023 - Valor Real'!C3:C15,0))+1)+((L484/(L484-1)-1)*(1-_xlfn.XLOOKUP(K484,'Fevereiro 2023 - Valor Real'!A3:A15,'Fevereiro 2023 - Valor Real'!C3:C15,0))+1))),IF(I485="Lay",(((L485/(L485-1)-1)*(1-_xlfn.XLOOKUP(K485,'Fevereiro 2023 - Valor Real'!A3:A15,'Fevereiro 2023 - Valor Real'!C3:C15,0))+1))/(((L484-1)*(1-_xlfn.XLOOKUP(K484,'Fevereiro 2023 - Valor Real'!A3:A15,'Fevereiro 2023 - Valor Real'!C3:C15,0))+1)+((L485/(L485-1)-1)*(1-_xlfn.XLOOKUP(K485,'Fevereiro 2023 - Valor Real'!A3:A15,'Fevereiro 2023 - Valor Real'!C3:C15,0))+1)),((L485-1)*(1-_xlfn.XLOOKUP(K485,'Fevereiro 2023 - Valor Real'!A3:A15,'Fevereiro 2023 - Valor Real'!C3:C15,0))+1)/(((L485-1)*(1-_xlfn.XLOOKUP(K485,'Fevereiro 2023 - Valor Real'!A3:A15,'Fevereiro 2023 - Valor Real'!C3:C15,0))+1)+((L484-1)*(1-_xlfn.XLOOKUP(K484,'Fevereiro 2023 - Valor Real'!A3:A15,'Fevereiro 2023 - Valor Real'!C3:C15,0))+1))))))</f>
        <v>0.7038596296860502</v>
      </c>
      <c r="AF484" s="66">
        <f t="shared" ref="AF484:AR493" si="976">IF($K484=AF$3,ROUND(IF(OR($C484="W",$C484="1/2W",$C484="1/2L"),$P484-$O484,IF($C484="X",0,-$O484)),2),0)</f>
        <v>0</v>
      </c>
      <c r="AG484" s="67">
        <f t="shared" si="976"/>
        <v>0</v>
      </c>
      <c r="AH484" s="67">
        <f t="shared" si="976"/>
        <v>0</v>
      </c>
      <c r="AI484" s="67">
        <f t="shared" si="976"/>
        <v>0</v>
      </c>
      <c r="AJ484" s="67">
        <f t="shared" si="976"/>
        <v>10.119999999999999</v>
      </c>
      <c r="AK484" s="67">
        <f t="shared" si="976"/>
        <v>0</v>
      </c>
      <c r="AL484" s="67">
        <f t="shared" si="976"/>
        <v>0</v>
      </c>
      <c r="AM484" s="67">
        <f t="shared" si="976"/>
        <v>0</v>
      </c>
      <c r="AN484" s="67">
        <f t="shared" si="976"/>
        <v>0</v>
      </c>
      <c r="AO484" s="67">
        <f t="shared" si="976"/>
        <v>0</v>
      </c>
      <c r="AP484" s="67">
        <f t="shared" si="976"/>
        <v>0</v>
      </c>
      <c r="AQ484" s="67">
        <f t="shared" si="976"/>
        <v>0</v>
      </c>
      <c r="AR484" s="68">
        <f t="shared" si="976"/>
        <v>0</v>
      </c>
      <c r="AS484" s="66">
        <f t="shared" ref="AS484:BE484" si="977">IF(AND($B484=" ",$K484=AS$3),$O484,0)</f>
        <v>0</v>
      </c>
      <c r="AT484" s="67">
        <f t="shared" si="977"/>
        <v>0</v>
      </c>
      <c r="AU484" s="67">
        <f t="shared" si="977"/>
        <v>0</v>
      </c>
      <c r="AV484" s="67">
        <f t="shared" si="977"/>
        <v>0</v>
      </c>
      <c r="AW484" s="67">
        <f t="shared" si="977"/>
        <v>0</v>
      </c>
      <c r="AX484" s="67">
        <f t="shared" si="977"/>
        <v>0</v>
      </c>
      <c r="AY484" s="69">
        <f t="shared" si="977"/>
        <v>0</v>
      </c>
      <c r="AZ484" s="70">
        <f t="shared" si="977"/>
        <v>0</v>
      </c>
      <c r="BA484" s="70">
        <f t="shared" si="977"/>
        <v>0</v>
      </c>
      <c r="BB484" s="70">
        <f t="shared" si="977"/>
        <v>0</v>
      </c>
      <c r="BC484" s="71">
        <f t="shared" si="977"/>
        <v>0</v>
      </c>
      <c r="BD484" s="67">
        <f t="shared" si="977"/>
        <v>0</v>
      </c>
      <c r="BE484" s="68">
        <f t="shared" si="977"/>
        <v>0</v>
      </c>
      <c r="BF484" s="66">
        <f t="shared" ref="BF484:BR493" si="978">IF($K484=BF$3,IF($C484="X",0,$O484),0)</f>
        <v>0</v>
      </c>
      <c r="BG484" s="67">
        <f t="shared" si="978"/>
        <v>0</v>
      </c>
      <c r="BH484" s="67">
        <f t="shared" si="978"/>
        <v>0</v>
      </c>
      <c r="BI484" s="67">
        <f t="shared" si="978"/>
        <v>0</v>
      </c>
      <c r="BJ484" s="67">
        <f t="shared" si="978"/>
        <v>23</v>
      </c>
      <c r="BK484" s="67">
        <f t="shared" si="978"/>
        <v>0</v>
      </c>
      <c r="BL484" s="67">
        <f t="shared" si="978"/>
        <v>0</v>
      </c>
      <c r="BM484" s="69">
        <f t="shared" si="978"/>
        <v>0</v>
      </c>
      <c r="BN484" s="70">
        <f t="shared" si="978"/>
        <v>0</v>
      </c>
      <c r="BO484" s="70">
        <f t="shared" si="978"/>
        <v>0</v>
      </c>
      <c r="BP484" s="70">
        <f t="shared" si="978"/>
        <v>0</v>
      </c>
      <c r="BQ484" s="71">
        <f t="shared" si="978"/>
        <v>0</v>
      </c>
      <c r="BR484" s="68">
        <f t="shared" si="978"/>
        <v>0</v>
      </c>
      <c r="BS484" s="490">
        <f>IF($B484="LOSS",IF(AND($K484=BS$3,$C484="L"),-$O484,0)+IF(AND($K485=BS$3,$C485="L"),-$O485,0)+IF(AND($K486=BS$3,$C486="L"),-$O486,0),IF(OR(AND($K484=BS$3,OR($C484="W",$C484="1/2W")),AND($K485=BS$3,OR($C485="W",$C485="1/2W")),AND($K486=BS$3,OR($C486="W",$C486="1/2W"))),$S484,0))</f>
        <v>0</v>
      </c>
      <c r="BT484" s="498">
        <f>IF($B484="LOSS",IF(AND($K484=BT$3,$C484="L"),-$O484,0)+IF(AND($K485=BT$3,$C485="L"),-$O485,0)+IF(AND($K485=BT$3,$C486="L"),-$O486,0),IF(OR(AND($K485=BT$3,OR($C484="W",$C484="1/2W")),AND($K485=BT$3,OR($C485="W",$C485="1/2W")),AND($K485=BT$3,OR($C486="W",$C486="1/2W"))),$S484,0))</f>
        <v>0</v>
      </c>
      <c r="BU484" s="488">
        <f>IF($B484="LOSS",IF(AND($K484=BU$3,$C484="L"),-$O484,0)+IF(AND($K485=BU$3,$C485="L"),-$O485,0)+IF(AND($K485=BU$3,$C486="L"),-$O486,0),IF(OR(AND($K485=BU$3,OR($C484="W",$C484="1/2W")),AND($K485=BU$3,OR($C485="W",$C485="1/2W")),AND($K485=BU$3,OR($C486="W",$C486="1/2W"))),$S484,0))</f>
        <v>0</v>
      </c>
      <c r="BV484" s="488">
        <f t="shared" ref="BV484:CE484" si="979">IF($B484="LOSS",IF(AND($K484=BV$3,$C484="L"),-$O484,0)+IF(AND($K485=BV$3,$C485="L"),-$O485,0)+IF(AND($K486=BV$3,$C486="L"),-$O486,0),IF(OR(AND($K484=BV$3,OR($C484="W",$C484="1/2W")),AND($K485=BV$3,OR($C485="W",$C485="1/2W")),AND($K486=BV$3,OR($C486="W",$C486="1/2W"))),$S484,0))</f>
        <v>0</v>
      </c>
      <c r="BW484" s="488">
        <f t="shared" si="979"/>
        <v>1.36</v>
      </c>
      <c r="BX484" s="488">
        <f t="shared" si="979"/>
        <v>0</v>
      </c>
      <c r="BY484" s="488">
        <f t="shared" si="979"/>
        <v>0</v>
      </c>
      <c r="BZ484" s="488">
        <f t="shared" si="979"/>
        <v>0</v>
      </c>
      <c r="CA484" s="488">
        <f t="shared" si="979"/>
        <v>0</v>
      </c>
      <c r="CB484" s="488">
        <f t="shared" si="979"/>
        <v>0</v>
      </c>
      <c r="CC484" s="488">
        <f t="shared" si="979"/>
        <v>0</v>
      </c>
      <c r="CD484" s="500">
        <f t="shared" si="979"/>
        <v>0</v>
      </c>
      <c r="CE484" s="504">
        <f t="shared" si="979"/>
        <v>0</v>
      </c>
      <c r="CF484" s="160">
        <f t="shared" si="899"/>
        <v>0</v>
      </c>
      <c r="CG484" s="161">
        <f t="shared" si="900"/>
        <v>0</v>
      </c>
      <c r="CH484" s="161">
        <f t="shared" si="901"/>
        <v>0</v>
      </c>
      <c r="CI484" s="161">
        <f t="shared" si="902"/>
        <v>0</v>
      </c>
      <c r="CJ484" s="161">
        <f t="shared" si="903"/>
        <v>0</v>
      </c>
      <c r="CK484" s="161">
        <f t="shared" si="904"/>
        <v>0</v>
      </c>
      <c r="CL484" s="161">
        <f t="shared" si="905"/>
        <v>0</v>
      </c>
      <c r="CM484" s="161">
        <f t="shared" si="906"/>
        <v>0</v>
      </c>
      <c r="CN484" s="161">
        <f t="shared" si="907"/>
        <v>1</v>
      </c>
      <c r="CO484" s="161">
        <f t="shared" si="908"/>
        <v>0</v>
      </c>
      <c r="CP484" s="161">
        <f t="shared" si="909"/>
        <v>0</v>
      </c>
      <c r="CQ484" s="161">
        <f t="shared" si="910"/>
        <v>0</v>
      </c>
      <c r="CR484" s="161">
        <f t="shared" si="911"/>
        <v>0</v>
      </c>
      <c r="CS484" s="161">
        <f t="shared" si="912"/>
        <v>0</v>
      </c>
      <c r="CT484" s="75">
        <f t="shared" si="913"/>
        <v>0</v>
      </c>
      <c r="CU484" s="76">
        <f t="shared" si="914"/>
        <v>0</v>
      </c>
      <c r="CV484" s="76">
        <f t="shared" si="915"/>
        <v>0</v>
      </c>
      <c r="CW484" s="76">
        <f t="shared" si="916"/>
        <v>0</v>
      </c>
      <c r="CX484" s="76">
        <f t="shared" si="917"/>
        <v>0</v>
      </c>
      <c r="CY484" s="76">
        <f t="shared" si="918"/>
        <v>0</v>
      </c>
      <c r="CZ484" s="76">
        <f t="shared" si="919"/>
        <v>0</v>
      </c>
      <c r="DA484" s="76">
        <f t="shared" si="920"/>
        <v>0</v>
      </c>
      <c r="DB484" s="76">
        <f t="shared" si="921"/>
        <v>0</v>
      </c>
      <c r="DC484" s="76">
        <f t="shared" si="922"/>
        <v>0</v>
      </c>
      <c r="DD484" s="76">
        <f t="shared" si="923"/>
        <v>0</v>
      </c>
      <c r="DE484" s="77">
        <f t="shared" si="924"/>
        <v>0</v>
      </c>
      <c r="DF484" s="73">
        <f t="shared" si="926"/>
        <v>33</v>
      </c>
      <c r="DG484" s="67">
        <f t="shared" si="927"/>
        <v>43.031999999999989</v>
      </c>
      <c r="DH484" s="76">
        <f t="shared" si="928"/>
        <v>11</v>
      </c>
      <c r="DI484" s="67">
        <f t="shared" si="929"/>
        <v>45.699999999999996</v>
      </c>
      <c r="DJ484" s="202" t="str">
        <f>IF($D484="","",$D484)</f>
        <v>15</v>
      </c>
      <c r="DK484" s="492">
        <f>IF(AND($B484=" ",$D484&lt;&gt;""),1,0)</f>
        <v>0</v>
      </c>
    </row>
    <row r="485" spans="1:115" ht="14.5" customHeight="1" x14ac:dyDescent="0.2">
      <c r="A485" s="389"/>
      <c r="B485" s="456"/>
      <c r="C485" s="53" t="s">
        <v>55</v>
      </c>
      <c r="D485" s="374"/>
      <c r="E485" s="386"/>
      <c r="F485" s="377"/>
      <c r="G485" s="508"/>
      <c r="H485" s="476"/>
      <c r="I485" s="182" t="s">
        <v>49</v>
      </c>
      <c r="J485" s="163" t="str">
        <f>IF(OR(I484="TO",I484="TU",I484="TO1",I484="TU1",I484="TO2",I484="TU2"),J484,IF(OR(I484="AH1",I484="AH2"),IF(OR(I485="AH1",I485="AH2"),-J484,IF(OR(I485="EH1",I485="EH2"),-J484+0.5,"")),IF(OR(I484="EH1",I484="EH2"),IF(OR(I485="AH1",I485="AH2"),-J484+0.5,IF(OR(I485="EH1",I485="EH2"),-J484+1,"")),IF(AND(OR(I484="DNB1",I484="DNB2"),OR(I485="AH1",I485="AH2")),0,IF(AND(I484="Not ScoreBoth",OR(I485="TO1",I485="TO2")),0.5,"")))))</f>
        <v/>
      </c>
      <c r="K485" s="57" t="s">
        <v>39</v>
      </c>
      <c r="L485" s="164">
        <v>9.5</v>
      </c>
      <c r="M485" s="165">
        <v>2.75</v>
      </c>
      <c r="N485" s="406"/>
      <c r="O485" s="60">
        <f>IF(OR(AE484="",AE485=""),"",ROUND(IF(L486&gt;0,IF(M485&gt;0,M485,IF(M484&gt;0,IF(N484=TRUE,ROUND((M484*AE485)/AE484,0),(M484*AE485)/AE484),IF(M485&gt;0,ROUND(M485,IF(N484=0,2,IF(N484=0.1,1,0))),IF(M486&gt;0,ROUND(O486*AE485/AE486,IF(N484=0,2,IF(N484=0.1,1,0))),0)))),IF(M485&gt;0,M485,ROUND((M484*AE485)/AE484,IF(N484=0,2,IF(N484=0.1,1,0))))),2))</f>
        <v>2.75</v>
      </c>
      <c r="P485" s="61">
        <f>IF(OR(L485="",O485=""),"",IF($C485="1/2W",O485/2+O485/2*L485,IF($C485="1/2L",O485/2,IF(I485="Lay",((O485*(L485/(L485-1)))-O485)*(1-_xlfn.XLOOKUP(K485,'Fevereiro 2023 - Valor Real'!A3:A15,'Fevereiro 2023 - Valor Real'!C3:C15,0))+O485,(O485*L485-O485)*(1-_xlfn.XLOOKUP(K485,'Fevereiro 2023 - Valor Real'!A3:A15,'Fevereiro 2023 - Valor Real'!C3:C15,0))+O485))))</f>
        <v>26.125</v>
      </c>
      <c r="Q485" s="166">
        <f>IF(K485="","",IF(_xlfn.XLOOKUP(K485,K$10:K476,$DJ$10:DJ476,0,,-1)=DJ485,_xlfn.XLOOKUP(K485,K$10:K476,Q$10:Q476,1,,-1)+1,1))</f>
        <v>1</v>
      </c>
      <c r="R485" s="167">
        <f>IF(K485="","",_xlfn.XLOOKUP(K485,K$10:K476,R$10:R476,0,,-1)+IF($C485=" ",1,0))</f>
        <v>0</v>
      </c>
      <c r="S485" s="403"/>
      <c r="T485" s="380"/>
      <c r="U485" s="380"/>
      <c r="V485" s="481"/>
      <c r="W485" s="380"/>
      <c r="X485" s="452"/>
      <c r="Y485" s="383"/>
      <c r="Z485" s="384"/>
      <c r="AA485" s="384"/>
      <c r="AB485" s="384"/>
      <c r="AC485" s="384"/>
      <c r="AD485" s="64"/>
      <c r="AE485" s="65">
        <f>IF(L485="","",IF(L486&gt;0,(SUM(((L484-1)*(1-_xlfn.XLOOKUP(K484,'Fevereiro 2023 - Valor Real'!A3:A15,'Fevereiro 2023 - Valor Real'!C3:C15,0))+1),((L485-1)*(1-_xlfn.XLOOKUP(K485,'Fevereiro 2023 - Valor Real'!A3:A15,'Fevereiro 2023 - Valor Real'!C3:C15,0))+1),((L486-1)*(1-_xlfn.XLOOKUP(K486,'Fevereiro 2023 - Valor Real'!A3:A15,'Fevereiro 2023 - Valor Real'!C3:C15,0))+1))/((L485-1)*(1-_xlfn.XLOOKUP(K485,'Fevereiro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Real'!C3:C15,0))+1))/((L484-1)*(1-_xlfn.XLOOKUP(K484,'Fevereiro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Real'!C3:C15,0))+1))/((L485-1)*(1-_xlfn.XLOOKUP(K485,'Fevereiro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Real'!C3:C15,0))+1))/((L486-1)*(1-_xlfn.XLOOKUP(K486,'Fevereiro 2023 - Valor Real'!A3:A15,'Fevereiro 2023 - Valor Real'!C3:C15,0))+1)),IF(I485="Lay",IF(I484="Lay",((L484/(L484-1)-1)*(1-_xlfn.XLOOKUP(K484,'Fevereiro 2023 - Valor Real'!A3:A15,'Fevereiro 2023 - Valor Real'!C3:C15,0))+1)/(((L484/(L484-1)-1)*(1-_xlfn.XLOOKUP(K484,'Fevereiro 2023 - Valor Real'!A3:A15,'Fevereiro 2023 - Valor Real'!C3:C15,0))+1)+((L485/(L485-1)-1)*(1-_xlfn.XLOOKUP(K485,'Fevereiro 2023 - Valor Real'!A3:A15,'Fevereiro 2023 - Valor Real'!C3:C15,0))+1)),((L484-1)*(1-_xlfn.XLOOKUP(K484,'Fevereiro 2023 - Valor Real'!A3:A15,'Fevereiro 2023 - Valor Real'!C3:C15,0))+1)/(((L484-1)*(1-_xlfn.XLOOKUP(K484,'Fevereiro 2023 - Valor Real'!A3:A15,'Fevereiro 2023 - Valor Real'!C3:C15,0))+1)+((L485/(L485-1)-1)*(1-_xlfn.XLOOKUP(K485,'Fevereiro 2023 - Valor Real'!A3:A15,'Fevereiro 2023 - Valor Real'!C3:C15,0))+1))),IF(I484="Lay",((L484/(L484-1)-1)*(1-_xlfn.XLOOKUP(K484,'Fevereiro 2023 - Valor Real'!A3:A15,'Fevereiro 2023 - Valor Real'!C3:C15,0))+1)/((((L484/(L484-1)-1)*(1-_xlfn.XLOOKUP(K484,'Fevereiro 2023 - Valor Real'!A3:A15,'Fevereiro 2023 - Valor Real'!C3:C15,0))+1))+((L485-1)*(1-_xlfn.XLOOKUP(K485,'Fevereiro 2023 - Valor Real'!A3:A15,'Fevereiro 2023 - Valor Real'!C3:C15,0))+1)),((L484-1)*(1-_xlfn.XLOOKUP(K484,'Fevereiro 2023 - Valor Real'!A3:A15,'Fevereiro 2023 - Valor Real'!C3:C15,0))+1)/(((L484-1)*(1-_xlfn.XLOOKUP(K484,'Fevereiro 2023 - Valor Real'!A3:A15,'Fevereiro 2023 - Valor Real'!C3:C15,0))+1)+((L485-1)*(1-_xlfn.XLOOKUP(K485,'Fevereiro 2023 - Valor Real'!A3:A15,'Fevereiro 2023 - Valor Real'!C3:C15,0))+1))))))</f>
        <v>0.10669030176293813</v>
      </c>
      <c r="AF485" s="66">
        <f t="shared" si="976"/>
        <v>0</v>
      </c>
      <c r="AG485" s="67">
        <f t="shared" si="976"/>
        <v>0</v>
      </c>
      <c r="AH485" s="67">
        <f t="shared" si="976"/>
        <v>0</v>
      </c>
      <c r="AI485" s="67">
        <f t="shared" si="976"/>
        <v>-2.75</v>
      </c>
      <c r="AJ485" s="67">
        <f t="shared" si="976"/>
        <v>0</v>
      </c>
      <c r="AK485" s="67">
        <f t="shared" si="976"/>
        <v>0</v>
      </c>
      <c r="AL485" s="67">
        <f t="shared" si="976"/>
        <v>0</v>
      </c>
      <c r="AM485" s="67">
        <f t="shared" si="976"/>
        <v>0</v>
      </c>
      <c r="AN485" s="67">
        <f t="shared" si="976"/>
        <v>0</v>
      </c>
      <c r="AO485" s="67">
        <f t="shared" si="976"/>
        <v>0</v>
      </c>
      <c r="AP485" s="67">
        <f t="shared" si="976"/>
        <v>0</v>
      </c>
      <c r="AQ485" s="67">
        <f t="shared" si="976"/>
        <v>0</v>
      </c>
      <c r="AR485" s="68">
        <f t="shared" si="976"/>
        <v>0</v>
      </c>
      <c r="AS485" s="66">
        <f>IF(AND($B484=" ",$K485=AS$3),$O485,0)</f>
        <v>0</v>
      </c>
      <c r="AT485" s="67">
        <f>IF(AND($B484=" ",K485=AT$3),$O485,0)</f>
        <v>0</v>
      </c>
      <c r="AU485" s="67">
        <f t="shared" ref="AU485:BE485" si="980">IF(AND($B484=" ",$K485=AU$3),$O485,0)</f>
        <v>0</v>
      </c>
      <c r="AV485" s="67">
        <f t="shared" si="980"/>
        <v>0</v>
      </c>
      <c r="AW485" s="67">
        <f t="shared" si="980"/>
        <v>0</v>
      </c>
      <c r="AX485" s="67">
        <f t="shared" si="980"/>
        <v>0</v>
      </c>
      <c r="AY485" s="69">
        <f t="shared" si="980"/>
        <v>0</v>
      </c>
      <c r="AZ485" s="70">
        <f t="shared" si="980"/>
        <v>0</v>
      </c>
      <c r="BA485" s="70">
        <f t="shared" si="980"/>
        <v>0</v>
      </c>
      <c r="BB485" s="70">
        <f t="shared" si="980"/>
        <v>0</v>
      </c>
      <c r="BC485" s="71">
        <f t="shared" si="980"/>
        <v>0</v>
      </c>
      <c r="BD485" s="67">
        <f t="shared" si="980"/>
        <v>0</v>
      </c>
      <c r="BE485" s="68">
        <f t="shared" si="980"/>
        <v>0</v>
      </c>
      <c r="BF485" s="66">
        <f t="shared" si="978"/>
        <v>0</v>
      </c>
      <c r="BG485" s="168">
        <f t="shared" si="978"/>
        <v>0</v>
      </c>
      <c r="BH485" s="67">
        <f t="shared" si="978"/>
        <v>0</v>
      </c>
      <c r="BI485" s="67">
        <f t="shared" si="978"/>
        <v>2.75</v>
      </c>
      <c r="BJ485" s="67">
        <f t="shared" si="978"/>
        <v>0</v>
      </c>
      <c r="BK485" s="67">
        <f t="shared" si="978"/>
        <v>0</v>
      </c>
      <c r="BL485" s="67">
        <f t="shared" si="978"/>
        <v>0</v>
      </c>
      <c r="BM485" s="69">
        <f t="shared" si="978"/>
        <v>0</v>
      </c>
      <c r="BN485" s="70">
        <f t="shared" si="978"/>
        <v>0</v>
      </c>
      <c r="BO485" s="70">
        <f t="shared" si="978"/>
        <v>0</v>
      </c>
      <c r="BP485" s="70">
        <f t="shared" si="978"/>
        <v>0</v>
      </c>
      <c r="BQ485" s="71">
        <f t="shared" si="978"/>
        <v>0</v>
      </c>
      <c r="BR485" s="68">
        <f t="shared" si="978"/>
        <v>0</v>
      </c>
      <c r="BS485" s="491"/>
      <c r="BT485" s="489"/>
      <c r="BU485" s="392"/>
      <c r="BV485" s="489"/>
      <c r="BW485" s="392"/>
      <c r="BX485" s="392"/>
      <c r="BY485" s="392"/>
      <c r="BZ485" s="489"/>
      <c r="CA485" s="392"/>
      <c r="CB485" s="392"/>
      <c r="CC485" s="392"/>
      <c r="CD485" s="401"/>
      <c r="CE485" s="409"/>
      <c r="CF485" s="169">
        <f t="shared" si="899"/>
        <v>0</v>
      </c>
      <c r="CG485" s="170">
        <f t="shared" si="900"/>
        <v>0</v>
      </c>
      <c r="CH485" s="170">
        <f t="shared" si="901"/>
        <v>0</v>
      </c>
      <c r="CI485" s="170">
        <f t="shared" si="902"/>
        <v>0</v>
      </c>
      <c r="CJ485" s="170">
        <f t="shared" si="903"/>
        <v>0</v>
      </c>
      <c r="CK485" s="170">
        <f t="shared" si="904"/>
        <v>0</v>
      </c>
      <c r="CL485" s="170">
        <f t="shared" si="905"/>
        <v>0</v>
      </c>
      <c r="CM485" s="170">
        <f t="shared" si="906"/>
        <v>1</v>
      </c>
      <c r="CN485" s="170">
        <f t="shared" si="907"/>
        <v>0</v>
      </c>
      <c r="CO485" s="170">
        <f t="shared" si="908"/>
        <v>0</v>
      </c>
      <c r="CP485" s="170">
        <f t="shared" si="909"/>
        <v>0</v>
      </c>
      <c r="CQ485" s="170">
        <f t="shared" si="910"/>
        <v>0</v>
      </c>
      <c r="CR485" s="170">
        <f t="shared" si="911"/>
        <v>0</v>
      </c>
      <c r="CS485" s="170">
        <f t="shared" si="912"/>
        <v>0</v>
      </c>
      <c r="CT485" s="75">
        <f t="shared" si="913"/>
        <v>0</v>
      </c>
      <c r="CU485" s="76">
        <f t="shared" si="914"/>
        <v>0</v>
      </c>
      <c r="CV485" s="76">
        <f t="shared" si="915"/>
        <v>0</v>
      </c>
      <c r="CW485" s="76">
        <f t="shared" si="916"/>
        <v>0</v>
      </c>
      <c r="CX485" s="76">
        <f t="shared" si="917"/>
        <v>0</v>
      </c>
      <c r="CY485" s="76">
        <f t="shared" si="918"/>
        <v>0</v>
      </c>
      <c r="CZ485" s="76">
        <f t="shared" si="919"/>
        <v>0</v>
      </c>
      <c r="DA485" s="76">
        <f t="shared" si="920"/>
        <v>0</v>
      </c>
      <c r="DB485" s="76">
        <f t="shared" si="921"/>
        <v>0</v>
      </c>
      <c r="DC485" s="76">
        <f t="shared" si="922"/>
        <v>0</v>
      </c>
      <c r="DD485" s="76">
        <f t="shared" si="923"/>
        <v>0</v>
      </c>
      <c r="DE485" s="77">
        <f t="shared" si="924"/>
        <v>0</v>
      </c>
      <c r="DF485" s="73">
        <f t="shared" si="926"/>
        <v>33</v>
      </c>
      <c r="DG485" s="67">
        <f t="shared" si="927"/>
        <v>43.031999999999989</v>
      </c>
      <c r="DH485" s="76">
        <f t="shared" si="928"/>
        <v>11</v>
      </c>
      <c r="DI485" s="67">
        <f t="shared" si="929"/>
        <v>45.699999999999996</v>
      </c>
      <c r="DJ485" s="202" t="str">
        <f>IF($D484="","",$D484)</f>
        <v>15</v>
      </c>
      <c r="DK485" s="493"/>
    </row>
    <row r="486" spans="1:115" ht="14.5" customHeight="1" x14ac:dyDescent="0.2">
      <c r="A486" s="390"/>
      <c r="B486" s="457"/>
      <c r="C486" s="79" t="s">
        <v>55</v>
      </c>
      <c r="D486" s="375"/>
      <c r="E486" s="387"/>
      <c r="F486" s="378"/>
      <c r="G486" s="508"/>
      <c r="H486" s="477"/>
      <c r="I486" s="183" t="s">
        <v>63</v>
      </c>
      <c r="J486" s="172"/>
      <c r="K486" s="185" t="s">
        <v>47</v>
      </c>
      <c r="L486" s="186">
        <v>5.35</v>
      </c>
      <c r="M486" s="174">
        <v>6.01</v>
      </c>
      <c r="N486" s="407"/>
      <c r="O486" s="187">
        <f>IF(OR(AE484="",AE485=""),"",IF(L486&gt;0,ROUND(IF(M486&gt;0,M486,IF(M484&gt;0,ROUND((M484*AE486)/AE484,IF(N484=0,2,IF(N484=0.1,1,0))),IF(M485&gt;0,ROUND((M485*AE486)/AE485,IF(N484=0,2,IF(N484=0.1,1,0))),IF(M486&gt;0,M486,0)))),2),""))</f>
        <v>6.01</v>
      </c>
      <c r="P486" s="188">
        <f>IF(I485="Lay",O485*(L485/(L485-1))-O485,IF(I484="Lay",O484*(L484/(L484-1))-O484,IF(OR(L486="",O486=""),"",IF($C486="1/2W",O486/2+O486/2*L486,IF($C486="1/2L",O486/2,(O486*L486-O486)*(1-_xlfn.XLOOKUP(K486,'Fevereiro 2023 - Valor Real'!A3:A15,'Fevereiro 2023 - Valor Real'!C3:C15,0))+O486)))))</f>
        <v>32.153499999999994</v>
      </c>
      <c r="Q486" s="166">
        <f>IF(K486="","",IF(_xlfn.XLOOKUP(K486,K$11:K476,$DJ$11:DJ476,0,,-1)=DJ486,_xlfn.XLOOKUP(K486,K$11:K476,Q$11:Q476,1,,-1)+1,1))</f>
        <v>8</v>
      </c>
      <c r="R486" s="189">
        <f>IF(K486="","",_xlfn.XLOOKUP(K486,K$11:K476,R$11:R476,0,,-1)+IF($C486=" ",1,0))</f>
        <v>0</v>
      </c>
      <c r="S486" s="404"/>
      <c r="T486" s="378"/>
      <c r="U486" s="378"/>
      <c r="V486" s="404"/>
      <c r="W486" s="378"/>
      <c r="X486" s="453"/>
      <c r="Y486" s="383"/>
      <c r="Z486" s="384"/>
      <c r="AA486" s="384"/>
      <c r="AB486" s="384"/>
      <c r="AC486" s="384"/>
      <c r="AD486" s="90"/>
      <c r="AE486" s="190">
        <f>IF(L486="","",(SUM(((L484-1)*(1-_xlfn.XLOOKUP(K484,'Fevereiro 2023 - Valor Real'!A3:A15,'Fevereiro 2023 - Valor Real'!C3:C15,0))+1),((L485-1)*(1-_xlfn.XLOOKUP(K485,'Fevereiro 2023 - Valor Real'!A3:A15,'Fevereiro 2023 - Valor Real'!C3:C15,0))+1),((L486-1)*(1-_xlfn.XLOOKUP(K486,'Fevereiro 2023 - Valor Real'!A3:A15,'Fevereiro 2023 - Valor Real'!C3:C15,0))+1))/((L486-1)*(1-_xlfn.XLOOKUP(K486,'Fevereiro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Real'!C3:C15,0))+1))/((L484-1)*(1-_xlfn.XLOOKUP(K484,'Fevereiro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Real'!C3:C15,0))+1))/((L485-1)*(1-_xlfn.XLOOKUP(K485,'Fevereiro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Real'!C3:C15,0))+1))/((L486-1)*(1-_xlfn.XLOOKUP(K486,'Fevereiro 2023 - Valor Real'!A3:A15,'Fevereiro 2023 - Valor Real'!C3:C15,0))+1)))</f>
        <v>0.18945006855101162</v>
      </c>
      <c r="AF486" s="66">
        <f t="shared" si="976"/>
        <v>0</v>
      </c>
      <c r="AG486" s="67">
        <f t="shared" si="976"/>
        <v>0</v>
      </c>
      <c r="AH486" s="67">
        <f t="shared" si="976"/>
        <v>0</v>
      </c>
      <c r="AI486" s="67">
        <f t="shared" si="976"/>
        <v>0</v>
      </c>
      <c r="AJ486" s="67">
        <f t="shared" si="976"/>
        <v>0</v>
      </c>
      <c r="AK486" s="67">
        <f t="shared" si="976"/>
        <v>0</v>
      </c>
      <c r="AL486" s="67">
        <f t="shared" si="976"/>
        <v>0</v>
      </c>
      <c r="AM486" s="67">
        <f t="shared" si="976"/>
        <v>0</v>
      </c>
      <c r="AN486" s="67">
        <f t="shared" si="976"/>
        <v>0</v>
      </c>
      <c r="AO486" s="67">
        <f t="shared" si="976"/>
        <v>0</v>
      </c>
      <c r="AP486" s="67">
        <f t="shared" si="976"/>
        <v>0</v>
      </c>
      <c r="AQ486" s="67">
        <f t="shared" si="976"/>
        <v>-6.01</v>
      </c>
      <c r="AR486" s="68">
        <f t="shared" si="976"/>
        <v>0</v>
      </c>
      <c r="AS486" s="66">
        <f>IF(AND($B484=" ",$K486=AS$3),$O486,0)</f>
        <v>0</v>
      </c>
      <c r="AT486" s="67">
        <f>IF(AND($B484=" ",K486=AT$3),$O486,0)</f>
        <v>0</v>
      </c>
      <c r="AU486" s="67">
        <f t="shared" ref="AU486:BE486" si="981">IF(AND($B484=" ",$K486=AU$3),$O486,0)</f>
        <v>0</v>
      </c>
      <c r="AV486" s="67">
        <f t="shared" si="981"/>
        <v>0</v>
      </c>
      <c r="AW486" s="67">
        <f t="shared" si="981"/>
        <v>0</v>
      </c>
      <c r="AX486" s="67">
        <f t="shared" si="981"/>
        <v>0</v>
      </c>
      <c r="AY486" s="69">
        <f t="shared" si="981"/>
        <v>0</v>
      </c>
      <c r="AZ486" s="70">
        <f t="shared" si="981"/>
        <v>0</v>
      </c>
      <c r="BA486" s="70">
        <f t="shared" si="981"/>
        <v>0</v>
      </c>
      <c r="BB486" s="70">
        <f t="shared" si="981"/>
        <v>0</v>
      </c>
      <c r="BC486" s="71">
        <f t="shared" si="981"/>
        <v>0</v>
      </c>
      <c r="BD486" s="67">
        <f t="shared" si="981"/>
        <v>0</v>
      </c>
      <c r="BE486" s="68">
        <f t="shared" si="981"/>
        <v>0</v>
      </c>
      <c r="BF486" s="66">
        <f t="shared" si="978"/>
        <v>0</v>
      </c>
      <c r="BG486" s="168">
        <f t="shared" si="978"/>
        <v>0</v>
      </c>
      <c r="BH486" s="67">
        <f t="shared" si="978"/>
        <v>0</v>
      </c>
      <c r="BI486" s="67">
        <f t="shared" si="978"/>
        <v>0</v>
      </c>
      <c r="BJ486" s="67">
        <f t="shared" si="978"/>
        <v>0</v>
      </c>
      <c r="BK486" s="67">
        <f t="shared" si="978"/>
        <v>0</v>
      </c>
      <c r="BL486" s="67">
        <f t="shared" si="978"/>
        <v>0</v>
      </c>
      <c r="BM486" s="69">
        <f t="shared" si="978"/>
        <v>0</v>
      </c>
      <c r="BN486" s="70">
        <f t="shared" si="978"/>
        <v>0</v>
      </c>
      <c r="BO486" s="70">
        <f t="shared" si="978"/>
        <v>0</v>
      </c>
      <c r="BP486" s="70">
        <f t="shared" si="978"/>
        <v>0</v>
      </c>
      <c r="BQ486" s="71">
        <f t="shared" si="978"/>
        <v>6.01</v>
      </c>
      <c r="BR486" s="68">
        <f t="shared" si="978"/>
        <v>0</v>
      </c>
      <c r="BS486" s="491"/>
      <c r="BT486" s="489"/>
      <c r="BU486" s="392"/>
      <c r="BV486" s="489"/>
      <c r="BW486" s="392"/>
      <c r="BX486" s="392"/>
      <c r="BY486" s="392"/>
      <c r="BZ486" s="489"/>
      <c r="CA486" s="392"/>
      <c r="CB486" s="392"/>
      <c r="CC486" s="392"/>
      <c r="CD486" s="401"/>
      <c r="CE486" s="409"/>
      <c r="CF486" s="169">
        <f t="shared" si="899"/>
        <v>0</v>
      </c>
      <c r="CG486" s="170">
        <f t="shared" si="900"/>
        <v>0</v>
      </c>
      <c r="CH486" s="170">
        <f t="shared" si="901"/>
        <v>0</v>
      </c>
      <c r="CI486" s="170">
        <f t="shared" si="902"/>
        <v>0</v>
      </c>
      <c r="CJ486" s="170">
        <f t="shared" si="903"/>
        <v>0</v>
      </c>
      <c r="CK486" s="170">
        <f t="shared" si="904"/>
        <v>0</v>
      </c>
      <c r="CL486" s="170">
        <f t="shared" si="905"/>
        <v>0</v>
      </c>
      <c r="CM486" s="170">
        <f t="shared" si="906"/>
        <v>0</v>
      </c>
      <c r="CN486" s="170">
        <f t="shared" si="907"/>
        <v>0</v>
      </c>
      <c r="CO486" s="170">
        <f t="shared" si="908"/>
        <v>0</v>
      </c>
      <c r="CP486" s="170">
        <f t="shared" si="909"/>
        <v>0</v>
      </c>
      <c r="CQ486" s="170">
        <f t="shared" si="910"/>
        <v>0</v>
      </c>
      <c r="CR486" s="170">
        <f t="shared" si="911"/>
        <v>0</v>
      </c>
      <c r="CS486" s="170">
        <f t="shared" si="912"/>
        <v>0</v>
      </c>
      <c r="CT486" s="75">
        <f t="shared" si="913"/>
        <v>0</v>
      </c>
      <c r="CU486" s="76">
        <f t="shared" si="914"/>
        <v>0</v>
      </c>
      <c r="CV486" s="76">
        <f t="shared" si="915"/>
        <v>0</v>
      </c>
      <c r="CW486" s="76">
        <f t="shared" si="916"/>
        <v>0</v>
      </c>
      <c r="CX486" s="76">
        <f t="shared" si="917"/>
        <v>0</v>
      </c>
      <c r="CY486" s="76">
        <f t="shared" si="918"/>
        <v>0</v>
      </c>
      <c r="CZ486" s="76">
        <f t="shared" si="919"/>
        <v>0</v>
      </c>
      <c r="DA486" s="76">
        <f t="shared" si="920"/>
        <v>0</v>
      </c>
      <c r="DB486" s="76">
        <f t="shared" si="921"/>
        <v>0</v>
      </c>
      <c r="DC486" s="76">
        <f t="shared" si="922"/>
        <v>1</v>
      </c>
      <c r="DD486" s="76">
        <f t="shared" si="923"/>
        <v>0</v>
      </c>
      <c r="DE486" s="77">
        <f t="shared" si="924"/>
        <v>0</v>
      </c>
      <c r="DF486" s="73">
        <f t="shared" si="926"/>
        <v>33</v>
      </c>
      <c r="DG486" s="67">
        <f t="shared" si="927"/>
        <v>43.031999999999989</v>
      </c>
      <c r="DH486" s="76">
        <f t="shared" si="928"/>
        <v>11</v>
      </c>
      <c r="DI486" s="67">
        <f t="shared" si="929"/>
        <v>45.699999999999996</v>
      </c>
      <c r="DJ486" s="202" t="str">
        <f>IF($D484="","",$D484)</f>
        <v>15</v>
      </c>
      <c r="DK486" s="493"/>
    </row>
    <row r="487" spans="1:115" ht="14.5" customHeight="1" x14ac:dyDescent="0.2">
      <c r="A487" s="459">
        <f>$A484+1</f>
        <v>162</v>
      </c>
      <c r="B487" s="507" t="str">
        <f>IF(OR(C487="W",C488="W",C489="W",C487="1/2W",C488="1/2W",C489="1/2W",C487="1/2L",C488="1/2L",C489="1/2L"),"OK",IF(OR(C487="L",C488="L",C489="L"),"LOSS",IF(OR(C487="X",C488="X",C489="X"),"Anulado"," ")))</f>
        <v>OK</v>
      </c>
      <c r="C487" s="93" t="s">
        <v>55</v>
      </c>
      <c r="D487" s="468" t="str">
        <f>IF(G487="","",$D484)</f>
        <v>15</v>
      </c>
      <c r="E487" s="485" t="str">
        <f>IF(G487=""," ","– "&amp;COUNTIF(D$4:D489,$D487))</f>
        <v>– 20</v>
      </c>
      <c r="F487" s="509" t="str">
        <f ca="1">IF(G487="","",IF(OR(AND($C487&lt;&gt;" ",$C488=" "),AND($C488&lt;&gt;" ",$C487=" "),AND(L489&gt;0,OR(AND($C489&lt;&gt;" ",OR($C487=" ",$C488=" ")),AND($C489=" ",OR($C487&lt;&gt;" ",$C488&lt;&gt;" "))))),IF(SUM(F$4:F486)=0,1,LARGE(F$4:F486,1)+1),IF(MONTH(G487)=MONTH(TODAY()),IF(AND(DAY(G487)&lt;DAY(TODAY()),$B487=" "),IF(SUM(F$4:F486)=0,1,LARGE(F$4:F486,1)+1),IF($B487=" ",IF(AND(DAY(G487)=DAY(TODAY()),HOUR(G487)&lt;=HOUR(NOW())+1),IF(AND(HOUR(G487)+2&lt;=HOUR(NOW()),DAY(G487)&lt;=DAY(TODAY()),MINUTE(G487)&lt;=MINUTE(NOW())),IF(SUM(F$4:F486)=0,1,LARGE(F$4:F486,1)+1),IF(OR(MINUTE(G487)&lt;=MINUTE(NOW()),HOUR(G487)&lt;=HOUR(NOW())),"!!!","")),""),"")),"")))</f>
        <v/>
      </c>
      <c r="G487" s="482">
        <v>45001.708333333336</v>
      </c>
      <c r="H487" s="475" t="s">
        <v>197</v>
      </c>
      <c r="I487" s="94" t="s">
        <v>51</v>
      </c>
      <c r="J487" s="95">
        <v>4</v>
      </c>
      <c r="K487" s="96" t="s">
        <v>40</v>
      </c>
      <c r="L487" s="97">
        <v>1.97</v>
      </c>
      <c r="M487" s="98">
        <v>13.92</v>
      </c>
      <c r="N487" s="478">
        <v>0</v>
      </c>
      <c r="O487" s="99">
        <f>IF(OR(AE487="",AE488=""),"",ROUND(IF(L489&gt;0,IF(M487&gt;0,M487,IF(M488&gt;0,ROUND((M488*AE487)/AE488,IF(N487=0,2,IF(N487=0.1,1,0))),ROUND((M489*AE487)/AE489,IF(N487=0,2,IF(N487=0.1,1,0))))),IF(M487&gt;0,M487,ROUND((M488*AE487)/AE488,IF(N487=0,2,IF(N487=0.1,1,0))))),2))</f>
        <v>13.92</v>
      </c>
      <c r="P487" s="100">
        <f>IF(OR(L487="",O487=""),"",IF($C487="1/2W",O487/2+O487/2*L487,IF($C487="1/2L",O487/2,IF(I487="Lay",(O487*(L487/(L487-1))-O487)*(1-_xlfn.XLOOKUP(K487,'Fevereiro 2023 - Valor Real'!A3:A15,'Fevereiro 2023 - Valor Real'!C3:C15,0))+O487,(O487*L487-O487)*(1-_xlfn.XLOOKUP(K487,'Fevereiro 2023 - Valor Real'!A3:A15,'Fevereiro 2023 - Valor Real'!C3:C15,0))+O487))))</f>
        <v>27.4224</v>
      </c>
      <c r="Q487" s="101">
        <f>IF(K487="","",IF(_xlfn.XLOOKUP(K487,K$4:K486,$DJ$4:DJ486,0,,-1)=DJ487,_xlfn.XLOOKUP(K487,K$4:K486,Q$4:Q486,1,,-1)+1,1))</f>
        <v>5</v>
      </c>
      <c r="R487" s="102">
        <f>IF(K487="","",_xlfn.XLOOKUP(K487,K$4:K486,R$4:R486,0,,-1)+IF($C487=" ",1,0))</f>
        <v>0</v>
      </c>
      <c r="S487" s="474">
        <f>IF($B487="Anulado",0,ROUND(IF(OR($B487="LOSS",$B487="OK"),IF(OR($C487="W",$C487="1/2W",$C487="1/2L"),P487-O487,IF($C487="L",-O487,0))+IF(OR($C488="W",$C488="1/2W",$C488="1/2L"),P488-O488,IF($C488="L",-O488,0))+IF(OR($C489="W",$C489="1/2W",$C489="1/2L"),P489-O489,IF($C489="L",-O489,0)),IF(AND(OR($C487="W",$C487="1/2W",$C487="1/2L"),C488="W"),P487+P488-SUM(O487:O489)+_xlfn.XLOOKUP("X",C487:C489,O487:O489,0),IF(AND(C487=TRUE,C489="W"),P487+P489-SUM(O487:O489),IF(AND(C488="W",C489="W"),P488+P489-SUM(O487:O489)+_xlfn.XLOOKUP("X",C487:C489,O487:O489,0),IF(L489&gt;0,IF(OR($C487="W",$C487="1/2W",$C487="1/2L"),P487-SUM(O487:O489)+_xlfn.XLOOKUP("X",C487:C489,O487:O489,0),IF(OR($C487="W",$C487="1/2W",$C487="1/2L"),P488-SUM(O487:O489)+_xlfn.XLOOKUP("X",C487:C489,O487:O489,0),IF(OR($C487="W",$C487="1/2W",$C487="1/2L"),P489-SUM(O487:O489)+_xlfn.XLOOKUP("X",C487:C489,O487:O489,0),IF(SUM(P487:P489)/3-SUM(O487:O489)+_xlfn.XLOOKUP("X",C487:C489,O487:O489,0)&gt;0,SUM(P487:P489)/3-SUM(O487:O489)+_xlfn.XLOOKUP("X",C487:C489,O487:O489,0),LARGE(P487:P489,1)-SUM(O487:O489))))),IF(OR($C487="W",$C487="1/2W",$C487="1/2L"),P487-SUM(O487:O488)+_xlfn.XLOOKUP("X",C487:C489,O487:O489,0),IF(OR($C487="W",$C487="1/2W",$C487="1/2L"),P488-SUM(O487:O488)+_xlfn.XLOOKUP("X",C487:C489,O487:O489,0),SUM(P487:P488)/2-SUM(O487:O488)+_xlfn.XLOOKUP("X",C487:C489,O487:O489,0)))))))),2))</f>
        <v>1.1100000000000001</v>
      </c>
      <c r="T487" s="458">
        <f>IF(S487=0,0,S487/SUM(O487:O489))</f>
        <v>4.2189281641961236E-2</v>
      </c>
      <c r="U487" s="470">
        <f>IF($D487=$D484,IF(OR($B487="LOSS",$B487="OK",$B487="Anulada"),S487,0)+U484,IF(OR($B487="LOSS",$B487="OK",$B487="Anulada"),S487,0))</f>
        <v>58.45</v>
      </c>
      <c r="V487" s="470">
        <f>IF($D487="",0,IF($D487=$D484,IF($B487=" ",IF(I489="",IF(OR(AND(I487="DNB1",I488="DNB2"),AND(OR(I487="DNB1",I487="DNB2"),J488=0),AND(OR(I488="DNB1",I488="DNB2"),J487=0),AND(I487="DNB2",I488="DNB1"),AND(IF(J487=0,(J487+1)/ROUND(J487+1,0),J487/ROUND(J487,0))=1,IF(J488=0,(J488+1)/ROUND(IF(J488="",0,J488)+1,0),IF(J488="",0,J488)/ROUND(IF(J488="",1,J488),0))=1,OR(J487&lt;&gt;""),J488&lt;&gt;"")),0,IF(S487&lt;0,IF(I489="",SMALL(P487:P488,1)-SUM(O487:O488),0),SMALL(P487:P488,1)-SUM(O487:O488))),IF(S487&lt;0,IF(I489="",SMALL(P487:P489,1)-SUM(O487:O489),0),LARGE(P487:P489,1)-SUM(O487:O489))),S487)+V484,IF(I489="",IF(OR(AND(I487="DNB1",I488="DNB2"),AND(OR(I487="DNB1",I487="DNB2"),J488=0),AND(OR(I488="DNB1",I488="DNB2"),J487=0),AND(I487="DNB2",I488="DNB1"),AND(IF(J487=0,(J487+1)/ROUND(J487+1,0),J487/ROUND(J487,0))=1,IF(J488=0,(IF(J488="",0,J488)+1)/ROUND(IF(J488="",0,J488)+1,0),IF(J488="",0,J488)/ROUND(IF(J488="",0,J488)+1,0))=1,OR(J487&lt;&gt;""),J488&lt;&gt;"")),0,IF(S487&lt;0,IF(I489="",SMALL(P487:P488,1)-SUM(O487:O488),0),SMALL(P487:P489,1)-SUM(O487:O489))),IF(S487&lt;0,IF(I489="",SMALL(P487:P489,1)-SUM(O487:O489),0),LARGE(P487:P489,1)-SUM(O487:O489)))))</f>
        <v>58.436599999999999</v>
      </c>
      <c r="W487" s="470">
        <f>IF($D487=$D484,IF(S487&lt;0,IF(I489="",S487,0),S487)+W484,S487)</f>
        <v>58.45</v>
      </c>
      <c r="X487" s="480" t="str">
        <f>IF(OR(SUM(R487:R489)=0,V487=W487),ROUND(IF(W487=0,0,W487/Y487)*100,2)&amp;"%",ROUND(IF(V487=0,0,V487/Y487)*100,2)&amp;"% a "&amp;ROUND(IF(W487=0,0,W487/Y487)*100,2)&amp;"%")</f>
        <v>5,06%</v>
      </c>
      <c r="Y487" s="471">
        <f>IF($D487=$D484,Y484+SUM(O487:O489),SUM(O487:O489))</f>
        <v>1154.18</v>
      </c>
      <c r="Z487" s="470">
        <f>IF($B487=" ",SUM(O487:O489),0)+Z484</f>
        <v>0</v>
      </c>
      <c r="AA487" s="470">
        <f>IF(G487="","",IF($B487="Anulado",LARGE(P487:P489,1)-SUM(O487:O489)+AA484,AA484))</f>
        <v>12.425099999999992</v>
      </c>
      <c r="AB487" s="470">
        <f>IF($D487="","",AB484+S487)</f>
        <v>586.87000000000023</v>
      </c>
      <c r="AC487" s="472">
        <f ca="1">IF($D487="","",IF($B487=" ",IF(DAY(G487)=DAY(TODAY()),1+AC484,0+AC484),0+AC484))</f>
        <v>0</v>
      </c>
      <c r="AD487" s="103">
        <f>(((L488/(L488-1)-1)*(1-_xlfn.XLOOKUP(K488,'Fevereiro 2023 - Valor Real'!A3:A15,'Fevereiro 2023 - Valor Real'!C3:C15,0))+1))/(((L487-1)*(1-_xlfn.XLOOKUP(K487,'Fevereiro 2023 - Valor Real'!A3:A15,'Fevereiro 2023 - Valor Real'!C3:C15,0))+1)+((L488/(L488-1)-1)*(1-_xlfn.XLOOKUP(K488,'Fevereiro 2023 - Valor Real'!A3:A15,'Fevereiro 2023 - Valor Real'!C3:C15,0))+1))</f>
        <v>0.52977819176806185</v>
      </c>
      <c r="AE487" s="104">
        <f>IF(L487="","",IF(L489&gt;0,(SUM(((L487-1)*(1-_xlfn.XLOOKUP(K487,'Fevereiro 2023 - Valor Real'!A3:A15,'Fevereiro 2023 - Valor Real'!C3:C15,0))+1),((L488-1)*(1-_xlfn.XLOOKUP(K488,'Fevereiro 2023 - Valor Real'!A3:A15,'Fevereiro 2023 - Valor Real'!C3:C15,0))+1),((L489-1)*(1-_xlfn.XLOOKUP(K489,'Fevereiro 2023 - Valor Real'!A3:A15,'Fevereiro 2023 - Valor Real'!C3:C15,0))+1))/((L487-1)*(1-_xlfn.XLOOKUP(K487,'Fevereiro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Real'!C3:C15,0))+1))/((L487-1)*(1-_xlfn.XLOOKUP(K487,'Fevereiro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Real'!C3:C15,0))+1))/((L488-1)*(1-_xlfn.XLOOKUP(K488,'Fevereiro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Real'!C3:C15,0))+1))/((L489-1)*(1-_xlfn.XLOOKUP(K489,'Fevereiro 2023 - Valor Real'!A3:A15,'Fevereiro 2023 - Valor Real'!C3:C15,0))+1)),IF(I487="Lay",IF(I488="Lay",((L488/(L488-1)-1)*(1-_xlfn.XLOOKUP(K488,'Fevereiro 2023 - Valor Real'!A3:A15,'Fevereiro 2023 - Valor Real'!C3:C15,0))+1)/(((L488/(L488-1)-1)*(1-_xlfn.XLOOKUP(K488,'Fevereiro 2023 - Valor Real'!A3:A15,'Fevereiro 2023 - Valor Real'!C3:C15,0))+1)+((L487/(L487-1)-1)*(1-_xlfn.XLOOKUP(K487,'Fevereiro 2023 - Valor Real'!A3:A15,'Fevereiro 2023 - Valor Real'!C3:C15,0))+1)),((L488-1)*(1-_xlfn.XLOOKUP(K488,'Fevereiro 2023 - Valor Real'!A3:A15,'Fevereiro 2023 - Valor Real'!C3:C15,0))+1)/(((L488-1)*(1-_xlfn.XLOOKUP(K488,'Fevereiro 2023 - Valor Real'!A3:A15,'Fevereiro 2023 - Valor Real'!C3:C15,0))+1)+((L487/(L487-1)-1)*(1-_xlfn.XLOOKUP(K487,'Fevereiro 2023 - Valor Real'!A3:A15,'Fevereiro 2023 - Valor Real'!C3:C15,0))+1))),IF(I488="Lay",(((L488/(L488-1)-1)*(1-_xlfn.XLOOKUP(K488,'Fevereiro 2023 - Valor Real'!A3:A15,'Fevereiro 2023 - Valor Real'!C3:C15,0))+1))/(((L487-1)*(1-_xlfn.XLOOKUP(K487,'Fevereiro 2023 - Valor Real'!A3:A15,'Fevereiro 2023 - Valor Real'!C3:C15,0))+1)+((L488/(L488-1)-1)*(1-_xlfn.XLOOKUP(K488,'Fevereiro 2023 - Valor Real'!A3:A15,'Fevereiro 2023 - Valor Real'!C3:C15,0))+1)),((L488-1)*(1-_xlfn.XLOOKUP(K488,'Fevereiro 2023 - Valor Real'!A3:A15,'Fevereiro 2023 - Valor Real'!C3:C15,0))+1)/(((L488-1)*(1-_xlfn.XLOOKUP(K488,'Fevereiro 2023 - Valor Real'!A3:A15,'Fevereiro 2023 - Valor Real'!C3:C15,0))+1)+((L487-1)*(1-_xlfn.XLOOKUP(K487,'Fevereiro 2023 - Valor Real'!A3:A15,'Fevereiro 2023 - Valor Real'!C3:C15,0))+1))))))</f>
        <v>0.35893896065476777</v>
      </c>
      <c r="AF487" s="105">
        <f t="shared" si="976"/>
        <v>0</v>
      </c>
      <c r="AG487" s="106">
        <f t="shared" si="976"/>
        <v>0</v>
      </c>
      <c r="AH487" s="106">
        <f t="shared" si="976"/>
        <v>0</v>
      </c>
      <c r="AI487" s="106">
        <f t="shared" si="976"/>
        <v>0</v>
      </c>
      <c r="AJ487" s="106">
        <f t="shared" si="976"/>
        <v>-13.92</v>
      </c>
      <c r="AK487" s="106">
        <f t="shared" si="976"/>
        <v>0</v>
      </c>
      <c r="AL487" s="106">
        <f t="shared" si="976"/>
        <v>0</v>
      </c>
      <c r="AM487" s="106">
        <f t="shared" si="976"/>
        <v>0</v>
      </c>
      <c r="AN487" s="106">
        <f t="shared" si="976"/>
        <v>0</v>
      </c>
      <c r="AO487" s="106">
        <f t="shared" si="976"/>
        <v>0</v>
      </c>
      <c r="AP487" s="106">
        <f t="shared" si="976"/>
        <v>0</v>
      </c>
      <c r="AQ487" s="106">
        <f t="shared" si="976"/>
        <v>0</v>
      </c>
      <c r="AR487" s="107">
        <f t="shared" si="976"/>
        <v>0</v>
      </c>
      <c r="AS487" s="105">
        <f t="shared" ref="AS487:BE487" si="982">IF(AND($B487=" ",$K487=AS$3),$O487,0)</f>
        <v>0</v>
      </c>
      <c r="AT487" s="106">
        <f t="shared" si="982"/>
        <v>0</v>
      </c>
      <c r="AU487" s="106">
        <f t="shared" si="982"/>
        <v>0</v>
      </c>
      <c r="AV487" s="106">
        <f t="shared" si="982"/>
        <v>0</v>
      </c>
      <c r="AW487" s="106">
        <f t="shared" si="982"/>
        <v>0</v>
      </c>
      <c r="AX487" s="106">
        <f t="shared" si="982"/>
        <v>0</v>
      </c>
      <c r="AY487" s="108">
        <f t="shared" si="982"/>
        <v>0</v>
      </c>
      <c r="AZ487" s="109">
        <f t="shared" si="982"/>
        <v>0</v>
      </c>
      <c r="BA487" s="109">
        <f t="shared" si="982"/>
        <v>0</v>
      </c>
      <c r="BB487" s="109">
        <f t="shared" si="982"/>
        <v>0</v>
      </c>
      <c r="BC487" s="110">
        <f t="shared" si="982"/>
        <v>0</v>
      </c>
      <c r="BD487" s="106">
        <f t="shared" si="982"/>
        <v>0</v>
      </c>
      <c r="BE487" s="107">
        <f t="shared" si="982"/>
        <v>0</v>
      </c>
      <c r="BF487" s="111">
        <f t="shared" si="978"/>
        <v>0</v>
      </c>
      <c r="BG487" s="106">
        <f t="shared" si="978"/>
        <v>0</v>
      </c>
      <c r="BH487" s="106">
        <f t="shared" si="978"/>
        <v>0</v>
      </c>
      <c r="BI487" s="106">
        <f t="shared" si="978"/>
        <v>0</v>
      </c>
      <c r="BJ487" s="106">
        <f t="shared" si="978"/>
        <v>13.92</v>
      </c>
      <c r="BK487" s="106">
        <f t="shared" si="978"/>
        <v>0</v>
      </c>
      <c r="BL487" s="106">
        <f t="shared" si="978"/>
        <v>0</v>
      </c>
      <c r="BM487" s="108">
        <f t="shared" si="978"/>
        <v>0</v>
      </c>
      <c r="BN487" s="109">
        <f t="shared" si="978"/>
        <v>0</v>
      </c>
      <c r="BO487" s="109">
        <f t="shared" si="978"/>
        <v>0</v>
      </c>
      <c r="BP487" s="109">
        <f t="shared" si="978"/>
        <v>0</v>
      </c>
      <c r="BQ487" s="110">
        <f t="shared" si="978"/>
        <v>0</v>
      </c>
      <c r="BR487" s="107">
        <f t="shared" si="978"/>
        <v>0</v>
      </c>
      <c r="BS487" s="463">
        <f>IF($B487="LOSS",IF(AND($K487=BS$3,$C487="L"),-$O487,0)+IF(AND($K488=BS$3,$C488="L"),-$O488,0)+IF(AND($K489=BS$3,$C489="L"),-$O489,0),IF(OR(AND($K487=BS$3,OR($C487="W",$C487="1/2W")),AND($K488=BS$3,OR($C488="W",$C488="1/2W")),AND($K489=BS$3,OR($C489="W",$C489="1/2W"))),$S487,0))</f>
        <v>0</v>
      </c>
      <c r="BT487" s="462">
        <f>IF($B487="LOSS",IF(AND($K487=BT$3,$C487="L"),-$O487,0)+IF(AND($K488=BT$3,$C488="L"),-$O488,0)+IF(AND($K488=BT$3,$C489="L"),-$O489,0),IF(OR(AND($K488=BT$3,OR($C487="W",$C487="1/2W")),AND($K488=BT$3,OR($C488="W",$C488="1/2W")),AND($K488=BT$3,OR($C489="W",$C489="1/2W"))),$S487,0))</f>
        <v>1.1100000000000001</v>
      </c>
      <c r="BU487" s="462">
        <f>IF($B487="LOSS",IF(AND($K487=BU$3,$C487="L"),-$O487,0)+IF(AND($K488=BU$3,$C488="L"),-$O488,0)+IF(AND($K488=BU$3,$C489="L"),-$O489,0),IF(OR(AND($K488=BU$3,OR($C487="W",$C487="1/2W")),AND($K488=BU$3,OR($C488="W",$C488="1/2W")),AND($K488=BU$3,OR($C489="W",$C489="1/2W"))),$S487,0))</f>
        <v>0</v>
      </c>
      <c r="BV487" s="462">
        <f t="shared" ref="BV487:CE487" si="983">IF($B487="LOSS",IF(AND($K487=BV$3,$C487="L"),-$O487,0)+IF(AND($K488=BV$3,$C488="L"),-$O488,0)+IF(AND($K489=BV$3,$C489="L"),-$O489,0),IF(OR(AND($K487=BV$3,OR($C487="W",$C487="1/2W")),AND($K488=BV$3,OR($C488="W",$C488="1/2W")),AND($K489=BV$3,OR($C489="W",$C489="1/2W"))),$S487,0))</f>
        <v>0</v>
      </c>
      <c r="BW487" s="462">
        <f t="shared" si="983"/>
        <v>0</v>
      </c>
      <c r="BX487" s="462">
        <f t="shared" si="983"/>
        <v>0</v>
      </c>
      <c r="BY487" s="462">
        <f t="shared" si="983"/>
        <v>0</v>
      </c>
      <c r="BZ487" s="460">
        <f t="shared" si="983"/>
        <v>0</v>
      </c>
      <c r="CA487" s="460">
        <f t="shared" si="983"/>
        <v>0</v>
      </c>
      <c r="CB487" s="460">
        <f t="shared" si="983"/>
        <v>0</v>
      </c>
      <c r="CC487" s="460">
        <f t="shared" si="983"/>
        <v>0</v>
      </c>
      <c r="CD487" s="473">
        <f t="shared" si="983"/>
        <v>0</v>
      </c>
      <c r="CE487" s="479">
        <f t="shared" si="983"/>
        <v>0</v>
      </c>
      <c r="CF487" s="113">
        <f t="shared" si="899"/>
        <v>0</v>
      </c>
      <c r="CG487" s="114">
        <f t="shared" si="900"/>
        <v>0</v>
      </c>
      <c r="CH487" s="114">
        <f t="shared" si="901"/>
        <v>0</v>
      </c>
      <c r="CI487" s="114">
        <f t="shared" si="902"/>
        <v>0</v>
      </c>
      <c r="CJ487" s="114">
        <f t="shared" si="903"/>
        <v>0</v>
      </c>
      <c r="CK487" s="114">
        <f t="shared" si="904"/>
        <v>0</v>
      </c>
      <c r="CL487" s="114">
        <f t="shared" si="905"/>
        <v>0</v>
      </c>
      <c r="CM487" s="114">
        <f t="shared" si="906"/>
        <v>0</v>
      </c>
      <c r="CN487" s="114">
        <f t="shared" si="907"/>
        <v>0</v>
      </c>
      <c r="CO487" s="114">
        <f t="shared" si="908"/>
        <v>1</v>
      </c>
      <c r="CP487" s="114">
        <f t="shared" si="909"/>
        <v>0</v>
      </c>
      <c r="CQ487" s="114">
        <f t="shared" si="910"/>
        <v>0</v>
      </c>
      <c r="CR487" s="114">
        <f t="shared" si="911"/>
        <v>0</v>
      </c>
      <c r="CS487" s="114">
        <f t="shared" si="912"/>
        <v>0</v>
      </c>
      <c r="CT487" s="115">
        <f t="shared" si="913"/>
        <v>0</v>
      </c>
      <c r="CU487" s="116">
        <f t="shared" si="914"/>
        <v>0</v>
      </c>
      <c r="CV487" s="116">
        <f t="shared" si="915"/>
        <v>0</v>
      </c>
      <c r="CW487" s="116">
        <f t="shared" si="916"/>
        <v>0</v>
      </c>
      <c r="CX487" s="116">
        <f t="shared" si="917"/>
        <v>0</v>
      </c>
      <c r="CY487" s="116">
        <f t="shared" si="918"/>
        <v>0</v>
      </c>
      <c r="CZ487" s="116">
        <f t="shared" si="919"/>
        <v>0</v>
      </c>
      <c r="DA487" s="116">
        <f t="shared" si="920"/>
        <v>0</v>
      </c>
      <c r="DB487" s="116">
        <f t="shared" si="921"/>
        <v>0</v>
      </c>
      <c r="DC487" s="116">
        <f t="shared" si="922"/>
        <v>0</v>
      </c>
      <c r="DD487" s="116">
        <f t="shared" si="923"/>
        <v>0</v>
      </c>
      <c r="DE487" s="117">
        <f t="shared" si="924"/>
        <v>0</v>
      </c>
      <c r="DF487" s="118">
        <f t="shared" si="926"/>
        <v>33</v>
      </c>
      <c r="DG487" s="106">
        <f t="shared" si="927"/>
        <v>43.031999999999989</v>
      </c>
      <c r="DH487" s="116">
        <f t="shared" si="928"/>
        <v>11</v>
      </c>
      <c r="DI487" s="106">
        <f t="shared" si="929"/>
        <v>45.699999999999996</v>
      </c>
      <c r="DJ487" s="201" t="str">
        <f>IF($D487="","",$D487)</f>
        <v>15</v>
      </c>
      <c r="DK487" s="465">
        <f>IF(AND($B487=" ",$D487&lt;&gt;""),1,0)</f>
        <v>0</v>
      </c>
    </row>
    <row r="488" spans="1:115" ht="14.5" customHeight="1" x14ac:dyDescent="0.2">
      <c r="A488" s="389"/>
      <c r="B488" s="456"/>
      <c r="C488" s="120" t="s">
        <v>54</v>
      </c>
      <c r="D488" s="374"/>
      <c r="E488" s="386"/>
      <c r="F488" s="377"/>
      <c r="G488" s="483"/>
      <c r="H488" s="476"/>
      <c r="I488" s="121" t="s">
        <v>52</v>
      </c>
      <c r="J488" s="122">
        <v>4.5</v>
      </c>
      <c r="K488" s="123" t="s">
        <v>37</v>
      </c>
      <c r="L488" s="124">
        <v>1.82</v>
      </c>
      <c r="M488" s="125">
        <v>7.42</v>
      </c>
      <c r="N488" s="406"/>
      <c r="O488" s="126">
        <f>IF(OR(AE487="",AE488=""),"",ROUND(IF(L489&gt;0,IF(M488&gt;0,M488,IF(M487&gt;0,IF(N487=TRUE,ROUND((M487*AE488)/AE487,0),(M487*AE488)/AE487),IF(M488&gt;0,ROUND(M488,IF(N487=0,2,IF(N487=0.1,1,0))),IF(M489&gt;0,ROUND(O489*AE488/AE489,IF(N487=0,2,IF(N487=0.1,1,0))),0)))),IF(M488&gt;0,M488,ROUND((M487*AE488)/AE487,IF(N487=0,2,IF(N487=0.1,1,0))))),2))</f>
        <v>7.42</v>
      </c>
      <c r="P488" s="127">
        <f>IF(OR(L488="",O488=""),"",IF($C488="1/2W",O488/2+O488/2*L488,IF($C488="1/2L",O488/2,IF(I488="Lay",((O488*(L488/(L488-1)))-O488)*(1-_xlfn.XLOOKUP(K488,'Fevereiro 2023 - Valor Real'!A3:A15,'Fevereiro 2023 - Valor Real'!C3:C15,0))+O488,(O488*L488-O488)*(1-_xlfn.XLOOKUP(K488,'Fevereiro 2023 - Valor Real'!A3:A15,'Fevereiro 2023 - Valor Real'!C3:C15,0))+O488))))</f>
        <v>13.5044</v>
      </c>
      <c r="Q488" s="128">
        <f>IF(K488="","",IF(_xlfn.XLOOKUP(K488,K$4:K487,$DJ$4:DJ487,0,,-1)=DJ488,_xlfn.XLOOKUP(K488,K$4:K487,Q$4:Q487,1,,-1)+1,1))</f>
        <v>7</v>
      </c>
      <c r="R488" s="129">
        <f>IF(K488="","",_xlfn.XLOOKUP(K488,K$4:K487,R$4:R487,0,,-1)+IF($C488=" ",1,0))</f>
        <v>0</v>
      </c>
      <c r="S488" s="403"/>
      <c r="T488" s="380"/>
      <c r="U488" s="380"/>
      <c r="V488" s="481"/>
      <c r="W488" s="380"/>
      <c r="X488" s="452"/>
      <c r="Y488" s="383"/>
      <c r="Z488" s="384"/>
      <c r="AA488" s="384"/>
      <c r="AB488" s="384"/>
      <c r="AC488" s="384"/>
      <c r="AD488" s="130">
        <f>(((L488/(L488-1)-1)*(1-_xlfn.XLOOKUP(K488,'Fevereiro 2023 - Valor Real'!A3:A15,'Fevereiro 2023 - Valor Real'!C3:C15,0))+1))</f>
        <v>2.219512195121951</v>
      </c>
      <c r="AE488" s="131">
        <f>IF(L488="","",IF(L489&gt;0,(SUM(((L487-1)*(1-_xlfn.XLOOKUP(K487,'Fevereiro 2023 - Valor Real'!A3:A15,'Fevereiro 2023 - Valor Real'!C3:C15,0))+1),((L488-1)*(1-_xlfn.XLOOKUP(K488,'Fevereiro 2023 - Valor Real'!A3:A15,'Fevereiro 2023 - Valor Real'!C3:C15,0))+1),((L489-1)*(1-_xlfn.XLOOKUP(K489,'Fevereiro 2023 - Valor Real'!A3:A15,'Fevereiro 2023 - Valor Real'!C3:C15,0))+1))/((L488-1)*(1-_xlfn.XLOOKUP(K488,'Fevereiro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Real'!C3:C15,0))+1))/((L487-1)*(1-_xlfn.XLOOKUP(K487,'Fevereiro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Real'!C3:C15,0))+1))/((L488-1)*(1-_xlfn.XLOOKUP(K488,'Fevereiro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Real'!C3:C15,0))+1))/((L489-1)*(1-_xlfn.XLOOKUP(K489,'Fevereiro 2023 - Valor Real'!A3:A15,'Fevereiro 2023 - Valor Real'!C3:C15,0))+1)),IF(I488="Lay",IF(I487="Lay",((L487/(L487-1)-1)*(1-_xlfn.XLOOKUP(K487,'Fevereiro 2023 - Valor Real'!A3:A15,'Fevereiro 2023 - Valor Real'!C3:C15,0))+1)/(((L487/(L487-1)-1)*(1-_xlfn.XLOOKUP(K487,'Fevereiro 2023 - Valor Real'!A3:A15,'Fevereiro 2023 - Valor Real'!C3:C15,0))+1)+((L488/(L488-1)-1)*(1-_xlfn.XLOOKUP(K488,'Fevereiro 2023 - Valor Real'!A3:A15,'Fevereiro 2023 - Valor Real'!C3:C15,0))+1)),((L487-1)*(1-_xlfn.XLOOKUP(K487,'Fevereiro 2023 - Valor Real'!A3:A15,'Fevereiro 2023 - Valor Real'!C3:C15,0))+1)/(((L487-1)*(1-_xlfn.XLOOKUP(K487,'Fevereiro 2023 - Valor Real'!A3:A15,'Fevereiro 2023 - Valor Real'!C3:C15,0))+1)+((L488/(L488-1)-1)*(1-_xlfn.XLOOKUP(K488,'Fevereiro 2023 - Valor Real'!A3:A15,'Fevereiro 2023 - Valor Real'!C3:C15,0))+1))),IF(I487="Lay",((L487/(L487-1)-1)*(1-_xlfn.XLOOKUP(K487,'Fevereiro 2023 - Valor Real'!A3:A15,'Fevereiro 2023 - Valor Real'!C3:C15,0))+1)/((((L487/(L487-1)-1)*(1-_xlfn.XLOOKUP(K487,'Fevereiro 2023 - Valor Real'!A3:A15,'Fevereiro 2023 - Valor Real'!C3:C15,0))+1))+((L488-1)*(1-_xlfn.XLOOKUP(K488,'Fevereiro 2023 - Valor Real'!A3:A15,'Fevereiro 2023 - Valor Real'!C3:C15,0))+1)),((L487-1)*(1-_xlfn.XLOOKUP(K487,'Fevereiro 2023 - Valor Real'!A3:A15,'Fevereiro 2023 - Valor Real'!C3:C15,0))+1)/(((L487-1)*(1-_xlfn.XLOOKUP(K487,'Fevereiro 2023 - Valor Real'!A3:A15,'Fevereiro 2023 - Valor Real'!C3:C15,0))+1)+((L488-1)*(1-_xlfn.XLOOKUP(K488,'Fevereiro 2023 - Valor Real'!A3:A15,'Fevereiro 2023 - Valor Real'!C3:C15,0))+1))))))</f>
        <v>0.38852184202741347</v>
      </c>
      <c r="AF488" s="105">
        <f t="shared" si="976"/>
        <v>0</v>
      </c>
      <c r="AG488" s="106">
        <f t="shared" si="976"/>
        <v>6.08</v>
      </c>
      <c r="AH488" s="106">
        <f t="shared" si="976"/>
        <v>0</v>
      </c>
      <c r="AI488" s="106">
        <f t="shared" si="976"/>
        <v>0</v>
      </c>
      <c r="AJ488" s="106">
        <f t="shared" si="976"/>
        <v>0</v>
      </c>
      <c r="AK488" s="106">
        <f t="shared" si="976"/>
        <v>0</v>
      </c>
      <c r="AL488" s="106">
        <f t="shared" si="976"/>
        <v>0</v>
      </c>
      <c r="AM488" s="106">
        <f t="shared" si="976"/>
        <v>0</v>
      </c>
      <c r="AN488" s="106">
        <f t="shared" si="976"/>
        <v>0</v>
      </c>
      <c r="AO488" s="106">
        <f t="shared" si="976"/>
        <v>0</v>
      </c>
      <c r="AP488" s="106">
        <f t="shared" si="976"/>
        <v>0</v>
      </c>
      <c r="AQ488" s="106">
        <f t="shared" si="976"/>
        <v>0</v>
      </c>
      <c r="AR488" s="107">
        <f t="shared" si="976"/>
        <v>0</v>
      </c>
      <c r="AS488" s="105">
        <f>IF(AND($B487=" ",$K488=AS$3),$O488,0)</f>
        <v>0</v>
      </c>
      <c r="AT488" s="106">
        <f>IF(AND($B487=" ",K488=AT$3),$O488,0)</f>
        <v>0</v>
      </c>
      <c r="AU488" s="106">
        <f t="shared" ref="AU488:BE488" si="984">IF(AND($B487=" ",$K488=AU$3),$O488,0)</f>
        <v>0</v>
      </c>
      <c r="AV488" s="106">
        <f t="shared" si="984"/>
        <v>0</v>
      </c>
      <c r="AW488" s="106">
        <f t="shared" si="984"/>
        <v>0</v>
      </c>
      <c r="AX488" s="106">
        <f t="shared" si="984"/>
        <v>0</v>
      </c>
      <c r="AY488" s="108">
        <f t="shared" si="984"/>
        <v>0</v>
      </c>
      <c r="AZ488" s="109">
        <f t="shared" si="984"/>
        <v>0</v>
      </c>
      <c r="BA488" s="109">
        <f t="shared" si="984"/>
        <v>0</v>
      </c>
      <c r="BB488" s="109">
        <f t="shared" si="984"/>
        <v>0</v>
      </c>
      <c r="BC488" s="110">
        <f t="shared" si="984"/>
        <v>0</v>
      </c>
      <c r="BD488" s="106">
        <f t="shared" si="984"/>
        <v>0</v>
      </c>
      <c r="BE488" s="107">
        <f t="shared" si="984"/>
        <v>0</v>
      </c>
      <c r="BF488" s="105">
        <f t="shared" si="978"/>
        <v>0</v>
      </c>
      <c r="BG488" s="106">
        <f t="shared" si="978"/>
        <v>7.42</v>
      </c>
      <c r="BH488" s="106">
        <f t="shared" si="978"/>
        <v>0</v>
      </c>
      <c r="BI488" s="106">
        <f t="shared" si="978"/>
        <v>0</v>
      </c>
      <c r="BJ488" s="106">
        <f t="shared" si="978"/>
        <v>0</v>
      </c>
      <c r="BK488" s="106">
        <f t="shared" si="978"/>
        <v>0</v>
      </c>
      <c r="BL488" s="106">
        <f t="shared" si="978"/>
        <v>0</v>
      </c>
      <c r="BM488" s="132">
        <f t="shared" si="978"/>
        <v>0</v>
      </c>
      <c r="BN488" s="112">
        <f t="shared" si="978"/>
        <v>0</v>
      </c>
      <c r="BO488" s="112">
        <f t="shared" si="978"/>
        <v>0</v>
      </c>
      <c r="BP488" s="112">
        <f t="shared" si="978"/>
        <v>0</v>
      </c>
      <c r="BQ488" s="110">
        <f t="shared" si="978"/>
        <v>0</v>
      </c>
      <c r="BR488" s="107">
        <f t="shared" si="978"/>
        <v>0</v>
      </c>
      <c r="BS488" s="464"/>
      <c r="BT488" s="461"/>
      <c r="BU488" s="392"/>
      <c r="BV488" s="461"/>
      <c r="BW488" s="392"/>
      <c r="BX488" s="392"/>
      <c r="BY488" s="392"/>
      <c r="BZ488" s="461"/>
      <c r="CA488" s="392"/>
      <c r="CB488" s="392"/>
      <c r="CC488" s="392"/>
      <c r="CD488" s="401"/>
      <c r="CE488" s="409"/>
      <c r="CF488" s="133">
        <f t="shared" si="899"/>
        <v>0</v>
      </c>
      <c r="CG488" s="134">
        <f t="shared" si="900"/>
        <v>0</v>
      </c>
      <c r="CH488" s="134">
        <f t="shared" si="901"/>
        <v>1</v>
      </c>
      <c r="CI488" s="134">
        <f t="shared" si="902"/>
        <v>0</v>
      </c>
      <c r="CJ488" s="134">
        <f t="shared" si="903"/>
        <v>0</v>
      </c>
      <c r="CK488" s="134">
        <f t="shared" si="904"/>
        <v>0</v>
      </c>
      <c r="CL488" s="134">
        <f t="shared" si="905"/>
        <v>0</v>
      </c>
      <c r="CM488" s="134">
        <f t="shared" si="906"/>
        <v>0</v>
      </c>
      <c r="CN488" s="134">
        <f t="shared" si="907"/>
        <v>0</v>
      </c>
      <c r="CO488" s="134">
        <f t="shared" si="908"/>
        <v>0</v>
      </c>
      <c r="CP488" s="134">
        <f t="shared" si="909"/>
        <v>0</v>
      </c>
      <c r="CQ488" s="134">
        <f t="shared" si="910"/>
        <v>0</v>
      </c>
      <c r="CR488" s="134">
        <f t="shared" si="911"/>
        <v>0</v>
      </c>
      <c r="CS488" s="134">
        <f t="shared" si="912"/>
        <v>0</v>
      </c>
      <c r="CT488" s="115">
        <f t="shared" si="913"/>
        <v>0</v>
      </c>
      <c r="CU488" s="116">
        <f t="shared" si="914"/>
        <v>0</v>
      </c>
      <c r="CV488" s="116">
        <f t="shared" si="915"/>
        <v>0</v>
      </c>
      <c r="CW488" s="116">
        <f t="shared" si="916"/>
        <v>0</v>
      </c>
      <c r="CX488" s="116">
        <f t="shared" si="917"/>
        <v>0</v>
      </c>
      <c r="CY488" s="116">
        <f t="shared" si="918"/>
        <v>0</v>
      </c>
      <c r="CZ488" s="116">
        <f t="shared" si="919"/>
        <v>0</v>
      </c>
      <c r="DA488" s="116">
        <f t="shared" si="920"/>
        <v>0</v>
      </c>
      <c r="DB488" s="116">
        <f t="shared" si="921"/>
        <v>0</v>
      </c>
      <c r="DC488" s="116">
        <f t="shared" si="922"/>
        <v>0</v>
      </c>
      <c r="DD488" s="116">
        <f t="shared" si="923"/>
        <v>0</v>
      </c>
      <c r="DE488" s="117">
        <f t="shared" si="924"/>
        <v>0</v>
      </c>
      <c r="DF488" s="118">
        <f t="shared" si="926"/>
        <v>33</v>
      </c>
      <c r="DG488" s="106">
        <f t="shared" si="927"/>
        <v>43.031999999999989</v>
      </c>
      <c r="DH488" s="116">
        <f t="shared" si="928"/>
        <v>11</v>
      </c>
      <c r="DI488" s="106">
        <f t="shared" si="929"/>
        <v>45.699999999999996</v>
      </c>
      <c r="DJ488" s="201" t="str">
        <f>IF($D487="","",$D487)</f>
        <v>15</v>
      </c>
      <c r="DK488" s="466"/>
    </row>
    <row r="489" spans="1:115" ht="14.5" customHeight="1" x14ac:dyDescent="0.2">
      <c r="A489" s="390"/>
      <c r="B489" s="457"/>
      <c r="C489" s="135" t="s">
        <v>54</v>
      </c>
      <c r="D489" s="375"/>
      <c r="E489" s="387"/>
      <c r="F489" s="378"/>
      <c r="G489" s="484"/>
      <c r="H489" s="477"/>
      <c r="I489" s="203" t="s">
        <v>52</v>
      </c>
      <c r="J489" s="204">
        <v>3.5</v>
      </c>
      <c r="K489" s="193" t="s">
        <v>37</v>
      </c>
      <c r="L489" s="194">
        <v>2.8</v>
      </c>
      <c r="M489" s="140">
        <v>4.97</v>
      </c>
      <c r="N489" s="407"/>
      <c r="O489" s="195">
        <f>IF(OR(AE487="",AE488=""),"",IF(L489&gt;0,ROUND(IF(M489&gt;0,M489,IF(M487&gt;0,ROUND((M487*AE489)/AE487,IF(N487=0,2,IF(N487=0.1,1,0))),IF(M488&gt;0,ROUND((M488*AE489)/AE488,IF(N487=0,2,IF(N487=0.1,1,0))),IF(M489&gt;0,M489,0)))),2),""))</f>
        <v>4.97</v>
      </c>
      <c r="P489" s="196">
        <f>IF(I488="Lay",O488*(L488/(L488-1))-O488,IF(I487="Lay",O487*(L487/(L487-1))-O487,IF(OR(L489="",O489=""),"",IF($C489="1/2W",O489/2+O489/2*L489,IF($C489="1/2L",O489/2,(O489*L489-O489)*(1-_xlfn.XLOOKUP(K489,'Fevereiro 2023 - Valor Real'!A3:A15,'Fevereiro 2023 - Valor Real'!C3:C15,0))+O489)))))</f>
        <v>13.915999999999997</v>
      </c>
      <c r="Q489" s="197">
        <f>IF(K489="","",IF(_xlfn.XLOOKUP(K489,K$4:K488,$DJ$4:DJ488,0,,-1)=DJ489,_xlfn.XLOOKUP(K489,K$4:K488,Q$4:Q488,1,,-1)+1,1))</f>
        <v>8</v>
      </c>
      <c r="R489" s="198">
        <f>IF(K489="","",_xlfn.XLOOKUP(K489,K$4:K488,R$4:R488,0,,-1)+IF($C489=" ",1,0))</f>
        <v>0</v>
      </c>
      <c r="S489" s="404"/>
      <c r="T489" s="378"/>
      <c r="U489" s="378"/>
      <c r="V489" s="404"/>
      <c r="W489" s="378"/>
      <c r="X489" s="453"/>
      <c r="Y489" s="383"/>
      <c r="Z489" s="384"/>
      <c r="AA489" s="384"/>
      <c r="AB489" s="384"/>
      <c r="AC489" s="384"/>
      <c r="AD489" s="145">
        <f>((L488/(L488-1)-1))</f>
        <v>1.219512195121951</v>
      </c>
      <c r="AE489" s="199">
        <f>IF(L489="","",(SUM(((L487-1)*(1-_xlfn.XLOOKUP(K487,'Fevereiro 2023 - Valor Real'!A3:A15,'Fevereiro 2023 - Valor Real'!C3:C15,0))+1),((L488-1)*(1-_xlfn.XLOOKUP(K488,'Fevereiro 2023 - Valor Real'!A3:A15,'Fevereiro 2023 - Valor Real'!C3:C15,0))+1),((L489-1)*(1-_xlfn.XLOOKUP(K489,'Fevereiro 2023 - Valor Real'!A3:A15,'Fevereiro 2023 - Valor Real'!C3:C15,0))+1))/((L489-1)*(1-_xlfn.XLOOKUP(K489,'Fevereiro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Real'!C3:C15,0))+1))/((L487-1)*(1-_xlfn.XLOOKUP(K487,'Fevereiro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Real'!C3:C15,0))+1))/((L488-1)*(1-_xlfn.XLOOKUP(K488,'Fevereiro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Real'!C3:C15,0))+1))/((L489-1)*(1-_xlfn.XLOOKUP(K489,'Fevereiro 2023 - Valor Real'!A3:A15,'Fevereiro 2023 - Valor Real'!C3:C15,0))+1)))</f>
        <v>0.25253919731781876</v>
      </c>
      <c r="AF489" s="105">
        <f t="shared" si="976"/>
        <v>0</v>
      </c>
      <c r="AG489" s="106">
        <f t="shared" si="976"/>
        <v>8.9499999999999993</v>
      </c>
      <c r="AH489" s="106">
        <f t="shared" si="976"/>
        <v>0</v>
      </c>
      <c r="AI489" s="106">
        <f t="shared" si="976"/>
        <v>0</v>
      </c>
      <c r="AJ489" s="106">
        <f t="shared" si="976"/>
        <v>0</v>
      </c>
      <c r="AK489" s="106">
        <f t="shared" si="976"/>
        <v>0</v>
      </c>
      <c r="AL489" s="106">
        <f t="shared" si="976"/>
        <v>0</v>
      </c>
      <c r="AM489" s="106">
        <f t="shared" si="976"/>
        <v>0</v>
      </c>
      <c r="AN489" s="106">
        <f t="shared" si="976"/>
        <v>0</v>
      </c>
      <c r="AO489" s="106">
        <f t="shared" si="976"/>
        <v>0</v>
      </c>
      <c r="AP489" s="106">
        <f t="shared" si="976"/>
        <v>0</v>
      </c>
      <c r="AQ489" s="106">
        <f t="shared" si="976"/>
        <v>0</v>
      </c>
      <c r="AR489" s="107">
        <f t="shared" si="976"/>
        <v>0</v>
      </c>
      <c r="AS489" s="105">
        <f>IF(AND($B487=" ",$K489=AS$3),$O489,0)</f>
        <v>0</v>
      </c>
      <c r="AT489" s="106">
        <f>IF(AND($B487=" ",K489=AT$3),$O489,0)</f>
        <v>0</v>
      </c>
      <c r="AU489" s="106">
        <f t="shared" ref="AU489:BE489" si="985">IF(AND($B487=" ",$K489=AU$3),$O489,0)</f>
        <v>0</v>
      </c>
      <c r="AV489" s="106">
        <f t="shared" si="985"/>
        <v>0</v>
      </c>
      <c r="AW489" s="106">
        <f t="shared" si="985"/>
        <v>0</v>
      </c>
      <c r="AX489" s="106">
        <f t="shared" si="985"/>
        <v>0</v>
      </c>
      <c r="AY489" s="108">
        <f t="shared" si="985"/>
        <v>0</v>
      </c>
      <c r="AZ489" s="109">
        <f t="shared" si="985"/>
        <v>0</v>
      </c>
      <c r="BA489" s="109">
        <f t="shared" si="985"/>
        <v>0</v>
      </c>
      <c r="BB489" s="109">
        <f t="shared" si="985"/>
        <v>0</v>
      </c>
      <c r="BC489" s="110">
        <f t="shared" si="985"/>
        <v>0</v>
      </c>
      <c r="BD489" s="106">
        <f t="shared" si="985"/>
        <v>0</v>
      </c>
      <c r="BE489" s="107">
        <f t="shared" si="985"/>
        <v>0</v>
      </c>
      <c r="BF489" s="105">
        <f t="shared" si="978"/>
        <v>0</v>
      </c>
      <c r="BG489" s="106">
        <f t="shared" si="978"/>
        <v>4.97</v>
      </c>
      <c r="BH489" s="106">
        <f t="shared" si="978"/>
        <v>0</v>
      </c>
      <c r="BI489" s="106">
        <f t="shared" si="978"/>
        <v>0</v>
      </c>
      <c r="BJ489" s="106">
        <f t="shared" si="978"/>
        <v>0</v>
      </c>
      <c r="BK489" s="106">
        <f t="shared" si="978"/>
        <v>0</v>
      </c>
      <c r="BL489" s="106">
        <f t="shared" si="978"/>
        <v>0</v>
      </c>
      <c r="BM489" s="108">
        <f t="shared" si="978"/>
        <v>0</v>
      </c>
      <c r="BN489" s="109">
        <f t="shared" si="978"/>
        <v>0</v>
      </c>
      <c r="BO489" s="109">
        <f t="shared" si="978"/>
        <v>0</v>
      </c>
      <c r="BP489" s="109">
        <f t="shared" si="978"/>
        <v>0</v>
      </c>
      <c r="BQ489" s="110">
        <f t="shared" si="978"/>
        <v>0</v>
      </c>
      <c r="BR489" s="107">
        <f t="shared" si="978"/>
        <v>0</v>
      </c>
      <c r="BS489" s="464"/>
      <c r="BT489" s="461"/>
      <c r="BU489" s="392"/>
      <c r="BV489" s="461"/>
      <c r="BW489" s="392"/>
      <c r="BX489" s="392"/>
      <c r="BY489" s="392"/>
      <c r="BZ489" s="461"/>
      <c r="CA489" s="392"/>
      <c r="CB489" s="392"/>
      <c r="CC489" s="392"/>
      <c r="CD489" s="401"/>
      <c r="CE489" s="409"/>
      <c r="CF489" s="133">
        <f t="shared" si="899"/>
        <v>0</v>
      </c>
      <c r="CG489" s="134">
        <f t="shared" si="900"/>
        <v>0</v>
      </c>
      <c r="CH489" s="134">
        <f t="shared" si="901"/>
        <v>1</v>
      </c>
      <c r="CI489" s="134">
        <f t="shared" si="902"/>
        <v>0</v>
      </c>
      <c r="CJ489" s="134">
        <f t="shared" si="903"/>
        <v>0</v>
      </c>
      <c r="CK489" s="134">
        <f t="shared" si="904"/>
        <v>0</v>
      </c>
      <c r="CL489" s="134">
        <f t="shared" si="905"/>
        <v>0</v>
      </c>
      <c r="CM489" s="134">
        <f t="shared" si="906"/>
        <v>0</v>
      </c>
      <c r="CN489" s="134">
        <f t="shared" si="907"/>
        <v>0</v>
      </c>
      <c r="CO489" s="134">
        <f t="shared" si="908"/>
        <v>0</v>
      </c>
      <c r="CP489" s="134">
        <f t="shared" si="909"/>
        <v>0</v>
      </c>
      <c r="CQ489" s="134">
        <f t="shared" si="910"/>
        <v>0</v>
      </c>
      <c r="CR489" s="134">
        <f t="shared" si="911"/>
        <v>0</v>
      </c>
      <c r="CS489" s="134">
        <f t="shared" si="912"/>
        <v>0</v>
      </c>
      <c r="CT489" s="115">
        <f t="shared" si="913"/>
        <v>0</v>
      </c>
      <c r="CU489" s="116">
        <f t="shared" si="914"/>
        <v>0</v>
      </c>
      <c r="CV489" s="116">
        <f t="shared" si="915"/>
        <v>0</v>
      </c>
      <c r="CW489" s="116">
        <f t="shared" si="916"/>
        <v>0</v>
      </c>
      <c r="CX489" s="116">
        <f t="shared" si="917"/>
        <v>0</v>
      </c>
      <c r="CY489" s="116">
        <f t="shared" si="918"/>
        <v>0</v>
      </c>
      <c r="CZ489" s="116">
        <f t="shared" si="919"/>
        <v>0</v>
      </c>
      <c r="DA489" s="116">
        <f t="shared" si="920"/>
        <v>0</v>
      </c>
      <c r="DB489" s="116">
        <f t="shared" si="921"/>
        <v>0</v>
      </c>
      <c r="DC489" s="116">
        <f t="shared" si="922"/>
        <v>0</v>
      </c>
      <c r="DD489" s="116">
        <f t="shared" si="923"/>
        <v>0</v>
      </c>
      <c r="DE489" s="117">
        <f t="shared" si="924"/>
        <v>0</v>
      </c>
      <c r="DF489" s="118">
        <f t="shared" si="926"/>
        <v>33</v>
      </c>
      <c r="DG489" s="106">
        <f t="shared" si="927"/>
        <v>43.031999999999989</v>
      </c>
      <c r="DH489" s="116">
        <f t="shared" si="928"/>
        <v>11</v>
      </c>
      <c r="DI489" s="106">
        <f t="shared" si="929"/>
        <v>45.699999999999996</v>
      </c>
      <c r="DJ489" s="201" t="str">
        <f>IF($D487="","",$D487)</f>
        <v>15</v>
      </c>
      <c r="DK489" s="466"/>
    </row>
    <row r="490" spans="1:115" ht="14.5" customHeight="1" x14ac:dyDescent="0.2">
      <c r="A490" s="487">
        <f>$A487+1</f>
        <v>163</v>
      </c>
      <c r="B490" s="506" t="str">
        <f>IF(OR(C490="W",C491="W",C492="W",C490="1/2W",C491="1/2W",C492="1/2W",C490="1/2L",C491="1/2L",C492="1/2L"),"OK",IF(OR(C490="L",C491="L",C492="L"),"LOSS",IF(OR(C490="X",C491="X",C492="X"),"Anulado"," ")))</f>
        <v>OK</v>
      </c>
      <c r="C490" s="147" t="s">
        <v>55</v>
      </c>
      <c r="D490" s="494" t="str">
        <f>IF(G490="","",$D487)</f>
        <v>15</v>
      </c>
      <c r="E490" s="511" t="str">
        <f>IF(G490=""," ","– "&amp;COUNTIF(D$4:D492,$D490))</f>
        <v>– 21</v>
      </c>
      <c r="F490" s="510" t="str">
        <f ca="1">IF(G490="","",IF(OR(AND($C490&lt;&gt;" ",$C491=" "),AND($C491&lt;&gt;" ",$C490=" "),AND(L492&gt;0,OR(AND($C492&lt;&gt;" ",OR($C490=" ",$C491=" ")),AND($C492=" ",OR($C490&lt;&gt;" ",$C491&lt;&gt;" "))))),IF(SUM(F$4:F489)=0,1,LARGE(F$4:F489,1)+1),IF(MONTH(G490)=MONTH(TODAY()),IF(AND(DAY(G490)&lt;DAY(TODAY()),$B490=" "),IF(SUM(F$4:F489)=0,1,LARGE(F$4:F489,1)+1),IF($B490=" ",IF(AND(DAY(G490)=DAY(TODAY()),HOUR(G490)&lt;=HOUR(NOW())+1),IF(AND(HOUR(G490)+2&lt;=HOUR(NOW()),DAY(G490)&lt;=DAY(TODAY()),MINUTE(G490)&lt;=MINUTE(NOW())),IF(SUM(F$4:F489)=0,1,LARGE(F$4:F489,1)+1),IF(OR(MINUTE(G490)&lt;=MINUTE(NOW()),HOUR(G490)&lt;=HOUR(NOW())),"!!!","")),""),"")),"")))</f>
        <v/>
      </c>
      <c r="G490" s="508">
        <f>IF(H490="","",_xlfn.XLOOKUP(H490,$H$4:H489,$G$4:G489,""))</f>
        <v>45001.708333333336</v>
      </c>
      <c r="H490" s="502" t="s">
        <v>197</v>
      </c>
      <c r="I490" s="180" t="s">
        <v>51</v>
      </c>
      <c r="J490" s="181">
        <v>7.5</v>
      </c>
      <c r="K490" s="150" t="s">
        <v>37</v>
      </c>
      <c r="L490" s="151">
        <v>3.3</v>
      </c>
      <c r="M490" s="152">
        <v>11.35</v>
      </c>
      <c r="N490" s="503">
        <v>0.1</v>
      </c>
      <c r="O490" s="153">
        <f>IF(OR(AE490="",AE491=""),"",ROUND(IF(L492&gt;0,IF(M490&gt;0,M490,IF(M491&gt;0,ROUND((M491*AE490)/AE491,IF(N490=0,2,IF(N490=0.1,1,0))),ROUND((M492*AE490)/AE492,IF(N490=0,2,IF(N490=0.1,1,0))))),IF(M490&gt;0,M490,ROUND((M491*AE490)/AE491,IF(N490=0,2,IF(N490=0.1,1,0))))),2))</f>
        <v>11.35</v>
      </c>
      <c r="P490" s="154">
        <f>IF(OR(L490="",O490=""),"",IF($C490="1/2W",O490/2+O490/2*L490,IF($C490="1/2L",O490/2,IF(I490="Lay",(O490*(L490/(L490-1))-O490)*(1-_xlfn.XLOOKUP(K490,'Fevereiro 2023 - Valor Real'!A3:A15,'Fevereiro 2023 - Valor Real'!C3:C15,0))+O490,(O490*L490-O490)*(1-_xlfn.XLOOKUP(K490,'Fevereiro 2023 - Valor Real'!A3:A15,'Fevereiro 2023 - Valor Real'!C3:C15,0))+O490))))</f>
        <v>37.454999999999998</v>
      </c>
      <c r="Q490" s="155">
        <f>IF(K490="","",IF(_xlfn.XLOOKUP(K490,K$9:K482,$DJ$9:DJ482,0,,-1)=DJ490,_xlfn.XLOOKUP(K490,K$9:K482,Q$9:Q482,1,,-1)+1,1))</f>
        <v>7</v>
      </c>
      <c r="R490" s="156">
        <f>IF(K490="","",_xlfn.XLOOKUP(K490,K$9:K482,R$9:R482,0,,-1)+IF($C490=" ",1,0))</f>
        <v>0</v>
      </c>
      <c r="S490" s="501">
        <f>IF($B490="Anulado",0,ROUND(IF(OR($B490="LOSS",$B490="OK"),IF(OR($C490="W",$C490="1/2W",$C490="1/2L"),P490-O490,IF($C490="L",-O490,0))+IF(OR($C491="W",$C491="1/2W",$C491="1/2L"),P491-O491,IF($C491="L",-O491,0))+IF(OR($C492="W",$C492="1/2W",$C492="1/2L"),P492-O492,IF($C492="L",-O492,0)),IF(AND(OR($C490="W",$C490="1/2W",$C490="1/2L"),C491="W"),P490+P491-SUM(O490:O492)+_xlfn.XLOOKUP("X",C490:C492,O490:O492,0),IF(AND(C490=TRUE,C492="W"),P490+P492-SUM(O490:O492),IF(AND(C491="W",C492="W"),P491+P492-SUM(O490:O492)+_xlfn.XLOOKUP("X",C490:C492,O490:O492,0),IF(L492&gt;0,IF(OR($C490="W",$C490="1/2W",$C490="1/2L"),P490-SUM(O490:O492)+_xlfn.XLOOKUP("X",C490:C492,O490:O492,0),IF(OR($C490="W",$C490="1/2W",$C490="1/2L"),P491-SUM(O490:O492)+_xlfn.XLOOKUP("X",C490:C492,O490:O492,0),IF(OR($C490="W",$C490="1/2W",$C490="1/2L"),P492-SUM(O490:O492)+_xlfn.XLOOKUP("X",C490:C492,O490:O492,0),IF(SUM(P490:P492)/3-SUM(O490:O492)+_xlfn.XLOOKUP("X",C490:C492,O490:O492,0)&gt;0,SUM(P490:P492)/3-SUM(O490:O492)+_xlfn.XLOOKUP("X",C490:C492,O490:O492,0),LARGE(P490:P492,1)-SUM(O490:O492))))),IF(OR($C490="W",$C490="1/2W",$C490="1/2L"),P490-SUM(O490:O491)+_xlfn.XLOOKUP("X",C490:C492,O490:O492,0),IF(OR($C490="W",$C490="1/2W",$C490="1/2L"),P491-SUM(O490:O491)+_xlfn.XLOOKUP("X",C490:C492,O490:O492,0),SUM(P490:P491)/2-SUM(O490:O491)+_xlfn.XLOOKUP("X",C490:C492,O490:O492,0)))))))),2))</f>
        <v>1.64</v>
      </c>
      <c r="T490" s="486">
        <f>IF(S490=0,0,S490/SUM(O490:O492))</f>
        <v>4.5746164574616451E-2</v>
      </c>
      <c r="U490" s="496">
        <f>IF($D490=$D487,IF(OR($B490="LOSS",$B490="OK",$B490="Anulada"),S490,0)+U487,IF(OR($B490="LOSS",$B490="OK",$B490="Anulada"),S490,0))</f>
        <v>60.09</v>
      </c>
      <c r="V490" s="496">
        <f>IF($D490="",0,IF($D490=$D487,IF($B490=" ",IF(I492="",IF(OR(AND(I490="DNB1",I491="DNB2"),AND(OR(I490="DNB1",I490="DNB2"),J491=0),AND(OR(I491="DNB1",I491="DNB2"),J490=0),AND(I490="DNB2",I491="DNB1"),AND(IF(J490=0,(J490+1)/ROUND(J490+1,0),J490/ROUND(J490,0))=1,IF(J491=0,(J491+1)/ROUND(IF(J491="",0,J491)+1,0),IF(J491="",0,J491)/ROUND(IF(J491="",1,J491),0))=1,OR(J490&lt;&gt;""),J491&lt;&gt;"")),0,IF(S490&lt;0,IF(I492="",SMALL(P490:P491,1)-SUM(O490:O491),0),SMALL(P490:P491,1)-SUM(O490:O491))),IF(S490&lt;0,IF(I492="",SMALL(P490:P492,1)-SUM(O490:O492),0),LARGE(P490:P492,1)-SUM(O490:O492))),S490)+V487,IF(I492="",IF(OR(AND(I490="DNB1",I491="DNB2"),AND(OR(I490="DNB1",I490="DNB2"),J491=0),AND(OR(I491="DNB1",I491="DNB2"),J490=0),AND(I490="DNB2",I491="DNB1"),AND(IF(J490=0,(J490+1)/ROUND(J490+1,0),J490/ROUND(J490,0))=1,IF(J491=0,(IF(J491="",0,J491)+1)/ROUND(IF(J491="",0,J491)+1,0),IF(J491="",0,J491)/ROUND(IF(J491="",0,J491)+1,0))=1,OR(J490&lt;&gt;""),J491&lt;&gt;"")),0,IF(S490&lt;0,IF(I492="",SMALL(P490:P491,1)-SUM(O490:O491),0),SMALL(P490:P492,1)-SUM(O490:O492))),IF(S490&lt;0,IF(I492="",SMALL(P490:P492,1)-SUM(O490:O492),0),LARGE(P490:P492,1)-SUM(O490:O492)))))</f>
        <v>60.076599999999999</v>
      </c>
      <c r="W490" s="496">
        <f>IF($D490=$D487,IF(S490&lt;0,IF(I492="",S490,0),S490)+W487,S490)</f>
        <v>60.09</v>
      </c>
      <c r="X490" s="505" t="str">
        <f>IF(OR(SUM(R490:R492)=0,V490=W490),ROUND(IF(W490=0,0,W490/Y490)*100,2)&amp;"%",ROUND(IF(V490=0,0,V490/Y490)*100,2)&amp;"% a "&amp;ROUND(IF(W490=0,0,W490/Y490)*100,2)&amp;"%")</f>
        <v>5,05%</v>
      </c>
      <c r="Y490" s="497">
        <f>IF($D490=$D487,Y487+SUM(O490:O492),SUM(O490:O492))</f>
        <v>1190.03</v>
      </c>
      <c r="Z490" s="496">
        <f>IF($B490=" ",SUM(O490:O492),0)+Z487</f>
        <v>0</v>
      </c>
      <c r="AA490" s="496">
        <f>IF(G490="","",IF($B490="Anulado",LARGE(P490:P492,1)-SUM(O490:O492)+AA487,AA487))</f>
        <v>12.425099999999992</v>
      </c>
      <c r="AB490" s="496">
        <f>IF($D490="","",AB487+S490)</f>
        <v>588.51000000000022</v>
      </c>
      <c r="AC490" s="499">
        <f ca="1">IF($D490="","",IF($B490=" ",IF(DAY(G490)=DAY(TODAY()),1+AC487,0+AC487),0+AC487))</f>
        <v>0</v>
      </c>
      <c r="AD490" s="157">
        <f>(1-_xlfn.XLOOKUP(K488,'Fevereiro 2023 - Valor Real'!A3:A15,'Fevereiro 2023 - Valor Real'!C3:C15,0))+1</f>
        <v>2</v>
      </c>
      <c r="AE490" s="158">
        <f>IF(L490="","",IF(L492&gt;0,(SUM(((L490-1)*(1-_xlfn.XLOOKUP(K490,'Fevereiro 2023 - Valor Real'!A3:A15,'Fevereiro 2023 - Valor Real'!C3:C15,0))+1),((L491-1)*(1-_xlfn.XLOOKUP(K491,'Fevereiro 2023 - Valor Real'!A3:A15,'Fevereiro 2023 - Valor Real'!C3:C15,0))+1),((L492-1)*(1-_xlfn.XLOOKUP(K492,'Fevereiro 2023 - Valor Real'!A3:A15,'Fevereiro 2023 - Valor Real'!C3:C15,0))+1))/((L490-1)*(1-_xlfn.XLOOKUP(K490,'Fevereiro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Real'!C3:C15,0))+1))/((L490-1)*(1-_xlfn.XLOOKUP(K490,'Fevereiro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Real'!C3:C15,0))+1))/((L491-1)*(1-_xlfn.XLOOKUP(K491,'Fevereiro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Real'!C3:C15,0))+1))/((L492-1)*(1-_xlfn.XLOOKUP(K492,'Fevereiro 2023 - Valor Real'!A3:A15,'Fevereiro 2023 - Valor Real'!C3:C15,0))+1)),IF(I490="Lay",IF(I491="Lay",((L491/(L491-1)-1)*(1-_xlfn.XLOOKUP(K491,'Fevereiro 2023 - Valor Real'!A3:A15,'Fevereiro 2023 - Valor Real'!C3:C15,0))+1)/(((L491/(L491-1)-1)*(1-_xlfn.XLOOKUP(K491,'Fevereiro 2023 - Valor Real'!A3:A15,'Fevereiro 2023 - Valor Real'!C3:C15,0))+1)+((L490/(L490-1)-1)*(1-_xlfn.XLOOKUP(K490,'Fevereiro 2023 - Valor Real'!A3:A15,'Fevereiro 2023 - Valor Real'!C3:C15,0))+1)),((L491-1)*(1-_xlfn.XLOOKUP(K491,'Fevereiro 2023 - Valor Real'!A3:A15,'Fevereiro 2023 - Valor Real'!C3:C15,0))+1)/(((L491-1)*(1-_xlfn.XLOOKUP(K491,'Fevereiro 2023 - Valor Real'!A3:A15,'Fevereiro 2023 - Valor Real'!C3:C15,0))+1)+((L490/(L490-1)-1)*(1-_xlfn.XLOOKUP(K490,'Fevereiro 2023 - Valor Real'!A3:A15,'Fevereiro 2023 - Valor Real'!C3:C15,0))+1))),IF(I491="Lay",(((L491/(L491-1)-1)*(1-_xlfn.XLOOKUP(K491,'Fevereiro 2023 - Valor Real'!A3:A15,'Fevereiro 2023 - Valor Real'!C3:C15,0))+1))/(((L490-1)*(1-_xlfn.XLOOKUP(K490,'Fevereiro 2023 - Valor Real'!A3:A15,'Fevereiro 2023 - Valor Real'!C3:C15,0))+1)+((L491/(L491-1)-1)*(1-_xlfn.XLOOKUP(K491,'Fevereiro 2023 - Valor Real'!A3:A15,'Fevereiro 2023 - Valor Real'!C3:C15,0))+1)),((L491-1)*(1-_xlfn.XLOOKUP(K491,'Fevereiro 2023 - Valor Real'!A3:A15,'Fevereiro 2023 - Valor Real'!C3:C15,0))+1)/(((L491-1)*(1-_xlfn.XLOOKUP(K491,'Fevereiro 2023 - Valor Real'!A3:A15,'Fevereiro 2023 - Valor Real'!C3:C15,0))+1)+((L490-1)*(1-_xlfn.XLOOKUP(K490,'Fevereiro 2023 - Valor Real'!A3:A15,'Fevereiro 2023 - Valor Real'!C3:C15,0))+1))))))</f>
        <v>0.31677018633540371</v>
      </c>
      <c r="AF490" s="66">
        <f t="shared" si="976"/>
        <v>0</v>
      </c>
      <c r="AG490" s="67">
        <f t="shared" si="976"/>
        <v>-11.35</v>
      </c>
      <c r="AH490" s="67">
        <f t="shared" si="976"/>
        <v>0</v>
      </c>
      <c r="AI490" s="67">
        <f t="shared" si="976"/>
        <v>0</v>
      </c>
      <c r="AJ490" s="67">
        <f t="shared" si="976"/>
        <v>0</v>
      </c>
      <c r="AK490" s="67">
        <f t="shared" si="976"/>
        <v>0</v>
      </c>
      <c r="AL490" s="67">
        <f t="shared" si="976"/>
        <v>0</v>
      </c>
      <c r="AM490" s="67">
        <f t="shared" si="976"/>
        <v>0</v>
      </c>
      <c r="AN490" s="67">
        <f t="shared" si="976"/>
        <v>0</v>
      </c>
      <c r="AO490" s="67">
        <f t="shared" si="976"/>
        <v>0</v>
      </c>
      <c r="AP490" s="67">
        <f t="shared" si="976"/>
        <v>0</v>
      </c>
      <c r="AQ490" s="67">
        <f t="shared" si="976"/>
        <v>0</v>
      </c>
      <c r="AR490" s="68">
        <f t="shared" si="976"/>
        <v>0</v>
      </c>
      <c r="AS490" s="66">
        <f t="shared" ref="AS490:BE490" si="986">IF(AND($B490=" ",$K490=AS$3),$O490,0)</f>
        <v>0</v>
      </c>
      <c r="AT490" s="67">
        <f t="shared" si="986"/>
        <v>0</v>
      </c>
      <c r="AU490" s="67">
        <f t="shared" si="986"/>
        <v>0</v>
      </c>
      <c r="AV490" s="67">
        <f t="shared" si="986"/>
        <v>0</v>
      </c>
      <c r="AW490" s="67">
        <f t="shared" si="986"/>
        <v>0</v>
      </c>
      <c r="AX490" s="67">
        <f t="shared" si="986"/>
        <v>0</v>
      </c>
      <c r="AY490" s="69">
        <f t="shared" si="986"/>
        <v>0</v>
      </c>
      <c r="AZ490" s="70">
        <f t="shared" si="986"/>
        <v>0</v>
      </c>
      <c r="BA490" s="70">
        <f t="shared" si="986"/>
        <v>0</v>
      </c>
      <c r="BB490" s="70">
        <f t="shared" si="986"/>
        <v>0</v>
      </c>
      <c r="BC490" s="71">
        <f t="shared" si="986"/>
        <v>0</v>
      </c>
      <c r="BD490" s="67">
        <f t="shared" si="986"/>
        <v>0</v>
      </c>
      <c r="BE490" s="68">
        <f t="shared" si="986"/>
        <v>0</v>
      </c>
      <c r="BF490" s="66">
        <f t="shared" si="978"/>
        <v>0</v>
      </c>
      <c r="BG490" s="67">
        <f t="shared" si="978"/>
        <v>11.35</v>
      </c>
      <c r="BH490" s="67">
        <f t="shared" si="978"/>
        <v>0</v>
      </c>
      <c r="BI490" s="67">
        <f t="shared" si="978"/>
        <v>0</v>
      </c>
      <c r="BJ490" s="67">
        <f t="shared" si="978"/>
        <v>0</v>
      </c>
      <c r="BK490" s="67">
        <f t="shared" si="978"/>
        <v>0</v>
      </c>
      <c r="BL490" s="67">
        <f t="shared" si="978"/>
        <v>0</v>
      </c>
      <c r="BM490" s="69">
        <f t="shared" si="978"/>
        <v>0</v>
      </c>
      <c r="BN490" s="70">
        <f t="shared" si="978"/>
        <v>0</v>
      </c>
      <c r="BO490" s="70">
        <f t="shared" si="978"/>
        <v>0</v>
      </c>
      <c r="BP490" s="70">
        <f t="shared" si="978"/>
        <v>0</v>
      </c>
      <c r="BQ490" s="71">
        <f t="shared" si="978"/>
        <v>0</v>
      </c>
      <c r="BR490" s="68">
        <f t="shared" si="978"/>
        <v>0</v>
      </c>
      <c r="BS490" s="490">
        <f>IF($B490="LOSS",IF(AND($K490=BS$3,$C490="L"),-$O490,0)+IF(AND($K491=BS$3,$C491="L"),-$O491,0)+IF(AND($K492=BS$3,$C492="L"),-$O492,0),IF(OR(AND($K490=BS$3,OR($C490="W",$C490="1/2W")),AND($K491=BS$3,OR($C491="W",$C491="1/2W")),AND($K492=BS$3,OR($C492="W",$C492="1/2W"))),$S490,0))</f>
        <v>0</v>
      </c>
      <c r="BT490" s="498">
        <f>IF($B490="LOSS",IF(AND($K490=BT$3,$C490="L"),-$O490,0)+IF(AND($K491=BT$3,$C491="L"),-$O491,0)+IF(AND($K491=BT$3,$C492="L"),-$O492,0),IF(OR(AND($K491=BT$3,OR($C490="W",$C490="1/2W")),AND($K491=BT$3,OR($C491="W",$C491="1/2W")),AND($K491=BT$3,OR($C492="W",$C492="1/2W"))),$S490,0))</f>
        <v>0</v>
      </c>
      <c r="BU490" s="488">
        <f>IF($B490="LOSS",IF(AND($K490=BU$3,$C490="L"),-$O490,0)+IF(AND($K491=BU$3,$C491="L"),-$O491,0)+IF(AND($K491=BU$3,$C492="L"),-$O492,0),IF(OR(AND($K491=BU$3,OR($C490="W",$C490="1/2W")),AND($K491=BU$3,OR($C491="W",$C491="1/2W")),AND($K491=BU$3,OR($C492="W",$C492="1/2W"))),$S490,0))</f>
        <v>0</v>
      </c>
      <c r="BV490" s="488">
        <f t="shared" ref="BV490:CE490" si="987">IF($B490="LOSS",IF(AND($K490=BV$3,$C490="L"),-$O490,0)+IF(AND($K491=BV$3,$C491="L"),-$O491,0)+IF(AND($K492=BV$3,$C492="L"),-$O492,0),IF(OR(AND($K490=BV$3,OR($C490="W",$C490="1/2W")),AND($K491=BV$3,OR($C491="W",$C491="1/2W")),AND($K492=BV$3,OR($C492="W",$C492="1/2W"))),$S490,0))</f>
        <v>0</v>
      </c>
      <c r="BW490" s="488">
        <f t="shared" si="987"/>
        <v>1.64</v>
      </c>
      <c r="BX490" s="488">
        <f t="shared" si="987"/>
        <v>0</v>
      </c>
      <c r="BY490" s="488">
        <f t="shared" si="987"/>
        <v>0</v>
      </c>
      <c r="BZ490" s="488">
        <f t="shared" si="987"/>
        <v>0</v>
      </c>
      <c r="CA490" s="488">
        <f t="shared" si="987"/>
        <v>0</v>
      </c>
      <c r="CB490" s="488">
        <f t="shared" si="987"/>
        <v>0</v>
      </c>
      <c r="CC490" s="488">
        <f t="shared" si="987"/>
        <v>0</v>
      </c>
      <c r="CD490" s="500">
        <f t="shared" si="987"/>
        <v>0</v>
      </c>
      <c r="CE490" s="504">
        <f t="shared" si="987"/>
        <v>0</v>
      </c>
      <c r="CF490" s="160">
        <f t="shared" si="899"/>
        <v>0</v>
      </c>
      <c r="CG490" s="161">
        <f t="shared" si="900"/>
        <v>0</v>
      </c>
      <c r="CH490" s="161">
        <f t="shared" si="901"/>
        <v>0</v>
      </c>
      <c r="CI490" s="161">
        <f t="shared" si="902"/>
        <v>1</v>
      </c>
      <c r="CJ490" s="161">
        <f t="shared" si="903"/>
        <v>0</v>
      </c>
      <c r="CK490" s="161">
        <f t="shared" si="904"/>
        <v>0</v>
      </c>
      <c r="CL490" s="161">
        <f t="shared" si="905"/>
        <v>0</v>
      </c>
      <c r="CM490" s="161">
        <f t="shared" si="906"/>
        <v>0</v>
      </c>
      <c r="CN490" s="161">
        <f t="shared" si="907"/>
        <v>0</v>
      </c>
      <c r="CO490" s="161">
        <f t="shared" si="908"/>
        <v>0</v>
      </c>
      <c r="CP490" s="161">
        <f t="shared" si="909"/>
        <v>0</v>
      </c>
      <c r="CQ490" s="161">
        <f t="shared" si="910"/>
        <v>0</v>
      </c>
      <c r="CR490" s="161">
        <f t="shared" si="911"/>
        <v>0</v>
      </c>
      <c r="CS490" s="161">
        <f t="shared" si="912"/>
        <v>0</v>
      </c>
      <c r="CT490" s="75">
        <f t="shared" si="913"/>
        <v>0</v>
      </c>
      <c r="CU490" s="76">
        <f t="shared" si="914"/>
        <v>0</v>
      </c>
      <c r="CV490" s="76">
        <f t="shared" si="915"/>
        <v>0</v>
      </c>
      <c r="CW490" s="76">
        <f t="shared" si="916"/>
        <v>0</v>
      </c>
      <c r="CX490" s="76">
        <f t="shared" si="917"/>
        <v>0</v>
      </c>
      <c r="CY490" s="76">
        <f t="shared" si="918"/>
        <v>0</v>
      </c>
      <c r="CZ490" s="76">
        <f t="shared" si="919"/>
        <v>0</v>
      </c>
      <c r="DA490" s="76">
        <f t="shared" si="920"/>
        <v>0</v>
      </c>
      <c r="DB490" s="76">
        <f t="shared" si="921"/>
        <v>0</v>
      </c>
      <c r="DC490" s="76">
        <f t="shared" si="922"/>
        <v>0</v>
      </c>
      <c r="DD490" s="76">
        <f t="shared" si="923"/>
        <v>0</v>
      </c>
      <c r="DE490" s="77">
        <f t="shared" si="924"/>
        <v>0</v>
      </c>
      <c r="DF490" s="73">
        <f t="shared" si="926"/>
        <v>33</v>
      </c>
      <c r="DG490" s="67">
        <f t="shared" si="927"/>
        <v>43.031999999999989</v>
      </c>
      <c r="DH490" s="76">
        <f t="shared" si="928"/>
        <v>11</v>
      </c>
      <c r="DI490" s="67">
        <f t="shared" si="929"/>
        <v>45.699999999999996</v>
      </c>
      <c r="DJ490" s="202" t="str">
        <f>IF($D490="","",$D490)</f>
        <v>15</v>
      </c>
      <c r="DK490" s="492">
        <f>IF(AND($B490=" ",$D490&lt;&gt;""),1,0)</f>
        <v>0</v>
      </c>
    </row>
    <row r="491" spans="1:115" ht="14.5" customHeight="1" x14ac:dyDescent="0.2">
      <c r="A491" s="389"/>
      <c r="B491" s="456"/>
      <c r="C491" s="53" t="s">
        <v>54</v>
      </c>
      <c r="D491" s="374"/>
      <c r="E491" s="386"/>
      <c r="F491" s="377"/>
      <c r="G491" s="508"/>
      <c r="H491" s="476"/>
      <c r="I491" s="182" t="s">
        <v>52</v>
      </c>
      <c r="J491" s="56">
        <f>IF(OR(I490="TO",I490="TU",I490="TO1",I490="TU1",I490="TO2",I490="TU2"),J490,IF(OR(I490="AH1",I490="AH2"),IF(OR(I491="AH1",I491="AH2"),-J490,IF(OR(I491="EH1",I491="EH2"),-J490+0.5,"")),IF(OR(I490="EH1",I490="EH2"),IF(OR(I491="AH1",I491="AH2"),-J490+0.5,IF(OR(I491="EH1",I491="EH2"),-J490+1,"")),IF(AND(OR(I490="DNB1",I490="DNB2"),OR(I491="AH1",I491="AH2")),0,IF(AND(I490="Not ScoreBoth",OR(I491="TO1",I491="TO2")),0.5,"")))))</f>
        <v>7.5</v>
      </c>
      <c r="K491" s="57" t="s">
        <v>40</v>
      </c>
      <c r="L491" s="164">
        <v>1.53</v>
      </c>
      <c r="M491" s="165"/>
      <c r="N491" s="406"/>
      <c r="O491" s="60">
        <f>IF(OR(AE490="",AE491=""),"",ROUND(IF(L492&gt;0,IF(M491&gt;0,M491,IF(M490&gt;0,IF(N490=TRUE,ROUND((M490*AE491)/AE490,0),(M490*AE491)/AE490),IF(M491&gt;0,ROUND(M491,IF(N490=0,2,IF(N490=0.1,1,0))),IF(M492&gt;0,ROUND(O492*AE491/AE492,IF(N490=0,2,IF(N490=0.1,1,0))),0)))),IF(M491&gt;0,M491,ROUND((M490*AE491)/AE490,IF(N490=0,2,IF(N490=0.1,1,0))))),2))</f>
        <v>24.5</v>
      </c>
      <c r="P491" s="61">
        <f>IF(OR(L491="",O491=""),"",IF($C491="1/2W",O491/2+O491/2*L491,IF($C491="1/2L",O491/2,IF(I491="Lay",((O491*(L491/(L491-1)))-O491)*(1-_xlfn.XLOOKUP(K491,'Fevereiro 2023 - Valor Real'!A3:A15,'Fevereiro 2023 - Valor Real'!C3:C15,0))+O491,(O491*L491-O491)*(1-_xlfn.XLOOKUP(K491,'Fevereiro 2023 - Valor Real'!A3:A15,'Fevereiro 2023 - Valor Real'!C3:C15,0))+O491))))</f>
        <v>37.484999999999999</v>
      </c>
      <c r="Q491" s="166">
        <f>IF(K491="","",IF(_xlfn.XLOOKUP(K491,K$10:K482,$DJ$10:DJ482,0,,-1)=DJ491,_xlfn.XLOOKUP(K491,K$10:K482,Q$10:Q482,1,,-1)+1,1))</f>
        <v>6</v>
      </c>
      <c r="R491" s="167">
        <f>IF(K491="","",_xlfn.XLOOKUP(K491,K$10:K482,R$10:R482,0,,-1)+IF($C491=" ",1,0))</f>
        <v>0</v>
      </c>
      <c r="S491" s="403"/>
      <c r="T491" s="380"/>
      <c r="U491" s="380"/>
      <c r="V491" s="481"/>
      <c r="W491" s="380"/>
      <c r="X491" s="452"/>
      <c r="Y491" s="383"/>
      <c r="Z491" s="384"/>
      <c r="AA491" s="384"/>
      <c r="AB491" s="384"/>
      <c r="AC491" s="384"/>
      <c r="AD491" s="64"/>
      <c r="AE491" s="65">
        <f>IF(L491="","",IF(L492&gt;0,(SUM(((L490-1)*(1-_xlfn.XLOOKUP(K490,'Fevereiro 2023 - Valor Real'!A3:A15,'Fevereiro 2023 - Valor Real'!C3:C15,0))+1),((L491-1)*(1-_xlfn.XLOOKUP(K491,'Fevereiro 2023 - Valor Real'!A3:A15,'Fevereiro 2023 - Valor Real'!C3:C15,0))+1),((L492-1)*(1-_xlfn.XLOOKUP(K492,'Fevereiro 2023 - Valor Real'!A3:A15,'Fevereiro 2023 - Valor Real'!C3:C15,0))+1))/((L491-1)*(1-_xlfn.XLOOKUP(K491,'Fevereiro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Real'!C3:C15,0))+1))/((L490-1)*(1-_xlfn.XLOOKUP(K490,'Fevereiro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Real'!C3:C15,0))+1))/((L491-1)*(1-_xlfn.XLOOKUP(K491,'Fevereiro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Real'!C3:C15,0))+1))/((L492-1)*(1-_xlfn.XLOOKUP(K492,'Fevereiro 2023 - Valor Real'!A3:A15,'Fevereiro 2023 - Valor Real'!C3:C15,0))+1)),IF(I491="Lay",IF(I490="Lay",((L490/(L490-1)-1)*(1-_xlfn.XLOOKUP(K490,'Fevereiro 2023 - Valor Real'!A3:A15,'Fevereiro 2023 - Valor Real'!C3:C15,0))+1)/(((L490/(L490-1)-1)*(1-_xlfn.XLOOKUP(K490,'Fevereiro 2023 - Valor Real'!A3:A15,'Fevereiro 2023 - Valor Real'!C3:C15,0))+1)+((L491/(L491-1)-1)*(1-_xlfn.XLOOKUP(K491,'Fevereiro 2023 - Valor Real'!A3:A15,'Fevereiro 2023 - Valor Real'!C3:C15,0))+1)),((L490-1)*(1-_xlfn.XLOOKUP(K490,'Fevereiro 2023 - Valor Real'!A3:A15,'Fevereiro 2023 - Valor Real'!C3:C15,0))+1)/(((L490-1)*(1-_xlfn.XLOOKUP(K490,'Fevereiro 2023 - Valor Real'!A3:A15,'Fevereiro 2023 - Valor Real'!C3:C15,0))+1)+((L491/(L491-1)-1)*(1-_xlfn.XLOOKUP(K491,'Fevereiro 2023 - Valor Real'!A3:A15,'Fevereiro 2023 - Valor Real'!C3:C15,0))+1))),IF(I490="Lay",((L490/(L490-1)-1)*(1-_xlfn.XLOOKUP(K490,'Fevereiro 2023 - Valor Real'!A3:A15,'Fevereiro 2023 - Valor Real'!C3:C15,0))+1)/((((L490/(L490-1)-1)*(1-_xlfn.XLOOKUP(K490,'Fevereiro 2023 - Valor Real'!A3:A15,'Fevereiro 2023 - Valor Real'!C3:C15,0))+1))+((L491-1)*(1-_xlfn.XLOOKUP(K491,'Fevereiro 2023 - Valor Real'!A3:A15,'Fevereiro 2023 - Valor Real'!C3:C15,0))+1)),((L490-1)*(1-_xlfn.XLOOKUP(K490,'Fevereiro 2023 - Valor Real'!A3:A15,'Fevereiro 2023 - Valor Real'!C3:C15,0))+1)/(((L490-1)*(1-_xlfn.XLOOKUP(K490,'Fevereiro 2023 - Valor Real'!A3:A15,'Fevereiro 2023 - Valor Real'!C3:C15,0))+1)+((L491-1)*(1-_xlfn.XLOOKUP(K491,'Fevereiro 2023 - Valor Real'!A3:A15,'Fevereiro 2023 - Valor Real'!C3:C15,0))+1))))))</f>
        <v>0.68322981366459623</v>
      </c>
      <c r="AF491" s="66">
        <f t="shared" si="976"/>
        <v>0</v>
      </c>
      <c r="AG491" s="67">
        <f t="shared" si="976"/>
        <v>0</v>
      </c>
      <c r="AH491" s="67">
        <f t="shared" si="976"/>
        <v>0</v>
      </c>
      <c r="AI491" s="67">
        <f t="shared" si="976"/>
        <v>0</v>
      </c>
      <c r="AJ491" s="67">
        <f t="shared" si="976"/>
        <v>12.99</v>
      </c>
      <c r="AK491" s="67">
        <f t="shared" si="976"/>
        <v>0</v>
      </c>
      <c r="AL491" s="67">
        <f t="shared" si="976"/>
        <v>0</v>
      </c>
      <c r="AM491" s="67">
        <f t="shared" si="976"/>
        <v>0</v>
      </c>
      <c r="AN491" s="67">
        <f t="shared" si="976"/>
        <v>0</v>
      </c>
      <c r="AO491" s="67">
        <f t="shared" si="976"/>
        <v>0</v>
      </c>
      <c r="AP491" s="67">
        <f t="shared" si="976"/>
        <v>0</v>
      </c>
      <c r="AQ491" s="67">
        <f t="shared" si="976"/>
        <v>0</v>
      </c>
      <c r="AR491" s="68">
        <f t="shared" si="976"/>
        <v>0</v>
      </c>
      <c r="AS491" s="66">
        <f>IF(AND($B490=" ",$K491=AS$3),$O491,0)</f>
        <v>0</v>
      </c>
      <c r="AT491" s="67">
        <f>IF(AND($B490=" ",K491=AT$3),$O491,0)</f>
        <v>0</v>
      </c>
      <c r="AU491" s="67">
        <f t="shared" ref="AU491:BE491" si="988">IF(AND($B490=" ",$K491=AU$3),$O491,0)</f>
        <v>0</v>
      </c>
      <c r="AV491" s="67">
        <f t="shared" si="988"/>
        <v>0</v>
      </c>
      <c r="AW491" s="67">
        <f t="shared" si="988"/>
        <v>0</v>
      </c>
      <c r="AX491" s="67">
        <f t="shared" si="988"/>
        <v>0</v>
      </c>
      <c r="AY491" s="69">
        <f t="shared" si="988"/>
        <v>0</v>
      </c>
      <c r="AZ491" s="70">
        <f t="shared" si="988"/>
        <v>0</v>
      </c>
      <c r="BA491" s="70">
        <f t="shared" si="988"/>
        <v>0</v>
      </c>
      <c r="BB491" s="70">
        <f t="shared" si="988"/>
        <v>0</v>
      </c>
      <c r="BC491" s="71">
        <f t="shared" si="988"/>
        <v>0</v>
      </c>
      <c r="BD491" s="67">
        <f t="shared" si="988"/>
        <v>0</v>
      </c>
      <c r="BE491" s="68">
        <f t="shared" si="988"/>
        <v>0</v>
      </c>
      <c r="BF491" s="66">
        <f t="shared" si="978"/>
        <v>0</v>
      </c>
      <c r="BG491" s="168">
        <f t="shared" si="978"/>
        <v>0</v>
      </c>
      <c r="BH491" s="67">
        <f t="shared" si="978"/>
        <v>0</v>
      </c>
      <c r="BI491" s="67">
        <f t="shared" si="978"/>
        <v>0</v>
      </c>
      <c r="BJ491" s="67">
        <f t="shared" si="978"/>
        <v>24.5</v>
      </c>
      <c r="BK491" s="67">
        <f t="shared" si="978"/>
        <v>0</v>
      </c>
      <c r="BL491" s="67">
        <f t="shared" si="978"/>
        <v>0</v>
      </c>
      <c r="BM491" s="69">
        <f t="shared" si="978"/>
        <v>0</v>
      </c>
      <c r="BN491" s="70">
        <f t="shared" si="978"/>
        <v>0</v>
      </c>
      <c r="BO491" s="70">
        <f t="shared" si="978"/>
        <v>0</v>
      </c>
      <c r="BP491" s="70">
        <f t="shared" si="978"/>
        <v>0</v>
      </c>
      <c r="BQ491" s="71">
        <f t="shared" si="978"/>
        <v>0</v>
      </c>
      <c r="BR491" s="68">
        <f t="shared" si="978"/>
        <v>0</v>
      </c>
      <c r="BS491" s="491"/>
      <c r="BT491" s="489"/>
      <c r="BU491" s="392"/>
      <c r="BV491" s="489"/>
      <c r="BW491" s="392"/>
      <c r="BX491" s="392"/>
      <c r="BY491" s="392"/>
      <c r="BZ491" s="489"/>
      <c r="CA491" s="392"/>
      <c r="CB491" s="392"/>
      <c r="CC491" s="392"/>
      <c r="CD491" s="401"/>
      <c r="CE491" s="409"/>
      <c r="CF491" s="169">
        <f t="shared" si="899"/>
        <v>0</v>
      </c>
      <c r="CG491" s="170">
        <f t="shared" si="900"/>
        <v>0</v>
      </c>
      <c r="CH491" s="170">
        <f t="shared" si="901"/>
        <v>0</v>
      </c>
      <c r="CI491" s="170">
        <f t="shared" si="902"/>
        <v>0</v>
      </c>
      <c r="CJ491" s="170">
        <f t="shared" si="903"/>
        <v>0</v>
      </c>
      <c r="CK491" s="170">
        <f t="shared" si="904"/>
        <v>0</v>
      </c>
      <c r="CL491" s="170">
        <f t="shared" si="905"/>
        <v>0</v>
      </c>
      <c r="CM491" s="170">
        <f t="shared" si="906"/>
        <v>0</v>
      </c>
      <c r="CN491" s="170">
        <f t="shared" si="907"/>
        <v>1</v>
      </c>
      <c r="CO491" s="170">
        <f t="shared" si="908"/>
        <v>0</v>
      </c>
      <c r="CP491" s="170">
        <f t="shared" si="909"/>
        <v>0</v>
      </c>
      <c r="CQ491" s="170">
        <f t="shared" si="910"/>
        <v>0</v>
      </c>
      <c r="CR491" s="170">
        <f t="shared" si="911"/>
        <v>0</v>
      </c>
      <c r="CS491" s="170">
        <f t="shared" si="912"/>
        <v>0</v>
      </c>
      <c r="CT491" s="75">
        <f t="shared" si="913"/>
        <v>0</v>
      </c>
      <c r="CU491" s="76">
        <f t="shared" si="914"/>
        <v>0</v>
      </c>
      <c r="CV491" s="76">
        <f t="shared" si="915"/>
        <v>0</v>
      </c>
      <c r="CW491" s="76">
        <f t="shared" si="916"/>
        <v>0</v>
      </c>
      <c r="CX491" s="76">
        <f t="shared" si="917"/>
        <v>0</v>
      </c>
      <c r="CY491" s="76">
        <f t="shared" si="918"/>
        <v>0</v>
      </c>
      <c r="CZ491" s="76">
        <f t="shared" si="919"/>
        <v>0</v>
      </c>
      <c r="DA491" s="76">
        <f t="shared" si="920"/>
        <v>0</v>
      </c>
      <c r="DB491" s="76">
        <f t="shared" si="921"/>
        <v>0</v>
      </c>
      <c r="DC491" s="76">
        <f t="shared" si="922"/>
        <v>0</v>
      </c>
      <c r="DD491" s="76">
        <f t="shared" si="923"/>
        <v>0</v>
      </c>
      <c r="DE491" s="77">
        <f t="shared" si="924"/>
        <v>0</v>
      </c>
      <c r="DF491" s="73">
        <f t="shared" si="926"/>
        <v>33</v>
      </c>
      <c r="DG491" s="67">
        <f t="shared" si="927"/>
        <v>43.031999999999989</v>
      </c>
      <c r="DH491" s="76">
        <f t="shared" si="928"/>
        <v>11</v>
      </c>
      <c r="DI491" s="67">
        <f t="shared" si="929"/>
        <v>45.699999999999996</v>
      </c>
      <c r="DJ491" s="202" t="str">
        <f>IF($D490="","",$D490)</f>
        <v>15</v>
      </c>
      <c r="DK491" s="493"/>
    </row>
    <row r="492" spans="1:115" ht="14.5" customHeight="1" x14ac:dyDescent="0.2">
      <c r="A492" s="390"/>
      <c r="B492" s="457"/>
      <c r="C492" s="79" t="s">
        <v>53</v>
      </c>
      <c r="D492" s="375"/>
      <c r="E492" s="387"/>
      <c r="F492" s="378"/>
      <c r="G492" s="508"/>
      <c r="H492" s="477"/>
      <c r="I492" s="171"/>
      <c r="J492" s="172"/>
      <c r="K492" s="81"/>
      <c r="L492" s="173"/>
      <c r="M492" s="174"/>
      <c r="N492" s="407"/>
      <c r="O492" s="86" t="str">
        <f>IF(OR(AE490="",AE491=""),"",IF(L492&gt;0,ROUND(IF(M492&gt;0,M492,IF(M490&gt;0,ROUND((M490*AE492)/AE490,IF(N490=0,2,IF(N490=0.1,1,0))),IF(M491&gt;0,ROUND((M491*AE492)/AE491,IF(N490=0,2,IF(N490=0.1,1,0))),IF(M492&gt;0,M492,0)))),2),""))</f>
        <v/>
      </c>
      <c r="P492" s="87" t="str">
        <f>IF(I491="Lay",O491*(L491/(L491-1))-O491,IF(I490="Lay",O490*(L490/(L490-1))-O490,IF(OR(L492="",O492=""),"",IF($C492="1/2W",O492/2+O492/2*L492,IF($C492="1/2L",O492/2,(O492*L492-O492)*(1-_xlfn.XLOOKUP(K492,'Fevereiro 2023 - Valor Real'!A3:A15,'Fevereiro 2023 - Valor Real'!C3:C15,0))+O492)))))</f>
        <v/>
      </c>
      <c r="Q492" s="54" t="str">
        <f>IF(K492="","",IF(_xlfn.XLOOKUP(K492,K$11:K482,$DJ$11:DJ482,0,,-1)=DJ492,_xlfn.XLOOKUP(K492,K$11:K482,Q$11:Q482,1,,-1)+1,1))</f>
        <v/>
      </c>
      <c r="R492" s="87" t="str">
        <f>IF(K492="","",_xlfn.XLOOKUP(K492,K$11:K482,R$11:R482,0,,-1)+IF($C492=" ",1,0))</f>
        <v/>
      </c>
      <c r="S492" s="404"/>
      <c r="T492" s="378"/>
      <c r="U492" s="378"/>
      <c r="V492" s="404"/>
      <c r="W492" s="378"/>
      <c r="X492" s="453"/>
      <c r="Y492" s="383"/>
      <c r="Z492" s="384"/>
      <c r="AA492" s="384"/>
      <c r="AB492" s="384"/>
      <c r="AC492" s="384"/>
      <c r="AD492" s="90"/>
      <c r="AE492" s="91" t="str">
        <f>IF(L492="","",(SUM(((L490-1)*(1-_xlfn.XLOOKUP(K490,'Fevereiro 2023 - Valor Real'!A3:A15,'Fevereiro 2023 - Valor Real'!C3:C15,0))+1),((L491-1)*(1-_xlfn.XLOOKUP(K491,'Fevereiro 2023 - Valor Real'!A3:A15,'Fevereiro 2023 - Valor Real'!C3:C15,0))+1),((L492-1)*(1-_xlfn.XLOOKUP(K492,'Fevereiro 2023 - Valor Real'!A3:A15,'Fevereiro 2023 - Valor Real'!C3:C15,0))+1))/((L492-1)*(1-_xlfn.XLOOKUP(K492,'Fevereiro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Real'!C3:C15,0))+1))/((L490-1)*(1-_xlfn.XLOOKUP(K490,'Fevereiro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Real'!C3:C15,0))+1))/((L491-1)*(1-_xlfn.XLOOKUP(K491,'Fevereiro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Real'!C3:C15,0))+1))/((L492-1)*(1-_xlfn.XLOOKUP(K492,'Fevereiro 2023 - Valor Real'!A3:A15,'Fevereiro 2023 - Valor Real'!C3:C15,0))+1)))</f>
        <v/>
      </c>
      <c r="AF492" s="66">
        <f t="shared" si="976"/>
        <v>0</v>
      </c>
      <c r="AG492" s="67">
        <f t="shared" si="976"/>
        <v>0</v>
      </c>
      <c r="AH492" s="67">
        <f t="shared" si="976"/>
        <v>0</v>
      </c>
      <c r="AI492" s="67">
        <f t="shared" si="976"/>
        <v>0</v>
      </c>
      <c r="AJ492" s="67">
        <f t="shared" si="976"/>
        <v>0</v>
      </c>
      <c r="AK492" s="67">
        <f t="shared" si="976"/>
        <v>0</v>
      </c>
      <c r="AL492" s="67">
        <f t="shared" si="976"/>
        <v>0</v>
      </c>
      <c r="AM492" s="67">
        <f t="shared" si="976"/>
        <v>0</v>
      </c>
      <c r="AN492" s="67">
        <f t="shared" si="976"/>
        <v>0</v>
      </c>
      <c r="AO492" s="67">
        <f t="shared" si="976"/>
        <v>0</v>
      </c>
      <c r="AP492" s="67">
        <f t="shared" si="976"/>
        <v>0</v>
      </c>
      <c r="AQ492" s="67">
        <f t="shared" si="976"/>
        <v>0</v>
      </c>
      <c r="AR492" s="68">
        <f t="shared" si="976"/>
        <v>0</v>
      </c>
      <c r="AS492" s="66">
        <f>IF(AND($B490=" ",$K492=AS$3),$O492,0)</f>
        <v>0</v>
      </c>
      <c r="AT492" s="67">
        <f>IF(AND($B490=" ",K492=AT$3),$O492,0)</f>
        <v>0</v>
      </c>
      <c r="AU492" s="67">
        <f t="shared" ref="AU492:BE492" si="989">IF(AND($B490=" ",$K492=AU$3),$O492,0)</f>
        <v>0</v>
      </c>
      <c r="AV492" s="67">
        <f t="shared" si="989"/>
        <v>0</v>
      </c>
      <c r="AW492" s="67">
        <f t="shared" si="989"/>
        <v>0</v>
      </c>
      <c r="AX492" s="67">
        <f t="shared" si="989"/>
        <v>0</v>
      </c>
      <c r="AY492" s="69">
        <f t="shared" si="989"/>
        <v>0</v>
      </c>
      <c r="AZ492" s="70">
        <f t="shared" si="989"/>
        <v>0</v>
      </c>
      <c r="BA492" s="70">
        <f t="shared" si="989"/>
        <v>0</v>
      </c>
      <c r="BB492" s="70">
        <f t="shared" si="989"/>
        <v>0</v>
      </c>
      <c r="BC492" s="71">
        <f t="shared" si="989"/>
        <v>0</v>
      </c>
      <c r="BD492" s="67">
        <f t="shared" si="989"/>
        <v>0</v>
      </c>
      <c r="BE492" s="68">
        <f t="shared" si="989"/>
        <v>0</v>
      </c>
      <c r="BF492" s="66">
        <f t="shared" si="978"/>
        <v>0</v>
      </c>
      <c r="BG492" s="168">
        <f t="shared" si="978"/>
        <v>0</v>
      </c>
      <c r="BH492" s="67">
        <f t="shared" si="978"/>
        <v>0</v>
      </c>
      <c r="BI492" s="67">
        <f t="shared" si="978"/>
        <v>0</v>
      </c>
      <c r="BJ492" s="67">
        <f t="shared" si="978"/>
        <v>0</v>
      </c>
      <c r="BK492" s="67">
        <f t="shared" si="978"/>
        <v>0</v>
      </c>
      <c r="BL492" s="67">
        <f t="shared" si="978"/>
        <v>0</v>
      </c>
      <c r="BM492" s="69">
        <f t="shared" si="978"/>
        <v>0</v>
      </c>
      <c r="BN492" s="70">
        <f t="shared" si="978"/>
        <v>0</v>
      </c>
      <c r="BO492" s="70">
        <f t="shared" si="978"/>
        <v>0</v>
      </c>
      <c r="BP492" s="70">
        <f t="shared" si="978"/>
        <v>0</v>
      </c>
      <c r="BQ492" s="71">
        <f t="shared" si="978"/>
        <v>0</v>
      </c>
      <c r="BR492" s="68">
        <f t="shared" si="978"/>
        <v>0</v>
      </c>
      <c r="BS492" s="491"/>
      <c r="BT492" s="489"/>
      <c r="BU492" s="392"/>
      <c r="BV492" s="489"/>
      <c r="BW492" s="392"/>
      <c r="BX492" s="392"/>
      <c r="BY492" s="392"/>
      <c r="BZ492" s="489"/>
      <c r="CA492" s="392"/>
      <c r="CB492" s="392"/>
      <c r="CC492" s="392"/>
      <c r="CD492" s="401"/>
      <c r="CE492" s="409"/>
      <c r="CF492" s="169">
        <f t="shared" si="899"/>
        <v>0</v>
      </c>
      <c r="CG492" s="170">
        <f t="shared" si="900"/>
        <v>0</v>
      </c>
      <c r="CH492" s="170">
        <f t="shared" si="901"/>
        <v>0</v>
      </c>
      <c r="CI492" s="170">
        <f t="shared" si="902"/>
        <v>0</v>
      </c>
      <c r="CJ492" s="170">
        <f t="shared" si="903"/>
        <v>0</v>
      </c>
      <c r="CK492" s="170">
        <f t="shared" si="904"/>
        <v>0</v>
      </c>
      <c r="CL492" s="170">
        <f t="shared" si="905"/>
        <v>0</v>
      </c>
      <c r="CM492" s="170">
        <f t="shared" si="906"/>
        <v>0</v>
      </c>
      <c r="CN492" s="170">
        <f t="shared" si="907"/>
        <v>0</v>
      </c>
      <c r="CO492" s="170">
        <f t="shared" si="908"/>
        <v>0</v>
      </c>
      <c r="CP492" s="170">
        <f t="shared" si="909"/>
        <v>0</v>
      </c>
      <c r="CQ492" s="170">
        <f t="shared" si="910"/>
        <v>0</v>
      </c>
      <c r="CR492" s="170">
        <f t="shared" si="911"/>
        <v>0</v>
      </c>
      <c r="CS492" s="170">
        <f t="shared" si="912"/>
        <v>0</v>
      </c>
      <c r="CT492" s="75">
        <f t="shared" si="913"/>
        <v>0</v>
      </c>
      <c r="CU492" s="76">
        <f t="shared" si="914"/>
        <v>0</v>
      </c>
      <c r="CV492" s="76">
        <f t="shared" si="915"/>
        <v>0</v>
      </c>
      <c r="CW492" s="76">
        <f t="shared" si="916"/>
        <v>0</v>
      </c>
      <c r="CX492" s="76">
        <f t="shared" si="917"/>
        <v>0</v>
      </c>
      <c r="CY492" s="76">
        <f t="shared" si="918"/>
        <v>0</v>
      </c>
      <c r="CZ492" s="76">
        <f t="shared" si="919"/>
        <v>0</v>
      </c>
      <c r="DA492" s="76">
        <f t="shared" si="920"/>
        <v>0</v>
      </c>
      <c r="DB492" s="76">
        <f t="shared" si="921"/>
        <v>0</v>
      </c>
      <c r="DC492" s="76">
        <f t="shared" si="922"/>
        <v>0</v>
      </c>
      <c r="DD492" s="76">
        <f t="shared" si="923"/>
        <v>0</v>
      </c>
      <c r="DE492" s="77">
        <f t="shared" si="924"/>
        <v>0</v>
      </c>
      <c r="DF492" s="73">
        <f t="shared" si="926"/>
        <v>33</v>
      </c>
      <c r="DG492" s="67">
        <f t="shared" si="927"/>
        <v>43.031999999999989</v>
      </c>
      <c r="DH492" s="76">
        <f t="shared" si="928"/>
        <v>11</v>
      </c>
      <c r="DI492" s="67">
        <f t="shared" si="929"/>
        <v>45.699999999999996</v>
      </c>
      <c r="DJ492" s="202" t="str">
        <f>IF($D490="","",$D490)</f>
        <v>15</v>
      </c>
      <c r="DK492" s="493"/>
    </row>
    <row r="493" spans="1:115" ht="14.5" customHeight="1" x14ac:dyDescent="0.2">
      <c r="A493" s="459">
        <f>$A490+1</f>
        <v>164</v>
      </c>
      <c r="B493" s="507" t="str">
        <f>IF(OR(C493="W",C494="W",C495="W",C493="1/2W",C494="1/2W",C495="1/2W",C493="1/2L",C494="1/2L",C495="1/2L"),"OK",IF(OR(C493="L",C494="L",C495="L"),"LOSS",IF(OR(C493="X",C494="X",C495="X"),"Anulado"," ")))</f>
        <v>OK</v>
      </c>
      <c r="C493" s="93" t="s">
        <v>54</v>
      </c>
      <c r="D493" s="468" t="str">
        <f>IF(G493="","",$D490)</f>
        <v>15</v>
      </c>
      <c r="E493" s="485" t="str">
        <f>IF(G493=""," ","– "&amp;COUNTIF(D$4:D495,$D493))</f>
        <v>– 22</v>
      </c>
      <c r="F493" s="509" t="str">
        <f ca="1">IF(G493="","",IF(OR(AND($C493&lt;&gt;" ",$C494=" "),AND($C494&lt;&gt;" ",$C493=" "),AND(L495&gt;0,OR(AND($C495&lt;&gt;" ",OR($C493=" ",$C494=" ")),AND($C495=" ",OR($C493&lt;&gt;" ",$C494&lt;&gt;" "))))),IF(SUM(F$4:F492)=0,1,LARGE(F$4:F492,1)+1),IF(MONTH(G493)=MONTH(TODAY()),IF(AND(DAY(G493)&lt;DAY(TODAY()),$B493=" "),IF(SUM(F$4:F492)=0,1,LARGE(F$4:F492,1)+1),IF($B493=" ",IF(AND(DAY(G493)=DAY(TODAY()),HOUR(G493)&lt;=HOUR(NOW())+1),IF(AND(HOUR(G493)+2&lt;=HOUR(NOW()),DAY(G493)&lt;=DAY(TODAY()),MINUTE(G493)&lt;=MINUTE(NOW())),IF(SUM(F$4:F492)=0,1,LARGE(F$4:F492,1)+1),IF(OR(MINUTE(G493)&lt;=MINUTE(NOW()),HOUR(G493)&lt;=HOUR(NOW())),"!!!","")),""),"")),"")))</f>
        <v/>
      </c>
      <c r="G493" s="482">
        <f>IF(H493="","",_xlfn.XLOOKUP(H493,$H$4:H492,$G$4:G492,""))</f>
        <v>45002.208333333336</v>
      </c>
      <c r="H493" s="475" t="s">
        <v>188</v>
      </c>
      <c r="I493" s="94" t="s">
        <v>76</v>
      </c>
      <c r="J493" s="95">
        <v>-5.5</v>
      </c>
      <c r="K493" s="96" t="s">
        <v>40</v>
      </c>
      <c r="L493" s="97">
        <v>1.8</v>
      </c>
      <c r="M493" s="98">
        <v>14.08</v>
      </c>
      <c r="N493" s="478">
        <v>0</v>
      </c>
      <c r="O493" s="99">
        <f>IF(OR(AE493="",AE494=""),"",ROUND(IF(L495&gt;0,IF(M493&gt;0,M493,IF(M494&gt;0,ROUND((M494*AE493)/AE494,IF(N493=0,2,IF(N493=0.1,1,0))),ROUND((M495*AE493)/AE495,IF(N493=0,2,IF(N493=0.1,1,0))))),IF(M493&gt;0,M493,ROUND((M494*AE493)/AE494,IF(N493=0,2,IF(N493=0.1,1,0))))),2))</f>
        <v>14.08</v>
      </c>
      <c r="P493" s="100">
        <f>IF(OR(L493="",O493=""),"",IF($C493="1/2W",O493/2+O493/2*L493,IF($C493="1/2L",O493/2,IF(I493="Lay",(O493*(L493/(L493-1))-O493)*(1-_xlfn.XLOOKUP(K493,'Fevereiro 2023 - Valor Real'!A3:A15,'Fevereiro 2023 - Valor Real'!C3:C15,0))+O493,(O493*L493-O493)*(1-_xlfn.XLOOKUP(K493,'Fevereiro 2023 - Valor Real'!A3:A15,'Fevereiro 2023 - Valor Real'!C3:C15,0))+O493))))</f>
        <v>25.344000000000001</v>
      </c>
      <c r="Q493" s="101">
        <f>IF(K493="","",IF(_xlfn.XLOOKUP(K493,K$4:K492,$DJ$4:DJ492,0,,-1)=DJ493,_xlfn.XLOOKUP(K493,K$4:K492,Q$4:Q492,1,,-1)+1,1))</f>
        <v>7</v>
      </c>
      <c r="R493" s="102">
        <f>IF(K493="","",_xlfn.XLOOKUP(K493,K$4:K492,R$4:R492,0,,-1)+IF($C493=" ",1,0))</f>
        <v>0</v>
      </c>
      <c r="S493" s="474">
        <f>IF($B493="Anulado",0,ROUND(IF(OR($B493="LOSS",$B493="OK"),IF(OR($C493="W",$C493="1/2W",$C493="1/2L"),P493-O493,IF($C493="L",-O493,0))+IF(OR($C494="W",$C494="1/2W",$C494="1/2L"),P494-O494,IF($C494="L",-O494,0))+IF(OR($C495="W",$C495="1/2W",$C495="1/2L"),P495-O495,IF($C495="L",-O495,0)),IF(AND(OR($C493="W",$C493="1/2W",$C493="1/2L"),C494="W"),P493+P494-SUM(O493:O495)+_xlfn.XLOOKUP("X",C493:C495,O493:O495,0),IF(AND(C493=TRUE,C495="W"),P493+P495-SUM(O493:O495),IF(AND(C494="W",C495="W"),P494+P495-SUM(O493:O495)+_xlfn.XLOOKUP("X",C493:C495,O493:O495,0),IF(L495&gt;0,IF(OR($C493="W",$C493="1/2W",$C493="1/2L"),P493-SUM(O493:O495)+_xlfn.XLOOKUP("X",C493:C495,O493:O495,0),IF(OR($C493="W",$C493="1/2W",$C493="1/2L"),P494-SUM(O493:O495)+_xlfn.XLOOKUP("X",C493:C495,O493:O495,0),IF(OR($C493="W",$C493="1/2W",$C493="1/2L"),P495-SUM(O493:O495)+_xlfn.XLOOKUP("X",C493:C495,O493:O495,0),IF(SUM(P493:P495)/3-SUM(O493:O495)+_xlfn.XLOOKUP("X",C493:C495,O493:O495,0)&gt;0,SUM(P493:P495)/3-SUM(O493:O495)+_xlfn.XLOOKUP("X",C493:C495,O493:O495,0),LARGE(P493:P495,1)-SUM(O493:O495))))),IF(OR($C493="W",$C493="1/2W",$C493="1/2L"),P493-SUM(O493:O494)+_xlfn.XLOOKUP("X",C493:C495,O493:O495,0),IF(OR($C493="W",$C493="1/2W",$C493="1/2L"),P494-SUM(O493:O494)+_xlfn.XLOOKUP("X",C493:C495,O493:O495,0),SUM(P493:P494)/2-SUM(O493:O494)+_xlfn.XLOOKUP("X",C493:C495,O493:O495,0)))))))),2))</f>
        <v>0.96</v>
      </c>
      <c r="T493" s="458">
        <f>IF(S493=0,0,S493/SUM(O493:O495))</f>
        <v>3.9376538146021323E-2</v>
      </c>
      <c r="U493" s="470">
        <f>IF($D493=$D490,IF(OR($B493="LOSS",$B493="OK",$B493="Anulada"),S493,0)+U490,IF(OR($B493="LOSS",$B493="OK",$B493="Anulada"),S493,0))</f>
        <v>61.050000000000004</v>
      </c>
      <c r="V493" s="470">
        <f>IF($D493="",0,IF($D493=$D490,IF($B493=" ",IF(I495="",IF(OR(AND(I493="DNB1",I494="DNB2"),AND(OR(I493="DNB1",I493="DNB2"),J494=0),AND(OR(I494="DNB1",I494="DNB2"),J493=0),AND(I493="DNB2",I494="DNB1"),AND(IF(J493=0,(J493+1)/ROUND(J493+1,0),J493/ROUND(J493,0))=1,IF(J494=0,(J494+1)/ROUND(IF(J494="",0,J494)+1,0),IF(J494="",0,J494)/ROUND(IF(J494="",1,J494),0))=1,OR(J493&lt;&gt;""),J494&lt;&gt;"")),0,IF(S493&lt;0,IF(I495="",SMALL(P493:P494,1)-SUM(O493:O494),0),SMALL(P493:P494,1)-SUM(O493:O494))),IF(S493&lt;0,IF(I495="",SMALL(P493:P495,1)-SUM(O493:O495),0),LARGE(P493:P495,1)-SUM(O493:O495))),S493)+V490,IF(I495="",IF(OR(AND(I493="DNB1",I494="DNB2"),AND(OR(I493="DNB1",I493="DNB2"),J494=0),AND(OR(I494="DNB1",I494="DNB2"),J493=0),AND(I493="DNB2",I494="DNB1"),AND(IF(J493=0,(J493+1)/ROUND(J493+1,0),J493/ROUND(J493,0))=1,IF(J494=0,(IF(J494="",0,J494)+1)/ROUND(IF(J494="",0,J494)+1,0),IF(J494="",0,J494)/ROUND(IF(J494="",0,J494)+1,0))=1,OR(J493&lt;&gt;""),J494&lt;&gt;"")),0,IF(S493&lt;0,IF(I495="",SMALL(P493:P494,1)-SUM(O493:O494),0),SMALL(P493:P495,1)-SUM(O493:O495))),IF(S493&lt;0,IF(I495="",SMALL(P493:P495,1)-SUM(O493:O495),0),LARGE(P493:P495,1)-SUM(O493:O495)))))</f>
        <v>61.0366</v>
      </c>
      <c r="W493" s="470">
        <f>IF($D493=$D490,IF(S493&lt;0,IF(I495="",S493,0),S493)+W490,S493)</f>
        <v>61.050000000000004</v>
      </c>
      <c r="X493" s="480" t="str">
        <f>IF(OR(SUM(R493:R495)=0,V493=W493),ROUND(IF(W493=0,0,W493/Y493)*100,2)&amp;"%",ROUND(IF(V493=0,0,V493/Y493)*100,2)&amp;"% a "&amp;ROUND(IF(W493=0,0,W493/Y493)*100,2)&amp;"%")</f>
        <v>5,03%</v>
      </c>
      <c r="Y493" s="471">
        <f>IF($D493=$D490,Y490+SUM(O493:O495),SUM(O493:O495))</f>
        <v>1214.4100000000001</v>
      </c>
      <c r="Z493" s="470">
        <f>IF($B493=" ",SUM(O493:O495),0)+Z490</f>
        <v>0</v>
      </c>
      <c r="AA493" s="470">
        <f>IF(G493="","",IF($B493="Anulado",LARGE(P493:P495,1)-SUM(O493:O495)+AA490,AA490))</f>
        <v>12.425099999999992</v>
      </c>
      <c r="AB493" s="470">
        <f>IF($D493="","",AB490+S493)</f>
        <v>589.47000000000025</v>
      </c>
      <c r="AC493" s="472">
        <f ca="1">IF($D493="","",IF($B493=" ",IF(DAY(G493)=DAY(TODAY()),1+AC490,0+AC490),0+AC490))</f>
        <v>0</v>
      </c>
      <c r="AD493" s="103">
        <f>(((L494/(L494-1)-1)*(1-_xlfn.XLOOKUP(K494,'Fevereiro 2023 - Valor Real'!A3:A15,'Fevereiro 2023 - Valor Real'!C3:C15,0))+1))/(((L493-1)*(1-_xlfn.XLOOKUP(K493,'Fevereiro 2023 - Valor Real'!A3:A15,'Fevereiro 2023 - Valor Real'!C3:C15,0))+1)+((L494/(L494-1)-1)*(1-_xlfn.XLOOKUP(K494,'Fevereiro 2023 - Valor Real'!A3:A15,'Fevereiro 2023 - Valor Real'!C3:C15,0))+1))</f>
        <v>0.48349056603773588</v>
      </c>
      <c r="AE493" s="104">
        <f>IF(L493="","",IF(L495&gt;0,(SUM(((L493-1)*(1-_xlfn.XLOOKUP(K493,'Fevereiro 2023 - Valor Real'!A3:A15,'Fevereiro 2023 - Valor Real'!C3:C15,0))+1),((L494-1)*(1-_xlfn.XLOOKUP(K494,'Fevereiro 2023 - Valor Real'!A3:A15,'Fevereiro 2023 - Valor Real'!C3:C15,0))+1),((L495-1)*(1-_xlfn.XLOOKUP(K495,'Fevereiro 2023 - Valor Real'!A3:A15,'Fevereiro 2023 - Valor Real'!C3:C15,0))+1))/((L493-1)*(1-_xlfn.XLOOKUP(K493,'Fevereiro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Real'!C3:C15,0))+1))/((L493-1)*(1-_xlfn.XLOOKUP(K493,'Fevereiro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Real'!C3:C15,0))+1))/((L494-1)*(1-_xlfn.XLOOKUP(K494,'Fevereiro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Real'!C3:C15,0))+1))/((L495-1)*(1-_xlfn.XLOOKUP(K495,'Fevereiro 2023 - Valor Real'!A3:A15,'Fevereiro 2023 - Valor Real'!C3:C15,0))+1)),IF(I493="Lay",IF(I494="Lay",((L494/(L494-1)-1)*(1-_xlfn.XLOOKUP(K494,'Fevereiro 2023 - Valor Real'!A3:A15,'Fevereiro 2023 - Valor Real'!C3:C15,0))+1)/(((L494/(L494-1)-1)*(1-_xlfn.XLOOKUP(K494,'Fevereiro 2023 - Valor Real'!A3:A15,'Fevereiro 2023 - Valor Real'!C3:C15,0))+1)+((L493/(L493-1)-1)*(1-_xlfn.XLOOKUP(K493,'Fevereiro 2023 - Valor Real'!A3:A15,'Fevereiro 2023 - Valor Real'!C3:C15,0))+1)),((L494-1)*(1-_xlfn.XLOOKUP(K494,'Fevereiro 2023 - Valor Real'!A3:A15,'Fevereiro 2023 - Valor Real'!C3:C15,0))+1)/(((L494-1)*(1-_xlfn.XLOOKUP(K494,'Fevereiro 2023 - Valor Real'!A3:A15,'Fevereiro 2023 - Valor Real'!C3:C15,0))+1)+((L493/(L493-1)-1)*(1-_xlfn.XLOOKUP(K493,'Fevereiro 2023 - Valor Real'!A3:A15,'Fevereiro 2023 - Valor Real'!C3:C15,0))+1))),IF(I494="Lay",(((L494/(L494-1)-1)*(1-_xlfn.XLOOKUP(K494,'Fevereiro 2023 - Valor Real'!A3:A15,'Fevereiro 2023 - Valor Real'!C3:C15,0))+1))/(((L493-1)*(1-_xlfn.XLOOKUP(K493,'Fevereiro 2023 - Valor Real'!A3:A15,'Fevereiro 2023 - Valor Real'!C3:C15,0))+1)+((L494/(L494-1)-1)*(1-_xlfn.XLOOKUP(K494,'Fevereiro 2023 - Valor Real'!A3:A15,'Fevereiro 2023 - Valor Real'!C3:C15,0))+1)),((L494-1)*(1-_xlfn.XLOOKUP(K494,'Fevereiro 2023 - Valor Real'!A3:A15,'Fevereiro 2023 - Valor Real'!C3:C15,0))+1)/(((L494-1)*(1-_xlfn.XLOOKUP(K494,'Fevereiro 2023 - Valor Real'!A3:A15,'Fevereiro 2023 - Valor Real'!C3:C15,0))+1)+((L493-1)*(1-_xlfn.XLOOKUP(K493,'Fevereiro 2023 - Valor Real'!A3:A15,'Fevereiro 2023 - Valor Real'!C3:C15,0))+1))))))</f>
        <v>0.57746478873239437</v>
      </c>
      <c r="AF493" s="105">
        <f t="shared" si="976"/>
        <v>0</v>
      </c>
      <c r="AG493" s="106">
        <f t="shared" si="976"/>
        <v>0</v>
      </c>
      <c r="AH493" s="106">
        <f t="shared" si="976"/>
        <v>0</v>
      </c>
      <c r="AI493" s="106">
        <f t="shared" si="976"/>
        <v>0</v>
      </c>
      <c r="AJ493" s="106">
        <f t="shared" si="976"/>
        <v>11.26</v>
      </c>
      <c r="AK493" s="106">
        <f t="shared" si="976"/>
        <v>0</v>
      </c>
      <c r="AL493" s="106">
        <f t="shared" si="976"/>
        <v>0</v>
      </c>
      <c r="AM493" s="106">
        <f t="shared" si="976"/>
        <v>0</v>
      </c>
      <c r="AN493" s="106">
        <f t="shared" si="976"/>
        <v>0</v>
      </c>
      <c r="AO493" s="106">
        <f t="shared" si="976"/>
        <v>0</v>
      </c>
      <c r="AP493" s="106">
        <f t="shared" si="976"/>
        <v>0</v>
      </c>
      <c r="AQ493" s="106">
        <f t="shared" si="976"/>
        <v>0</v>
      </c>
      <c r="AR493" s="107">
        <f t="shared" si="976"/>
        <v>0</v>
      </c>
      <c r="AS493" s="105">
        <f t="shared" ref="AS493:BE493" si="990">IF(AND($B493=" ",$K493=AS$3),$O493,0)</f>
        <v>0</v>
      </c>
      <c r="AT493" s="106">
        <f t="shared" si="990"/>
        <v>0</v>
      </c>
      <c r="AU493" s="106">
        <f t="shared" si="990"/>
        <v>0</v>
      </c>
      <c r="AV493" s="106">
        <f t="shared" si="990"/>
        <v>0</v>
      </c>
      <c r="AW493" s="106">
        <f t="shared" si="990"/>
        <v>0</v>
      </c>
      <c r="AX493" s="106">
        <f t="shared" si="990"/>
        <v>0</v>
      </c>
      <c r="AY493" s="108">
        <f t="shared" si="990"/>
        <v>0</v>
      </c>
      <c r="AZ493" s="109">
        <f t="shared" si="990"/>
        <v>0</v>
      </c>
      <c r="BA493" s="109">
        <f t="shared" si="990"/>
        <v>0</v>
      </c>
      <c r="BB493" s="109">
        <f t="shared" si="990"/>
        <v>0</v>
      </c>
      <c r="BC493" s="110">
        <f t="shared" si="990"/>
        <v>0</v>
      </c>
      <c r="BD493" s="106">
        <f t="shared" si="990"/>
        <v>0</v>
      </c>
      <c r="BE493" s="107">
        <f t="shared" si="990"/>
        <v>0</v>
      </c>
      <c r="BF493" s="111">
        <f t="shared" si="978"/>
        <v>0</v>
      </c>
      <c r="BG493" s="106">
        <f t="shared" si="978"/>
        <v>0</v>
      </c>
      <c r="BH493" s="106">
        <f t="shared" si="978"/>
        <v>0</v>
      </c>
      <c r="BI493" s="106">
        <f t="shared" si="978"/>
        <v>0</v>
      </c>
      <c r="BJ493" s="106">
        <f t="shared" si="978"/>
        <v>14.08</v>
      </c>
      <c r="BK493" s="106">
        <f t="shared" si="978"/>
        <v>0</v>
      </c>
      <c r="BL493" s="106">
        <f t="shared" si="978"/>
        <v>0</v>
      </c>
      <c r="BM493" s="108">
        <f t="shared" si="978"/>
        <v>0</v>
      </c>
      <c r="BN493" s="109">
        <f t="shared" si="978"/>
        <v>0</v>
      </c>
      <c r="BO493" s="109">
        <f t="shared" si="978"/>
        <v>0</v>
      </c>
      <c r="BP493" s="109">
        <f t="shared" si="978"/>
        <v>0</v>
      </c>
      <c r="BQ493" s="110">
        <f t="shared" si="978"/>
        <v>0</v>
      </c>
      <c r="BR493" s="107">
        <f t="shared" si="978"/>
        <v>0</v>
      </c>
      <c r="BS493" s="463">
        <f>IF($B493="LOSS",IF(AND($K493=BS$3,$C493="L"),-$O493,0)+IF(AND($K494=BS$3,$C494="L"),-$O494,0)+IF(AND($K495=BS$3,$C495="L"),-$O495,0),IF(OR(AND($K493=BS$3,OR($C493="W",$C493="1/2W")),AND($K494=BS$3,OR($C494="W",$C494="1/2W")),AND($K495=BS$3,OR($C495="W",$C495="1/2W"))),$S493,0))</f>
        <v>0</v>
      </c>
      <c r="BT493" s="462">
        <f>IF($B493="LOSS",IF(AND($K493=BT$3,$C493="L"),-$O493,0)+IF(AND($K494=BT$3,$C494="L"),-$O494,0)+IF(AND($K494=BT$3,$C495="L"),-$O495,0),IF(OR(AND($K494=BT$3,OR($C493="W",$C493="1/2W")),AND($K494=BT$3,OR($C494="W",$C494="1/2W")),AND($K494=BT$3,OR($C495="W",$C495="1/2W"))),$S493,0))</f>
        <v>0</v>
      </c>
      <c r="BU493" s="462">
        <f>IF($B493="LOSS",IF(AND($K493=BU$3,$C493="L"),-$O493,0)+IF(AND($K494=BU$3,$C494="L"),-$O494,0)+IF(AND($K494=BU$3,$C495="L"),-$O495,0),IF(OR(AND($K494=BU$3,OR($C493="W",$C493="1/2W")),AND($K494=BU$3,OR($C494="W",$C494="1/2W")),AND($K494=BU$3,OR($C495="W",$C495="1/2W"))),$S493,0))</f>
        <v>0</v>
      </c>
      <c r="BV493" s="462">
        <f t="shared" ref="BV493:CE493" si="991">IF($B493="LOSS",IF(AND($K493=BV$3,$C493="L"),-$O493,0)+IF(AND($K494=BV$3,$C494="L"),-$O494,0)+IF(AND($K495=BV$3,$C495="L"),-$O495,0),IF(OR(AND($K493=BV$3,OR($C493="W",$C493="1/2W")),AND($K494=BV$3,OR($C494="W",$C494="1/2W")),AND($K495=BV$3,OR($C495="W",$C495="1/2W"))),$S493,0))</f>
        <v>0</v>
      </c>
      <c r="BW493" s="462">
        <f t="shared" si="991"/>
        <v>0.96</v>
      </c>
      <c r="BX493" s="462">
        <f t="shared" si="991"/>
        <v>0</v>
      </c>
      <c r="BY493" s="462">
        <f t="shared" si="991"/>
        <v>0</v>
      </c>
      <c r="BZ493" s="460">
        <f t="shared" si="991"/>
        <v>0</v>
      </c>
      <c r="CA493" s="460">
        <f t="shared" si="991"/>
        <v>0</v>
      </c>
      <c r="CB493" s="460">
        <f t="shared" si="991"/>
        <v>0</v>
      </c>
      <c r="CC493" s="460">
        <f t="shared" si="991"/>
        <v>0</v>
      </c>
      <c r="CD493" s="473">
        <f t="shared" si="991"/>
        <v>0</v>
      </c>
      <c r="CE493" s="479">
        <f t="shared" si="991"/>
        <v>0</v>
      </c>
      <c r="CF493" s="113">
        <f t="shared" si="899"/>
        <v>0</v>
      </c>
      <c r="CG493" s="114">
        <f t="shared" si="900"/>
        <v>0</v>
      </c>
      <c r="CH493" s="114">
        <f t="shared" si="901"/>
        <v>0</v>
      </c>
      <c r="CI493" s="114">
        <f t="shared" si="902"/>
        <v>0</v>
      </c>
      <c r="CJ493" s="114">
        <f t="shared" si="903"/>
        <v>0</v>
      </c>
      <c r="CK493" s="114">
        <f t="shared" si="904"/>
        <v>0</v>
      </c>
      <c r="CL493" s="114">
        <f t="shared" si="905"/>
        <v>0</v>
      </c>
      <c r="CM493" s="114">
        <f t="shared" si="906"/>
        <v>0</v>
      </c>
      <c r="CN493" s="114">
        <f t="shared" si="907"/>
        <v>1</v>
      </c>
      <c r="CO493" s="114">
        <f t="shared" si="908"/>
        <v>0</v>
      </c>
      <c r="CP493" s="114">
        <f t="shared" si="909"/>
        <v>0</v>
      </c>
      <c r="CQ493" s="114">
        <f t="shared" si="910"/>
        <v>0</v>
      </c>
      <c r="CR493" s="114">
        <f t="shared" si="911"/>
        <v>0</v>
      </c>
      <c r="CS493" s="114">
        <f t="shared" si="912"/>
        <v>0</v>
      </c>
      <c r="CT493" s="115">
        <f t="shared" si="913"/>
        <v>0</v>
      </c>
      <c r="CU493" s="116">
        <f t="shared" si="914"/>
        <v>0</v>
      </c>
      <c r="CV493" s="116">
        <f t="shared" si="915"/>
        <v>0</v>
      </c>
      <c r="CW493" s="116">
        <f t="shared" si="916"/>
        <v>0</v>
      </c>
      <c r="CX493" s="116">
        <f t="shared" si="917"/>
        <v>0</v>
      </c>
      <c r="CY493" s="116">
        <f t="shared" si="918"/>
        <v>0</v>
      </c>
      <c r="CZ493" s="116">
        <f t="shared" si="919"/>
        <v>0</v>
      </c>
      <c r="DA493" s="116">
        <f t="shared" si="920"/>
        <v>0</v>
      </c>
      <c r="DB493" s="116">
        <f t="shared" si="921"/>
        <v>0</v>
      </c>
      <c r="DC493" s="116">
        <f t="shared" si="922"/>
        <v>0</v>
      </c>
      <c r="DD493" s="116">
        <f t="shared" si="923"/>
        <v>0</v>
      </c>
      <c r="DE493" s="117">
        <f t="shared" si="924"/>
        <v>0</v>
      </c>
      <c r="DF493" s="118">
        <f t="shared" si="926"/>
        <v>33</v>
      </c>
      <c r="DG493" s="106">
        <f t="shared" si="927"/>
        <v>43.031999999999989</v>
      </c>
      <c r="DH493" s="116">
        <f t="shared" si="928"/>
        <v>11</v>
      </c>
      <c r="DI493" s="106">
        <f t="shared" si="929"/>
        <v>45.699999999999996</v>
      </c>
      <c r="DJ493" s="201" t="str">
        <f>IF($D493="","",$D493)</f>
        <v>15</v>
      </c>
      <c r="DK493" s="465">
        <f>IF(AND($B493=" ",$D493&lt;&gt;""),1,0)</f>
        <v>0</v>
      </c>
    </row>
    <row r="494" spans="1:115" ht="14.5" customHeight="1" x14ac:dyDescent="0.2">
      <c r="A494" s="389"/>
      <c r="B494" s="456"/>
      <c r="C494" s="120" t="s">
        <v>55</v>
      </c>
      <c r="D494" s="374"/>
      <c r="E494" s="386"/>
      <c r="F494" s="377"/>
      <c r="G494" s="483"/>
      <c r="H494" s="476"/>
      <c r="I494" s="121" t="s">
        <v>66</v>
      </c>
      <c r="J494" s="122">
        <f>IF(OR(I493="TO",I493="TU",I493="TO1",I493="TU1",I493="TO2",I493="TU2"),J493,IF(OR(I493="AH1",I493="AH2"),IF(OR(I494="AH1",I494="AH2"),-J493,IF(OR(I494="EH1",I494="EH2"),-J493+0.5,"")),IF(OR(I493="EH1",I493="EH2"),IF(OR(I494="AH1",I494="AH2"),-J493+0.5,IF(OR(I494="EH1",I494="EH2"),-J493+1,"")),IF(AND(OR(I493="DNB1",I493="DNB2"),OR(I494="AH1",I494="AH2")),0,IF(AND(I493="Not ScoreBoth",OR(I494="TO1",I494="TO2")),0.5,"")))))</f>
        <v>5.5</v>
      </c>
      <c r="K494" s="123" t="s">
        <v>43</v>
      </c>
      <c r="L494" s="124">
        <v>2.46</v>
      </c>
      <c r="M494" s="125"/>
      <c r="N494" s="406"/>
      <c r="O494" s="126">
        <f>IF(OR(AE493="",AE494=""),"",ROUND(IF(L495&gt;0,IF(M494&gt;0,M494,IF(M493&gt;0,IF(N493=TRUE,ROUND((M493*AE494)/AE493,0),(M493*AE494)/AE493),IF(M494&gt;0,ROUND(M494,IF(N493=0,2,IF(N493=0.1,1,0))),IF(M495&gt;0,ROUND(O495*AE494/AE495,IF(N493=0,2,IF(N493=0.1,1,0))),0)))),IF(M494&gt;0,M494,ROUND((M493*AE494)/AE493,IF(N493=0,2,IF(N493=0.1,1,0))))),2))</f>
        <v>10.3</v>
      </c>
      <c r="P494" s="127">
        <f>IF(OR(L494="",O494=""),"",IF($C494="1/2W",O494/2+O494/2*L494,IF($C494="1/2L",O494/2,IF(I494="Lay",((O494*(L494/(L494-1)))-O494)*(1-_xlfn.XLOOKUP(K494,'Fevereiro 2023 - Valor Real'!A3:A15,'Fevereiro 2023 - Valor Real'!C3:C15,0))+O494,(O494*L494-O494)*(1-_xlfn.XLOOKUP(K494,'Fevereiro 2023 - Valor Real'!A3:A15,'Fevereiro 2023 - Valor Real'!C3:C15,0))+O494))))</f>
        <v>25.338000000000001</v>
      </c>
      <c r="Q494" s="128">
        <f>IF(K494="","",IF(_xlfn.XLOOKUP(K494,K$4:K493,$DJ$4:DJ493,0,,-1)=DJ494,_xlfn.XLOOKUP(K494,K$4:K493,Q$4:Q493,1,,-1)+1,1))</f>
        <v>8</v>
      </c>
      <c r="R494" s="129">
        <f>IF(K494="","",_xlfn.XLOOKUP(K494,K$4:K493,R$4:R493,0,,-1)+IF($C494=" ",1,0))</f>
        <v>0</v>
      </c>
      <c r="S494" s="403"/>
      <c r="T494" s="380"/>
      <c r="U494" s="380"/>
      <c r="V494" s="481"/>
      <c r="W494" s="380"/>
      <c r="X494" s="452"/>
      <c r="Y494" s="383"/>
      <c r="Z494" s="384"/>
      <c r="AA494" s="384"/>
      <c r="AB494" s="384"/>
      <c r="AC494" s="384"/>
      <c r="AD494" s="130">
        <f>(((L494/(L494-1)-1)*(1-_xlfn.XLOOKUP(K494,'Fevereiro 2023 - Valor Real'!A3:A15,'Fevereiro 2023 - Valor Real'!C3:C15,0))+1))</f>
        <v>1.6849315068493151</v>
      </c>
      <c r="AE494" s="131">
        <f>IF(L494="","",IF(L495&gt;0,(SUM(((L493-1)*(1-_xlfn.XLOOKUP(K493,'Fevereiro 2023 - Valor Real'!A3:A15,'Fevereiro 2023 - Valor Real'!C3:C15,0))+1),((L494-1)*(1-_xlfn.XLOOKUP(K494,'Fevereiro 2023 - Valor Real'!A3:A15,'Fevereiro 2023 - Valor Real'!C3:C15,0))+1),((L495-1)*(1-_xlfn.XLOOKUP(K495,'Fevereiro 2023 - Valor Real'!A3:A15,'Fevereiro 2023 - Valor Real'!C3:C15,0))+1))/((L494-1)*(1-_xlfn.XLOOKUP(K494,'Fevereiro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Real'!C3:C15,0))+1))/((L493-1)*(1-_xlfn.XLOOKUP(K493,'Fevereiro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Real'!C3:C15,0))+1))/((L494-1)*(1-_xlfn.XLOOKUP(K494,'Fevereiro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Real'!C3:C15,0))+1))/((L495-1)*(1-_xlfn.XLOOKUP(K495,'Fevereiro 2023 - Valor Real'!A3:A15,'Fevereiro 2023 - Valor Real'!C3:C15,0))+1)),IF(I494="Lay",IF(I493="Lay",((L493/(L493-1)-1)*(1-_xlfn.XLOOKUP(K493,'Fevereiro 2023 - Valor Real'!A3:A15,'Fevereiro 2023 - Valor Real'!C3:C15,0))+1)/(((L493/(L493-1)-1)*(1-_xlfn.XLOOKUP(K493,'Fevereiro 2023 - Valor Real'!A3:A15,'Fevereiro 2023 - Valor Real'!C3:C15,0))+1)+((L494/(L494-1)-1)*(1-_xlfn.XLOOKUP(K494,'Fevereiro 2023 - Valor Real'!A3:A15,'Fevereiro 2023 - Valor Real'!C3:C15,0))+1)),((L493-1)*(1-_xlfn.XLOOKUP(K493,'Fevereiro 2023 - Valor Real'!A3:A15,'Fevereiro 2023 - Valor Real'!C3:C15,0))+1)/(((L493-1)*(1-_xlfn.XLOOKUP(K493,'Fevereiro 2023 - Valor Real'!A3:A15,'Fevereiro 2023 - Valor Real'!C3:C15,0))+1)+((L494/(L494-1)-1)*(1-_xlfn.XLOOKUP(K494,'Fevereiro 2023 - Valor Real'!A3:A15,'Fevereiro 2023 - Valor Real'!C3:C15,0))+1))),IF(I493="Lay",((L493/(L493-1)-1)*(1-_xlfn.XLOOKUP(K493,'Fevereiro 2023 - Valor Real'!A3:A15,'Fevereiro 2023 - Valor Real'!C3:C15,0))+1)/((((L493/(L493-1)-1)*(1-_xlfn.XLOOKUP(K493,'Fevereiro 2023 - Valor Real'!A3:A15,'Fevereiro 2023 - Valor Real'!C3:C15,0))+1))+((L494-1)*(1-_xlfn.XLOOKUP(K494,'Fevereiro 2023 - Valor Real'!A3:A15,'Fevereiro 2023 - Valor Real'!C3:C15,0))+1)),((L493-1)*(1-_xlfn.XLOOKUP(K493,'Fevereiro 2023 - Valor Real'!A3:A15,'Fevereiro 2023 - Valor Real'!C3:C15,0))+1)/(((L493-1)*(1-_xlfn.XLOOKUP(K493,'Fevereiro 2023 - Valor Real'!A3:A15,'Fevereiro 2023 - Valor Real'!C3:C15,0))+1)+((L494-1)*(1-_xlfn.XLOOKUP(K494,'Fevereiro 2023 - Valor Real'!A3:A15,'Fevereiro 2023 - Valor Real'!C3:C15,0))+1))))))</f>
        <v>0.42253521126760568</v>
      </c>
      <c r="AF494" s="105">
        <f t="shared" ref="AF494:AR503" si="992">IF($K494=AF$3,ROUND(IF(OR($C494="W",$C494="1/2W",$C494="1/2L"),$P494-$O494,IF($C494="X",0,-$O494)),2),0)</f>
        <v>0</v>
      </c>
      <c r="AG494" s="106">
        <f t="shared" si="992"/>
        <v>0</v>
      </c>
      <c r="AH494" s="106">
        <f t="shared" si="992"/>
        <v>0</v>
      </c>
      <c r="AI494" s="106">
        <f t="shared" si="992"/>
        <v>0</v>
      </c>
      <c r="AJ494" s="106">
        <f t="shared" si="992"/>
        <v>0</v>
      </c>
      <c r="AK494" s="106">
        <f t="shared" si="992"/>
        <v>0</v>
      </c>
      <c r="AL494" s="106">
        <f t="shared" si="992"/>
        <v>0</v>
      </c>
      <c r="AM494" s="106">
        <f t="shared" si="992"/>
        <v>-10.3</v>
      </c>
      <c r="AN494" s="106">
        <f t="shared" si="992"/>
        <v>0</v>
      </c>
      <c r="AO494" s="106">
        <f t="shared" si="992"/>
        <v>0</v>
      </c>
      <c r="AP494" s="106">
        <f t="shared" si="992"/>
        <v>0</v>
      </c>
      <c r="AQ494" s="106">
        <f t="shared" si="992"/>
        <v>0</v>
      </c>
      <c r="AR494" s="107">
        <f t="shared" si="992"/>
        <v>0</v>
      </c>
      <c r="AS494" s="105">
        <f>IF(AND($B493=" ",$K494=AS$3),$O494,0)</f>
        <v>0</v>
      </c>
      <c r="AT494" s="106">
        <f>IF(AND($B493=" ",K494=AT$3),$O494,0)</f>
        <v>0</v>
      </c>
      <c r="AU494" s="106">
        <f t="shared" ref="AU494:BE494" si="993">IF(AND($B493=" ",$K494=AU$3),$O494,0)</f>
        <v>0</v>
      </c>
      <c r="AV494" s="106">
        <f t="shared" si="993"/>
        <v>0</v>
      </c>
      <c r="AW494" s="106">
        <f t="shared" si="993"/>
        <v>0</v>
      </c>
      <c r="AX494" s="106">
        <f t="shared" si="993"/>
        <v>0</v>
      </c>
      <c r="AY494" s="108">
        <f t="shared" si="993"/>
        <v>0</v>
      </c>
      <c r="AZ494" s="109">
        <f t="shared" si="993"/>
        <v>0</v>
      </c>
      <c r="BA494" s="109">
        <f t="shared" si="993"/>
        <v>0</v>
      </c>
      <c r="BB494" s="109">
        <f t="shared" si="993"/>
        <v>0</v>
      </c>
      <c r="BC494" s="110">
        <f t="shared" si="993"/>
        <v>0</v>
      </c>
      <c r="BD494" s="106">
        <f t="shared" si="993"/>
        <v>0</v>
      </c>
      <c r="BE494" s="107">
        <f t="shared" si="993"/>
        <v>0</v>
      </c>
      <c r="BF494" s="105">
        <f t="shared" ref="BF494:BR503" si="994">IF($K494=BF$3,IF($C494="X",0,$O494),0)</f>
        <v>0</v>
      </c>
      <c r="BG494" s="106">
        <f t="shared" si="994"/>
        <v>0</v>
      </c>
      <c r="BH494" s="106">
        <f t="shared" si="994"/>
        <v>0</v>
      </c>
      <c r="BI494" s="106">
        <f t="shared" si="994"/>
        <v>0</v>
      </c>
      <c r="BJ494" s="106">
        <f t="shared" si="994"/>
        <v>0</v>
      </c>
      <c r="BK494" s="106">
        <f t="shared" si="994"/>
        <v>0</v>
      </c>
      <c r="BL494" s="106">
        <f t="shared" si="994"/>
        <v>0</v>
      </c>
      <c r="BM494" s="132">
        <f t="shared" si="994"/>
        <v>10.3</v>
      </c>
      <c r="BN494" s="112">
        <f t="shared" si="994"/>
        <v>0</v>
      </c>
      <c r="BO494" s="112">
        <f t="shared" si="994"/>
        <v>0</v>
      </c>
      <c r="BP494" s="112">
        <f t="shared" si="994"/>
        <v>0</v>
      </c>
      <c r="BQ494" s="110">
        <f t="shared" si="994"/>
        <v>0</v>
      </c>
      <c r="BR494" s="107">
        <f t="shared" si="994"/>
        <v>0</v>
      </c>
      <c r="BS494" s="464"/>
      <c r="BT494" s="461"/>
      <c r="BU494" s="392"/>
      <c r="BV494" s="461"/>
      <c r="BW494" s="392"/>
      <c r="BX494" s="392"/>
      <c r="BY494" s="392"/>
      <c r="BZ494" s="461"/>
      <c r="CA494" s="392"/>
      <c r="CB494" s="392"/>
      <c r="CC494" s="392"/>
      <c r="CD494" s="401"/>
      <c r="CE494" s="409"/>
      <c r="CF494" s="133">
        <f t="shared" si="899"/>
        <v>0</v>
      </c>
      <c r="CG494" s="134">
        <f t="shared" si="900"/>
        <v>0</v>
      </c>
      <c r="CH494" s="134">
        <f t="shared" si="901"/>
        <v>0</v>
      </c>
      <c r="CI494" s="134">
        <f t="shared" si="902"/>
        <v>0</v>
      </c>
      <c r="CJ494" s="134">
        <f t="shared" si="903"/>
        <v>0</v>
      </c>
      <c r="CK494" s="134">
        <f t="shared" si="904"/>
        <v>0</v>
      </c>
      <c r="CL494" s="134">
        <f t="shared" si="905"/>
        <v>0</v>
      </c>
      <c r="CM494" s="134">
        <f t="shared" si="906"/>
        <v>0</v>
      </c>
      <c r="CN494" s="134">
        <f t="shared" si="907"/>
        <v>0</v>
      </c>
      <c r="CO494" s="134">
        <f t="shared" si="908"/>
        <v>0</v>
      </c>
      <c r="CP494" s="134">
        <f t="shared" si="909"/>
        <v>0</v>
      </c>
      <c r="CQ494" s="134">
        <f t="shared" si="910"/>
        <v>0</v>
      </c>
      <c r="CR494" s="134">
        <f t="shared" si="911"/>
        <v>0</v>
      </c>
      <c r="CS494" s="134">
        <f t="shared" si="912"/>
        <v>0</v>
      </c>
      <c r="CT494" s="115">
        <f t="shared" si="913"/>
        <v>0</v>
      </c>
      <c r="CU494" s="116">
        <f t="shared" si="914"/>
        <v>1</v>
      </c>
      <c r="CV494" s="116">
        <f t="shared" si="915"/>
        <v>0</v>
      </c>
      <c r="CW494" s="116">
        <f t="shared" si="916"/>
        <v>0</v>
      </c>
      <c r="CX494" s="116">
        <f t="shared" si="917"/>
        <v>0</v>
      </c>
      <c r="CY494" s="116">
        <f t="shared" si="918"/>
        <v>0</v>
      </c>
      <c r="CZ494" s="116">
        <f t="shared" si="919"/>
        <v>0</v>
      </c>
      <c r="DA494" s="116">
        <f t="shared" si="920"/>
        <v>0</v>
      </c>
      <c r="DB494" s="116">
        <f t="shared" si="921"/>
        <v>0</v>
      </c>
      <c r="DC494" s="116">
        <f t="shared" si="922"/>
        <v>0</v>
      </c>
      <c r="DD494" s="116">
        <f t="shared" si="923"/>
        <v>0</v>
      </c>
      <c r="DE494" s="117">
        <f t="shared" si="924"/>
        <v>0</v>
      </c>
      <c r="DF494" s="118">
        <f t="shared" si="926"/>
        <v>33</v>
      </c>
      <c r="DG494" s="106">
        <f t="shared" si="927"/>
        <v>43.031999999999989</v>
      </c>
      <c r="DH494" s="116">
        <f t="shared" si="928"/>
        <v>11</v>
      </c>
      <c r="DI494" s="106">
        <f t="shared" si="929"/>
        <v>45.699999999999996</v>
      </c>
      <c r="DJ494" s="201" t="str">
        <f>IF($D493="","",$D493)</f>
        <v>15</v>
      </c>
      <c r="DK494" s="466"/>
    </row>
    <row r="495" spans="1:115" ht="14.5" customHeight="1" x14ac:dyDescent="0.2">
      <c r="A495" s="390"/>
      <c r="B495" s="457"/>
      <c r="C495" s="135" t="s">
        <v>53</v>
      </c>
      <c r="D495" s="375"/>
      <c r="E495" s="387"/>
      <c r="F495" s="378"/>
      <c r="G495" s="484"/>
      <c r="H495" s="477"/>
      <c r="I495" s="136"/>
      <c r="J495" s="137"/>
      <c r="K495" s="138"/>
      <c r="L495" s="139"/>
      <c r="M495" s="140"/>
      <c r="N495" s="407"/>
      <c r="O495" s="141" t="str">
        <f>IF(OR(AE493="",AE494=""),"",IF(L495&gt;0,ROUND(IF(M495&gt;0,M495,IF(M493&gt;0,ROUND((M493*AE495)/AE493,IF(N493=0,2,IF(N493=0.1,1,0))),IF(M494&gt;0,ROUND((M494*AE495)/AE494,IF(N493=0,2,IF(N493=0.1,1,0))),IF(M495&gt;0,M495,0)))),2),""))</f>
        <v/>
      </c>
      <c r="P495" s="142" t="str">
        <f>IF(I494="Lay",O494*(L494/(L494-1))-O494,IF(I493="Lay",O493*(L493/(L493-1))-O493,IF(OR(L495="",O495=""),"",IF($C495="1/2W",O495/2+O495/2*L495,IF($C495="1/2L",O495/2,(O495*L495-O495)*(1-_xlfn.XLOOKUP(K495,'Fevereiro 2023 - Valor Real'!A3:A15,'Fevereiro 2023 - Valor Real'!C3:C15,0))+O495)))))</f>
        <v/>
      </c>
      <c r="Q495" s="143" t="str">
        <f>IF(K495="","",IF(_xlfn.XLOOKUP(K495,K$4:K494,$DJ$4:DJ494,0,,-1)=DJ495,_xlfn.XLOOKUP(K495,K$4:K494,Q$4:Q494,1,,-1)+1,1))</f>
        <v/>
      </c>
      <c r="R495" s="144" t="str">
        <f>IF(K495="","",_xlfn.XLOOKUP(K495,K$4:K494,R$4:R494,0,,-1)+IF($C495=" ",1,0))</f>
        <v/>
      </c>
      <c r="S495" s="404"/>
      <c r="T495" s="378"/>
      <c r="U495" s="378"/>
      <c r="V495" s="404"/>
      <c r="W495" s="378"/>
      <c r="X495" s="453"/>
      <c r="Y495" s="383"/>
      <c r="Z495" s="384"/>
      <c r="AA495" s="384"/>
      <c r="AB495" s="384"/>
      <c r="AC495" s="384"/>
      <c r="AD495" s="145">
        <f>((L494/(L494-1)-1))</f>
        <v>0.68493150684931514</v>
      </c>
      <c r="AE495" s="146" t="str">
        <f>IF(L495="","",(SUM(((L493-1)*(1-_xlfn.XLOOKUP(K493,'Fevereiro 2023 - Valor Real'!A3:A15,'Fevereiro 2023 - Valor Real'!C3:C15,0))+1),((L494-1)*(1-_xlfn.XLOOKUP(K494,'Fevereiro 2023 - Valor Real'!A3:A15,'Fevereiro 2023 - Valor Real'!C3:C15,0))+1),((L495-1)*(1-_xlfn.XLOOKUP(K495,'Fevereiro 2023 - Valor Real'!A3:A15,'Fevereiro 2023 - Valor Real'!C3:C15,0))+1))/((L495-1)*(1-_xlfn.XLOOKUP(K495,'Fevereiro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Real'!C3:C15,0))+1))/((L493-1)*(1-_xlfn.XLOOKUP(K493,'Fevereiro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Real'!C3:C15,0))+1))/((L494-1)*(1-_xlfn.XLOOKUP(K494,'Fevereiro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Real'!C3:C15,0))+1))/((L495-1)*(1-_xlfn.XLOOKUP(K495,'Fevereiro 2023 - Valor Real'!A3:A15,'Fevereiro 2023 - Valor Real'!C3:C15,0))+1)))</f>
        <v/>
      </c>
      <c r="AF495" s="105">
        <f t="shared" si="992"/>
        <v>0</v>
      </c>
      <c r="AG495" s="106">
        <f t="shared" si="992"/>
        <v>0</v>
      </c>
      <c r="AH495" s="106">
        <f t="shared" si="992"/>
        <v>0</v>
      </c>
      <c r="AI495" s="106">
        <f t="shared" si="992"/>
        <v>0</v>
      </c>
      <c r="AJ495" s="106">
        <f t="shared" si="992"/>
        <v>0</v>
      </c>
      <c r="AK495" s="106">
        <f t="shared" si="992"/>
        <v>0</v>
      </c>
      <c r="AL495" s="106">
        <f t="shared" si="992"/>
        <v>0</v>
      </c>
      <c r="AM495" s="106">
        <f t="shared" si="992"/>
        <v>0</v>
      </c>
      <c r="AN495" s="106">
        <f t="shared" si="992"/>
        <v>0</v>
      </c>
      <c r="AO495" s="106">
        <f t="shared" si="992"/>
        <v>0</v>
      </c>
      <c r="AP495" s="106">
        <f t="shared" si="992"/>
        <v>0</v>
      </c>
      <c r="AQ495" s="106">
        <f t="shared" si="992"/>
        <v>0</v>
      </c>
      <c r="AR495" s="107">
        <f t="shared" si="992"/>
        <v>0</v>
      </c>
      <c r="AS495" s="105">
        <f>IF(AND($B493=" ",$K495=AS$3),$O495,0)</f>
        <v>0</v>
      </c>
      <c r="AT495" s="106">
        <f>IF(AND($B493=" ",K495=AT$3),$O495,0)</f>
        <v>0</v>
      </c>
      <c r="AU495" s="106">
        <f t="shared" ref="AU495:BE495" si="995">IF(AND($B493=" ",$K495=AU$3),$O495,0)</f>
        <v>0</v>
      </c>
      <c r="AV495" s="106">
        <f t="shared" si="995"/>
        <v>0</v>
      </c>
      <c r="AW495" s="106">
        <f t="shared" si="995"/>
        <v>0</v>
      </c>
      <c r="AX495" s="106">
        <f t="shared" si="995"/>
        <v>0</v>
      </c>
      <c r="AY495" s="108">
        <f t="shared" si="995"/>
        <v>0</v>
      </c>
      <c r="AZ495" s="109">
        <f t="shared" si="995"/>
        <v>0</v>
      </c>
      <c r="BA495" s="109">
        <f t="shared" si="995"/>
        <v>0</v>
      </c>
      <c r="BB495" s="109">
        <f t="shared" si="995"/>
        <v>0</v>
      </c>
      <c r="BC495" s="110">
        <f t="shared" si="995"/>
        <v>0</v>
      </c>
      <c r="BD495" s="106">
        <f t="shared" si="995"/>
        <v>0</v>
      </c>
      <c r="BE495" s="107">
        <f t="shared" si="995"/>
        <v>0</v>
      </c>
      <c r="BF495" s="105">
        <f t="shared" si="994"/>
        <v>0</v>
      </c>
      <c r="BG495" s="106">
        <f t="shared" si="994"/>
        <v>0</v>
      </c>
      <c r="BH495" s="106">
        <f t="shared" si="994"/>
        <v>0</v>
      </c>
      <c r="BI495" s="106">
        <f t="shared" si="994"/>
        <v>0</v>
      </c>
      <c r="BJ495" s="106">
        <f t="shared" si="994"/>
        <v>0</v>
      </c>
      <c r="BK495" s="106">
        <f t="shared" si="994"/>
        <v>0</v>
      </c>
      <c r="BL495" s="106">
        <f t="shared" si="994"/>
        <v>0</v>
      </c>
      <c r="BM495" s="108">
        <f t="shared" si="994"/>
        <v>0</v>
      </c>
      <c r="BN495" s="109">
        <f t="shared" si="994"/>
        <v>0</v>
      </c>
      <c r="BO495" s="109">
        <f t="shared" si="994"/>
        <v>0</v>
      </c>
      <c r="BP495" s="109">
        <f t="shared" si="994"/>
        <v>0</v>
      </c>
      <c r="BQ495" s="110">
        <f t="shared" si="994"/>
        <v>0</v>
      </c>
      <c r="BR495" s="107">
        <f t="shared" si="994"/>
        <v>0</v>
      </c>
      <c r="BS495" s="464"/>
      <c r="BT495" s="461"/>
      <c r="BU495" s="392"/>
      <c r="BV495" s="461"/>
      <c r="BW495" s="392"/>
      <c r="BX495" s="392"/>
      <c r="BY495" s="392"/>
      <c r="BZ495" s="461"/>
      <c r="CA495" s="392"/>
      <c r="CB495" s="392"/>
      <c r="CC495" s="392"/>
      <c r="CD495" s="401"/>
      <c r="CE495" s="409"/>
      <c r="CF495" s="133">
        <f t="shared" si="899"/>
        <v>0</v>
      </c>
      <c r="CG495" s="134">
        <f t="shared" si="900"/>
        <v>0</v>
      </c>
      <c r="CH495" s="134">
        <f t="shared" si="901"/>
        <v>0</v>
      </c>
      <c r="CI495" s="134">
        <f t="shared" si="902"/>
        <v>0</v>
      </c>
      <c r="CJ495" s="134">
        <f t="shared" si="903"/>
        <v>0</v>
      </c>
      <c r="CK495" s="134">
        <f t="shared" si="904"/>
        <v>0</v>
      </c>
      <c r="CL495" s="134">
        <f t="shared" si="905"/>
        <v>0</v>
      </c>
      <c r="CM495" s="134">
        <f t="shared" si="906"/>
        <v>0</v>
      </c>
      <c r="CN495" s="134">
        <f t="shared" si="907"/>
        <v>0</v>
      </c>
      <c r="CO495" s="134">
        <f t="shared" si="908"/>
        <v>0</v>
      </c>
      <c r="CP495" s="134">
        <f t="shared" si="909"/>
        <v>0</v>
      </c>
      <c r="CQ495" s="134">
        <f t="shared" si="910"/>
        <v>0</v>
      </c>
      <c r="CR495" s="134">
        <f t="shared" si="911"/>
        <v>0</v>
      </c>
      <c r="CS495" s="134">
        <f t="shared" si="912"/>
        <v>0</v>
      </c>
      <c r="CT495" s="115">
        <f t="shared" si="913"/>
        <v>0</v>
      </c>
      <c r="CU495" s="116">
        <f t="shared" si="914"/>
        <v>0</v>
      </c>
      <c r="CV495" s="116">
        <f t="shared" si="915"/>
        <v>0</v>
      </c>
      <c r="CW495" s="116">
        <f t="shared" si="916"/>
        <v>0</v>
      </c>
      <c r="CX495" s="116">
        <f t="shared" si="917"/>
        <v>0</v>
      </c>
      <c r="CY495" s="116">
        <f t="shared" si="918"/>
        <v>0</v>
      </c>
      <c r="CZ495" s="116">
        <f t="shared" si="919"/>
        <v>0</v>
      </c>
      <c r="DA495" s="116">
        <f t="shared" si="920"/>
        <v>0</v>
      </c>
      <c r="DB495" s="116">
        <f t="shared" si="921"/>
        <v>0</v>
      </c>
      <c r="DC495" s="116">
        <f t="shared" si="922"/>
        <v>0</v>
      </c>
      <c r="DD495" s="116">
        <f t="shared" si="923"/>
        <v>0</v>
      </c>
      <c r="DE495" s="117">
        <f t="shared" si="924"/>
        <v>0</v>
      </c>
      <c r="DF495" s="118">
        <f t="shared" si="926"/>
        <v>33</v>
      </c>
      <c r="DG495" s="106">
        <f t="shared" si="927"/>
        <v>43.031999999999989</v>
      </c>
      <c r="DH495" s="116">
        <f t="shared" si="928"/>
        <v>11</v>
      </c>
      <c r="DI495" s="106">
        <f t="shared" si="929"/>
        <v>45.699999999999996</v>
      </c>
      <c r="DJ495" s="201" t="str">
        <f>IF($D493="","",$D493)</f>
        <v>15</v>
      </c>
      <c r="DK495" s="466"/>
    </row>
    <row r="496" spans="1:115" ht="14.5" customHeight="1" x14ac:dyDescent="0.2">
      <c r="A496" s="487">
        <f>$A493+1</f>
        <v>165</v>
      </c>
      <c r="B496" s="506" t="str">
        <f>IF(OR(C496="W",C497="W",C498="W",C496="1/2W",C497="1/2W",C498="1/2W",C496="1/2L",C497="1/2L",C498="1/2L"),"OK",IF(OR(C496="L",C497="L",C498="L"),"LOSS",IF(OR(C496="X",C497="X",C498="X"),"Anulado"," ")))</f>
        <v>OK</v>
      </c>
      <c r="C496" s="147" t="s">
        <v>55</v>
      </c>
      <c r="D496" s="494" t="str">
        <f>IF(G496="","",$D493)</f>
        <v>15</v>
      </c>
      <c r="E496" s="511" t="str">
        <f>IF(G496=""," ","– "&amp;COUNTIF(D$4:D498,$D496))</f>
        <v>– 23</v>
      </c>
      <c r="F496" s="510" t="str">
        <f ca="1">IF(G496="","",IF(OR(AND($C496&lt;&gt;" ",$C497=" "),AND($C497&lt;&gt;" ",$C496=" "),AND(L498&gt;0,OR(AND($C498&lt;&gt;" ",OR($C496=" ",$C497=" ")),AND($C498=" ",OR($C496&lt;&gt;" ",$C497&lt;&gt;" "))))),IF(SUM(F$4:F495)=0,1,LARGE(F$4:F495,1)+1),IF(MONTH(G496)=MONTH(TODAY()),IF(AND(DAY(G496)&lt;DAY(TODAY()),$B496=" "),IF(SUM(F$4:F495)=0,1,LARGE(F$4:F495,1)+1),IF($B496=" ",IF(AND(DAY(G496)=DAY(TODAY()),HOUR(G496)&lt;=HOUR(NOW())+1),IF(AND(HOUR(G496)+2&lt;=HOUR(NOW()),DAY(G496)&lt;=DAY(TODAY()),MINUTE(G496)&lt;=MINUTE(NOW())),IF(SUM(F$4:F495)=0,1,LARGE(F$4:F495,1)+1),IF(OR(MINUTE(G496)&lt;=MINUTE(NOW()),HOUR(G496)&lt;=HOUR(NOW())),"!!!","")),""),"")),"")))</f>
        <v/>
      </c>
      <c r="G496" s="508">
        <v>45000.645833333336</v>
      </c>
      <c r="H496" s="502" t="s">
        <v>198</v>
      </c>
      <c r="I496" s="180" t="s">
        <v>66</v>
      </c>
      <c r="J496" s="181">
        <v>-1.5</v>
      </c>
      <c r="K496" s="150" t="s">
        <v>38</v>
      </c>
      <c r="L496" s="151">
        <v>1.53</v>
      </c>
      <c r="M496" s="152">
        <v>51.26</v>
      </c>
      <c r="N496" s="503">
        <v>0</v>
      </c>
      <c r="O496" s="153">
        <f>IF(OR(AE496="",AE497=""),"",ROUND(IF(L498&gt;0,IF(M496&gt;0,M496,IF(M497&gt;0,ROUND((M497*AE496)/AE497,IF(N496=0,2,IF(N496=0.1,1,0))),ROUND((M498*AE496)/AE498,IF(N496=0,2,IF(N496=0.1,1,0))))),IF(M496&gt;0,M496,ROUND((M497*AE496)/AE497,IF(N496=0,2,IF(N496=0.1,1,0))))),2))</f>
        <v>51.26</v>
      </c>
      <c r="P496" s="154">
        <f>IF(OR(L496="",O496=""),"",IF($C496="1/2W",O496/2+O496/2*L496,IF($C496="1/2L",O496/2,IF(I496="Lay",(O496*(L496/(L496-1))-O496)*(1-_xlfn.XLOOKUP(K496,'Fevereiro 2023 - Valor Real'!A3:A15,'Fevereiro 2023 - Valor Real'!C3:C15,0))+O496,(O496*L496-O496)*(1-_xlfn.XLOOKUP(K496,'Fevereiro 2023 - Valor Real'!A3:A15,'Fevereiro 2023 - Valor Real'!C3:C15,0))+O496))))</f>
        <v>76.661893000000006</v>
      </c>
      <c r="Q496" s="155">
        <f>IF(K496="","",IF(_xlfn.XLOOKUP(K496,K$9:K488,$DJ$9:DJ488,0,,-1)=DJ496,_xlfn.XLOOKUP(K496,K$9:K488,Q$9:Q488,1,,-1)+1,1))</f>
        <v>1</v>
      </c>
      <c r="R496" s="156">
        <f>IF(K496="","",_xlfn.XLOOKUP(K496,K$9:K488,R$9:R488,0,,-1)+IF($C496=" ",1,0))</f>
        <v>0</v>
      </c>
      <c r="S496" s="501">
        <f>IF($B496="Anulado",0,ROUND(IF(OR($B496="LOSS",$B496="OK"),IF(OR($C496="W",$C496="1/2W",$C496="1/2L"),P496-O496,IF($C496="L",-O496,0))+IF(OR($C497="W",$C497="1/2W",$C497="1/2L"),P497-O497,IF($C497="L",-O497,0))+IF(OR($C498="W",$C498="1/2W",$C498="1/2L"),P498-O498,IF($C498="L",-O498,0)),IF(AND(OR($C496="W",$C496="1/2W",$C496="1/2L"),C497="W"),P496+P497-SUM(O496:O498)+_xlfn.XLOOKUP("X",C496:C498,O496:O498,0),IF(AND(C496=TRUE,C498="W"),P496+P498-SUM(O496:O498),IF(AND(C497="W",C498="W"),P497+P498-SUM(O496:O498)+_xlfn.XLOOKUP("X",C496:C498,O496:O498,0),IF(L498&gt;0,IF(OR($C496="W",$C496="1/2W",$C496="1/2L"),P496-SUM(O496:O498)+_xlfn.XLOOKUP("X",C496:C498,O496:O498,0),IF(OR($C496="W",$C496="1/2W",$C496="1/2L"),P497-SUM(O496:O498)+_xlfn.XLOOKUP("X",C496:C498,O496:O498,0),IF(OR($C496="W",$C496="1/2W",$C496="1/2L"),P498-SUM(O496:O498)+_xlfn.XLOOKUP("X",C496:C498,O496:O498,0),IF(SUM(P496:P498)/3-SUM(O496:O498)+_xlfn.XLOOKUP("X",C496:C498,O496:O498,0)&gt;0,SUM(P496:P498)/3-SUM(O496:O498)+_xlfn.XLOOKUP("X",C496:C498,O496:O498,0),LARGE(P496:P498,1)-SUM(O496:O498))))),IF(OR($C496="W",$C496="1/2W",$C496="1/2L"),P496-SUM(O496:O497)+_xlfn.XLOOKUP("X",C496:C498,O496:O498,0),IF(OR($C496="W",$C496="1/2W",$C496="1/2L"),P497-SUM(O496:O497)+_xlfn.XLOOKUP("X",C496:C498,O496:O498,0),SUM(P496:P497)/2-SUM(O496:O497)+_xlfn.XLOOKUP("X",C496:C498,O496:O498,0)))))))),2))</f>
        <v>4.9800000000000004</v>
      </c>
      <c r="T496" s="486">
        <f>IF(S496=0,0,S496/SUM(O496:O498))</f>
        <v>6.9446381257844109E-2</v>
      </c>
      <c r="U496" s="496">
        <f>IF($D496=$D493,IF(OR($B496="LOSS",$B496="OK",$B496="Anulada"),S496,0)+U493,IF(OR($B496="LOSS",$B496="OK",$B496="Anulada"),S496,0))</f>
        <v>66.03</v>
      </c>
      <c r="V496" s="496">
        <f>IF($D496="",0,IF($D496=$D493,IF($B496=" ",IF(I498="",IF(OR(AND(I496="DNB1",I497="DNB2"),AND(OR(I496="DNB1",I496="DNB2"),J497=0),AND(OR(I497="DNB1",I497="DNB2"),J496=0),AND(I496="DNB2",I497="DNB1"),AND(IF(J496=0,(J496+1)/ROUND(J496+1,0),J496/ROUND(J496,0))=1,IF(J497=0,(J497+1)/ROUND(IF(J497="",0,J497)+1,0),IF(J497="",0,J497)/ROUND(IF(J497="",1,J497),0))=1,OR(J496&lt;&gt;""),J497&lt;&gt;"")),0,IF(S496&lt;0,IF(I498="",SMALL(P496:P497,1)-SUM(O496:O497),0),SMALL(P496:P497,1)-SUM(O496:O497))),IF(S496&lt;0,IF(I498="",SMALL(P496:P498,1)-SUM(O496:O498),0),LARGE(P496:P498,1)-SUM(O496:O498))),S496)+V493,IF(I498="",IF(OR(AND(I496="DNB1",I497="DNB2"),AND(OR(I496="DNB1",I496="DNB2"),J497=0),AND(OR(I497="DNB1",I497="DNB2"),J496=0),AND(I496="DNB2",I497="DNB1"),AND(IF(J496=0,(J496+1)/ROUND(J496+1,0),J496/ROUND(J496,0))=1,IF(J497=0,(IF(J497="",0,J497)+1)/ROUND(IF(J497="",0,J497)+1,0),IF(J497="",0,J497)/ROUND(IF(J497="",0,J497)+1,0))=1,OR(J496&lt;&gt;""),J497&lt;&gt;"")),0,IF(S496&lt;0,IF(I498="",SMALL(P496:P497,1)-SUM(O496:O497),0),SMALL(P496:P498,1)-SUM(O496:O498))),IF(S496&lt;0,IF(I498="",SMALL(P496:P498,1)-SUM(O496:O498),0),LARGE(P496:P498,1)-SUM(O496:O498)))))</f>
        <v>66.016599999999997</v>
      </c>
      <c r="W496" s="496">
        <f>IF($D496=$D493,IF(S496&lt;0,IF(I498="",S496,0),S496)+W493,S496)</f>
        <v>66.03</v>
      </c>
      <c r="X496" s="505" t="str">
        <f>IF(OR(SUM(R496:R498)=0,V496=W496),ROUND(IF(W496=0,0,W496/Y496)*100,2)&amp;"%",ROUND(IF(V496=0,0,V496/Y496)*100,2)&amp;"% a "&amp;ROUND(IF(W496=0,0,W496/Y496)*100,2)&amp;"%")</f>
        <v>5,13%</v>
      </c>
      <c r="Y496" s="497">
        <f>IF($D496=$D493,Y493+SUM(O496:O498),SUM(O496:O498))</f>
        <v>1286.1200000000001</v>
      </c>
      <c r="Z496" s="496">
        <f>IF($B496=" ",SUM(O496:O498),0)+Z493</f>
        <v>0</v>
      </c>
      <c r="AA496" s="496">
        <f>IF(G496="","",IF($B496="Anulado",LARGE(P496:P498,1)-SUM(O496:O498)+AA493,AA493))</f>
        <v>12.425099999999992</v>
      </c>
      <c r="AB496" s="496">
        <f>IF($D496="","",AB493+S496)</f>
        <v>594.45000000000027</v>
      </c>
      <c r="AC496" s="499">
        <f ca="1">IF($D496="","",IF($B496=" ",IF(DAY(G496)=DAY(TODAY()),1+AC493,0+AC493),0+AC493))</f>
        <v>0</v>
      </c>
      <c r="AD496" s="157">
        <f>(1-_xlfn.XLOOKUP(K494,'Fevereiro 2023 - Valor Real'!A3:A15,'Fevereiro 2023 - Valor Real'!C3:C15,0))+1</f>
        <v>2</v>
      </c>
      <c r="AE496" s="158">
        <f>IF(L496="","",IF(L498&gt;0,(SUM(((L496-1)*(1-_xlfn.XLOOKUP(K496,'Fevereiro 2023 - Valor Real'!A3:A15,'Fevereiro 2023 - Valor Real'!C3:C15,0))+1),((L497-1)*(1-_xlfn.XLOOKUP(K497,'Fevereiro 2023 - Valor Real'!A3:A15,'Fevereiro 2023 - Valor Real'!C3:C15,0))+1),((L498-1)*(1-_xlfn.XLOOKUP(K498,'Fevereiro 2023 - Valor Real'!A3:A15,'Fevereiro 2023 - Valor Real'!C3:C15,0))+1))/((L496-1)*(1-_xlfn.XLOOKUP(K496,'Fevereiro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Real'!C3:C15,0))+1))/((L496-1)*(1-_xlfn.XLOOKUP(K496,'Fevereiro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Real'!C3:C15,0))+1))/((L497-1)*(1-_xlfn.XLOOKUP(K497,'Fevereiro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Real'!C3:C15,0))+1))/((L498-1)*(1-_xlfn.XLOOKUP(K498,'Fevereiro 2023 - Valor Real'!A3:A15,'Fevereiro 2023 - Valor Real'!C3:C15,0))+1)),IF(I496="Lay",IF(I497="Lay",((L497/(L497-1)-1)*(1-_xlfn.XLOOKUP(K497,'Fevereiro 2023 - Valor Real'!A3:A15,'Fevereiro 2023 - Valor Real'!C3:C15,0))+1)/(((L497/(L497-1)-1)*(1-_xlfn.XLOOKUP(K497,'Fevereiro 2023 - Valor Real'!A3:A15,'Fevereiro 2023 - Valor Real'!C3:C15,0))+1)+((L496/(L496-1)-1)*(1-_xlfn.XLOOKUP(K496,'Fevereiro 2023 - Valor Real'!A3:A15,'Fevereiro 2023 - Valor Real'!C3:C15,0))+1)),((L497-1)*(1-_xlfn.XLOOKUP(K497,'Fevereiro 2023 - Valor Real'!A3:A15,'Fevereiro 2023 - Valor Real'!C3:C15,0))+1)/(((L497-1)*(1-_xlfn.XLOOKUP(K497,'Fevereiro 2023 - Valor Real'!A3:A15,'Fevereiro 2023 - Valor Real'!C3:C15,0))+1)+((L496/(L496-1)-1)*(1-_xlfn.XLOOKUP(K496,'Fevereiro 2023 - Valor Real'!A3:A15,'Fevereiro 2023 - Valor Real'!C3:C15,0))+1))),IF(I497="Lay",(((L497/(L497-1)-1)*(1-_xlfn.XLOOKUP(K497,'Fevereiro 2023 - Valor Real'!A3:A15,'Fevereiro 2023 - Valor Real'!C3:C15,0))+1))/(((L496-1)*(1-_xlfn.XLOOKUP(K496,'Fevereiro 2023 - Valor Real'!A3:A15,'Fevereiro 2023 - Valor Real'!C3:C15,0))+1)+((L497/(L497-1)-1)*(1-_xlfn.XLOOKUP(K497,'Fevereiro 2023 - Valor Real'!A3:A15,'Fevereiro 2023 - Valor Real'!C3:C15,0))+1)),((L497-1)*(1-_xlfn.XLOOKUP(K497,'Fevereiro 2023 - Valor Real'!A3:A15,'Fevereiro 2023 - Valor Real'!C3:C15,0))+1)/(((L497-1)*(1-_xlfn.XLOOKUP(K497,'Fevereiro 2023 - Valor Real'!A3:A15,'Fevereiro 2023 - Valor Real'!C3:C15,0))+1)+((L496-1)*(1-_xlfn.XLOOKUP(K496,'Fevereiro 2023 - Valor Real'!A3:A15,'Fevereiro 2023 - Valor Real'!C3:C15,0))+1))))))</f>
        <v>0.71489167008226029</v>
      </c>
      <c r="AF496" s="66">
        <f t="shared" si="992"/>
        <v>0</v>
      </c>
      <c r="AG496" s="67">
        <f t="shared" si="992"/>
        <v>0</v>
      </c>
      <c r="AH496" s="67">
        <f t="shared" si="992"/>
        <v>-51.26</v>
      </c>
      <c r="AI496" s="67">
        <f t="shared" si="992"/>
        <v>0</v>
      </c>
      <c r="AJ496" s="67">
        <f t="shared" si="992"/>
        <v>0</v>
      </c>
      <c r="AK496" s="67">
        <f t="shared" si="992"/>
        <v>0</v>
      </c>
      <c r="AL496" s="67">
        <f t="shared" si="992"/>
        <v>0</v>
      </c>
      <c r="AM496" s="67">
        <f t="shared" si="992"/>
        <v>0</v>
      </c>
      <c r="AN496" s="67">
        <f t="shared" si="992"/>
        <v>0</v>
      </c>
      <c r="AO496" s="67">
        <f t="shared" si="992"/>
        <v>0</v>
      </c>
      <c r="AP496" s="67">
        <f t="shared" si="992"/>
        <v>0</v>
      </c>
      <c r="AQ496" s="67">
        <f t="shared" si="992"/>
        <v>0</v>
      </c>
      <c r="AR496" s="68">
        <f t="shared" si="992"/>
        <v>0</v>
      </c>
      <c r="AS496" s="66">
        <f t="shared" ref="AS496:BE496" si="996">IF(AND($B496=" ",$K496=AS$3),$O496,0)</f>
        <v>0</v>
      </c>
      <c r="AT496" s="67">
        <f t="shared" si="996"/>
        <v>0</v>
      </c>
      <c r="AU496" s="67">
        <f t="shared" si="996"/>
        <v>0</v>
      </c>
      <c r="AV496" s="67">
        <f t="shared" si="996"/>
        <v>0</v>
      </c>
      <c r="AW496" s="67">
        <f t="shared" si="996"/>
        <v>0</v>
      </c>
      <c r="AX496" s="67">
        <f t="shared" si="996"/>
        <v>0</v>
      </c>
      <c r="AY496" s="69">
        <f t="shared" si="996"/>
        <v>0</v>
      </c>
      <c r="AZ496" s="70">
        <f t="shared" si="996"/>
        <v>0</v>
      </c>
      <c r="BA496" s="70">
        <f t="shared" si="996"/>
        <v>0</v>
      </c>
      <c r="BB496" s="70">
        <f t="shared" si="996"/>
        <v>0</v>
      </c>
      <c r="BC496" s="71">
        <f t="shared" si="996"/>
        <v>0</v>
      </c>
      <c r="BD496" s="67">
        <f t="shared" si="996"/>
        <v>0</v>
      </c>
      <c r="BE496" s="68">
        <f t="shared" si="996"/>
        <v>0</v>
      </c>
      <c r="BF496" s="66">
        <f t="shared" si="994"/>
        <v>0</v>
      </c>
      <c r="BG496" s="67">
        <f t="shared" si="994"/>
        <v>0</v>
      </c>
      <c r="BH496" s="67">
        <f t="shared" si="994"/>
        <v>51.26</v>
      </c>
      <c r="BI496" s="67">
        <f t="shared" si="994"/>
        <v>0</v>
      </c>
      <c r="BJ496" s="67">
        <f t="shared" si="994"/>
        <v>0</v>
      </c>
      <c r="BK496" s="67">
        <f t="shared" si="994"/>
        <v>0</v>
      </c>
      <c r="BL496" s="67">
        <f t="shared" si="994"/>
        <v>0</v>
      </c>
      <c r="BM496" s="69">
        <f t="shared" si="994"/>
        <v>0</v>
      </c>
      <c r="BN496" s="70">
        <f t="shared" si="994"/>
        <v>0</v>
      </c>
      <c r="BO496" s="70">
        <f t="shared" si="994"/>
        <v>0</v>
      </c>
      <c r="BP496" s="70">
        <f t="shared" si="994"/>
        <v>0</v>
      </c>
      <c r="BQ496" s="71">
        <f t="shared" si="994"/>
        <v>0</v>
      </c>
      <c r="BR496" s="68">
        <f t="shared" si="994"/>
        <v>0</v>
      </c>
      <c r="BS496" s="490">
        <f>IF($B496="LOSS",IF(AND($K496=BS$3,$C496="L"),-$O496,0)+IF(AND($K497=BS$3,$C497="L"),-$O497,0)+IF(AND($K498=BS$3,$C498="L"),-$O498,0),IF(OR(AND($K496=BS$3,OR($C496="W",$C496="1/2W")),AND($K497=BS$3,OR($C497="W",$C497="1/2W")),AND($K498=BS$3,OR($C498="W",$C498="1/2W"))),$S496,0))</f>
        <v>0</v>
      </c>
      <c r="BT496" s="498">
        <f>IF($B496="LOSS",IF(AND($K496=BT$3,$C496="L"),-$O496,0)+IF(AND($K497=BT$3,$C497="L"),-$O497,0)+IF(AND($K497=BT$3,$C498="L"),-$O498,0),IF(OR(AND($K497=BT$3,OR($C496="W",$C496="1/2W")),AND($K497=BT$3,OR($C497="W",$C497="1/2W")),AND($K497=BT$3,OR($C498="W",$C498="1/2W"))),$S496,0))</f>
        <v>0</v>
      </c>
      <c r="BU496" s="488">
        <f>IF($B496="LOSS",IF(AND($K496=BU$3,$C496="L"),-$O496,0)+IF(AND($K497=BU$3,$C497="L"),-$O497,0)+IF(AND($K497=BU$3,$C498="L"),-$O498,0),IF(OR(AND($K497=BU$3,OR($C496="W",$C496="1/2W")),AND($K497=BU$3,OR($C497="W",$C497="1/2W")),AND($K497=BU$3,OR($C498="W",$C498="1/2W"))),$S496,0))</f>
        <v>0</v>
      </c>
      <c r="BV496" s="488">
        <f t="shared" ref="BV496:CE496" si="997">IF($B496="LOSS",IF(AND($K496=BV$3,$C496="L"),-$O496,0)+IF(AND($K497=BV$3,$C497="L"),-$O497,0)+IF(AND($K498=BV$3,$C498="L"),-$O498,0),IF(OR(AND($K496=BV$3,OR($C496="W",$C496="1/2W")),AND($K497=BV$3,OR($C497="W",$C497="1/2W")),AND($K498=BV$3,OR($C498="W",$C498="1/2W"))),$S496,0))</f>
        <v>0</v>
      </c>
      <c r="BW496" s="488">
        <f t="shared" si="997"/>
        <v>4.9800000000000004</v>
      </c>
      <c r="BX496" s="488">
        <f t="shared" si="997"/>
        <v>0</v>
      </c>
      <c r="BY496" s="488">
        <f t="shared" si="997"/>
        <v>0</v>
      </c>
      <c r="BZ496" s="488">
        <f t="shared" si="997"/>
        <v>0</v>
      </c>
      <c r="CA496" s="488">
        <f t="shared" si="997"/>
        <v>0</v>
      </c>
      <c r="CB496" s="488">
        <f t="shared" si="997"/>
        <v>0</v>
      </c>
      <c r="CC496" s="488">
        <f t="shared" si="997"/>
        <v>0</v>
      </c>
      <c r="CD496" s="500">
        <f t="shared" si="997"/>
        <v>0</v>
      </c>
      <c r="CE496" s="504">
        <f t="shared" si="997"/>
        <v>0</v>
      </c>
      <c r="CF496" s="160">
        <f t="shared" si="899"/>
        <v>0</v>
      </c>
      <c r="CG496" s="161">
        <f t="shared" si="900"/>
        <v>0</v>
      </c>
      <c r="CH496" s="161">
        <f t="shared" si="901"/>
        <v>0</v>
      </c>
      <c r="CI496" s="161">
        <f t="shared" si="902"/>
        <v>0</v>
      </c>
      <c r="CJ496" s="161">
        <f t="shared" si="903"/>
        <v>0</v>
      </c>
      <c r="CK496" s="161">
        <f t="shared" si="904"/>
        <v>1</v>
      </c>
      <c r="CL496" s="161">
        <f t="shared" si="905"/>
        <v>0</v>
      </c>
      <c r="CM496" s="161">
        <f t="shared" si="906"/>
        <v>0</v>
      </c>
      <c r="CN496" s="161">
        <f t="shared" si="907"/>
        <v>0</v>
      </c>
      <c r="CO496" s="161">
        <f t="shared" si="908"/>
        <v>0</v>
      </c>
      <c r="CP496" s="161">
        <f t="shared" si="909"/>
        <v>0</v>
      </c>
      <c r="CQ496" s="161">
        <f t="shared" si="910"/>
        <v>0</v>
      </c>
      <c r="CR496" s="161">
        <f t="shared" si="911"/>
        <v>0</v>
      </c>
      <c r="CS496" s="161">
        <f t="shared" si="912"/>
        <v>0</v>
      </c>
      <c r="CT496" s="75">
        <f t="shared" si="913"/>
        <v>0</v>
      </c>
      <c r="CU496" s="76">
        <f t="shared" si="914"/>
        <v>0</v>
      </c>
      <c r="CV496" s="76">
        <f t="shared" si="915"/>
        <v>0</v>
      </c>
      <c r="CW496" s="76">
        <f t="shared" si="916"/>
        <v>0</v>
      </c>
      <c r="CX496" s="76">
        <f t="shared" si="917"/>
        <v>0</v>
      </c>
      <c r="CY496" s="76">
        <f t="shared" si="918"/>
        <v>0</v>
      </c>
      <c r="CZ496" s="76">
        <f t="shared" si="919"/>
        <v>0</v>
      </c>
      <c r="DA496" s="76">
        <f t="shared" si="920"/>
        <v>0</v>
      </c>
      <c r="DB496" s="76">
        <f t="shared" si="921"/>
        <v>0</v>
      </c>
      <c r="DC496" s="76">
        <f t="shared" si="922"/>
        <v>0</v>
      </c>
      <c r="DD496" s="76">
        <f t="shared" si="923"/>
        <v>0</v>
      </c>
      <c r="DE496" s="77">
        <f t="shared" si="924"/>
        <v>0</v>
      </c>
      <c r="DF496" s="73">
        <f t="shared" si="926"/>
        <v>33</v>
      </c>
      <c r="DG496" s="67">
        <f t="shared" si="927"/>
        <v>43.031999999999989</v>
      </c>
      <c r="DH496" s="76">
        <f t="shared" si="928"/>
        <v>11</v>
      </c>
      <c r="DI496" s="67">
        <f t="shared" si="929"/>
        <v>45.699999999999996</v>
      </c>
      <c r="DJ496" s="202" t="str">
        <f>IF($D496="","",$D496)</f>
        <v>15</v>
      </c>
      <c r="DK496" s="492">
        <f>IF(AND($B496=" ",$D496&lt;&gt;""),1,0)</f>
        <v>0</v>
      </c>
    </row>
    <row r="497" spans="1:115" ht="14.5" customHeight="1" x14ac:dyDescent="0.2">
      <c r="A497" s="389"/>
      <c r="B497" s="456"/>
      <c r="C497" s="53" t="s">
        <v>54</v>
      </c>
      <c r="D497" s="374"/>
      <c r="E497" s="386"/>
      <c r="F497" s="377"/>
      <c r="G497" s="508"/>
      <c r="H497" s="476"/>
      <c r="I497" s="182" t="s">
        <v>76</v>
      </c>
      <c r="J497" s="56">
        <f>IF(OR(I496="TO",I496="TU",I496="TO1",I496="TU1",I496="TO2",I496="TU2"),J496,IF(OR(I496="AH1",I496="AH2"),IF(OR(I497="AH1",I497="AH2"),-J496,IF(OR(I497="EH1",I497="EH2"),-J496+0.5,"")),IF(OR(I496="EH1",I496="EH2"),IF(OR(I497="AH1",I497="AH2"),-J496+0.5,IF(OR(I497="EH1",I497="EH2"),-J496+1,"")),IF(AND(OR(I496="DNB1",I496="DNB2"),OR(I497="AH1",I497="AH2")),0,IF(AND(I496="Not ScoreBoth",OR(I497="TO1",I497="TO2")),0.5,"")))))</f>
        <v>1.5</v>
      </c>
      <c r="K497" s="57" t="s">
        <v>40</v>
      </c>
      <c r="L497" s="164">
        <v>3.75</v>
      </c>
      <c r="M497" s="165">
        <v>20.45</v>
      </c>
      <c r="N497" s="406"/>
      <c r="O497" s="60">
        <f>IF(OR(AE496="",AE497=""),"",ROUND(IF(L498&gt;0,IF(M497&gt;0,M497,IF(M496&gt;0,IF(N496=TRUE,ROUND((M496*AE497)/AE496,0),(M496*AE497)/AE496),IF(M497&gt;0,ROUND(M497,IF(N496=0,2,IF(N496=0.1,1,0))),IF(M498&gt;0,ROUND(O498*AE497/AE498,IF(N496=0,2,IF(N496=0.1,1,0))),0)))),IF(M497&gt;0,M497,ROUND((M496*AE497)/AE496,IF(N496=0,2,IF(N496=0.1,1,0))))),2))</f>
        <v>20.45</v>
      </c>
      <c r="P497" s="61">
        <f>IF(OR(L497="",O497=""),"",IF($C497="1/2W",O497/2+O497/2*L497,IF($C497="1/2L",O497/2,IF(I497="Lay",((O497*(L497/(L497-1)))-O497)*(1-_xlfn.XLOOKUP(K497,'Fevereiro 2023 - Valor Real'!A3:A15,'Fevereiro 2023 - Valor Real'!C3:C15,0))+O497,(O497*L497-O497)*(1-_xlfn.XLOOKUP(K497,'Fevereiro 2023 - Valor Real'!A3:A15,'Fevereiro 2023 - Valor Real'!C3:C15,0))+O497))))</f>
        <v>76.6875</v>
      </c>
      <c r="Q497" s="166">
        <f>IF(K497="","",IF(_xlfn.XLOOKUP(K497,K$10:K488,$DJ$10:DJ488,0,,-1)=DJ497,_xlfn.XLOOKUP(K497,K$10:K488,Q$10:Q488,1,,-1)+1,1))</f>
        <v>6</v>
      </c>
      <c r="R497" s="167">
        <f>IF(K497="","",_xlfn.XLOOKUP(K497,K$10:K488,R$10:R488,0,,-1)+IF($C497=" ",1,0))</f>
        <v>0</v>
      </c>
      <c r="S497" s="403"/>
      <c r="T497" s="380"/>
      <c r="U497" s="380"/>
      <c r="V497" s="481"/>
      <c r="W497" s="380"/>
      <c r="X497" s="452"/>
      <c r="Y497" s="383"/>
      <c r="Z497" s="384"/>
      <c r="AA497" s="384"/>
      <c r="AB497" s="384"/>
      <c r="AC497" s="384"/>
      <c r="AD497" s="64"/>
      <c r="AE497" s="65">
        <f>IF(L497="","",IF(L498&gt;0,(SUM(((L496-1)*(1-_xlfn.XLOOKUP(K496,'Fevereiro 2023 - Valor Real'!A3:A15,'Fevereiro 2023 - Valor Real'!C3:C15,0))+1),((L497-1)*(1-_xlfn.XLOOKUP(K497,'Fevereiro 2023 - Valor Real'!A3:A15,'Fevereiro 2023 - Valor Real'!C3:C15,0))+1),((L498-1)*(1-_xlfn.XLOOKUP(K498,'Fevereiro 2023 - Valor Real'!A3:A15,'Fevereiro 2023 - Valor Real'!C3:C15,0))+1))/((L497-1)*(1-_xlfn.XLOOKUP(K497,'Fevereiro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Real'!C3:C15,0))+1))/((L496-1)*(1-_xlfn.XLOOKUP(K496,'Fevereiro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Real'!C3:C15,0))+1))/((L497-1)*(1-_xlfn.XLOOKUP(K497,'Fevereiro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Real'!C3:C15,0))+1))/((L498-1)*(1-_xlfn.XLOOKUP(K498,'Fevereiro 2023 - Valor Real'!A3:A15,'Fevereiro 2023 - Valor Real'!C3:C15,0))+1)),IF(I497="Lay",IF(I496="Lay",((L496/(L496-1)-1)*(1-_xlfn.XLOOKUP(K496,'Fevereiro 2023 - Valor Real'!A3:A15,'Fevereiro 2023 - Valor Real'!C3:C15,0))+1)/(((L496/(L496-1)-1)*(1-_xlfn.XLOOKUP(K496,'Fevereiro 2023 - Valor Real'!A3:A15,'Fevereiro 2023 - Valor Real'!C3:C15,0))+1)+((L497/(L497-1)-1)*(1-_xlfn.XLOOKUP(K497,'Fevereiro 2023 - Valor Real'!A3:A15,'Fevereiro 2023 - Valor Real'!C3:C15,0))+1)),((L496-1)*(1-_xlfn.XLOOKUP(K496,'Fevereiro 2023 - Valor Real'!A3:A15,'Fevereiro 2023 - Valor Real'!C3:C15,0))+1)/(((L496-1)*(1-_xlfn.XLOOKUP(K496,'Fevereiro 2023 - Valor Real'!A3:A15,'Fevereiro 2023 - Valor Real'!C3:C15,0))+1)+((L497/(L497-1)-1)*(1-_xlfn.XLOOKUP(K497,'Fevereiro 2023 - Valor Real'!A3:A15,'Fevereiro 2023 - Valor Real'!C3:C15,0))+1))),IF(I496="Lay",((L496/(L496-1)-1)*(1-_xlfn.XLOOKUP(K496,'Fevereiro 2023 - Valor Real'!A3:A15,'Fevereiro 2023 - Valor Real'!C3:C15,0))+1)/((((L496/(L496-1)-1)*(1-_xlfn.XLOOKUP(K496,'Fevereiro 2023 - Valor Real'!A3:A15,'Fevereiro 2023 - Valor Real'!C3:C15,0))+1))+((L497-1)*(1-_xlfn.XLOOKUP(K497,'Fevereiro 2023 - Valor Real'!A3:A15,'Fevereiro 2023 - Valor Real'!C3:C15,0))+1)),((L496-1)*(1-_xlfn.XLOOKUP(K496,'Fevereiro 2023 - Valor Real'!A3:A15,'Fevereiro 2023 - Valor Real'!C3:C15,0))+1)/(((L496-1)*(1-_xlfn.XLOOKUP(K496,'Fevereiro 2023 - Valor Real'!A3:A15,'Fevereiro 2023 - Valor Real'!C3:C15,0))+1)+((L497-1)*(1-_xlfn.XLOOKUP(K497,'Fevereiro 2023 - Valor Real'!A3:A15,'Fevereiro 2023 - Valor Real'!C3:C15,0))+1))))))</f>
        <v>0.28510832991773982</v>
      </c>
      <c r="AF497" s="66">
        <f t="shared" si="992"/>
        <v>0</v>
      </c>
      <c r="AG497" s="67">
        <f t="shared" si="992"/>
        <v>0</v>
      </c>
      <c r="AH497" s="67">
        <f t="shared" si="992"/>
        <v>0</v>
      </c>
      <c r="AI497" s="67">
        <f t="shared" si="992"/>
        <v>0</v>
      </c>
      <c r="AJ497" s="67">
        <f t="shared" si="992"/>
        <v>56.24</v>
      </c>
      <c r="AK497" s="67">
        <f t="shared" si="992"/>
        <v>0</v>
      </c>
      <c r="AL497" s="67">
        <f t="shared" si="992"/>
        <v>0</v>
      </c>
      <c r="AM497" s="67">
        <f t="shared" si="992"/>
        <v>0</v>
      </c>
      <c r="AN497" s="67">
        <f t="shared" si="992"/>
        <v>0</v>
      </c>
      <c r="AO497" s="67">
        <f t="shared" si="992"/>
        <v>0</v>
      </c>
      <c r="AP497" s="67">
        <f t="shared" si="992"/>
        <v>0</v>
      </c>
      <c r="AQ497" s="67">
        <f t="shared" si="992"/>
        <v>0</v>
      </c>
      <c r="AR497" s="68">
        <f t="shared" si="992"/>
        <v>0</v>
      </c>
      <c r="AS497" s="66">
        <f>IF(AND($B496=" ",$K497=AS$3),$O497,0)</f>
        <v>0</v>
      </c>
      <c r="AT497" s="67">
        <f>IF(AND($B496=" ",K497=AT$3),$O497,0)</f>
        <v>0</v>
      </c>
      <c r="AU497" s="67">
        <f t="shared" ref="AU497:BE497" si="998">IF(AND($B496=" ",$K497=AU$3),$O497,0)</f>
        <v>0</v>
      </c>
      <c r="AV497" s="67">
        <f t="shared" si="998"/>
        <v>0</v>
      </c>
      <c r="AW497" s="67">
        <f t="shared" si="998"/>
        <v>0</v>
      </c>
      <c r="AX497" s="67">
        <f t="shared" si="998"/>
        <v>0</v>
      </c>
      <c r="AY497" s="69">
        <f t="shared" si="998"/>
        <v>0</v>
      </c>
      <c r="AZ497" s="70">
        <f t="shared" si="998"/>
        <v>0</v>
      </c>
      <c r="BA497" s="70">
        <f t="shared" si="998"/>
        <v>0</v>
      </c>
      <c r="BB497" s="70">
        <f t="shared" si="998"/>
        <v>0</v>
      </c>
      <c r="BC497" s="71">
        <f t="shared" si="998"/>
        <v>0</v>
      </c>
      <c r="BD497" s="67">
        <f t="shared" si="998"/>
        <v>0</v>
      </c>
      <c r="BE497" s="68">
        <f t="shared" si="998"/>
        <v>0</v>
      </c>
      <c r="BF497" s="66">
        <f t="shared" si="994"/>
        <v>0</v>
      </c>
      <c r="BG497" s="168">
        <f t="shared" si="994"/>
        <v>0</v>
      </c>
      <c r="BH497" s="67">
        <f t="shared" si="994"/>
        <v>0</v>
      </c>
      <c r="BI497" s="67">
        <f t="shared" si="994"/>
        <v>0</v>
      </c>
      <c r="BJ497" s="67">
        <f t="shared" si="994"/>
        <v>20.45</v>
      </c>
      <c r="BK497" s="67">
        <f t="shared" si="994"/>
        <v>0</v>
      </c>
      <c r="BL497" s="67">
        <f t="shared" si="994"/>
        <v>0</v>
      </c>
      <c r="BM497" s="69">
        <f t="shared" si="994"/>
        <v>0</v>
      </c>
      <c r="BN497" s="70">
        <f t="shared" si="994"/>
        <v>0</v>
      </c>
      <c r="BO497" s="70">
        <f t="shared" si="994"/>
        <v>0</v>
      </c>
      <c r="BP497" s="70">
        <f t="shared" si="994"/>
        <v>0</v>
      </c>
      <c r="BQ497" s="71">
        <f t="shared" si="994"/>
        <v>0</v>
      </c>
      <c r="BR497" s="68">
        <f t="shared" si="994"/>
        <v>0</v>
      </c>
      <c r="BS497" s="491"/>
      <c r="BT497" s="489"/>
      <c r="BU497" s="392"/>
      <c r="BV497" s="489"/>
      <c r="BW497" s="392"/>
      <c r="BX497" s="392"/>
      <c r="BY497" s="392"/>
      <c r="BZ497" s="489"/>
      <c r="CA497" s="392"/>
      <c r="CB497" s="392"/>
      <c r="CC497" s="392"/>
      <c r="CD497" s="401"/>
      <c r="CE497" s="409"/>
      <c r="CF497" s="169">
        <f t="shared" si="899"/>
        <v>0</v>
      </c>
      <c r="CG497" s="170">
        <f t="shared" si="900"/>
        <v>0</v>
      </c>
      <c r="CH497" s="170">
        <f t="shared" si="901"/>
        <v>0</v>
      </c>
      <c r="CI497" s="170">
        <f t="shared" si="902"/>
        <v>0</v>
      </c>
      <c r="CJ497" s="170">
        <f t="shared" si="903"/>
        <v>0</v>
      </c>
      <c r="CK497" s="170">
        <f t="shared" si="904"/>
        <v>0</v>
      </c>
      <c r="CL497" s="170">
        <f t="shared" si="905"/>
        <v>0</v>
      </c>
      <c r="CM497" s="170">
        <f t="shared" si="906"/>
        <v>0</v>
      </c>
      <c r="CN497" s="170">
        <f t="shared" si="907"/>
        <v>1</v>
      </c>
      <c r="CO497" s="170">
        <f t="shared" si="908"/>
        <v>0</v>
      </c>
      <c r="CP497" s="170">
        <f t="shared" si="909"/>
        <v>0</v>
      </c>
      <c r="CQ497" s="170">
        <f t="shared" si="910"/>
        <v>0</v>
      </c>
      <c r="CR497" s="170">
        <f t="shared" si="911"/>
        <v>0</v>
      </c>
      <c r="CS497" s="170">
        <f t="shared" si="912"/>
        <v>0</v>
      </c>
      <c r="CT497" s="75">
        <f t="shared" si="913"/>
        <v>0</v>
      </c>
      <c r="CU497" s="76">
        <f t="shared" si="914"/>
        <v>0</v>
      </c>
      <c r="CV497" s="76">
        <f t="shared" si="915"/>
        <v>0</v>
      </c>
      <c r="CW497" s="76">
        <f t="shared" si="916"/>
        <v>0</v>
      </c>
      <c r="CX497" s="76">
        <f t="shared" si="917"/>
        <v>0</v>
      </c>
      <c r="CY497" s="76">
        <f t="shared" si="918"/>
        <v>0</v>
      </c>
      <c r="CZ497" s="76">
        <f t="shared" si="919"/>
        <v>0</v>
      </c>
      <c r="DA497" s="76">
        <f t="shared" si="920"/>
        <v>0</v>
      </c>
      <c r="DB497" s="76">
        <f t="shared" si="921"/>
        <v>0</v>
      </c>
      <c r="DC497" s="76">
        <f t="shared" si="922"/>
        <v>0</v>
      </c>
      <c r="DD497" s="76">
        <f t="shared" si="923"/>
        <v>0</v>
      </c>
      <c r="DE497" s="77">
        <f t="shared" si="924"/>
        <v>0</v>
      </c>
      <c r="DF497" s="73">
        <f t="shared" si="926"/>
        <v>33</v>
      </c>
      <c r="DG497" s="67">
        <f t="shared" si="927"/>
        <v>43.031999999999989</v>
      </c>
      <c r="DH497" s="76">
        <f t="shared" si="928"/>
        <v>12</v>
      </c>
      <c r="DI497" s="67">
        <f t="shared" si="929"/>
        <v>49.449999999999996</v>
      </c>
      <c r="DJ497" s="202" t="str">
        <f>IF($D496="","",$D496)</f>
        <v>15</v>
      </c>
      <c r="DK497" s="493"/>
    </row>
    <row r="498" spans="1:115" ht="14.5" customHeight="1" x14ac:dyDescent="0.2">
      <c r="A498" s="390"/>
      <c r="B498" s="457"/>
      <c r="C498" s="79" t="s">
        <v>53</v>
      </c>
      <c r="D498" s="375"/>
      <c r="E498" s="387"/>
      <c r="F498" s="378"/>
      <c r="G498" s="508"/>
      <c r="H498" s="477"/>
      <c r="I498" s="171"/>
      <c r="J498" s="172"/>
      <c r="K498" s="81"/>
      <c r="L498" s="173"/>
      <c r="M498" s="174"/>
      <c r="N498" s="407"/>
      <c r="O498" s="86" t="str">
        <f>IF(OR(AE496="",AE497=""),"",IF(L498&gt;0,ROUND(IF(M498&gt;0,M498,IF(M496&gt;0,ROUND((M496*AE498)/AE496,IF(N496=0,2,IF(N496=0.1,1,0))),IF(M497&gt;0,ROUND((M497*AE498)/AE497,IF(N496=0,2,IF(N496=0.1,1,0))),IF(M498&gt;0,M498,0)))),2),""))</f>
        <v/>
      </c>
      <c r="P498" s="87" t="str">
        <f>IF(I497="Lay",O497*(L497/(L497-1))-O497,IF(I496="Lay",O496*(L496/(L496-1))-O496,IF(OR(L498="",O498=""),"",IF($C498="1/2W",O498/2+O498/2*L498,IF($C498="1/2L",O498/2,(O498*L498-O498)*(1-_xlfn.XLOOKUP(K498,'Fevereiro 2023 - Valor Real'!A3:A15,'Fevereiro 2023 - Valor Real'!C3:C15,0))+O498)))))</f>
        <v/>
      </c>
      <c r="Q498" s="54" t="str">
        <f>IF(K498="","",IF(_xlfn.XLOOKUP(K498,K$11:K488,$DJ$11:DJ488,0,,-1)=DJ498,_xlfn.XLOOKUP(K498,K$11:K488,Q$11:Q488,1,,-1)+1,1))</f>
        <v/>
      </c>
      <c r="R498" s="87" t="str">
        <f>IF(K498="","",_xlfn.XLOOKUP(K498,K$11:K488,R$11:R488,0,,-1)+IF($C498=" ",1,0))</f>
        <v/>
      </c>
      <c r="S498" s="404"/>
      <c r="T498" s="378"/>
      <c r="U498" s="378"/>
      <c r="V498" s="404"/>
      <c r="W498" s="378"/>
      <c r="X498" s="453"/>
      <c r="Y498" s="383"/>
      <c r="Z498" s="384"/>
      <c r="AA498" s="384"/>
      <c r="AB498" s="384"/>
      <c r="AC498" s="384"/>
      <c r="AD498" s="90"/>
      <c r="AE498" s="91" t="str">
        <f>IF(L498="","",(SUM(((L496-1)*(1-_xlfn.XLOOKUP(K496,'Fevereiro 2023 - Valor Real'!A3:A15,'Fevereiro 2023 - Valor Real'!C3:C15,0))+1),((L497-1)*(1-_xlfn.XLOOKUP(K497,'Fevereiro 2023 - Valor Real'!A3:A15,'Fevereiro 2023 - Valor Real'!C3:C15,0))+1),((L498-1)*(1-_xlfn.XLOOKUP(K498,'Fevereiro 2023 - Valor Real'!A3:A15,'Fevereiro 2023 - Valor Real'!C3:C15,0))+1))/((L498-1)*(1-_xlfn.XLOOKUP(K498,'Fevereiro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Real'!C3:C15,0))+1))/((L496-1)*(1-_xlfn.XLOOKUP(K496,'Fevereiro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Real'!C3:C15,0))+1))/((L497-1)*(1-_xlfn.XLOOKUP(K497,'Fevereiro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Real'!C3:C15,0))+1))/((L498-1)*(1-_xlfn.XLOOKUP(K498,'Fevereiro 2023 - Valor Real'!A3:A15,'Fevereiro 2023 - Valor Real'!C3:C15,0))+1)))</f>
        <v/>
      </c>
      <c r="AF498" s="66">
        <f t="shared" si="992"/>
        <v>0</v>
      </c>
      <c r="AG498" s="67">
        <f t="shared" si="992"/>
        <v>0</v>
      </c>
      <c r="AH498" s="67">
        <f t="shared" si="992"/>
        <v>0</v>
      </c>
      <c r="AI498" s="67">
        <f t="shared" si="992"/>
        <v>0</v>
      </c>
      <c r="AJ498" s="67">
        <f t="shared" si="992"/>
        <v>0</v>
      </c>
      <c r="AK498" s="67">
        <f t="shared" si="992"/>
        <v>0</v>
      </c>
      <c r="AL498" s="67">
        <f t="shared" si="992"/>
        <v>0</v>
      </c>
      <c r="AM498" s="67">
        <f t="shared" si="992"/>
        <v>0</v>
      </c>
      <c r="AN498" s="67">
        <f t="shared" si="992"/>
        <v>0</v>
      </c>
      <c r="AO498" s="67">
        <f t="shared" si="992"/>
        <v>0</v>
      </c>
      <c r="AP498" s="67">
        <f t="shared" si="992"/>
        <v>0</v>
      </c>
      <c r="AQ498" s="67">
        <f t="shared" si="992"/>
        <v>0</v>
      </c>
      <c r="AR498" s="68">
        <f t="shared" si="992"/>
        <v>0</v>
      </c>
      <c r="AS498" s="66">
        <f>IF(AND($B496=" ",$K498=AS$3),$O498,0)</f>
        <v>0</v>
      </c>
      <c r="AT498" s="67">
        <f>IF(AND($B496=" ",K498=AT$3),$O498,0)</f>
        <v>0</v>
      </c>
      <c r="AU498" s="67">
        <f t="shared" ref="AU498:BE498" si="999">IF(AND($B496=" ",$K498=AU$3),$O498,0)</f>
        <v>0</v>
      </c>
      <c r="AV498" s="67">
        <f t="shared" si="999"/>
        <v>0</v>
      </c>
      <c r="AW498" s="67">
        <f t="shared" si="999"/>
        <v>0</v>
      </c>
      <c r="AX498" s="67">
        <f t="shared" si="999"/>
        <v>0</v>
      </c>
      <c r="AY498" s="69">
        <f t="shared" si="999"/>
        <v>0</v>
      </c>
      <c r="AZ498" s="70">
        <f t="shared" si="999"/>
        <v>0</v>
      </c>
      <c r="BA498" s="70">
        <f t="shared" si="999"/>
        <v>0</v>
      </c>
      <c r="BB498" s="70">
        <f t="shared" si="999"/>
        <v>0</v>
      </c>
      <c r="BC498" s="71">
        <f t="shared" si="999"/>
        <v>0</v>
      </c>
      <c r="BD498" s="67">
        <f t="shared" si="999"/>
        <v>0</v>
      </c>
      <c r="BE498" s="68">
        <f t="shared" si="999"/>
        <v>0</v>
      </c>
      <c r="BF498" s="66">
        <f t="shared" si="994"/>
        <v>0</v>
      </c>
      <c r="BG498" s="168">
        <f t="shared" si="994"/>
        <v>0</v>
      </c>
      <c r="BH498" s="67">
        <f t="shared" si="994"/>
        <v>0</v>
      </c>
      <c r="BI498" s="67">
        <f t="shared" si="994"/>
        <v>0</v>
      </c>
      <c r="BJ498" s="67">
        <f t="shared" si="994"/>
        <v>0</v>
      </c>
      <c r="BK498" s="67">
        <f t="shared" si="994"/>
        <v>0</v>
      </c>
      <c r="BL498" s="67">
        <f t="shared" si="994"/>
        <v>0</v>
      </c>
      <c r="BM498" s="69">
        <f t="shared" si="994"/>
        <v>0</v>
      </c>
      <c r="BN498" s="70">
        <f t="shared" si="994"/>
        <v>0</v>
      </c>
      <c r="BO498" s="70">
        <f t="shared" si="994"/>
        <v>0</v>
      </c>
      <c r="BP498" s="70">
        <f t="shared" si="994"/>
        <v>0</v>
      </c>
      <c r="BQ498" s="71">
        <f t="shared" si="994"/>
        <v>0</v>
      </c>
      <c r="BR498" s="68">
        <f t="shared" si="994"/>
        <v>0</v>
      </c>
      <c r="BS498" s="491"/>
      <c r="BT498" s="489"/>
      <c r="BU498" s="392"/>
      <c r="BV498" s="489"/>
      <c r="BW498" s="392"/>
      <c r="BX498" s="392"/>
      <c r="BY498" s="392"/>
      <c r="BZ498" s="489"/>
      <c r="CA498" s="392"/>
      <c r="CB498" s="392"/>
      <c r="CC498" s="392"/>
      <c r="CD498" s="401"/>
      <c r="CE498" s="409"/>
      <c r="CF498" s="169">
        <f t="shared" si="899"/>
        <v>0</v>
      </c>
      <c r="CG498" s="170">
        <f t="shared" si="900"/>
        <v>0</v>
      </c>
      <c r="CH498" s="170">
        <f t="shared" si="901"/>
        <v>0</v>
      </c>
      <c r="CI498" s="170">
        <f t="shared" si="902"/>
        <v>0</v>
      </c>
      <c r="CJ498" s="170">
        <f t="shared" si="903"/>
        <v>0</v>
      </c>
      <c r="CK498" s="170">
        <f t="shared" si="904"/>
        <v>0</v>
      </c>
      <c r="CL498" s="170">
        <f t="shared" si="905"/>
        <v>0</v>
      </c>
      <c r="CM498" s="170">
        <f t="shared" si="906"/>
        <v>0</v>
      </c>
      <c r="CN498" s="170">
        <f t="shared" si="907"/>
        <v>0</v>
      </c>
      <c r="CO498" s="170">
        <f t="shared" si="908"/>
        <v>0</v>
      </c>
      <c r="CP498" s="170">
        <f t="shared" si="909"/>
        <v>0</v>
      </c>
      <c r="CQ498" s="170">
        <f t="shared" si="910"/>
        <v>0</v>
      </c>
      <c r="CR498" s="170">
        <f t="shared" si="911"/>
        <v>0</v>
      </c>
      <c r="CS498" s="170">
        <f t="shared" si="912"/>
        <v>0</v>
      </c>
      <c r="CT498" s="75">
        <f t="shared" si="913"/>
        <v>0</v>
      </c>
      <c r="CU498" s="76">
        <f t="shared" si="914"/>
        <v>0</v>
      </c>
      <c r="CV498" s="76">
        <f t="shared" si="915"/>
        <v>0</v>
      </c>
      <c r="CW498" s="76">
        <f t="shared" si="916"/>
        <v>0</v>
      </c>
      <c r="CX498" s="76">
        <f t="shared" si="917"/>
        <v>0</v>
      </c>
      <c r="CY498" s="76">
        <f t="shared" si="918"/>
        <v>0</v>
      </c>
      <c r="CZ498" s="76">
        <f t="shared" si="919"/>
        <v>0</v>
      </c>
      <c r="DA498" s="76">
        <f t="shared" si="920"/>
        <v>0</v>
      </c>
      <c r="DB498" s="76">
        <f t="shared" si="921"/>
        <v>0</v>
      </c>
      <c r="DC498" s="76">
        <f t="shared" si="922"/>
        <v>0</v>
      </c>
      <c r="DD498" s="76">
        <f t="shared" si="923"/>
        <v>0</v>
      </c>
      <c r="DE498" s="77">
        <f t="shared" si="924"/>
        <v>0</v>
      </c>
      <c r="DF498" s="73">
        <f t="shared" si="926"/>
        <v>33</v>
      </c>
      <c r="DG498" s="67">
        <f t="shared" si="927"/>
        <v>43.031999999999989</v>
      </c>
      <c r="DH498" s="76">
        <f t="shared" si="928"/>
        <v>12</v>
      </c>
      <c r="DI498" s="67">
        <f t="shared" si="929"/>
        <v>49.449999999999996</v>
      </c>
      <c r="DJ498" s="202" t="str">
        <f>IF($D496="","",$D496)</f>
        <v>15</v>
      </c>
      <c r="DK498" s="493"/>
    </row>
    <row r="499" spans="1:115" ht="14.5" customHeight="1" x14ac:dyDescent="0.2">
      <c r="A499" s="459">
        <f>$A496+1</f>
        <v>166</v>
      </c>
      <c r="B499" s="507" t="str">
        <f>IF(OR(C499="W",C500="W",C501="W",C499="1/2W",C500="1/2W",C501="1/2W",C499="1/2L",C500="1/2L",C501="1/2L"),"OK",IF(OR(C499="L",C500="L",C501="L"),"LOSS",IF(OR(C499="X",C500="X",C501="X"),"Anulado"," ")))</f>
        <v>OK</v>
      </c>
      <c r="C499" s="93" t="s">
        <v>54</v>
      </c>
      <c r="D499" s="468" t="str">
        <f>IF(G499="","",$D496)</f>
        <v>15</v>
      </c>
      <c r="E499" s="485" t="str">
        <f>IF(G499=""," ","– "&amp;COUNTIF(D$4:D501,$D499))</f>
        <v>– 24</v>
      </c>
      <c r="F499" s="509" t="str">
        <f ca="1">IF(G499="","",IF(OR(AND($C499&lt;&gt;" ",$C500=" "),AND($C500&lt;&gt;" ",$C499=" "),AND(L501&gt;0,OR(AND($C501&lt;&gt;" ",OR($C499=" ",$C500=" ")),AND($C501=" ",OR($C499&lt;&gt;" ",$C500&lt;&gt;" "))))),IF(SUM(F$4:F498)=0,1,LARGE(F$4:F498,1)+1),IF(MONTH(G499)=MONTH(TODAY()),IF(AND(DAY(G499)&lt;DAY(TODAY()),$B499=" "),IF(SUM(F$4:F498)=0,1,LARGE(F$4:F498,1)+1),IF($B499=" ",IF(AND(DAY(G499)=DAY(TODAY()),HOUR(G499)&lt;=HOUR(NOW())+1),IF(AND(HOUR(G499)+2&lt;=HOUR(NOW()),DAY(G499)&lt;=DAY(TODAY()),MINUTE(G499)&lt;=MINUTE(NOW())),IF(SUM(F$4:F498)=0,1,LARGE(F$4:F498,1)+1),IF(OR(MINUTE(G499)&lt;=MINUTE(NOW()),HOUR(G499)&lt;=HOUR(NOW())),"!!!","")),""),"")),"")))</f>
        <v/>
      </c>
      <c r="G499" s="482">
        <v>45003.583333333336</v>
      </c>
      <c r="H499" s="475" t="s">
        <v>199</v>
      </c>
      <c r="I499" s="94" t="s">
        <v>61</v>
      </c>
      <c r="J499" s="176"/>
      <c r="K499" s="96" t="s">
        <v>37</v>
      </c>
      <c r="L499" s="97">
        <v>1.5</v>
      </c>
      <c r="M499" s="98">
        <v>23.16</v>
      </c>
      <c r="N499" s="478">
        <v>0</v>
      </c>
      <c r="O499" s="99">
        <f>IF(OR(AE499="",AE500=""),"",ROUND(IF(L501&gt;0,IF(M499&gt;0,M499,IF(M500&gt;0,ROUND((M500*AE499)/AE500,IF(N499=0,2,IF(N499=0.1,1,0))),ROUND((M501*AE499)/AE501,IF(N499=0,2,IF(N499=0.1,1,0))))),IF(M499&gt;0,M499,ROUND((M500*AE499)/AE500,IF(N499=0,2,IF(N499=0.1,1,0))))),2))</f>
        <v>23.16</v>
      </c>
      <c r="P499" s="100">
        <f>IF(OR(L499="",O499=""),"",IF($C499="1/2W",O499/2+O499/2*L499,IF($C499="1/2L",O499/2,IF(I499="Lay",(O499*(L499/(L499-1))-O499)*(1-_xlfn.XLOOKUP(K499,'Fevereiro 2023 - Valor Real'!A3:A15,'Fevereiro 2023 - Valor Real'!C3:C15,0))+O499,(O499*L499-O499)*(1-_xlfn.XLOOKUP(K499,'Fevereiro 2023 - Valor Real'!A3:A15,'Fevereiro 2023 - Valor Real'!C3:C15,0))+O499))))</f>
        <v>34.74</v>
      </c>
      <c r="Q499" s="101">
        <f>IF(K499="","",IF(_xlfn.XLOOKUP(K499,K$4:K498,$DJ$4:DJ498,0,,-1)=DJ499,_xlfn.XLOOKUP(K499,K$4:K498,Q$4:Q498,1,,-1)+1,1))</f>
        <v>8</v>
      </c>
      <c r="R499" s="102">
        <f>IF(K499="","",_xlfn.XLOOKUP(K499,K$4:K498,R$4:R498,0,,-1)+IF($C499=" ",1,0))</f>
        <v>0</v>
      </c>
      <c r="S499" s="474">
        <f>IF($B499="Anulado",0,ROUND(IF(OR($B499="LOSS",$B499="OK"),IF(OR($C499="W",$C499="1/2W",$C499="1/2L"),P499-O499,IF($C499="L",-O499,0))+IF(OR($C500="W",$C500="1/2W",$C500="1/2L"),P500-O500,IF($C500="L",-O500,0))+IF(OR($C501="W",$C501="1/2W",$C501="1/2L"),P501-O501,IF($C501="L",-O501,0)),IF(AND(OR($C499="W",$C499="1/2W",$C499="1/2L"),C500="W"),P499+P500-SUM(O499:O501)+_xlfn.XLOOKUP("X",C499:C501,O499:O501,0),IF(AND(C499=TRUE,C501="W"),P499+P501-SUM(O499:O501),IF(AND(C500="W",C501="W"),P500+P501-SUM(O499:O501)+_xlfn.XLOOKUP("X",C499:C501,O499:O501,0),IF(L501&gt;0,IF(OR($C499="W",$C499="1/2W",$C499="1/2L"),P499-SUM(O499:O501)+_xlfn.XLOOKUP("X",C499:C501,O499:O501,0),IF(OR($C499="W",$C499="1/2W",$C499="1/2L"),P500-SUM(O499:O501)+_xlfn.XLOOKUP("X",C499:C501,O499:O501,0),IF(OR($C499="W",$C499="1/2W",$C499="1/2L"),P501-SUM(O499:O501)+_xlfn.XLOOKUP("X",C499:C501,O499:O501,0),IF(SUM(P499:P501)/3-SUM(O499:O501)+_xlfn.XLOOKUP("X",C499:C501,O499:O501,0)&gt;0,SUM(P499:P501)/3-SUM(O499:O501)+_xlfn.XLOOKUP("X",C499:C501,O499:O501,0),LARGE(P499:P501,1)-SUM(O499:O501))))),IF(OR($C499="W",$C499="1/2W",$C499="1/2L"),P499-SUM(O499:O500)+_xlfn.XLOOKUP("X",C499:C501,O499:O501,0),IF(OR($C499="W",$C499="1/2W",$C499="1/2L"),P500-SUM(O499:O500)+_xlfn.XLOOKUP("X",C499:C501,O499:O501,0),SUM(P499:P500)/2-SUM(O499:O500)+_xlfn.XLOOKUP("X",C499:C501,O499:O501,0)))))))),2))</f>
        <v>1.85</v>
      </c>
      <c r="T499" s="458">
        <f>IF(S499=0,0,S499/SUM(O499:O501))</f>
        <v>5.6248099726360599E-2</v>
      </c>
      <c r="U499" s="470">
        <f>IF($D499=$D496,IF(OR($B499="LOSS",$B499="OK",$B499="Anulada"),S499,0)+U496,IF(OR($B499="LOSS",$B499="OK",$B499="Anulada"),S499,0))</f>
        <v>67.88</v>
      </c>
      <c r="V499" s="470">
        <f>IF($D499="",0,IF($D499=$D496,IF($B499=" ",IF(I501="",IF(OR(AND(I499="DNB1",I500="DNB2"),AND(OR(I499="DNB1",I499="DNB2"),J500=0),AND(OR(I500="DNB1",I500="DNB2"),J499=0),AND(I499="DNB2",I500="DNB1"),AND(IF(J499=0,(J499+1)/ROUND(J499+1,0),J499/ROUND(J499,0))=1,IF(J500=0,(J500+1)/ROUND(IF(J500="",0,J500)+1,0),IF(J500="",0,J500)/ROUND(IF(J500="",1,J500),0))=1,OR(J499&lt;&gt;""),J500&lt;&gt;"")),0,IF(S499&lt;0,IF(I501="",SMALL(P499:P500,1)-SUM(O499:O500),0),SMALL(P499:P500,1)-SUM(O499:O500))),IF(S499&lt;0,IF(I501="",SMALL(P499:P501,1)-SUM(O499:O501),0),LARGE(P499:P501,1)-SUM(O499:O501))),S499)+V496,IF(I501="",IF(OR(AND(I499="DNB1",I500="DNB2"),AND(OR(I499="DNB1",I499="DNB2"),J500=0),AND(OR(I500="DNB1",I500="DNB2"),J499=0),AND(I499="DNB2",I500="DNB1"),AND(IF(J499=0,(J499+1)/ROUND(J499+1,0),J499/ROUND(J499,0))=1,IF(J500=0,(IF(J500="",0,J500)+1)/ROUND(IF(J500="",0,J500)+1,0),IF(J500="",0,J500)/ROUND(IF(J500="",0,J500)+1,0))=1,OR(J499&lt;&gt;""),J500&lt;&gt;"")),0,IF(S499&lt;0,IF(I501="",SMALL(P499:P500,1)-SUM(O499:O500),0),SMALL(P499:P501,1)-SUM(O499:O501))),IF(S499&lt;0,IF(I501="",SMALL(P499:P501,1)-SUM(O499:O501),0),LARGE(P499:P501,1)-SUM(O499:O501)))))</f>
        <v>67.866599999999991</v>
      </c>
      <c r="W499" s="470">
        <f>IF($D499=$D496,IF(S499&lt;0,IF(I501="",S499,0),S499)+W496,S499)</f>
        <v>67.88</v>
      </c>
      <c r="X499" s="480" t="str">
        <f>IF(OR(SUM(R499:R501)=0,V499=W499),ROUND(IF(W499=0,0,W499/Y499)*100,2)&amp;"%",ROUND(IF(V499=0,0,V499/Y499)*100,2)&amp;"% a "&amp;ROUND(IF(W499=0,0,W499/Y499)*100,2)&amp;"%")</f>
        <v>5,15%</v>
      </c>
      <c r="Y499" s="471">
        <f>IF($D499=$D496,Y496+SUM(O499:O501),SUM(O499:O501))</f>
        <v>1319.0100000000002</v>
      </c>
      <c r="Z499" s="470">
        <f>IF($B499=" ",SUM(O499:O501),0)+Z496</f>
        <v>0</v>
      </c>
      <c r="AA499" s="470">
        <f>IF(G499="","",IF($B499="Anulado",LARGE(P499:P501,1)-SUM(O499:O501)+AA496,AA496))</f>
        <v>12.425099999999992</v>
      </c>
      <c r="AB499" s="470">
        <f>IF($D499="","",AB496+S499)</f>
        <v>596.3000000000003</v>
      </c>
      <c r="AC499" s="472">
        <f ca="1">IF($D499="","",IF($B499=" ",IF(DAY(G499)=DAY(TODAY()),1+AC496,0+AC496),0+AC496))</f>
        <v>0</v>
      </c>
      <c r="AD499" s="103">
        <f>(((L500/(L500-1)-1)*(1-_xlfn.XLOOKUP(K500,'Fevereiro 2023 - Valor Real'!A3:A15,'Fevereiro 2023 - Valor Real'!C3:C15,0))+1))/(((L499-1)*(1-_xlfn.XLOOKUP(K499,'Fevereiro 2023 - Valor Real'!A3:A15,'Fevereiro 2023 - Valor Real'!C3:C15,0))+1)+((L500/(L500-1)-1)*(1-_xlfn.XLOOKUP(K500,'Fevereiro 2023 - Valor Real'!A3:A15,'Fevereiro 2023 - Valor Real'!C3:C15,0))+1))</f>
        <v>0.4808080808080808</v>
      </c>
      <c r="AE499" s="104">
        <f>IF(L499="","",IF(L501&gt;0,(SUM(((L499-1)*(1-_xlfn.XLOOKUP(K499,'Fevereiro 2023 - Valor Real'!A3:A15,'Fevereiro 2023 - Valor Real'!C3:C15,0))+1),((L500-1)*(1-_xlfn.XLOOKUP(K500,'Fevereiro 2023 - Valor Real'!A3:A15,'Fevereiro 2023 - Valor Real'!C3:C15,0))+1),((L501-1)*(1-_xlfn.XLOOKUP(K501,'Fevereiro 2023 - Valor Real'!A3:A15,'Fevereiro 2023 - Valor Real'!C3:C15,0))+1))/((L499-1)*(1-_xlfn.XLOOKUP(K499,'Fevereiro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Real'!C3:C15,0))+1))/((L499-1)*(1-_xlfn.XLOOKUP(K499,'Fevereiro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Real'!C3:C15,0))+1))/((L500-1)*(1-_xlfn.XLOOKUP(K500,'Fevereiro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Real'!C3:C15,0))+1))/((L501-1)*(1-_xlfn.XLOOKUP(K501,'Fevereiro 2023 - Valor Real'!A3:A15,'Fevereiro 2023 - Valor Real'!C3:C15,0))+1)),IF(I499="Lay",IF(I500="Lay",((L500/(L500-1)-1)*(1-_xlfn.XLOOKUP(K500,'Fevereiro 2023 - Valor Real'!A3:A15,'Fevereiro 2023 - Valor Real'!C3:C15,0))+1)/(((L500/(L500-1)-1)*(1-_xlfn.XLOOKUP(K500,'Fevereiro 2023 - Valor Real'!A3:A15,'Fevereiro 2023 - Valor Real'!C3:C15,0))+1)+((L499/(L499-1)-1)*(1-_xlfn.XLOOKUP(K499,'Fevereiro 2023 - Valor Real'!A3:A15,'Fevereiro 2023 - Valor Real'!C3:C15,0))+1)),((L500-1)*(1-_xlfn.XLOOKUP(K500,'Fevereiro 2023 - Valor Real'!A3:A15,'Fevereiro 2023 - Valor Real'!C3:C15,0))+1)/(((L500-1)*(1-_xlfn.XLOOKUP(K500,'Fevereiro 2023 - Valor Real'!A3:A15,'Fevereiro 2023 - Valor Real'!C3:C15,0))+1)+((L499/(L499-1)-1)*(1-_xlfn.XLOOKUP(K499,'Fevereiro 2023 - Valor Real'!A3:A15,'Fevereiro 2023 - Valor Real'!C3:C15,0))+1))),IF(I500="Lay",(((L500/(L500-1)-1)*(1-_xlfn.XLOOKUP(K500,'Fevereiro 2023 - Valor Real'!A3:A15,'Fevereiro 2023 - Valor Real'!C3:C15,0))+1))/(((L499-1)*(1-_xlfn.XLOOKUP(K499,'Fevereiro 2023 - Valor Real'!A3:A15,'Fevereiro 2023 - Valor Real'!C3:C15,0))+1)+((L500/(L500-1)-1)*(1-_xlfn.XLOOKUP(K500,'Fevereiro 2023 - Valor Real'!A3:A15,'Fevereiro 2023 - Valor Real'!C3:C15,0))+1)),((L500-1)*(1-_xlfn.XLOOKUP(K500,'Fevereiro 2023 - Valor Real'!A3:A15,'Fevereiro 2023 - Valor Real'!C3:C15,0))+1)/(((L500-1)*(1-_xlfn.XLOOKUP(K500,'Fevereiro 2023 - Valor Real'!A3:A15,'Fevereiro 2023 - Valor Real'!C3:C15,0))+1)+((L499-1)*(1-_xlfn.XLOOKUP(K499,'Fevereiro 2023 - Valor Real'!A3:A15,'Fevereiro 2023 - Valor Real'!C3:C15,0))+1))))))</f>
        <v>0.70414201183431946</v>
      </c>
      <c r="AF499" s="105">
        <f t="shared" si="992"/>
        <v>0</v>
      </c>
      <c r="AG499" s="106">
        <f t="shared" si="992"/>
        <v>11.58</v>
      </c>
      <c r="AH499" s="106">
        <f t="shared" si="992"/>
        <v>0</v>
      </c>
      <c r="AI499" s="106">
        <f t="shared" si="992"/>
        <v>0</v>
      </c>
      <c r="AJ499" s="106">
        <f t="shared" si="992"/>
        <v>0</v>
      </c>
      <c r="AK499" s="106">
        <f t="shared" si="992"/>
        <v>0</v>
      </c>
      <c r="AL499" s="106">
        <f t="shared" si="992"/>
        <v>0</v>
      </c>
      <c r="AM499" s="106">
        <f t="shared" si="992"/>
        <v>0</v>
      </c>
      <c r="AN499" s="106">
        <f t="shared" si="992"/>
        <v>0</v>
      </c>
      <c r="AO499" s="106">
        <f t="shared" si="992"/>
        <v>0</v>
      </c>
      <c r="AP499" s="106">
        <f t="shared" si="992"/>
        <v>0</v>
      </c>
      <c r="AQ499" s="106">
        <f t="shared" si="992"/>
        <v>0</v>
      </c>
      <c r="AR499" s="107">
        <f t="shared" si="992"/>
        <v>0</v>
      </c>
      <c r="AS499" s="105">
        <f t="shared" ref="AS499:BE499" si="1000">IF(AND($B499=" ",$K499=AS$3),$O499,0)</f>
        <v>0</v>
      </c>
      <c r="AT499" s="106">
        <f t="shared" si="1000"/>
        <v>0</v>
      </c>
      <c r="AU499" s="106">
        <f t="shared" si="1000"/>
        <v>0</v>
      </c>
      <c r="AV499" s="106">
        <f t="shared" si="1000"/>
        <v>0</v>
      </c>
      <c r="AW499" s="106">
        <f t="shared" si="1000"/>
        <v>0</v>
      </c>
      <c r="AX499" s="106">
        <f t="shared" si="1000"/>
        <v>0</v>
      </c>
      <c r="AY499" s="108">
        <f t="shared" si="1000"/>
        <v>0</v>
      </c>
      <c r="AZ499" s="109">
        <f t="shared" si="1000"/>
        <v>0</v>
      </c>
      <c r="BA499" s="109">
        <f t="shared" si="1000"/>
        <v>0</v>
      </c>
      <c r="BB499" s="109">
        <f t="shared" si="1000"/>
        <v>0</v>
      </c>
      <c r="BC499" s="110">
        <f t="shared" si="1000"/>
        <v>0</v>
      </c>
      <c r="BD499" s="106">
        <f t="shared" si="1000"/>
        <v>0</v>
      </c>
      <c r="BE499" s="107">
        <f t="shared" si="1000"/>
        <v>0</v>
      </c>
      <c r="BF499" s="111">
        <f t="shared" si="994"/>
        <v>0</v>
      </c>
      <c r="BG499" s="106">
        <f t="shared" si="994"/>
        <v>23.16</v>
      </c>
      <c r="BH499" s="106">
        <f t="shared" si="994"/>
        <v>0</v>
      </c>
      <c r="BI499" s="106">
        <f t="shared" si="994"/>
        <v>0</v>
      </c>
      <c r="BJ499" s="106">
        <f t="shared" si="994"/>
        <v>0</v>
      </c>
      <c r="BK499" s="106">
        <f t="shared" si="994"/>
        <v>0</v>
      </c>
      <c r="BL499" s="106">
        <f t="shared" si="994"/>
        <v>0</v>
      </c>
      <c r="BM499" s="108">
        <f t="shared" si="994"/>
        <v>0</v>
      </c>
      <c r="BN499" s="109">
        <f t="shared" si="994"/>
        <v>0</v>
      </c>
      <c r="BO499" s="109">
        <f t="shared" si="994"/>
        <v>0</v>
      </c>
      <c r="BP499" s="109">
        <f t="shared" si="994"/>
        <v>0</v>
      </c>
      <c r="BQ499" s="110">
        <f t="shared" si="994"/>
        <v>0</v>
      </c>
      <c r="BR499" s="107">
        <f t="shared" si="994"/>
        <v>0</v>
      </c>
      <c r="BS499" s="463">
        <f>IF($B499="LOSS",IF(AND($K499=BS$3,$C499="L"),-$O499,0)+IF(AND($K500=BS$3,$C500="L"),-$O500,0)+IF(AND($K501=BS$3,$C501="L"),-$O501,0),IF(OR(AND($K499=BS$3,OR($C499="W",$C499="1/2W")),AND($K500=BS$3,OR($C500="W",$C500="1/2W")),AND($K501=BS$3,OR($C501="W",$C501="1/2W"))),$S499,0))</f>
        <v>0</v>
      </c>
      <c r="BT499" s="462">
        <f>IF($B499="LOSS",IF(AND($K499=BT$3,$C499="L"),-$O499,0)+IF(AND($K500=BT$3,$C500="L"),-$O500,0)+IF(AND($K500=BT$3,$C501="L"),-$O501,0),IF(OR(AND($K500=BT$3,OR($C499="W",$C499="1/2W")),AND($K500=BT$3,OR($C500="W",$C500="1/2W")),AND($K500=BT$3,OR($C501="W",$C501="1/2W"))),$S499,0))</f>
        <v>0</v>
      </c>
      <c r="BU499" s="462">
        <f>IF($B499="LOSS",IF(AND($K499=BU$3,$C499="L"),-$O499,0)+IF(AND($K500=BU$3,$C500="L"),-$O500,0)+IF(AND($K500=BU$3,$C501="L"),-$O501,0),IF(OR(AND($K500=BU$3,OR($C499="W",$C499="1/2W")),AND($K500=BU$3,OR($C500="W",$C500="1/2W")),AND($K500=BU$3,OR($C501="W",$C501="1/2W"))),$S499,0))</f>
        <v>0</v>
      </c>
      <c r="BV499" s="462">
        <f t="shared" ref="BV499:CE499" si="1001">IF($B499="LOSS",IF(AND($K499=BV$3,$C499="L"),-$O499,0)+IF(AND($K500=BV$3,$C500="L"),-$O500,0)+IF(AND($K501=BV$3,$C501="L"),-$O501,0),IF(OR(AND($K499=BV$3,OR($C499="W",$C499="1/2W")),AND($K500=BV$3,OR($C500="W",$C500="1/2W")),AND($K501=BV$3,OR($C501="W",$C501="1/2W"))),$S499,0))</f>
        <v>0</v>
      </c>
      <c r="BW499" s="462">
        <f t="shared" si="1001"/>
        <v>0</v>
      </c>
      <c r="BX499" s="462">
        <f t="shared" si="1001"/>
        <v>0</v>
      </c>
      <c r="BY499" s="462">
        <f t="shared" si="1001"/>
        <v>0</v>
      </c>
      <c r="BZ499" s="460">
        <f t="shared" si="1001"/>
        <v>0</v>
      </c>
      <c r="CA499" s="460">
        <f t="shared" si="1001"/>
        <v>0</v>
      </c>
      <c r="CB499" s="460">
        <f t="shared" si="1001"/>
        <v>0</v>
      </c>
      <c r="CC499" s="460">
        <f t="shared" si="1001"/>
        <v>0</v>
      </c>
      <c r="CD499" s="473">
        <f t="shared" si="1001"/>
        <v>0</v>
      </c>
      <c r="CE499" s="479">
        <f t="shared" si="1001"/>
        <v>0</v>
      </c>
      <c r="CF499" s="113">
        <f t="shared" si="899"/>
        <v>0</v>
      </c>
      <c r="CG499" s="114">
        <f t="shared" si="900"/>
        <v>0</v>
      </c>
      <c r="CH499" s="114">
        <f t="shared" si="901"/>
        <v>1</v>
      </c>
      <c r="CI499" s="114">
        <f t="shared" si="902"/>
        <v>0</v>
      </c>
      <c r="CJ499" s="114">
        <f t="shared" si="903"/>
        <v>0</v>
      </c>
      <c r="CK499" s="114">
        <f t="shared" si="904"/>
        <v>0</v>
      </c>
      <c r="CL499" s="114">
        <f t="shared" si="905"/>
        <v>0</v>
      </c>
      <c r="CM499" s="114">
        <f t="shared" si="906"/>
        <v>0</v>
      </c>
      <c r="CN499" s="114">
        <f t="shared" si="907"/>
        <v>0</v>
      </c>
      <c r="CO499" s="114">
        <f t="shared" si="908"/>
        <v>0</v>
      </c>
      <c r="CP499" s="114">
        <f t="shared" si="909"/>
        <v>0</v>
      </c>
      <c r="CQ499" s="114">
        <f t="shared" si="910"/>
        <v>0</v>
      </c>
      <c r="CR499" s="114">
        <f t="shared" si="911"/>
        <v>0</v>
      </c>
      <c r="CS499" s="114">
        <f t="shared" si="912"/>
        <v>0</v>
      </c>
      <c r="CT499" s="115">
        <f t="shared" si="913"/>
        <v>0</v>
      </c>
      <c r="CU499" s="116">
        <f t="shared" si="914"/>
        <v>0</v>
      </c>
      <c r="CV499" s="116">
        <f t="shared" si="915"/>
        <v>0</v>
      </c>
      <c r="CW499" s="116">
        <f t="shared" si="916"/>
        <v>0</v>
      </c>
      <c r="CX499" s="116">
        <f t="shared" si="917"/>
        <v>0</v>
      </c>
      <c r="CY499" s="116">
        <f t="shared" si="918"/>
        <v>0</v>
      </c>
      <c r="CZ499" s="116">
        <f t="shared" si="919"/>
        <v>0</v>
      </c>
      <c r="DA499" s="116">
        <f t="shared" si="920"/>
        <v>0</v>
      </c>
      <c r="DB499" s="116">
        <f t="shared" si="921"/>
        <v>0</v>
      </c>
      <c r="DC499" s="116">
        <f t="shared" si="922"/>
        <v>0</v>
      </c>
      <c r="DD499" s="116">
        <f t="shared" si="923"/>
        <v>0</v>
      </c>
      <c r="DE499" s="117">
        <f t="shared" si="924"/>
        <v>0</v>
      </c>
      <c r="DF499" s="118">
        <f t="shared" si="926"/>
        <v>33</v>
      </c>
      <c r="DG499" s="106">
        <f t="shared" si="927"/>
        <v>43.031999999999989</v>
      </c>
      <c r="DH499" s="116">
        <f t="shared" si="928"/>
        <v>12</v>
      </c>
      <c r="DI499" s="106">
        <f t="shared" si="929"/>
        <v>49.449999999999996</v>
      </c>
      <c r="DJ499" s="201" t="str">
        <f>IF($D499="","",$D499)</f>
        <v>15</v>
      </c>
      <c r="DK499" s="465">
        <f>IF(AND($B499=" ",$D499&lt;&gt;""),1,0)</f>
        <v>0</v>
      </c>
    </row>
    <row r="500" spans="1:115" ht="14.5" customHeight="1" x14ac:dyDescent="0.2">
      <c r="A500" s="389"/>
      <c r="B500" s="456"/>
      <c r="C500" s="120" t="s">
        <v>55</v>
      </c>
      <c r="D500" s="374"/>
      <c r="E500" s="386"/>
      <c r="F500" s="377"/>
      <c r="G500" s="483"/>
      <c r="H500" s="476"/>
      <c r="I500" s="121" t="s">
        <v>63</v>
      </c>
      <c r="J500" s="179" t="str">
        <f>IF(OR(I499="TO",I499="TU",I499="TO1",I499="TU1",I499="TO2",I499="TU2"),J499,IF(OR(I499="AH1",I499="AH2"),IF(OR(I500="AH1",I500="AH2"),-J499,IF(OR(I500="EH1",I500="EH2"),-J499+0.5,"")),IF(OR(I499="EH1",I499="EH2"),IF(OR(I500="AH1",I500="AH2"),-J499+0.5,IF(OR(I500="EH1",I500="EH2"),-J499+1,"")),IF(AND(OR(I499="DNB1",I499="DNB2"),OR(I500="AH1",I500="AH2")),0,IF(AND(I499="Not ScoreBoth",OR(I500="TO1",I500="TO2")),0.5,"")))))</f>
        <v/>
      </c>
      <c r="K500" s="123" t="s">
        <v>43</v>
      </c>
      <c r="L500" s="124">
        <v>3.57</v>
      </c>
      <c r="M500" s="125"/>
      <c r="N500" s="406"/>
      <c r="O500" s="126">
        <f>IF(OR(AE499="",AE500=""),"",ROUND(IF(L501&gt;0,IF(M500&gt;0,M500,IF(M499&gt;0,IF(N499=TRUE,ROUND((M499*AE500)/AE499,0),(M499*AE500)/AE499),IF(M500&gt;0,ROUND(M500,IF(N499=0,2,IF(N499=0.1,1,0))),IF(M501&gt;0,ROUND(O501*AE500/AE501,IF(N499=0,2,IF(N499=0.1,1,0))),0)))),IF(M500&gt;0,M500,ROUND((M499*AE500)/AE499,IF(N499=0,2,IF(N499=0.1,1,0))))),2))</f>
        <v>9.73</v>
      </c>
      <c r="P500" s="127">
        <f>IF(OR(L500="",O500=""),"",IF($C500="1/2W",O500/2+O500/2*L500,IF($C500="1/2L",O500/2,IF(I500="Lay",((O500*(L500/(L500-1)))-O500)*(1-_xlfn.XLOOKUP(K500,'Fevereiro 2023 - Valor Real'!A3:A15,'Fevereiro 2023 - Valor Real'!C3:C15,0))+O500,(O500*L500-O500)*(1-_xlfn.XLOOKUP(K500,'Fevereiro 2023 - Valor Real'!A3:A15,'Fevereiro 2023 - Valor Real'!C3:C15,0))+O500))))</f>
        <v>34.7361</v>
      </c>
      <c r="Q500" s="128">
        <f>IF(K500="","",IF(_xlfn.XLOOKUP(K500,K$4:K499,$DJ$4:DJ499,0,,-1)=DJ500,_xlfn.XLOOKUP(K500,K$4:K499,Q$4:Q499,1,,-1)+1,1))</f>
        <v>9</v>
      </c>
      <c r="R500" s="129">
        <f>IF(K500="","",_xlfn.XLOOKUP(K500,K$4:K499,R$4:R499,0,,-1)+IF($C500=" ",1,0))</f>
        <v>0</v>
      </c>
      <c r="S500" s="403"/>
      <c r="T500" s="380"/>
      <c r="U500" s="380"/>
      <c r="V500" s="481"/>
      <c r="W500" s="380"/>
      <c r="X500" s="452"/>
      <c r="Y500" s="383"/>
      <c r="Z500" s="384"/>
      <c r="AA500" s="384"/>
      <c r="AB500" s="384"/>
      <c r="AC500" s="384"/>
      <c r="AD500" s="130">
        <f>(((L500/(L500-1)-1)*(1-_xlfn.XLOOKUP(K500,'Fevereiro 2023 - Valor Real'!A3:A15,'Fevereiro 2023 - Valor Real'!C3:C15,0))+1))</f>
        <v>1.3891050583657587</v>
      </c>
      <c r="AE500" s="131">
        <f>IF(L500="","",IF(L501&gt;0,(SUM(((L499-1)*(1-_xlfn.XLOOKUP(K499,'Fevereiro 2023 - Valor Real'!A3:A15,'Fevereiro 2023 - Valor Real'!C3:C15,0))+1),((L500-1)*(1-_xlfn.XLOOKUP(K500,'Fevereiro 2023 - Valor Real'!A3:A15,'Fevereiro 2023 - Valor Real'!C3:C15,0))+1),((L501-1)*(1-_xlfn.XLOOKUP(K501,'Fevereiro 2023 - Valor Real'!A3:A15,'Fevereiro 2023 - Valor Real'!C3:C15,0))+1))/((L500-1)*(1-_xlfn.XLOOKUP(K500,'Fevereiro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Real'!C3:C15,0))+1))/((L499-1)*(1-_xlfn.XLOOKUP(K499,'Fevereiro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Real'!C3:C15,0))+1))/((L500-1)*(1-_xlfn.XLOOKUP(K500,'Fevereiro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Real'!C3:C15,0))+1))/((L501-1)*(1-_xlfn.XLOOKUP(K501,'Fevereiro 2023 - Valor Real'!A3:A15,'Fevereiro 2023 - Valor Real'!C3:C15,0))+1)),IF(I500="Lay",IF(I499="Lay",((L499/(L499-1)-1)*(1-_xlfn.XLOOKUP(K499,'Fevereiro 2023 - Valor Real'!A3:A15,'Fevereiro 2023 - Valor Real'!C3:C15,0))+1)/(((L499/(L499-1)-1)*(1-_xlfn.XLOOKUP(K499,'Fevereiro 2023 - Valor Real'!A3:A15,'Fevereiro 2023 - Valor Real'!C3:C15,0))+1)+((L500/(L500-1)-1)*(1-_xlfn.XLOOKUP(K500,'Fevereiro 2023 - Valor Real'!A3:A15,'Fevereiro 2023 - Valor Real'!C3:C15,0))+1)),((L499-1)*(1-_xlfn.XLOOKUP(K499,'Fevereiro 2023 - Valor Real'!A3:A15,'Fevereiro 2023 - Valor Real'!C3:C15,0))+1)/(((L499-1)*(1-_xlfn.XLOOKUP(K499,'Fevereiro 2023 - Valor Real'!A3:A15,'Fevereiro 2023 - Valor Real'!C3:C15,0))+1)+((L500/(L500-1)-1)*(1-_xlfn.XLOOKUP(K500,'Fevereiro 2023 - Valor Real'!A3:A15,'Fevereiro 2023 - Valor Real'!C3:C15,0))+1))),IF(I499="Lay",((L499/(L499-1)-1)*(1-_xlfn.XLOOKUP(K499,'Fevereiro 2023 - Valor Real'!A3:A15,'Fevereiro 2023 - Valor Real'!C3:C15,0))+1)/((((L499/(L499-1)-1)*(1-_xlfn.XLOOKUP(K499,'Fevereiro 2023 - Valor Real'!A3:A15,'Fevereiro 2023 - Valor Real'!C3:C15,0))+1))+((L500-1)*(1-_xlfn.XLOOKUP(K500,'Fevereiro 2023 - Valor Real'!A3:A15,'Fevereiro 2023 - Valor Real'!C3:C15,0))+1)),((L499-1)*(1-_xlfn.XLOOKUP(K499,'Fevereiro 2023 - Valor Real'!A3:A15,'Fevereiro 2023 - Valor Real'!C3:C15,0))+1)/(((L499-1)*(1-_xlfn.XLOOKUP(K499,'Fevereiro 2023 - Valor Real'!A3:A15,'Fevereiro 2023 - Valor Real'!C3:C15,0))+1)+((L500-1)*(1-_xlfn.XLOOKUP(K500,'Fevereiro 2023 - Valor Real'!A3:A15,'Fevereiro 2023 - Valor Real'!C3:C15,0))+1))))))</f>
        <v>0.29585798816568043</v>
      </c>
      <c r="AF500" s="105">
        <f t="shared" si="992"/>
        <v>0</v>
      </c>
      <c r="AG500" s="106">
        <f t="shared" si="992"/>
        <v>0</v>
      </c>
      <c r="AH500" s="106">
        <f t="shared" si="992"/>
        <v>0</v>
      </c>
      <c r="AI500" s="106">
        <f t="shared" si="992"/>
        <v>0</v>
      </c>
      <c r="AJ500" s="106">
        <f t="shared" si="992"/>
        <v>0</v>
      </c>
      <c r="AK500" s="106">
        <f t="shared" si="992"/>
        <v>0</v>
      </c>
      <c r="AL500" s="106">
        <f t="shared" si="992"/>
        <v>0</v>
      </c>
      <c r="AM500" s="106">
        <f t="shared" si="992"/>
        <v>-9.73</v>
      </c>
      <c r="AN500" s="106">
        <f t="shared" si="992"/>
        <v>0</v>
      </c>
      <c r="AO500" s="106">
        <f t="shared" si="992"/>
        <v>0</v>
      </c>
      <c r="AP500" s="106">
        <f t="shared" si="992"/>
        <v>0</v>
      </c>
      <c r="AQ500" s="106">
        <f t="shared" si="992"/>
        <v>0</v>
      </c>
      <c r="AR500" s="107">
        <f t="shared" si="992"/>
        <v>0</v>
      </c>
      <c r="AS500" s="105">
        <f>IF(AND($B499=" ",$K500=AS$3),$O500,0)</f>
        <v>0</v>
      </c>
      <c r="AT500" s="106">
        <f>IF(AND($B499=" ",K500=AT$3),$O500,0)</f>
        <v>0</v>
      </c>
      <c r="AU500" s="106">
        <f t="shared" ref="AU500:BE500" si="1002">IF(AND($B499=" ",$K500=AU$3),$O500,0)</f>
        <v>0</v>
      </c>
      <c r="AV500" s="106">
        <f t="shared" si="1002"/>
        <v>0</v>
      </c>
      <c r="AW500" s="106">
        <f t="shared" si="1002"/>
        <v>0</v>
      </c>
      <c r="AX500" s="106">
        <f t="shared" si="1002"/>
        <v>0</v>
      </c>
      <c r="AY500" s="108">
        <f t="shared" si="1002"/>
        <v>0</v>
      </c>
      <c r="AZ500" s="109">
        <f t="shared" si="1002"/>
        <v>0</v>
      </c>
      <c r="BA500" s="109">
        <f t="shared" si="1002"/>
        <v>0</v>
      </c>
      <c r="BB500" s="109">
        <f t="shared" si="1002"/>
        <v>0</v>
      </c>
      <c r="BC500" s="110">
        <f t="shared" si="1002"/>
        <v>0</v>
      </c>
      <c r="BD500" s="106">
        <f t="shared" si="1002"/>
        <v>0</v>
      </c>
      <c r="BE500" s="107">
        <f t="shared" si="1002"/>
        <v>0</v>
      </c>
      <c r="BF500" s="105">
        <f t="shared" si="994"/>
        <v>0</v>
      </c>
      <c r="BG500" s="106">
        <f t="shared" si="994"/>
        <v>0</v>
      </c>
      <c r="BH500" s="106">
        <f t="shared" si="994"/>
        <v>0</v>
      </c>
      <c r="BI500" s="106">
        <f t="shared" si="994"/>
        <v>0</v>
      </c>
      <c r="BJ500" s="106">
        <f t="shared" si="994"/>
        <v>0</v>
      </c>
      <c r="BK500" s="106">
        <f t="shared" si="994"/>
        <v>0</v>
      </c>
      <c r="BL500" s="106">
        <f t="shared" si="994"/>
        <v>0</v>
      </c>
      <c r="BM500" s="132">
        <f t="shared" si="994"/>
        <v>9.73</v>
      </c>
      <c r="BN500" s="112">
        <f t="shared" si="994"/>
        <v>0</v>
      </c>
      <c r="BO500" s="112">
        <f t="shared" si="994"/>
        <v>0</v>
      </c>
      <c r="BP500" s="112">
        <f t="shared" si="994"/>
        <v>0</v>
      </c>
      <c r="BQ500" s="110">
        <f t="shared" si="994"/>
        <v>0</v>
      </c>
      <c r="BR500" s="107">
        <f t="shared" si="994"/>
        <v>0</v>
      </c>
      <c r="BS500" s="464"/>
      <c r="BT500" s="461"/>
      <c r="BU500" s="392"/>
      <c r="BV500" s="461"/>
      <c r="BW500" s="392"/>
      <c r="BX500" s="392"/>
      <c r="BY500" s="392"/>
      <c r="BZ500" s="461"/>
      <c r="CA500" s="392"/>
      <c r="CB500" s="392"/>
      <c r="CC500" s="392"/>
      <c r="CD500" s="401"/>
      <c r="CE500" s="409"/>
      <c r="CF500" s="133">
        <f t="shared" si="899"/>
        <v>0</v>
      </c>
      <c r="CG500" s="134">
        <f t="shared" si="900"/>
        <v>0</v>
      </c>
      <c r="CH500" s="134">
        <f t="shared" si="901"/>
        <v>0</v>
      </c>
      <c r="CI500" s="134">
        <f t="shared" si="902"/>
        <v>0</v>
      </c>
      <c r="CJ500" s="134">
        <f t="shared" si="903"/>
        <v>0</v>
      </c>
      <c r="CK500" s="134">
        <f t="shared" si="904"/>
        <v>0</v>
      </c>
      <c r="CL500" s="134">
        <f t="shared" si="905"/>
        <v>0</v>
      </c>
      <c r="CM500" s="134">
        <f t="shared" si="906"/>
        <v>0</v>
      </c>
      <c r="CN500" s="134">
        <f t="shared" si="907"/>
        <v>0</v>
      </c>
      <c r="CO500" s="134">
        <f t="shared" si="908"/>
        <v>0</v>
      </c>
      <c r="CP500" s="134">
        <f t="shared" si="909"/>
        <v>0</v>
      </c>
      <c r="CQ500" s="134">
        <f t="shared" si="910"/>
        <v>0</v>
      </c>
      <c r="CR500" s="134">
        <f t="shared" si="911"/>
        <v>0</v>
      </c>
      <c r="CS500" s="134">
        <f t="shared" si="912"/>
        <v>0</v>
      </c>
      <c r="CT500" s="115">
        <f t="shared" si="913"/>
        <v>0</v>
      </c>
      <c r="CU500" s="116">
        <f t="shared" si="914"/>
        <v>1</v>
      </c>
      <c r="CV500" s="116">
        <f t="shared" si="915"/>
        <v>0</v>
      </c>
      <c r="CW500" s="116">
        <f t="shared" si="916"/>
        <v>0</v>
      </c>
      <c r="CX500" s="116">
        <f t="shared" si="917"/>
        <v>0</v>
      </c>
      <c r="CY500" s="116">
        <f t="shared" si="918"/>
        <v>0</v>
      </c>
      <c r="CZ500" s="116">
        <f t="shared" si="919"/>
        <v>0</v>
      </c>
      <c r="DA500" s="116">
        <f t="shared" si="920"/>
        <v>0</v>
      </c>
      <c r="DB500" s="116">
        <f t="shared" si="921"/>
        <v>0</v>
      </c>
      <c r="DC500" s="116">
        <f t="shared" si="922"/>
        <v>0</v>
      </c>
      <c r="DD500" s="116">
        <f t="shared" si="923"/>
        <v>0</v>
      </c>
      <c r="DE500" s="117">
        <f t="shared" si="924"/>
        <v>0</v>
      </c>
      <c r="DF500" s="118">
        <f t="shared" si="926"/>
        <v>33</v>
      </c>
      <c r="DG500" s="106">
        <f t="shared" si="927"/>
        <v>43.031999999999989</v>
      </c>
      <c r="DH500" s="116">
        <f t="shared" si="928"/>
        <v>12</v>
      </c>
      <c r="DI500" s="106">
        <f t="shared" si="929"/>
        <v>49.449999999999996</v>
      </c>
      <c r="DJ500" s="201" t="str">
        <f>IF($D499="","",$D499)</f>
        <v>15</v>
      </c>
      <c r="DK500" s="466"/>
    </row>
    <row r="501" spans="1:115" ht="14.5" customHeight="1" x14ac:dyDescent="0.2">
      <c r="A501" s="390"/>
      <c r="B501" s="457"/>
      <c r="C501" s="135" t="s">
        <v>53</v>
      </c>
      <c r="D501" s="375"/>
      <c r="E501" s="387"/>
      <c r="F501" s="378"/>
      <c r="G501" s="484"/>
      <c r="H501" s="477"/>
      <c r="I501" s="136"/>
      <c r="J501" s="137"/>
      <c r="K501" s="138"/>
      <c r="L501" s="139"/>
      <c r="M501" s="140"/>
      <c r="N501" s="407"/>
      <c r="O501" s="141" t="str">
        <f>IF(OR(AE499="",AE500=""),"",IF(L501&gt;0,ROUND(IF(M501&gt;0,M501,IF(M499&gt;0,ROUND((M499*AE501)/AE499,IF(N499=0,2,IF(N499=0.1,1,0))),IF(M500&gt;0,ROUND((M500*AE501)/AE500,IF(N499=0,2,IF(N499=0.1,1,0))),IF(M501&gt;0,M501,0)))),2),""))</f>
        <v/>
      </c>
      <c r="P501" s="142" t="str">
        <f>IF(I500="Lay",O500*(L500/(L500-1))-O500,IF(I499="Lay",O499*(L499/(L499-1))-O499,IF(OR(L501="",O501=""),"",IF($C501="1/2W",O501/2+O501/2*L501,IF($C501="1/2L",O501/2,(O501*L501-O501)*(1-_xlfn.XLOOKUP(K501,'Fevereiro 2023 - Valor Real'!A3:A15,'Fevereiro 2023 - Valor Real'!C3:C15,0))+O501)))))</f>
        <v/>
      </c>
      <c r="Q501" s="143" t="str">
        <f>IF(K501="","",IF(_xlfn.XLOOKUP(K501,K$4:K500,$DJ$4:DJ500,0,,-1)=DJ501,_xlfn.XLOOKUP(K501,K$4:K500,Q$4:Q500,1,,-1)+1,1))</f>
        <v/>
      </c>
      <c r="R501" s="144" t="str">
        <f>IF(K501="","",_xlfn.XLOOKUP(K501,K$4:K500,R$4:R500,0,,-1)+IF($C501=" ",1,0))</f>
        <v/>
      </c>
      <c r="S501" s="404"/>
      <c r="T501" s="378"/>
      <c r="U501" s="378"/>
      <c r="V501" s="404"/>
      <c r="W501" s="378"/>
      <c r="X501" s="453"/>
      <c r="Y501" s="383"/>
      <c r="Z501" s="384"/>
      <c r="AA501" s="384"/>
      <c r="AB501" s="384"/>
      <c r="AC501" s="384"/>
      <c r="AD501" s="145">
        <f>((L500/(L500-1)-1))</f>
        <v>0.3891050583657587</v>
      </c>
      <c r="AE501" s="146" t="str">
        <f>IF(L501="","",(SUM(((L499-1)*(1-_xlfn.XLOOKUP(K499,'Fevereiro 2023 - Valor Real'!A3:A15,'Fevereiro 2023 - Valor Real'!C3:C15,0))+1),((L500-1)*(1-_xlfn.XLOOKUP(K500,'Fevereiro 2023 - Valor Real'!A3:A15,'Fevereiro 2023 - Valor Real'!C3:C15,0))+1),((L501-1)*(1-_xlfn.XLOOKUP(K501,'Fevereiro 2023 - Valor Real'!A3:A15,'Fevereiro 2023 - Valor Real'!C3:C15,0))+1))/((L501-1)*(1-_xlfn.XLOOKUP(K501,'Fevereiro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Real'!C3:C15,0))+1))/((L499-1)*(1-_xlfn.XLOOKUP(K499,'Fevereiro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Real'!C3:C15,0))+1))/((L500-1)*(1-_xlfn.XLOOKUP(K500,'Fevereiro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Real'!C3:C15,0))+1))/((L501-1)*(1-_xlfn.XLOOKUP(K501,'Fevereiro 2023 - Valor Real'!A3:A15,'Fevereiro 2023 - Valor Real'!C3:C15,0))+1)))</f>
        <v/>
      </c>
      <c r="AF501" s="105">
        <f t="shared" si="992"/>
        <v>0</v>
      </c>
      <c r="AG501" s="106">
        <f t="shared" si="992"/>
        <v>0</v>
      </c>
      <c r="AH501" s="106">
        <f t="shared" si="992"/>
        <v>0</v>
      </c>
      <c r="AI501" s="106">
        <f t="shared" si="992"/>
        <v>0</v>
      </c>
      <c r="AJ501" s="106">
        <f t="shared" si="992"/>
        <v>0</v>
      </c>
      <c r="AK501" s="106">
        <f t="shared" si="992"/>
        <v>0</v>
      </c>
      <c r="AL501" s="106">
        <f t="shared" si="992"/>
        <v>0</v>
      </c>
      <c r="AM501" s="106">
        <f t="shared" si="992"/>
        <v>0</v>
      </c>
      <c r="AN501" s="106">
        <f t="shared" si="992"/>
        <v>0</v>
      </c>
      <c r="AO501" s="106">
        <f t="shared" si="992"/>
        <v>0</v>
      </c>
      <c r="AP501" s="106">
        <f t="shared" si="992"/>
        <v>0</v>
      </c>
      <c r="AQ501" s="106">
        <f t="shared" si="992"/>
        <v>0</v>
      </c>
      <c r="AR501" s="107">
        <f t="shared" si="992"/>
        <v>0</v>
      </c>
      <c r="AS501" s="105">
        <f>IF(AND($B499=" ",$K501=AS$3),$O501,0)</f>
        <v>0</v>
      </c>
      <c r="AT501" s="106">
        <f>IF(AND($B499=" ",K501=AT$3),$O501,0)</f>
        <v>0</v>
      </c>
      <c r="AU501" s="106">
        <f t="shared" ref="AU501:BE501" si="1003">IF(AND($B499=" ",$K501=AU$3),$O501,0)</f>
        <v>0</v>
      </c>
      <c r="AV501" s="106">
        <f t="shared" si="1003"/>
        <v>0</v>
      </c>
      <c r="AW501" s="106">
        <f t="shared" si="1003"/>
        <v>0</v>
      </c>
      <c r="AX501" s="106">
        <f t="shared" si="1003"/>
        <v>0</v>
      </c>
      <c r="AY501" s="108">
        <f t="shared" si="1003"/>
        <v>0</v>
      </c>
      <c r="AZ501" s="109">
        <f t="shared" si="1003"/>
        <v>0</v>
      </c>
      <c r="BA501" s="109">
        <f t="shared" si="1003"/>
        <v>0</v>
      </c>
      <c r="BB501" s="109">
        <f t="shared" si="1003"/>
        <v>0</v>
      </c>
      <c r="BC501" s="110">
        <f t="shared" si="1003"/>
        <v>0</v>
      </c>
      <c r="BD501" s="106">
        <f t="shared" si="1003"/>
        <v>0</v>
      </c>
      <c r="BE501" s="107">
        <f t="shared" si="1003"/>
        <v>0</v>
      </c>
      <c r="BF501" s="105">
        <f t="shared" si="994"/>
        <v>0</v>
      </c>
      <c r="BG501" s="106">
        <f t="shared" si="994"/>
        <v>0</v>
      </c>
      <c r="BH501" s="106">
        <f t="shared" si="994"/>
        <v>0</v>
      </c>
      <c r="BI501" s="106">
        <f t="shared" si="994"/>
        <v>0</v>
      </c>
      <c r="BJ501" s="106">
        <f t="shared" si="994"/>
        <v>0</v>
      </c>
      <c r="BK501" s="106">
        <f t="shared" si="994"/>
        <v>0</v>
      </c>
      <c r="BL501" s="106">
        <f t="shared" si="994"/>
        <v>0</v>
      </c>
      <c r="BM501" s="108">
        <f t="shared" si="994"/>
        <v>0</v>
      </c>
      <c r="BN501" s="109">
        <f t="shared" si="994"/>
        <v>0</v>
      </c>
      <c r="BO501" s="109">
        <f t="shared" si="994"/>
        <v>0</v>
      </c>
      <c r="BP501" s="109">
        <f t="shared" si="994"/>
        <v>0</v>
      </c>
      <c r="BQ501" s="110">
        <f t="shared" si="994"/>
        <v>0</v>
      </c>
      <c r="BR501" s="107">
        <f t="shared" si="994"/>
        <v>0</v>
      </c>
      <c r="BS501" s="464"/>
      <c r="BT501" s="461"/>
      <c r="BU501" s="392"/>
      <c r="BV501" s="461"/>
      <c r="BW501" s="392"/>
      <c r="BX501" s="392"/>
      <c r="BY501" s="392"/>
      <c r="BZ501" s="461"/>
      <c r="CA501" s="392"/>
      <c r="CB501" s="392"/>
      <c r="CC501" s="392"/>
      <c r="CD501" s="401"/>
      <c r="CE501" s="409"/>
      <c r="CF501" s="133">
        <f t="shared" si="899"/>
        <v>0</v>
      </c>
      <c r="CG501" s="134">
        <f t="shared" si="900"/>
        <v>0</v>
      </c>
      <c r="CH501" s="134">
        <f t="shared" si="901"/>
        <v>0</v>
      </c>
      <c r="CI501" s="134">
        <f t="shared" si="902"/>
        <v>0</v>
      </c>
      <c r="CJ501" s="134">
        <f t="shared" si="903"/>
        <v>0</v>
      </c>
      <c r="CK501" s="134">
        <f t="shared" si="904"/>
        <v>0</v>
      </c>
      <c r="CL501" s="134">
        <f t="shared" si="905"/>
        <v>0</v>
      </c>
      <c r="CM501" s="134">
        <f t="shared" si="906"/>
        <v>0</v>
      </c>
      <c r="CN501" s="134">
        <f t="shared" si="907"/>
        <v>0</v>
      </c>
      <c r="CO501" s="134">
        <f t="shared" si="908"/>
        <v>0</v>
      </c>
      <c r="CP501" s="134">
        <f t="shared" si="909"/>
        <v>0</v>
      </c>
      <c r="CQ501" s="134">
        <f t="shared" si="910"/>
        <v>0</v>
      </c>
      <c r="CR501" s="134">
        <f t="shared" si="911"/>
        <v>0</v>
      </c>
      <c r="CS501" s="134">
        <f t="shared" si="912"/>
        <v>0</v>
      </c>
      <c r="CT501" s="115">
        <f t="shared" si="913"/>
        <v>0</v>
      </c>
      <c r="CU501" s="116">
        <f t="shared" si="914"/>
        <v>0</v>
      </c>
      <c r="CV501" s="116">
        <f t="shared" si="915"/>
        <v>0</v>
      </c>
      <c r="CW501" s="116">
        <f t="shared" si="916"/>
        <v>0</v>
      </c>
      <c r="CX501" s="116">
        <f t="shared" si="917"/>
        <v>0</v>
      </c>
      <c r="CY501" s="116">
        <f t="shared" si="918"/>
        <v>0</v>
      </c>
      <c r="CZ501" s="116">
        <f t="shared" si="919"/>
        <v>0</v>
      </c>
      <c r="DA501" s="116">
        <f t="shared" si="920"/>
        <v>0</v>
      </c>
      <c r="DB501" s="116">
        <f t="shared" si="921"/>
        <v>0</v>
      </c>
      <c r="DC501" s="116">
        <f t="shared" si="922"/>
        <v>0</v>
      </c>
      <c r="DD501" s="116">
        <f t="shared" si="923"/>
        <v>0</v>
      </c>
      <c r="DE501" s="117">
        <f t="shared" si="924"/>
        <v>0</v>
      </c>
      <c r="DF501" s="118">
        <f t="shared" si="926"/>
        <v>33</v>
      </c>
      <c r="DG501" s="106">
        <f t="shared" si="927"/>
        <v>43.031999999999989</v>
      </c>
      <c r="DH501" s="116">
        <f t="shared" si="928"/>
        <v>12</v>
      </c>
      <c r="DI501" s="106">
        <f t="shared" si="929"/>
        <v>49.449999999999996</v>
      </c>
      <c r="DJ501" s="201" t="str">
        <f>IF($D499="","",$D499)</f>
        <v>15</v>
      </c>
      <c r="DK501" s="466"/>
    </row>
    <row r="502" spans="1:115" ht="14.5" customHeight="1" x14ac:dyDescent="0.2">
      <c r="A502" s="487">
        <f>$A499+1</f>
        <v>167</v>
      </c>
      <c r="B502" s="506" t="str">
        <f>IF(OR(C502="W",C503="W",C504="W",C502="1/2W",C503="1/2W",C504="1/2W",C502="1/2L",C503="1/2L",C504="1/2L"),"OK",IF(OR(C502="L",C503="L",C504="L"),"LOSS",IF(OR(C502="X",C503="X",C504="X"),"Anulado"," ")))</f>
        <v>OK</v>
      </c>
      <c r="C502" s="147" t="s">
        <v>55</v>
      </c>
      <c r="D502" s="494" t="str">
        <f>IF(G502="","",$D499)</f>
        <v>15</v>
      </c>
      <c r="E502" s="511" t="str">
        <f>IF(G502=""," ","– "&amp;COUNTIF(D$4:D504,$D502))</f>
        <v>– 25</v>
      </c>
      <c r="F502" s="510" t="str">
        <f ca="1">IF(G502="","",IF(OR(AND($C502&lt;&gt;" ",$C503=" "),AND($C503&lt;&gt;" ",$C502=" "),AND(L504&gt;0,OR(AND($C504&lt;&gt;" ",OR($C502=" ",$C503=" ")),AND($C504=" ",OR($C502&lt;&gt;" ",$C503&lt;&gt;" "))))),IF(SUM(F$4:F501)=0,1,LARGE(F$4:F501,1)+1),IF(MONTH(G502)=MONTH(TODAY()),IF(AND(DAY(G502)&lt;DAY(TODAY()),$B502=" "),IF(SUM(F$4:F501)=0,1,LARGE(F$4:F501,1)+1),IF($B502=" ",IF(AND(DAY(G502)=DAY(TODAY()),HOUR(G502)&lt;=HOUR(NOW())+1),IF(AND(HOUR(G502)+2&lt;=HOUR(NOW()),DAY(G502)&lt;=DAY(TODAY()),MINUTE(G502)&lt;=MINUTE(NOW())),IF(SUM(F$4:F501)=0,1,LARGE(F$4:F501,1)+1),IF(OR(MINUTE(G502)&lt;=MINUTE(NOW()),HOUR(G502)&lt;=HOUR(NOW())),"!!!","")),""),"")),"")))</f>
        <v/>
      </c>
      <c r="G502" s="508">
        <v>45000.697916666664</v>
      </c>
      <c r="H502" s="502" t="s">
        <v>200</v>
      </c>
      <c r="I502" s="148">
        <v>1</v>
      </c>
      <c r="J502" s="149"/>
      <c r="K502" s="150" t="s">
        <v>38</v>
      </c>
      <c r="L502" s="151">
        <v>1.63</v>
      </c>
      <c r="M502" s="152"/>
      <c r="N502" s="503">
        <v>0</v>
      </c>
      <c r="O502" s="153">
        <f>IF(OR(AE502="",AE503=""),"",ROUND(IF(L504&gt;0,IF(M502&gt;0,M502,IF(M503&gt;0,ROUND((M503*AE502)/AE503,IF(N502=0,2,IF(N502=0.1,1,0))),ROUND((M504*AE502)/AE504,IF(N502=0,2,IF(N502=0.1,1,0))))),IF(M502&gt;0,M502,ROUND((M503*AE502)/AE503,IF(N502=0,2,IF(N502=0.1,1,0))))),2))</f>
        <v>30.72</v>
      </c>
      <c r="P502" s="154">
        <f>IF(OR(L502="",O502=""),"",IF($C502="1/2W",O502/2+O502/2*L502,IF($C502="1/2L",O502/2,IF(I502="Lay",(O502*(L502/(L502-1))-O502)*(1-_xlfn.XLOOKUP(K502,'Fevereiro 2023 - Valor Real'!A3:A15,'Fevereiro 2023 - Valor Real'!C3:C15,0))+O502,(O502*L502-O502)*(1-_xlfn.XLOOKUP(K502,'Fevereiro 2023 - Valor Real'!A3:A15,'Fevereiro 2023 - Valor Real'!C3:C15,0))+O502))))</f>
        <v>48.815615999999991</v>
      </c>
      <c r="Q502" s="155">
        <f>IF(K502="","",IF(_xlfn.XLOOKUP(K502,K$9:K494,$DJ$9:DJ494,0,,-1)=DJ502,_xlfn.XLOOKUP(K502,K$9:K494,Q$9:Q494,1,,-1)+1,1))</f>
        <v>1</v>
      </c>
      <c r="R502" s="156">
        <f>IF(K502="","",_xlfn.XLOOKUP(K502,K$9:K494,R$9:R494,0,,-1)+IF($C502=" ",1,0))</f>
        <v>0</v>
      </c>
      <c r="S502" s="501">
        <f>IF($B502="Anulado",0,ROUND(IF(OR($B502="LOSS",$B502="OK"),IF(OR($C502="W",$C502="1/2W",$C502="1/2L"),P502-O502,IF($C502="L",-O502,0))+IF(OR($C503="W",$C503="1/2W",$C503="1/2L"),P503-O503,IF($C503="L",-O503,0))+IF(OR($C504="W",$C504="1/2W",$C504="1/2L"),P504-O504,IF($C504="L",-O504,0)),IF(AND(OR($C502="W",$C502="1/2W",$C502="1/2L"),C503="W"),P502+P503-SUM(O502:O504)+_xlfn.XLOOKUP("X",C502:C504,O502:O504,0),IF(AND(C502=TRUE,C504="W"),P502+P504-SUM(O502:O504),IF(AND(C503="W",C504="W"),P503+P504-SUM(O502:O504)+_xlfn.XLOOKUP("X",C502:C504,O502:O504,0),IF(L504&gt;0,IF(OR($C502="W",$C502="1/2W",$C502="1/2L"),P502-SUM(O502:O504)+_xlfn.XLOOKUP("X",C502:C504,O502:O504,0),IF(OR($C502="W",$C502="1/2W",$C502="1/2L"),P503-SUM(O502:O504)+_xlfn.XLOOKUP("X",C502:C504,O502:O504,0),IF(OR($C502="W",$C502="1/2W",$C502="1/2L"),P504-SUM(O502:O504)+_xlfn.XLOOKUP("X",C502:C504,O502:O504,0),IF(SUM(P502:P504)/3-SUM(O502:O504)+_xlfn.XLOOKUP("X",C502:C504,O502:O504,0)&gt;0,SUM(P502:P504)/3-SUM(O502:O504)+_xlfn.XLOOKUP("X",C502:C504,O502:O504,0),LARGE(P502:P504,1)-SUM(O502:O504))))),IF(OR($C502="W",$C502="1/2W",$C502="1/2L"),P502-SUM(O502:O503)+_xlfn.XLOOKUP("X",C502:C504,O502:O504,0),IF(OR($C502="W",$C502="1/2W",$C502="1/2L"),P503-SUM(O502:O503)+_xlfn.XLOOKUP("X",C502:C504,O502:O504,0),SUM(P502:P503)/2-SUM(O502:O503)+_xlfn.XLOOKUP("X",C502:C504,O502:O504,0)))))))),2))</f>
        <v>1.82</v>
      </c>
      <c r="T502" s="486">
        <f>IF(S502=0,0,S502/SUM(O502:O504))</f>
        <v>3.8731645030857638E-2</v>
      </c>
      <c r="U502" s="496">
        <f>IF($D502=$D499,IF(OR($B502="LOSS",$B502="OK",$B502="Anulada"),S502,0)+U499,IF(OR($B502="LOSS",$B502="OK",$B502="Anulada"),S502,0))</f>
        <v>69.699999999999989</v>
      </c>
      <c r="V502" s="496">
        <f>IF($D502="",0,IF($D502=$D499,IF($B502=" ",IF(I504="",IF(OR(AND(I502="DNB1",I503="DNB2"),AND(OR(I502="DNB1",I502="DNB2"),J503=0),AND(OR(I503="DNB1",I503="DNB2"),J502=0),AND(I502="DNB2",I503="DNB1"),AND(IF(J502=0,(J502+1)/ROUND(J502+1,0),J502/ROUND(J502,0))=1,IF(J503=0,(J503+1)/ROUND(IF(J503="",0,J503)+1,0),IF(J503="",0,J503)/ROUND(IF(J503="",1,J503),0))=1,OR(J502&lt;&gt;""),J503&lt;&gt;"")),0,IF(S502&lt;0,IF(I504="",SMALL(P502:P503,1)-SUM(O502:O503),0),SMALL(P502:P503,1)-SUM(O502:O503))),IF(S502&lt;0,IF(I504="",SMALL(P502:P504,1)-SUM(O502:O504),0),LARGE(P502:P504,1)-SUM(O502:O504))),S502)+V499,IF(I504="",IF(OR(AND(I502="DNB1",I503="DNB2"),AND(OR(I502="DNB1",I502="DNB2"),J503=0),AND(OR(I503="DNB1",I503="DNB2"),J502=0),AND(I502="DNB2",I503="DNB1"),AND(IF(J502=0,(J502+1)/ROUND(J502+1,0),J502/ROUND(J502,0))=1,IF(J503=0,(IF(J503="",0,J503)+1)/ROUND(IF(J503="",0,J503)+1,0),IF(J503="",0,J503)/ROUND(IF(J503="",0,J503)+1,0))=1,OR(J502&lt;&gt;""),J503&lt;&gt;"")),0,IF(S502&lt;0,IF(I504="",SMALL(P502:P503,1)-SUM(O502:O503),0),SMALL(P502:P504,1)-SUM(O502:O504))),IF(S502&lt;0,IF(I504="",SMALL(P502:P504,1)-SUM(O502:O504),0),LARGE(P502:P504,1)-SUM(O502:O504)))))</f>
        <v>69.686599999999984</v>
      </c>
      <c r="W502" s="496">
        <f>IF($D502=$D499,IF(S502&lt;0,IF(I504="",S502,0),S502)+W499,S502)</f>
        <v>69.699999999999989</v>
      </c>
      <c r="X502" s="505" t="str">
        <f>IF(OR(SUM(R502:R504)=0,V502=W502),ROUND(IF(W502=0,0,W502/Y502)*100,2)&amp;"%",ROUND(IF(V502=0,0,V502/Y502)*100,2)&amp;"% a "&amp;ROUND(IF(W502=0,0,W502/Y502)*100,2)&amp;"%")</f>
        <v>5,1%</v>
      </c>
      <c r="Y502" s="497">
        <f>IF($D502=$D499,Y499+SUM(O502:O504),SUM(O502:O504))</f>
        <v>1366.0000000000002</v>
      </c>
      <c r="Z502" s="496">
        <f>IF($B502=" ",SUM(O502:O504),0)+Z499</f>
        <v>0</v>
      </c>
      <c r="AA502" s="496">
        <f>IF(G502="","",IF($B502="Anulado",LARGE(P502:P504,1)-SUM(O502:O504)+AA499,AA499))</f>
        <v>12.425099999999992</v>
      </c>
      <c r="AB502" s="496">
        <f>IF($D502="","",AB499+S502)</f>
        <v>598.12000000000035</v>
      </c>
      <c r="AC502" s="499">
        <f ca="1">IF($D502="","",IF($B502=" ",IF(DAY(G502)=DAY(TODAY()),1+AC499,0+AC499),0+AC499))</f>
        <v>0</v>
      </c>
      <c r="AD502" s="157">
        <f>(1-_xlfn.XLOOKUP(K500,'Fevereiro 2023 - Valor Real'!A3:A15,'Fevereiro 2023 - Valor Real'!C3:C15,0))+1</f>
        <v>2</v>
      </c>
      <c r="AE502" s="158">
        <f>IF(L502="","",IF(L504&gt;0,(SUM(((L502-1)*(1-_xlfn.XLOOKUP(K502,'Fevereiro 2023 - Valor Real'!A3:A15,'Fevereiro 2023 - Valor Real'!C3:C15,0))+1),((L503-1)*(1-_xlfn.XLOOKUP(K503,'Fevereiro 2023 - Valor Real'!A3:A15,'Fevereiro 2023 - Valor Real'!C3:C15,0))+1),((L504-1)*(1-_xlfn.XLOOKUP(K504,'Fevereiro 2023 - Valor Real'!A3:A15,'Fevereiro 2023 - Valor Real'!C3:C15,0))+1))/((L502-1)*(1-_xlfn.XLOOKUP(K502,'Fevereiro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Real'!C3:C15,0))+1))/((L502-1)*(1-_xlfn.XLOOKUP(K502,'Fevereiro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Real'!C3:C15,0))+1))/((L503-1)*(1-_xlfn.XLOOKUP(K503,'Fevereiro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Real'!C3:C15,0))+1))/((L504-1)*(1-_xlfn.XLOOKUP(K504,'Fevereiro 2023 - Valor Real'!A3:A15,'Fevereiro 2023 - Valor Real'!C3:C15,0))+1)),IF(I502="Lay",IF(I503="Lay",((L503/(L503-1)-1)*(1-_xlfn.XLOOKUP(K503,'Fevereiro 2023 - Valor Real'!A3:A15,'Fevereiro 2023 - Valor Real'!C3:C15,0))+1)/(((L503/(L503-1)-1)*(1-_xlfn.XLOOKUP(K503,'Fevereiro 2023 - Valor Real'!A3:A15,'Fevereiro 2023 - Valor Real'!C3:C15,0))+1)+((L502/(L502-1)-1)*(1-_xlfn.XLOOKUP(K502,'Fevereiro 2023 - Valor Real'!A3:A15,'Fevereiro 2023 - Valor Real'!C3:C15,0))+1)),((L503-1)*(1-_xlfn.XLOOKUP(K503,'Fevereiro 2023 - Valor Real'!A3:A15,'Fevereiro 2023 - Valor Real'!C3:C15,0))+1)/(((L503-1)*(1-_xlfn.XLOOKUP(K503,'Fevereiro 2023 - Valor Real'!A3:A15,'Fevereiro 2023 - Valor Real'!C3:C15,0))+1)+((L502/(L502-1)-1)*(1-_xlfn.XLOOKUP(K502,'Fevereiro 2023 - Valor Real'!A3:A15,'Fevereiro 2023 - Valor Real'!C3:C15,0))+1))),IF(I503="Lay",(((L503/(L503-1)-1)*(1-_xlfn.XLOOKUP(K503,'Fevereiro 2023 - Valor Real'!A3:A15,'Fevereiro 2023 - Valor Real'!C3:C15,0))+1))/(((L502-1)*(1-_xlfn.XLOOKUP(K502,'Fevereiro 2023 - Valor Real'!A3:A15,'Fevereiro 2023 - Valor Real'!C3:C15,0))+1)+((L503/(L503-1)-1)*(1-_xlfn.XLOOKUP(K503,'Fevereiro 2023 - Valor Real'!A3:A15,'Fevereiro 2023 - Valor Real'!C3:C15,0))+1)),((L503-1)*(1-_xlfn.XLOOKUP(K503,'Fevereiro 2023 - Valor Real'!A3:A15,'Fevereiro 2023 - Valor Real'!C3:C15,0))+1)/(((L503-1)*(1-_xlfn.XLOOKUP(K503,'Fevereiro 2023 - Valor Real'!A3:A15,'Fevereiro 2023 - Valor Real'!C3:C15,0))+1)+((L502-1)*(1-_xlfn.XLOOKUP(K502,'Fevereiro 2023 - Valor Real'!A3:A15,'Fevereiro 2023 - Valor Real'!C3:C15,0))+1))))))</f>
        <v>0.65373007485209356</v>
      </c>
      <c r="AF502" s="66">
        <f t="shared" si="992"/>
        <v>0</v>
      </c>
      <c r="AG502" s="67">
        <f t="shared" si="992"/>
        <v>0</v>
      </c>
      <c r="AH502" s="67">
        <f t="shared" si="992"/>
        <v>-30.72</v>
      </c>
      <c r="AI502" s="67">
        <f t="shared" si="992"/>
        <v>0</v>
      </c>
      <c r="AJ502" s="67">
        <f t="shared" si="992"/>
        <v>0</v>
      </c>
      <c r="AK502" s="67">
        <f t="shared" si="992"/>
        <v>0</v>
      </c>
      <c r="AL502" s="67">
        <f t="shared" si="992"/>
        <v>0</v>
      </c>
      <c r="AM502" s="67">
        <f t="shared" si="992"/>
        <v>0</v>
      </c>
      <c r="AN502" s="67">
        <f t="shared" si="992"/>
        <v>0</v>
      </c>
      <c r="AO502" s="67">
        <f t="shared" si="992"/>
        <v>0</v>
      </c>
      <c r="AP502" s="67">
        <f t="shared" si="992"/>
        <v>0</v>
      </c>
      <c r="AQ502" s="67">
        <f t="shared" si="992"/>
        <v>0</v>
      </c>
      <c r="AR502" s="68">
        <f t="shared" si="992"/>
        <v>0</v>
      </c>
      <c r="AS502" s="66">
        <f t="shared" ref="AS502:BE502" si="1004">IF(AND($B502=" ",$K502=AS$3),$O502,0)</f>
        <v>0</v>
      </c>
      <c r="AT502" s="67">
        <f t="shared" si="1004"/>
        <v>0</v>
      </c>
      <c r="AU502" s="67">
        <f t="shared" si="1004"/>
        <v>0</v>
      </c>
      <c r="AV502" s="67">
        <f t="shared" si="1004"/>
        <v>0</v>
      </c>
      <c r="AW502" s="67">
        <f t="shared" si="1004"/>
        <v>0</v>
      </c>
      <c r="AX502" s="67">
        <f t="shared" si="1004"/>
        <v>0</v>
      </c>
      <c r="AY502" s="69">
        <f t="shared" si="1004"/>
        <v>0</v>
      </c>
      <c r="AZ502" s="70">
        <f t="shared" si="1004"/>
        <v>0</v>
      </c>
      <c r="BA502" s="70">
        <f t="shared" si="1004"/>
        <v>0</v>
      </c>
      <c r="BB502" s="70">
        <f t="shared" si="1004"/>
        <v>0</v>
      </c>
      <c r="BC502" s="71">
        <f t="shared" si="1004"/>
        <v>0</v>
      </c>
      <c r="BD502" s="67">
        <f t="shared" si="1004"/>
        <v>0</v>
      </c>
      <c r="BE502" s="68">
        <f t="shared" si="1004"/>
        <v>0</v>
      </c>
      <c r="BF502" s="66">
        <f t="shared" si="994"/>
        <v>0</v>
      </c>
      <c r="BG502" s="67">
        <f t="shared" si="994"/>
        <v>0</v>
      </c>
      <c r="BH502" s="67">
        <f t="shared" si="994"/>
        <v>30.72</v>
      </c>
      <c r="BI502" s="67">
        <f t="shared" si="994"/>
        <v>0</v>
      </c>
      <c r="BJ502" s="67">
        <f t="shared" si="994"/>
        <v>0</v>
      </c>
      <c r="BK502" s="67">
        <f t="shared" si="994"/>
        <v>0</v>
      </c>
      <c r="BL502" s="67">
        <f t="shared" si="994"/>
        <v>0</v>
      </c>
      <c r="BM502" s="69">
        <f t="shared" si="994"/>
        <v>0</v>
      </c>
      <c r="BN502" s="70">
        <f t="shared" si="994"/>
        <v>0</v>
      </c>
      <c r="BO502" s="70">
        <f t="shared" si="994"/>
        <v>0</v>
      </c>
      <c r="BP502" s="70">
        <f t="shared" si="994"/>
        <v>0</v>
      </c>
      <c r="BQ502" s="71">
        <f t="shared" si="994"/>
        <v>0</v>
      </c>
      <c r="BR502" s="68">
        <f t="shared" si="994"/>
        <v>0</v>
      </c>
      <c r="BS502" s="490">
        <f>IF($B502="LOSS",IF(AND($K502=BS$3,$C502="L"),-$O502,0)+IF(AND($K503=BS$3,$C503="L"),-$O503,0)+IF(AND($K504=BS$3,$C504="L"),-$O504,0),IF(OR(AND($K502=BS$3,OR($C502="W",$C502="1/2W")),AND($K503=BS$3,OR($C503="W",$C503="1/2W")),AND($K504=BS$3,OR($C504="W",$C504="1/2W"))),$S502,0))</f>
        <v>0</v>
      </c>
      <c r="BT502" s="498">
        <f>IF($B502="LOSS",IF(AND($K502=BT$3,$C502="L"),-$O502,0)+IF(AND($K503=BT$3,$C503="L"),-$O503,0)+IF(AND($K503=BT$3,$C504="L"),-$O504,0),IF(OR(AND($K503=BT$3,OR($C502="W",$C502="1/2W")),AND($K503=BT$3,OR($C503="W",$C503="1/2W")),AND($K503=BT$3,OR($C504="W",$C504="1/2W"))),$S502,0))</f>
        <v>1.82</v>
      </c>
      <c r="BU502" s="488">
        <f>IF($B502="LOSS",IF(AND($K502=BU$3,$C502="L"),-$O502,0)+IF(AND($K503=BU$3,$C503="L"),-$O503,0)+IF(AND($K503=BU$3,$C504="L"),-$O504,0),IF(OR(AND($K503=BU$3,OR($C502="W",$C502="1/2W")),AND($K503=BU$3,OR($C503="W",$C503="1/2W")),AND($K503=BU$3,OR($C504="W",$C504="1/2W"))),$S502,0))</f>
        <v>0</v>
      </c>
      <c r="BV502" s="488">
        <f t="shared" ref="BV502:CE502" si="1005">IF($B502="LOSS",IF(AND($K502=BV$3,$C502="L"),-$O502,0)+IF(AND($K503=BV$3,$C503="L"),-$O503,0)+IF(AND($K504=BV$3,$C504="L"),-$O504,0),IF(OR(AND($K502=BV$3,OR($C502="W",$C502="1/2W")),AND($K503=BV$3,OR($C503="W",$C503="1/2W")),AND($K504=BV$3,OR($C504="W",$C504="1/2W"))),$S502,0))</f>
        <v>0</v>
      </c>
      <c r="BW502" s="488">
        <f t="shared" si="1005"/>
        <v>0</v>
      </c>
      <c r="BX502" s="488">
        <f t="shared" si="1005"/>
        <v>0</v>
      </c>
      <c r="BY502" s="488">
        <f t="shared" si="1005"/>
        <v>0</v>
      </c>
      <c r="BZ502" s="488">
        <f t="shared" si="1005"/>
        <v>0</v>
      </c>
      <c r="CA502" s="488">
        <f t="shared" si="1005"/>
        <v>0</v>
      </c>
      <c r="CB502" s="488">
        <f t="shared" si="1005"/>
        <v>0</v>
      </c>
      <c r="CC502" s="488">
        <f t="shared" si="1005"/>
        <v>0</v>
      </c>
      <c r="CD502" s="500">
        <f t="shared" si="1005"/>
        <v>0</v>
      </c>
      <c r="CE502" s="504">
        <f t="shared" si="1005"/>
        <v>0</v>
      </c>
      <c r="CF502" s="160">
        <f t="shared" si="899"/>
        <v>0</v>
      </c>
      <c r="CG502" s="161">
        <f t="shared" si="900"/>
        <v>0</v>
      </c>
      <c r="CH502" s="161">
        <f t="shared" si="901"/>
        <v>0</v>
      </c>
      <c r="CI502" s="161">
        <f t="shared" si="902"/>
        <v>0</v>
      </c>
      <c r="CJ502" s="161">
        <f t="shared" si="903"/>
        <v>0</v>
      </c>
      <c r="CK502" s="161">
        <f t="shared" si="904"/>
        <v>1</v>
      </c>
      <c r="CL502" s="161">
        <f t="shared" si="905"/>
        <v>0</v>
      </c>
      <c r="CM502" s="161">
        <f t="shared" si="906"/>
        <v>0</v>
      </c>
      <c r="CN502" s="161">
        <f t="shared" si="907"/>
        <v>0</v>
      </c>
      <c r="CO502" s="161">
        <f t="shared" si="908"/>
        <v>0</v>
      </c>
      <c r="CP502" s="161">
        <f t="shared" si="909"/>
        <v>0</v>
      </c>
      <c r="CQ502" s="161">
        <f t="shared" si="910"/>
        <v>0</v>
      </c>
      <c r="CR502" s="161">
        <f t="shared" si="911"/>
        <v>0</v>
      </c>
      <c r="CS502" s="161">
        <f t="shared" si="912"/>
        <v>0</v>
      </c>
      <c r="CT502" s="75">
        <f t="shared" si="913"/>
        <v>0</v>
      </c>
      <c r="CU502" s="76">
        <f t="shared" si="914"/>
        <v>0</v>
      </c>
      <c r="CV502" s="76">
        <f t="shared" si="915"/>
        <v>0</v>
      </c>
      <c r="CW502" s="76">
        <f t="shared" si="916"/>
        <v>0</v>
      </c>
      <c r="CX502" s="76">
        <f t="shared" si="917"/>
        <v>0</v>
      </c>
      <c r="CY502" s="76">
        <f t="shared" si="918"/>
        <v>0</v>
      </c>
      <c r="CZ502" s="76">
        <f t="shared" si="919"/>
        <v>0</v>
      </c>
      <c r="DA502" s="76">
        <f t="shared" si="920"/>
        <v>0</v>
      </c>
      <c r="DB502" s="76">
        <f t="shared" si="921"/>
        <v>0</v>
      </c>
      <c r="DC502" s="76">
        <f t="shared" si="922"/>
        <v>0</v>
      </c>
      <c r="DD502" s="76">
        <f t="shared" si="923"/>
        <v>0</v>
      </c>
      <c r="DE502" s="77">
        <f t="shared" si="924"/>
        <v>0</v>
      </c>
      <c r="DF502" s="73">
        <f t="shared" si="926"/>
        <v>33</v>
      </c>
      <c r="DG502" s="67">
        <f t="shared" si="927"/>
        <v>43.031999999999989</v>
      </c>
      <c r="DH502" s="76">
        <f t="shared" si="928"/>
        <v>12</v>
      </c>
      <c r="DI502" s="67">
        <f t="shared" si="929"/>
        <v>49.449999999999996</v>
      </c>
      <c r="DJ502" s="202" t="str">
        <f>IF($D502="","",$D502)</f>
        <v>15</v>
      </c>
      <c r="DK502" s="492">
        <f>IF(AND($B502=" ",$D502&lt;&gt;""),1,0)</f>
        <v>0</v>
      </c>
    </row>
    <row r="503" spans="1:115" ht="14.5" customHeight="1" x14ac:dyDescent="0.2">
      <c r="A503" s="389"/>
      <c r="B503" s="456"/>
      <c r="C503" s="53" t="s">
        <v>54</v>
      </c>
      <c r="D503" s="374"/>
      <c r="E503" s="386"/>
      <c r="F503" s="377"/>
      <c r="G503" s="508"/>
      <c r="H503" s="476"/>
      <c r="I503" s="182" t="s">
        <v>64</v>
      </c>
      <c r="J503" s="163" t="str">
        <f>IF(OR(I502="TO",I502="TU",I502="TO1",I502="TU1",I502="TO2",I502="TU2"),J502,IF(OR(I502="AH1",I502="AH2"),IF(OR(I503="AH1",I503="AH2"),-J502,IF(OR(I503="EH1",I503="EH2"),-J502+0.5,"")),IF(OR(I502="EH1",I502="EH2"),IF(OR(I503="AH1",I503="AH2"),-J502+0.5,IF(OR(I503="EH1",I503="EH2"),-J502+1,"")),IF(AND(OR(I502="DNB1",I502="DNB2"),OR(I503="AH1",I503="AH2")),0,IF(AND(I502="Not ScoreBoth",OR(I503="TO1",I503="TO2")),0.5,"")))))</f>
        <v/>
      </c>
      <c r="K503" s="57" t="s">
        <v>37</v>
      </c>
      <c r="L503" s="164">
        <v>3</v>
      </c>
      <c r="M503" s="165">
        <v>16.27</v>
      </c>
      <c r="N503" s="406"/>
      <c r="O503" s="60">
        <f>IF(OR(AE502="",AE503=""),"",ROUND(IF(L504&gt;0,IF(M503&gt;0,M503,IF(M502&gt;0,IF(N502=TRUE,ROUND((M502*AE503)/AE502,0),(M502*AE503)/AE502),IF(M503&gt;0,ROUND(M503,IF(N502=0,2,IF(N502=0.1,1,0))),IF(M504&gt;0,ROUND(O504*AE503/AE504,IF(N502=0,2,IF(N502=0.1,1,0))),0)))),IF(M503&gt;0,M503,ROUND((M502*AE503)/AE502,IF(N502=0,2,IF(N502=0.1,1,0))))),2))</f>
        <v>16.27</v>
      </c>
      <c r="P503" s="61">
        <f>IF(OR(L503="",O503=""),"",IF($C503="1/2W",O503/2+O503/2*L503,IF($C503="1/2L",O503/2,IF(I503="Lay",((O503*(L503/(L503-1)))-O503)*(1-_xlfn.XLOOKUP(K503,'Fevereiro 2023 - Valor Real'!A3:A15,'Fevereiro 2023 - Valor Real'!C3:C15,0))+O503,(O503*L503-O503)*(1-_xlfn.XLOOKUP(K503,'Fevereiro 2023 - Valor Real'!A3:A15,'Fevereiro 2023 - Valor Real'!C3:C15,0))+O503))))</f>
        <v>48.81</v>
      </c>
      <c r="Q503" s="166">
        <f>IF(K503="","",IF(_xlfn.XLOOKUP(K503,K$10:K494,$DJ$10:DJ494,0,,-1)=DJ503,_xlfn.XLOOKUP(K503,K$10:K494,Q$10:Q494,1,,-1)+1,1))</f>
        <v>8</v>
      </c>
      <c r="R503" s="167">
        <f>IF(K503="","",_xlfn.XLOOKUP(K503,K$10:K494,R$10:R494,0,,-1)+IF($C503=" ",1,0))</f>
        <v>0</v>
      </c>
      <c r="S503" s="403"/>
      <c r="T503" s="380"/>
      <c r="U503" s="380"/>
      <c r="V503" s="481"/>
      <c r="W503" s="380"/>
      <c r="X503" s="452"/>
      <c r="Y503" s="383"/>
      <c r="Z503" s="384"/>
      <c r="AA503" s="384"/>
      <c r="AB503" s="384"/>
      <c r="AC503" s="384"/>
      <c r="AD503" s="64"/>
      <c r="AE503" s="65">
        <f>IF(L503="","",IF(L504&gt;0,(SUM(((L502-1)*(1-_xlfn.XLOOKUP(K502,'Fevereiro 2023 - Valor Real'!A3:A15,'Fevereiro 2023 - Valor Real'!C3:C15,0))+1),((L503-1)*(1-_xlfn.XLOOKUP(K503,'Fevereiro 2023 - Valor Real'!A3:A15,'Fevereiro 2023 - Valor Real'!C3:C15,0))+1),((L504-1)*(1-_xlfn.XLOOKUP(K504,'Fevereiro 2023 - Valor Real'!A3:A15,'Fevereiro 2023 - Valor Real'!C3:C15,0))+1))/((L503-1)*(1-_xlfn.XLOOKUP(K503,'Fevereiro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Real'!C3:C15,0))+1))/((L502-1)*(1-_xlfn.XLOOKUP(K502,'Fevereiro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Real'!C3:C15,0))+1))/((L503-1)*(1-_xlfn.XLOOKUP(K503,'Fevereiro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Real'!C3:C15,0))+1))/((L504-1)*(1-_xlfn.XLOOKUP(K504,'Fevereiro 2023 - Valor Real'!A3:A15,'Fevereiro 2023 - Valor Real'!C3:C15,0))+1)),IF(I503="Lay",IF(I502="Lay",((L502/(L502-1)-1)*(1-_xlfn.XLOOKUP(K502,'Fevereiro 2023 - Valor Real'!A3:A15,'Fevereiro 2023 - Valor Real'!C3:C15,0))+1)/(((L502/(L502-1)-1)*(1-_xlfn.XLOOKUP(K502,'Fevereiro 2023 - Valor Real'!A3:A15,'Fevereiro 2023 - Valor Real'!C3:C15,0))+1)+((L503/(L503-1)-1)*(1-_xlfn.XLOOKUP(K503,'Fevereiro 2023 - Valor Real'!A3:A15,'Fevereiro 2023 - Valor Real'!C3:C15,0))+1)),((L502-1)*(1-_xlfn.XLOOKUP(K502,'Fevereiro 2023 - Valor Real'!A3:A15,'Fevereiro 2023 - Valor Real'!C3:C15,0))+1)/(((L502-1)*(1-_xlfn.XLOOKUP(K502,'Fevereiro 2023 - Valor Real'!A3:A15,'Fevereiro 2023 - Valor Real'!C3:C15,0))+1)+((L503/(L503-1)-1)*(1-_xlfn.XLOOKUP(K503,'Fevereiro 2023 - Valor Real'!A3:A15,'Fevereiro 2023 - Valor Real'!C3:C15,0))+1))),IF(I502="Lay",((L502/(L502-1)-1)*(1-_xlfn.XLOOKUP(K502,'Fevereiro 2023 - Valor Real'!A3:A15,'Fevereiro 2023 - Valor Real'!C3:C15,0))+1)/((((L502/(L502-1)-1)*(1-_xlfn.XLOOKUP(K502,'Fevereiro 2023 - Valor Real'!A3:A15,'Fevereiro 2023 - Valor Real'!C3:C15,0))+1))+((L503-1)*(1-_xlfn.XLOOKUP(K503,'Fevereiro 2023 - Valor Real'!A3:A15,'Fevereiro 2023 - Valor Real'!C3:C15,0))+1)),((L502-1)*(1-_xlfn.XLOOKUP(K502,'Fevereiro 2023 - Valor Real'!A3:A15,'Fevereiro 2023 - Valor Real'!C3:C15,0))+1)/(((L502-1)*(1-_xlfn.XLOOKUP(K502,'Fevereiro 2023 - Valor Real'!A3:A15,'Fevereiro 2023 - Valor Real'!C3:C15,0))+1)+((L503-1)*(1-_xlfn.XLOOKUP(K503,'Fevereiro 2023 - Valor Real'!A3:A15,'Fevereiro 2023 - Valor Real'!C3:C15,0))+1))))))</f>
        <v>0.34626992514790639</v>
      </c>
      <c r="AF503" s="66">
        <f t="shared" si="992"/>
        <v>0</v>
      </c>
      <c r="AG503" s="67">
        <f t="shared" si="992"/>
        <v>32.54</v>
      </c>
      <c r="AH503" s="67">
        <f t="shared" si="992"/>
        <v>0</v>
      </c>
      <c r="AI503" s="67">
        <f t="shared" si="992"/>
        <v>0</v>
      </c>
      <c r="AJ503" s="67">
        <f t="shared" si="992"/>
        <v>0</v>
      </c>
      <c r="AK503" s="67">
        <f t="shared" si="992"/>
        <v>0</v>
      </c>
      <c r="AL503" s="67">
        <f t="shared" si="992"/>
        <v>0</v>
      </c>
      <c r="AM503" s="67">
        <f t="shared" si="992"/>
        <v>0</v>
      </c>
      <c r="AN503" s="67">
        <f t="shared" si="992"/>
        <v>0</v>
      </c>
      <c r="AO503" s="67">
        <f t="shared" si="992"/>
        <v>0</v>
      </c>
      <c r="AP503" s="67">
        <f t="shared" si="992"/>
        <v>0</v>
      </c>
      <c r="AQ503" s="67">
        <f t="shared" si="992"/>
        <v>0</v>
      </c>
      <c r="AR503" s="68">
        <f t="shared" si="992"/>
        <v>0</v>
      </c>
      <c r="AS503" s="66">
        <f>IF(AND($B502=" ",$K503=AS$3),$O503,0)</f>
        <v>0</v>
      </c>
      <c r="AT503" s="67">
        <f>IF(AND($B502=" ",K503=AT$3),$O503,0)</f>
        <v>0</v>
      </c>
      <c r="AU503" s="67">
        <f t="shared" ref="AU503:BE503" si="1006">IF(AND($B502=" ",$K503=AU$3),$O503,0)</f>
        <v>0</v>
      </c>
      <c r="AV503" s="67">
        <f t="shared" si="1006"/>
        <v>0</v>
      </c>
      <c r="AW503" s="67">
        <f t="shared" si="1006"/>
        <v>0</v>
      </c>
      <c r="AX503" s="67">
        <f t="shared" si="1006"/>
        <v>0</v>
      </c>
      <c r="AY503" s="69">
        <f t="shared" si="1006"/>
        <v>0</v>
      </c>
      <c r="AZ503" s="70">
        <f t="shared" si="1006"/>
        <v>0</v>
      </c>
      <c r="BA503" s="70">
        <f t="shared" si="1006"/>
        <v>0</v>
      </c>
      <c r="BB503" s="70">
        <f t="shared" si="1006"/>
        <v>0</v>
      </c>
      <c r="BC503" s="71">
        <f t="shared" si="1006"/>
        <v>0</v>
      </c>
      <c r="BD503" s="67">
        <f t="shared" si="1006"/>
        <v>0</v>
      </c>
      <c r="BE503" s="68">
        <f t="shared" si="1006"/>
        <v>0</v>
      </c>
      <c r="BF503" s="66">
        <f t="shared" si="994"/>
        <v>0</v>
      </c>
      <c r="BG503" s="168">
        <f t="shared" si="994"/>
        <v>16.27</v>
      </c>
      <c r="BH503" s="67">
        <f t="shared" si="994"/>
        <v>0</v>
      </c>
      <c r="BI503" s="67">
        <f t="shared" si="994"/>
        <v>0</v>
      </c>
      <c r="BJ503" s="67">
        <f t="shared" si="994"/>
        <v>0</v>
      </c>
      <c r="BK503" s="67">
        <f t="shared" si="994"/>
        <v>0</v>
      </c>
      <c r="BL503" s="67">
        <f t="shared" si="994"/>
        <v>0</v>
      </c>
      <c r="BM503" s="69">
        <f t="shared" si="994"/>
        <v>0</v>
      </c>
      <c r="BN503" s="70">
        <f t="shared" si="994"/>
        <v>0</v>
      </c>
      <c r="BO503" s="70">
        <f t="shared" si="994"/>
        <v>0</v>
      </c>
      <c r="BP503" s="70">
        <f t="shared" si="994"/>
        <v>0</v>
      </c>
      <c r="BQ503" s="71">
        <f t="shared" si="994"/>
        <v>0</v>
      </c>
      <c r="BR503" s="68">
        <f t="shared" si="994"/>
        <v>0</v>
      </c>
      <c r="BS503" s="491"/>
      <c r="BT503" s="489"/>
      <c r="BU503" s="392"/>
      <c r="BV503" s="489"/>
      <c r="BW503" s="392"/>
      <c r="BX503" s="392"/>
      <c r="BY503" s="392"/>
      <c r="BZ503" s="489"/>
      <c r="CA503" s="392"/>
      <c r="CB503" s="392"/>
      <c r="CC503" s="392"/>
      <c r="CD503" s="401"/>
      <c r="CE503" s="409"/>
      <c r="CF503" s="169">
        <f t="shared" si="899"/>
        <v>0</v>
      </c>
      <c r="CG503" s="170">
        <f t="shared" si="900"/>
        <v>0</v>
      </c>
      <c r="CH503" s="170">
        <f t="shared" si="901"/>
        <v>1</v>
      </c>
      <c r="CI503" s="170">
        <f t="shared" si="902"/>
        <v>0</v>
      </c>
      <c r="CJ503" s="170">
        <f t="shared" si="903"/>
        <v>0</v>
      </c>
      <c r="CK503" s="170">
        <f t="shared" si="904"/>
        <v>0</v>
      </c>
      <c r="CL503" s="170">
        <f t="shared" si="905"/>
        <v>0</v>
      </c>
      <c r="CM503" s="170">
        <f t="shared" si="906"/>
        <v>0</v>
      </c>
      <c r="CN503" s="170">
        <f t="shared" si="907"/>
        <v>0</v>
      </c>
      <c r="CO503" s="170">
        <f t="shared" si="908"/>
        <v>0</v>
      </c>
      <c r="CP503" s="170">
        <f t="shared" si="909"/>
        <v>0</v>
      </c>
      <c r="CQ503" s="170">
        <f t="shared" si="910"/>
        <v>0</v>
      </c>
      <c r="CR503" s="170">
        <f t="shared" si="911"/>
        <v>0</v>
      </c>
      <c r="CS503" s="170">
        <f t="shared" si="912"/>
        <v>0</v>
      </c>
      <c r="CT503" s="75">
        <f t="shared" si="913"/>
        <v>0</v>
      </c>
      <c r="CU503" s="76">
        <f t="shared" si="914"/>
        <v>0</v>
      </c>
      <c r="CV503" s="76">
        <f t="shared" si="915"/>
        <v>0</v>
      </c>
      <c r="CW503" s="76">
        <f t="shared" si="916"/>
        <v>0</v>
      </c>
      <c r="CX503" s="76">
        <f t="shared" si="917"/>
        <v>0</v>
      </c>
      <c r="CY503" s="76">
        <f t="shared" si="918"/>
        <v>0</v>
      </c>
      <c r="CZ503" s="76">
        <f t="shared" si="919"/>
        <v>0</v>
      </c>
      <c r="DA503" s="76">
        <f t="shared" si="920"/>
        <v>0</v>
      </c>
      <c r="DB503" s="76">
        <f t="shared" si="921"/>
        <v>0</v>
      </c>
      <c r="DC503" s="76">
        <f t="shared" si="922"/>
        <v>0</v>
      </c>
      <c r="DD503" s="76">
        <f t="shared" si="923"/>
        <v>0</v>
      </c>
      <c r="DE503" s="77">
        <f t="shared" si="924"/>
        <v>0</v>
      </c>
      <c r="DF503" s="73">
        <f t="shared" si="926"/>
        <v>33</v>
      </c>
      <c r="DG503" s="67">
        <f t="shared" si="927"/>
        <v>43.031999999999989</v>
      </c>
      <c r="DH503" s="76">
        <f t="shared" si="928"/>
        <v>12</v>
      </c>
      <c r="DI503" s="67">
        <f t="shared" si="929"/>
        <v>49.449999999999996</v>
      </c>
      <c r="DJ503" s="202" t="str">
        <f>IF($D502="","",$D502)</f>
        <v>15</v>
      </c>
      <c r="DK503" s="493"/>
    </row>
    <row r="504" spans="1:115" ht="14.5" customHeight="1" x14ac:dyDescent="0.2">
      <c r="A504" s="390"/>
      <c r="B504" s="457"/>
      <c r="C504" s="79" t="s">
        <v>53</v>
      </c>
      <c r="D504" s="375"/>
      <c r="E504" s="387"/>
      <c r="F504" s="378"/>
      <c r="G504" s="508"/>
      <c r="H504" s="477"/>
      <c r="I504" s="171"/>
      <c r="J504" s="172"/>
      <c r="K504" s="81"/>
      <c r="L504" s="173"/>
      <c r="M504" s="174"/>
      <c r="N504" s="407"/>
      <c r="O504" s="86" t="str">
        <f>IF(OR(AE502="",AE503=""),"",IF(L504&gt;0,ROUND(IF(M504&gt;0,M504,IF(M502&gt;0,ROUND((M502*AE504)/AE502,IF(N502=0,2,IF(N502=0.1,1,0))),IF(M503&gt;0,ROUND((M503*AE504)/AE503,IF(N502=0,2,IF(N502=0.1,1,0))),IF(M504&gt;0,M504,0)))),2),""))</f>
        <v/>
      </c>
      <c r="P504" s="87" t="str">
        <f>IF(I503="Lay",O503*(L503/(L503-1))-O503,IF(I502="Lay",O502*(L502/(L502-1))-O502,IF(OR(L504="",O504=""),"",IF($C504="1/2W",O504/2+O504/2*L504,IF($C504="1/2L",O504/2,(O504*L504-O504)*(1-_xlfn.XLOOKUP(K504,'Fevereiro 2023 - Valor Real'!A3:A15,'Fevereiro 2023 - Valor Real'!C3:C15,0))+O504)))))</f>
        <v/>
      </c>
      <c r="Q504" s="54" t="str">
        <f>IF(K504="","",IF(_xlfn.XLOOKUP(K504,K$11:K494,$DJ$11:DJ494,0,,-1)=DJ504,_xlfn.XLOOKUP(K504,K$11:K494,Q$11:Q494,1,,-1)+1,1))</f>
        <v/>
      </c>
      <c r="R504" s="87" t="str">
        <f>IF(K504="","",_xlfn.XLOOKUP(K504,K$11:K494,R$11:R494,0,,-1)+IF($C504=" ",1,0))</f>
        <v/>
      </c>
      <c r="S504" s="404"/>
      <c r="T504" s="378"/>
      <c r="U504" s="378"/>
      <c r="V504" s="404"/>
      <c r="W504" s="378"/>
      <c r="X504" s="453"/>
      <c r="Y504" s="383"/>
      <c r="Z504" s="384"/>
      <c r="AA504" s="384"/>
      <c r="AB504" s="384"/>
      <c r="AC504" s="384"/>
      <c r="AD504" s="90"/>
      <c r="AE504" s="91" t="str">
        <f>IF(L504="","",(SUM(((L502-1)*(1-_xlfn.XLOOKUP(K502,'Fevereiro 2023 - Valor Real'!A3:A15,'Fevereiro 2023 - Valor Real'!C3:C15,0))+1),((L503-1)*(1-_xlfn.XLOOKUP(K503,'Fevereiro 2023 - Valor Real'!A3:A15,'Fevereiro 2023 - Valor Real'!C3:C15,0))+1),((L504-1)*(1-_xlfn.XLOOKUP(K504,'Fevereiro 2023 - Valor Real'!A3:A15,'Fevereiro 2023 - Valor Real'!C3:C15,0))+1))/((L504-1)*(1-_xlfn.XLOOKUP(K504,'Fevereiro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Real'!C3:C15,0))+1))/((L502-1)*(1-_xlfn.XLOOKUP(K502,'Fevereiro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Real'!C3:C15,0))+1))/((L503-1)*(1-_xlfn.XLOOKUP(K503,'Fevereiro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Real'!C3:C15,0))+1))/((L504-1)*(1-_xlfn.XLOOKUP(K504,'Fevereiro 2023 - Valor Real'!A3:A15,'Fevereiro 2023 - Valor Real'!C3:C15,0))+1)))</f>
        <v/>
      </c>
      <c r="AF504" s="66">
        <f t="shared" ref="AF504:AR513" si="1007">IF($K504=AF$3,ROUND(IF(OR($C504="W",$C504="1/2W",$C504="1/2L"),$P504-$O504,IF($C504="X",0,-$O504)),2),0)</f>
        <v>0</v>
      </c>
      <c r="AG504" s="67">
        <f t="shared" si="1007"/>
        <v>0</v>
      </c>
      <c r="AH504" s="67">
        <f t="shared" si="1007"/>
        <v>0</v>
      </c>
      <c r="AI504" s="67">
        <f t="shared" si="1007"/>
        <v>0</v>
      </c>
      <c r="AJ504" s="67">
        <f t="shared" si="1007"/>
        <v>0</v>
      </c>
      <c r="AK504" s="67">
        <f t="shared" si="1007"/>
        <v>0</v>
      </c>
      <c r="AL504" s="67">
        <f t="shared" si="1007"/>
        <v>0</v>
      </c>
      <c r="AM504" s="67">
        <f t="shared" si="1007"/>
        <v>0</v>
      </c>
      <c r="AN504" s="67">
        <f t="shared" si="1007"/>
        <v>0</v>
      </c>
      <c r="AO504" s="67">
        <f t="shared" si="1007"/>
        <v>0</v>
      </c>
      <c r="AP504" s="67">
        <f t="shared" si="1007"/>
        <v>0</v>
      </c>
      <c r="AQ504" s="67">
        <f t="shared" si="1007"/>
        <v>0</v>
      </c>
      <c r="AR504" s="68">
        <f t="shared" si="1007"/>
        <v>0</v>
      </c>
      <c r="AS504" s="66">
        <f>IF(AND($B502=" ",$K504=AS$3),$O504,0)</f>
        <v>0</v>
      </c>
      <c r="AT504" s="67">
        <f>IF(AND($B502=" ",K504=AT$3),$O504,0)</f>
        <v>0</v>
      </c>
      <c r="AU504" s="67">
        <f t="shared" ref="AU504:BE504" si="1008">IF(AND($B502=" ",$K504=AU$3),$O504,0)</f>
        <v>0</v>
      </c>
      <c r="AV504" s="67">
        <f t="shared" si="1008"/>
        <v>0</v>
      </c>
      <c r="AW504" s="67">
        <f t="shared" si="1008"/>
        <v>0</v>
      </c>
      <c r="AX504" s="67">
        <f t="shared" si="1008"/>
        <v>0</v>
      </c>
      <c r="AY504" s="69">
        <f t="shared" si="1008"/>
        <v>0</v>
      </c>
      <c r="AZ504" s="70">
        <f t="shared" si="1008"/>
        <v>0</v>
      </c>
      <c r="BA504" s="70">
        <f t="shared" si="1008"/>
        <v>0</v>
      </c>
      <c r="BB504" s="70">
        <f t="shared" si="1008"/>
        <v>0</v>
      </c>
      <c r="BC504" s="71">
        <f t="shared" si="1008"/>
        <v>0</v>
      </c>
      <c r="BD504" s="67">
        <f t="shared" si="1008"/>
        <v>0</v>
      </c>
      <c r="BE504" s="68">
        <f t="shared" si="1008"/>
        <v>0</v>
      </c>
      <c r="BF504" s="66">
        <f t="shared" ref="BF504:BR513" si="1009">IF($K504=BF$3,IF($C504="X",0,$O504),0)</f>
        <v>0</v>
      </c>
      <c r="BG504" s="168">
        <f t="shared" si="1009"/>
        <v>0</v>
      </c>
      <c r="BH504" s="67">
        <f t="shared" si="1009"/>
        <v>0</v>
      </c>
      <c r="BI504" s="67">
        <f t="shared" si="1009"/>
        <v>0</v>
      </c>
      <c r="BJ504" s="67">
        <f t="shared" si="1009"/>
        <v>0</v>
      </c>
      <c r="BK504" s="67">
        <f t="shared" si="1009"/>
        <v>0</v>
      </c>
      <c r="BL504" s="67">
        <f t="shared" si="1009"/>
        <v>0</v>
      </c>
      <c r="BM504" s="69">
        <f t="shared" si="1009"/>
        <v>0</v>
      </c>
      <c r="BN504" s="70">
        <f t="shared" si="1009"/>
        <v>0</v>
      </c>
      <c r="BO504" s="70">
        <f t="shared" si="1009"/>
        <v>0</v>
      </c>
      <c r="BP504" s="70">
        <f t="shared" si="1009"/>
        <v>0</v>
      </c>
      <c r="BQ504" s="71">
        <f t="shared" si="1009"/>
        <v>0</v>
      </c>
      <c r="BR504" s="68">
        <f t="shared" si="1009"/>
        <v>0</v>
      </c>
      <c r="BS504" s="491"/>
      <c r="BT504" s="489"/>
      <c r="BU504" s="392"/>
      <c r="BV504" s="489"/>
      <c r="BW504" s="392"/>
      <c r="BX504" s="392"/>
      <c r="BY504" s="392"/>
      <c r="BZ504" s="489"/>
      <c r="CA504" s="392"/>
      <c r="CB504" s="392"/>
      <c r="CC504" s="392"/>
      <c r="CD504" s="401"/>
      <c r="CE504" s="409"/>
      <c r="CF504" s="169">
        <f t="shared" si="899"/>
        <v>0</v>
      </c>
      <c r="CG504" s="170">
        <f t="shared" si="900"/>
        <v>0</v>
      </c>
      <c r="CH504" s="170">
        <f t="shared" si="901"/>
        <v>0</v>
      </c>
      <c r="CI504" s="170">
        <f t="shared" si="902"/>
        <v>0</v>
      </c>
      <c r="CJ504" s="170">
        <f t="shared" si="903"/>
        <v>0</v>
      </c>
      <c r="CK504" s="170">
        <f t="shared" si="904"/>
        <v>0</v>
      </c>
      <c r="CL504" s="170">
        <f t="shared" si="905"/>
        <v>0</v>
      </c>
      <c r="CM504" s="170">
        <f t="shared" si="906"/>
        <v>0</v>
      </c>
      <c r="CN504" s="170">
        <f t="shared" si="907"/>
        <v>0</v>
      </c>
      <c r="CO504" s="170">
        <f t="shared" si="908"/>
        <v>0</v>
      </c>
      <c r="CP504" s="170">
        <f t="shared" si="909"/>
        <v>0</v>
      </c>
      <c r="CQ504" s="170">
        <f t="shared" si="910"/>
        <v>0</v>
      </c>
      <c r="CR504" s="170">
        <f t="shared" si="911"/>
        <v>0</v>
      </c>
      <c r="CS504" s="170">
        <f t="shared" si="912"/>
        <v>0</v>
      </c>
      <c r="CT504" s="75">
        <f t="shared" si="913"/>
        <v>0</v>
      </c>
      <c r="CU504" s="76">
        <f t="shared" si="914"/>
        <v>0</v>
      </c>
      <c r="CV504" s="76">
        <f t="shared" si="915"/>
        <v>0</v>
      </c>
      <c r="CW504" s="76">
        <f t="shared" si="916"/>
        <v>0</v>
      </c>
      <c r="CX504" s="76">
        <f t="shared" si="917"/>
        <v>0</v>
      </c>
      <c r="CY504" s="76">
        <f t="shared" si="918"/>
        <v>0</v>
      </c>
      <c r="CZ504" s="76">
        <f t="shared" si="919"/>
        <v>0</v>
      </c>
      <c r="DA504" s="76">
        <f t="shared" si="920"/>
        <v>0</v>
      </c>
      <c r="DB504" s="76">
        <f t="shared" si="921"/>
        <v>0</v>
      </c>
      <c r="DC504" s="76">
        <f t="shared" si="922"/>
        <v>0</v>
      </c>
      <c r="DD504" s="76">
        <f t="shared" si="923"/>
        <v>0</v>
      </c>
      <c r="DE504" s="77">
        <f t="shared" si="924"/>
        <v>0</v>
      </c>
      <c r="DF504" s="73">
        <f t="shared" si="926"/>
        <v>33</v>
      </c>
      <c r="DG504" s="67">
        <f t="shared" si="927"/>
        <v>43.031999999999989</v>
      </c>
      <c r="DH504" s="76">
        <f t="shared" si="928"/>
        <v>12</v>
      </c>
      <c r="DI504" s="67">
        <f t="shared" si="929"/>
        <v>49.449999999999996</v>
      </c>
      <c r="DJ504" s="202" t="str">
        <f>IF($D502="","",$D502)</f>
        <v>15</v>
      </c>
      <c r="DK504" s="493"/>
    </row>
    <row r="505" spans="1:115" ht="14.5" customHeight="1" x14ac:dyDescent="0.2">
      <c r="A505" s="459">
        <f>$A502+1</f>
        <v>168</v>
      </c>
      <c r="B505" s="507" t="str">
        <f>IF(OR(C505="W",C506="W",C507="W",C505="1/2W",C506="1/2W",C507="1/2W",C505="1/2L",C506="1/2L",C507="1/2L"),"OK",IF(OR(C505="L",C506="L",C507="L"),"LOSS",IF(OR(C505="X",C506="X",C507="X"),"Anulado"," ")))</f>
        <v>OK</v>
      </c>
      <c r="C505" s="93" t="s">
        <v>54</v>
      </c>
      <c r="D505" s="468" t="str">
        <f>IF(G505="","",$D502)</f>
        <v>15</v>
      </c>
      <c r="E505" s="485" t="str">
        <f>IF(G505=""," ","– "&amp;COUNTIF(D$4:D507,$D505))</f>
        <v>– 26</v>
      </c>
      <c r="F505" s="509" t="str">
        <f ca="1">IF(G505="","",IF(OR(AND($C505&lt;&gt;" ",$C506=" "),AND($C506&lt;&gt;" ",$C505=" "),AND(L507&gt;0,OR(AND($C507&lt;&gt;" ",OR($C505=" ",$C506=" ")),AND($C507=" ",OR($C505&lt;&gt;" ",$C506&lt;&gt;" "))))),IF(SUM(F$4:F504)=0,1,LARGE(F$4:F504,1)+1),IF(MONTH(G505)=MONTH(TODAY()),IF(AND(DAY(G505)&lt;DAY(TODAY()),$B505=" "),IF(SUM(F$4:F504)=0,1,LARGE(F$4:F504,1)+1),IF($B505=" ",IF(AND(DAY(G505)=DAY(TODAY()),HOUR(G505)&lt;=HOUR(NOW())+1),IF(AND(HOUR(G505)+2&lt;=HOUR(NOW()),DAY(G505)&lt;=DAY(TODAY()),MINUTE(G505)&lt;=MINUTE(NOW())),IF(SUM(F$4:F504)=0,1,LARGE(F$4:F504,1)+1),IF(OR(MINUTE(G505)&lt;=MINUTE(NOW()),HOUR(G505)&lt;=HOUR(NOW())),"!!!","")),""),"")),"")))</f>
        <v/>
      </c>
      <c r="G505" s="482">
        <v>45001.357638888891</v>
      </c>
      <c r="H505" s="475" t="s">
        <v>201</v>
      </c>
      <c r="I505" s="175">
        <v>1</v>
      </c>
      <c r="J505" s="176"/>
      <c r="K505" s="96" t="s">
        <v>40</v>
      </c>
      <c r="L505" s="97">
        <v>6.6</v>
      </c>
      <c r="M505" s="98">
        <v>3.21</v>
      </c>
      <c r="N505" s="478">
        <v>0</v>
      </c>
      <c r="O505" s="99">
        <f>IF(OR(AE505="",AE506=""),"",ROUND(IF(L507&gt;0,IF(M505&gt;0,M505,IF(M506&gt;0,ROUND((M506*AE505)/AE506,IF(N505=0,2,IF(N505=0.1,1,0))),ROUND((M507*AE505)/AE507,IF(N505=0,2,IF(N505=0.1,1,0))))),IF(M505&gt;0,M505,ROUND((M506*AE505)/AE506,IF(N505=0,2,IF(N505=0.1,1,0))))),2))</f>
        <v>3.21</v>
      </c>
      <c r="P505" s="100">
        <f>IF(OR(L505="",O505=""),"",IF($C505="1/2W",O505/2+O505/2*L505,IF($C505="1/2L",O505/2,IF(I505="Lay",(O505*(L505/(L505-1))-O505)*(1-_xlfn.XLOOKUP(K505,'Fevereiro 2023 - Valor Real'!A3:A15,'Fevereiro 2023 - Valor Real'!C3:C15,0))+O505,(O505*L505-O505)*(1-_xlfn.XLOOKUP(K505,'Fevereiro 2023 - Valor Real'!A3:A15,'Fevereiro 2023 - Valor Real'!C3:C15,0))+O505))))</f>
        <v>21.186</v>
      </c>
      <c r="Q505" s="101">
        <f>IF(K505="","",IF(_xlfn.XLOOKUP(K505,K$4:K504,$DJ$4:DJ504,0,,-1)=DJ505,_xlfn.XLOOKUP(K505,K$4:K504,Q$4:Q504,1,,-1)+1,1))</f>
        <v>7</v>
      </c>
      <c r="R505" s="102">
        <f>IF(K505="","",_xlfn.XLOOKUP(K505,K$4:K504,R$4:R504,0,,-1)+IF($C505=" ",1,0))</f>
        <v>0</v>
      </c>
      <c r="S505" s="474">
        <f>IF($B505="Anulado",0,ROUND(IF(OR($B505="LOSS",$B505="OK"),IF(OR($C505="W",$C505="1/2W",$C505="1/2L"),P505-O505,IF($C505="L",-O505,0))+IF(OR($C506="W",$C506="1/2W",$C506="1/2L"),P506-O506,IF($C506="L",-O506,0))+IF(OR($C507="W",$C507="1/2W",$C507="1/2L"),P507-O507,IF($C507="L",-O507,0)),IF(AND(OR($C505="W",$C505="1/2W",$C505="1/2L"),C506="W"),P505+P506-SUM(O505:O507)+_xlfn.XLOOKUP("X",C505:C507,O505:O507,0),IF(AND(C505=TRUE,C507="W"),P505+P507-SUM(O505:O507),IF(AND(C506="W",C507="W"),P506+P507-SUM(O505:O507)+_xlfn.XLOOKUP("X",C505:C507,O505:O507,0),IF(L507&gt;0,IF(OR($C505="W",$C505="1/2W",$C505="1/2L"),P505-SUM(O505:O507)+_xlfn.XLOOKUP("X",C505:C507,O505:O507,0),IF(OR($C505="W",$C505="1/2W",$C505="1/2L"),P506-SUM(O505:O507)+_xlfn.XLOOKUP("X",C505:C507,O505:O507,0),IF(OR($C505="W",$C505="1/2W",$C505="1/2L"),P507-SUM(O505:O507)+_xlfn.XLOOKUP("X",C505:C507,O505:O507,0),IF(SUM(P505:P507)/3-SUM(O505:O507)+_xlfn.XLOOKUP("X",C505:C507,O505:O507,0)&gt;0,SUM(P505:P507)/3-SUM(O505:O507)+_xlfn.XLOOKUP("X",C505:C507,O505:O507,0),LARGE(P505:P507,1)-SUM(O505:O507))))),IF(OR($C505="W",$C505="1/2W",$C505="1/2L"),P505-SUM(O505:O506)+_xlfn.XLOOKUP("X",C505:C507,O505:O507,0),IF(OR($C505="W",$C505="1/2W",$C505="1/2L"),P506-SUM(O505:O506)+_xlfn.XLOOKUP("X",C505:C507,O505:O507,0),SUM(P505:P506)/2-SUM(O505:O506)+_xlfn.XLOOKUP("X",C505:C507,O505:O507,0)))))))),2))</f>
        <v>-0.02</v>
      </c>
      <c r="T505" s="458">
        <f>IF(S505=0,0,S505/SUM(O505:O507))</f>
        <v>-9.4295143800094295E-4</v>
      </c>
      <c r="U505" s="470">
        <f>IF($D505=$D502,IF(OR($B505="LOSS",$B505="OK",$B505="Anulada"),S505,0)+U502,IF(OR($B505="LOSS",$B505="OK",$B505="Anulada"),S505,0))</f>
        <v>69.679999999999993</v>
      </c>
      <c r="V505" s="470">
        <f>IF($D505="",0,IF($D505=$D502,IF($B505=" ",IF(I507="",IF(OR(AND(I505="DNB1",I506="DNB2"),AND(OR(I505="DNB1",I505="DNB2"),J506=0),AND(OR(I506="DNB1",I506="DNB2"),J505=0),AND(I505="DNB2",I506="DNB1"),AND(IF(J505=0,(J505+1)/ROUND(J505+1,0),J505/ROUND(J505,0))=1,IF(J506=0,(J506+1)/ROUND(IF(J506="",0,J506)+1,0),IF(J506="",0,J506)/ROUND(IF(J506="",1,J506),0))=1,OR(J505&lt;&gt;""),J506&lt;&gt;"")),0,IF(S505&lt;0,IF(I507="",SMALL(P505:P506,1)-SUM(O505:O506),0),SMALL(P505:P506,1)-SUM(O505:O506))),IF(S505&lt;0,IF(I507="",SMALL(P505:P507,1)-SUM(O505:O507),0),LARGE(P505:P507,1)-SUM(O505:O507))),S505)+V502,IF(I507="",IF(OR(AND(I505="DNB1",I506="DNB2"),AND(OR(I505="DNB1",I505="DNB2"),J506=0),AND(OR(I506="DNB1",I506="DNB2"),J505=0),AND(I505="DNB2",I506="DNB1"),AND(IF(J505=0,(J505+1)/ROUND(J505+1,0),J505/ROUND(J505,0))=1,IF(J506=0,(IF(J506="",0,J506)+1)/ROUND(IF(J506="",0,J506)+1,0),IF(J506="",0,J506)/ROUND(IF(J506="",0,J506)+1,0))=1,OR(J505&lt;&gt;""),J506&lt;&gt;"")),0,IF(S505&lt;0,IF(I507="",SMALL(P505:P506,1)-SUM(O505:O506),0),SMALL(P505:P507,1)-SUM(O505:O507))),IF(S505&lt;0,IF(I507="",SMALL(P505:P507,1)-SUM(O505:O507),0),LARGE(P505:P507,1)-SUM(O505:O507)))))</f>
        <v>69.666599999999988</v>
      </c>
      <c r="W505" s="470">
        <f>IF($D505=$D502,IF(S505&lt;0,IF(I507="",S505,0),S505)+W502,S505)</f>
        <v>69.679999999999993</v>
      </c>
      <c r="X505" s="480" t="str">
        <f>IF(OR(SUM(R505:R507)=0,V505=W505),ROUND(IF(W505=0,0,W505/Y505)*100,2)&amp;"%",ROUND(IF(V505=0,0,V505/Y505)*100,2)&amp;"% a "&amp;ROUND(IF(W505=0,0,W505/Y505)*100,2)&amp;"%")</f>
        <v>5,02%</v>
      </c>
      <c r="Y505" s="471">
        <f>IF($D505=$D502,Y502+SUM(O505:O507),SUM(O505:O507))</f>
        <v>1387.2100000000003</v>
      </c>
      <c r="Z505" s="470">
        <f>IF($B505=" ",SUM(O505:O507),0)+Z502</f>
        <v>0</v>
      </c>
      <c r="AA505" s="470">
        <f>IF(G505="","",IF($B505="Anulado",LARGE(P505:P507,1)-SUM(O505:O507)+AA502,AA502))</f>
        <v>12.425099999999992</v>
      </c>
      <c r="AB505" s="470">
        <f>IF($D505="","",AB502+S505)</f>
        <v>598.10000000000036</v>
      </c>
      <c r="AC505" s="472">
        <f ca="1">IF($D505="","",IF($B505=" ",IF(DAY(G505)=DAY(TODAY()),1+AC502,0+AC502),0+AC502))</f>
        <v>0</v>
      </c>
      <c r="AD505" s="103">
        <f>(((L506/(L506-1)-1)*(1-_xlfn.XLOOKUP(K506,'Fevereiro 2023 - Valor Real'!A3:A15,'Fevereiro 2023 - Valor Real'!C3:C15,0))+1))/(((L505-1)*(1-_xlfn.XLOOKUP(K505,'Fevereiro 2023 - Valor Real'!A3:A15,'Fevereiro 2023 - Valor Real'!C3:C15,0))+1)+((L506/(L506-1)-1)*(1-_xlfn.XLOOKUP(K506,'Fevereiro 2023 - Valor Real'!A3:A15,'Fevereiro 2023 - Valor Real'!C3:C15,0))+1))</f>
        <v>0.436630602782071</v>
      </c>
      <c r="AE505" s="104">
        <f>IF(L505="","",IF(L507&gt;0,(SUM(((L505-1)*(1-_xlfn.XLOOKUP(K505,'Fevereiro 2023 - Valor Real'!A3:A15,'Fevereiro 2023 - Valor Real'!C3:C15,0))+1),((L506-1)*(1-_xlfn.XLOOKUP(K506,'Fevereiro 2023 - Valor Real'!A3:A15,'Fevereiro 2023 - Valor Real'!C3:C15,0))+1),((L507-1)*(1-_xlfn.XLOOKUP(K507,'Fevereiro 2023 - Valor Real'!A3:A15,'Fevereiro 2023 - Valor Real'!C3:C15,0))+1))/((L505-1)*(1-_xlfn.XLOOKUP(K505,'Fevereiro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Real'!C3:C15,0))+1))/((L505-1)*(1-_xlfn.XLOOKUP(K505,'Fevereiro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Real'!C3:C15,0))+1))/((L506-1)*(1-_xlfn.XLOOKUP(K506,'Fevereiro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Real'!C3:C15,0))+1))/((L507-1)*(1-_xlfn.XLOOKUP(K507,'Fevereiro 2023 - Valor Real'!A3:A15,'Fevereiro 2023 - Valor Real'!C3:C15,0))+1)),IF(I505="Lay",IF(I506="Lay",((L506/(L506-1)-1)*(1-_xlfn.XLOOKUP(K506,'Fevereiro 2023 - Valor Real'!A3:A15,'Fevereiro 2023 - Valor Real'!C3:C15,0))+1)/(((L506/(L506-1)-1)*(1-_xlfn.XLOOKUP(K506,'Fevereiro 2023 - Valor Real'!A3:A15,'Fevereiro 2023 - Valor Real'!C3:C15,0))+1)+((L505/(L505-1)-1)*(1-_xlfn.XLOOKUP(K505,'Fevereiro 2023 - Valor Real'!A3:A15,'Fevereiro 2023 - Valor Real'!C3:C15,0))+1)),((L506-1)*(1-_xlfn.XLOOKUP(K506,'Fevereiro 2023 - Valor Real'!A3:A15,'Fevereiro 2023 - Valor Real'!C3:C15,0))+1)/(((L506-1)*(1-_xlfn.XLOOKUP(K506,'Fevereiro 2023 - Valor Real'!A3:A15,'Fevereiro 2023 - Valor Real'!C3:C15,0))+1)+((L505/(L505-1)-1)*(1-_xlfn.XLOOKUP(K505,'Fevereiro 2023 - Valor Real'!A3:A15,'Fevereiro 2023 - Valor Real'!C3:C15,0))+1))),IF(I506="Lay",(((L506/(L506-1)-1)*(1-_xlfn.XLOOKUP(K506,'Fevereiro 2023 - Valor Real'!A3:A15,'Fevereiro 2023 - Valor Real'!C3:C15,0))+1))/(((L505-1)*(1-_xlfn.XLOOKUP(K505,'Fevereiro 2023 - Valor Real'!A3:A15,'Fevereiro 2023 - Valor Real'!C3:C15,0))+1)+((L506/(L506-1)-1)*(1-_xlfn.XLOOKUP(K506,'Fevereiro 2023 - Valor Real'!A3:A15,'Fevereiro 2023 - Valor Real'!C3:C15,0))+1)),((L506-1)*(1-_xlfn.XLOOKUP(K506,'Fevereiro 2023 - Valor Real'!A3:A15,'Fevereiro 2023 - Valor Real'!C3:C15,0))+1)/(((L506-1)*(1-_xlfn.XLOOKUP(K506,'Fevereiro 2023 - Valor Real'!A3:A15,'Fevereiro 2023 - Valor Real'!C3:C15,0))+1)+((L505-1)*(1-_xlfn.XLOOKUP(K505,'Fevereiro 2023 - Valor Real'!A3:A15,'Fevereiro 2023 - Valor Real'!C3:C15,0))+1))))))</f>
        <v>0.15848527349228614</v>
      </c>
      <c r="AF505" s="105">
        <f t="shared" si="1007"/>
        <v>0</v>
      </c>
      <c r="AG505" s="106">
        <f t="shared" si="1007"/>
        <v>0</v>
      </c>
      <c r="AH505" s="106">
        <f t="shared" si="1007"/>
        <v>0</v>
      </c>
      <c r="AI505" s="106">
        <f t="shared" si="1007"/>
        <v>0</v>
      </c>
      <c r="AJ505" s="106">
        <f t="shared" si="1007"/>
        <v>17.98</v>
      </c>
      <c r="AK505" s="106">
        <f t="shared" si="1007"/>
        <v>0</v>
      </c>
      <c r="AL505" s="106">
        <f t="shared" si="1007"/>
        <v>0</v>
      </c>
      <c r="AM505" s="106">
        <f t="shared" si="1007"/>
        <v>0</v>
      </c>
      <c r="AN505" s="106">
        <f t="shared" si="1007"/>
        <v>0</v>
      </c>
      <c r="AO505" s="106">
        <f t="shared" si="1007"/>
        <v>0</v>
      </c>
      <c r="AP505" s="106">
        <f t="shared" si="1007"/>
        <v>0</v>
      </c>
      <c r="AQ505" s="106">
        <f t="shared" si="1007"/>
        <v>0</v>
      </c>
      <c r="AR505" s="107">
        <f t="shared" si="1007"/>
        <v>0</v>
      </c>
      <c r="AS505" s="105">
        <f t="shared" ref="AS505:BE505" si="1010">IF(AND($B505=" ",$K505=AS$3),$O505,0)</f>
        <v>0</v>
      </c>
      <c r="AT505" s="106">
        <f t="shared" si="1010"/>
        <v>0</v>
      </c>
      <c r="AU505" s="106">
        <f t="shared" si="1010"/>
        <v>0</v>
      </c>
      <c r="AV505" s="106">
        <f t="shared" si="1010"/>
        <v>0</v>
      </c>
      <c r="AW505" s="106">
        <f t="shared" si="1010"/>
        <v>0</v>
      </c>
      <c r="AX505" s="106">
        <f t="shared" si="1010"/>
        <v>0</v>
      </c>
      <c r="AY505" s="108">
        <f t="shared" si="1010"/>
        <v>0</v>
      </c>
      <c r="AZ505" s="109">
        <f t="shared" si="1010"/>
        <v>0</v>
      </c>
      <c r="BA505" s="109">
        <f t="shared" si="1010"/>
        <v>0</v>
      </c>
      <c r="BB505" s="109">
        <f t="shared" si="1010"/>
        <v>0</v>
      </c>
      <c r="BC505" s="110">
        <f t="shared" si="1010"/>
        <v>0</v>
      </c>
      <c r="BD505" s="106">
        <f t="shared" si="1010"/>
        <v>0</v>
      </c>
      <c r="BE505" s="107">
        <f t="shared" si="1010"/>
        <v>0</v>
      </c>
      <c r="BF505" s="111">
        <f t="shared" si="1009"/>
        <v>0</v>
      </c>
      <c r="BG505" s="106">
        <f t="shared" si="1009"/>
        <v>0</v>
      </c>
      <c r="BH505" s="106">
        <f t="shared" si="1009"/>
        <v>0</v>
      </c>
      <c r="BI505" s="106">
        <f t="shared" si="1009"/>
        <v>0</v>
      </c>
      <c r="BJ505" s="106">
        <f t="shared" si="1009"/>
        <v>3.21</v>
      </c>
      <c r="BK505" s="106">
        <f t="shared" si="1009"/>
        <v>0</v>
      </c>
      <c r="BL505" s="106">
        <f t="shared" si="1009"/>
        <v>0</v>
      </c>
      <c r="BM505" s="108">
        <f t="shared" si="1009"/>
        <v>0</v>
      </c>
      <c r="BN505" s="109">
        <f t="shared" si="1009"/>
        <v>0</v>
      </c>
      <c r="BO505" s="109">
        <f t="shared" si="1009"/>
        <v>0</v>
      </c>
      <c r="BP505" s="109">
        <f t="shared" si="1009"/>
        <v>0</v>
      </c>
      <c r="BQ505" s="110">
        <f t="shared" si="1009"/>
        <v>0</v>
      </c>
      <c r="BR505" s="107">
        <f t="shared" si="1009"/>
        <v>0</v>
      </c>
      <c r="BS505" s="463">
        <f>IF($B505="LOSS",IF(AND($K505=BS$3,$C505="L"),-$O505,0)+IF(AND($K506=BS$3,$C506="L"),-$O506,0)+IF(AND($K507=BS$3,$C507="L"),-$O507,0),IF(OR(AND($K505=BS$3,OR($C505="W",$C505="1/2W")),AND($K506=BS$3,OR($C506="W",$C506="1/2W")),AND($K507=BS$3,OR($C507="W",$C507="1/2W"))),$S505,0))</f>
        <v>0</v>
      </c>
      <c r="BT505" s="462">
        <f>IF($B505="LOSS",IF(AND($K505=BT$3,$C505="L"),-$O505,0)+IF(AND($K506=BT$3,$C506="L"),-$O506,0)+IF(AND($K506=BT$3,$C507="L"),-$O507,0),IF(OR(AND($K506=BT$3,OR($C505="W",$C505="1/2W")),AND($K506=BT$3,OR($C506="W",$C506="1/2W")),AND($K506=BT$3,OR($C507="W",$C507="1/2W"))),$S505,0))</f>
        <v>0</v>
      </c>
      <c r="BU505" s="462">
        <f>IF($B505="LOSS",IF(AND($K505=BU$3,$C505="L"),-$O505,0)+IF(AND($K506=BU$3,$C506="L"),-$O506,0)+IF(AND($K506=BU$3,$C507="L"),-$O507,0),IF(OR(AND($K506=BU$3,OR($C505="W",$C505="1/2W")),AND($K506=BU$3,OR($C506="W",$C506="1/2W")),AND($K506=BU$3,OR($C507="W",$C507="1/2W"))),$S505,0))</f>
        <v>0</v>
      </c>
      <c r="BV505" s="462">
        <f t="shared" ref="BV505:CE505" si="1011">IF($B505="LOSS",IF(AND($K505=BV$3,$C505="L"),-$O505,0)+IF(AND($K506=BV$3,$C506="L"),-$O506,0)+IF(AND($K507=BV$3,$C507="L"),-$O507,0),IF(OR(AND($K505=BV$3,OR($C505="W",$C505="1/2W")),AND($K506=BV$3,OR($C506="W",$C506="1/2W")),AND($K507=BV$3,OR($C507="W",$C507="1/2W"))),$S505,0))</f>
        <v>0</v>
      </c>
      <c r="BW505" s="462">
        <f t="shared" si="1011"/>
        <v>-0.02</v>
      </c>
      <c r="BX505" s="462">
        <f t="shared" si="1011"/>
        <v>0</v>
      </c>
      <c r="BY505" s="462">
        <f t="shared" si="1011"/>
        <v>0</v>
      </c>
      <c r="BZ505" s="460">
        <f t="shared" si="1011"/>
        <v>0</v>
      </c>
      <c r="CA505" s="460">
        <f t="shared" si="1011"/>
        <v>0</v>
      </c>
      <c r="CB505" s="460">
        <f t="shared" si="1011"/>
        <v>0</v>
      </c>
      <c r="CC505" s="460">
        <f t="shared" si="1011"/>
        <v>0</v>
      </c>
      <c r="CD505" s="473">
        <f t="shared" si="1011"/>
        <v>0</v>
      </c>
      <c r="CE505" s="479">
        <f t="shared" si="1011"/>
        <v>0</v>
      </c>
      <c r="CF505" s="113">
        <f t="shared" si="899"/>
        <v>0</v>
      </c>
      <c r="CG505" s="114">
        <f t="shared" si="900"/>
        <v>0</v>
      </c>
      <c r="CH505" s="114">
        <f t="shared" si="901"/>
        <v>0</v>
      </c>
      <c r="CI505" s="114">
        <f t="shared" si="902"/>
        <v>0</v>
      </c>
      <c r="CJ505" s="114">
        <f t="shared" si="903"/>
        <v>0</v>
      </c>
      <c r="CK505" s="114">
        <f t="shared" si="904"/>
        <v>0</v>
      </c>
      <c r="CL505" s="114">
        <f t="shared" si="905"/>
        <v>0</v>
      </c>
      <c r="CM505" s="114">
        <f t="shared" si="906"/>
        <v>0</v>
      </c>
      <c r="CN505" s="114">
        <f t="shared" si="907"/>
        <v>1</v>
      </c>
      <c r="CO505" s="114">
        <f t="shared" si="908"/>
        <v>0</v>
      </c>
      <c r="CP505" s="114">
        <f t="shared" si="909"/>
        <v>0</v>
      </c>
      <c r="CQ505" s="114">
        <f t="shared" si="910"/>
        <v>0</v>
      </c>
      <c r="CR505" s="114">
        <f t="shared" si="911"/>
        <v>0</v>
      </c>
      <c r="CS505" s="114">
        <f t="shared" si="912"/>
        <v>0</v>
      </c>
      <c r="CT505" s="115">
        <f t="shared" si="913"/>
        <v>0</v>
      </c>
      <c r="CU505" s="116">
        <f t="shared" si="914"/>
        <v>0</v>
      </c>
      <c r="CV505" s="116">
        <f t="shared" si="915"/>
        <v>0</v>
      </c>
      <c r="CW505" s="116">
        <f t="shared" si="916"/>
        <v>0</v>
      </c>
      <c r="CX505" s="116">
        <f t="shared" si="917"/>
        <v>0</v>
      </c>
      <c r="CY505" s="116">
        <f t="shared" si="918"/>
        <v>0</v>
      </c>
      <c r="CZ505" s="116">
        <f t="shared" si="919"/>
        <v>0</v>
      </c>
      <c r="DA505" s="116">
        <f t="shared" si="920"/>
        <v>0</v>
      </c>
      <c r="DB505" s="116">
        <f t="shared" si="921"/>
        <v>0</v>
      </c>
      <c r="DC505" s="116">
        <f t="shared" si="922"/>
        <v>0</v>
      </c>
      <c r="DD505" s="116">
        <f t="shared" si="923"/>
        <v>0</v>
      </c>
      <c r="DE505" s="117">
        <f t="shared" si="924"/>
        <v>0</v>
      </c>
      <c r="DF505" s="118">
        <f t="shared" si="926"/>
        <v>33</v>
      </c>
      <c r="DG505" s="106">
        <f t="shared" si="927"/>
        <v>43.031999999999989</v>
      </c>
      <c r="DH505" s="116">
        <f t="shared" si="928"/>
        <v>13</v>
      </c>
      <c r="DI505" s="106">
        <f t="shared" si="929"/>
        <v>56.05</v>
      </c>
      <c r="DJ505" s="201" t="str">
        <f>IF($D505="","",$D505)</f>
        <v>15</v>
      </c>
      <c r="DK505" s="465">
        <f>IF(AND($B505=" ",$D505&lt;&gt;""),1,0)</f>
        <v>0</v>
      </c>
    </row>
    <row r="506" spans="1:115" ht="14.5" customHeight="1" x14ac:dyDescent="0.2">
      <c r="A506" s="389"/>
      <c r="B506" s="456"/>
      <c r="C506" s="120" t="s">
        <v>55</v>
      </c>
      <c r="D506" s="374"/>
      <c r="E506" s="386"/>
      <c r="F506" s="377"/>
      <c r="G506" s="483"/>
      <c r="H506" s="476"/>
      <c r="I506" s="178">
        <v>2</v>
      </c>
      <c r="J506" s="179" t="str">
        <f>IF(OR(I505="TO",I505="TU",I505="TO1",I505="TU1",I505="TO2",I505="TU2"),J505,IF(OR(I505="AH1",I505="AH2"),IF(OR(I506="AH1",I506="AH2"),-J505,IF(OR(I506="EH1",I506="EH2"),-J505+0.5,"")),IF(OR(I505="EH1",I505="EH2"),IF(OR(I506="AH1",I506="AH2"),-J505+0.5,IF(OR(I506="EH1",I506="EH2"),-J505+1,"")),IF(AND(OR(I505="DNB1",I505="DNB2"),OR(I506="AH1",I506="AH2")),0,IF(AND(I505="Not ScoreBoth",OR(I506="TO1",I506="TO2")),0.5,"")))))</f>
        <v/>
      </c>
      <c r="K506" s="123" t="s">
        <v>43</v>
      </c>
      <c r="L506" s="124">
        <v>1.2430000000000001</v>
      </c>
      <c r="M506" s="125">
        <v>18</v>
      </c>
      <c r="N506" s="406"/>
      <c r="O506" s="126">
        <f>IF(OR(AE505="",AE506=""),"",ROUND(IF(L507&gt;0,IF(M506&gt;0,M506,IF(M505&gt;0,IF(N505=TRUE,ROUND((M505*AE506)/AE505,0),(M505*AE506)/AE505),IF(M506&gt;0,ROUND(M506,IF(N505=0,2,IF(N505=0.1,1,0))),IF(M507&gt;0,ROUND(O507*AE506/AE507,IF(N505=0,2,IF(N505=0.1,1,0))),0)))),IF(M506&gt;0,M506,ROUND((M505*AE506)/AE505,IF(N505=0,2,IF(N505=0.1,1,0))))),2))</f>
        <v>18</v>
      </c>
      <c r="P506" s="127">
        <f>IF(OR(L506="",O506=""),"",IF($C506="1/2W",O506/2+O506/2*L506,IF($C506="1/2L",O506/2,IF(I506="Lay",((O506*(L506/(L506-1)))-O506)*(1-_xlfn.XLOOKUP(K506,'Fevereiro 2023 - Valor Real'!A3:A15,'Fevereiro 2023 - Valor Real'!C3:C15,0))+O506,(O506*L506-O506)*(1-_xlfn.XLOOKUP(K506,'Fevereiro 2023 - Valor Real'!A3:A15,'Fevereiro 2023 - Valor Real'!C3:C15,0))+O506))))</f>
        <v>22.374000000000002</v>
      </c>
      <c r="Q506" s="128">
        <f>IF(K506="","",IF(_xlfn.XLOOKUP(K506,K$4:K505,$DJ$4:DJ505,0,,-1)=DJ506,_xlfn.XLOOKUP(K506,K$4:K505,Q$4:Q505,1,,-1)+1,1))</f>
        <v>10</v>
      </c>
      <c r="R506" s="129">
        <f>IF(K506="","",_xlfn.XLOOKUP(K506,K$4:K505,R$4:R505,0,,-1)+IF($C506=" ",1,0))</f>
        <v>0</v>
      </c>
      <c r="S506" s="403"/>
      <c r="T506" s="380"/>
      <c r="U506" s="380"/>
      <c r="V506" s="481"/>
      <c r="W506" s="380"/>
      <c r="X506" s="452"/>
      <c r="Y506" s="383"/>
      <c r="Z506" s="384"/>
      <c r="AA506" s="384"/>
      <c r="AB506" s="384"/>
      <c r="AC506" s="384"/>
      <c r="AD506" s="130">
        <f>(((L506/(L506-1)-1)*(1-_xlfn.XLOOKUP(K506,'Fevereiro 2023 - Valor Real'!A3:A15,'Fevereiro 2023 - Valor Real'!C3:C15,0))+1))</f>
        <v>5.1152263374485578</v>
      </c>
      <c r="AE506" s="131">
        <f>IF(L506="","",IF(L507&gt;0,(SUM(((L505-1)*(1-_xlfn.XLOOKUP(K505,'Fevereiro 2023 - Valor Real'!A3:A15,'Fevereiro 2023 - Valor Real'!C3:C15,0))+1),((L506-1)*(1-_xlfn.XLOOKUP(K506,'Fevereiro 2023 - Valor Real'!A3:A15,'Fevereiro 2023 - Valor Real'!C3:C15,0))+1),((L507-1)*(1-_xlfn.XLOOKUP(K507,'Fevereiro 2023 - Valor Real'!A3:A15,'Fevereiro 2023 - Valor Real'!C3:C15,0))+1))/((L506-1)*(1-_xlfn.XLOOKUP(K506,'Fevereiro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Real'!C3:C15,0))+1))/((L505-1)*(1-_xlfn.XLOOKUP(K505,'Fevereiro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Real'!C3:C15,0))+1))/((L506-1)*(1-_xlfn.XLOOKUP(K506,'Fevereiro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Real'!C3:C15,0))+1))/((L507-1)*(1-_xlfn.XLOOKUP(K507,'Fevereiro 2023 - Valor Real'!A3:A15,'Fevereiro 2023 - Valor Real'!C3:C15,0))+1)),IF(I506="Lay",IF(I505="Lay",((L505/(L505-1)-1)*(1-_xlfn.XLOOKUP(K505,'Fevereiro 2023 - Valor Real'!A3:A15,'Fevereiro 2023 - Valor Real'!C3:C15,0))+1)/(((L505/(L505-1)-1)*(1-_xlfn.XLOOKUP(K505,'Fevereiro 2023 - Valor Real'!A3:A15,'Fevereiro 2023 - Valor Real'!C3:C15,0))+1)+((L506/(L506-1)-1)*(1-_xlfn.XLOOKUP(K506,'Fevereiro 2023 - Valor Real'!A3:A15,'Fevereiro 2023 - Valor Real'!C3:C15,0))+1)),((L505-1)*(1-_xlfn.XLOOKUP(K505,'Fevereiro 2023 - Valor Real'!A3:A15,'Fevereiro 2023 - Valor Real'!C3:C15,0))+1)/(((L505-1)*(1-_xlfn.XLOOKUP(K505,'Fevereiro 2023 - Valor Real'!A3:A15,'Fevereiro 2023 - Valor Real'!C3:C15,0))+1)+((L506/(L506-1)-1)*(1-_xlfn.XLOOKUP(K506,'Fevereiro 2023 - Valor Real'!A3:A15,'Fevereiro 2023 - Valor Real'!C3:C15,0))+1))),IF(I505="Lay",((L505/(L505-1)-1)*(1-_xlfn.XLOOKUP(K505,'Fevereiro 2023 - Valor Real'!A3:A15,'Fevereiro 2023 - Valor Real'!C3:C15,0))+1)/((((L505/(L505-1)-1)*(1-_xlfn.XLOOKUP(K505,'Fevereiro 2023 - Valor Real'!A3:A15,'Fevereiro 2023 - Valor Real'!C3:C15,0))+1))+((L506-1)*(1-_xlfn.XLOOKUP(K506,'Fevereiro 2023 - Valor Real'!A3:A15,'Fevereiro 2023 - Valor Real'!C3:C15,0))+1)),((L505-1)*(1-_xlfn.XLOOKUP(K505,'Fevereiro 2023 - Valor Real'!A3:A15,'Fevereiro 2023 - Valor Real'!C3:C15,0))+1)/(((L505-1)*(1-_xlfn.XLOOKUP(K505,'Fevereiro 2023 - Valor Real'!A3:A15,'Fevereiro 2023 - Valor Real'!C3:C15,0))+1)+((L506-1)*(1-_xlfn.XLOOKUP(K506,'Fevereiro 2023 - Valor Real'!A3:A15,'Fevereiro 2023 - Valor Real'!C3:C15,0))+1))))))</f>
        <v>0.84151472650771386</v>
      </c>
      <c r="AF506" s="105">
        <f t="shared" si="1007"/>
        <v>0</v>
      </c>
      <c r="AG506" s="106">
        <f t="shared" si="1007"/>
        <v>0</v>
      </c>
      <c r="AH506" s="106">
        <f t="shared" si="1007"/>
        <v>0</v>
      </c>
      <c r="AI506" s="106">
        <f t="shared" si="1007"/>
        <v>0</v>
      </c>
      <c r="AJ506" s="106">
        <f t="shared" si="1007"/>
        <v>0</v>
      </c>
      <c r="AK506" s="106">
        <f t="shared" si="1007"/>
        <v>0</v>
      </c>
      <c r="AL506" s="106">
        <f t="shared" si="1007"/>
        <v>0</v>
      </c>
      <c r="AM506" s="106">
        <f t="shared" si="1007"/>
        <v>-18</v>
      </c>
      <c r="AN506" s="106">
        <f t="shared" si="1007"/>
        <v>0</v>
      </c>
      <c r="AO506" s="106">
        <f t="shared" si="1007"/>
        <v>0</v>
      </c>
      <c r="AP506" s="106">
        <f t="shared" si="1007"/>
        <v>0</v>
      </c>
      <c r="AQ506" s="106">
        <f t="shared" si="1007"/>
        <v>0</v>
      </c>
      <c r="AR506" s="107">
        <f t="shared" si="1007"/>
        <v>0</v>
      </c>
      <c r="AS506" s="105">
        <f>IF(AND($B505=" ",$K506=AS$3),$O506,0)</f>
        <v>0</v>
      </c>
      <c r="AT506" s="106">
        <f>IF(AND($B505=" ",K506=AT$3),$O506,0)</f>
        <v>0</v>
      </c>
      <c r="AU506" s="106">
        <f t="shared" ref="AU506:BE506" si="1012">IF(AND($B505=" ",$K506=AU$3),$O506,0)</f>
        <v>0</v>
      </c>
      <c r="AV506" s="106">
        <f t="shared" si="1012"/>
        <v>0</v>
      </c>
      <c r="AW506" s="106">
        <f t="shared" si="1012"/>
        <v>0</v>
      </c>
      <c r="AX506" s="106">
        <f t="shared" si="1012"/>
        <v>0</v>
      </c>
      <c r="AY506" s="108">
        <f t="shared" si="1012"/>
        <v>0</v>
      </c>
      <c r="AZ506" s="109">
        <f t="shared" si="1012"/>
        <v>0</v>
      </c>
      <c r="BA506" s="109">
        <f t="shared" si="1012"/>
        <v>0</v>
      </c>
      <c r="BB506" s="109">
        <f t="shared" si="1012"/>
        <v>0</v>
      </c>
      <c r="BC506" s="110">
        <f t="shared" si="1012"/>
        <v>0</v>
      </c>
      <c r="BD506" s="106">
        <f t="shared" si="1012"/>
        <v>0</v>
      </c>
      <c r="BE506" s="107">
        <f t="shared" si="1012"/>
        <v>0</v>
      </c>
      <c r="BF506" s="105">
        <f t="shared" si="1009"/>
        <v>0</v>
      </c>
      <c r="BG506" s="106">
        <f t="shared" si="1009"/>
        <v>0</v>
      </c>
      <c r="BH506" s="106">
        <f t="shared" si="1009"/>
        <v>0</v>
      </c>
      <c r="BI506" s="106">
        <f t="shared" si="1009"/>
        <v>0</v>
      </c>
      <c r="BJ506" s="106">
        <f t="shared" si="1009"/>
        <v>0</v>
      </c>
      <c r="BK506" s="106">
        <f t="shared" si="1009"/>
        <v>0</v>
      </c>
      <c r="BL506" s="106">
        <f t="shared" si="1009"/>
        <v>0</v>
      </c>
      <c r="BM506" s="132">
        <f t="shared" si="1009"/>
        <v>18</v>
      </c>
      <c r="BN506" s="112">
        <f t="shared" si="1009"/>
        <v>0</v>
      </c>
      <c r="BO506" s="112">
        <f t="shared" si="1009"/>
        <v>0</v>
      </c>
      <c r="BP506" s="112">
        <f t="shared" si="1009"/>
        <v>0</v>
      </c>
      <c r="BQ506" s="110">
        <f t="shared" si="1009"/>
        <v>0</v>
      </c>
      <c r="BR506" s="107">
        <f t="shared" si="1009"/>
        <v>0</v>
      </c>
      <c r="BS506" s="464"/>
      <c r="BT506" s="461"/>
      <c r="BU506" s="392"/>
      <c r="BV506" s="461"/>
      <c r="BW506" s="392"/>
      <c r="BX506" s="392"/>
      <c r="BY506" s="392"/>
      <c r="BZ506" s="461"/>
      <c r="CA506" s="392"/>
      <c r="CB506" s="392"/>
      <c r="CC506" s="392"/>
      <c r="CD506" s="401"/>
      <c r="CE506" s="409"/>
      <c r="CF506" s="133">
        <f t="shared" si="899"/>
        <v>0</v>
      </c>
      <c r="CG506" s="134">
        <f t="shared" si="900"/>
        <v>0</v>
      </c>
      <c r="CH506" s="134">
        <f t="shared" si="901"/>
        <v>0</v>
      </c>
      <c r="CI506" s="134">
        <f t="shared" si="902"/>
        <v>0</v>
      </c>
      <c r="CJ506" s="134">
        <f t="shared" si="903"/>
        <v>0</v>
      </c>
      <c r="CK506" s="134">
        <f t="shared" si="904"/>
        <v>0</v>
      </c>
      <c r="CL506" s="134">
        <f t="shared" si="905"/>
        <v>0</v>
      </c>
      <c r="CM506" s="134">
        <f t="shared" si="906"/>
        <v>0</v>
      </c>
      <c r="CN506" s="134">
        <f t="shared" si="907"/>
        <v>0</v>
      </c>
      <c r="CO506" s="134">
        <f t="shared" si="908"/>
        <v>0</v>
      </c>
      <c r="CP506" s="134">
        <f t="shared" si="909"/>
        <v>0</v>
      </c>
      <c r="CQ506" s="134">
        <f t="shared" si="910"/>
        <v>0</v>
      </c>
      <c r="CR506" s="134">
        <f t="shared" si="911"/>
        <v>0</v>
      </c>
      <c r="CS506" s="134">
        <f t="shared" si="912"/>
        <v>0</v>
      </c>
      <c r="CT506" s="115">
        <f t="shared" si="913"/>
        <v>0</v>
      </c>
      <c r="CU506" s="116">
        <f t="shared" si="914"/>
        <v>1</v>
      </c>
      <c r="CV506" s="116">
        <f t="shared" si="915"/>
        <v>0</v>
      </c>
      <c r="CW506" s="116">
        <f t="shared" si="916"/>
        <v>0</v>
      </c>
      <c r="CX506" s="116">
        <f t="shared" si="917"/>
        <v>0</v>
      </c>
      <c r="CY506" s="116">
        <f t="shared" si="918"/>
        <v>0</v>
      </c>
      <c r="CZ506" s="116">
        <f t="shared" si="919"/>
        <v>0</v>
      </c>
      <c r="DA506" s="116">
        <f t="shared" si="920"/>
        <v>0</v>
      </c>
      <c r="DB506" s="116">
        <f t="shared" si="921"/>
        <v>0</v>
      </c>
      <c r="DC506" s="116">
        <f t="shared" si="922"/>
        <v>0</v>
      </c>
      <c r="DD506" s="116">
        <f t="shared" si="923"/>
        <v>0</v>
      </c>
      <c r="DE506" s="117">
        <f t="shared" si="924"/>
        <v>0</v>
      </c>
      <c r="DF506" s="118">
        <f t="shared" si="926"/>
        <v>33</v>
      </c>
      <c r="DG506" s="106">
        <f t="shared" si="927"/>
        <v>43.031999999999989</v>
      </c>
      <c r="DH506" s="116">
        <f t="shared" si="928"/>
        <v>13</v>
      </c>
      <c r="DI506" s="106">
        <f t="shared" si="929"/>
        <v>56.05</v>
      </c>
      <c r="DJ506" s="201" t="str">
        <f>IF($D505="","",$D505)</f>
        <v>15</v>
      </c>
      <c r="DK506" s="466"/>
    </row>
    <row r="507" spans="1:115" ht="14.5" customHeight="1" x14ac:dyDescent="0.2">
      <c r="A507" s="390"/>
      <c r="B507" s="457"/>
      <c r="C507" s="135" t="s">
        <v>53</v>
      </c>
      <c r="D507" s="375"/>
      <c r="E507" s="387"/>
      <c r="F507" s="378"/>
      <c r="G507" s="484"/>
      <c r="H507" s="477"/>
      <c r="I507" s="136"/>
      <c r="J507" s="137"/>
      <c r="K507" s="138"/>
      <c r="L507" s="139"/>
      <c r="M507" s="140"/>
      <c r="N507" s="407"/>
      <c r="O507" s="141" t="str">
        <f>IF(OR(AE505="",AE506=""),"",IF(L507&gt;0,ROUND(IF(M507&gt;0,M507,IF(M505&gt;0,ROUND((M505*AE507)/AE505,IF(N505=0,2,IF(N505=0.1,1,0))),IF(M506&gt;0,ROUND((M506*AE507)/AE506,IF(N505=0,2,IF(N505=0.1,1,0))),IF(M507&gt;0,M507,0)))),2),""))</f>
        <v/>
      </c>
      <c r="P507" s="142" t="str">
        <f>IF(I506="Lay",O506*(L506/(L506-1))-O506,IF(I505="Lay",O505*(L505/(L505-1))-O505,IF(OR(L507="",O507=""),"",IF($C507="1/2W",O507/2+O507/2*L507,IF($C507="1/2L",O507/2,(O507*L507-O507)*(1-_xlfn.XLOOKUP(K507,'Fevereiro 2023 - Valor Real'!A3:A15,'Fevereiro 2023 - Valor Real'!C3:C15,0))+O507)))))</f>
        <v/>
      </c>
      <c r="Q507" s="143" t="str">
        <f>IF(K507="","",IF(_xlfn.XLOOKUP(K507,K$4:K506,$DJ$4:DJ506,0,,-1)=DJ507,_xlfn.XLOOKUP(K507,K$4:K506,Q$4:Q506,1,,-1)+1,1))</f>
        <v/>
      </c>
      <c r="R507" s="144" t="str">
        <f>IF(K507="","",_xlfn.XLOOKUP(K507,K$4:K506,R$4:R506,0,,-1)+IF($C507=" ",1,0))</f>
        <v/>
      </c>
      <c r="S507" s="404"/>
      <c r="T507" s="378"/>
      <c r="U507" s="378"/>
      <c r="V507" s="404"/>
      <c r="W507" s="378"/>
      <c r="X507" s="453"/>
      <c r="Y507" s="383"/>
      <c r="Z507" s="384"/>
      <c r="AA507" s="384"/>
      <c r="AB507" s="384"/>
      <c r="AC507" s="384"/>
      <c r="AD507" s="145">
        <f>((L506/(L506-1)-1))</f>
        <v>4.1152263374485578</v>
      </c>
      <c r="AE507" s="146" t="str">
        <f>IF(L507="","",(SUM(((L505-1)*(1-_xlfn.XLOOKUP(K505,'Fevereiro 2023 - Valor Real'!A3:A15,'Fevereiro 2023 - Valor Real'!C3:C15,0))+1),((L506-1)*(1-_xlfn.XLOOKUP(K506,'Fevereiro 2023 - Valor Real'!A3:A15,'Fevereiro 2023 - Valor Real'!C3:C15,0))+1),((L507-1)*(1-_xlfn.XLOOKUP(K507,'Fevereiro 2023 - Valor Real'!A3:A15,'Fevereiro 2023 - Valor Real'!C3:C15,0))+1))/((L507-1)*(1-_xlfn.XLOOKUP(K507,'Fevereiro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Real'!C3:C15,0))+1))/((L505-1)*(1-_xlfn.XLOOKUP(K505,'Fevereiro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Real'!C3:C15,0))+1))/((L506-1)*(1-_xlfn.XLOOKUP(K506,'Fevereiro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Real'!C3:C15,0))+1))/((L507-1)*(1-_xlfn.XLOOKUP(K507,'Fevereiro 2023 - Valor Real'!A3:A15,'Fevereiro 2023 - Valor Real'!C3:C15,0))+1)))</f>
        <v/>
      </c>
      <c r="AF507" s="105">
        <f t="shared" si="1007"/>
        <v>0</v>
      </c>
      <c r="AG507" s="106">
        <f t="shared" si="1007"/>
        <v>0</v>
      </c>
      <c r="AH507" s="106">
        <f t="shared" si="1007"/>
        <v>0</v>
      </c>
      <c r="AI507" s="106">
        <f t="shared" si="1007"/>
        <v>0</v>
      </c>
      <c r="AJ507" s="106">
        <f t="shared" si="1007"/>
        <v>0</v>
      </c>
      <c r="AK507" s="106">
        <f t="shared" si="1007"/>
        <v>0</v>
      </c>
      <c r="AL507" s="106">
        <f t="shared" si="1007"/>
        <v>0</v>
      </c>
      <c r="AM507" s="106">
        <f t="shared" si="1007"/>
        <v>0</v>
      </c>
      <c r="AN507" s="106">
        <f t="shared" si="1007"/>
        <v>0</v>
      </c>
      <c r="AO507" s="106">
        <f t="shared" si="1007"/>
        <v>0</v>
      </c>
      <c r="AP507" s="106">
        <f t="shared" si="1007"/>
        <v>0</v>
      </c>
      <c r="AQ507" s="106">
        <f t="shared" si="1007"/>
        <v>0</v>
      </c>
      <c r="AR507" s="107">
        <f t="shared" si="1007"/>
        <v>0</v>
      </c>
      <c r="AS507" s="105">
        <f>IF(AND($B505=" ",$K507=AS$3),$O507,0)</f>
        <v>0</v>
      </c>
      <c r="AT507" s="106">
        <f>IF(AND($B505=" ",K507=AT$3),$O507,0)</f>
        <v>0</v>
      </c>
      <c r="AU507" s="106">
        <f t="shared" ref="AU507:BE507" si="1013">IF(AND($B505=" ",$K507=AU$3),$O507,0)</f>
        <v>0</v>
      </c>
      <c r="AV507" s="106">
        <f t="shared" si="1013"/>
        <v>0</v>
      </c>
      <c r="AW507" s="106">
        <f t="shared" si="1013"/>
        <v>0</v>
      </c>
      <c r="AX507" s="106">
        <f t="shared" si="1013"/>
        <v>0</v>
      </c>
      <c r="AY507" s="108">
        <f t="shared" si="1013"/>
        <v>0</v>
      </c>
      <c r="AZ507" s="109">
        <f t="shared" si="1013"/>
        <v>0</v>
      </c>
      <c r="BA507" s="109">
        <f t="shared" si="1013"/>
        <v>0</v>
      </c>
      <c r="BB507" s="109">
        <f t="shared" si="1013"/>
        <v>0</v>
      </c>
      <c r="BC507" s="110">
        <f t="shared" si="1013"/>
        <v>0</v>
      </c>
      <c r="BD507" s="106">
        <f t="shared" si="1013"/>
        <v>0</v>
      </c>
      <c r="BE507" s="107">
        <f t="shared" si="1013"/>
        <v>0</v>
      </c>
      <c r="BF507" s="105">
        <f t="shared" si="1009"/>
        <v>0</v>
      </c>
      <c r="BG507" s="106">
        <f t="shared" si="1009"/>
        <v>0</v>
      </c>
      <c r="BH507" s="106">
        <f t="shared" si="1009"/>
        <v>0</v>
      </c>
      <c r="BI507" s="106">
        <f t="shared" si="1009"/>
        <v>0</v>
      </c>
      <c r="BJ507" s="106">
        <f t="shared" si="1009"/>
        <v>0</v>
      </c>
      <c r="BK507" s="106">
        <f t="shared" si="1009"/>
        <v>0</v>
      </c>
      <c r="BL507" s="106">
        <f t="shared" si="1009"/>
        <v>0</v>
      </c>
      <c r="BM507" s="108">
        <f t="shared" si="1009"/>
        <v>0</v>
      </c>
      <c r="BN507" s="109">
        <f t="shared" si="1009"/>
        <v>0</v>
      </c>
      <c r="BO507" s="109">
        <f t="shared" si="1009"/>
        <v>0</v>
      </c>
      <c r="BP507" s="109">
        <f t="shared" si="1009"/>
        <v>0</v>
      </c>
      <c r="BQ507" s="110">
        <f t="shared" si="1009"/>
        <v>0</v>
      </c>
      <c r="BR507" s="107">
        <f t="shared" si="1009"/>
        <v>0</v>
      </c>
      <c r="BS507" s="464"/>
      <c r="BT507" s="461"/>
      <c r="BU507" s="392"/>
      <c r="BV507" s="461"/>
      <c r="BW507" s="392"/>
      <c r="BX507" s="392"/>
      <c r="BY507" s="392"/>
      <c r="BZ507" s="461"/>
      <c r="CA507" s="392"/>
      <c r="CB507" s="392"/>
      <c r="CC507" s="392"/>
      <c r="CD507" s="401"/>
      <c r="CE507" s="409"/>
      <c r="CF507" s="133">
        <f t="shared" si="899"/>
        <v>0</v>
      </c>
      <c r="CG507" s="134">
        <f t="shared" si="900"/>
        <v>0</v>
      </c>
      <c r="CH507" s="134">
        <f t="shared" si="901"/>
        <v>0</v>
      </c>
      <c r="CI507" s="134">
        <f t="shared" si="902"/>
        <v>0</v>
      </c>
      <c r="CJ507" s="134">
        <f t="shared" si="903"/>
        <v>0</v>
      </c>
      <c r="CK507" s="134">
        <f t="shared" si="904"/>
        <v>0</v>
      </c>
      <c r="CL507" s="134">
        <f t="shared" si="905"/>
        <v>0</v>
      </c>
      <c r="CM507" s="134">
        <f t="shared" si="906"/>
        <v>0</v>
      </c>
      <c r="CN507" s="134">
        <f t="shared" si="907"/>
        <v>0</v>
      </c>
      <c r="CO507" s="134">
        <f t="shared" si="908"/>
        <v>0</v>
      </c>
      <c r="CP507" s="134">
        <f t="shared" si="909"/>
        <v>0</v>
      </c>
      <c r="CQ507" s="134">
        <f t="shared" si="910"/>
        <v>0</v>
      </c>
      <c r="CR507" s="134">
        <f t="shared" si="911"/>
        <v>0</v>
      </c>
      <c r="CS507" s="134">
        <f t="shared" si="912"/>
        <v>0</v>
      </c>
      <c r="CT507" s="115">
        <f t="shared" si="913"/>
        <v>0</v>
      </c>
      <c r="CU507" s="116">
        <f t="shared" si="914"/>
        <v>0</v>
      </c>
      <c r="CV507" s="116">
        <f t="shared" si="915"/>
        <v>0</v>
      </c>
      <c r="CW507" s="116">
        <f t="shared" si="916"/>
        <v>0</v>
      </c>
      <c r="CX507" s="116">
        <f t="shared" si="917"/>
        <v>0</v>
      </c>
      <c r="CY507" s="116">
        <f t="shared" si="918"/>
        <v>0</v>
      </c>
      <c r="CZ507" s="116">
        <f t="shared" si="919"/>
        <v>0</v>
      </c>
      <c r="DA507" s="116">
        <f t="shared" si="920"/>
        <v>0</v>
      </c>
      <c r="DB507" s="116">
        <f t="shared" si="921"/>
        <v>0</v>
      </c>
      <c r="DC507" s="116">
        <f t="shared" si="922"/>
        <v>0</v>
      </c>
      <c r="DD507" s="116">
        <f t="shared" si="923"/>
        <v>0</v>
      </c>
      <c r="DE507" s="117">
        <f t="shared" si="924"/>
        <v>0</v>
      </c>
      <c r="DF507" s="118">
        <f t="shared" si="926"/>
        <v>33</v>
      </c>
      <c r="DG507" s="106">
        <f t="shared" si="927"/>
        <v>43.031999999999989</v>
      </c>
      <c r="DH507" s="116">
        <f t="shared" si="928"/>
        <v>13</v>
      </c>
      <c r="DI507" s="106">
        <f t="shared" si="929"/>
        <v>56.05</v>
      </c>
      <c r="DJ507" s="201" t="str">
        <f>IF($D505="","",$D505)</f>
        <v>15</v>
      </c>
      <c r="DK507" s="466"/>
    </row>
    <row r="508" spans="1:115" ht="14.5" customHeight="1" x14ac:dyDescent="0.2">
      <c r="A508" s="487">
        <f>$A505+1</f>
        <v>169</v>
      </c>
      <c r="B508" s="506" t="str">
        <f>IF(OR(C508="W",C509="W",C510="W",C508="1/2W",C509="1/2W",C510="1/2W",C508="1/2L",C509="1/2L",C510="1/2L"),"OK",IF(OR(C508="L",C509="L",C510="L"),"LOSS",IF(OR(C508="X",C509="X",C510="X"),"Anulado"," ")))</f>
        <v>OK</v>
      </c>
      <c r="C508" s="147" t="s">
        <v>55</v>
      </c>
      <c r="D508" s="494" t="s">
        <v>202</v>
      </c>
      <c r="E508" s="511" t="str">
        <f>IF(G508=""," ","– "&amp;COUNTIF(D$4:D510,$D508))</f>
        <v>– 1</v>
      </c>
      <c r="F508" s="510" t="str">
        <f ca="1">IF(G508="","",IF(OR(AND($C508&lt;&gt;" ",$C509=" "),AND($C509&lt;&gt;" ",$C508=" "),AND(L510&gt;0,OR(AND($C510&lt;&gt;" ",OR($C508=" ",$C509=" ")),AND($C510=" ",OR($C508&lt;&gt;" ",$C509&lt;&gt;" "))))),IF(SUM(F$4:F507)=0,1,LARGE(F$4:F507,1)+1),IF(MONTH(G508)=MONTH(TODAY()),IF(AND(DAY(G508)&lt;DAY(TODAY()),$B508=" "),IF(SUM(F$4:F507)=0,1,LARGE(F$4:F507,1)+1),IF($B508=" ",IF(AND(DAY(G508)=DAY(TODAY()),HOUR(G508)&lt;=HOUR(NOW())+1),IF(AND(HOUR(G508)+2&lt;=HOUR(NOW()),DAY(G508)&lt;=DAY(TODAY()),MINUTE(G508)&lt;=MINUTE(NOW())),IF(SUM(F$4:F507)=0,1,LARGE(F$4:F507,1)+1),IF(OR(MINUTE(G508)&lt;=MINUTE(NOW()),HOUR(G508)&lt;=HOUR(NOW())),"!!!","")),""),"")),"")))</f>
        <v/>
      </c>
      <c r="G508" s="508">
        <v>45001.614583333336</v>
      </c>
      <c r="H508" s="502" t="s">
        <v>203</v>
      </c>
      <c r="I508" s="180" t="s">
        <v>66</v>
      </c>
      <c r="J508" s="181">
        <v>-1</v>
      </c>
      <c r="K508" s="150" t="s">
        <v>40</v>
      </c>
      <c r="L508" s="151">
        <v>1.93</v>
      </c>
      <c r="M508" s="152"/>
      <c r="N508" s="503">
        <v>0.1</v>
      </c>
      <c r="O508" s="153">
        <f>IF(OR(AE508="",AE509=""),"",ROUND(IF(L510&gt;0,IF(M508&gt;0,M508,IF(M509&gt;0,ROUND((M509*AE508)/AE509,IF(N508=0,2,IF(N508=0.1,1,0))),ROUND((M510*AE508)/AE510,IF(N508=0,2,IF(N508=0.1,1,0))))),IF(M508&gt;0,M508,ROUND((M509*AE508)/AE509,IF(N508=0,2,IF(N508=0.1,1,0))))),2))</f>
        <v>11.5</v>
      </c>
      <c r="P508" s="154">
        <f>IF(OR(L508="",O508=""),"",IF($C508="1/2W",O508/2+O508/2*L508,IF($C508="1/2L",O508/2,IF(I508="Lay",(O508*(L508/(L508-1))-O508)*(1-_xlfn.XLOOKUP(K508,'Fevereiro 2023 - Valor Real'!A3:A15,'Fevereiro 2023 - Valor Real'!C3:C15,0))+O508,(O508*L508-O508)*(1-_xlfn.XLOOKUP(K508,'Fevereiro 2023 - Valor Real'!A3:A15,'Fevereiro 2023 - Valor Real'!C3:C15,0))+O508))))</f>
        <v>22.195</v>
      </c>
      <c r="Q508" s="155">
        <f>IF(K508="","",IF(_xlfn.XLOOKUP(K508,K$9:K500,$DJ$9:DJ500,0,,-1)=DJ508,_xlfn.XLOOKUP(K508,K$9:K500,Q$9:Q500,1,,-1)+1,1))</f>
        <v>1</v>
      </c>
      <c r="R508" s="156">
        <f>IF(K508="","",_xlfn.XLOOKUP(K508,K$9:K500,R$9:R500,0,,-1)+IF($C508=" ",1,0))</f>
        <v>0</v>
      </c>
      <c r="S508" s="501">
        <f>IF($B508="Anulado",0,ROUND(IF(OR($B508="LOSS",$B508="OK"),IF(OR($C508="W",$C508="1/2W",$C508="1/2L"),P508-O508,IF($C508="L",-O508,0))+IF(OR($C509="W",$C509="1/2W",$C509="1/2L"),P509-O509,IF($C509="L",-O509,0))+IF(OR($C510="W",$C510="1/2W",$C510="1/2L"),P510-O510,IF($C510="L",-O510,0)),IF(AND(OR($C508="W",$C508="1/2W",$C508="1/2L"),C509="W"),P508+P509-SUM(O508:O510)+_xlfn.XLOOKUP("X",C508:C510,O508:O510,0),IF(AND(C508=TRUE,C510="W"),P508+P510-SUM(O508:O510),IF(AND(C509="W",C510="W"),P509+P510-SUM(O508:O510)+_xlfn.XLOOKUP("X",C508:C510,O508:O510,0),IF(L510&gt;0,IF(OR($C508="W",$C508="1/2W",$C508="1/2L"),P508-SUM(O508:O510)+_xlfn.XLOOKUP("X",C508:C510,O508:O510,0),IF(OR($C508="W",$C508="1/2W",$C508="1/2L"),P509-SUM(O508:O510)+_xlfn.XLOOKUP("X",C508:C510,O508:O510,0),IF(OR($C508="W",$C508="1/2W",$C508="1/2L"),P510-SUM(O508:O510)+_xlfn.XLOOKUP("X",C508:C510,O508:O510,0),IF(SUM(P508:P510)/3-SUM(O508:O510)+_xlfn.XLOOKUP("X",C508:C510,O508:O510,0)&gt;0,SUM(P508:P510)/3-SUM(O508:O510)+_xlfn.XLOOKUP("X",C508:C510,O508:O510,0),LARGE(P508:P510,1)-SUM(O508:O510))))),IF(OR($C508="W",$C508="1/2W",$C508="1/2L"),P508-SUM(O508:O509)+_xlfn.XLOOKUP("X",C508:C510,O508:O510,0),IF(OR($C508="W",$C508="1/2W",$C508="1/2L"),P509-SUM(O508:O509)+_xlfn.XLOOKUP("X",C508:C510,O508:O510,0),SUM(P508:P509)/2-SUM(O508:O509)+_xlfn.XLOOKUP("X",C508:C510,O508:O510,0)))))))),2))</f>
        <v>1.58</v>
      </c>
      <c r="T508" s="486">
        <f>IF(S508=0,0,S508/SUM(O508:O510))</f>
        <v>7.6773566569484947E-2</v>
      </c>
      <c r="U508" s="496">
        <f>IF($D508=$D505,IF(OR($B508="LOSS",$B508="OK",$B508="Anulada"),S508,0)+U505,IF(OR($B508="LOSS",$B508="OK",$B508="Anulada"),S508,0))</f>
        <v>1.58</v>
      </c>
      <c r="V508" s="496">
        <f>IF($D508="",0,IF($D508=$D505,IF($B508=" ",IF(I510="",IF(OR(AND(I508="DNB1",I509="DNB2"),AND(OR(I508="DNB1",I508="DNB2"),J509=0),AND(OR(I509="DNB1",I509="DNB2"),J508=0),AND(I508="DNB2",I509="DNB1"),AND(IF(J508=0,(J508+1)/ROUND(J508+1,0),J508/ROUND(J508,0))=1,IF(J509=0,(J509+1)/ROUND(IF(J509="",0,J509)+1,0),IF(J509="",0,J509)/ROUND(IF(J509="",1,J509),0))=1,OR(J508&lt;&gt;""),J509&lt;&gt;"")),0,IF(S508&lt;0,IF(I510="",SMALL(P508:P509,1)-SUM(O508:O509),0),SMALL(P508:P509,1)-SUM(O508:O509))),IF(S508&lt;0,IF(I510="",SMALL(P508:P510,1)-SUM(O508:O510),0),LARGE(P508:P510,1)-SUM(O508:O510))),S508)+V505,IF(I510="",IF(OR(AND(I508="DNB1",I509="DNB2"),AND(OR(I508="DNB1",I508="DNB2"),J509=0),AND(OR(I509="DNB1",I509="DNB2"),J508=0),AND(I508="DNB2",I509="DNB1"),AND(IF(J508=0,(J508+1)/ROUND(J508+1,0),J508/ROUND(J508,0))=1,IF(J509=0,(IF(J509="",0,J509)+1)/ROUND(IF(J509="",0,J509)+1,0),IF(J509="",0,J509)/ROUND(IF(J509="",0,J509)+1,0))=1,OR(J508&lt;&gt;""),J509&lt;&gt;"")),0,IF(S508&lt;0,IF(I510="",SMALL(P508:P509,1)-SUM(O508:O509),0),SMALL(P508:P510,1)-SUM(O508:O510))),IF(S508&lt;0,IF(I510="",SMALL(P508:P510,1)-SUM(O508:O510),0),LARGE(P508:P510,1)-SUM(O508:O510)))))</f>
        <v>1.5752000000000024</v>
      </c>
      <c r="W508" s="496">
        <f>IF($D508=$D505,IF(S508&lt;0,IF(I510="",S508,0),S508)+W505,S508)</f>
        <v>1.58</v>
      </c>
      <c r="X508" s="505" t="str">
        <f>IF(OR(SUM(R508:R510)=0,V508=W508),ROUND(IF(W508=0,0,W508/Y508)*100,2)&amp;"%",ROUND(IF(V508=0,0,V508/Y508)*100,2)&amp;"% a "&amp;ROUND(IF(W508=0,0,W508/Y508)*100,2)&amp;"%")</f>
        <v>7,68%</v>
      </c>
      <c r="Y508" s="497">
        <f>IF($D508=$D505,Y505+SUM(O508:O510),SUM(O508:O510))</f>
        <v>20.58</v>
      </c>
      <c r="Z508" s="496">
        <f>IF($B508=" ",SUM(O508:O510),0)+Z505</f>
        <v>0</v>
      </c>
      <c r="AA508" s="496">
        <f>IF(G508="","",IF($B508="Anulado",LARGE(P508:P510,1)-SUM(O508:O510)+AA505,AA505))</f>
        <v>12.425099999999992</v>
      </c>
      <c r="AB508" s="496">
        <f>IF($D508="","",AB505+S508)</f>
        <v>599.6800000000004</v>
      </c>
      <c r="AC508" s="499">
        <f ca="1">IF($D508="","",IF($B508=" ",IF(DAY(G508)=DAY(TODAY()),1+AC505,0+AC505),0+AC505))</f>
        <v>0</v>
      </c>
      <c r="AD508" s="157">
        <f>(1-_xlfn.XLOOKUP(K506,'Fevereiro 2023 - Valor Real'!A3:A15,'Fevereiro 2023 - Valor Real'!C3:C15,0))+1</f>
        <v>2</v>
      </c>
      <c r="AE508" s="158">
        <f>IF(L508="","",IF(L510&gt;0,(SUM(((L508-1)*(1-_xlfn.XLOOKUP(K508,'Fevereiro 2023 - Valor Real'!A3:A15,'Fevereiro 2023 - Valor Real'!C3:C15,0))+1),((L509-1)*(1-_xlfn.XLOOKUP(K509,'Fevereiro 2023 - Valor Real'!A3:A15,'Fevereiro 2023 - Valor Real'!C3:C15,0))+1),((L510-1)*(1-_xlfn.XLOOKUP(K510,'Fevereiro 2023 - Valor Real'!A3:A15,'Fevereiro 2023 - Valor Real'!C3:C15,0))+1))/((L508-1)*(1-_xlfn.XLOOKUP(K508,'Fevereiro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Real'!C3:C15,0))+1))/((L508-1)*(1-_xlfn.XLOOKUP(K508,'Fevereiro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Real'!C3:C15,0))+1))/((L509-1)*(1-_xlfn.XLOOKUP(K509,'Fevereiro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Real'!C3:C15,0))+1))/((L510-1)*(1-_xlfn.XLOOKUP(K510,'Fevereiro 2023 - Valor Real'!A3:A15,'Fevereiro 2023 - Valor Real'!C3:C15,0))+1)),IF(I508="Lay",IF(I509="Lay",((L509/(L509-1)-1)*(1-_xlfn.XLOOKUP(K509,'Fevereiro 2023 - Valor Real'!A3:A15,'Fevereiro 2023 - Valor Real'!C3:C15,0))+1)/(((L509/(L509-1)-1)*(1-_xlfn.XLOOKUP(K509,'Fevereiro 2023 - Valor Real'!A3:A15,'Fevereiro 2023 - Valor Real'!C3:C15,0))+1)+((L508/(L508-1)-1)*(1-_xlfn.XLOOKUP(K508,'Fevereiro 2023 - Valor Real'!A3:A15,'Fevereiro 2023 - Valor Real'!C3:C15,0))+1)),((L509-1)*(1-_xlfn.XLOOKUP(K509,'Fevereiro 2023 - Valor Real'!A3:A15,'Fevereiro 2023 - Valor Real'!C3:C15,0))+1)/(((L509-1)*(1-_xlfn.XLOOKUP(K509,'Fevereiro 2023 - Valor Real'!A3:A15,'Fevereiro 2023 - Valor Real'!C3:C15,0))+1)+((L508/(L508-1)-1)*(1-_xlfn.XLOOKUP(K508,'Fevereiro 2023 - Valor Real'!A3:A15,'Fevereiro 2023 - Valor Real'!C3:C15,0))+1))),IF(I509="Lay",(((L509/(L509-1)-1)*(1-_xlfn.XLOOKUP(K509,'Fevereiro 2023 - Valor Real'!A3:A15,'Fevereiro 2023 - Valor Real'!C3:C15,0))+1))/(((L508-1)*(1-_xlfn.XLOOKUP(K508,'Fevereiro 2023 - Valor Real'!A3:A15,'Fevereiro 2023 - Valor Real'!C3:C15,0))+1)+((L509/(L509-1)-1)*(1-_xlfn.XLOOKUP(K509,'Fevereiro 2023 - Valor Real'!A3:A15,'Fevereiro 2023 - Valor Real'!C3:C15,0))+1)),((L509-1)*(1-_xlfn.XLOOKUP(K509,'Fevereiro 2023 - Valor Real'!A3:A15,'Fevereiro 2023 - Valor Real'!C3:C15,0))+1)/(((L509-1)*(1-_xlfn.XLOOKUP(K509,'Fevereiro 2023 - Valor Real'!A3:A15,'Fevereiro 2023 - Valor Real'!C3:C15,0))+1)+((L508-1)*(1-_xlfn.XLOOKUP(K508,'Fevereiro 2023 - Valor Real'!A3:A15,'Fevereiro 2023 - Valor Real'!C3:C15,0))+1))))))</f>
        <v>0.5583524027459954</v>
      </c>
      <c r="AF508" s="66">
        <f t="shared" si="1007"/>
        <v>0</v>
      </c>
      <c r="AG508" s="67">
        <f t="shared" si="1007"/>
        <v>0</v>
      </c>
      <c r="AH508" s="67">
        <f t="shared" si="1007"/>
        <v>0</v>
      </c>
      <c r="AI508" s="67">
        <f t="shared" si="1007"/>
        <v>0</v>
      </c>
      <c r="AJ508" s="67">
        <f t="shared" si="1007"/>
        <v>-11.5</v>
      </c>
      <c r="AK508" s="67">
        <f t="shared" si="1007"/>
        <v>0</v>
      </c>
      <c r="AL508" s="67">
        <f t="shared" si="1007"/>
        <v>0</v>
      </c>
      <c r="AM508" s="67">
        <f t="shared" si="1007"/>
        <v>0</v>
      </c>
      <c r="AN508" s="67">
        <f t="shared" si="1007"/>
        <v>0</v>
      </c>
      <c r="AO508" s="67">
        <f t="shared" si="1007"/>
        <v>0</v>
      </c>
      <c r="AP508" s="67">
        <f t="shared" si="1007"/>
        <v>0</v>
      </c>
      <c r="AQ508" s="67">
        <f t="shared" si="1007"/>
        <v>0</v>
      </c>
      <c r="AR508" s="68">
        <f t="shared" si="1007"/>
        <v>0</v>
      </c>
      <c r="AS508" s="66">
        <f t="shared" ref="AS508:BE508" si="1014">IF(AND($B508=" ",$K508=AS$3),$O508,0)</f>
        <v>0</v>
      </c>
      <c r="AT508" s="67">
        <f t="shared" si="1014"/>
        <v>0</v>
      </c>
      <c r="AU508" s="67">
        <f t="shared" si="1014"/>
        <v>0</v>
      </c>
      <c r="AV508" s="67">
        <f t="shared" si="1014"/>
        <v>0</v>
      </c>
      <c r="AW508" s="67">
        <f t="shared" si="1014"/>
        <v>0</v>
      </c>
      <c r="AX508" s="67">
        <f t="shared" si="1014"/>
        <v>0</v>
      </c>
      <c r="AY508" s="69">
        <f t="shared" si="1014"/>
        <v>0</v>
      </c>
      <c r="AZ508" s="70">
        <f t="shared" si="1014"/>
        <v>0</v>
      </c>
      <c r="BA508" s="70">
        <f t="shared" si="1014"/>
        <v>0</v>
      </c>
      <c r="BB508" s="70">
        <f t="shared" si="1014"/>
        <v>0</v>
      </c>
      <c r="BC508" s="71">
        <f t="shared" si="1014"/>
        <v>0</v>
      </c>
      <c r="BD508" s="67">
        <f t="shared" si="1014"/>
        <v>0</v>
      </c>
      <c r="BE508" s="68">
        <f t="shared" si="1014"/>
        <v>0</v>
      </c>
      <c r="BF508" s="66">
        <f t="shared" si="1009"/>
        <v>0</v>
      </c>
      <c r="BG508" s="67">
        <f t="shared" si="1009"/>
        <v>0</v>
      </c>
      <c r="BH508" s="67">
        <f t="shared" si="1009"/>
        <v>0</v>
      </c>
      <c r="BI508" s="67">
        <f t="shared" si="1009"/>
        <v>0</v>
      </c>
      <c r="BJ508" s="67">
        <f t="shared" si="1009"/>
        <v>11.5</v>
      </c>
      <c r="BK508" s="67">
        <f t="shared" si="1009"/>
        <v>0</v>
      </c>
      <c r="BL508" s="67">
        <f t="shared" si="1009"/>
        <v>0</v>
      </c>
      <c r="BM508" s="69">
        <f t="shared" si="1009"/>
        <v>0</v>
      </c>
      <c r="BN508" s="70">
        <f t="shared" si="1009"/>
        <v>0</v>
      </c>
      <c r="BO508" s="70">
        <f t="shared" si="1009"/>
        <v>0</v>
      </c>
      <c r="BP508" s="70">
        <f t="shared" si="1009"/>
        <v>0</v>
      </c>
      <c r="BQ508" s="71">
        <f t="shared" si="1009"/>
        <v>0</v>
      </c>
      <c r="BR508" s="68">
        <f t="shared" si="1009"/>
        <v>0</v>
      </c>
      <c r="BS508" s="490">
        <f>IF($B508="LOSS",IF(AND($K508=BS$3,$C508="L"),-$O508,0)+IF(AND($K509=BS$3,$C509="L"),-$O509,0)+IF(AND($K510=BS$3,$C510="L"),-$O510,0),IF(OR(AND($K508=BS$3,OR($C508="W",$C508="1/2W")),AND($K509=BS$3,OR($C509="W",$C509="1/2W")),AND($K510=BS$3,OR($C510="W",$C510="1/2W"))),$S508,0))</f>
        <v>0</v>
      </c>
      <c r="BT508" s="498">
        <f>IF($B508="LOSS",IF(AND($K508=BT$3,$C508="L"),-$O508,0)+IF(AND($K509=BT$3,$C509="L"),-$O509,0)+IF(AND($K509=BT$3,$C510="L"),-$O510,0),IF(OR(AND($K509=BT$3,OR($C508="W",$C508="1/2W")),AND($K509=BT$3,OR($C509="W",$C509="1/2W")),AND($K509=BT$3,OR($C510="W",$C510="1/2W"))),$S508,0))</f>
        <v>0</v>
      </c>
      <c r="BU508" s="488">
        <f>IF($B508="LOSS",IF(AND($K508=BU$3,$C508="L"),-$O508,0)+IF(AND($K509=BU$3,$C509="L"),-$O509,0)+IF(AND($K509=BU$3,$C510="L"),-$O510,0),IF(OR(AND($K509=BU$3,OR($C508="W",$C508="1/2W")),AND($K509=BU$3,OR($C509="W",$C509="1/2W")),AND($K509=BU$3,OR($C510="W",$C510="1/2W"))),$S508,0))</f>
        <v>0</v>
      </c>
      <c r="BV508" s="488">
        <f t="shared" ref="BV508:CE508" si="1015">IF($B508="LOSS",IF(AND($K508=BV$3,$C508="L"),-$O508,0)+IF(AND($K509=BV$3,$C509="L"),-$O509,0)+IF(AND($K510=BV$3,$C510="L"),-$O510,0),IF(OR(AND($K508=BV$3,OR($C508="W",$C508="1/2W")),AND($K509=BV$3,OR($C509="W",$C509="1/2W")),AND($K510=BV$3,OR($C510="W",$C510="1/2W"))),$S508,0))</f>
        <v>0</v>
      </c>
      <c r="BW508" s="488">
        <f t="shared" si="1015"/>
        <v>0</v>
      </c>
      <c r="BX508" s="488">
        <f t="shared" si="1015"/>
        <v>0</v>
      </c>
      <c r="BY508" s="488">
        <f t="shared" si="1015"/>
        <v>0</v>
      </c>
      <c r="BZ508" s="488">
        <f t="shared" si="1015"/>
        <v>0</v>
      </c>
      <c r="CA508" s="488">
        <f t="shared" si="1015"/>
        <v>0</v>
      </c>
      <c r="CB508" s="488">
        <f t="shared" si="1015"/>
        <v>0</v>
      </c>
      <c r="CC508" s="488">
        <f t="shared" si="1015"/>
        <v>0</v>
      </c>
      <c r="CD508" s="500">
        <f t="shared" si="1015"/>
        <v>1.58</v>
      </c>
      <c r="CE508" s="504">
        <f t="shared" si="1015"/>
        <v>0</v>
      </c>
      <c r="CF508" s="160">
        <f t="shared" si="899"/>
        <v>0</v>
      </c>
      <c r="CG508" s="161">
        <f t="shared" si="900"/>
        <v>0</v>
      </c>
      <c r="CH508" s="161">
        <f t="shared" si="901"/>
        <v>0</v>
      </c>
      <c r="CI508" s="161">
        <f t="shared" si="902"/>
        <v>0</v>
      </c>
      <c r="CJ508" s="161">
        <f t="shared" si="903"/>
        <v>0</v>
      </c>
      <c r="CK508" s="161">
        <f t="shared" si="904"/>
        <v>0</v>
      </c>
      <c r="CL508" s="161">
        <f t="shared" si="905"/>
        <v>0</v>
      </c>
      <c r="CM508" s="161">
        <f t="shared" si="906"/>
        <v>0</v>
      </c>
      <c r="CN508" s="161">
        <f t="shared" si="907"/>
        <v>0</v>
      </c>
      <c r="CO508" s="161">
        <f t="shared" si="908"/>
        <v>1</v>
      </c>
      <c r="CP508" s="161">
        <f t="shared" si="909"/>
        <v>0</v>
      </c>
      <c r="CQ508" s="161">
        <f t="shared" si="910"/>
        <v>0</v>
      </c>
      <c r="CR508" s="161">
        <f t="shared" si="911"/>
        <v>0</v>
      </c>
      <c r="CS508" s="161">
        <f t="shared" si="912"/>
        <v>0</v>
      </c>
      <c r="CT508" s="75">
        <f t="shared" si="913"/>
        <v>0</v>
      </c>
      <c r="CU508" s="76">
        <f t="shared" si="914"/>
        <v>0</v>
      </c>
      <c r="CV508" s="76">
        <f t="shared" si="915"/>
        <v>0</v>
      </c>
      <c r="CW508" s="76">
        <f t="shared" si="916"/>
        <v>0</v>
      </c>
      <c r="CX508" s="76">
        <f t="shared" si="917"/>
        <v>0</v>
      </c>
      <c r="CY508" s="76">
        <f t="shared" si="918"/>
        <v>0</v>
      </c>
      <c r="CZ508" s="76">
        <f t="shared" si="919"/>
        <v>0</v>
      </c>
      <c r="DA508" s="76">
        <f t="shared" si="920"/>
        <v>0</v>
      </c>
      <c r="DB508" s="76">
        <f t="shared" si="921"/>
        <v>0</v>
      </c>
      <c r="DC508" s="76">
        <f t="shared" si="922"/>
        <v>0</v>
      </c>
      <c r="DD508" s="76">
        <f t="shared" si="923"/>
        <v>0</v>
      </c>
      <c r="DE508" s="77">
        <f t="shared" si="924"/>
        <v>0</v>
      </c>
      <c r="DF508" s="73">
        <f t="shared" si="926"/>
        <v>33</v>
      </c>
      <c r="DG508" s="67">
        <f t="shared" si="927"/>
        <v>43.031999999999989</v>
      </c>
      <c r="DH508" s="76">
        <f t="shared" si="928"/>
        <v>13</v>
      </c>
      <c r="DI508" s="67">
        <f t="shared" si="929"/>
        <v>56.05</v>
      </c>
      <c r="DJ508" s="202" t="str">
        <f>IF($D508="","",$D508)</f>
        <v>16</v>
      </c>
      <c r="DK508" s="492">
        <f>IF(AND($B508=" ",$D508&lt;&gt;""),1,0)</f>
        <v>0</v>
      </c>
    </row>
    <row r="509" spans="1:115" ht="14.5" customHeight="1" x14ac:dyDescent="0.2">
      <c r="A509" s="389"/>
      <c r="B509" s="456"/>
      <c r="C509" s="53" t="s">
        <v>54</v>
      </c>
      <c r="D509" s="374"/>
      <c r="E509" s="386"/>
      <c r="F509" s="377"/>
      <c r="G509" s="508"/>
      <c r="H509" s="476"/>
      <c r="I509" s="182" t="s">
        <v>76</v>
      </c>
      <c r="J509" s="56">
        <f>IF(OR(I508="TO",I508="TU",I508="TO1",I508="TU1",I508="TO2",I508="TU2"),J508,IF(OR(I508="AH1",I508="AH2"),IF(OR(I509="AH1",I509="AH2"),-J508,IF(OR(I509="EH1",I509="EH2"),-J508+0.5,"")),IF(OR(I508="EH1",I508="EH2"),IF(OR(I509="AH1",I509="AH2"),-J508+0.5,IF(OR(I509="EH1",I509="EH2"),-J508+1,"")),IF(AND(OR(I508="DNB1",I508="DNB2"),OR(I509="AH1",I509="AH2")),0,IF(AND(I508="Not ScoreBoth",OR(I509="TO1",I509="TO2")),0.5,"")))))</f>
        <v>1</v>
      </c>
      <c r="K509" s="57" t="s">
        <v>47</v>
      </c>
      <c r="L509" s="164">
        <v>2.44</v>
      </c>
      <c r="M509" s="165">
        <v>9.08</v>
      </c>
      <c r="N509" s="406"/>
      <c r="O509" s="60">
        <f>IF(OR(AE508="",AE509=""),"",ROUND(IF(L510&gt;0,IF(M509&gt;0,M509,IF(M508&gt;0,IF(N508=TRUE,ROUND((M508*AE509)/AE508,0),(M508*AE509)/AE508),IF(M509&gt;0,ROUND(M509,IF(N508=0,2,IF(N508=0.1,1,0))),IF(M510&gt;0,ROUND(O510*AE509/AE510,IF(N508=0,2,IF(N508=0.1,1,0))),0)))),IF(M509&gt;0,M509,ROUND((M508*AE509)/AE508,IF(N508=0,2,IF(N508=0.1,1,0))))),2))</f>
        <v>9.08</v>
      </c>
      <c r="P509" s="61">
        <f>IF(OR(L509="",O509=""),"",IF($C509="1/2W",O509/2+O509/2*L509,IF($C509="1/2L",O509/2,IF(I509="Lay",((O509*(L509/(L509-1)))-O509)*(1-_xlfn.XLOOKUP(K509,'Fevereiro 2023 - Valor Real'!A3:A15,'Fevereiro 2023 - Valor Real'!C3:C15,0))+O509,(O509*L509-O509)*(1-_xlfn.XLOOKUP(K509,'Fevereiro 2023 - Valor Real'!A3:A15,'Fevereiro 2023 - Valor Real'!C3:C15,0))+O509))))</f>
        <v>22.155200000000001</v>
      </c>
      <c r="Q509" s="166">
        <f>IF(K509="","",IF(_xlfn.XLOOKUP(K509,K$10:K500,$DJ$10:DJ500,0,,-1)=DJ509,_xlfn.XLOOKUP(K509,K$10:K500,Q$10:Q500,1,,-1)+1,1))</f>
        <v>1</v>
      </c>
      <c r="R509" s="167">
        <f>IF(K509="","",_xlfn.XLOOKUP(K509,K$10:K500,R$10:R500,0,,-1)+IF($C509=" ",1,0))</f>
        <v>0</v>
      </c>
      <c r="S509" s="403"/>
      <c r="T509" s="380"/>
      <c r="U509" s="380"/>
      <c r="V509" s="481"/>
      <c r="W509" s="380"/>
      <c r="X509" s="452"/>
      <c r="Y509" s="383"/>
      <c r="Z509" s="384"/>
      <c r="AA509" s="384"/>
      <c r="AB509" s="384"/>
      <c r="AC509" s="384"/>
      <c r="AD509" s="64"/>
      <c r="AE509" s="65">
        <f>IF(L509="","",IF(L510&gt;0,(SUM(((L508-1)*(1-_xlfn.XLOOKUP(K508,'Fevereiro 2023 - Valor Real'!A3:A15,'Fevereiro 2023 - Valor Real'!C3:C15,0))+1),((L509-1)*(1-_xlfn.XLOOKUP(K509,'Fevereiro 2023 - Valor Real'!A3:A15,'Fevereiro 2023 - Valor Real'!C3:C15,0))+1),((L510-1)*(1-_xlfn.XLOOKUP(K510,'Fevereiro 2023 - Valor Real'!A3:A15,'Fevereiro 2023 - Valor Real'!C3:C15,0))+1))/((L509-1)*(1-_xlfn.XLOOKUP(K509,'Fevereiro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Real'!C3:C15,0))+1))/((L508-1)*(1-_xlfn.XLOOKUP(K508,'Fevereiro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Real'!C3:C15,0))+1))/((L509-1)*(1-_xlfn.XLOOKUP(K509,'Fevereiro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Real'!C3:C15,0))+1))/((L510-1)*(1-_xlfn.XLOOKUP(K510,'Fevereiro 2023 - Valor Real'!A3:A15,'Fevereiro 2023 - Valor Real'!C3:C15,0))+1)),IF(I509="Lay",IF(I508="Lay",((L508/(L508-1)-1)*(1-_xlfn.XLOOKUP(K508,'Fevereiro 2023 - Valor Real'!A3:A15,'Fevereiro 2023 - Valor Real'!C3:C15,0))+1)/(((L508/(L508-1)-1)*(1-_xlfn.XLOOKUP(K508,'Fevereiro 2023 - Valor Real'!A3:A15,'Fevereiro 2023 - Valor Real'!C3:C15,0))+1)+((L509/(L509-1)-1)*(1-_xlfn.XLOOKUP(K509,'Fevereiro 2023 - Valor Real'!A3:A15,'Fevereiro 2023 - Valor Real'!C3:C15,0))+1)),((L508-1)*(1-_xlfn.XLOOKUP(K508,'Fevereiro 2023 - Valor Real'!A3:A15,'Fevereiro 2023 - Valor Real'!C3:C15,0))+1)/(((L508-1)*(1-_xlfn.XLOOKUP(K508,'Fevereiro 2023 - Valor Real'!A3:A15,'Fevereiro 2023 - Valor Real'!C3:C15,0))+1)+((L509/(L509-1)-1)*(1-_xlfn.XLOOKUP(K509,'Fevereiro 2023 - Valor Real'!A3:A15,'Fevereiro 2023 - Valor Real'!C3:C15,0))+1))),IF(I508="Lay",((L508/(L508-1)-1)*(1-_xlfn.XLOOKUP(K508,'Fevereiro 2023 - Valor Real'!A3:A15,'Fevereiro 2023 - Valor Real'!C3:C15,0))+1)/((((L508/(L508-1)-1)*(1-_xlfn.XLOOKUP(K508,'Fevereiro 2023 - Valor Real'!A3:A15,'Fevereiro 2023 - Valor Real'!C3:C15,0))+1))+((L509-1)*(1-_xlfn.XLOOKUP(K509,'Fevereiro 2023 - Valor Real'!A3:A15,'Fevereiro 2023 - Valor Real'!C3:C15,0))+1)),((L508-1)*(1-_xlfn.XLOOKUP(K508,'Fevereiro 2023 - Valor Real'!A3:A15,'Fevereiro 2023 - Valor Real'!C3:C15,0))+1)/(((L508-1)*(1-_xlfn.XLOOKUP(K508,'Fevereiro 2023 - Valor Real'!A3:A15,'Fevereiro 2023 - Valor Real'!C3:C15,0))+1)+((L509-1)*(1-_xlfn.XLOOKUP(K509,'Fevereiro 2023 - Valor Real'!A3:A15,'Fevereiro 2023 - Valor Real'!C3:C15,0))+1))))))</f>
        <v>0.44164759725400454</v>
      </c>
      <c r="AF509" s="66">
        <f t="shared" si="1007"/>
        <v>0</v>
      </c>
      <c r="AG509" s="67">
        <f t="shared" si="1007"/>
        <v>0</v>
      </c>
      <c r="AH509" s="67">
        <f t="shared" si="1007"/>
        <v>0</v>
      </c>
      <c r="AI509" s="67">
        <f t="shared" si="1007"/>
        <v>0</v>
      </c>
      <c r="AJ509" s="67">
        <f t="shared" si="1007"/>
        <v>0</v>
      </c>
      <c r="AK509" s="67">
        <f t="shared" si="1007"/>
        <v>0</v>
      </c>
      <c r="AL509" s="67">
        <f t="shared" si="1007"/>
        <v>0</v>
      </c>
      <c r="AM509" s="67">
        <f t="shared" si="1007"/>
        <v>0</v>
      </c>
      <c r="AN509" s="67">
        <f t="shared" si="1007"/>
        <v>0</v>
      </c>
      <c r="AO509" s="67">
        <f t="shared" si="1007"/>
        <v>0</v>
      </c>
      <c r="AP509" s="67">
        <f t="shared" si="1007"/>
        <v>0</v>
      </c>
      <c r="AQ509" s="67">
        <f t="shared" si="1007"/>
        <v>13.08</v>
      </c>
      <c r="AR509" s="68">
        <f t="shared" si="1007"/>
        <v>0</v>
      </c>
      <c r="AS509" s="66">
        <f>IF(AND($B508=" ",$K509=AS$3),$O509,0)</f>
        <v>0</v>
      </c>
      <c r="AT509" s="67">
        <f>IF(AND($B508=" ",K509=AT$3),$O509,0)</f>
        <v>0</v>
      </c>
      <c r="AU509" s="67">
        <f t="shared" ref="AU509:BE509" si="1016">IF(AND($B508=" ",$K509=AU$3),$O509,0)</f>
        <v>0</v>
      </c>
      <c r="AV509" s="67">
        <f t="shared" si="1016"/>
        <v>0</v>
      </c>
      <c r="AW509" s="67">
        <f t="shared" si="1016"/>
        <v>0</v>
      </c>
      <c r="AX509" s="67">
        <f t="shared" si="1016"/>
        <v>0</v>
      </c>
      <c r="AY509" s="69">
        <f t="shared" si="1016"/>
        <v>0</v>
      </c>
      <c r="AZ509" s="70">
        <f t="shared" si="1016"/>
        <v>0</v>
      </c>
      <c r="BA509" s="70">
        <f t="shared" si="1016"/>
        <v>0</v>
      </c>
      <c r="BB509" s="70">
        <f t="shared" si="1016"/>
        <v>0</v>
      </c>
      <c r="BC509" s="71">
        <f t="shared" si="1016"/>
        <v>0</v>
      </c>
      <c r="BD509" s="67">
        <f t="shared" si="1016"/>
        <v>0</v>
      </c>
      <c r="BE509" s="68">
        <f t="shared" si="1016"/>
        <v>0</v>
      </c>
      <c r="BF509" s="66">
        <f t="shared" si="1009"/>
        <v>0</v>
      </c>
      <c r="BG509" s="168">
        <f t="shared" si="1009"/>
        <v>0</v>
      </c>
      <c r="BH509" s="67">
        <f t="shared" si="1009"/>
        <v>0</v>
      </c>
      <c r="BI509" s="67">
        <f t="shared" si="1009"/>
        <v>0</v>
      </c>
      <c r="BJ509" s="67">
        <f t="shared" si="1009"/>
        <v>0</v>
      </c>
      <c r="BK509" s="67">
        <f t="shared" si="1009"/>
        <v>0</v>
      </c>
      <c r="BL509" s="67">
        <f t="shared" si="1009"/>
        <v>0</v>
      </c>
      <c r="BM509" s="69">
        <f t="shared" si="1009"/>
        <v>0</v>
      </c>
      <c r="BN509" s="70">
        <f t="shared" si="1009"/>
        <v>0</v>
      </c>
      <c r="BO509" s="70">
        <f t="shared" si="1009"/>
        <v>0</v>
      </c>
      <c r="BP509" s="70">
        <f t="shared" si="1009"/>
        <v>0</v>
      </c>
      <c r="BQ509" s="71">
        <f t="shared" si="1009"/>
        <v>9.08</v>
      </c>
      <c r="BR509" s="68">
        <f t="shared" si="1009"/>
        <v>0</v>
      </c>
      <c r="BS509" s="491"/>
      <c r="BT509" s="489"/>
      <c r="BU509" s="392"/>
      <c r="BV509" s="489"/>
      <c r="BW509" s="392"/>
      <c r="BX509" s="392"/>
      <c r="BY509" s="392"/>
      <c r="BZ509" s="489"/>
      <c r="CA509" s="392"/>
      <c r="CB509" s="392"/>
      <c r="CC509" s="392"/>
      <c r="CD509" s="401"/>
      <c r="CE509" s="409"/>
      <c r="CF509" s="169">
        <f t="shared" si="899"/>
        <v>0</v>
      </c>
      <c r="CG509" s="170">
        <f t="shared" si="900"/>
        <v>0</v>
      </c>
      <c r="CH509" s="170">
        <f t="shared" si="901"/>
        <v>0</v>
      </c>
      <c r="CI509" s="170">
        <f t="shared" si="902"/>
        <v>0</v>
      </c>
      <c r="CJ509" s="170">
        <f t="shared" si="903"/>
        <v>0</v>
      </c>
      <c r="CK509" s="170">
        <f t="shared" si="904"/>
        <v>0</v>
      </c>
      <c r="CL509" s="170">
        <f t="shared" si="905"/>
        <v>0</v>
      </c>
      <c r="CM509" s="170">
        <f t="shared" si="906"/>
        <v>0</v>
      </c>
      <c r="CN509" s="170">
        <f t="shared" si="907"/>
        <v>0</v>
      </c>
      <c r="CO509" s="170">
        <f t="shared" si="908"/>
        <v>0</v>
      </c>
      <c r="CP509" s="170">
        <f t="shared" si="909"/>
        <v>0</v>
      </c>
      <c r="CQ509" s="170">
        <f t="shared" si="910"/>
        <v>0</v>
      </c>
      <c r="CR509" s="170">
        <f t="shared" si="911"/>
        <v>0</v>
      </c>
      <c r="CS509" s="170">
        <f t="shared" si="912"/>
        <v>0</v>
      </c>
      <c r="CT509" s="75">
        <f t="shared" si="913"/>
        <v>0</v>
      </c>
      <c r="CU509" s="76">
        <f t="shared" si="914"/>
        <v>0</v>
      </c>
      <c r="CV509" s="76">
        <f t="shared" si="915"/>
        <v>0</v>
      </c>
      <c r="CW509" s="76">
        <f t="shared" si="916"/>
        <v>0</v>
      </c>
      <c r="CX509" s="76">
        <f t="shared" si="917"/>
        <v>0</v>
      </c>
      <c r="CY509" s="76">
        <f t="shared" si="918"/>
        <v>0</v>
      </c>
      <c r="CZ509" s="76">
        <f t="shared" si="919"/>
        <v>0</v>
      </c>
      <c r="DA509" s="76">
        <f t="shared" si="920"/>
        <v>0</v>
      </c>
      <c r="DB509" s="76">
        <f t="shared" si="921"/>
        <v>1</v>
      </c>
      <c r="DC509" s="76">
        <f t="shared" si="922"/>
        <v>0</v>
      </c>
      <c r="DD509" s="76">
        <f t="shared" si="923"/>
        <v>0</v>
      </c>
      <c r="DE509" s="77">
        <f t="shared" si="924"/>
        <v>0</v>
      </c>
      <c r="DF509" s="73">
        <f t="shared" si="926"/>
        <v>33</v>
      </c>
      <c r="DG509" s="67">
        <f t="shared" si="927"/>
        <v>43.031999999999989</v>
      </c>
      <c r="DH509" s="76">
        <f t="shared" si="928"/>
        <v>13</v>
      </c>
      <c r="DI509" s="67">
        <f t="shared" si="929"/>
        <v>56.05</v>
      </c>
      <c r="DJ509" s="202" t="str">
        <f>IF($D508="","",$D508)</f>
        <v>16</v>
      </c>
      <c r="DK509" s="493"/>
    </row>
    <row r="510" spans="1:115" ht="14.5" customHeight="1" x14ac:dyDescent="0.2">
      <c r="A510" s="390"/>
      <c r="B510" s="457"/>
      <c r="C510" s="79" t="s">
        <v>53</v>
      </c>
      <c r="D510" s="375"/>
      <c r="E510" s="387"/>
      <c r="F510" s="378"/>
      <c r="G510" s="508"/>
      <c r="H510" s="477"/>
      <c r="I510" s="171"/>
      <c r="J510" s="172"/>
      <c r="K510" s="81"/>
      <c r="L510" s="173"/>
      <c r="M510" s="174"/>
      <c r="N510" s="407"/>
      <c r="O510" s="86" t="str">
        <f>IF(OR(AE508="",AE509=""),"",IF(L510&gt;0,ROUND(IF(M510&gt;0,M510,IF(M508&gt;0,ROUND((M508*AE510)/AE508,IF(N508=0,2,IF(N508=0.1,1,0))),IF(M509&gt;0,ROUND((M509*AE510)/AE509,IF(N508=0,2,IF(N508=0.1,1,0))),IF(M510&gt;0,M510,0)))),2),""))</f>
        <v/>
      </c>
      <c r="P510" s="87" t="str">
        <f>IF(I509="Lay",O509*(L509/(L509-1))-O509,IF(I508="Lay",O508*(L508/(L508-1))-O508,IF(OR(L510="",O510=""),"",IF($C510="1/2W",O510/2+O510/2*L510,IF($C510="1/2L",O510/2,(O510*L510-O510)*(1-_xlfn.XLOOKUP(K510,'Fevereiro 2023 - Valor Real'!A3:A15,'Fevereiro 2023 - Valor Real'!C3:C15,0))+O510)))))</f>
        <v/>
      </c>
      <c r="Q510" s="54" t="str">
        <f>IF(K510="","",IF(_xlfn.XLOOKUP(K510,K$11:K500,$DJ$11:DJ500,0,,-1)=DJ510,_xlfn.XLOOKUP(K510,K$11:K500,Q$11:Q500,1,,-1)+1,1))</f>
        <v/>
      </c>
      <c r="R510" s="87" t="str">
        <f>IF(K510="","",_xlfn.XLOOKUP(K510,K$11:K500,R$11:R500,0,,-1)+IF($C510=" ",1,0))</f>
        <v/>
      </c>
      <c r="S510" s="404"/>
      <c r="T510" s="378"/>
      <c r="U510" s="378"/>
      <c r="V510" s="404"/>
      <c r="W510" s="378"/>
      <c r="X510" s="453"/>
      <c r="Y510" s="383"/>
      <c r="Z510" s="384"/>
      <c r="AA510" s="384"/>
      <c r="AB510" s="384"/>
      <c r="AC510" s="384"/>
      <c r="AD510" s="90"/>
      <c r="AE510" s="91" t="str">
        <f>IF(L510="","",(SUM(((L508-1)*(1-_xlfn.XLOOKUP(K508,'Fevereiro 2023 - Valor Real'!A3:A15,'Fevereiro 2023 - Valor Real'!C3:C15,0))+1),((L509-1)*(1-_xlfn.XLOOKUP(K509,'Fevereiro 2023 - Valor Real'!A3:A15,'Fevereiro 2023 - Valor Real'!C3:C15,0))+1),((L510-1)*(1-_xlfn.XLOOKUP(K510,'Fevereiro 2023 - Valor Real'!A3:A15,'Fevereiro 2023 - Valor Real'!C3:C15,0))+1))/((L510-1)*(1-_xlfn.XLOOKUP(K510,'Fevereiro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Real'!C3:C15,0))+1))/((L508-1)*(1-_xlfn.XLOOKUP(K508,'Fevereiro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Real'!C3:C15,0))+1))/((L509-1)*(1-_xlfn.XLOOKUP(K509,'Fevereiro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Real'!C3:C15,0))+1))/((L510-1)*(1-_xlfn.XLOOKUP(K510,'Fevereiro 2023 - Valor Real'!A3:A15,'Fevereiro 2023 - Valor Real'!C3:C15,0))+1)))</f>
        <v/>
      </c>
      <c r="AF510" s="66">
        <f t="shared" si="1007"/>
        <v>0</v>
      </c>
      <c r="AG510" s="67">
        <f t="shared" si="1007"/>
        <v>0</v>
      </c>
      <c r="AH510" s="67">
        <f t="shared" si="1007"/>
        <v>0</v>
      </c>
      <c r="AI510" s="67">
        <f t="shared" si="1007"/>
        <v>0</v>
      </c>
      <c r="AJ510" s="67">
        <f t="shared" si="1007"/>
        <v>0</v>
      </c>
      <c r="AK510" s="67">
        <f t="shared" si="1007"/>
        <v>0</v>
      </c>
      <c r="AL510" s="67">
        <f t="shared" si="1007"/>
        <v>0</v>
      </c>
      <c r="AM510" s="67">
        <f t="shared" si="1007"/>
        <v>0</v>
      </c>
      <c r="AN510" s="67">
        <f t="shared" si="1007"/>
        <v>0</v>
      </c>
      <c r="AO510" s="67">
        <f t="shared" si="1007"/>
        <v>0</v>
      </c>
      <c r="AP510" s="67">
        <f t="shared" si="1007"/>
        <v>0</v>
      </c>
      <c r="AQ510" s="67">
        <f t="shared" si="1007"/>
        <v>0</v>
      </c>
      <c r="AR510" s="68">
        <f t="shared" si="1007"/>
        <v>0</v>
      </c>
      <c r="AS510" s="66">
        <f>IF(AND($B508=" ",$K510=AS$3),$O510,0)</f>
        <v>0</v>
      </c>
      <c r="AT510" s="67">
        <f>IF(AND($B508=" ",K510=AT$3),$O510,0)</f>
        <v>0</v>
      </c>
      <c r="AU510" s="67">
        <f t="shared" ref="AU510:BE510" si="1017">IF(AND($B508=" ",$K510=AU$3),$O510,0)</f>
        <v>0</v>
      </c>
      <c r="AV510" s="67">
        <f t="shared" si="1017"/>
        <v>0</v>
      </c>
      <c r="AW510" s="67">
        <f t="shared" si="1017"/>
        <v>0</v>
      </c>
      <c r="AX510" s="67">
        <f t="shared" si="1017"/>
        <v>0</v>
      </c>
      <c r="AY510" s="69">
        <f t="shared" si="1017"/>
        <v>0</v>
      </c>
      <c r="AZ510" s="70">
        <f t="shared" si="1017"/>
        <v>0</v>
      </c>
      <c r="BA510" s="70">
        <f t="shared" si="1017"/>
        <v>0</v>
      </c>
      <c r="BB510" s="70">
        <f t="shared" si="1017"/>
        <v>0</v>
      </c>
      <c r="BC510" s="71">
        <f t="shared" si="1017"/>
        <v>0</v>
      </c>
      <c r="BD510" s="67">
        <f t="shared" si="1017"/>
        <v>0</v>
      </c>
      <c r="BE510" s="68">
        <f t="shared" si="1017"/>
        <v>0</v>
      </c>
      <c r="BF510" s="66">
        <f t="shared" si="1009"/>
        <v>0</v>
      </c>
      <c r="BG510" s="168">
        <f t="shared" si="1009"/>
        <v>0</v>
      </c>
      <c r="BH510" s="67">
        <f t="shared" si="1009"/>
        <v>0</v>
      </c>
      <c r="BI510" s="67">
        <f t="shared" si="1009"/>
        <v>0</v>
      </c>
      <c r="BJ510" s="67">
        <f t="shared" si="1009"/>
        <v>0</v>
      </c>
      <c r="BK510" s="67">
        <f t="shared" si="1009"/>
        <v>0</v>
      </c>
      <c r="BL510" s="67">
        <f t="shared" si="1009"/>
        <v>0</v>
      </c>
      <c r="BM510" s="69">
        <f t="shared" si="1009"/>
        <v>0</v>
      </c>
      <c r="BN510" s="70">
        <f t="shared" si="1009"/>
        <v>0</v>
      </c>
      <c r="BO510" s="70">
        <f t="shared" si="1009"/>
        <v>0</v>
      </c>
      <c r="BP510" s="70">
        <f t="shared" si="1009"/>
        <v>0</v>
      </c>
      <c r="BQ510" s="71">
        <f t="shared" si="1009"/>
        <v>0</v>
      </c>
      <c r="BR510" s="68">
        <f t="shared" si="1009"/>
        <v>0</v>
      </c>
      <c r="BS510" s="491"/>
      <c r="BT510" s="489"/>
      <c r="BU510" s="392"/>
      <c r="BV510" s="489"/>
      <c r="BW510" s="392"/>
      <c r="BX510" s="392"/>
      <c r="BY510" s="392"/>
      <c r="BZ510" s="489"/>
      <c r="CA510" s="392"/>
      <c r="CB510" s="392"/>
      <c r="CC510" s="392"/>
      <c r="CD510" s="401"/>
      <c r="CE510" s="409"/>
      <c r="CF510" s="169">
        <f t="shared" si="899"/>
        <v>0</v>
      </c>
      <c r="CG510" s="170">
        <f t="shared" si="900"/>
        <v>0</v>
      </c>
      <c r="CH510" s="170">
        <f t="shared" si="901"/>
        <v>0</v>
      </c>
      <c r="CI510" s="170">
        <f t="shared" si="902"/>
        <v>0</v>
      </c>
      <c r="CJ510" s="170">
        <f t="shared" si="903"/>
        <v>0</v>
      </c>
      <c r="CK510" s="170">
        <f t="shared" si="904"/>
        <v>0</v>
      </c>
      <c r="CL510" s="170">
        <f t="shared" si="905"/>
        <v>0</v>
      </c>
      <c r="CM510" s="170">
        <f t="shared" si="906"/>
        <v>0</v>
      </c>
      <c r="CN510" s="170">
        <f t="shared" si="907"/>
        <v>0</v>
      </c>
      <c r="CO510" s="170">
        <f t="shared" si="908"/>
        <v>0</v>
      </c>
      <c r="CP510" s="170">
        <f t="shared" si="909"/>
        <v>0</v>
      </c>
      <c r="CQ510" s="170">
        <f t="shared" si="910"/>
        <v>0</v>
      </c>
      <c r="CR510" s="170">
        <f t="shared" si="911"/>
        <v>0</v>
      </c>
      <c r="CS510" s="170">
        <f t="shared" si="912"/>
        <v>0</v>
      </c>
      <c r="CT510" s="75">
        <f t="shared" si="913"/>
        <v>0</v>
      </c>
      <c r="CU510" s="76">
        <f t="shared" si="914"/>
        <v>0</v>
      </c>
      <c r="CV510" s="76">
        <f t="shared" si="915"/>
        <v>0</v>
      </c>
      <c r="CW510" s="76">
        <f t="shared" si="916"/>
        <v>0</v>
      </c>
      <c r="CX510" s="76">
        <f t="shared" si="917"/>
        <v>0</v>
      </c>
      <c r="CY510" s="76">
        <f t="shared" si="918"/>
        <v>0</v>
      </c>
      <c r="CZ510" s="76">
        <f t="shared" si="919"/>
        <v>0</v>
      </c>
      <c r="DA510" s="76">
        <f t="shared" si="920"/>
        <v>0</v>
      </c>
      <c r="DB510" s="76">
        <f t="shared" si="921"/>
        <v>0</v>
      </c>
      <c r="DC510" s="76">
        <f t="shared" si="922"/>
        <v>0</v>
      </c>
      <c r="DD510" s="76">
        <f t="shared" si="923"/>
        <v>0</v>
      </c>
      <c r="DE510" s="77">
        <f t="shared" si="924"/>
        <v>0</v>
      </c>
      <c r="DF510" s="73">
        <f t="shared" si="926"/>
        <v>33</v>
      </c>
      <c r="DG510" s="67">
        <f t="shared" si="927"/>
        <v>43.031999999999989</v>
      </c>
      <c r="DH510" s="76">
        <f t="shared" si="928"/>
        <v>13</v>
      </c>
      <c r="DI510" s="67">
        <f t="shared" si="929"/>
        <v>56.05</v>
      </c>
      <c r="DJ510" s="202" t="str">
        <f>IF($D508="","",$D508)</f>
        <v>16</v>
      </c>
      <c r="DK510" s="493"/>
    </row>
    <row r="511" spans="1:115" ht="14.5" customHeight="1" x14ac:dyDescent="0.2">
      <c r="A511" s="459">
        <f>$A508+1</f>
        <v>170</v>
      </c>
      <c r="B511" s="507" t="str">
        <f>IF(OR(C511="W",C512="W",C513="W",C511="1/2W",C512="1/2W",C513="1/2W",C511="1/2L",C512="1/2L",C513="1/2L"),"OK",IF(OR(C511="L",C512="L",C513="L"),"LOSS",IF(OR(C511="X",C512="X",C513="X"),"Anulado"," ")))</f>
        <v>OK</v>
      </c>
      <c r="C511" s="93" t="s">
        <v>55</v>
      </c>
      <c r="D511" s="468" t="str">
        <f>IF(G511="","",$D508)</f>
        <v>16</v>
      </c>
      <c r="E511" s="485" t="str">
        <f>IF(G511=""," ","– "&amp;COUNTIF(D$4:D513,$D511))</f>
        <v>– 2</v>
      </c>
      <c r="F511" s="509" t="str">
        <f ca="1">IF(G511="","",IF(OR(AND($C511&lt;&gt;" ",$C512=" "),AND($C512&lt;&gt;" ",$C511=" "),AND(L513&gt;0,OR(AND($C513&lt;&gt;" ",OR($C511=" ",$C512=" ")),AND($C513=" ",OR($C511&lt;&gt;" ",$C512&lt;&gt;" "))))),IF(SUM(F$4:F510)=0,1,LARGE(F$4:F510,1)+1),IF(MONTH(G511)=MONTH(TODAY()),IF(AND(DAY(G511)&lt;DAY(TODAY()),$B511=" "),IF(SUM(F$4:F510)=0,1,LARGE(F$4:F510,1)+1),IF($B511=" ",IF(AND(DAY(G511)=DAY(TODAY()),HOUR(G511)&lt;=HOUR(NOW())+1),IF(AND(HOUR(G511)+2&lt;=HOUR(NOW()),DAY(G511)&lt;=DAY(TODAY()),MINUTE(G511)&lt;=MINUTE(NOW())),IF(SUM(F$4:F510)=0,1,LARGE(F$4:F510,1)+1),IF(OR(MINUTE(G511)&lt;=MINUTE(NOW()),HOUR(G511)&lt;=HOUR(NOW())),"!!!","")),""),"")),"")))</f>
        <v/>
      </c>
      <c r="G511" s="482">
        <v>45001.614583333336</v>
      </c>
      <c r="H511" s="475" t="s">
        <v>203</v>
      </c>
      <c r="I511" s="94" t="s">
        <v>66</v>
      </c>
      <c r="J511" s="95">
        <v>-1.5</v>
      </c>
      <c r="K511" s="96" t="s">
        <v>40</v>
      </c>
      <c r="L511" s="97">
        <v>2.2200000000000002</v>
      </c>
      <c r="M511" s="98"/>
      <c r="N511" s="478">
        <v>0</v>
      </c>
      <c r="O511" s="99">
        <f>IF(OR(AE511="",AE512=""),"",ROUND(IF(L513&gt;0,IF(M511&gt;0,M511,IF(M512&gt;0,ROUND((M512*AE511)/AE512,IF(N511=0,2,IF(N511=0.1,1,0))),ROUND((M513*AE511)/AE513,IF(N511=0,2,IF(N511=0.1,1,0))))),IF(M511&gt;0,M511,ROUND((M512*AE511)/AE512,IF(N511=0,2,IF(N511=0.1,1,0))))),2))</f>
        <v>11.5</v>
      </c>
      <c r="P511" s="100">
        <f>IF(OR(L511="",O511=""),"",IF($C511="1/2W",O511/2+O511/2*L511,IF($C511="1/2L",O511/2,IF(I511="Lay",(O511*(L511/(L511-1))-O511)*(1-_xlfn.XLOOKUP(K511,'Fevereiro 2023 - Valor Real'!A3:A15,'Fevereiro 2023 - Valor Real'!C3:C15,0))+O511,(O511*L511-O511)*(1-_xlfn.XLOOKUP(K511,'Fevereiro 2023 - Valor Real'!A3:A15,'Fevereiro 2023 - Valor Real'!C3:C15,0))+O511))))</f>
        <v>25.53</v>
      </c>
      <c r="Q511" s="101">
        <f>IF(K511="","",IF(_xlfn.XLOOKUP(K511,K$4:K510,$DJ$4:DJ510,0,,-1)=DJ511,_xlfn.XLOOKUP(K511,K$4:K510,Q$4:Q510,1,,-1)+1,1))</f>
        <v>2</v>
      </c>
      <c r="R511" s="102">
        <f>IF(K511="","",_xlfn.XLOOKUP(K511,K$4:K510,R$4:R510,0,,-1)+IF($C511=" ",1,0))</f>
        <v>0</v>
      </c>
      <c r="S511" s="474">
        <f>IF($B511="Anulado",0,ROUND(IF(OR($B511="LOSS",$B511="OK"),IF(OR($C511="W",$C511="1/2W",$C511="1/2L"),P511-O511,IF($C511="L",-O511,0))+IF(OR($C512="W",$C512="1/2W",$C512="1/2L"),P512-O512,IF($C512="L",-O512,0))+IF(OR($C513="W",$C513="1/2W",$C513="1/2L"),P513-O513,IF($C513="L",-O513,0)),IF(AND(OR($C511="W",$C511="1/2W",$C511="1/2L"),C512="W"),P511+P512-SUM(O511:O513)+_xlfn.XLOOKUP("X",C511:C513,O511:O513,0),IF(AND(C511=TRUE,C513="W"),P511+P513-SUM(O511:O513),IF(AND(C512="W",C513="W"),P512+P513-SUM(O511:O513)+_xlfn.XLOOKUP("X",C511:C513,O511:O513,0),IF(L513&gt;0,IF(OR($C511="W",$C511="1/2W",$C511="1/2L"),P511-SUM(O511:O513)+_xlfn.XLOOKUP("X",C511:C513,O511:O513,0),IF(OR($C511="W",$C511="1/2W",$C511="1/2L"),P512-SUM(O511:O513)+_xlfn.XLOOKUP("X",C511:C513,O511:O513,0),IF(OR($C511="W",$C511="1/2W",$C511="1/2L"),P513-SUM(O511:O513)+_xlfn.XLOOKUP("X",C511:C513,O511:O513,0),IF(SUM(P511:P513)/3-SUM(O511:O513)+_xlfn.XLOOKUP("X",C511:C513,O511:O513,0)&gt;0,SUM(P511:P513)/3-SUM(O511:O513)+_xlfn.XLOOKUP("X",C511:C513,O511:O513,0),LARGE(P511:P513,1)-SUM(O511:O513))))),IF(OR($C511="W",$C511="1/2W",$C511="1/2L"),P511-SUM(O511:O512)+_xlfn.XLOOKUP("X",C511:C513,O511:O513,0),IF(OR($C511="W",$C511="1/2W",$C511="1/2L"),P512-SUM(O511:O512)+_xlfn.XLOOKUP("X",C511:C513,O511:O513,0),SUM(P511:P512)/2-SUM(O511:O512)+_xlfn.XLOOKUP("X",C511:C513,O511:O513,0)))))))),2))</f>
        <v>1.57</v>
      </c>
      <c r="T511" s="458">
        <f>IF(S511=0,0,S511/SUM(O511:O513))</f>
        <v>6.5553235908141966E-2</v>
      </c>
      <c r="U511" s="470">
        <f>IF($D511=$D508,IF(OR($B511="LOSS",$B511="OK",$B511="Anulada"),S511,0)+U508,IF(OR($B511="LOSS",$B511="OK",$B511="Anulada"),S511,0))</f>
        <v>3.1500000000000004</v>
      </c>
      <c r="V511" s="470">
        <f>IF($D511="",0,IF($D511=$D508,IF($B511=" ",IF(I513="",IF(OR(AND(I511="DNB1",I512="DNB2"),AND(OR(I511="DNB1",I511="DNB2"),J512=0),AND(OR(I512="DNB1",I512="DNB2"),J511=0),AND(I511="DNB2",I512="DNB1"),AND(IF(J511=0,(J511+1)/ROUND(J511+1,0),J511/ROUND(J511,0))=1,IF(J512=0,(J512+1)/ROUND(IF(J512="",0,J512)+1,0),IF(J512="",0,J512)/ROUND(IF(J512="",1,J512),0))=1,OR(J511&lt;&gt;""),J512&lt;&gt;"")),0,IF(S511&lt;0,IF(I513="",SMALL(P511:P512,1)-SUM(O511:O512),0),SMALL(P511:P512,1)-SUM(O511:O512))),IF(S511&lt;0,IF(I513="",SMALL(P511:P513,1)-SUM(O511:O513),0),LARGE(P511:P513,1)-SUM(O511:O513))),S511)+V508,IF(I513="",IF(OR(AND(I511="DNB1",I512="DNB2"),AND(OR(I511="DNB1",I511="DNB2"),J512=0),AND(OR(I512="DNB1",I512="DNB2"),J511=0),AND(I511="DNB2",I512="DNB1"),AND(IF(J511=0,(J511+1)/ROUND(J511+1,0),J511/ROUND(J511,0))=1,IF(J512=0,(IF(J512="",0,J512)+1)/ROUND(IF(J512="",0,J512)+1,0),IF(J512="",0,J512)/ROUND(IF(J512="",0,J512)+1,0))=1,OR(J511&lt;&gt;""),J512&lt;&gt;"")),0,IF(S511&lt;0,IF(I513="",SMALL(P511:P512,1)-SUM(O511:O512),0),SMALL(P511:P513,1)-SUM(O511:O513))),IF(S511&lt;0,IF(I513="",SMALL(P511:P513,1)-SUM(O511:O513),0),LARGE(P511:P513,1)-SUM(O511:O513)))))</f>
        <v>3.1452000000000027</v>
      </c>
      <c r="W511" s="470">
        <f>IF($D511=$D508,IF(S511&lt;0,IF(I513="",S511,0),S511)+W508,S511)</f>
        <v>3.1500000000000004</v>
      </c>
      <c r="X511" s="480" t="str">
        <f>IF(OR(SUM(R511:R513)=0,V511=W511),ROUND(IF(W511=0,0,W511/Y511)*100,2)&amp;"%",ROUND(IF(V511=0,0,V511/Y511)*100,2)&amp;"% a "&amp;ROUND(IF(W511=0,0,W511/Y511)*100,2)&amp;"%")</f>
        <v>7,07%</v>
      </c>
      <c r="Y511" s="471">
        <f>IF($D511=$D508,Y508+SUM(O511:O513),SUM(O511:O513))</f>
        <v>44.53</v>
      </c>
      <c r="Z511" s="470">
        <f>IF($B511=" ",SUM(O511:O513),0)+Z508</f>
        <v>0</v>
      </c>
      <c r="AA511" s="470">
        <f>IF(G511="","",IF($B511="Anulado",LARGE(P511:P513,1)-SUM(O511:O513)+AA508,AA508))</f>
        <v>12.425099999999992</v>
      </c>
      <c r="AB511" s="470">
        <f>IF($D511="","",AB508+S511)</f>
        <v>601.25000000000045</v>
      </c>
      <c r="AC511" s="472">
        <f ca="1">IF($D511="","",IF($B511=" ",IF(DAY(G511)=DAY(TODAY()),1+AC508,0+AC508),0+AC508))</f>
        <v>0</v>
      </c>
      <c r="AD511" s="103">
        <f>(((L512/(L512-1)-1)*(1-_xlfn.XLOOKUP(K512,'Fevereiro 2023 - Valor Real'!A3:A15,'Fevereiro 2023 - Valor Real'!C3:C15,0))+1))/(((L511-1)*(1-_xlfn.XLOOKUP(K511,'Fevereiro 2023 - Valor Real'!A3:A15,'Fevereiro 2023 - Valor Real'!C3:C15,0))+1)+((L512/(L512-1)-1)*(1-_xlfn.XLOOKUP(K512,'Fevereiro 2023 - Valor Real'!A3:A15,'Fevereiro 2023 - Valor Real'!C3:C15,0))+1))</f>
        <v>0.46792969641634324</v>
      </c>
      <c r="AE511" s="104">
        <f>IF(L511="","",IF(L513&gt;0,(SUM(((L511-1)*(1-_xlfn.XLOOKUP(K511,'Fevereiro 2023 - Valor Real'!A3:A15,'Fevereiro 2023 - Valor Real'!C3:C15,0))+1),((L512-1)*(1-_xlfn.XLOOKUP(K512,'Fevereiro 2023 - Valor Real'!A3:A15,'Fevereiro 2023 - Valor Real'!C3:C15,0))+1),((L513-1)*(1-_xlfn.XLOOKUP(K513,'Fevereiro 2023 - Valor Real'!A3:A15,'Fevereiro 2023 - Valor Real'!C3:C15,0))+1))/((L511-1)*(1-_xlfn.XLOOKUP(K511,'Fevereiro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Real'!C3:C15,0))+1))/((L511-1)*(1-_xlfn.XLOOKUP(K511,'Fevereiro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Real'!C3:C15,0))+1))/((L512-1)*(1-_xlfn.XLOOKUP(K512,'Fevereiro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Real'!C3:C15,0))+1))/((L513-1)*(1-_xlfn.XLOOKUP(K513,'Fevereiro 2023 - Valor Real'!A3:A15,'Fevereiro 2023 - Valor Real'!C3:C15,0))+1)),IF(I511="Lay",IF(I512="Lay",((L512/(L512-1)-1)*(1-_xlfn.XLOOKUP(K512,'Fevereiro 2023 - Valor Real'!A3:A15,'Fevereiro 2023 - Valor Real'!C3:C15,0))+1)/(((L512/(L512-1)-1)*(1-_xlfn.XLOOKUP(K512,'Fevereiro 2023 - Valor Real'!A3:A15,'Fevereiro 2023 - Valor Real'!C3:C15,0))+1)+((L511/(L511-1)-1)*(1-_xlfn.XLOOKUP(K511,'Fevereiro 2023 - Valor Real'!A3:A15,'Fevereiro 2023 - Valor Real'!C3:C15,0))+1)),((L512-1)*(1-_xlfn.XLOOKUP(K512,'Fevereiro 2023 - Valor Real'!A3:A15,'Fevereiro 2023 - Valor Real'!C3:C15,0))+1)/(((L512-1)*(1-_xlfn.XLOOKUP(K512,'Fevereiro 2023 - Valor Real'!A3:A15,'Fevereiro 2023 - Valor Real'!C3:C15,0))+1)+((L511/(L511-1)-1)*(1-_xlfn.XLOOKUP(K511,'Fevereiro 2023 - Valor Real'!A3:A15,'Fevereiro 2023 - Valor Real'!C3:C15,0))+1))),IF(I512="Lay",(((L512/(L512-1)-1)*(1-_xlfn.XLOOKUP(K512,'Fevereiro 2023 - Valor Real'!A3:A15,'Fevereiro 2023 - Valor Real'!C3:C15,0))+1))/(((L511-1)*(1-_xlfn.XLOOKUP(K511,'Fevereiro 2023 - Valor Real'!A3:A15,'Fevereiro 2023 - Valor Real'!C3:C15,0))+1)+((L512/(L512-1)-1)*(1-_xlfn.XLOOKUP(K512,'Fevereiro 2023 - Valor Real'!A3:A15,'Fevereiro 2023 - Valor Real'!C3:C15,0))+1)),((L512-1)*(1-_xlfn.XLOOKUP(K512,'Fevereiro 2023 - Valor Real'!A3:A15,'Fevereiro 2023 - Valor Real'!C3:C15,0))+1)/(((L512-1)*(1-_xlfn.XLOOKUP(K512,'Fevereiro 2023 - Valor Real'!A3:A15,'Fevereiro 2023 - Valor Real'!C3:C15,0))+1)+((L511-1)*(1-_xlfn.XLOOKUP(K511,'Fevereiro 2023 - Valor Real'!A3:A15,'Fevereiro 2023 - Valor Real'!C3:C15,0))+1))))))</f>
        <v>0.48009367681498832</v>
      </c>
      <c r="AF511" s="105">
        <f t="shared" si="1007"/>
        <v>0</v>
      </c>
      <c r="AG511" s="106">
        <f t="shared" si="1007"/>
        <v>0</v>
      </c>
      <c r="AH511" s="106">
        <f t="shared" si="1007"/>
        <v>0</v>
      </c>
      <c r="AI511" s="106">
        <f t="shared" si="1007"/>
        <v>0</v>
      </c>
      <c r="AJ511" s="106">
        <f t="shared" si="1007"/>
        <v>-11.5</v>
      </c>
      <c r="AK511" s="106">
        <f t="shared" si="1007"/>
        <v>0</v>
      </c>
      <c r="AL511" s="106">
        <f t="shared" si="1007"/>
        <v>0</v>
      </c>
      <c r="AM511" s="106">
        <f t="shared" si="1007"/>
        <v>0</v>
      </c>
      <c r="AN511" s="106">
        <f t="shared" si="1007"/>
        <v>0</v>
      </c>
      <c r="AO511" s="106">
        <f t="shared" si="1007"/>
        <v>0</v>
      </c>
      <c r="AP511" s="106">
        <f t="shared" si="1007"/>
        <v>0</v>
      </c>
      <c r="AQ511" s="106">
        <f t="shared" si="1007"/>
        <v>0</v>
      </c>
      <c r="AR511" s="107">
        <f t="shared" si="1007"/>
        <v>0</v>
      </c>
      <c r="AS511" s="105">
        <f t="shared" ref="AS511:BE511" si="1018">IF(AND($B511=" ",$K511=AS$3),$O511,0)</f>
        <v>0</v>
      </c>
      <c r="AT511" s="106">
        <f t="shared" si="1018"/>
        <v>0</v>
      </c>
      <c r="AU511" s="106">
        <f t="shared" si="1018"/>
        <v>0</v>
      </c>
      <c r="AV511" s="106">
        <f t="shared" si="1018"/>
        <v>0</v>
      </c>
      <c r="AW511" s="106">
        <f t="shared" si="1018"/>
        <v>0</v>
      </c>
      <c r="AX511" s="106">
        <f t="shared" si="1018"/>
        <v>0</v>
      </c>
      <c r="AY511" s="108">
        <f t="shared" si="1018"/>
        <v>0</v>
      </c>
      <c r="AZ511" s="109">
        <f t="shared" si="1018"/>
        <v>0</v>
      </c>
      <c r="BA511" s="109">
        <f t="shared" si="1018"/>
        <v>0</v>
      </c>
      <c r="BB511" s="109">
        <f t="shared" si="1018"/>
        <v>0</v>
      </c>
      <c r="BC511" s="110">
        <f t="shared" si="1018"/>
        <v>0</v>
      </c>
      <c r="BD511" s="106">
        <f t="shared" si="1018"/>
        <v>0</v>
      </c>
      <c r="BE511" s="107">
        <f t="shared" si="1018"/>
        <v>0</v>
      </c>
      <c r="BF511" s="111">
        <f t="shared" si="1009"/>
        <v>0</v>
      </c>
      <c r="BG511" s="106">
        <f t="shared" si="1009"/>
        <v>0</v>
      </c>
      <c r="BH511" s="106">
        <f t="shared" si="1009"/>
        <v>0</v>
      </c>
      <c r="BI511" s="106">
        <f t="shared" si="1009"/>
        <v>0</v>
      </c>
      <c r="BJ511" s="106">
        <f t="shared" si="1009"/>
        <v>11.5</v>
      </c>
      <c r="BK511" s="106">
        <f t="shared" si="1009"/>
        <v>0</v>
      </c>
      <c r="BL511" s="106">
        <f t="shared" si="1009"/>
        <v>0</v>
      </c>
      <c r="BM511" s="108">
        <f t="shared" si="1009"/>
        <v>0</v>
      </c>
      <c r="BN511" s="109">
        <f t="shared" si="1009"/>
        <v>0</v>
      </c>
      <c r="BO511" s="109">
        <f t="shared" si="1009"/>
        <v>0</v>
      </c>
      <c r="BP511" s="109">
        <f t="shared" si="1009"/>
        <v>0</v>
      </c>
      <c r="BQ511" s="110">
        <f t="shared" si="1009"/>
        <v>0</v>
      </c>
      <c r="BR511" s="107">
        <f t="shared" si="1009"/>
        <v>0</v>
      </c>
      <c r="BS511" s="463">
        <f>IF($B511="LOSS",IF(AND($K511=BS$3,$C511="L"),-$O511,0)+IF(AND($K512=BS$3,$C512="L"),-$O512,0)+IF(AND($K513=BS$3,$C513="L"),-$O513,0),IF(OR(AND($K511=BS$3,OR($C511="W",$C511="1/2W")),AND($K512=BS$3,OR($C512="W",$C512="1/2W")),AND($K513=BS$3,OR($C513="W",$C513="1/2W"))),$S511,0))</f>
        <v>0</v>
      </c>
      <c r="BT511" s="462">
        <f>IF($B511="LOSS",IF(AND($K511=BT$3,$C511="L"),-$O511,0)+IF(AND($K512=BT$3,$C512="L"),-$O512,0)+IF(AND($K512=BT$3,$C513="L"),-$O513,0),IF(OR(AND($K512=BT$3,OR($C511="W",$C511="1/2W")),AND($K512=BT$3,OR($C512="W",$C512="1/2W")),AND($K512=BT$3,OR($C513="W",$C513="1/2W"))),$S511,0))</f>
        <v>0</v>
      </c>
      <c r="BU511" s="462">
        <f>IF($B511="LOSS",IF(AND($K511=BU$3,$C511="L"),-$O511,0)+IF(AND($K512=BU$3,$C512="L"),-$O512,0)+IF(AND($K512=BU$3,$C513="L"),-$O513,0),IF(OR(AND($K512=BU$3,OR($C511="W",$C511="1/2W")),AND($K512=BU$3,OR($C512="W",$C512="1/2W")),AND($K512=BU$3,OR($C513="W",$C513="1/2W"))),$S511,0))</f>
        <v>0</v>
      </c>
      <c r="BV511" s="462">
        <f t="shared" ref="BV511:CE511" si="1019">IF($B511="LOSS",IF(AND($K511=BV$3,$C511="L"),-$O511,0)+IF(AND($K512=BV$3,$C512="L"),-$O512,0)+IF(AND($K513=BV$3,$C513="L"),-$O513,0),IF(OR(AND($K511=BV$3,OR($C511="W",$C511="1/2W")),AND($K512=BV$3,OR($C512="W",$C512="1/2W")),AND($K513=BV$3,OR($C513="W",$C513="1/2W"))),$S511,0))</f>
        <v>0</v>
      </c>
      <c r="BW511" s="462">
        <f t="shared" si="1019"/>
        <v>0</v>
      </c>
      <c r="BX511" s="462">
        <f t="shared" si="1019"/>
        <v>0</v>
      </c>
      <c r="BY511" s="462">
        <f t="shared" si="1019"/>
        <v>0</v>
      </c>
      <c r="BZ511" s="460">
        <f t="shared" si="1019"/>
        <v>0</v>
      </c>
      <c r="CA511" s="460">
        <f t="shared" si="1019"/>
        <v>0</v>
      </c>
      <c r="CB511" s="460">
        <f t="shared" si="1019"/>
        <v>0</v>
      </c>
      <c r="CC511" s="460">
        <f t="shared" si="1019"/>
        <v>0</v>
      </c>
      <c r="CD511" s="473">
        <f t="shared" si="1019"/>
        <v>1.57</v>
      </c>
      <c r="CE511" s="479">
        <f t="shared" si="1019"/>
        <v>0</v>
      </c>
      <c r="CF511" s="113">
        <f t="shared" si="899"/>
        <v>0</v>
      </c>
      <c r="CG511" s="114">
        <f t="shared" si="900"/>
        <v>0</v>
      </c>
      <c r="CH511" s="114">
        <f t="shared" si="901"/>
        <v>0</v>
      </c>
      <c r="CI511" s="114">
        <f t="shared" si="902"/>
        <v>0</v>
      </c>
      <c r="CJ511" s="114">
        <f t="shared" si="903"/>
        <v>0</v>
      </c>
      <c r="CK511" s="114">
        <f t="shared" si="904"/>
        <v>0</v>
      </c>
      <c r="CL511" s="114">
        <f t="shared" si="905"/>
        <v>0</v>
      </c>
      <c r="CM511" s="114">
        <f t="shared" si="906"/>
        <v>0</v>
      </c>
      <c r="CN511" s="114">
        <f t="shared" si="907"/>
        <v>0</v>
      </c>
      <c r="CO511" s="114">
        <f t="shared" si="908"/>
        <v>1</v>
      </c>
      <c r="CP511" s="114">
        <f t="shared" si="909"/>
        <v>0</v>
      </c>
      <c r="CQ511" s="114">
        <f t="shared" si="910"/>
        <v>0</v>
      </c>
      <c r="CR511" s="114">
        <f t="shared" si="911"/>
        <v>0</v>
      </c>
      <c r="CS511" s="114">
        <f t="shared" si="912"/>
        <v>0</v>
      </c>
      <c r="CT511" s="115">
        <f t="shared" si="913"/>
        <v>0</v>
      </c>
      <c r="CU511" s="116">
        <f t="shared" si="914"/>
        <v>0</v>
      </c>
      <c r="CV511" s="116">
        <f t="shared" si="915"/>
        <v>0</v>
      </c>
      <c r="CW511" s="116">
        <f t="shared" si="916"/>
        <v>0</v>
      </c>
      <c r="CX511" s="116">
        <f t="shared" si="917"/>
        <v>0</v>
      </c>
      <c r="CY511" s="116">
        <f t="shared" si="918"/>
        <v>0</v>
      </c>
      <c r="CZ511" s="116">
        <f t="shared" si="919"/>
        <v>0</v>
      </c>
      <c r="DA511" s="116">
        <f t="shared" si="920"/>
        <v>0</v>
      </c>
      <c r="DB511" s="116">
        <f t="shared" si="921"/>
        <v>0</v>
      </c>
      <c r="DC511" s="116">
        <f t="shared" si="922"/>
        <v>0</v>
      </c>
      <c r="DD511" s="116">
        <f t="shared" si="923"/>
        <v>0</v>
      </c>
      <c r="DE511" s="117">
        <f t="shared" si="924"/>
        <v>0</v>
      </c>
      <c r="DF511" s="118">
        <f t="shared" si="926"/>
        <v>33</v>
      </c>
      <c r="DG511" s="106">
        <f t="shared" si="927"/>
        <v>43.031999999999989</v>
      </c>
      <c r="DH511" s="116">
        <f t="shared" si="928"/>
        <v>13</v>
      </c>
      <c r="DI511" s="106">
        <f t="shared" si="929"/>
        <v>56.05</v>
      </c>
      <c r="DJ511" s="201" t="str">
        <f>IF($D511="","",$D511)</f>
        <v>16</v>
      </c>
      <c r="DK511" s="465">
        <f>IF(AND($B511=" ",$D511&lt;&gt;""),1,0)</f>
        <v>0</v>
      </c>
    </row>
    <row r="512" spans="1:115" ht="14.5" customHeight="1" x14ac:dyDescent="0.2">
      <c r="A512" s="389"/>
      <c r="B512" s="456"/>
      <c r="C512" s="120" t="s">
        <v>54</v>
      </c>
      <c r="D512" s="374"/>
      <c r="E512" s="386"/>
      <c r="F512" s="377"/>
      <c r="G512" s="483"/>
      <c r="H512" s="476"/>
      <c r="I512" s="121" t="s">
        <v>76</v>
      </c>
      <c r="J512" s="122">
        <f>IF(OR(I511="TO",I511="TU",I511="TO1",I511="TU1",I511="TO2",I511="TU2"),J511,IF(OR(I511="AH1",I511="AH2"),IF(OR(I512="AH1",I512="AH2"),-J511,IF(OR(I512="EH1",I512="EH2"),-J511+0.5,"")),IF(OR(I511="EH1",I511="EH2"),IF(OR(I512="AH1",I512="AH2"),-J511+0.5,IF(OR(I512="EH1",I512="EH2"),-J511+1,"")),IF(AND(OR(I511="DNB1",I511="DNB2"),OR(I512="AH1",I512="AH2")),0,IF(AND(I511="Not ScoreBoth",OR(I512="TO1",I512="TO2")),0.5,"")))))</f>
        <v>1.5</v>
      </c>
      <c r="K512" s="123" t="s">
        <v>47</v>
      </c>
      <c r="L512" s="124">
        <v>2.0499999999999998</v>
      </c>
      <c r="M512" s="125">
        <v>12.45</v>
      </c>
      <c r="N512" s="406"/>
      <c r="O512" s="126">
        <f>IF(OR(AE511="",AE512=""),"",ROUND(IF(L513&gt;0,IF(M512&gt;0,M512,IF(M511&gt;0,IF(N511=TRUE,ROUND((M511*AE512)/AE511,0),(M511*AE512)/AE511),IF(M512&gt;0,ROUND(M512,IF(N511=0,2,IF(N511=0.1,1,0))),IF(M513&gt;0,ROUND(O513*AE512/AE513,IF(N511=0,2,IF(N511=0.1,1,0))),0)))),IF(M512&gt;0,M512,ROUND((M511*AE512)/AE511,IF(N511=0,2,IF(N511=0.1,1,0))))),2))</f>
        <v>12.45</v>
      </c>
      <c r="P512" s="127">
        <f>IF(OR(L512="",O512=""),"",IF($C512="1/2W",O512/2+O512/2*L512,IF($C512="1/2L",O512/2,IF(I512="Lay",((O512*(L512/(L512-1)))-O512)*(1-_xlfn.XLOOKUP(K512,'Fevereiro 2023 - Valor Real'!A3:A15,'Fevereiro 2023 - Valor Real'!C3:C15,0))+O512,(O512*L512-O512)*(1-_xlfn.XLOOKUP(K512,'Fevereiro 2023 - Valor Real'!A3:A15,'Fevereiro 2023 - Valor Real'!C3:C15,0))+O512))))</f>
        <v>25.522499999999997</v>
      </c>
      <c r="Q512" s="128">
        <f>IF(K512="","",IF(_xlfn.XLOOKUP(K512,K$4:K511,$DJ$4:DJ511,0,,-1)=DJ512,_xlfn.XLOOKUP(K512,K$4:K511,Q$4:Q511,1,,-1)+1,1))</f>
        <v>2</v>
      </c>
      <c r="R512" s="129">
        <f>IF(K512="","",_xlfn.XLOOKUP(K512,K$4:K511,R$4:R511,0,,-1)+IF($C512=" ",1,0))</f>
        <v>0</v>
      </c>
      <c r="S512" s="403"/>
      <c r="T512" s="380"/>
      <c r="U512" s="380"/>
      <c r="V512" s="481"/>
      <c r="W512" s="380"/>
      <c r="X512" s="452"/>
      <c r="Y512" s="383"/>
      <c r="Z512" s="384"/>
      <c r="AA512" s="384"/>
      <c r="AB512" s="384"/>
      <c r="AC512" s="384"/>
      <c r="AD512" s="130">
        <f>(((L512/(L512-1)-1)*(1-_xlfn.XLOOKUP(K512,'Fevereiro 2023 - Valor Real'!A3:A15,'Fevereiro 2023 - Valor Real'!C3:C15,0))+1))</f>
        <v>1.9523809523809526</v>
      </c>
      <c r="AE512" s="131">
        <f>IF(L512="","",IF(L513&gt;0,(SUM(((L511-1)*(1-_xlfn.XLOOKUP(K511,'Fevereiro 2023 - Valor Real'!A3:A15,'Fevereiro 2023 - Valor Real'!C3:C15,0))+1),((L512-1)*(1-_xlfn.XLOOKUP(K512,'Fevereiro 2023 - Valor Real'!A3:A15,'Fevereiro 2023 - Valor Real'!C3:C15,0))+1),((L513-1)*(1-_xlfn.XLOOKUP(K513,'Fevereiro 2023 - Valor Real'!A3:A15,'Fevereiro 2023 - Valor Real'!C3:C15,0))+1))/((L512-1)*(1-_xlfn.XLOOKUP(K512,'Fevereiro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Real'!C3:C15,0))+1))/((L511-1)*(1-_xlfn.XLOOKUP(K511,'Fevereiro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Real'!C3:C15,0))+1))/((L512-1)*(1-_xlfn.XLOOKUP(K512,'Fevereiro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Real'!C3:C15,0))+1))/((L513-1)*(1-_xlfn.XLOOKUP(K513,'Fevereiro 2023 - Valor Real'!A3:A15,'Fevereiro 2023 - Valor Real'!C3:C15,0))+1)),IF(I512="Lay",IF(I511="Lay",((L511/(L511-1)-1)*(1-_xlfn.XLOOKUP(K511,'Fevereiro 2023 - Valor Real'!A3:A15,'Fevereiro 2023 - Valor Real'!C3:C15,0))+1)/(((L511/(L511-1)-1)*(1-_xlfn.XLOOKUP(K511,'Fevereiro 2023 - Valor Real'!A3:A15,'Fevereiro 2023 - Valor Real'!C3:C15,0))+1)+((L512/(L512-1)-1)*(1-_xlfn.XLOOKUP(K512,'Fevereiro 2023 - Valor Real'!A3:A15,'Fevereiro 2023 - Valor Real'!C3:C15,0))+1)),((L511-1)*(1-_xlfn.XLOOKUP(K511,'Fevereiro 2023 - Valor Real'!A3:A15,'Fevereiro 2023 - Valor Real'!C3:C15,0))+1)/(((L511-1)*(1-_xlfn.XLOOKUP(K511,'Fevereiro 2023 - Valor Real'!A3:A15,'Fevereiro 2023 - Valor Real'!C3:C15,0))+1)+((L512/(L512-1)-1)*(1-_xlfn.XLOOKUP(K512,'Fevereiro 2023 - Valor Real'!A3:A15,'Fevereiro 2023 - Valor Real'!C3:C15,0))+1))),IF(I511="Lay",((L511/(L511-1)-1)*(1-_xlfn.XLOOKUP(K511,'Fevereiro 2023 - Valor Real'!A3:A15,'Fevereiro 2023 - Valor Real'!C3:C15,0))+1)/((((L511/(L511-1)-1)*(1-_xlfn.XLOOKUP(K511,'Fevereiro 2023 - Valor Real'!A3:A15,'Fevereiro 2023 - Valor Real'!C3:C15,0))+1))+((L512-1)*(1-_xlfn.XLOOKUP(K512,'Fevereiro 2023 - Valor Real'!A3:A15,'Fevereiro 2023 - Valor Real'!C3:C15,0))+1)),((L511-1)*(1-_xlfn.XLOOKUP(K511,'Fevereiro 2023 - Valor Real'!A3:A15,'Fevereiro 2023 - Valor Real'!C3:C15,0))+1)/(((L511-1)*(1-_xlfn.XLOOKUP(K511,'Fevereiro 2023 - Valor Real'!A3:A15,'Fevereiro 2023 - Valor Real'!C3:C15,0))+1)+((L512-1)*(1-_xlfn.XLOOKUP(K512,'Fevereiro 2023 - Valor Real'!A3:A15,'Fevereiro 2023 - Valor Real'!C3:C15,0))+1))))))</f>
        <v>0.51990632318501184</v>
      </c>
      <c r="AF512" s="105">
        <f t="shared" si="1007"/>
        <v>0</v>
      </c>
      <c r="AG512" s="106">
        <f t="shared" si="1007"/>
        <v>0</v>
      </c>
      <c r="AH512" s="106">
        <f t="shared" si="1007"/>
        <v>0</v>
      </c>
      <c r="AI512" s="106">
        <f t="shared" si="1007"/>
        <v>0</v>
      </c>
      <c r="AJ512" s="106">
        <f t="shared" si="1007"/>
        <v>0</v>
      </c>
      <c r="AK512" s="106">
        <f t="shared" si="1007"/>
        <v>0</v>
      </c>
      <c r="AL512" s="106">
        <f t="shared" si="1007"/>
        <v>0</v>
      </c>
      <c r="AM512" s="106">
        <f t="shared" si="1007"/>
        <v>0</v>
      </c>
      <c r="AN512" s="106">
        <f t="shared" si="1007"/>
        <v>0</v>
      </c>
      <c r="AO512" s="106">
        <f t="shared" si="1007"/>
        <v>0</v>
      </c>
      <c r="AP512" s="106">
        <f t="shared" si="1007"/>
        <v>0</v>
      </c>
      <c r="AQ512" s="106">
        <f t="shared" si="1007"/>
        <v>13.07</v>
      </c>
      <c r="AR512" s="107">
        <f t="shared" si="1007"/>
        <v>0</v>
      </c>
      <c r="AS512" s="105">
        <f>IF(AND($B511=" ",$K512=AS$3),$O512,0)</f>
        <v>0</v>
      </c>
      <c r="AT512" s="106">
        <f>IF(AND($B511=" ",K512=AT$3),$O512,0)</f>
        <v>0</v>
      </c>
      <c r="AU512" s="106">
        <f t="shared" ref="AU512:BE512" si="1020">IF(AND($B511=" ",$K512=AU$3),$O512,0)</f>
        <v>0</v>
      </c>
      <c r="AV512" s="106">
        <f t="shared" si="1020"/>
        <v>0</v>
      </c>
      <c r="AW512" s="106">
        <f t="shared" si="1020"/>
        <v>0</v>
      </c>
      <c r="AX512" s="106">
        <f t="shared" si="1020"/>
        <v>0</v>
      </c>
      <c r="AY512" s="108">
        <f t="shared" si="1020"/>
        <v>0</v>
      </c>
      <c r="AZ512" s="109">
        <f t="shared" si="1020"/>
        <v>0</v>
      </c>
      <c r="BA512" s="109">
        <f t="shared" si="1020"/>
        <v>0</v>
      </c>
      <c r="BB512" s="109">
        <f t="shared" si="1020"/>
        <v>0</v>
      </c>
      <c r="BC512" s="110">
        <f t="shared" si="1020"/>
        <v>0</v>
      </c>
      <c r="BD512" s="106">
        <f t="shared" si="1020"/>
        <v>0</v>
      </c>
      <c r="BE512" s="107">
        <f t="shared" si="1020"/>
        <v>0</v>
      </c>
      <c r="BF512" s="105">
        <f t="shared" si="1009"/>
        <v>0</v>
      </c>
      <c r="BG512" s="106">
        <f t="shared" si="1009"/>
        <v>0</v>
      </c>
      <c r="BH512" s="106">
        <f t="shared" si="1009"/>
        <v>0</v>
      </c>
      <c r="BI512" s="106">
        <f t="shared" si="1009"/>
        <v>0</v>
      </c>
      <c r="BJ512" s="106">
        <f t="shared" si="1009"/>
        <v>0</v>
      </c>
      <c r="BK512" s="106">
        <f t="shared" si="1009"/>
        <v>0</v>
      </c>
      <c r="BL512" s="106">
        <f t="shared" si="1009"/>
        <v>0</v>
      </c>
      <c r="BM512" s="132">
        <f t="shared" si="1009"/>
        <v>0</v>
      </c>
      <c r="BN512" s="112">
        <f t="shared" si="1009"/>
        <v>0</v>
      </c>
      <c r="BO512" s="112">
        <f t="shared" si="1009"/>
        <v>0</v>
      </c>
      <c r="BP512" s="112">
        <f t="shared" si="1009"/>
        <v>0</v>
      </c>
      <c r="BQ512" s="110">
        <f t="shared" si="1009"/>
        <v>12.45</v>
      </c>
      <c r="BR512" s="107">
        <f t="shared" si="1009"/>
        <v>0</v>
      </c>
      <c r="BS512" s="464"/>
      <c r="BT512" s="461"/>
      <c r="BU512" s="392"/>
      <c r="BV512" s="461"/>
      <c r="BW512" s="392"/>
      <c r="BX512" s="392"/>
      <c r="BY512" s="392"/>
      <c r="BZ512" s="461"/>
      <c r="CA512" s="392"/>
      <c r="CB512" s="392"/>
      <c r="CC512" s="392"/>
      <c r="CD512" s="401"/>
      <c r="CE512" s="409"/>
      <c r="CF512" s="133">
        <f t="shared" si="899"/>
        <v>0</v>
      </c>
      <c r="CG512" s="134">
        <f t="shared" si="900"/>
        <v>0</v>
      </c>
      <c r="CH512" s="134">
        <f t="shared" si="901"/>
        <v>0</v>
      </c>
      <c r="CI512" s="134">
        <f t="shared" si="902"/>
        <v>0</v>
      </c>
      <c r="CJ512" s="134">
        <f t="shared" si="903"/>
        <v>0</v>
      </c>
      <c r="CK512" s="134">
        <f t="shared" si="904"/>
        <v>0</v>
      </c>
      <c r="CL512" s="134">
        <f t="shared" si="905"/>
        <v>0</v>
      </c>
      <c r="CM512" s="134">
        <f t="shared" si="906"/>
        <v>0</v>
      </c>
      <c r="CN512" s="134">
        <f t="shared" si="907"/>
        <v>0</v>
      </c>
      <c r="CO512" s="134">
        <f t="shared" si="908"/>
        <v>0</v>
      </c>
      <c r="CP512" s="134">
        <f t="shared" si="909"/>
        <v>0</v>
      </c>
      <c r="CQ512" s="134">
        <f t="shared" si="910"/>
        <v>0</v>
      </c>
      <c r="CR512" s="134">
        <f t="shared" si="911"/>
        <v>0</v>
      </c>
      <c r="CS512" s="134">
        <f t="shared" si="912"/>
        <v>0</v>
      </c>
      <c r="CT512" s="115">
        <f t="shared" si="913"/>
        <v>0</v>
      </c>
      <c r="CU512" s="116">
        <f t="shared" si="914"/>
        <v>0</v>
      </c>
      <c r="CV512" s="116">
        <f t="shared" si="915"/>
        <v>0</v>
      </c>
      <c r="CW512" s="116">
        <f t="shared" si="916"/>
        <v>0</v>
      </c>
      <c r="CX512" s="116">
        <f t="shared" si="917"/>
        <v>0</v>
      </c>
      <c r="CY512" s="116">
        <f t="shared" si="918"/>
        <v>0</v>
      </c>
      <c r="CZ512" s="116">
        <f t="shared" si="919"/>
        <v>0</v>
      </c>
      <c r="DA512" s="116">
        <f t="shared" si="920"/>
        <v>0</v>
      </c>
      <c r="DB512" s="116">
        <f t="shared" si="921"/>
        <v>1</v>
      </c>
      <c r="DC512" s="116">
        <f t="shared" si="922"/>
        <v>0</v>
      </c>
      <c r="DD512" s="116">
        <f t="shared" si="923"/>
        <v>0</v>
      </c>
      <c r="DE512" s="117">
        <f t="shared" si="924"/>
        <v>0</v>
      </c>
      <c r="DF512" s="118">
        <f t="shared" si="926"/>
        <v>33</v>
      </c>
      <c r="DG512" s="106">
        <f t="shared" si="927"/>
        <v>43.031999999999989</v>
      </c>
      <c r="DH512" s="116">
        <f t="shared" si="928"/>
        <v>13</v>
      </c>
      <c r="DI512" s="106">
        <f t="shared" si="929"/>
        <v>56.05</v>
      </c>
      <c r="DJ512" s="201" t="str">
        <f>IF($D511="","",$D511)</f>
        <v>16</v>
      </c>
      <c r="DK512" s="466"/>
    </row>
    <row r="513" spans="1:115" ht="14.5" customHeight="1" x14ac:dyDescent="0.2">
      <c r="A513" s="390"/>
      <c r="B513" s="457"/>
      <c r="C513" s="135" t="s">
        <v>53</v>
      </c>
      <c r="D513" s="375"/>
      <c r="E513" s="387"/>
      <c r="F513" s="378"/>
      <c r="G513" s="484"/>
      <c r="H513" s="477"/>
      <c r="I513" s="136"/>
      <c r="J513" s="137"/>
      <c r="K513" s="138"/>
      <c r="L513" s="139"/>
      <c r="M513" s="140"/>
      <c r="N513" s="407"/>
      <c r="O513" s="141" t="str">
        <f>IF(OR(AE511="",AE512=""),"",IF(L513&gt;0,ROUND(IF(M513&gt;0,M513,IF(M511&gt;0,ROUND((M511*AE513)/AE511,IF(N511=0,2,IF(N511=0.1,1,0))),IF(M512&gt;0,ROUND((M512*AE513)/AE512,IF(N511=0,2,IF(N511=0.1,1,0))),IF(M513&gt;0,M513,0)))),2),""))</f>
        <v/>
      </c>
      <c r="P513" s="142" t="str">
        <f>IF(I512="Lay",O512*(L512/(L512-1))-O512,IF(I511="Lay",O511*(L511/(L511-1))-O511,IF(OR(L513="",O513=""),"",IF($C513="1/2W",O513/2+O513/2*L513,IF($C513="1/2L",O513/2,(O513*L513-O513)*(1-_xlfn.XLOOKUP(K513,'Fevereiro 2023 - Valor Real'!A3:A15,'Fevereiro 2023 - Valor Real'!C3:C15,0))+O513)))))</f>
        <v/>
      </c>
      <c r="Q513" s="143" t="str">
        <f>IF(K513="","",IF(_xlfn.XLOOKUP(K513,K$4:K512,$DJ$4:DJ512,0,,-1)=DJ513,_xlfn.XLOOKUP(K513,K$4:K512,Q$4:Q512,1,,-1)+1,1))</f>
        <v/>
      </c>
      <c r="R513" s="144" t="str">
        <f>IF(K513="","",_xlfn.XLOOKUP(K513,K$4:K512,R$4:R512,0,,-1)+IF($C513=" ",1,0))</f>
        <v/>
      </c>
      <c r="S513" s="404"/>
      <c r="T513" s="378"/>
      <c r="U513" s="378"/>
      <c r="V513" s="404"/>
      <c r="W513" s="378"/>
      <c r="X513" s="453"/>
      <c r="Y513" s="383"/>
      <c r="Z513" s="384"/>
      <c r="AA513" s="384"/>
      <c r="AB513" s="384"/>
      <c r="AC513" s="384"/>
      <c r="AD513" s="145">
        <f>((L512/(L512-1)-1))</f>
        <v>0.95238095238095255</v>
      </c>
      <c r="AE513" s="146" t="str">
        <f>IF(L513="","",(SUM(((L511-1)*(1-_xlfn.XLOOKUP(K511,'Fevereiro 2023 - Valor Real'!A3:A15,'Fevereiro 2023 - Valor Real'!C3:C15,0))+1),((L512-1)*(1-_xlfn.XLOOKUP(K512,'Fevereiro 2023 - Valor Real'!A3:A15,'Fevereiro 2023 - Valor Real'!C3:C15,0))+1),((L513-1)*(1-_xlfn.XLOOKUP(K513,'Fevereiro 2023 - Valor Real'!A3:A15,'Fevereiro 2023 - Valor Real'!C3:C15,0))+1))/((L513-1)*(1-_xlfn.XLOOKUP(K513,'Fevereiro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Real'!C3:C15,0))+1))/((L511-1)*(1-_xlfn.XLOOKUP(K511,'Fevereiro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Real'!C3:C15,0))+1))/((L512-1)*(1-_xlfn.XLOOKUP(K512,'Fevereiro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Real'!C3:C15,0))+1))/((L513-1)*(1-_xlfn.XLOOKUP(K513,'Fevereiro 2023 - Valor Real'!A3:A15,'Fevereiro 2023 - Valor Real'!C3:C15,0))+1)))</f>
        <v/>
      </c>
      <c r="AF513" s="105">
        <f t="shared" si="1007"/>
        <v>0</v>
      </c>
      <c r="AG513" s="106">
        <f t="shared" si="1007"/>
        <v>0</v>
      </c>
      <c r="AH513" s="106">
        <f t="shared" si="1007"/>
        <v>0</v>
      </c>
      <c r="AI513" s="106">
        <f t="shared" si="1007"/>
        <v>0</v>
      </c>
      <c r="AJ513" s="106">
        <f t="shared" si="1007"/>
        <v>0</v>
      </c>
      <c r="AK513" s="106">
        <f t="shared" si="1007"/>
        <v>0</v>
      </c>
      <c r="AL513" s="106">
        <f t="shared" si="1007"/>
        <v>0</v>
      </c>
      <c r="AM513" s="106">
        <f t="shared" si="1007"/>
        <v>0</v>
      </c>
      <c r="AN513" s="106">
        <f t="shared" si="1007"/>
        <v>0</v>
      </c>
      <c r="AO513" s="106">
        <f t="shared" si="1007"/>
        <v>0</v>
      </c>
      <c r="AP513" s="106">
        <f t="shared" si="1007"/>
        <v>0</v>
      </c>
      <c r="AQ513" s="106">
        <f t="shared" si="1007"/>
        <v>0</v>
      </c>
      <c r="AR513" s="107">
        <f t="shared" si="1007"/>
        <v>0</v>
      </c>
      <c r="AS513" s="105">
        <f>IF(AND($B511=" ",$K513=AS$3),$O513,0)</f>
        <v>0</v>
      </c>
      <c r="AT513" s="106">
        <f>IF(AND($B511=" ",K513=AT$3),$O513,0)</f>
        <v>0</v>
      </c>
      <c r="AU513" s="106">
        <f t="shared" ref="AU513:BE513" si="1021">IF(AND($B511=" ",$K513=AU$3),$O513,0)</f>
        <v>0</v>
      </c>
      <c r="AV513" s="106">
        <f t="shared" si="1021"/>
        <v>0</v>
      </c>
      <c r="AW513" s="106">
        <f t="shared" si="1021"/>
        <v>0</v>
      </c>
      <c r="AX513" s="106">
        <f t="shared" si="1021"/>
        <v>0</v>
      </c>
      <c r="AY513" s="108">
        <f t="shared" si="1021"/>
        <v>0</v>
      </c>
      <c r="AZ513" s="109">
        <f t="shared" si="1021"/>
        <v>0</v>
      </c>
      <c r="BA513" s="109">
        <f t="shared" si="1021"/>
        <v>0</v>
      </c>
      <c r="BB513" s="109">
        <f t="shared" si="1021"/>
        <v>0</v>
      </c>
      <c r="BC513" s="110">
        <f t="shared" si="1021"/>
        <v>0</v>
      </c>
      <c r="BD513" s="106">
        <f t="shared" si="1021"/>
        <v>0</v>
      </c>
      <c r="BE513" s="107">
        <f t="shared" si="1021"/>
        <v>0</v>
      </c>
      <c r="BF513" s="105">
        <f t="shared" si="1009"/>
        <v>0</v>
      </c>
      <c r="BG513" s="106">
        <f t="shared" si="1009"/>
        <v>0</v>
      </c>
      <c r="BH513" s="106">
        <f t="shared" si="1009"/>
        <v>0</v>
      </c>
      <c r="BI513" s="106">
        <f t="shared" si="1009"/>
        <v>0</v>
      </c>
      <c r="BJ513" s="106">
        <f t="shared" si="1009"/>
        <v>0</v>
      </c>
      <c r="BK513" s="106">
        <f t="shared" si="1009"/>
        <v>0</v>
      </c>
      <c r="BL513" s="106">
        <f t="shared" si="1009"/>
        <v>0</v>
      </c>
      <c r="BM513" s="108">
        <f t="shared" si="1009"/>
        <v>0</v>
      </c>
      <c r="BN513" s="109">
        <f t="shared" si="1009"/>
        <v>0</v>
      </c>
      <c r="BO513" s="109">
        <f t="shared" si="1009"/>
        <v>0</v>
      </c>
      <c r="BP513" s="109">
        <f t="shared" si="1009"/>
        <v>0</v>
      </c>
      <c r="BQ513" s="110">
        <f t="shared" si="1009"/>
        <v>0</v>
      </c>
      <c r="BR513" s="107">
        <f t="shared" si="1009"/>
        <v>0</v>
      </c>
      <c r="BS513" s="464"/>
      <c r="BT513" s="461"/>
      <c r="BU513" s="392"/>
      <c r="BV513" s="461"/>
      <c r="BW513" s="392"/>
      <c r="BX513" s="392"/>
      <c r="BY513" s="392"/>
      <c r="BZ513" s="461"/>
      <c r="CA513" s="392"/>
      <c r="CB513" s="392"/>
      <c r="CC513" s="392"/>
      <c r="CD513" s="401"/>
      <c r="CE513" s="409"/>
      <c r="CF513" s="133">
        <f t="shared" si="899"/>
        <v>0</v>
      </c>
      <c r="CG513" s="134">
        <f t="shared" si="900"/>
        <v>0</v>
      </c>
      <c r="CH513" s="134">
        <f t="shared" si="901"/>
        <v>0</v>
      </c>
      <c r="CI513" s="134">
        <f t="shared" si="902"/>
        <v>0</v>
      </c>
      <c r="CJ513" s="134">
        <f t="shared" si="903"/>
        <v>0</v>
      </c>
      <c r="CK513" s="134">
        <f t="shared" si="904"/>
        <v>0</v>
      </c>
      <c r="CL513" s="134">
        <f t="shared" si="905"/>
        <v>0</v>
      </c>
      <c r="CM513" s="134">
        <f t="shared" si="906"/>
        <v>0</v>
      </c>
      <c r="CN513" s="134">
        <f t="shared" si="907"/>
        <v>0</v>
      </c>
      <c r="CO513" s="134">
        <f t="shared" si="908"/>
        <v>0</v>
      </c>
      <c r="CP513" s="134">
        <f t="shared" si="909"/>
        <v>0</v>
      </c>
      <c r="CQ513" s="134">
        <f t="shared" si="910"/>
        <v>0</v>
      </c>
      <c r="CR513" s="134">
        <f t="shared" si="911"/>
        <v>0</v>
      </c>
      <c r="CS513" s="134">
        <f t="shared" si="912"/>
        <v>0</v>
      </c>
      <c r="CT513" s="115">
        <f t="shared" si="913"/>
        <v>0</v>
      </c>
      <c r="CU513" s="116">
        <f t="shared" si="914"/>
        <v>0</v>
      </c>
      <c r="CV513" s="116">
        <f t="shared" si="915"/>
        <v>0</v>
      </c>
      <c r="CW513" s="116">
        <f t="shared" si="916"/>
        <v>0</v>
      </c>
      <c r="CX513" s="116">
        <f t="shared" si="917"/>
        <v>0</v>
      </c>
      <c r="CY513" s="116">
        <f t="shared" si="918"/>
        <v>0</v>
      </c>
      <c r="CZ513" s="116">
        <f t="shared" si="919"/>
        <v>0</v>
      </c>
      <c r="DA513" s="116">
        <f t="shared" si="920"/>
        <v>0</v>
      </c>
      <c r="DB513" s="116">
        <f t="shared" si="921"/>
        <v>0</v>
      </c>
      <c r="DC513" s="116">
        <f t="shared" si="922"/>
        <v>0</v>
      </c>
      <c r="DD513" s="116">
        <f t="shared" si="923"/>
        <v>0</v>
      </c>
      <c r="DE513" s="117">
        <f t="shared" si="924"/>
        <v>0</v>
      </c>
      <c r="DF513" s="118">
        <f t="shared" si="926"/>
        <v>33</v>
      </c>
      <c r="DG513" s="106">
        <f t="shared" si="927"/>
        <v>43.031999999999989</v>
      </c>
      <c r="DH513" s="116">
        <f t="shared" si="928"/>
        <v>13</v>
      </c>
      <c r="DI513" s="106">
        <f t="shared" si="929"/>
        <v>56.05</v>
      </c>
      <c r="DJ513" s="201" t="str">
        <f>IF($D511="","",$D511)</f>
        <v>16</v>
      </c>
      <c r="DK513" s="466"/>
    </row>
    <row r="514" spans="1:115" ht="14.5" customHeight="1" x14ac:dyDescent="0.2">
      <c r="A514" s="487">
        <f>$A511+1</f>
        <v>171</v>
      </c>
      <c r="B514" s="506" t="str">
        <f>IF(OR(C514="W",C515="W",C516="W",C514="1/2W",C515="1/2W",C516="1/2W",C514="1/2L",C515="1/2L",C516="1/2L"),"OK",IF(OR(C514="L",C515="L",C516="L"),"LOSS",IF(OR(C514="X",C515="X",C516="X"),"Anulado"," ")))</f>
        <v>OK</v>
      </c>
      <c r="C514" s="147" t="s">
        <v>54</v>
      </c>
      <c r="D514" s="494" t="str">
        <f>IF(G514="","",$D511)</f>
        <v>16</v>
      </c>
      <c r="E514" s="511" t="str">
        <f>IF(G514=""," ","– "&amp;COUNTIF(D$4:D516,$D514))</f>
        <v>– 3</v>
      </c>
      <c r="F514" s="510" t="str">
        <f ca="1">IF(G514="","",IF(OR(AND($C514&lt;&gt;" ",$C515=" "),AND($C515&lt;&gt;" ",$C514=" "),AND(L516&gt;0,OR(AND($C516&lt;&gt;" ",OR($C514=" ",$C515=" ")),AND($C516=" ",OR($C514&lt;&gt;" ",$C515&lt;&gt;" "))))),IF(SUM(F$4:F513)=0,1,LARGE(F$4:F513,1)+1),IF(MONTH(G514)=MONTH(TODAY()),IF(AND(DAY(G514)&lt;DAY(TODAY()),$B514=" "),IF(SUM(F$4:F513)=0,1,LARGE(F$4:F513,1)+1),IF($B514=" ",IF(AND(DAY(G514)=DAY(TODAY()),HOUR(G514)&lt;=HOUR(NOW())+1),IF(AND(HOUR(G514)+2&lt;=HOUR(NOW()),DAY(G514)&lt;=DAY(TODAY()),MINUTE(G514)&lt;=MINUTE(NOW())),IF(SUM(F$4:F513)=0,1,LARGE(F$4:F513,1)+1),IF(OR(MINUTE(G514)&lt;=MINUTE(NOW()),HOUR(G514)&lt;=HOUR(NOW())),"!!!","")),""),"")),"")))</f>
        <v/>
      </c>
      <c r="G514" s="508">
        <v>45002.479166666664</v>
      </c>
      <c r="H514" s="502" t="s">
        <v>204</v>
      </c>
      <c r="I514" s="180" t="s">
        <v>66</v>
      </c>
      <c r="J514" s="181">
        <v>-2.5</v>
      </c>
      <c r="K514" s="150" t="s">
        <v>40</v>
      </c>
      <c r="L514" s="151">
        <v>2.2999999999999998</v>
      </c>
      <c r="M514" s="152">
        <v>8.65</v>
      </c>
      <c r="N514" s="503">
        <v>0</v>
      </c>
      <c r="O514" s="153">
        <f>IF(OR(AE514="",AE515=""),"",ROUND(IF(L516&gt;0,IF(M514&gt;0,M514,IF(M515&gt;0,ROUND((M515*AE514)/AE515,IF(N514=0,2,IF(N514=0.1,1,0))),ROUND((M516*AE514)/AE516,IF(N514=0,2,IF(N514=0.1,1,0))))),IF(M514&gt;0,M514,ROUND((M515*AE514)/AE515,IF(N514=0,2,IF(N514=0.1,1,0))))),2))</f>
        <v>8.65</v>
      </c>
      <c r="P514" s="154">
        <f>IF(OR(L514="",O514=""),"",IF($C514="1/2W",O514/2+O514/2*L514,IF($C514="1/2L",O514/2,IF(I514="Lay",(O514*(L514/(L514-1))-O514)*(1-_xlfn.XLOOKUP(K514,'Fevereiro 2023 - Valor Real'!A3:A15,'Fevereiro 2023 - Valor Real'!C3:C15,0))+O514,(O514*L514-O514)*(1-_xlfn.XLOOKUP(K514,'Fevereiro 2023 - Valor Real'!A3:A15,'Fevereiro 2023 - Valor Real'!C3:C15,0))+O514))))</f>
        <v>19.895</v>
      </c>
      <c r="Q514" s="155">
        <f>IF(K514="","",IF(_xlfn.XLOOKUP(K514,K$9:K506,$DJ$9:DJ506,0,,-1)=DJ514,_xlfn.XLOOKUP(K514,K$9:K506,Q$9:Q506,1,,-1)+1,1))</f>
        <v>1</v>
      </c>
      <c r="R514" s="156">
        <f>IF(K514="","",_xlfn.XLOOKUP(K514,K$9:K506,R$9:R506,0,,-1)+IF($C514=" ",1,0))</f>
        <v>0</v>
      </c>
      <c r="S514" s="501">
        <f>IF($B514="Anulado",0,ROUND(IF(OR($B514="LOSS",$B514="OK"),IF(OR($C514="W",$C514="1/2W",$C514="1/2L"),P514-O514,IF($C514="L",-O514,0))+IF(OR($C515="W",$C515="1/2W",$C515="1/2L"),P515-O515,IF($C515="L",-O515,0))+IF(OR($C516="W",$C516="1/2W",$C516="1/2L"),P516-O516,IF($C516="L",-O516,0)),IF(AND(OR($C514="W",$C514="1/2W",$C514="1/2L"),C515="W"),P514+P515-SUM(O514:O516)+_xlfn.XLOOKUP("X",C514:C516,O514:O516,0),IF(AND(C514=TRUE,C516="W"),P514+P516-SUM(O514:O516),IF(AND(C515="W",C516="W"),P515+P516-SUM(O514:O516)+_xlfn.XLOOKUP("X",C514:C516,O514:O516,0),IF(L516&gt;0,IF(OR($C514="W",$C514="1/2W",$C514="1/2L"),P514-SUM(O514:O516)+_xlfn.XLOOKUP("X",C514:C516,O514:O516,0),IF(OR($C514="W",$C514="1/2W",$C514="1/2L"),P515-SUM(O514:O516)+_xlfn.XLOOKUP("X",C514:C516,O514:O516,0),IF(OR($C514="W",$C514="1/2W",$C514="1/2L"),P516-SUM(O514:O516)+_xlfn.XLOOKUP("X",C514:C516,O514:O516,0),IF(SUM(P514:P516)/3-SUM(O514:O516)+_xlfn.XLOOKUP("X",C514:C516,O514:O516,0)&gt;0,SUM(P514:P516)/3-SUM(O514:O516)+_xlfn.XLOOKUP("X",C514:C516,O514:O516,0),LARGE(P514:P516,1)-SUM(O514:O516))))),IF(OR($C514="W",$C514="1/2W",$C514="1/2L"),P514-SUM(O514:O515)+_xlfn.XLOOKUP("X",C514:C516,O514:O516,0),IF(OR($C514="W",$C514="1/2W",$C514="1/2L"),P515-SUM(O514:O515)+_xlfn.XLOOKUP("X",C514:C516,O514:O516,0),SUM(P514:P515)/2-SUM(O514:O515)+_xlfn.XLOOKUP("X",C514:C516,O514:O516,0)))))))),2))</f>
        <v>1.2</v>
      </c>
      <c r="T514" s="486">
        <f>IF(S514=0,0,S514/SUM(O514:O516))</f>
        <v>6.4171122994652399E-2</v>
      </c>
      <c r="U514" s="496">
        <f>IF($D514=$D511,IF(OR($B514="LOSS",$B514="OK",$B514="Anulada"),S514,0)+U511,IF(OR($B514="LOSS",$B514="OK",$B514="Anulada"),S514,0))</f>
        <v>4.3500000000000005</v>
      </c>
      <c r="V514" s="496">
        <f>IF($D514="",0,IF($D514=$D511,IF($B514=" ",IF(I516="",IF(OR(AND(I514="DNB1",I515="DNB2"),AND(OR(I514="DNB1",I514="DNB2"),J515=0),AND(OR(I515="DNB1",I515="DNB2"),J514=0),AND(I514="DNB2",I515="DNB1"),AND(IF(J514=0,(J514+1)/ROUND(J514+1,0),J514/ROUND(J514,0))=1,IF(J515=0,(J515+1)/ROUND(IF(J515="",0,J515)+1,0),IF(J515="",0,J515)/ROUND(IF(J515="",1,J515),0))=1,OR(J514&lt;&gt;""),J515&lt;&gt;"")),0,IF(S514&lt;0,IF(I516="",SMALL(P514:P515,1)-SUM(O514:O515),0),SMALL(P514:P515,1)-SUM(O514:O515))),IF(S514&lt;0,IF(I516="",SMALL(P514:P516,1)-SUM(O514:O516),0),LARGE(P514:P516,1)-SUM(O514:O516))),S514)+V511,IF(I516="",IF(OR(AND(I514="DNB1",I515="DNB2"),AND(OR(I514="DNB1",I514="DNB2"),J515=0),AND(OR(I515="DNB1",I515="DNB2"),J514=0),AND(I514="DNB2",I515="DNB1"),AND(IF(J514=0,(J514+1)/ROUND(J514+1,0),J514/ROUND(J514,0))=1,IF(J515=0,(IF(J515="",0,J515)+1)/ROUND(IF(J515="",0,J515)+1,0),IF(J515="",0,J515)/ROUND(IF(J515="",0,J515)+1,0))=1,OR(J514&lt;&gt;""),J515&lt;&gt;"")),0,IF(S514&lt;0,IF(I516="",SMALL(P514:P515,1)-SUM(O514:O515),0),SMALL(P514:P516,1)-SUM(O514:O516))),IF(S514&lt;0,IF(I516="",SMALL(P514:P516,1)-SUM(O514:O516),0),LARGE(P514:P516,1)-SUM(O514:O516)))))</f>
        <v>4.3452000000000028</v>
      </c>
      <c r="W514" s="496">
        <f>IF($D514=$D511,IF(S514&lt;0,IF(I516="",S514,0),S514)+W511,S514)</f>
        <v>4.3500000000000005</v>
      </c>
      <c r="X514" s="505" t="str">
        <f>IF(OR(SUM(R514:R516)=0,V514=W514),ROUND(IF(W514=0,0,W514/Y514)*100,2)&amp;"%",ROUND(IF(V514=0,0,V514/Y514)*100,2)&amp;"% a "&amp;ROUND(IF(W514=0,0,W514/Y514)*100,2)&amp;"%")</f>
        <v>6,88%</v>
      </c>
      <c r="Y514" s="497">
        <f>IF($D514=$D511,Y511+SUM(O514:O516),SUM(O514:O516))</f>
        <v>63.230000000000004</v>
      </c>
      <c r="Z514" s="496">
        <f>IF($B514=" ",SUM(O514:O516),0)+Z511</f>
        <v>0</v>
      </c>
      <c r="AA514" s="496">
        <f>IF(G514="","",IF($B514="Anulado",LARGE(P514:P516,1)-SUM(O514:O516)+AA511,AA511))</f>
        <v>12.425099999999992</v>
      </c>
      <c r="AB514" s="496">
        <f>IF($D514="","",AB511+S514)</f>
        <v>602.4500000000005</v>
      </c>
      <c r="AC514" s="499">
        <f ca="1">IF($D514="","",IF($B514=" ",IF(DAY(G514)=DAY(TODAY()),1+AC511,0+AC511),0+AC511))</f>
        <v>0</v>
      </c>
      <c r="AD514" s="157">
        <f>(1-_xlfn.XLOOKUP(K512,'Fevereiro 2023 - Valor Real'!A3:A15,'Fevereiro 2023 - Valor Real'!C3:C15,0))+1</f>
        <v>2</v>
      </c>
      <c r="AE514" s="158">
        <f>IF(L514="","",IF(L516&gt;0,(SUM(((L514-1)*(1-_xlfn.XLOOKUP(K514,'Fevereiro 2023 - Valor Real'!A3:A15,'Fevereiro 2023 - Valor Real'!C3:C15,0))+1),((L515-1)*(1-_xlfn.XLOOKUP(K515,'Fevereiro 2023 - Valor Real'!A3:A15,'Fevereiro 2023 - Valor Real'!C3:C15,0))+1),((L516-1)*(1-_xlfn.XLOOKUP(K516,'Fevereiro 2023 - Valor Real'!A3:A15,'Fevereiro 2023 - Valor Real'!C3:C15,0))+1))/((L514-1)*(1-_xlfn.XLOOKUP(K514,'Fevereiro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Real'!C3:C15,0))+1))/((L514-1)*(1-_xlfn.XLOOKUP(K514,'Fevereiro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Real'!C3:C15,0))+1))/((L515-1)*(1-_xlfn.XLOOKUP(K515,'Fevereiro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Real'!C3:C15,0))+1))/((L516-1)*(1-_xlfn.XLOOKUP(K516,'Fevereiro 2023 - Valor Real'!A3:A15,'Fevereiro 2023 - Valor Real'!C3:C15,0))+1)),IF(I514="Lay",IF(I515="Lay",((L515/(L515-1)-1)*(1-_xlfn.XLOOKUP(K515,'Fevereiro 2023 - Valor Real'!A3:A15,'Fevereiro 2023 - Valor Real'!C3:C15,0))+1)/(((L515/(L515-1)-1)*(1-_xlfn.XLOOKUP(K515,'Fevereiro 2023 - Valor Real'!A3:A15,'Fevereiro 2023 - Valor Real'!C3:C15,0))+1)+((L514/(L514-1)-1)*(1-_xlfn.XLOOKUP(K514,'Fevereiro 2023 - Valor Real'!A3:A15,'Fevereiro 2023 - Valor Real'!C3:C15,0))+1)),((L515-1)*(1-_xlfn.XLOOKUP(K515,'Fevereiro 2023 - Valor Real'!A3:A15,'Fevereiro 2023 - Valor Real'!C3:C15,0))+1)/(((L515-1)*(1-_xlfn.XLOOKUP(K515,'Fevereiro 2023 - Valor Real'!A3:A15,'Fevereiro 2023 - Valor Real'!C3:C15,0))+1)+((L514/(L514-1)-1)*(1-_xlfn.XLOOKUP(K514,'Fevereiro 2023 - Valor Real'!A3:A15,'Fevereiro 2023 - Valor Real'!C3:C15,0))+1))),IF(I515="Lay",(((L515/(L515-1)-1)*(1-_xlfn.XLOOKUP(K515,'Fevereiro 2023 - Valor Real'!A3:A15,'Fevereiro 2023 - Valor Real'!C3:C15,0))+1))/(((L514-1)*(1-_xlfn.XLOOKUP(K514,'Fevereiro 2023 - Valor Real'!A3:A15,'Fevereiro 2023 - Valor Real'!C3:C15,0))+1)+((L515/(L515-1)-1)*(1-_xlfn.XLOOKUP(K515,'Fevereiro 2023 - Valor Real'!A3:A15,'Fevereiro 2023 - Valor Real'!C3:C15,0))+1)),((L515-1)*(1-_xlfn.XLOOKUP(K515,'Fevereiro 2023 - Valor Real'!A3:A15,'Fevereiro 2023 - Valor Real'!C3:C15,0))+1)/(((L515-1)*(1-_xlfn.XLOOKUP(K515,'Fevereiro 2023 - Valor Real'!A3:A15,'Fevereiro 2023 - Valor Real'!C3:C15,0))+1)+((L514-1)*(1-_xlfn.XLOOKUP(K514,'Fevereiro 2023 - Valor Real'!A3:A15,'Fevereiro 2023 - Valor Real'!C3:C15,0))+1))))))</f>
        <v>0.46261682242990659</v>
      </c>
      <c r="AF514" s="66">
        <f t="shared" ref="AF514:AR523" si="1022">IF($K514=AF$3,ROUND(IF(OR($C514="W",$C514="1/2W",$C514="1/2L"),$P514-$O514,IF($C514="X",0,-$O514)),2),0)</f>
        <v>0</v>
      </c>
      <c r="AG514" s="67">
        <f t="shared" si="1022"/>
        <v>0</v>
      </c>
      <c r="AH514" s="67">
        <f t="shared" si="1022"/>
        <v>0</v>
      </c>
      <c r="AI514" s="67">
        <f t="shared" si="1022"/>
        <v>0</v>
      </c>
      <c r="AJ514" s="67">
        <f t="shared" si="1022"/>
        <v>11.25</v>
      </c>
      <c r="AK514" s="67">
        <f t="shared" si="1022"/>
        <v>0</v>
      </c>
      <c r="AL514" s="67">
        <f t="shared" si="1022"/>
        <v>0</v>
      </c>
      <c r="AM514" s="67">
        <f t="shared" si="1022"/>
        <v>0</v>
      </c>
      <c r="AN514" s="67">
        <f t="shared" si="1022"/>
        <v>0</v>
      </c>
      <c r="AO514" s="67">
        <f t="shared" si="1022"/>
        <v>0</v>
      </c>
      <c r="AP514" s="67">
        <f t="shared" si="1022"/>
        <v>0</v>
      </c>
      <c r="AQ514" s="67">
        <f t="shared" si="1022"/>
        <v>0</v>
      </c>
      <c r="AR514" s="68">
        <f t="shared" si="1022"/>
        <v>0</v>
      </c>
      <c r="AS514" s="66">
        <f t="shared" ref="AS514:BE514" si="1023">IF(AND($B514=" ",$K514=AS$3),$O514,0)</f>
        <v>0</v>
      </c>
      <c r="AT514" s="67">
        <f t="shared" si="1023"/>
        <v>0</v>
      </c>
      <c r="AU514" s="67">
        <f t="shared" si="1023"/>
        <v>0</v>
      </c>
      <c r="AV514" s="67">
        <f t="shared" si="1023"/>
        <v>0</v>
      </c>
      <c r="AW514" s="67">
        <f t="shared" si="1023"/>
        <v>0</v>
      </c>
      <c r="AX514" s="67">
        <f t="shared" si="1023"/>
        <v>0</v>
      </c>
      <c r="AY514" s="69">
        <f t="shared" si="1023"/>
        <v>0</v>
      </c>
      <c r="AZ514" s="70">
        <f t="shared" si="1023"/>
        <v>0</v>
      </c>
      <c r="BA514" s="70">
        <f t="shared" si="1023"/>
        <v>0</v>
      </c>
      <c r="BB514" s="70">
        <f t="shared" si="1023"/>
        <v>0</v>
      </c>
      <c r="BC514" s="71">
        <f t="shared" si="1023"/>
        <v>0</v>
      </c>
      <c r="BD514" s="67">
        <f t="shared" si="1023"/>
        <v>0</v>
      </c>
      <c r="BE514" s="68">
        <f t="shared" si="1023"/>
        <v>0</v>
      </c>
      <c r="BF514" s="66">
        <f t="shared" ref="BF514:BR523" si="1024">IF($K514=BF$3,IF($C514="X",0,$O514),0)</f>
        <v>0</v>
      </c>
      <c r="BG514" s="67">
        <f t="shared" si="1024"/>
        <v>0</v>
      </c>
      <c r="BH514" s="67">
        <f t="shared" si="1024"/>
        <v>0</v>
      </c>
      <c r="BI514" s="67">
        <f t="shared" si="1024"/>
        <v>0</v>
      </c>
      <c r="BJ514" s="67">
        <f t="shared" si="1024"/>
        <v>8.65</v>
      </c>
      <c r="BK514" s="67">
        <f t="shared" si="1024"/>
        <v>0</v>
      </c>
      <c r="BL514" s="67">
        <f t="shared" si="1024"/>
        <v>0</v>
      </c>
      <c r="BM514" s="69">
        <f t="shared" si="1024"/>
        <v>0</v>
      </c>
      <c r="BN514" s="70">
        <f t="shared" si="1024"/>
        <v>0</v>
      </c>
      <c r="BO514" s="70">
        <f t="shared" si="1024"/>
        <v>0</v>
      </c>
      <c r="BP514" s="70">
        <f t="shared" si="1024"/>
        <v>0</v>
      </c>
      <c r="BQ514" s="71">
        <f t="shared" si="1024"/>
        <v>0</v>
      </c>
      <c r="BR514" s="68">
        <f t="shared" si="1024"/>
        <v>0</v>
      </c>
      <c r="BS514" s="490">
        <f>IF($B514="LOSS",IF(AND($K514=BS$3,$C514="L"),-$O514,0)+IF(AND($K515=BS$3,$C515="L"),-$O515,0)+IF(AND($K516=BS$3,$C516="L"),-$O516,0),IF(OR(AND($K514=BS$3,OR($C514="W",$C514="1/2W")),AND($K515=BS$3,OR($C515="W",$C515="1/2W")),AND($K516=BS$3,OR($C516="W",$C516="1/2W"))),$S514,0))</f>
        <v>0</v>
      </c>
      <c r="BT514" s="498">
        <f>IF($B514="LOSS",IF(AND($K514=BT$3,$C514="L"),-$O514,0)+IF(AND($K515=BT$3,$C515="L"),-$O515,0)+IF(AND($K515=BT$3,$C516="L"),-$O516,0),IF(OR(AND($K515=BT$3,OR($C514="W",$C514="1/2W")),AND($K515=BT$3,OR($C515="W",$C515="1/2W")),AND($K515=BT$3,OR($C516="W",$C516="1/2W"))),$S514,0))</f>
        <v>0</v>
      </c>
      <c r="BU514" s="488">
        <f>IF($B514="LOSS",IF(AND($K514=BU$3,$C514="L"),-$O514,0)+IF(AND($K515=BU$3,$C515="L"),-$O515,0)+IF(AND($K515=BU$3,$C516="L"),-$O516,0),IF(OR(AND($K515=BU$3,OR($C514="W",$C514="1/2W")),AND($K515=BU$3,OR($C515="W",$C515="1/2W")),AND($K515=BU$3,OR($C516="W",$C516="1/2W"))),$S514,0))</f>
        <v>0</v>
      </c>
      <c r="BV514" s="488">
        <f t="shared" ref="BV514:CE514" si="1025">IF($B514="LOSS",IF(AND($K514=BV$3,$C514="L"),-$O514,0)+IF(AND($K515=BV$3,$C515="L"),-$O515,0)+IF(AND($K516=BV$3,$C516="L"),-$O516,0),IF(OR(AND($K514=BV$3,OR($C514="W",$C514="1/2W")),AND($K515=BV$3,OR($C515="W",$C515="1/2W")),AND($K516=BV$3,OR($C516="W",$C516="1/2W"))),$S514,0))</f>
        <v>0</v>
      </c>
      <c r="BW514" s="488">
        <f t="shared" si="1025"/>
        <v>1.2</v>
      </c>
      <c r="BX514" s="488">
        <f t="shared" si="1025"/>
        <v>0</v>
      </c>
      <c r="BY514" s="488">
        <f t="shared" si="1025"/>
        <v>0</v>
      </c>
      <c r="BZ514" s="488">
        <f t="shared" si="1025"/>
        <v>0</v>
      </c>
      <c r="CA514" s="488">
        <f t="shared" si="1025"/>
        <v>0</v>
      </c>
      <c r="CB514" s="488">
        <f t="shared" si="1025"/>
        <v>0</v>
      </c>
      <c r="CC514" s="488">
        <f t="shared" si="1025"/>
        <v>0</v>
      </c>
      <c r="CD514" s="500">
        <f t="shared" si="1025"/>
        <v>0</v>
      </c>
      <c r="CE514" s="504">
        <f t="shared" si="1025"/>
        <v>0</v>
      </c>
      <c r="CF514" s="160">
        <f t="shared" si="899"/>
        <v>0</v>
      </c>
      <c r="CG514" s="161">
        <f t="shared" si="900"/>
        <v>0</v>
      </c>
      <c r="CH514" s="161">
        <f t="shared" si="901"/>
        <v>0</v>
      </c>
      <c r="CI514" s="161">
        <f t="shared" si="902"/>
        <v>0</v>
      </c>
      <c r="CJ514" s="161">
        <f t="shared" si="903"/>
        <v>0</v>
      </c>
      <c r="CK514" s="161">
        <f t="shared" si="904"/>
        <v>0</v>
      </c>
      <c r="CL514" s="161">
        <f t="shared" si="905"/>
        <v>0</v>
      </c>
      <c r="CM514" s="161">
        <f t="shared" si="906"/>
        <v>0</v>
      </c>
      <c r="CN514" s="161">
        <f t="shared" si="907"/>
        <v>1</v>
      </c>
      <c r="CO514" s="161">
        <f t="shared" si="908"/>
        <v>0</v>
      </c>
      <c r="CP514" s="161">
        <f t="shared" si="909"/>
        <v>0</v>
      </c>
      <c r="CQ514" s="161">
        <f t="shared" si="910"/>
        <v>0</v>
      </c>
      <c r="CR514" s="161">
        <f t="shared" si="911"/>
        <v>0</v>
      </c>
      <c r="CS514" s="161">
        <f t="shared" si="912"/>
        <v>0</v>
      </c>
      <c r="CT514" s="75">
        <f t="shared" si="913"/>
        <v>0</v>
      </c>
      <c r="CU514" s="76">
        <f t="shared" si="914"/>
        <v>0</v>
      </c>
      <c r="CV514" s="76">
        <f t="shared" si="915"/>
        <v>0</v>
      </c>
      <c r="CW514" s="76">
        <f t="shared" si="916"/>
        <v>0</v>
      </c>
      <c r="CX514" s="76">
        <f t="shared" si="917"/>
        <v>0</v>
      </c>
      <c r="CY514" s="76">
        <f t="shared" si="918"/>
        <v>0</v>
      </c>
      <c r="CZ514" s="76">
        <f t="shared" si="919"/>
        <v>0</v>
      </c>
      <c r="DA514" s="76">
        <f t="shared" si="920"/>
        <v>0</v>
      </c>
      <c r="DB514" s="76">
        <f t="shared" si="921"/>
        <v>0</v>
      </c>
      <c r="DC514" s="76">
        <f t="shared" si="922"/>
        <v>0</v>
      </c>
      <c r="DD514" s="76">
        <f t="shared" si="923"/>
        <v>0</v>
      </c>
      <c r="DE514" s="77">
        <f t="shared" si="924"/>
        <v>0</v>
      </c>
      <c r="DF514" s="73">
        <f t="shared" si="926"/>
        <v>33</v>
      </c>
      <c r="DG514" s="67">
        <f t="shared" si="927"/>
        <v>43.031999999999989</v>
      </c>
      <c r="DH514" s="76">
        <f t="shared" si="928"/>
        <v>13</v>
      </c>
      <c r="DI514" s="67">
        <f t="shared" si="929"/>
        <v>56.05</v>
      </c>
      <c r="DJ514" s="202" t="str">
        <f>IF($D514="","",$D514)</f>
        <v>16</v>
      </c>
      <c r="DK514" s="492">
        <f>IF(AND($B514=" ",$D514&lt;&gt;""),1,0)</f>
        <v>0</v>
      </c>
    </row>
    <row r="515" spans="1:115" ht="14.5" customHeight="1" x14ac:dyDescent="0.2">
      <c r="A515" s="389"/>
      <c r="B515" s="456"/>
      <c r="C515" s="53" t="s">
        <v>55</v>
      </c>
      <c r="D515" s="374"/>
      <c r="E515" s="386"/>
      <c r="F515" s="377"/>
      <c r="G515" s="508"/>
      <c r="H515" s="476"/>
      <c r="I515" s="182" t="s">
        <v>76</v>
      </c>
      <c r="J515" s="56">
        <f>IF(OR(I514="TO",I514="TU",I514="TO1",I514="TU1",I514="TO2",I514="TU2"),J514,IF(OR(I514="AH1",I514="AH2"),IF(OR(I515="AH1",I515="AH2"),-J514,IF(OR(I515="EH1",I515="EH2"),-J514+0.5,"")),IF(OR(I514="EH1",I514="EH2"),IF(OR(I515="AH1",I515="AH2"),-J514+0.5,IF(OR(I515="EH1",I515="EH2"),-J514+1,"")),IF(AND(OR(I514="DNB1",I514="DNB2"),OR(I515="AH1",I515="AH2")),0,IF(AND(I514="Not ScoreBoth",OR(I515="TO1",I515="TO2")),0.5,"")))))</f>
        <v>2.5</v>
      </c>
      <c r="K515" s="57" t="s">
        <v>43</v>
      </c>
      <c r="L515" s="164">
        <v>1.98</v>
      </c>
      <c r="M515" s="165"/>
      <c r="N515" s="406"/>
      <c r="O515" s="60">
        <f>IF(OR(AE514="",AE515=""),"",ROUND(IF(L516&gt;0,IF(M515&gt;0,M515,IF(M514&gt;0,IF(N514=TRUE,ROUND((M514*AE515)/AE514,0),(M514*AE515)/AE514),IF(M515&gt;0,ROUND(M515,IF(N514=0,2,IF(N514=0.1,1,0))),IF(M516&gt;0,ROUND(O516*AE515/AE516,IF(N514=0,2,IF(N514=0.1,1,0))),0)))),IF(M515&gt;0,M515,ROUND((M514*AE515)/AE514,IF(N514=0,2,IF(N514=0.1,1,0))))),2))</f>
        <v>10.050000000000001</v>
      </c>
      <c r="P515" s="61">
        <f>IF(OR(L515="",O515=""),"",IF($C515="1/2W",O515/2+O515/2*L515,IF($C515="1/2L",O515/2,IF(I515="Lay",((O515*(L515/(L515-1)))-O515)*(1-_xlfn.XLOOKUP(K515,'Fevereiro 2023 - Valor Real'!A3:A15,'Fevereiro 2023 - Valor Real'!C3:C15,0))+O515,(O515*L515-O515)*(1-_xlfn.XLOOKUP(K515,'Fevereiro 2023 - Valor Real'!A3:A15,'Fevereiro 2023 - Valor Real'!C3:C15,0))+O515))))</f>
        <v>19.899000000000001</v>
      </c>
      <c r="Q515" s="166">
        <f>IF(K515="","",IF(_xlfn.XLOOKUP(K515,K$10:K506,$DJ$10:DJ506,0,,-1)=DJ515,_xlfn.XLOOKUP(K515,K$10:K506,Q$10:Q506,1,,-1)+1,1))</f>
        <v>1</v>
      </c>
      <c r="R515" s="167">
        <f>IF(K515="","",_xlfn.XLOOKUP(K515,K$10:K506,R$10:R506,0,,-1)+IF($C515=" ",1,0))</f>
        <v>0</v>
      </c>
      <c r="S515" s="403"/>
      <c r="T515" s="380"/>
      <c r="U515" s="380"/>
      <c r="V515" s="481"/>
      <c r="W515" s="380"/>
      <c r="X515" s="452"/>
      <c r="Y515" s="383"/>
      <c r="Z515" s="384"/>
      <c r="AA515" s="384"/>
      <c r="AB515" s="384"/>
      <c r="AC515" s="384"/>
      <c r="AD515" s="64"/>
      <c r="AE515" s="65">
        <f>IF(L515="","",IF(L516&gt;0,(SUM(((L514-1)*(1-_xlfn.XLOOKUP(K514,'Fevereiro 2023 - Valor Real'!A3:A15,'Fevereiro 2023 - Valor Real'!C3:C15,0))+1),((L515-1)*(1-_xlfn.XLOOKUP(K515,'Fevereiro 2023 - Valor Real'!A3:A15,'Fevereiro 2023 - Valor Real'!C3:C15,0))+1),((L516-1)*(1-_xlfn.XLOOKUP(K516,'Fevereiro 2023 - Valor Real'!A3:A15,'Fevereiro 2023 - Valor Real'!C3:C15,0))+1))/((L515-1)*(1-_xlfn.XLOOKUP(K515,'Fevereiro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Real'!C3:C15,0))+1))/((L514-1)*(1-_xlfn.XLOOKUP(K514,'Fevereiro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Real'!C3:C15,0))+1))/((L515-1)*(1-_xlfn.XLOOKUP(K515,'Fevereiro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Real'!C3:C15,0))+1))/((L516-1)*(1-_xlfn.XLOOKUP(K516,'Fevereiro 2023 - Valor Real'!A3:A15,'Fevereiro 2023 - Valor Real'!C3:C15,0))+1)),IF(I515="Lay",IF(I514="Lay",((L514/(L514-1)-1)*(1-_xlfn.XLOOKUP(K514,'Fevereiro 2023 - Valor Real'!A3:A15,'Fevereiro 2023 - Valor Real'!C3:C15,0))+1)/(((L514/(L514-1)-1)*(1-_xlfn.XLOOKUP(K514,'Fevereiro 2023 - Valor Real'!A3:A15,'Fevereiro 2023 - Valor Real'!C3:C15,0))+1)+((L515/(L515-1)-1)*(1-_xlfn.XLOOKUP(K515,'Fevereiro 2023 - Valor Real'!A3:A15,'Fevereiro 2023 - Valor Real'!C3:C15,0))+1)),((L514-1)*(1-_xlfn.XLOOKUP(K514,'Fevereiro 2023 - Valor Real'!A3:A15,'Fevereiro 2023 - Valor Real'!C3:C15,0))+1)/(((L514-1)*(1-_xlfn.XLOOKUP(K514,'Fevereiro 2023 - Valor Real'!A3:A15,'Fevereiro 2023 - Valor Real'!C3:C15,0))+1)+((L515/(L515-1)-1)*(1-_xlfn.XLOOKUP(K515,'Fevereiro 2023 - Valor Real'!A3:A15,'Fevereiro 2023 - Valor Real'!C3:C15,0))+1))),IF(I514="Lay",((L514/(L514-1)-1)*(1-_xlfn.XLOOKUP(K514,'Fevereiro 2023 - Valor Real'!A3:A15,'Fevereiro 2023 - Valor Real'!C3:C15,0))+1)/((((L514/(L514-1)-1)*(1-_xlfn.XLOOKUP(K514,'Fevereiro 2023 - Valor Real'!A3:A15,'Fevereiro 2023 - Valor Real'!C3:C15,0))+1))+((L515-1)*(1-_xlfn.XLOOKUP(K515,'Fevereiro 2023 - Valor Real'!A3:A15,'Fevereiro 2023 - Valor Real'!C3:C15,0))+1)),((L514-1)*(1-_xlfn.XLOOKUP(K514,'Fevereiro 2023 - Valor Real'!A3:A15,'Fevereiro 2023 - Valor Real'!C3:C15,0))+1)/(((L514-1)*(1-_xlfn.XLOOKUP(K514,'Fevereiro 2023 - Valor Real'!A3:A15,'Fevereiro 2023 - Valor Real'!C3:C15,0))+1)+((L515-1)*(1-_xlfn.XLOOKUP(K515,'Fevereiro 2023 - Valor Real'!A3:A15,'Fevereiro 2023 - Valor Real'!C3:C15,0))+1))))))</f>
        <v>0.53738317757009346</v>
      </c>
      <c r="AF515" s="66">
        <f t="shared" si="1022"/>
        <v>0</v>
      </c>
      <c r="AG515" s="67">
        <f t="shared" si="1022"/>
        <v>0</v>
      </c>
      <c r="AH515" s="67">
        <f t="shared" si="1022"/>
        <v>0</v>
      </c>
      <c r="AI515" s="67">
        <f t="shared" si="1022"/>
        <v>0</v>
      </c>
      <c r="AJ515" s="67">
        <f t="shared" si="1022"/>
        <v>0</v>
      </c>
      <c r="AK515" s="67">
        <f t="shared" si="1022"/>
        <v>0</v>
      </c>
      <c r="AL515" s="67">
        <f t="shared" si="1022"/>
        <v>0</v>
      </c>
      <c r="AM515" s="67">
        <f t="shared" si="1022"/>
        <v>-10.050000000000001</v>
      </c>
      <c r="AN515" s="67">
        <f t="shared" si="1022"/>
        <v>0</v>
      </c>
      <c r="AO515" s="67">
        <f t="shared" si="1022"/>
        <v>0</v>
      </c>
      <c r="AP515" s="67">
        <f t="shared" si="1022"/>
        <v>0</v>
      </c>
      <c r="AQ515" s="67">
        <f t="shared" si="1022"/>
        <v>0</v>
      </c>
      <c r="AR515" s="68">
        <f t="shared" si="1022"/>
        <v>0</v>
      </c>
      <c r="AS515" s="66">
        <f>IF(AND($B514=" ",$K515=AS$3),$O515,0)</f>
        <v>0</v>
      </c>
      <c r="AT515" s="67">
        <f>IF(AND($B514=" ",K515=AT$3),$O515,0)</f>
        <v>0</v>
      </c>
      <c r="AU515" s="67">
        <f t="shared" ref="AU515:BE515" si="1026">IF(AND($B514=" ",$K515=AU$3),$O515,0)</f>
        <v>0</v>
      </c>
      <c r="AV515" s="67">
        <f t="shared" si="1026"/>
        <v>0</v>
      </c>
      <c r="AW515" s="67">
        <f t="shared" si="1026"/>
        <v>0</v>
      </c>
      <c r="AX515" s="67">
        <f t="shared" si="1026"/>
        <v>0</v>
      </c>
      <c r="AY515" s="69">
        <f t="shared" si="1026"/>
        <v>0</v>
      </c>
      <c r="AZ515" s="70">
        <f t="shared" si="1026"/>
        <v>0</v>
      </c>
      <c r="BA515" s="70">
        <f t="shared" si="1026"/>
        <v>0</v>
      </c>
      <c r="BB515" s="70">
        <f t="shared" si="1026"/>
        <v>0</v>
      </c>
      <c r="BC515" s="71">
        <f t="shared" si="1026"/>
        <v>0</v>
      </c>
      <c r="BD515" s="67">
        <f t="shared" si="1026"/>
        <v>0</v>
      </c>
      <c r="BE515" s="68">
        <f t="shared" si="1026"/>
        <v>0</v>
      </c>
      <c r="BF515" s="66">
        <f t="shared" si="1024"/>
        <v>0</v>
      </c>
      <c r="BG515" s="168">
        <f t="shared" si="1024"/>
        <v>0</v>
      </c>
      <c r="BH515" s="67">
        <f t="shared" si="1024"/>
        <v>0</v>
      </c>
      <c r="BI515" s="67">
        <f t="shared" si="1024"/>
        <v>0</v>
      </c>
      <c r="BJ515" s="67">
        <f t="shared" si="1024"/>
        <v>0</v>
      </c>
      <c r="BK515" s="67">
        <f t="shared" si="1024"/>
        <v>0</v>
      </c>
      <c r="BL515" s="67">
        <f t="shared" si="1024"/>
        <v>0</v>
      </c>
      <c r="BM515" s="69">
        <f t="shared" si="1024"/>
        <v>10.050000000000001</v>
      </c>
      <c r="BN515" s="70">
        <f t="shared" si="1024"/>
        <v>0</v>
      </c>
      <c r="BO515" s="70">
        <f t="shared" si="1024"/>
        <v>0</v>
      </c>
      <c r="BP515" s="70">
        <f t="shared" si="1024"/>
        <v>0</v>
      </c>
      <c r="BQ515" s="71">
        <f t="shared" si="1024"/>
        <v>0</v>
      </c>
      <c r="BR515" s="68">
        <f t="shared" si="1024"/>
        <v>0</v>
      </c>
      <c r="BS515" s="491"/>
      <c r="BT515" s="489"/>
      <c r="BU515" s="392"/>
      <c r="BV515" s="489"/>
      <c r="BW515" s="392"/>
      <c r="BX515" s="392"/>
      <c r="BY515" s="392"/>
      <c r="BZ515" s="489"/>
      <c r="CA515" s="392"/>
      <c r="CB515" s="392"/>
      <c r="CC515" s="392"/>
      <c r="CD515" s="401"/>
      <c r="CE515" s="409"/>
      <c r="CF515" s="169">
        <f t="shared" si="899"/>
        <v>0</v>
      </c>
      <c r="CG515" s="170">
        <f t="shared" si="900"/>
        <v>0</v>
      </c>
      <c r="CH515" s="170">
        <f t="shared" si="901"/>
        <v>0</v>
      </c>
      <c r="CI515" s="170">
        <f t="shared" si="902"/>
        <v>0</v>
      </c>
      <c r="CJ515" s="170">
        <f t="shared" si="903"/>
        <v>0</v>
      </c>
      <c r="CK515" s="170">
        <f t="shared" si="904"/>
        <v>0</v>
      </c>
      <c r="CL515" s="170">
        <f t="shared" si="905"/>
        <v>0</v>
      </c>
      <c r="CM515" s="170">
        <f t="shared" si="906"/>
        <v>0</v>
      </c>
      <c r="CN515" s="170">
        <f t="shared" si="907"/>
        <v>0</v>
      </c>
      <c r="CO515" s="170">
        <f t="shared" si="908"/>
        <v>0</v>
      </c>
      <c r="CP515" s="170">
        <f t="shared" si="909"/>
        <v>0</v>
      </c>
      <c r="CQ515" s="170">
        <f t="shared" si="910"/>
        <v>0</v>
      </c>
      <c r="CR515" s="170">
        <f t="shared" si="911"/>
        <v>0</v>
      </c>
      <c r="CS515" s="170">
        <f t="shared" si="912"/>
        <v>0</v>
      </c>
      <c r="CT515" s="75">
        <f t="shared" si="913"/>
        <v>0</v>
      </c>
      <c r="CU515" s="76">
        <f t="shared" si="914"/>
        <v>1</v>
      </c>
      <c r="CV515" s="76">
        <f t="shared" si="915"/>
        <v>0</v>
      </c>
      <c r="CW515" s="76">
        <f t="shared" si="916"/>
        <v>0</v>
      </c>
      <c r="CX515" s="76">
        <f t="shared" si="917"/>
        <v>0</v>
      </c>
      <c r="CY515" s="76">
        <f t="shared" si="918"/>
        <v>0</v>
      </c>
      <c r="CZ515" s="76">
        <f t="shared" si="919"/>
        <v>0</v>
      </c>
      <c r="DA515" s="76">
        <f t="shared" si="920"/>
        <v>0</v>
      </c>
      <c r="DB515" s="76">
        <f t="shared" si="921"/>
        <v>0</v>
      </c>
      <c r="DC515" s="76">
        <f t="shared" si="922"/>
        <v>0</v>
      </c>
      <c r="DD515" s="76">
        <f t="shared" si="923"/>
        <v>0</v>
      </c>
      <c r="DE515" s="77">
        <f t="shared" si="924"/>
        <v>0</v>
      </c>
      <c r="DF515" s="73">
        <f t="shared" si="926"/>
        <v>33</v>
      </c>
      <c r="DG515" s="67">
        <f t="shared" si="927"/>
        <v>43.031999999999989</v>
      </c>
      <c r="DH515" s="76">
        <f t="shared" si="928"/>
        <v>13</v>
      </c>
      <c r="DI515" s="67">
        <f t="shared" si="929"/>
        <v>56.05</v>
      </c>
      <c r="DJ515" s="202" t="str">
        <f>IF($D514="","",$D514)</f>
        <v>16</v>
      </c>
      <c r="DK515" s="493"/>
    </row>
    <row r="516" spans="1:115" ht="14.5" customHeight="1" x14ac:dyDescent="0.2">
      <c r="A516" s="390"/>
      <c r="B516" s="457"/>
      <c r="C516" s="79" t="s">
        <v>53</v>
      </c>
      <c r="D516" s="375"/>
      <c r="E516" s="387"/>
      <c r="F516" s="378"/>
      <c r="G516" s="508"/>
      <c r="H516" s="477"/>
      <c r="I516" s="171"/>
      <c r="J516" s="172"/>
      <c r="K516" s="81"/>
      <c r="L516" s="173"/>
      <c r="M516" s="174"/>
      <c r="N516" s="407"/>
      <c r="O516" s="86" t="str">
        <f>IF(OR(AE514="",AE515=""),"",IF(L516&gt;0,ROUND(IF(M516&gt;0,M516,IF(M514&gt;0,ROUND((M514*AE516)/AE514,IF(N514=0,2,IF(N514=0.1,1,0))),IF(M515&gt;0,ROUND((M515*AE516)/AE515,IF(N514=0,2,IF(N514=0.1,1,0))),IF(M516&gt;0,M516,0)))),2),""))</f>
        <v/>
      </c>
      <c r="P516" s="87" t="str">
        <f>IF(I515="Lay",O515*(L515/(L515-1))-O515,IF(I514="Lay",O514*(L514/(L514-1))-O514,IF(OR(L516="",O516=""),"",IF($C516="1/2W",O516/2+O516/2*L516,IF($C516="1/2L",O516/2,(O516*L516-O516)*(1-_xlfn.XLOOKUP(K516,'Fevereiro 2023 - Valor Real'!A3:A15,'Fevereiro 2023 - Valor Real'!C3:C15,0))+O516)))))</f>
        <v/>
      </c>
      <c r="Q516" s="54" t="str">
        <f>IF(K516="","",IF(_xlfn.XLOOKUP(K516,K$11:K506,$DJ$11:DJ506,0,,-1)=DJ516,_xlfn.XLOOKUP(K516,K$11:K506,Q$11:Q506,1,,-1)+1,1))</f>
        <v/>
      </c>
      <c r="R516" s="87" t="str">
        <f>IF(K516="","",_xlfn.XLOOKUP(K516,K$11:K506,R$11:R506,0,,-1)+IF($C516=" ",1,0))</f>
        <v/>
      </c>
      <c r="S516" s="404"/>
      <c r="T516" s="378"/>
      <c r="U516" s="378"/>
      <c r="V516" s="404"/>
      <c r="W516" s="378"/>
      <c r="X516" s="453"/>
      <c r="Y516" s="383"/>
      <c r="Z516" s="384"/>
      <c r="AA516" s="384"/>
      <c r="AB516" s="384"/>
      <c r="AC516" s="384"/>
      <c r="AD516" s="90"/>
      <c r="AE516" s="91" t="str">
        <f>IF(L516="","",(SUM(((L514-1)*(1-_xlfn.XLOOKUP(K514,'Fevereiro 2023 - Valor Real'!A3:A15,'Fevereiro 2023 - Valor Real'!C3:C15,0))+1),((L515-1)*(1-_xlfn.XLOOKUP(K515,'Fevereiro 2023 - Valor Real'!A3:A15,'Fevereiro 2023 - Valor Real'!C3:C15,0))+1),((L516-1)*(1-_xlfn.XLOOKUP(K516,'Fevereiro 2023 - Valor Real'!A3:A15,'Fevereiro 2023 - Valor Real'!C3:C15,0))+1))/((L516-1)*(1-_xlfn.XLOOKUP(K516,'Fevereiro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Real'!C3:C15,0))+1))/((L514-1)*(1-_xlfn.XLOOKUP(K514,'Fevereiro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Real'!C3:C15,0))+1))/((L515-1)*(1-_xlfn.XLOOKUP(K515,'Fevereiro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Real'!C3:C15,0))+1))/((L516-1)*(1-_xlfn.XLOOKUP(K516,'Fevereiro 2023 - Valor Real'!A3:A15,'Fevereiro 2023 - Valor Real'!C3:C15,0))+1)))</f>
        <v/>
      </c>
      <c r="AF516" s="66">
        <f t="shared" si="1022"/>
        <v>0</v>
      </c>
      <c r="AG516" s="67">
        <f t="shared" si="1022"/>
        <v>0</v>
      </c>
      <c r="AH516" s="67">
        <f t="shared" si="1022"/>
        <v>0</v>
      </c>
      <c r="AI516" s="67">
        <f t="shared" si="1022"/>
        <v>0</v>
      </c>
      <c r="AJ516" s="67">
        <f t="shared" si="1022"/>
        <v>0</v>
      </c>
      <c r="AK516" s="67">
        <f t="shared" si="1022"/>
        <v>0</v>
      </c>
      <c r="AL516" s="67">
        <f t="shared" si="1022"/>
        <v>0</v>
      </c>
      <c r="AM516" s="67">
        <f t="shared" si="1022"/>
        <v>0</v>
      </c>
      <c r="AN516" s="67">
        <f t="shared" si="1022"/>
        <v>0</v>
      </c>
      <c r="AO516" s="67">
        <f t="shared" si="1022"/>
        <v>0</v>
      </c>
      <c r="AP516" s="67">
        <f t="shared" si="1022"/>
        <v>0</v>
      </c>
      <c r="AQ516" s="67">
        <f t="shared" si="1022"/>
        <v>0</v>
      </c>
      <c r="AR516" s="68">
        <f t="shared" si="1022"/>
        <v>0</v>
      </c>
      <c r="AS516" s="66">
        <f>IF(AND($B514=" ",$K516=AS$3),$O516,0)</f>
        <v>0</v>
      </c>
      <c r="AT516" s="67">
        <f>IF(AND($B514=" ",K516=AT$3),$O516,0)</f>
        <v>0</v>
      </c>
      <c r="AU516" s="67">
        <f t="shared" ref="AU516:BE516" si="1027">IF(AND($B514=" ",$K516=AU$3),$O516,0)</f>
        <v>0</v>
      </c>
      <c r="AV516" s="67">
        <f t="shared" si="1027"/>
        <v>0</v>
      </c>
      <c r="AW516" s="67">
        <f t="shared" si="1027"/>
        <v>0</v>
      </c>
      <c r="AX516" s="67">
        <f t="shared" si="1027"/>
        <v>0</v>
      </c>
      <c r="AY516" s="69">
        <f t="shared" si="1027"/>
        <v>0</v>
      </c>
      <c r="AZ516" s="70">
        <f t="shared" si="1027"/>
        <v>0</v>
      </c>
      <c r="BA516" s="70">
        <f t="shared" si="1027"/>
        <v>0</v>
      </c>
      <c r="BB516" s="70">
        <f t="shared" si="1027"/>
        <v>0</v>
      </c>
      <c r="BC516" s="71">
        <f t="shared" si="1027"/>
        <v>0</v>
      </c>
      <c r="BD516" s="67">
        <f t="shared" si="1027"/>
        <v>0</v>
      </c>
      <c r="BE516" s="68">
        <f t="shared" si="1027"/>
        <v>0</v>
      </c>
      <c r="BF516" s="66">
        <f t="shared" si="1024"/>
        <v>0</v>
      </c>
      <c r="BG516" s="168">
        <f t="shared" si="1024"/>
        <v>0</v>
      </c>
      <c r="BH516" s="67">
        <f t="shared" si="1024"/>
        <v>0</v>
      </c>
      <c r="BI516" s="67">
        <f t="shared" si="1024"/>
        <v>0</v>
      </c>
      <c r="BJ516" s="67">
        <f t="shared" si="1024"/>
        <v>0</v>
      </c>
      <c r="BK516" s="67">
        <f t="shared" si="1024"/>
        <v>0</v>
      </c>
      <c r="BL516" s="67">
        <f t="shared" si="1024"/>
        <v>0</v>
      </c>
      <c r="BM516" s="69">
        <f t="shared" si="1024"/>
        <v>0</v>
      </c>
      <c r="BN516" s="70">
        <f t="shared" si="1024"/>
        <v>0</v>
      </c>
      <c r="BO516" s="70">
        <f t="shared" si="1024"/>
        <v>0</v>
      </c>
      <c r="BP516" s="70">
        <f t="shared" si="1024"/>
        <v>0</v>
      </c>
      <c r="BQ516" s="71">
        <f t="shared" si="1024"/>
        <v>0</v>
      </c>
      <c r="BR516" s="68">
        <f t="shared" si="1024"/>
        <v>0</v>
      </c>
      <c r="BS516" s="491"/>
      <c r="BT516" s="489"/>
      <c r="BU516" s="392"/>
      <c r="BV516" s="489"/>
      <c r="BW516" s="392"/>
      <c r="BX516" s="392"/>
      <c r="BY516" s="392"/>
      <c r="BZ516" s="489"/>
      <c r="CA516" s="392"/>
      <c r="CB516" s="392"/>
      <c r="CC516" s="392"/>
      <c r="CD516" s="401"/>
      <c r="CE516" s="409"/>
      <c r="CF516" s="169">
        <f t="shared" ref="CF516:CF579" si="1028">IF(CF$3=$K516,IF($C516="W",1,IF($C516="1/2W",0.5,0)),0)</f>
        <v>0</v>
      </c>
      <c r="CG516" s="170">
        <f t="shared" ref="CG516:CG579" si="1029">IF(CF$3=$K516,IF($C516="L",1,IF($C516="1/2L",0.5,0)),0)</f>
        <v>0</v>
      </c>
      <c r="CH516" s="170">
        <f t="shared" ref="CH516:CH579" si="1030">IF(CH$3=$K516,IF($C516="W",1,IF($C516="1/2W",0.5,0)),0)</f>
        <v>0</v>
      </c>
      <c r="CI516" s="170">
        <f t="shared" ref="CI516:CI579" si="1031">IF(CH$3=$K516,IF($C516="L",1,IF($C516="1/2L",0.5,0)),0)</f>
        <v>0</v>
      </c>
      <c r="CJ516" s="170">
        <f t="shared" ref="CJ516:CJ579" si="1032">IF(CJ$3=$K516,IF($C516="W",1,IF($C516="1/2W",0.5,0)),0)</f>
        <v>0</v>
      </c>
      <c r="CK516" s="170">
        <f t="shared" ref="CK516:CK579" si="1033">IF(CJ$3=$K516,IF($C516="L",1,IF($C516="1/2L",0.5,0)),0)</f>
        <v>0</v>
      </c>
      <c r="CL516" s="170">
        <f t="shared" ref="CL516:CL579" si="1034">IF(CL$3=$K516,IF($C516="W",1,IF($C516="1/2W",0.5,0)),0)</f>
        <v>0</v>
      </c>
      <c r="CM516" s="170">
        <f t="shared" ref="CM516:CM579" si="1035">IF(CL$3=$K516,IF($C516="L",1,IF($C516="1/2L",0.5,0)),0)</f>
        <v>0</v>
      </c>
      <c r="CN516" s="170">
        <f t="shared" ref="CN516:CN579" si="1036">IF(CN$3=$K516,IF($C516="W",1,IF($C516="1/2W",0.5,0)),0)</f>
        <v>0</v>
      </c>
      <c r="CO516" s="170">
        <f t="shared" ref="CO516:CO579" si="1037">IF(CN$3=$K516,IF($C516="L",1,IF($C516="1/2L",0.5,0)),0)</f>
        <v>0</v>
      </c>
      <c r="CP516" s="170">
        <f t="shared" ref="CP516:CP579" si="1038">IF(CP$3=$K516,IF($C516="W",1,IF($C516="1/2W",0.5,0)),0)</f>
        <v>0</v>
      </c>
      <c r="CQ516" s="170">
        <f t="shared" ref="CQ516:CQ579" si="1039">IF(CP$3=$K516,IF($C516="L",1,IF($C516="1/2L",0.5,0)),0)</f>
        <v>0</v>
      </c>
      <c r="CR516" s="170">
        <f t="shared" ref="CR516:CR579" si="1040">IF(CR$3=$K516,IF($C516="W",1,IF($C516="1/2W",0.5,0)),0)</f>
        <v>0</v>
      </c>
      <c r="CS516" s="170">
        <f t="shared" ref="CS516:CS579" si="1041">IF(CR$3=$K516,IF($C516="L",1,IF($C516="1/2L",0.5,0)),0)</f>
        <v>0</v>
      </c>
      <c r="CT516" s="75">
        <f t="shared" ref="CT516:CT579" si="1042">IF(CT$3=$K516,IF($C516="W",1,IF($C516="1/2W",0.5,0)),0)</f>
        <v>0</v>
      </c>
      <c r="CU516" s="76">
        <f t="shared" ref="CU516:CU579" si="1043">IF(CT$3=$K516,IF($C516="L",1,IF($C516="1/2L",0.5,0)),0)</f>
        <v>0</v>
      </c>
      <c r="CV516" s="76">
        <f t="shared" ref="CV516:CV579" si="1044">IF(CV$3=$K516,IF($C516="W",1,IF($C516="1/2W",0.5,0)),0)</f>
        <v>0</v>
      </c>
      <c r="CW516" s="76">
        <f t="shared" ref="CW516:CW579" si="1045">IF(CV$3=$K516,IF($C516="L",1,IF($C516="1/2L",0.5,0)),0)</f>
        <v>0</v>
      </c>
      <c r="CX516" s="76">
        <f t="shared" ref="CX516:CX579" si="1046">IF(CX$3=$K516,IF($C516="W",1,IF($C516="1/2W",0.5,0)),0)</f>
        <v>0</v>
      </c>
      <c r="CY516" s="76">
        <f t="shared" ref="CY516:CY579" si="1047">IF(CX$3=$K516,IF($C516="L",1,IF($C516="1/2L",0.5,0)),0)</f>
        <v>0</v>
      </c>
      <c r="CZ516" s="76">
        <f t="shared" ref="CZ516:CZ579" si="1048">IF(CZ$3=$K516,IF($C516="W",1,IF($C516="1/2W",0.5,0)),0)</f>
        <v>0</v>
      </c>
      <c r="DA516" s="76">
        <f t="shared" ref="DA516:DA579" si="1049">IF(CZ$3=$K516,IF($C516="L",1,IF($C516="1/2L",0.5,0)),0)</f>
        <v>0</v>
      </c>
      <c r="DB516" s="76">
        <f t="shared" ref="DB516:DB579" si="1050">IF(DB$3=$K516,IF($C516="W",1,IF($C516="1/2W",0.5,0)),0)</f>
        <v>0</v>
      </c>
      <c r="DC516" s="76">
        <f t="shared" ref="DC516:DC579" si="1051">IF(DB$3=$K516,IF($C516="L",1,IF($C516="1/2L",0.5,0)),0)</f>
        <v>0</v>
      </c>
      <c r="DD516" s="76">
        <f t="shared" ref="DD516:DD579" si="1052">IF(DD$3=$K516,IF($C516="W",1,IF($C516="1/2W",0.5,0)),0)</f>
        <v>0</v>
      </c>
      <c r="DE516" s="77">
        <f t="shared" ref="DE516:DE579" si="1053">IF(DD$3=$K516,IF($C516="L",1,IF($C516="1/2L",0.5,0)),0)</f>
        <v>0</v>
      </c>
      <c r="DF516" s="73">
        <f t="shared" si="926"/>
        <v>33</v>
      </c>
      <c r="DG516" s="67">
        <f t="shared" si="927"/>
        <v>43.031999999999989</v>
      </c>
      <c r="DH516" s="76">
        <f t="shared" si="928"/>
        <v>13</v>
      </c>
      <c r="DI516" s="67">
        <f t="shared" si="929"/>
        <v>56.05</v>
      </c>
      <c r="DJ516" s="202" t="str">
        <f>IF($D514="","",$D514)</f>
        <v>16</v>
      </c>
      <c r="DK516" s="493"/>
    </row>
    <row r="517" spans="1:115" ht="14.5" customHeight="1" x14ac:dyDescent="0.2">
      <c r="A517" s="459">
        <f>$A514+1</f>
        <v>172</v>
      </c>
      <c r="B517" s="507" t="str">
        <f>IF(OR(C517="W",C518="W",C519="W",C517="1/2W",C518="1/2W",C519="1/2W",C517="1/2L",C518="1/2L",C519="1/2L"),"OK",IF(OR(C517="L",C518="L",C519="L"),"LOSS",IF(OR(C517="X",C518="X",C519="X"),"Anulado"," ")))</f>
        <v>OK</v>
      </c>
      <c r="C517" s="93" t="s">
        <v>55</v>
      </c>
      <c r="D517" s="468" t="str">
        <f>IF(G517="","",$D514)</f>
        <v>16</v>
      </c>
      <c r="E517" s="485" t="str">
        <f>IF(G517=""," ","– "&amp;COUNTIF(D$4:D519,$D517))</f>
        <v>– 4</v>
      </c>
      <c r="F517" s="509" t="str">
        <f ca="1">IF(G517="","",IF(OR(AND($C517&lt;&gt;" ",$C518=" "),AND($C518&lt;&gt;" ",$C517=" "),AND(L519&gt;0,OR(AND($C519&lt;&gt;" ",OR($C517=" ",$C518=" ")),AND($C519=" ",OR($C517&lt;&gt;" ",$C518&lt;&gt;" "))))),IF(SUM(F$4:F516)=0,1,LARGE(F$4:F516,1)+1),IF(MONTH(G517)=MONTH(TODAY()),IF(AND(DAY(G517)&lt;DAY(TODAY()),$B517=" "),IF(SUM(F$4:F516)=0,1,LARGE(F$4:F516,1)+1),IF($B517=" ",IF(AND(DAY(G517)=DAY(TODAY()),HOUR(G517)&lt;=HOUR(NOW())+1),IF(AND(HOUR(G517)+2&lt;=HOUR(NOW()),DAY(G517)&lt;=DAY(TODAY()),MINUTE(G517)&lt;=MINUTE(NOW())),IF(SUM(F$4:F516)=0,1,LARGE(F$4:F516,1)+1),IF(OR(MINUTE(G517)&lt;=MINUTE(NOW()),HOUR(G517)&lt;=HOUR(NOW())),"!!!","")),""),"")),"")))</f>
        <v/>
      </c>
      <c r="G517" s="482">
        <v>45001.708333333336</v>
      </c>
      <c r="H517" s="475" t="s">
        <v>205</v>
      </c>
      <c r="I517" s="94" t="s">
        <v>51</v>
      </c>
      <c r="J517" s="95">
        <v>7.5</v>
      </c>
      <c r="K517" s="96" t="s">
        <v>40</v>
      </c>
      <c r="L517" s="97">
        <v>1.54</v>
      </c>
      <c r="M517" s="98"/>
      <c r="N517" s="478">
        <v>0.1</v>
      </c>
      <c r="O517" s="99">
        <f>IF(OR(AE517="",AE518=""),"",ROUND(IF(L519&gt;0,IF(M517&gt;0,M517,IF(M518&gt;0,ROUND((M518*AE517)/AE518,IF(N517=0,2,IF(N517=0.1,1,0))),ROUND((M519*AE517)/AE519,IF(N517=0,2,IF(N517=0.1,1,0))))),IF(M517&gt;0,M517,ROUND((M518*AE517)/AE518,IF(N517=0,2,IF(N517=0.1,1,0))))),2))</f>
        <v>41</v>
      </c>
      <c r="P517" s="100">
        <f>IF(OR(L517="",O517=""),"",IF($C517="1/2W",O517/2+O517/2*L517,IF($C517="1/2L",O517/2,IF(I517="Lay",(O517*(L517/(L517-1))-O517)*(1-_xlfn.XLOOKUP(K517,'Fevereiro 2023 - Valor Real'!A3:A15,'Fevereiro 2023 - Valor Real'!C3:C15,0))+O517,(O517*L517-O517)*(1-_xlfn.XLOOKUP(K517,'Fevereiro 2023 - Valor Real'!A3:A15,'Fevereiro 2023 - Valor Real'!C3:C15,0))+O517))))</f>
        <v>63.14</v>
      </c>
      <c r="Q517" s="101">
        <f>IF(K517="","",IF(_xlfn.XLOOKUP(K517,K$4:K516,$DJ$4:DJ516,0,,-1)=DJ517,_xlfn.XLOOKUP(K517,K$4:K516,Q$4:Q516,1,,-1)+1,1))</f>
        <v>2</v>
      </c>
      <c r="R517" s="102">
        <f>IF(K517="","",_xlfn.XLOOKUP(K517,K$4:K516,R$4:R516,0,,-1)+IF($C517=" ",1,0))</f>
        <v>0</v>
      </c>
      <c r="S517" s="474">
        <f>IF($B517="Anulado",0,ROUND(IF(OR($B517="LOSS",$B517="OK"),IF(OR($C517="W",$C517="1/2W",$C517="1/2L"),P517-O517,IF($C517="L",-O517,0))+IF(OR($C518="W",$C518="1/2W",$C518="1/2L"),P518-O518,IF($C518="L",-O518,0))+IF(OR($C519="W",$C519="1/2W",$C519="1/2L"),P519-O519,IF($C519="L",-O519,0)),IF(AND(OR($C517="W",$C517="1/2W",$C517="1/2L"),C518="W"),P517+P518-SUM(O517:O519)+_xlfn.XLOOKUP("X",C517:C519,O517:O519,0),IF(AND(C517=TRUE,C519="W"),P517+P519-SUM(O517:O519),IF(AND(C518="W",C519="W"),P518+P519-SUM(O517:O519)+_xlfn.XLOOKUP("X",C517:C519,O517:O519,0),IF(L519&gt;0,IF(OR($C517="W",$C517="1/2W",$C517="1/2L"),P517-SUM(O517:O519)+_xlfn.XLOOKUP("X",C517:C519,O517:O519,0),IF(OR($C517="W",$C517="1/2W",$C517="1/2L"),P518-SUM(O517:O519)+_xlfn.XLOOKUP("X",C517:C519,O517:O519,0),IF(OR($C517="W",$C517="1/2W",$C517="1/2L"),P519-SUM(O517:O519)+_xlfn.XLOOKUP("X",C517:C519,O517:O519,0),IF(SUM(P517:P519)/3-SUM(O517:O519)+_xlfn.XLOOKUP("X",C517:C519,O517:O519,0)&gt;0,SUM(P517:P519)/3-SUM(O517:O519)+_xlfn.XLOOKUP("X",C517:C519,O517:O519,0),LARGE(P517:P519,1)-SUM(O517:O519))))),IF(OR($C517="W",$C517="1/2W",$C517="1/2L"),P517-SUM(O517:O518)+_xlfn.XLOOKUP("X",C517:C519,O517:O519,0),IF(OR($C517="W",$C517="1/2W",$C517="1/2L"),P518-SUM(O517:O518)+_xlfn.XLOOKUP("X",C517:C519,O517:O519,0),SUM(P517:P518)/2-SUM(O517:O518)+_xlfn.XLOOKUP("X",C517:C519,O517:O519,0)))))))),2))</f>
        <v>2.4300000000000002</v>
      </c>
      <c r="T517" s="458">
        <f>IF(S517=0,0,S517/SUM(O517:O519))</f>
        <v>4.0006585446163985E-2</v>
      </c>
      <c r="U517" s="470">
        <f>IF($D517=$D514,IF(OR($B517="LOSS",$B517="OK",$B517="Anulada"),S517,0)+U514,IF(OR($B517="LOSS",$B517="OK",$B517="Anulada"),S517,0))</f>
        <v>6.7800000000000011</v>
      </c>
      <c r="V517" s="470">
        <f>IF($D517="",0,IF($D517=$D514,IF($B517=" ",IF(I519="",IF(OR(AND(I517="DNB1",I518="DNB2"),AND(OR(I517="DNB1",I517="DNB2"),J518=0),AND(OR(I518="DNB1",I518="DNB2"),J517=0),AND(I517="DNB2",I518="DNB1"),AND(IF(J517=0,(J517+1)/ROUND(J517+1,0),J517/ROUND(J517,0))=1,IF(J518=0,(J518+1)/ROUND(IF(J518="",0,J518)+1,0),IF(J518="",0,J518)/ROUND(IF(J518="",1,J518),0))=1,OR(J517&lt;&gt;""),J518&lt;&gt;"")),0,IF(S517&lt;0,IF(I519="",SMALL(P517:P518,1)-SUM(O517:O518),0),SMALL(P517:P518,1)-SUM(O517:O518))),IF(S517&lt;0,IF(I519="",SMALL(P517:P519,1)-SUM(O517:O519),0),LARGE(P517:P519,1)-SUM(O517:O519))),S517)+V514,IF(I519="",IF(OR(AND(I517="DNB1",I518="DNB2"),AND(OR(I517="DNB1",I517="DNB2"),J518=0),AND(OR(I518="DNB1",I518="DNB2"),J517=0),AND(I517="DNB2",I518="DNB1"),AND(IF(J517=0,(J517+1)/ROUND(J517+1,0),J517/ROUND(J517,0))=1,IF(J518=0,(IF(J518="",0,J518)+1)/ROUND(IF(J518="",0,J518)+1,0),IF(J518="",0,J518)/ROUND(IF(J518="",0,J518)+1,0))=1,OR(J517&lt;&gt;""),J518&lt;&gt;"")),0,IF(S517&lt;0,IF(I519="",SMALL(P517:P518,1)-SUM(O517:O518),0),SMALL(P517:P519,1)-SUM(O517:O519))),IF(S517&lt;0,IF(I519="",SMALL(P517:P519,1)-SUM(O517:O519),0),LARGE(P517:P519,1)-SUM(O517:O519)))))</f>
        <v>6.7752000000000034</v>
      </c>
      <c r="W517" s="470">
        <f>IF($D517=$D514,IF(S517&lt;0,IF(I519="",S517,0),S517)+W514,S517)</f>
        <v>6.7800000000000011</v>
      </c>
      <c r="X517" s="480" t="str">
        <f>IF(OR(SUM(R517:R519)=0,V517=W517),ROUND(IF(W517=0,0,W517/Y517)*100,2)&amp;"%",ROUND(IF(V517=0,0,V517/Y517)*100,2)&amp;"% a "&amp;ROUND(IF(W517=0,0,W517/Y517)*100,2)&amp;"%")</f>
        <v>5,47%</v>
      </c>
      <c r="Y517" s="471">
        <f>IF($D517=$D514,Y514+SUM(O517:O519),SUM(O517:O519))</f>
        <v>123.97</v>
      </c>
      <c r="Z517" s="470">
        <f>IF($B517=" ",SUM(O517:O519),0)+Z514</f>
        <v>0</v>
      </c>
      <c r="AA517" s="470">
        <f>IF(G517="","",IF($B517="Anulado",LARGE(P517:P519,1)-SUM(O517:O519)+AA514,AA514))</f>
        <v>12.425099999999992</v>
      </c>
      <c r="AB517" s="470">
        <f>IF($D517="","",AB514+S517)</f>
        <v>604.88000000000045</v>
      </c>
      <c r="AC517" s="472">
        <f ca="1">IF($D517="","",IF($B517=" ",IF(DAY(G517)=DAY(TODAY()),1+AC514,0+AC514),0+AC514))</f>
        <v>0</v>
      </c>
      <c r="AD517" s="103">
        <f>(((L518/(L518-1)-1)*(1-_xlfn.XLOOKUP(K518,'Fevereiro 2023 - Valor Real'!A3:A15,'Fevereiro 2023 - Valor Real'!C3:C15,0))+1))/(((L517-1)*(1-_xlfn.XLOOKUP(K517,'Fevereiro 2023 - Valor Real'!A3:A15,'Fevereiro 2023 - Valor Real'!C3:C15,0))+1)+((L518/(L518-1)-1)*(1-_xlfn.XLOOKUP(K518,'Fevereiro 2023 - Valor Real'!A3:A15,'Fevereiro 2023 - Valor Real'!C3:C15,0))+1))</f>
        <v>0.48573163327261687</v>
      </c>
      <c r="AE517" s="104">
        <f>IF(L517="","",IF(L519&gt;0,(SUM(((L517-1)*(1-_xlfn.XLOOKUP(K517,'Fevereiro 2023 - Valor Real'!A3:A15,'Fevereiro 2023 - Valor Real'!C3:C15,0))+1),((L518-1)*(1-_xlfn.XLOOKUP(K518,'Fevereiro 2023 - Valor Real'!A3:A15,'Fevereiro 2023 - Valor Real'!C3:C15,0))+1),((L519-1)*(1-_xlfn.XLOOKUP(K519,'Fevereiro 2023 - Valor Real'!A3:A15,'Fevereiro 2023 - Valor Real'!C3:C15,0))+1))/((L517-1)*(1-_xlfn.XLOOKUP(K517,'Fevereiro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Real'!C3:C15,0))+1))/((L517-1)*(1-_xlfn.XLOOKUP(K517,'Fevereiro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Real'!C3:C15,0))+1))/((L518-1)*(1-_xlfn.XLOOKUP(K518,'Fevereiro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Real'!C3:C15,0))+1))/((L519-1)*(1-_xlfn.XLOOKUP(K519,'Fevereiro 2023 - Valor Real'!A3:A15,'Fevereiro 2023 - Valor Real'!C3:C15,0))+1)),IF(I517="Lay",IF(I518="Lay",((L518/(L518-1)-1)*(1-_xlfn.XLOOKUP(K518,'Fevereiro 2023 - Valor Real'!A3:A15,'Fevereiro 2023 - Valor Real'!C3:C15,0))+1)/(((L518/(L518-1)-1)*(1-_xlfn.XLOOKUP(K518,'Fevereiro 2023 - Valor Real'!A3:A15,'Fevereiro 2023 - Valor Real'!C3:C15,0))+1)+((L517/(L517-1)-1)*(1-_xlfn.XLOOKUP(K517,'Fevereiro 2023 - Valor Real'!A3:A15,'Fevereiro 2023 - Valor Real'!C3:C15,0))+1)),((L518-1)*(1-_xlfn.XLOOKUP(K518,'Fevereiro 2023 - Valor Real'!A3:A15,'Fevereiro 2023 - Valor Real'!C3:C15,0))+1)/(((L518-1)*(1-_xlfn.XLOOKUP(K518,'Fevereiro 2023 - Valor Real'!A3:A15,'Fevereiro 2023 - Valor Real'!C3:C15,0))+1)+((L517/(L517-1)-1)*(1-_xlfn.XLOOKUP(K517,'Fevereiro 2023 - Valor Real'!A3:A15,'Fevereiro 2023 - Valor Real'!C3:C15,0))+1))),IF(I518="Lay",(((L518/(L518-1)-1)*(1-_xlfn.XLOOKUP(K518,'Fevereiro 2023 - Valor Real'!A3:A15,'Fevereiro 2023 - Valor Real'!C3:C15,0))+1))/(((L517-1)*(1-_xlfn.XLOOKUP(K517,'Fevereiro 2023 - Valor Real'!A3:A15,'Fevereiro 2023 - Valor Real'!C3:C15,0))+1)+((L518/(L518-1)-1)*(1-_xlfn.XLOOKUP(K518,'Fevereiro 2023 - Valor Real'!A3:A15,'Fevereiro 2023 - Valor Real'!C3:C15,0))+1)),((L518-1)*(1-_xlfn.XLOOKUP(K518,'Fevereiro 2023 - Valor Real'!A3:A15,'Fevereiro 2023 - Valor Real'!C3:C15,0))+1)/(((L518-1)*(1-_xlfn.XLOOKUP(K518,'Fevereiro 2023 - Valor Real'!A3:A15,'Fevereiro 2023 - Valor Real'!C3:C15,0))+1)+((L517-1)*(1-_xlfn.XLOOKUP(K517,'Fevereiro 2023 - Valor Real'!A3:A15,'Fevereiro 2023 - Valor Real'!C3:C15,0))+1))))))</f>
        <v>0.67510548523206748</v>
      </c>
      <c r="AF517" s="105">
        <f t="shared" si="1022"/>
        <v>0</v>
      </c>
      <c r="AG517" s="106">
        <f t="shared" si="1022"/>
        <v>0</v>
      </c>
      <c r="AH517" s="106">
        <f t="shared" si="1022"/>
        <v>0</v>
      </c>
      <c r="AI517" s="106">
        <f t="shared" si="1022"/>
        <v>0</v>
      </c>
      <c r="AJ517" s="106">
        <f t="shared" si="1022"/>
        <v>-41</v>
      </c>
      <c r="AK517" s="106">
        <f t="shared" si="1022"/>
        <v>0</v>
      </c>
      <c r="AL517" s="106">
        <f t="shared" si="1022"/>
        <v>0</v>
      </c>
      <c r="AM517" s="106">
        <f t="shared" si="1022"/>
        <v>0</v>
      </c>
      <c r="AN517" s="106">
        <f t="shared" si="1022"/>
        <v>0</v>
      </c>
      <c r="AO517" s="106">
        <f t="shared" si="1022"/>
        <v>0</v>
      </c>
      <c r="AP517" s="106">
        <f t="shared" si="1022"/>
        <v>0</v>
      </c>
      <c r="AQ517" s="106">
        <f t="shared" si="1022"/>
        <v>0</v>
      </c>
      <c r="AR517" s="107">
        <f t="shared" si="1022"/>
        <v>0</v>
      </c>
      <c r="AS517" s="105">
        <f t="shared" ref="AS517:BE517" si="1054">IF(AND($B517=" ",$K517=AS$3),$O517,0)</f>
        <v>0</v>
      </c>
      <c r="AT517" s="106">
        <f t="shared" si="1054"/>
        <v>0</v>
      </c>
      <c r="AU517" s="106">
        <f t="shared" si="1054"/>
        <v>0</v>
      </c>
      <c r="AV517" s="106">
        <f t="shared" si="1054"/>
        <v>0</v>
      </c>
      <c r="AW517" s="106">
        <f t="shared" si="1054"/>
        <v>0</v>
      </c>
      <c r="AX517" s="106">
        <f t="shared" si="1054"/>
        <v>0</v>
      </c>
      <c r="AY517" s="108">
        <f t="shared" si="1054"/>
        <v>0</v>
      </c>
      <c r="AZ517" s="109">
        <f t="shared" si="1054"/>
        <v>0</v>
      </c>
      <c r="BA517" s="109">
        <f t="shared" si="1054"/>
        <v>0</v>
      </c>
      <c r="BB517" s="109">
        <f t="shared" si="1054"/>
        <v>0</v>
      </c>
      <c r="BC517" s="110">
        <f t="shared" si="1054"/>
        <v>0</v>
      </c>
      <c r="BD517" s="106">
        <f t="shared" si="1054"/>
        <v>0</v>
      </c>
      <c r="BE517" s="107">
        <f t="shared" si="1054"/>
        <v>0</v>
      </c>
      <c r="BF517" s="111">
        <f t="shared" si="1024"/>
        <v>0</v>
      </c>
      <c r="BG517" s="106">
        <f t="shared" si="1024"/>
        <v>0</v>
      </c>
      <c r="BH517" s="106">
        <f t="shared" si="1024"/>
        <v>0</v>
      </c>
      <c r="BI517" s="106">
        <f t="shared" si="1024"/>
        <v>0</v>
      </c>
      <c r="BJ517" s="106">
        <f t="shared" si="1024"/>
        <v>41</v>
      </c>
      <c r="BK517" s="106">
        <f t="shared" si="1024"/>
        <v>0</v>
      </c>
      <c r="BL517" s="106">
        <f t="shared" si="1024"/>
        <v>0</v>
      </c>
      <c r="BM517" s="108">
        <f t="shared" si="1024"/>
        <v>0</v>
      </c>
      <c r="BN517" s="109">
        <f t="shared" si="1024"/>
        <v>0</v>
      </c>
      <c r="BO517" s="109">
        <f t="shared" si="1024"/>
        <v>0</v>
      </c>
      <c r="BP517" s="109">
        <f t="shared" si="1024"/>
        <v>0</v>
      </c>
      <c r="BQ517" s="110">
        <f t="shared" si="1024"/>
        <v>0</v>
      </c>
      <c r="BR517" s="107">
        <f t="shared" si="1024"/>
        <v>0</v>
      </c>
      <c r="BS517" s="463">
        <f>IF($B517="LOSS",IF(AND($K517=BS$3,$C517="L"),-$O517,0)+IF(AND($K518=BS$3,$C518="L"),-$O518,0)+IF(AND($K519=BS$3,$C519="L"),-$O519,0),IF(OR(AND($K517=BS$3,OR($C517="W",$C517="1/2W")),AND($K518=BS$3,OR($C518="W",$C518="1/2W")),AND($K519=BS$3,OR($C519="W",$C519="1/2W"))),$S517,0))</f>
        <v>0</v>
      </c>
      <c r="BT517" s="462">
        <f>IF($B517="LOSS",IF(AND($K517=BT$3,$C517="L"),-$O517,0)+IF(AND($K518=BT$3,$C518="L"),-$O518,0)+IF(AND($K518=BT$3,$C519="L"),-$O519,0),IF(OR(AND($K518=BT$3,OR($C517="W",$C517="1/2W")),AND($K518=BT$3,OR($C518="W",$C518="1/2W")),AND($K518=BT$3,OR($C519="W",$C519="1/2W"))),$S517,0))</f>
        <v>2.4300000000000002</v>
      </c>
      <c r="BU517" s="462">
        <f>IF($B517="LOSS",IF(AND($K517=BU$3,$C517="L"),-$O517,0)+IF(AND($K518=BU$3,$C518="L"),-$O518,0)+IF(AND($K518=BU$3,$C519="L"),-$O519,0),IF(OR(AND($K518=BU$3,OR($C517="W",$C517="1/2W")),AND($K518=BU$3,OR($C518="W",$C518="1/2W")),AND($K518=BU$3,OR($C519="W",$C519="1/2W"))),$S517,0))</f>
        <v>0</v>
      </c>
      <c r="BV517" s="462">
        <f t="shared" ref="BV517:CE517" si="1055">IF($B517="LOSS",IF(AND($K517=BV$3,$C517="L"),-$O517,0)+IF(AND($K518=BV$3,$C518="L"),-$O518,0)+IF(AND($K519=BV$3,$C519="L"),-$O519,0),IF(OR(AND($K517=BV$3,OR($C517="W",$C517="1/2W")),AND($K518=BV$3,OR($C518="W",$C518="1/2W")),AND($K519=BV$3,OR($C519="W",$C519="1/2W"))),$S517,0))</f>
        <v>0</v>
      </c>
      <c r="BW517" s="462">
        <f t="shared" si="1055"/>
        <v>0</v>
      </c>
      <c r="BX517" s="462">
        <f t="shared" si="1055"/>
        <v>0</v>
      </c>
      <c r="BY517" s="462">
        <f t="shared" si="1055"/>
        <v>0</v>
      </c>
      <c r="BZ517" s="460">
        <f t="shared" si="1055"/>
        <v>0</v>
      </c>
      <c r="CA517" s="460">
        <f t="shared" si="1055"/>
        <v>0</v>
      </c>
      <c r="CB517" s="460">
        <f t="shared" si="1055"/>
        <v>0</v>
      </c>
      <c r="CC517" s="460">
        <f t="shared" si="1055"/>
        <v>0</v>
      </c>
      <c r="CD517" s="473">
        <f t="shared" si="1055"/>
        <v>0</v>
      </c>
      <c r="CE517" s="479">
        <f t="shared" si="1055"/>
        <v>0</v>
      </c>
      <c r="CF517" s="113">
        <f t="shared" si="1028"/>
        <v>0</v>
      </c>
      <c r="CG517" s="114">
        <f t="shared" si="1029"/>
        <v>0</v>
      </c>
      <c r="CH517" s="114">
        <f t="shared" si="1030"/>
        <v>0</v>
      </c>
      <c r="CI517" s="114">
        <f t="shared" si="1031"/>
        <v>0</v>
      </c>
      <c r="CJ517" s="114">
        <f t="shared" si="1032"/>
        <v>0</v>
      </c>
      <c r="CK517" s="114">
        <f t="shared" si="1033"/>
        <v>0</v>
      </c>
      <c r="CL517" s="114">
        <f t="shared" si="1034"/>
        <v>0</v>
      </c>
      <c r="CM517" s="114">
        <f t="shared" si="1035"/>
        <v>0</v>
      </c>
      <c r="CN517" s="114">
        <f t="shared" si="1036"/>
        <v>0</v>
      </c>
      <c r="CO517" s="114">
        <f t="shared" si="1037"/>
        <v>1</v>
      </c>
      <c r="CP517" s="114">
        <f t="shared" si="1038"/>
        <v>0</v>
      </c>
      <c r="CQ517" s="114">
        <f t="shared" si="1039"/>
        <v>0</v>
      </c>
      <c r="CR517" s="114">
        <f t="shared" si="1040"/>
        <v>0</v>
      </c>
      <c r="CS517" s="114">
        <f t="shared" si="1041"/>
        <v>0</v>
      </c>
      <c r="CT517" s="115">
        <f t="shared" si="1042"/>
        <v>0</v>
      </c>
      <c r="CU517" s="116">
        <f t="shared" si="1043"/>
        <v>0</v>
      </c>
      <c r="CV517" s="116">
        <f t="shared" si="1044"/>
        <v>0</v>
      </c>
      <c r="CW517" s="116">
        <f t="shared" si="1045"/>
        <v>0</v>
      </c>
      <c r="CX517" s="116">
        <f t="shared" si="1046"/>
        <v>0</v>
      </c>
      <c r="CY517" s="116">
        <f t="shared" si="1047"/>
        <v>0</v>
      </c>
      <c r="CZ517" s="116">
        <f t="shared" si="1048"/>
        <v>0</v>
      </c>
      <c r="DA517" s="116">
        <f t="shared" si="1049"/>
        <v>0</v>
      </c>
      <c r="DB517" s="116">
        <f t="shared" si="1050"/>
        <v>0</v>
      </c>
      <c r="DC517" s="116">
        <f t="shared" si="1051"/>
        <v>0</v>
      </c>
      <c r="DD517" s="116">
        <f t="shared" si="1052"/>
        <v>0</v>
      </c>
      <c r="DE517" s="117">
        <f t="shared" si="1053"/>
        <v>0</v>
      </c>
      <c r="DF517" s="118">
        <f t="shared" ref="DF517:DF580" si="1056">IF(AND(L517&lt;DF$3,$C517="W"),1+DF516,DF516)</f>
        <v>33</v>
      </c>
      <c r="DG517" s="106">
        <f t="shared" ref="DG517:DG580" si="1057">IF(DF517&gt;DF516,L517+DG516,DG516)</f>
        <v>43.031999999999989</v>
      </c>
      <c r="DH517" s="116">
        <f t="shared" ref="DH517:DH580" si="1058">IF(AND(L517&gt;DH$3,$C517="W"),1+DH516,0+DH516)</f>
        <v>13</v>
      </c>
      <c r="DI517" s="106">
        <f t="shared" ref="DI517:DI580" si="1059">IF(DH517&gt;DH516,L517+DI516,DI516)</f>
        <v>56.05</v>
      </c>
      <c r="DJ517" s="201" t="str">
        <f>IF($D517="","",$D517)</f>
        <v>16</v>
      </c>
      <c r="DK517" s="465">
        <f>IF(AND($B517=" ",$D517&lt;&gt;""),1,0)</f>
        <v>0</v>
      </c>
    </row>
    <row r="518" spans="1:115" ht="14.5" customHeight="1" x14ac:dyDescent="0.2">
      <c r="A518" s="389"/>
      <c r="B518" s="456"/>
      <c r="C518" s="120" t="s">
        <v>54</v>
      </c>
      <c r="D518" s="374"/>
      <c r="E518" s="386"/>
      <c r="F518" s="377"/>
      <c r="G518" s="483"/>
      <c r="H518" s="476"/>
      <c r="I518" s="121" t="s">
        <v>52</v>
      </c>
      <c r="J518" s="122">
        <f>IF(OR(I517="TO",I517="TU",I517="TO1",I517="TU1",I517="TO2",I517="TU2"),J517,IF(OR(I517="AH1",I517="AH2"),IF(OR(I518="AH1",I518="AH2"),-J517,IF(OR(I518="EH1",I518="EH2"),-J517+0.5,"")),IF(OR(I517="EH1",I517="EH2"),IF(OR(I518="AH1",I518="AH2"),-J517+0.5,IF(OR(I518="EH1",I518="EH2"),-J517+1,"")),IF(AND(OR(I517="DNB1",I517="DNB2"),OR(I518="AH1",I518="AH2")),0,IF(AND(I517="Not ScoreBoth",OR(I518="TO1",I518="TO2")),0.5,"")))))</f>
        <v>7.5</v>
      </c>
      <c r="K518" s="123" t="s">
        <v>37</v>
      </c>
      <c r="L518" s="124">
        <v>3.2</v>
      </c>
      <c r="M518" s="125">
        <v>19.739999999999998</v>
      </c>
      <c r="N518" s="406"/>
      <c r="O518" s="126">
        <f>IF(OR(AE517="",AE518=""),"",ROUND(IF(L519&gt;0,IF(M518&gt;0,M518,IF(M517&gt;0,IF(N517=TRUE,ROUND((M517*AE518)/AE517,0),(M517*AE518)/AE517),IF(M518&gt;0,ROUND(M518,IF(N517=0,2,IF(N517=0.1,1,0))),IF(M519&gt;0,ROUND(O519*AE518/AE519,IF(N517=0,2,IF(N517=0.1,1,0))),0)))),IF(M518&gt;0,M518,ROUND((M517*AE518)/AE517,IF(N517=0,2,IF(N517=0.1,1,0))))),2))</f>
        <v>19.739999999999998</v>
      </c>
      <c r="P518" s="127">
        <f>IF(OR(L518="",O518=""),"",IF($C518="1/2W",O518/2+O518/2*L518,IF($C518="1/2L",O518/2,IF(I518="Lay",((O518*(L518/(L518-1)))-O518)*(1-_xlfn.XLOOKUP(K518,'Fevereiro 2023 - Valor Real'!A3:A15,'Fevereiro 2023 - Valor Real'!C3:C15,0))+O518,(O518*L518-O518)*(1-_xlfn.XLOOKUP(K518,'Fevereiro 2023 - Valor Real'!A3:A15,'Fevereiro 2023 - Valor Real'!C3:C15,0))+O518))))</f>
        <v>63.167999999999992</v>
      </c>
      <c r="Q518" s="128">
        <f>IF(K518="","",IF(_xlfn.XLOOKUP(K518,K$4:K517,$DJ$4:DJ517,0,,-1)=DJ518,_xlfn.XLOOKUP(K518,K$4:K517,Q$4:Q517,1,,-1)+1,1))</f>
        <v>1</v>
      </c>
      <c r="R518" s="129">
        <f>IF(K518="","",_xlfn.XLOOKUP(K518,K$4:K517,R$4:R517,0,,-1)+IF($C518=" ",1,0))</f>
        <v>0</v>
      </c>
      <c r="S518" s="403"/>
      <c r="T518" s="380"/>
      <c r="U518" s="380"/>
      <c r="V518" s="481"/>
      <c r="W518" s="380"/>
      <c r="X518" s="452"/>
      <c r="Y518" s="383"/>
      <c r="Z518" s="384"/>
      <c r="AA518" s="384"/>
      <c r="AB518" s="384"/>
      <c r="AC518" s="384"/>
      <c r="AD518" s="130">
        <f>(((L518/(L518-1)-1)*(1-_xlfn.XLOOKUP(K518,'Fevereiro 2023 - Valor Real'!A3:A15,'Fevereiro 2023 - Valor Real'!C3:C15,0))+1))</f>
        <v>1.4545454545454546</v>
      </c>
      <c r="AE518" s="131">
        <f>IF(L518="","",IF(L519&gt;0,(SUM(((L517-1)*(1-_xlfn.XLOOKUP(K517,'Fevereiro 2023 - Valor Real'!A3:A15,'Fevereiro 2023 - Valor Real'!C3:C15,0))+1),((L518-1)*(1-_xlfn.XLOOKUP(K518,'Fevereiro 2023 - Valor Real'!A3:A15,'Fevereiro 2023 - Valor Real'!C3:C15,0))+1),((L519-1)*(1-_xlfn.XLOOKUP(K519,'Fevereiro 2023 - Valor Real'!A3:A15,'Fevereiro 2023 - Valor Real'!C3:C15,0))+1))/((L518-1)*(1-_xlfn.XLOOKUP(K518,'Fevereiro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Real'!C3:C15,0))+1))/((L517-1)*(1-_xlfn.XLOOKUP(K517,'Fevereiro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Real'!C3:C15,0))+1))/((L518-1)*(1-_xlfn.XLOOKUP(K518,'Fevereiro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Real'!C3:C15,0))+1))/((L519-1)*(1-_xlfn.XLOOKUP(K519,'Fevereiro 2023 - Valor Real'!A3:A15,'Fevereiro 2023 - Valor Real'!C3:C15,0))+1)),IF(I518="Lay",IF(I517="Lay",((L517/(L517-1)-1)*(1-_xlfn.XLOOKUP(K517,'Fevereiro 2023 - Valor Real'!A3:A15,'Fevereiro 2023 - Valor Real'!C3:C15,0))+1)/(((L517/(L517-1)-1)*(1-_xlfn.XLOOKUP(K517,'Fevereiro 2023 - Valor Real'!A3:A15,'Fevereiro 2023 - Valor Real'!C3:C15,0))+1)+((L518/(L518-1)-1)*(1-_xlfn.XLOOKUP(K518,'Fevereiro 2023 - Valor Real'!A3:A15,'Fevereiro 2023 - Valor Real'!C3:C15,0))+1)),((L517-1)*(1-_xlfn.XLOOKUP(K517,'Fevereiro 2023 - Valor Real'!A3:A15,'Fevereiro 2023 - Valor Real'!C3:C15,0))+1)/(((L517-1)*(1-_xlfn.XLOOKUP(K517,'Fevereiro 2023 - Valor Real'!A3:A15,'Fevereiro 2023 - Valor Real'!C3:C15,0))+1)+((L518/(L518-1)-1)*(1-_xlfn.XLOOKUP(K518,'Fevereiro 2023 - Valor Real'!A3:A15,'Fevereiro 2023 - Valor Real'!C3:C15,0))+1))),IF(I517="Lay",((L517/(L517-1)-1)*(1-_xlfn.XLOOKUP(K517,'Fevereiro 2023 - Valor Real'!A3:A15,'Fevereiro 2023 - Valor Real'!C3:C15,0))+1)/((((L517/(L517-1)-1)*(1-_xlfn.XLOOKUP(K517,'Fevereiro 2023 - Valor Real'!A3:A15,'Fevereiro 2023 - Valor Real'!C3:C15,0))+1))+((L518-1)*(1-_xlfn.XLOOKUP(K518,'Fevereiro 2023 - Valor Real'!A3:A15,'Fevereiro 2023 - Valor Real'!C3:C15,0))+1)),((L517-1)*(1-_xlfn.XLOOKUP(K517,'Fevereiro 2023 - Valor Real'!A3:A15,'Fevereiro 2023 - Valor Real'!C3:C15,0))+1)/(((L517-1)*(1-_xlfn.XLOOKUP(K517,'Fevereiro 2023 - Valor Real'!A3:A15,'Fevereiro 2023 - Valor Real'!C3:C15,0))+1)+((L518-1)*(1-_xlfn.XLOOKUP(K518,'Fevereiro 2023 - Valor Real'!A3:A15,'Fevereiro 2023 - Valor Real'!C3:C15,0))+1))))))</f>
        <v>0.32489451476793246</v>
      </c>
      <c r="AF518" s="105">
        <f t="shared" si="1022"/>
        <v>0</v>
      </c>
      <c r="AG518" s="106">
        <f t="shared" si="1022"/>
        <v>43.43</v>
      </c>
      <c r="AH518" s="106">
        <f t="shared" si="1022"/>
        <v>0</v>
      </c>
      <c r="AI518" s="106">
        <f t="shared" si="1022"/>
        <v>0</v>
      </c>
      <c r="AJ518" s="106">
        <f t="shared" si="1022"/>
        <v>0</v>
      </c>
      <c r="AK518" s="106">
        <f t="shared" si="1022"/>
        <v>0</v>
      </c>
      <c r="AL518" s="106">
        <f t="shared" si="1022"/>
        <v>0</v>
      </c>
      <c r="AM518" s="106">
        <f t="shared" si="1022"/>
        <v>0</v>
      </c>
      <c r="AN518" s="106">
        <f t="shared" si="1022"/>
        <v>0</v>
      </c>
      <c r="AO518" s="106">
        <f t="shared" si="1022"/>
        <v>0</v>
      </c>
      <c r="AP518" s="106">
        <f t="shared" si="1022"/>
        <v>0</v>
      </c>
      <c r="AQ518" s="106">
        <f t="shared" si="1022"/>
        <v>0</v>
      </c>
      <c r="AR518" s="107">
        <f t="shared" si="1022"/>
        <v>0</v>
      </c>
      <c r="AS518" s="105">
        <f>IF(AND($B517=" ",$K518=AS$3),$O518,0)</f>
        <v>0</v>
      </c>
      <c r="AT518" s="106">
        <f>IF(AND($B517=" ",K518=AT$3),$O518,0)</f>
        <v>0</v>
      </c>
      <c r="AU518" s="106">
        <f t="shared" ref="AU518:BE518" si="1060">IF(AND($B517=" ",$K518=AU$3),$O518,0)</f>
        <v>0</v>
      </c>
      <c r="AV518" s="106">
        <f t="shared" si="1060"/>
        <v>0</v>
      </c>
      <c r="AW518" s="106">
        <f t="shared" si="1060"/>
        <v>0</v>
      </c>
      <c r="AX518" s="106">
        <f t="shared" si="1060"/>
        <v>0</v>
      </c>
      <c r="AY518" s="108">
        <f t="shared" si="1060"/>
        <v>0</v>
      </c>
      <c r="AZ518" s="109">
        <f t="shared" si="1060"/>
        <v>0</v>
      </c>
      <c r="BA518" s="109">
        <f t="shared" si="1060"/>
        <v>0</v>
      </c>
      <c r="BB518" s="109">
        <f t="shared" si="1060"/>
        <v>0</v>
      </c>
      <c r="BC518" s="110">
        <f t="shared" si="1060"/>
        <v>0</v>
      </c>
      <c r="BD518" s="106">
        <f t="shared" si="1060"/>
        <v>0</v>
      </c>
      <c r="BE518" s="107">
        <f t="shared" si="1060"/>
        <v>0</v>
      </c>
      <c r="BF518" s="105">
        <f t="shared" si="1024"/>
        <v>0</v>
      </c>
      <c r="BG518" s="106">
        <f t="shared" si="1024"/>
        <v>19.739999999999998</v>
      </c>
      <c r="BH518" s="106">
        <f t="shared" si="1024"/>
        <v>0</v>
      </c>
      <c r="BI518" s="106">
        <f t="shared" si="1024"/>
        <v>0</v>
      </c>
      <c r="BJ518" s="106">
        <f t="shared" si="1024"/>
        <v>0</v>
      </c>
      <c r="BK518" s="106">
        <f t="shared" si="1024"/>
        <v>0</v>
      </c>
      <c r="BL518" s="106">
        <f t="shared" si="1024"/>
        <v>0</v>
      </c>
      <c r="BM518" s="132">
        <f t="shared" si="1024"/>
        <v>0</v>
      </c>
      <c r="BN518" s="112">
        <f t="shared" si="1024"/>
        <v>0</v>
      </c>
      <c r="BO518" s="112">
        <f t="shared" si="1024"/>
        <v>0</v>
      </c>
      <c r="BP518" s="112">
        <f t="shared" si="1024"/>
        <v>0</v>
      </c>
      <c r="BQ518" s="110">
        <f t="shared" si="1024"/>
        <v>0</v>
      </c>
      <c r="BR518" s="107">
        <f t="shared" si="1024"/>
        <v>0</v>
      </c>
      <c r="BS518" s="464"/>
      <c r="BT518" s="461"/>
      <c r="BU518" s="392"/>
      <c r="BV518" s="461"/>
      <c r="BW518" s="392"/>
      <c r="BX518" s="392"/>
      <c r="BY518" s="392"/>
      <c r="BZ518" s="461"/>
      <c r="CA518" s="392"/>
      <c r="CB518" s="392"/>
      <c r="CC518" s="392"/>
      <c r="CD518" s="401"/>
      <c r="CE518" s="409"/>
      <c r="CF518" s="133">
        <f t="shared" si="1028"/>
        <v>0</v>
      </c>
      <c r="CG518" s="134">
        <f t="shared" si="1029"/>
        <v>0</v>
      </c>
      <c r="CH518" s="134">
        <f t="shared" si="1030"/>
        <v>1</v>
      </c>
      <c r="CI518" s="134">
        <f t="shared" si="1031"/>
        <v>0</v>
      </c>
      <c r="CJ518" s="134">
        <f t="shared" si="1032"/>
        <v>0</v>
      </c>
      <c r="CK518" s="134">
        <f t="shared" si="1033"/>
        <v>0</v>
      </c>
      <c r="CL518" s="134">
        <f t="shared" si="1034"/>
        <v>0</v>
      </c>
      <c r="CM518" s="134">
        <f t="shared" si="1035"/>
        <v>0</v>
      </c>
      <c r="CN518" s="134">
        <f t="shared" si="1036"/>
        <v>0</v>
      </c>
      <c r="CO518" s="134">
        <f t="shared" si="1037"/>
        <v>0</v>
      </c>
      <c r="CP518" s="134">
        <f t="shared" si="1038"/>
        <v>0</v>
      </c>
      <c r="CQ518" s="134">
        <f t="shared" si="1039"/>
        <v>0</v>
      </c>
      <c r="CR518" s="134">
        <f t="shared" si="1040"/>
        <v>0</v>
      </c>
      <c r="CS518" s="134">
        <f t="shared" si="1041"/>
        <v>0</v>
      </c>
      <c r="CT518" s="115">
        <f t="shared" si="1042"/>
        <v>0</v>
      </c>
      <c r="CU518" s="116">
        <f t="shared" si="1043"/>
        <v>0</v>
      </c>
      <c r="CV518" s="116">
        <f t="shared" si="1044"/>
        <v>0</v>
      </c>
      <c r="CW518" s="116">
        <f t="shared" si="1045"/>
        <v>0</v>
      </c>
      <c r="CX518" s="116">
        <f t="shared" si="1046"/>
        <v>0</v>
      </c>
      <c r="CY518" s="116">
        <f t="shared" si="1047"/>
        <v>0</v>
      </c>
      <c r="CZ518" s="116">
        <f t="shared" si="1048"/>
        <v>0</v>
      </c>
      <c r="DA518" s="116">
        <f t="shared" si="1049"/>
        <v>0</v>
      </c>
      <c r="DB518" s="116">
        <f t="shared" si="1050"/>
        <v>0</v>
      </c>
      <c r="DC518" s="116">
        <f t="shared" si="1051"/>
        <v>0</v>
      </c>
      <c r="DD518" s="116">
        <f t="shared" si="1052"/>
        <v>0</v>
      </c>
      <c r="DE518" s="117">
        <f t="shared" si="1053"/>
        <v>0</v>
      </c>
      <c r="DF518" s="118">
        <f t="shared" si="1056"/>
        <v>33</v>
      </c>
      <c r="DG518" s="106">
        <f t="shared" si="1057"/>
        <v>43.031999999999989</v>
      </c>
      <c r="DH518" s="116">
        <f t="shared" si="1058"/>
        <v>13</v>
      </c>
      <c r="DI518" s="106">
        <f t="shared" si="1059"/>
        <v>56.05</v>
      </c>
      <c r="DJ518" s="201" t="str">
        <f>IF($D517="","",$D517)</f>
        <v>16</v>
      </c>
      <c r="DK518" s="466"/>
    </row>
    <row r="519" spans="1:115" ht="14.5" customHeight="1" x14ac:dyDescent="0.2">
      <c r="A519" s="390"/>
      <c r="B519" s="457"/>
      <c r="C519" s="135" t="s">
        <v>53</v>
      </c>
      <c r="D519" s="375"/>
      <c r="E519" s="387"/>
      <c r="F519" s="378"/>
      <c r="G519" s="484"/>
      <c r="H519" s="477"/>
      <c r="I519" s="136"/>
      <c r="J519" s="137"/>
      <c r="K519" s="138"/>
      <c r="L519" s="139"/>
      <c r="M519" s="140"/>
      <c r="N519" s="407"/>
      <c r="O519" s="141" t="str">
        <f>IF(OR(AE517="",AE518=""),"",IF(L519&gt;0,ROUND(IF(M519&gt;0,M519,IF(M517&gt;0,ROUND((M517*AE519)/AE517,IF(N517=0,2,IF(N517=0.1,1,0))),IF(M518&gt;0,ROUND((M518*AE519)/AE518,IF(N517=0,2,IF(N517=0.1,1,0))),IF(M519&gt;0,M519,0)))),2),""))</f>
        <v/>
      </c>
      <c r="P519" s="142" t="str">
        <f>IF(I518="Lay",O518*(L518/(L518-1))-O518,IF(I517="Lay",O517*(L517/(L517-1))-O517,IF(OR(L519="",O519=""),"",IF($C519="1/2W",O519/2+O519/2*L519,IF($C519="1/2L",O519/2,(O519*L519-O519)*(1-_xlfn.XLOOKUP(K519,'Fevereiro 2023 - Valor Real'!A3:A15,'Fevereiro 2023 - Valor Real'!C3:C15,0))+O519)))))</f>
        <v/>
      </c>
      <c r="Q519" s="143" t="str">
        <f>IF(K519="","",IF(_xlfn.XLOOKUP(K519,K$4:K518,$DJ$4:DJ518,0,,-1)=DJ519,_xlfn.XLOOKUP(K519,K$4:K518,Q$4:Q518,1,,-1)+1,1))</f>
        <v/>
      </c>
      <c r="R519" s="144" t="str">
        <f>IF(K519="","",_xlfn.XLOOKUP(K519,K$4:K518,R$4:R518,0,,-1)+IF($C519=" ",1,0))</f>
        <v/>
      </c>
      <c r="S519" s="404"/>
      <c r="T519" s="378"/>
      <c r="U519" s="378"/>
      <c r="V519" s="404"/>
      <c r="W519" s="378"/>
      <c r="X519" s="453"/>
      <c r="Y519" s="383"/>
      <c r="Z519" s="384"/>
      <c r="AA519" s="384"/>
      <c r="AB519" s="384"/>
      <c r="AC519" s="384"/>
      <c r="AD519" s="145">
        <f>((L518/(L518-1)-1))</f>
        <v>0.45454545454545459</v>
      </c>
      <c r="AE519" s="146" t="str">
        <f>IF(L519="","",(SUM(((L517-1)*(1-_xlfn.XLOOKUP(K517,'Fevereiro 2023 - Valor Real'!A3:A15,'Fevereiro 2023 - Valor Real'!C3:C15,0))+1),((L518-1)*(1-_xlfn.XLOOKUP(K518,'Fevereiro 2023 - Valor Real'!A3:A15,'Fevereiro 2023 - Valor Real'!C3:C15,0))+1),((L519-1)*(1-_xlfn.XLOOKUP(K519,'Fevereiro 2023 - Valor Real'!A3:A15,'Fevereiro 2023 - Valor Real'!C3:C15,0))+1))/((L519-1)*(1-_xlfn.XLOOKUP(K519,'Fevereiro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Real'!C3:C15,0))+1))/((L517-1)*(1-_xlfn.XLOOKUP(K517,'Fevereiro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Real'!C3:C15,0))+1))/((L518-1)*(1-_xlfn.XLOOKUP(K518,'Fevereiro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Real'!C3:C15,0))+1))/((L519-1)*(1-_xlfn.XLOOKUP(K519,'Fevereiro 2023 - Valor Real'!A3:A15,'Fevereiro 2023 - Valor Real'!C3:C15,0))+1)))</f>
        <v/>
      </c>
      <c r="AF519" s="105">
        <f t="shared" si="1022"/>
        <v>0</v>
      </c>
      <c r="AG519" s="106">
        <f t="shared" si="1022"/>
        <v>0</v>
      </c>
      <c r="AH519" s="106">
        <f t="shared" si="1022"/>
        <v>0</v>
      </c>
      <c r="AI519" s="106">
        <f t="shared" si="1022"/>
        <v>0</v>
      </c>
      <c r="AJ519" s="106">
        <f t="shared" si="1022"/>
        <v>0</v>
      </c>
      <c r="AK519" s="106">
        <f t="shared" si="1022"/>
        <v>0</v>
      </c>
      <c r="AL519" s="106">
        <f t="shared" si="1022"/>
        <v>0</v>
      </c>
      <c r="AM519" s="106">
        <f t="shared" si="1022"/>
        <v>0</v>
      </c>
      <c r="AN519" s="106">
        <f t="shared" si="1022"/>
        <v>0</v>
      </c>
      <c r="AO519" s="106">
        <f t="shared" si="1022"/>
        <v>0</v>
      </c>
      <c r="AP519" s="106">
        <f t="shared" si="1022"/>
        <v>0</v>
      </c>
      <c r="AQ519" s="106">
        <f t="shared" si="1022"/>
        <v>0</v>
      </c>
      <c r="AR519" s="107">
        <f t="shared" si="1022"/>
        <v>0</v>
      </c>
      <c r="AS519" s="105">
        <f>IF(AND($B517=" ",$K519=AS$3),$O519,0)</f>
        <v>0</v>
      </c>
      <c r="AT519" s="106">
        <f>IF(AND($B517=" ",K519=AT$3),$O519,0)</f>
        <v>0</v>
      </c>
      <c r="AU519" s="106">
        <f t="shared" ref="AU519:BE519" si="1061">IF(AND($B517=" ",$K519=AU$3),$O519,0)</f>
        <v>0</v>
      </c>
      <c r="AV519" s="106">
        <f t="shared" si="1061"/>
        <v>0</v>
      </c>
      <c r="AW519" s="106">
        <f t="shared" si="1061"/>
        <v>0</v>
      </c>
      <c r="AX519" s="106">
        <f t="shared" si="1061"/>
        <v>0</v>
      </c>
      <c r="AY519" s="108">
        <f t="shared" si="1061"/>
        <v>0</v>
      </c>
      <c r="AZ519" s="109">
        <f t="shared" si="1061"/>
        <v>0</v>
      </c>
      <c r="BA519" s="109">
        <f t="shared" si="1061"/>
        <v>0</v>
      </c>
      <c r="BB519" s="109">
        <f t="shared" si="1061"/>
        <v>0</v>
      </c>
      <c r="BC519" s="110">
        <f t="shared" si="1061"/>
        <v>0</v>
      </c>
      <c r="BD519" s="106">
        <f t="shared" si="1061"/>
        <v>0</v>
      </c>
      <c r="BE519" s="107">
        <f t="shared" si="1061"/>
        <v>0</v>
      </c>
      <c r="BF519" s="105">
        <f t="shared" si="1024"/>
        <v>0</v>
      </c>
      <c r="BG519" s="106">
        <f t="shared" si="1024"/>
        <v>0</v>
      </c>
      <c r="BH519" s="106">
        <f t="shared" si="1024"/>
        <v>0</v>
      </c>
      <c r="BI519" s="106">
        <f t="shared" si="1024"/>
        <v>0</v>
      </c>
      <c r="BJ519" s="106">
        <f t="shared" si="1024"/>
        <v>0</v>
      </c>
      <c r="BK519" s="106">
        <f t="shared" si="1024"/>
        <v>0</v>
      </c>
      <c r="BL519" s="106">
        <f t="shared" si="1024"/>
        <v>0</v>
      </c>
      <c r="BM519" s="108">
        <f t="shared" si="1024"/>
        <v>0</v>
      </c>
      <c r="BN519" s="109">
        <f t="shared" si="1024"/>
        <v>0</v>
      </c>
      <c r="BO519" s="109">
        <f t="shared" si="1024"/>
        <v>0</v>
      </c>
      <c r="BP519" s="109">
        <f t="shared" si="1024"/>
        <v>0</v>
      </c>
      <c r="BQ519" s="110">
        <f t="shared" si="1024"/>
        <v>0</v>
      </c>
      <c r="BR519" s="107">
        <f t="shared" si="1024"/>
        <v>0</v>
      </c>
      <c r="BS519" s="464"/>
      <c r="BT519" s="461"/>
      <c r="BU519" s="392"/>
      <c r="BV519" s="461"/>
      <c r="BW519" s="392"/>
      <c r="BX519" s="392"/>
      <c r="BY519" s="392"/>
      <c r="BZ519" s="461"/>
      <c r="CA519" s="392"/>
      <c r="CB519" s="392"/>
      <c r="CC519" s="392"/>
      <c r="CD519" s="401"/>
      <c r="CE519" s="409"/>
      <c r="CF519" s="133">
        <f t="shared" si="1028"/>
        <v>0</v>
      </c>
      <c r="CG519" s="134">
        <f t="shared" si="1029"/>
        <v>0</v>
      </c>
      <c r="CH519" s="134">
        <f t="shared" si="1030"/>
        <v>0</v>
      </c>
      <c r="CI519" s="134">
        <f t="shared" si="1031"/>
        <v>0</v>
      </c>
      <c r="CJ519" s="134">
        <f t="shared" si="1032"/>
        <v>0</v>
      </c>
      <c r="CK519" s="134">
        <f t="shared" si="1033"/>
        <v>0</v>
      </c>
      <c r="CL519" s="134">
        <f t="shared" si="1034"/>
        <v>0</v>
      </c>
      <c r="CM519" s="134">
        <f t="shared" si="1035"/>
        <v>0</v>
      </c>
      <c r="CN519" s="134">
        <f t="shared" si="1036"/>
        <v>0</v>
      </c>
      <c r="CO519" s="134">
        <f t="shared" si="1037"/>
        <v>0</v>
      </c>
      <c r="CP519" s="134">
        <f t="shared" si="1038"/>
        <v>0</v>
      </c>
      <c r="CQ519" s="134">
        <f t="shared" si="1039"/>
        <v>0</v>
      </c>
      <c r="CR519" s="134">
        <f t="shared" si="1040"/>
        <v>0</v>
      </c>
      <c r="CS519" s="134">
        <f t="shared" si="1041"/>
        <v>0</v>
      </c>
      <c r="CT519" s="115">
        <f t="shared" si="1042"/>
        <v>0</v>
      </c>
      <c r="CU519" s="116">
        <f t="shared" si="1043"/>
        <v>0</v>
      </c>
      <c r="CV519" s="116">
        <f t="shared" si="1044"/>
        <v>0</v>
      </c>
      <c r="CW519" s="116">
        <f t="shared" si="1045"/>
        <v>0</v>
      </c>
      <c r="CX519" s="116">
        <f t="shared" si="1046"/>
        <v>0</v>
      </c>
      <c r="CY519" s="116">
        <f t="shared" si="1047"/>
        <v>0</v>
      </c>
      <c r="CZ519" s="116">
        <f t="shared" si="1048"/>
        <v>0</v>
      </c>
      <c r="DA519" s="116">
        <f t="shared" si="1049"/>
        <v>0</v>
      </c>
      <c r="DB519" s="116">
        <f t="shared" si="1050"/>
        <v>0</v>
      </c>
      <c r="DC519" s="116">
        <f t="shared" si="1051"/>
        <v>0</v>
      </c>
      <c r="DD519" s="116">
        <f t="shared" si="1052"/>
        <v>0</v>
      </c>
      <c r="DE519" s="117">
        <f t="shared" si="1053"/>
        <v>0</v>
      </c>
      <c r="DF519" s="118">
        <f t="shared" si="1056"/>
        <v>33</v>
      </c>
      <c r="DG519" s="106">
        <f t="shared" si="1057"/>
        <v>43.031999999999989</v>
      </c>
      <c r="DH519" s="116">
        <f t="shared" si="1058"/>
        <v>13</v>
      </c>
      <c r="DI519" s="106">
        <f t="shared" si="1059"/>
        <v>56.05</v>
      </c>
      <c r="DJ519" s="201" t="str">
        <f>IF($D517="","",$D517)</f>
        <v>16</v>
      </c>
      <c r="DK519" s="466"/>
    </row>
    <row r="520" spans="1:115" ht="14.5" customHeight="1" x14ac:dyDescent="0.2">
      <c r="A520" s="487">
        <f>$A517+1</f>
        <v>173</v>
      </c>
      <c r="B520" s="506" t="str">
        <f>IF(OR(C520="W",C521="W",C522="W",C520="1/2W",C521="1/2W",C522="1/2W",C520="1/2L",C521="1/2L",C522="1/2L"),"OK",IF(OR(C520="L",C521="L",C522="L"),"LOSS",IF(OR(C520="X",C521="X",C522="X"),"Anulado"," ")))</f>
        <v>OK</v>
      </c>
      <c r="C520" s="147" t="s">
        <v>55</v>
      </c>
      <c r="D520" s="494" t="str">
        <f>IF(G520="","",$D517)</f>
        <v>16</v>
      </c>
      <c r="E520" s="511" t="str">
        <f>IF(G520=""," ","– "&amp;COUNTIF(D$4:D522,$D520))</f>
        <v>– 5</v>
      </c>
      <c r="F520" s="510" t="str">
        <f ca="1">IF(G520="","",IF(OR(AND($C520&lt;&gt;" ",$C521=" "),AND($C521&lt;&gt;" ",$C520=" "),AND(L522&gt;0,OR(AND($C522&lt;&gt;" ",OR($C520=" ",$C521=" ")),AND($C522=" ",OR($C520&lt;&gt;" ",$C521&lt;&gt;" "))))),IF(SUM(F$4:F519)=0,1,LARGE(F$4:F519,1)+1),IF(MONTH(G520)=MONTH(TODAY()),IF(AND(DAY(G520)&lt;DAY(TODAY()),$B520=" "),IF(SUM(F$4:F519)=0,1,LARGE(F$4:F519,1)+1),IF($B520=" ",IF(AND(DAY(G520)=DAY(TODAY()),HOUR(G520)&lt;=HOUR(NOW())+1),IF(AND(HOUR(G520)+2&lt;=HOUR(NOW()),DAY(G520)&lt;=DAY(TODAY()),MINUTE(G520)&lt;=MINUTE(NOW())),IF(SUM(F$4:F519)=0,1,LARGE(F$4:F519,1)+1),IF(OR(MINUTE(G520)&lt;=MINUTE(NOW()),HOUR(G520)&lt;=HOUR(NOW())),"!!!","")),""),"")),"")))</f>
        <v/>
      </c>
      <c r="G520" s="508">
        <v>45003.020833333336</v>
      </c>
      <c r="H520" s="502" t="s">
        <v>206</v>
      </c>
      <c r="I520" s="180" t="s">
        <v>72</v>
      </c>
      <c r="J520" s="149"/>
      <c r="K520" s="150" t="s">
        <v>40</v>
      </c>
      <c r="L520" s="151">
        <v>2.04</v>
      </c>
      <c r="M520" s="152">
        <v>10.82</v>
      </c>
      <c r="N520" s="503">
        <v>0</v>
      </c>
      <c r="O520" s="153">
        <f>IF(OR(AE520="",AE521=""),"",ROUND(IF(L522&gt;0,IF(M520&gt;0,M520,IF(M521&gt;0,ROUND((M521*AE520)/AE521,IF(N520=0,2,IF(N520=0.1,1,0))),ROUND((M522*AE520)/AE522,IF(N520=0,2,IF(N520=0.1,1,0))))),IF(M520&gt;0,M520,ROUND((M521*AE520)/AE521,IF(N520=0,2,IF(N520=0.1,1,0))))),2))</f>
        <v>10.82</v>
      </c>
      <c r="P520" s="154">
        <f>IF(OR(L520="",O520=""),"",IF($C520="1/2W",O520/2+O520/2*L520,IF($C520="1/2L",O520/2,IF(I520="Lay",(O520*(L520/(L520-1))-O520)*(1-_xlfn.XLOOKUP(K520,'Fevereiro 2023 - Valor Real'!A3:A15,'Fevereiro 2023 - Valor Real'!C3:C15,0))+O520,(O520*L520-O520)*(1-_xlfn.XLOOKUP(K520,'Fevereiro 2023 - Valor Real'!A3:A15,'Fevereiro 2023 - Valor Real'!C3:C15,0))+O520))))</f>
        <v>22.072800000000001</v>
      </c>
      <c r="Q520" s="155">
        <f>IF(K520="","",IF(_xlfn.XLOOKUP(K520,K$9:K512,$DJ$9:DJ512,0,,-1)=DJ520,_xlfn.XLOOKUP(K520,K$9:K512,Q$9:Q512,1,,-1)+1,1))</f>
        <v>3</v>
      </c>
      <c r="R520" s="156">
        <f>IF(K520="","",_xlfn.XLOOKUP(K520,K$9:K512,R$9:R512,0,,-1)+IF($C520=" ",1,0))</f>
        <v>0</v>
      </c>
      <c r="S520" s="501">
        <f>IF($B520="Anulado",0,ROUND(IF(OR($B520="LOSS",$B520="OK"),IF(OR($C520="W",$C520="1/2W",$C520="1/2L"),P520-O520,IF($C520="L",-O520,0))+IF(OR($C521="W",$C521="1/2W",$C521="1/2L"),P521-O521,IF($C521="L",-O521,0))+IF(OR($C522="W",$C522="1/2W",$C522="1/2L"),P522-O522,IF($C522="L",-O522,0)),IF(AND(OR($C520="W",$C520="1/2W",$C520="1/2L"),C521="W"),P520+P521-SUM(O520:O522)+_xlfn.XLOOKUP("X",C520:C522,O520:O522,0),IF(AND(C520=TRUE,C522="W"),P520+P522-SUM(O520:O522),IF(AND(C521="W",C522="W"),P521+P522-SUM(O520:O522)+_xlfn.XLOOKUP("X",C520:C522,O520:O522,0),IF(L522&gt;0,IF(OR($C520="W",$C520="1/2W",$C520="1/2L"),P520-SUM(O520:O522)+_xlfn.XLOOKUP("X",C520:C522,O520:O522,0),IF(OR($C520="W",$C520="1/2W",$C520="1/2L"),P521-SUM(O520:O522)+_xlfn.XLOOKUP("X",C520:C522,O520:O522,0),IF(OR($C520="W",$C520="1/2W",$C520="1/2L"),P522-SUM(O520:O522)+_xlfn.XLOOKUP("X",C520:C522,O520:O522,0),IF(SUM(P520:P522)/3-SUM(O520:O522)+_xlfn.XLOOKUP("X",C520:C522,O520:O522,0)&gt;0,SUM(P520:P522)/3-SUM(O520:O522)+_xlfn.XLOOKUP("X",C520:C522,O520:O522,0),LARGE(P520:P522,1)-SUM(O520:O522))))),IF(OR($C520="W",$C520="1/2W",$C520="1/2L"),P520-SUM(O520:O521)+_xlfn.XLOOKUP("X",C520:C522,O520:O522,0),IF(OR($C520="W",$C520="1/2W",$C520="1/2L"),P521-SUM(O520:O521)+_xlfn.XLOOKUP("X",C520:C522,O520:O522,0),SUM(P520:P521)/2-SUM(O520:O521)+_xlfn.XLOOKUP("X",C520:C522,O520:O522,0)))))))),2))</f>
        <v>2.8</v>
      </c>
      <c r="T520" s="486">
        <f>IF(S520=0,0,S520/SUM(O520:O522))</f>
        <v>0.14522821576763484</v>
      </c>
      <c r="U520" s="496">
        <f>IF($D520=$D517,IF(OR($B520="LOSS",$B520="OK",$B520="Anulada"),S520,0)+U517,IF(OR($B520="LOSS",$B520="OK",$B520="Anulada"),S520,0))</f>
        <v>9.5800000000000018</v>
      </c>
      <c r="V520" s="496">
        <f>IF($D520="",0,IF($D520=$D517,IF($B520=" ",IF(I522="",IF(OR(AND(I520="DNB1",I521="DNB2"),AND(OR(I520="DNB1",I520="DNB2"),J521=0),AND(OR(I521="DNB1",I521="DNB2"),J520=0),AND(I520="DNB2",I521="DNB1"),AND(IF(J520=0,(J520+1)/ROUND(J520+1,0),J520/ROUND(J520,0))=1,IF(J521=0,(J521+1)/ROUND(IF(J521="",0,J521)+1,0),IF(J521="",0,J521)/ROUND(IF(J521="",1,J521),0))=1,OR(J520&lt;&gt;""),J521&lt;&gt;"")),0,IF(S520&lt;0,IF(I522="",SMALL(P520:P521,1)-SUM(O520:O521),0),SMALL(P520:P521,1)-SUM(O520:O521))),IF(S520&lt;0,IF(I522="",SMALL(P520:P522,1)-SUM(O520:O522),0),LARGE(P520:P522,1)-SUM(O520:O522))),S520)+V517,IF(I522="",IF(OR(AND(I520="DNB1",I521="DNB2"),AND(OR(I520="DNB1",I520="DNB2"),J521=0),AND(OR(I521="DNB1",I521="DNB2"),J520=0),AND(I520="DNB2",I521="DNB1"),AND(IF(J520=0,(J520+1)/ROUND(J520+1,0),J520/ROUND(J520,0))=1,IF(J521=0,(IF(J521="",0,J521)+1)/ROUND(IF(J521="",0,J521)+1,0),IF(J521="",0,J521)/ROUND(IF(J521="",0,J521)+1,0))=1,OR(J520&lt;&gt;""),J521&lt;&gt;"")),0,IF(S520&lt;0,IF(I522="",SMALL(P520:P521,1)-SUM(O520:O521),0),SMALL(P520:P522,1)-SUM(O520:O522))),IF(S520&lt;0,IF(I522="",SMALL(P520:P522,1)-SUM(O520:O522),0),LARGE(P520:P522,1)-SUM(O520:O522)))))</f>
        <v>9.5752000000000024</v>
      </c>
      <c r="W520" s="496">
        <f>IF($D520=$D517,IF(S520&lt;0,IF(I522="",S520,0),S520)+W517,S520)</f>
        <v>9.5800000000000018</v>
      </c>
      <c r="X520" s="505" t="str">
        <f>IF(OR(SUM(R520:R522)=0,V520=W520),ROUND(IF(W520=0,0,W520/Y520)*100,2)&amp;"%",ROUND(IF(V520=0,0,V520/Y520)*100,2)&amp;"% a "&amp;ROUND(IF(W520=0,0,W520/Y520)*100,2)&amp;"%")</f>
        <v>6,69%</v>
      </c>
      <c r="Y520" s="497">
        <f>IF($D520=$D517,Y517+SUM(O520:O522),SUM(O520:O522))</f>
        <v>143.25</v>
      </c>
      <c r="Z520" s="496">
        <f>IF($B520=" ",SUM(O520:O522),0)+Z517</f>
        <v>0</v>
      </c>
      <c r="AA520" s="496">
        <f>IF(G520="","",IF($B520="Anulado",LARGE(P520:P522,1)-SUM(O520:O522)+AA517,AA517))</f>
        <v>12.425099999999992</v>
      </c>
      <c r="AB520" s="496">
        <f>IF($D520="","",AB517+S520)</f>
        <v>607.6800000000004</v>
      </c>
      <c r="AC520" s="499">
        <f ca="1">IF($D520="","",IF($B520=" ",IF(DAY(G520)=DAY(TODAY()),1+AC517,0+AC517),0+AC517))</f>
        <v>0</v>
      </c>
      <c r="AD520" s="157">
        <f>(1-_xlfn.XLOOKUP(K518,'Fevereiro 2023 - Valor Real'!A3:A15,'Fevereiro 2023 - Valor Real'!C3:C15,0))+1</f>
        <v>2</v>
      </c>
      <c r="AE520" s="158">
        <f>IF(L520="","",IF(L522&gt;0,(SUM(((L520-1)*(1-_xlfn.XLOOKUP(K520,'Fevereiro 2023 - Valor Real'!A3:A15,'Fevereiro 2023 - Valor Real'!C3:C15,0))+1),((L521-1)*(1-_xlfn.XLOOKUP(K521,'Fevereiro 2023 - Valor Real'!A3:A15,'Fevereiro 2023 - Valor Real'!C3:C15,0))+1),((L522-1)*(1-_xlfn.XLOOKUP(K522,'Fevereiro 2023 - Valor Real'!A3:A15,'Fevereiro 2023 - Valor Real'!C3:C15,0))+1))/((L520-1)*(1-_xlfn.XLOOKUP(K520,'Fevereiro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Real'!C3:C15,0))+1))/((L520-1)*(1-_xlfn.XLOOKUP(K520,'Fevereiro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Real'!C3:C15,0))+1))/((L521-1)*(1-_xlfn.XLOOKUP(K521,'Fevereiro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Real'!C3:C15,0))+1))/((L522-1)*(1-_xlfn.XLOOKUP(K522,'Fevereiro 2023 - Valor Real'!A3:A15,'Fevereiro 2023 - Valor Real'!C3:C15,0))+1)),IF(I520="Lay",IF(I521="Lay",((L521/(L521-1)-1)*(1-_xlfn.XLOOKUP(K521,'Fevereiro 2023 - Valor Real'!A3:A15,'Fevereiro 2023 - Valor Real'!C3:C15,0))+1)/(((L521/(L521-1)-1)*(1-_xlfn.XLOOKUP(K521,'Fevereiro 2023 - Valor Real'!A3:A15,'Fevereiro 2023 - Valor Real'!C3:C15,0))+1)+((L520/(L520-1)-1)*(1-_xlfn.XLOOKUP(K520,'Fevereiro 2023 - Valor Real'!A3:A15,'Fevereiro 2023 - Valor Real'!C3:C15,0))+1)),((L521-1)*(1-_xlfn.XLOOKUP(K521,'Fevereiro 2023 - Valor Real'!A3:A15,'Fevereiro 2023 - Valor Real'!C3:C15,0))+1)/(((L521-1)*(1-_xlfn.XLOOKUP(K521,'Fevereiro 2023 - Valor Real'!A3:A15,'Fevereiro 2023 - Valor Real'!C3:C15,0))+1)+((L520/(L520-1)-1)*(1-_xlfn.XLOOKUP(K520,'Fevereiro 2023 - Valor Real'!A3:A15,'Fevereiro 2023 - Valor Real'!C3:C15,0))+1))),IF(I521="Lay",(((L521/(L521-1)-1)*(1-_xlfn.XLOOKUP(K521,'Fevereiro 2023 - Valor Real'!A3:A15,'Fevereiro 2023 - Valor Real'!C3:C15,0))+1))/(((L520-1)*(1-_xlfn.XLOOKUP(K520,'Fevereiro 2023 - Valor Real'!A3:A15,'Fevereiro 2023 - Valor Real'!C3:C15,0))+1)+((L521/(L521-1)-1)*(1-_xlfn.XLOOKUP(K521,'Fevereiro 2023 - Valor Real'!A3:A15,'Fevereiro 2023 - Valor Real'!C3:C15,0))+1)),((L521-1)*(1-_xlfn.XLOOKUP(K521,'Fevereiro 2023 - Valor Real'!A3:A15,'Fevereiro 2023 - Valor Real'!C3:C15,0))+1)/(((L521-1)*(1-_xlfn.XLOOKUP(K521,'Fevereiro 2023 - Valor Real'!A3:A15,'Fevereiro 2023 - Valor Real'!C3:C15,0))+1)+((L520-1)*(1-_xlfn.XLOOKUP(K520,'Fevereiro 2023 - Valor Real'!A3:A15,'Fevereiro 2023 - Valor Real'!C3:C15,0))+1))))))</f>
        <v>0.56129032258064504</v>
      </c>
      <c r="AF520" s="66">
        <f t="shared" si="1022"/>
        <v>0</v>
      </c>
      <c r="AG520" s="67">
        <f t="shared" si="1022"/>
        <v>0</v>
      </c>
      <c r="AH520" s="67">
        <f t="shared" si="1022"/>
        <v>0</v>
      </c>
      <c r="AI520" s="67">
        <f t="shared" si="1022"/>
        <v>0</v>
      </c>
      <c r="AJ520" s="67">
        <f t="shared" si="1022"/>
        <v>-10.82</v>
      </c>
      <c r="AK520" s="67">
        <f t="shared" si="1022"/>
        <v>0</v>
      </c>
      <c r="AL520" s="67">
        <f t="shared" si="1022"/>
        <v>0</v>
      </c>
      <c r="AM520" s="67">
        <f t="shared" si="1022"/>
        <v>0</v>
      </c>
      <c r="AN520" s="67">
        <f t="shared" si="1022"/>
        <v>0</v>
      </c>
      <c r="AO520" s="67">
        <f t="shared" si="1022"/>
        <v>0</v>
      </c>
      <c r="AP520" s="67">
        <f t="shared" si="1022"/>
        <v>0</v>
      </c>
      <c r="AQ520" s="67">
        <f t="shared" si="1022"/>
        <v>0</v>
      </c>
      <c r="AR520" s="68">
        <f t="shared" si="1022"/>
        <v>0</v>
      </c>
      <c r="AS520" s="66">
        <f t="shared" ref="AS520:BE520" si="1062">IF(AND($B520=" ",$K520=AS$3),$O520,0)</f>
        <v>0</v>
      </c>
      <c r="AT520" s="67">
        <f t="shared" si="1062"/>
        <v>0</v>
      </c>
      <c r="AU520" s="67">
        <f t="shared" si="1062"/>
        <v>0</v>
      </c>
      <c r="AV520" s="67">
        <f t="shared" si="1062"/>
        <v>0</v>
      </c>
      <c r="AW520" s="67">
        <f t="shared" si="1062"/>
        <v>0</v>
      </c>
      <c r="AX520" s="67">
        <f t="shared" si="1062"/>
        <v>0</v>
      </c>
      <c r="AY520" s="69">
        <f t="shared" si="1062"/>
        <v>0</v>
      </c>
      <c r="AZ520" s="70">
        <f t="shared" si="1062"/>
        <v>0</v>
      </c>
      <c r="BA520" s="70">
        <f t="shared" si="1062"/>
        <v>0</v>
      </c>
      <c r="BB520" s="70">
        <f t="shared" si="1062"/>
        <v>0</v>
      </c>
      <c r="BC520" s="71">
        <f t="shared" si="1062"/>
        <v>0</v>
      </c>
      <c r="BD520" s="67">
        <f t="shared" si="1062"/>
        <v>0</v>
      </c>
      <c r="BE520" s="68">
        <f t="shared" si="1062"/>
        <v>0</v>
      </c>
      <c r="BF520" s="66">
        <f t="shared" si="1024"/>
        <v>0</v>
      </c>
      <c r="BG520" s="67">
        <f t="shared" si="1024"/>
        <v>0</v>
      </c>
      <c r="BH520" s="67">
        <f t="shared" si="1024"/>
        <v>0</v>
      </c>
      <c r="BI520" s="67">
        <f t="shared" si="1024"/>
        <v>0</v>
      </c>
      <c r="BJ520" s="67">
        <f t="shared" si="1024"/>
        <v>10.82</v>
      </c>
      <c r="BK520" s="67">
        <f t="shared" si="1024"/>
        <v>0</v>
      </c>
      <c r="BL520" s="67">
        <f t="shared" si="1024"/>
        <v>0</v>
      </c>
      <c r="BM520" s="69">
        <f t="shared" si="1024"/>
        <v>0</v>
      </c>
      <c r="BN520" s="70">
        <f t="shared" si="1024"/>
        <v>0</v>
      </c>
      <c r="BO520" s="70">
        <f t="shared" si="1024"/>
        <v>0</v>
      </c>
      <c r="BP520" s="70">
        <f t="shared" si="1024"/>
        <v>0</v>
      </c>
      <c r="BQ520" s="71">
        <f t="shared" si="1024"/>
        <v>0</v>
      </c>
      <c r="BR520" s="68">
        <f t="shared" si="1024"/>
        <v>0</v>
      </c>
      <c r="BS520" s="490">
        <f>IF($B520="LOSS",IF(AND($K520=BS$3,$C520="L"),-$O520,0)+IF(AND($K521=BS$3,$C521="L"),-$O521,0)+IF(AND($K522=BS$3,$C522="L"),-$O522,0),IF(OR(AND($K520=BS$3,OR($C520="W",$C520="1/2W")),AND($K521=BS$3,OR($C521="W",$C521="1/2W")),AND($K522=BS$3,OR($C522="W",$C522="1/2W"))),$S520,0))</f>
        <v>0</v>
      </c>
      <c r="BT520" s="498">
        <f>IF($B520="LOSS",IF(AND($K520=BT$3,$C520="L"),-$O520,0)+IF(AND($K521=BT$3,$C521="L"),-$O521,0)+IF(AND($K521=BT$3,$C522="L"),-$O522,0),IF(OR(AND($K521=BT$3,OR($C520="W",$C520="1/2W")),AND($K521=BT$3,OR($C521="W",$C521="1/2W")),AND($K521=BT$3,OR($C522="W",$C522="1/2W"))),$S520,0))</f>
        <v>0</v>
      </c>
      <c r="BU520" s="488">
        <f>IF($B520="LOSS",IF(AND($K520=BU$3,$C520="L"),-$O520,0)+IF(AND($K521=BU$3,$C521="L"),-$O521,0)+IF(AND($K521=BU$3,$C522="L"),-$O522,0),IF(OR(AND($K521=BU$3,OR($C520="W",$C520="1/2W")),AND($K521=BU$3,OR($C521="W",$C521="1/2W")),AND($K521=BU$3,OR($C522="W",$C522="1/2W"))),$S520,0))</f>
        <v>0</v>
      </c>
      <c r="BV520" s="488">
        <f t="shared" ref="BV520:CE520" si="1063">IF($B520="LOSS",IF(AND($K520=BV$3,$C520="L"),-$O520,0)+IF(AND($K521=BV$3,$C521="L"),-$O521,0)+IF(AND($K522=BV$3,$C522="L"),-$O522,0),IF(OR(AND($K520=BV$3,OR($C520="W",$C520="1/2W")),AND($K521=BV$3,OR($C521="W",$C521="1/2W")),AND($K522=BV$3,OR($C522="W",$C522="1/2W"))),$S520,0))</f>
        <v>0</v>
      </c>
      <c r="BW520" s="488">
        <f t="shared" si="1063"/>
        <v>0</v>
      </c>
      <c r="BX520" s="488">
        <f t="shared" si="1063"/>
        <v>0</v>
      </c>
      <c r="BY520" s="488">
        <f t="shared" si="1063"/>
        <v>0</v>
      </c>
      <c r="BZ520" s="488">
        <f t="shared" si="1063"/>
        <v>2.8</v>
      </c>
      <c r="CA520" s="488">
        <f t="shared" si="1063"/>
        <v>0</v>
      </c>
      <c r="CB520" s="488">
        <f t="shared" si="1063"/>
        <v>0</v>
      </c>
      <c r="CC520" s="488">
        <f t="shared" si="1063"/>
        <v>0</v>
      </c>
      <c r="CD520" s="500">
        <f t="shared" si="1063"/>
        <v>0</v>
      </c>
      <c r="CE520" s="504">
        <f t="shared" si="1063"/>
        <v>0</v>
      </c>
      <c r="CF520" s="160">
        <f t="shared" si="1028"/>
        <v>0</v>
      </c>
      <c r="CG520" s="161">
        <f t="shared" si="1029"/>
        <v>0</v>
      </c>
      <c r="CH520" s="161">
        <f t="shared" si="1030"/>
        <v>0</v>
      </c>
      <c r="CI520" s="161">
        <f t="shared" si="1031"/>
        <v>0</v>
      </c>
      <c r="CJ520" s="161">
        <f t="shared" si="1032"/>
        <v>0</v>
      </c>
      <c r="CK520" s="161">
        <f t="shared" si="1033"/>
        <v>0</v>
      </c>
      <c r="CL520" s="161">
        <f t="shared" si="1034"/>
        <v>0</v>
      </c>
      <c r="CM520" s="161">
        <f t="shared" si="1035"/>
        <v>0</v>
      </c>
      <c r="CN520" s="161">
        <f t="shared" si="1036"/>
        <v>0</v>
      </c>
      <c r="CO520" s="161">
        <f t="shared" si="1037"/>
        <v>1</v>
      </c>
      <c r="CP520" s="161">
        <f t="shared" si="1038"/>
        <v>0</v>
      </c>
      <c r="CQ520" s="161">
        <f t="shared" si="1039"/>
        <v>0</v>
      </c>
      <c r="CR520" s="161">
        <f t="shared" si="1040"/>
        <v>0</v>
      </c>
      <c r="CS520" s="161">
        <f t="shared" si="1041"/>
        <v>0</v>
      </c>
      <c r="CT520" s="75">
        <f t="shared" si="1042"/>
        <v>0</v>
      </c>
      <c r="CU520" s="76">
        <f t="shared" si="1043"/>
        <v>0</v>
      </c>
      <c r="CV520" s="76">
        <f t="shared" si="1044"/>
        <v>0</v>
      </c>
      <c r="CW520" s="76">
        <f t="shared" si="1045"/>
        <v>0</v>
      </c>
      <c r="CX520" s="76">
        <f t="shared" si="1046"/>
        <v>0</v>
      </c>
      <c r="CY520" s="76">
        <f t="shared" si="1047"/>
        <v>0</v>
      </c>
      <c r="CZ520" s="76">
        <f t="shared" si="1048"/>
        <v>0</v>
      </c>
      <c r="DA520" s="76">
        <f t="shared" si="1049"/>
        <v>0</v>
      </c>
      <c r="DB520" s="76">
        <f t="shared" si="1050"/>
        <v>0</v>
      </c>
      <c r="DC520" s="76">
        <f t="shared" si="1051"/>
        <v>0</v>
      </c>
      <c r="DD520" s="76">
        <f t="shared" si="1052"/>
        <v>0</v>
      </c>
      <c r="DE520" s="77">
        <f t="shared" si="1053"/>
        <v>0</v>
      </c>
      <c r="DF520" s="73">
        <f t="shared" si="1056"/>
        <v>33</v>
      </c>
      <c r="DG520" s="67">
        <f t="shared" si="1057"/>
        <v>43.031999999999989</v>
      </c>
      <c r="DH520" s="76">
        <f t="shared" si="1058"/>
        <v>13</v>
      </c>
      <c r="DI520" s="67">
        <f t="shared" si="1059"/>
        <v>56.05</v>
      </c>
      <c r="DJ520" s="202" t="str">
        <f>IF($D520="","",$D520)</f>
        <v>16</v>
      </c>
      <c r="DK520" s="492">
        <f>IF(AND($B520=" ",$D520&lt;&gt;""),1,0)</f>
        <v>0</v>
      </c>
    </row>
    <row r="521" spans="1:115" ht="14.5" customHeight="1" x14ac:dyDescent="0.2">
      <c r="A521" s="389"/>
      <c r="B521" s="456"/>
      <c r="C521" s="53" t="s">
        <v>54</v>
      </c>
      <c r="D521" s="374"/>
      <c r="E521" s="386"/>
      <c r="F521" s="377"/>
      <c r="G521" s="508"/>
      <c r="H521" s="476"/>
      <c r="I521" s="182" t="s">
        <v>51</v>
      </c>
      <c r="J521" s="56">
        <v>0.5</v>
      </c>
      <c r="K521" s="57" t="s">
        <v>43</v>
      </c>
      <c r="L521" s="164">
        <v>2.61</v>
      </c>
      <c r="M521" s="165"/>
      <c r="N521" s="406"/>
      <c r="O521" s="60">
        <f>IF(OR(AE520="",AE521=""),"",ROUND(IF(L522&gt;0,IF(M521&gt;0,M521,IF(M520&gt;0,IF(N520=TRUE,ROUND((M520*AE521)/AE520,0),(M520*AE521)/AE520),IF(M521&gt;0,ROUND(M521,IF(N520=0,2,IF(N520=0.1,1,0))),IF(M522&gt;0,ROUND(O522*AE521/AE522,IF(N520=0,2,IF(N520=0.1,1,0))),0)))),IF(M521&gt;0,M521,ROUND((M520*AE521)/AE520,IF(N520=0,2,IF(N520=0.1,1,0))))),2))</f>
        <v>8.4600000000000009</v>
      </c>
      <c r="P521" s="61">
        <f>IF(OR(L521="",O521=""),"",IF($C521="1/2W",O521/2+O521/2*L521,IF($C521="1/2L",O521/2,IF(I521="Lay",((O521*(L521/(L521-1)))-O521)*(1-_xlfn.XLOOKUP(K521,'Fevereiro 2023 - Valor Real'!A3:A15,'Fevereiro 2023 - Valor Real'!C3:C15,0))+O521,(O521*L521-O521)*(1-_xlfn.XLOOKUP(K521,'Fevereiro 2023 - Valor Real'!A3:A15,'Fevereiro 2023 - Valor Real'!C3:C15,0))+O521))))</f>
        <v>22.0806</v>
      </c>
      <c r="Q521" s="166">
        <f>IF(K521="","",IF(_xlfn.XLOOKUP(K521,K$10:K512,$DJ$10:DJ512,0,,-1)=DJ521,_xlfn.XLOOKUP(K521,K$10:K512,Q$10:Q512,1,,-1)+1,1))</f>
        <v>1</v>
      </c>
      <c r="R521" s="167">
        <f>IF(K521="","",_xlfn.XLOOKUP(K521,K$10:K512,R$10:R512,0,,-1)+IF($C521=" ",1,0))</f>
        <v>0</v>
      </c>
      <c r="S521" s="403"/>
      <c r="T521" s="380"/>
      <c r="U521" s="380"/>
      <c r="V521" s="481"/>
      <c r="W521" s="380"/>
      <c r="X521" s="452"/>
      <c r="Y521" s="383"/>
      <c r="Z521" s="384"/>
      <c r="AA521" s="384"/>
      <c r="AB521" s="384"/>
      <c r="AC521" s="384"/>
      <c r="AD521" s="64"/>
      <c r="AE521" s="65">
        <f>IF(L521="","",IF(L522&gt;0,(SUM(((L520-1)*(1-_xlfn.XLOOKUP(K520,'Fevereiro 2023 - Valor Real'!A3:A15,'Fevereiro 2023 - Valor Real'!C3:C15,0))+1),((L521-1)*(1-_xlfn.XLOOKUP(K521,'Fevereiro 2023 - Valor Real'!A3:A15,'Fevereiro 2023 - Valor Real'!C3:C15,0))+1),((L522-1)*(1-_xlfn.XLOOKUP(K522,'Fevereiro 2023 - Valor Real'!A3:A15,'Fevereiro 2023 - Valor Real'!C3:C15,0))+1))/((L521-1)*(1-_xlfn.XLOOKUP(K521,'Fevereiro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Real'!C3:C15,0))+1))/((L520-1)*(1-_xlfn.XLOOKUP(K520,'Fevereiro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Real'!C3:C15,0))+1))/((L521-1)*(1-_xlfn.XLOOKUP(K521,'Fevereiro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Real'!C3:C15,0))+1))/((L522-1)*(1-_xlfn.XLOOKUP(K522,'Fevereiro 2023 - Valor Real'!A3:A15,'Fevereiro 2023 - Valor Real'!C3:C15,0))+1)),IF(I521="Lay",IF(I520="Lay",((L520/(L520-1)-1)*(1-_xlfn.XLOOKUP(K520,'Fevereiro 2023 - Valor Real'!A3:A15,'Fevereiro 2023 - Valor Real'!C3:C15,0))+1)/(((L520/(L520-1)-1)*(1-_xlfn.XLOOKUP(K520,'Fevereiro 2023 - Valor Real'!A3:A15,'Fevereiro 2023 - Valor Real'!C3:C15,0))+1)+((L521/(L521-1)-1)*(1-_xlfn.XLOOKUP(K521,'Fevereiro 2023 - Valor Real'!A3:A15,'Fevereiro 2023 - Valor Real'!C3:C15,0))+1)),((L520-1)*(1-_xlfn.XLOOKUP(K520,'Fevereiro 2023 - Valor Real'!A3:A15,'Fevereiro 2023 - Valor Real'!C3:C15,0))+1)/(((L520-1)*(1-_xlfn.XLOOKUP(K520,'Fevereiro 2023 - Valor Real'!A3:A15,'Fevereiro 2023 - Valor Real'!C3:C15,0))+1)+((L521/(L521-1)-1)*(1-_xlfn.XLOOKUP(K521,'Fevereiro 2023 - Valor Real'!A3:A15,'Fevereiro 2023 - Valor Real'!C3:C15,0))+1))),IF(I520="Lay",((L520/(L520-1)-1)*(1-_xlfn.XLOOKUP(K520,'Fevereiro 2023 - Valor Real'!A3:A15,'Fevereiro 2023 - Valor Real'!C3:C15,0))+1)/((((L520/(L520-1)-1)*(1-_xlfn.XLOOKUP(K520,'Fevereiro 2023 - Valor Real'!A3:A15,'Fevereiro 2023 - Valor Real'!C3:C15,0))+1))+((L521-1)*(1-_xlfn.XLOOKUP(K521,'Fevereiro 2023 - Valor Real'!A3:A15,'Fevereiro 2023 - Valor Real'!C3:C15,0))+1)),((L520-1)*(1-_xlfn.XLOOKUP(K520,'Fevereiro 2023 - Valor Real'!A3:A15,'Fevereiro 2023 - Valor Real'!C3:C15,0))+1)/(((L520-1)*(1-_xlfn.XLOOKUP(K520,'Fevereiro 2023 - Valor Real'!A3:A15,'Fevereiro 2023 - Valor Real'!C3:C15,0))+1)+((L521-1)*(1-_xlfn.XLOOKUP(K521,'Fevereiro 2023 - Valor Real'!A3:A15,'Fevereiro 2023 - Valor Real'!C3:C15,0))+1))))))</f>
        <v>0.43870967741935479</v>
      </c>
      <c r="AF521" s="66">
        <f t="shared" si="1022"/>
        <v>0</v>
      </c>
      <c r="AG521" s="67">
        <f t="shared" si="1022"/>
        <v>0</v>
      </c>
      <c r="AH521" s="67">
        <f t="shared" si="1022"/>
        <v>0</v>
      </c>
      <c r="AI521" s="67">
        <f t="shared" si="1022"/>
        <v>0</v>
      </c>
      <c r="AJ521" s="67">
        <f t="shared" si="1022"/>
        <v>0</v>
      </c>
      <c r="AK521" s="67">
        <f t="shared" si="1022"/>
        <v>0</v>
      </c>
      <c r="AL521" s="67">
        <f t="shared" si="1022"/>
        <v>0</v>
      </c>
      <c r="AM521" s="67">
        <f t="shared" si="1022"/>
        <v>13.62</v>
      </c>
      <c r="AN521" s="67">
        <f t="shared" si="1022"/>
        <v>0</v>
      </c>
      <c r="AO521" s="67">
        <f t="shared" si="1022"/>
        <v>0</v>
      </c>
      <c r="AP521" s="67">
        <f t="shared" si="1022"/>
        <v>0</v>
      </c>
      <c r="AQ521" s="67">
        <f t="shared" si="1022"/>
        <v>0</v>
      </c>
      <c r="AR521" s="68">
        <f t="shared" si="1022"/>
        <v>0</v>
      </c>
      <c r="AS521" s="66">
        <f>IF(AND($B520=" ",$K521=AS$3),$O521,0)</f>
        <v>0</v>
      </c>
      <c r="AT521" s="67">
        <f>IF(AND($B520=" ",K521=AT$3),$O521,0)</f>
        <v>0</v>
      </c>
      <c r="AU521" s="67">
        <f t="shared" ref="AU521:BE521" si="1064">IF(AND($B520=" ",$K521=AU$3),$O521,0)</f>
        <v>0</v>
      </c>
      <c r="AV521" s="67">
        <f t="shared" si="1064"/>
        <v>0</v>
      </c>
      <c r="AW521" s="67">
        <f t="shared" si="1064"/>
        <v>0</v>
      </c>
      <c r="AX521" s="67">
        <f t="shared" si="1064"/>
        <v>0</v>
      </c>
      <c r="AY521" s="69">
        <f t="shared" si="1064"/>
        <v>0</v>
      </c>
      <c r="AZ521" s="70">
        <f t="shared" si="1064"/>
        <v>0</v>
      </c>
      <c r="BA521" s="70">
        <f t="shared" si="1064"/>
        <v>0</v>
      </c>
      <c r="BB521" s="70">
        <f t="shared" si="1064"/>
        <v>0</v>
      </c>
      <c r="BC521" s="71">
        <f t="shared" si="1064"/>
        <v>0</v>
      </c>
      <c r="BD521" s="67">
        <f t="shared" si="1064"/>
        <v>0</v>
      </c>
      <c r="BE521" s="68">
        <f t="shared" si="1064"/>
        <v>0</v>
      </c>
      <c r="BF521" s="66">
        <f t="shared" si="1024"/>
        <v>0</v>
      </c>
      <c r="BG521" s="168">
        <f t="shared" si="1024"/>
        <v>0</v>
      </c>
      <c r="BH521" s="67">
        <f t="shared" si="1024"/>
        <v>0</v>
      </c>
      <c r="BI521" s="67">
        <f t="shared" si="1024"/>
        <v>0</v>
      </c>
      <c r="BJ521" s="67">
        <f t="shared" si="1024"/>
        <v>0</v>
      </c>
      <c r="BK521" s="67">
        <f t="shared" si="1024"/>
        <v>0</v>
      </c>
      <c r="BL521" s="67">
        <f t="shared" si="1024"/>
        <v>0</v>
      </c>
      <c r="BM521" s="69">
        <f t="shared" si="1024"/>
        <v>8.4600000000000009</v>
      </c>
      <c r="BN521" s="70">
        <f t="shared" si="1024"/>
        <v>0</v>
      </c>
      <c r="BO521" s="70">
        <f t="shared" si="1024"/>
        <v>0</v>
      </c>
      <c r="BP521" s="70">
        <f t="shared" si="1024"/>
        <v>0</v>
      </c>
      <c r="BQ521" s="71">
        <f t="shared" si="1024"/>
        <v>0</v>
      </c>
      <c r="BR521" s="68">
        <f t="shared" si="1024"/>
        <v>0</v>
      </c>
      <c r="BS521" s="491"/>
      <c r="BT521" s="489"/>
      <c r="BU521" s="392"/>
      <c r="BV521" s="489"/>
      <c r="BW521" s="392"/>
      <c r="BX521" s="392"/>
      <c r="BY521" s="392"/>
      <c r="BZ521" s="489"/>
      <c r="CA521" s="392"/>
      <c r="CB521" s="392"/>
      <c r="CC521" s="392"/>
      <c r="CD521" s="401"/>
      <c r="CE521" s="409"/>
      <c r="CF521" s="169">
        <f t="shared" si="1028"/>
        <v>0</v>
      </c>
      <c r="CG521" s="170">
        <f t="shared" si="1029"/>
        <v>0</v>
      </c>
      <c r="CH521" s="170">
        <f t="shared" si="1030"/>
        <v>0</v>
      </c>
      <c r="CI521" s="170">
        <f t="shared" si="1031"/>
        <v>0</v>
      </c>
      <c r="CJ521" s="170">
        <f t="shared" si="1032"/>
        <v>0</v>
      </c>
      <c r="CK521" s="170">
        <f t="shared" si="1033"/>
        <v>0</v>
      </c>
      <c r="CL521" s="170">
        <f t="shared" si="1034"/>
        <v>0</v>
      </c>
      <c r="CM521" s="170">
        <f t="shared" si="1035"/>
        <v>0</v>
      </c>
      <c r="CN521" s="170">
        <f t="shared" si="1036"/>
        <v>0</v>
      </c>
      <c r="CO521" s="170">
        <f t="shared" si="1037"/>
        <v>0</v>
      </c>
      <c r="CP521" s="170">
        <f t="shared" si="1038"/>
        <v>0</v>
      </c>
      <c r="CQ521" s="170">
        <f t="shared" si="1039"/>
        <v>0</v>
      </c>
      <c r="CR521" s="170">
        <f t="shared" si="1040"/>
        <v>0</v>
      </c>
      <c r="CS521" s="170">
        <f t="shared" si="1041"/>
        <v>0</v>
      </c>
      <c r="CT521" s="75">
        <f t="shared" si="1042"/>
        <v>1</v>
      </c>
      <c r="CU521" s="76">
        <f t="shared" si="1043"/>
        <v>0</v>
      </c>
      <c r="CV521" s="76">
        <f t="shared" si="1044"/>
        <v>0</v>
      </c>
      <c r="CW521" s="76">
        <f t="shared" si="1045"/>
        <v>0</v>
      </c>
      <c r="CX521" s="76">
        <f t="shared" si="1046"/>
        <v>0</v>
      </c>
      <c r="CY521" s="76">
        <f t="shared" si="1047"/>
        <v>0</v>
      </c>
      <c r="CZ521" s="76">
        <f t="shared" si="1048"/>
        <v>0</v>
      </c>
      <c r="DA521" s="76">
        <f t="shared" si="1049"/>
        <v>0</v>
      </c>
      <c r="DB521" s="76">
        <f t="shared" si="1050"/>
        <v>0</v>
      </c>
      <c r="DC521" s="76">
        <f t="shared" si="1051"/>
        <v>0</v>
      </c>
      <c r="DD521" s="76">
        <f t="shared" si="1052"/>
        <v>0</v>
      </c>
      <c r="DE521" s="77">
        <f t="shared" si="1053"/>
        <v>0</v>
      </c>
      <c r="DF521" s="73">
        <f t="shared" si="1056"/>
        <v>33</v>
      </c>
      <c r="DG521" s="67">
        <f t="shared" si="1057"/>
        <v>43.031999999999989</v>
      </c>
      <c r="DH521" s="76">
        <f t="shared" si="1058"/>
        <v>13</v>
      </c>
      <c r="DI521" s="67">
        <f t="shared" si="1059"/>
        <v>56.05</v>
      </c>
      <c r="DJ521" s="202" t="str">
        <f>IF($D520="","",$D520)</f>
        <v>16</v>
      </c>
      <c r="DK521" s="493"/>
    </row>
    <row r="522" spans="1:115" ht="14.5" customHeight="1" x14ac:dyDescent="0.2">
      <c r="A522" s="390"/>
      <c r="B522" s="457"/>
      <c r="C522" s="79" t="s">
        <v>53</v>
      </c>
      <c r="D522" s="375"/>
      <c r="E522" s="387"/>
      <c r="F522" s="378"/>
      <c r="G522" s="508"/>
      <c r="H522" s="477"/>
      <c r="I522" s="171"/>
      <c r="J522" s="172"/>
      <c r="K522" s="81"/>
      <c r="L522" s="173"/>
      <c r="M522" s="174"/>
      <c r="N522" s="407"/>
      <c r="O522" s="86" t="str">
        <f>IF(OR(AE520="",AE521=""),"",IF(L522&gt;0,ROUND(IF(M522&gt;0,M522,IF(M520&gt;0,ROUND((M520*AE522)/AE520,IF(N520=0,2,IF(N520=0.1,1,0))),IF(M521&gt;0,ROUND((M521*AE522)/AE521,IF(N520=0,2,IF(N520=0.1,1,0))),IF(M522&gt;0,M522,0)))),2),""))</f>
        <v/>
      </c>
      <c r="P522" s="87" t="str">
        <f>IF(I521="Lay",O521*(L521/(L521-1))-O521,IF(I520="Lay",O520*(L520/(L520-1))-O520,IF(OR(L522="",O522=""),"",IF($C522="1/2W",O522/2+O522/2*L522,IF($C522="1/2L",O522/2,(O522*L522-O522)*(1-_xlfn.XLOOKUP(K522,'Fevereiro 2023 - Valor Real'!A3:A15,'Fevereiro 2023 - Valor Real'!C3:C15,0))+O522)))))</f>
        <v/>
      </c>
      <c r="Q522" s="54" t="str">
        <f>IF(K522="","",IF(_xlfn.XLOOKUP(K522,K$11:K512,$DJ$11:DJ512,0,,-1)=DJ522,_xlfn.XLOOKUP(K522,K$11:K512,Q$11:Q512,1,,-1)+1,1))</f>
        <v/>
      </c>
      <c r="R522" s="87" t="str">
        <f>IF(K522="","",_xlfn.XLOOKUP(K522,K$11:K512,R$11:R512,0,,-1)+IF($C522=" ",1,0))</f>
        <v/>
      </c>
      <c r="S522" s="404"/>
      <c r="T522" s="378"/>
      <c r="U522" s="378"/>
      <c r="V522" s="404"/>
      <c r="W522" s="378"/>
      <c r="X522" s="453"/>
      <c r="Y522" s="383"/>
      <c r="Z522" s="384"/>
      <c r="AA522" s="384"/>
      <c r="AB522" s="384"/>
      <c r="AC522" s="384"/>
      <c r="AD522" s="90"/>
      <c r="AE522" s="91" t="str">
        <f>IF(L522="","",(SUM(((L520-1)*(1-_xlfn.XLOOKUP(K520,'Fevereiro 2023 - Valor Real'!A3:A15,'Fevereiro 2023 - Valor Real'!C3:C15,0))+1),((L521-1)*(1-_xlfn.XLOOKUP(K521,'Fevereiro 2023 - Valor Real'!A3:A15,'Fevereiro 2023 - Valor Real'!C3:C15,0))+1),((L522-1)*(1-_xlfn.XLOOKUP(K522,'Fevereiro 2023 - Valor Real'!A3:A15,'Fevereiro 2023 - Valor Real'!C3:C15,0))+1))/((L522-1)*(1-_xlfn.XLOOKUP(K522,'Fevereiro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Real'!C3:C15,0))+1))/((L520-1)*(1-_xlfn.XLOOKUP(K520,'Fevereiro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Real'!C3:C15,0))+1))/((L521-1)*(1-_xlfn.XLOOKUP(K521,'Fevereiro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Real'!C3:C15,0))+1))/((L522-1)*(1-_xlfn.XLOOKUP(K522,'Fevereiro 2023 - Valor Real'!A3:A15,'Fevereiro 2023 - Valor Real'!C3:C15,0))+1)))</f>
        <v/>
      </c>
      <c r="AF522" s="66">
        <f t="shared" si="1022"/>
        <v>0</v>
      </c>
      <c r="AG522" s="67">
        <f t="shared" si="1022"/>
        <v>0</v>
      </c>
      <c r="AH522" s="67">
        <f t="shared" si="1022"/>
        <v>0</v>
      </c>
      <c r="AI522" s="67">
        <f t="shared" si="1022"/>
        <v>0</v>
      </c>
      <c r="AJ522" s="67">
        <f t="shared" si="1022"/>
        <v>0</v>
      </c>
      <c r="AK522" s="67">
        <f t="shared" si="1022"/>
        <v>0</v>
      </c>
      <c r="AL522" s="67">
        <f t="shared" si="1022"/>
        <v>0</v>
      </c>
      <c r="AM522" s="67">
        <f t="shared" si="1022"/>
        <v>0</v>
      </c>
      <c r="AN522" s="67">
        <f t="shared" si="1022"/>
        <v>0</v>
      </c>
      <c r="AO522" s="67">
        <f t="shared" si="1022"/>
        <v>0</v>
      </c>
      <c r="AP522" s="67">
        <f t="shared" si="1022"/>
        <v>0</v>
      </c>
      <c r="AQ522" s="67">
        <f t="shared" si="1022"/>
        <v>0</v>
      </c>
      <c r="AR522" s="68">
        <f t="shared" si="1022"/>
        <v>0</v>
      </c>
      <c r="AS522" s="66">
        <f>IF(AND($B520=" ",$K522=AS$3),$O522,0)</f>
        <v>0</v>
      </c>
      <c r="AT522" s="67">
        <f>IF(AND($B520=" ",K522=AT$3),$O522,0)</f>
        <v>0</v>
      </c>
      <c r="AU522" s="67">
        <f t="shared" ref="AU522:BE522" si="1065">IF(AND($B520=" ",$K522=AU$3),$O522,0)</f>
        <v>0</v>
      </c>
      <c r="AV522" s="67">
        <f t="shared" si="1065"/>
        <v>0</v>
      </c>
      <c r="AW522" s="67">
        <f t="shared" si="1065"/>
        <v>0</v>
      </c>
      <c r="AX522" s="67">
        <f t="shared" si="1065"/>
        <v>0</v>
      </c>
      <c r="AY522" s="69">
        <f t="shared" si="1065"/>
        <v>0</v>
      </c>
      <c r="AZ522" s="70">
        <f t="shared" si="1065"/>
        <v>0</v>
      </c>
      <c r="BA522" s="70">
        <f t="shared" si="1065"/>
        <v>0</v>
      </c>
      <c r="BB522" s="70">
        <f t="shared" si="1065"/>
        <v>0</v>
      </c>
      <c r="BC522" s="71">
        <f t="shared" si="1065"/>
        <v>0</v>
      </c>
      <c r="BD522" s="67">
        <f t="shared" si="1065"/>
        <v>0</v>
      </c>
      <c r="BE522" s="68">
        <f t="shared" si="1065"/>
        <v>0</v>
      </c>
      <c r="BF522" s="66">
        <f t="shared" si="1024"/>
        <v>0</v>
      </c>
      <c r="BG522" s="168">
        <f t="shared" si="1024"/>
        <v>0</v>
      </c>
      <c r="BH522" s="67">
        <f t="shared" si="1024"/>
        <v>0</v>
      </c>
      <c r="BI522" s="67">
        <f t="shared" si="1024"/>
        <v>0</v>
      </c>
      <c r="BJ522" s="67">
        <f t="shared" si="1024"/>
        <v>0</v>
      </c>
      <c r="BK522" s="67">
        <f t="shared" si="1024"/>
        <v>0</v>
      </c>
      <c r="BL522" s="67">
        <f t="shared" si="1024"/>
        <v>0</v>
      </c>
      <c r="BM522" s="69">
        <f t="shared" si="1024"/>
        <v>0</v>
      </c>
      <c r="BN522" s="70">
        <f t="shared" si="1024"/>
        <v>0</v>
      </c>
      <c r="BO522" s="70">
        <f t="shared" si="1024"/>
        <v>0</v>
      </c>
      <c r="BP522" s="70">
        <f t="shared" si="1024"/>
        <v>0</v>
      </c>
      <c r="BQ522" s="71">
        <f t="shared" si="1024"/>
        <v>0</v>
      </c>
      <c r="BR522" s="68">
        <f t="shared" si="1024"/>
        <v>0</v>
      </c>
      <c r="BS522" s="491"/>
      <c r="BT522" s="489"/>
      <c r="BU522" s="392"/>
      <c r="BV522" s="489"/>
      <c r="BW522" s="392"/>
      <c r="BX522" s="392"/>
      <c r="BY522" s="392"/>
      <c r="BZ522" s="489"/>
      <c r="CA522" s="392"/>
      <c r="CB522" s="392"/>
      <c r="CC522" s="392"/>
      <c r="CD522" s="401"/>
      <c r="CE522" s="409"/>
      <c r="CF522" s="169">
        <f t="shared" si="1028"/>
        <v>0</v>
      </c>
      <c r="CG522" s="170">
        <f t="shared" si="1029"/>
        <v>0</v>
      </c>
      <c r="CH522" s="170">
        <f t="shared" si="1030"/>
        <v>0</v>
      </c>
      <c r="CI522" s="170">
        <f t="shared" si="1031"/>
        <v>0</v>
      </c>
      <c r="CJ522" s="170">
        <f t="shared" si="1032"/>
        <v>0</v>
      </c>
      <c r="CK522" s="170">
        <f t="shared" si="1033"/>
        <v>0</v>
      </c>
      <c r="CL522" s="170">
        <f t="shared" si="1034"/>
        <v>0</v>
      </c>
      <c r="CM522" s="170">
        <f t="shared" si="1035"/>
        <v>0</v>
      </c>
      <c r="CN522" s="170">
        <f t="shared" si="1036"/>
        <v>0</v>
      </c>
      <c r="CO522" s="170">
        <f t="shared" si="1037"/>
        <v>0</v>
      </c>
      <c r="CP522" s="170">
        <f t="shared" si="1038"/>
        <v>0</v>
      </c>
      <c r="CQ522" s="170">
        <f t="shared" si="1039"/>
        <v>0</v>
      </c>
      <c r="CR522" s="170">
        <f t="shared" si="1040"/>
        <v>0</v>
      </c>
      <c r="CS522" s="170">
        <f t="shared" si="1041"/>
        <v>0</v>
      </c>
      <c r="CT522" s="75">
        <f t="shared" si="1042"/>
        <v>0</v>
      </c>
      <c r="CU522" s="76">
        <f t="shared" si="1043"/>
        <v>0</v>
      </c>
      <c r="CV522" s="76">
        <f t="shared" si="1044"/>
        <v>0</v>
      </c>
      <c r="CW522" s="76">
        <f t="shared" si="1045"/>
        <v>0</v>
      </c>
      <c r="CX522" s="76">
        <f t="shared" si="1046"/>
        <v>0</v>
      </c>
      <c r="CY522" s="76">
        <f t="shared" si="1047"/>
        <v>0</v>
      </c>
      <c r="CZ522" s="76">
        <f t="shared" si="1048"/>
        <v>0</v>
      </c>
      <c r="DA522" s="76">
        <f t="shared" si="1049"/>
        <v>0</v>
      </c>
      <c r="DB522" s="76">
        <f t="shared" si="1050"/>
        <v>0</v>
      </c>
      <c r="DC522" s="76">
        <f t="shared" si="1051"/>
        <v>0</v>
      </c>
      <c r="DD522" s="76">
        <f t="shared" si="1052"/>
        <v>0</v>
      </c>
      <c r="DE522" s="77">
        <f t="shared" si="1053"/>
        <v>0</v>
      </c>
      <c r="DF522" s="73">
        <f t="shared" si="1056"/>
        <v>33</v>
      </c>
      <c r="DG522" s="67">
        <f t="shared" si="1057"/>
        <v>43.031999999999989</v>
      </c>
      <c r="DH522" s="76">
        <f t="shared" si="1058"/>
        <v>13</v>
      </c>
      <c r="DI522" s="67">
        <f t="shared" si="1059"/>
        <v>56.05</v>
      </c>
      <c r="DJ522" s="202" t="str">
        <f>IF($D520="","",$D520)</f>
        <v>16</v>
      </c>
      <c r="DK522" s="493"/>
    </row>
    <row r="523" spans="1:115" ht="14.5" customHeight="1" x14ac:dyDescent="0.2">
      <c r="A523" s="459">
        <f>$A520+1</f>
        <v>174</v>
      </c>
      <c r="B523" s="507" t="str">
        <f>IF(OR(C523="W",C524="W",C525="W",C523="1/2W",C524="1/2W",C525="1/2W",C523="1/2L",C524="1/2L",C525="1/2L"),"OK",IF(OR(C523="L",C524="L",C525="L"),"LOSS",IF(OR(C523="X",C524="X",C525="X"),"Anulado"," ")))</f>
        <v>OK</v>
      </c>
      <c r="C523" s="93" t="s">
        <v>54</v>
      </c>
      <c r="D523" s="468" t="str">
        <f>IF(G523="","",$D520)</f>
        <v>16</v>
      </c>
      <c r="E523" s="485" t="str">
        <f>IF(G523=""," ","– "&amp;COUNTIF(D$4:D525,$D523))</f>
        <v>– 6</v>
      </c>
      <c r="F523" s="509" t="str">
        <f ca="1">IF(G523="","",IF(OR(AND($C523&lt;&gt;" ",$C524=" "),AND($C524&lt;&gt;" ",$C523=" "),AND(L525&gt;0,OR(AND($C525&lt;&gt;" ",OR($C523=" ",$C524=" ")),AND($C525=" ",OR($C523&lt;&gt;" ",$C524&lt;&gt;" "))))),IF(SUM(F$4:F522)=0,1,LARGE(F$4:F522,1)+1),IF(MONTH(G523)=MONTH(TODAY()),IF(AND(DAY(G523)&lt;DAY(TODAY()),$B523=" "),IF(SUM(F$4:F522)=0,1,LARGE(F$4:F522,1)+1),IF($B523=" ",IF(AND(DAY(G523)=DAY(TODAY()),HOUR(G523)&lt;=HOUR(NOW())+1),IF(AND(HOUR(G523)+2&lt;=HOUR(NOW()),DAY(G523)&lt;=DAY(TODAY()),MINUTE(G523)&lt;=MINUTE(NOW())),IF(SUM(F$4:F522)=0,1,LARGE(F$4:F522,1)+1),IF(OR(MINUTE(G523)&lt;=MINUTE(NOW()),HOUR(G523)&lt;=HOUR(NOW())),"!!!","")),""),"")),"")))</f>
        <v/>
      </c>
      <c r="G523" s="482">
        <f>IF(H523="","",_xlfn.XLOOKUP(H523,$H$4:H522,$G$4:G522,""))</f>
        <v>45003.020833333336</v>
      </c>
      <c r="H523" s="475" t="s">
        <v>206</v>
      </c>
      <c r="I523" s="94" t="s">
        <v>76</v>
      </c>
      <c r="J523" s="95">
        <v>3</v>
      </c>
      <c r="K523" s="96" t="s">
        <v>43</v>
      </c>
      <c r="L523" s="97">
        <v>2.31</v>
      </c>
      <c r="M523" s="98"/>
      <c r="N523" s="478">
        <v>0</v>
      </c>
      <c r="O523" s="99">
        <f>IF(OR(AE523="",AE524=""),"",ROUND(IF(L525&gt;0,IF(M523&gt;0,M523,IF(M524&gt;0,ROUND((M524*AE523)/AE524,IF(N523=0,2,IF(N523=0.1,1,0))),ROUND((M525*AE523)/AE525,IF(N523=0,2,IF(N523=0.1,1,0))))),IF(M523&gt;0,M523,ROUND((M524*AE523)/AE524,IF(N523=0,2,IF(N523=0.1,1,0))))),2))</f>
        <v>9.14</v>
      </c>
      <c r="P523" s="100">
        <f>IF(OR(L523="",O523=""),"",IF($C523="1/2W",O523/2+O523/2*L523,IF($C523="1/2L",O523/2,IF(I523="Lay",(O523*(L523/(L523-1))-O523)*(1-_xlfn.XLOOKUP(K523,'Fevereiro 2023 - Valor Real'!A3:A15,'Fevereiro 2023 - Valor Real'!C3:C15,0))+O523,(O523*L523-O523)*(1-_xlfn.XLOOKUP(K523,'Fevereiro 2023 - Valor Real'!A3:A15,'Fevereiro 2023 - Valor Real'!C3:C15,0))+O523))))</f>
        <v>21.113400000000002</v>
      </c>
      <c r="Q523" s="101">
        <f>IF(K523="","",IF(_xlfn.XLOOKUP(K523,K$4:K522,$DJ$4:DJ522,0,,-1)=DJ523,_xlfn.XLOOKUP(K523,K$4:K522,Q$4:Q522,1,,-1)+1,1))</f>
        <v>2</v>
      </c>
      <c r="R523" s="102">
        <f>IF(K523="","",_xlfn.XLOOKUP(K523,K$4:K522,R$4:R522,0,,-1)+IF($C523=" ",1,0))</f>
        <v>0</v>
      </c>
      <c r="S523" s="474">
        <f>IF($B523="Anulado",0,ROUND(IF(OR($B523="LOSS",$B523="OK"),IF(OR($C523="W",$C523="1/2W",$C523="1/2L"),P523-O523,IF($C523="L",-O523,0))+IF(OR($C524="W",$C524="1/2W",$C524="1/2L"),P524-O524,IF($C524="L",-O524,0))+IF(OR($C525="W",$C525="1/2W",$C525="1/2L"),P525-O525,IF($C525="L",-O525,0)),IF(AND(OR($C523="W",$C523="1/2W",$C523="1/2L"),C524="W"),P523+P524-SUM(O523:O525)+_xlfn.XLOOKUP("X",C523:C525,O523:O525,0),IF(AND(C523=TRUE,C525="W"),P523+P525-SUM(O523:O525),IF(AND(C524="W",C525="W"),P524+P525-SUM(O523:O525)+_xlfn.XLOOKUP("X",C523:C525,O523:O525,0),IF(L525&gt;0,IF(OR($C523="W",$C523="1/2W",$C523="1/2L"),P523-SUM(O523:O525)+_xlfn.XLOOKUP("X",C523:C525,O523:O525,0),IF(OR($C523="W",$C523="1/2W",$C523="1/2L"),P524-SUM(O523:O525)+_xlfn.XLOOKUP("X",C523:C525,O523:O525,0),IF(OR($C523="W",$C523="1/2W",$C523="1/2L"),P525-SUM(O523:O525)+_xlfn.XLOOKUP("X",C523:C525,O523:O525,0),IF(SUM(P523:P525)/3-SUM(O523:O525)+_xlfn.XLOOKUP("X",C523:C525,O523:O525,0)&gt;0,SUM(P523:P525)/3-SUM(O523:O525)+_xlfn.XLOOKUP("X",C523:C525,O523:O525,0),LARGE(P523:P525,1)-SUM(O523:O525))))),IF(OR($C523="W",$C523="1/2W",$C523="1/2L"),P523-SUM(O523:O524)+_xlfn.XLOOKUP("X",C523:C525,O523:O525,0),IF(OR($C523="W",$C523="1/2W",$C523="1/2L"),P524-SUM(O523:O524)+_xlfn.XLOOKUP("X",C523:C525,O523:O525,0),SUM(P523:P524)/2-SUM(O523:O524)+_xlfn.XLOOKUP("X",C523:C525,O523:O525,0)))))))),2))</f>
        <v>2.1</v>
      </c>
      <c r="T523" s="458">
        <f>IF(S523=0,0,S523/SUM(O523:O525))</f>
        <v>0.11046817464492374</v>
      </c>
      <c r="U523" s="470">
        <f>IF($D523=$D520,IF(OR($B523="LOSS",$B523="OK",$B523="Anulada"),S523,0)+U520,IF(OR($B523="LOSS",$B523="OK",$B523="Anulada"),S523,0))</f>
        <v>11.680000000000001</v>
      </c>
      <c r="V523" s="470">
        <f>IF($D523="",0,IF($D523=$D520,IF($B523=" ",IF(I525="",IF(OR(AND(I523="DNB1",I524="DNB2"),AND(OR(I523="DNB1",I523="DNB2"),J524=0),AND(OR(I524="DNB1",I524="DNB2"),J523=0),AND(I523="DNB2",I524="DNB1"),AND(IF(J523=0,(J523+1)/ROUND(J523+1,0),J523/ROUND(J523,0))=1,IF(J524=0,(J524+1)/ROUND(IF(J524="",0,J524)+1,0),IF(J524="",0,J524)/ROUND(IF(J524="",1,J524),0))=1,OR(J523&lt;&gt;""),J524&lt;&gt;"")),0,IF(S523&lt;0,IF(I525="",SMALL(P523:P524,1)-SUM(O523:O524),0),SMALL(P523:P524,1)-SUM(O523:O524))),IF(S523&lt;0,IF(I525="",SMALL(P523:P525,1)-SUM(O523:O525),0),LARGE(P523:P525,1)-SUM(O523:O525))),S523)+V520,IF(I525="",IF(OR(AND(I523="DNB1",I524="DNB2"),AND(OR(I523="DNB1",I523="DNB2"),J524=0),AND(OR(I524="DNB1",I524="DNB2"),J523=0),AND(I523="DNB2",I524="DNB1"),AND(IF(J523=0,(J523+1)/ROUND(J523+1,0),J523/ROUND(J523,0))=1,IF(J524=0,(IF(J524="",0,J524)+1)/ROUND(IF(J524="",0,J524)+1,0),IF(J524="",0,J524)/ROUND(IF(J524="",0,J524)+1,0))=1,OR(J523&lt;&gt;""),J524&lt;&gt;"")),0,IF(S523&lt;0,IF(I525="",SMALL(P523:P524,1)-SUM(O523:O524),0),SMALL(P523:P525,1)-SUM(O523:O525))),IF(S523&lt;0,IF(I525="",SMALL(P523:P525,1)-SUM(O523:O525),0),LARGE(P523:P525,1)-SUM(O523:O525)))))</f>
        <v>11.675200000000002</v>
      </c>
      <c r="W523" s="470">
        <f>IF($D523=$D520,IF(S523&lt;0,IF(I525="",S523,0),S523)+W520,S523)</f>
        <v>11.680000000000001</v>
      </c>
      <c r="X523" s="480" t="str">
        <f>IF(OR(SUM(R523:R525)=0,V523=W523),ROUND(IF(W523=0,0,W523/Y523)*100,2)&amp;"%",ROUND(IF(V523=0,0,V523/Y523)*100,2)&amp;"% a "&amp;ROUND(IF(W523=0,0,W523/Y523)*100,2)&amp;"%")</f>
        <v>7,2%</v>
      </c>
      <c r="Y523" s="471">
        <f>IF($D523=$D520,Y520+SUM(O523:O525),SUM(O523:O525))</f>
        <v>162.26</v>
      </c>
      <c r="Z523" s="470">
        <f>IF($B523=" ",SUM(O523:O525),0)+Z520</f>
        <v>0</v>
      </c>
      <c r="AA523" s="470">
        <f>IF(G523="","",IF($B523="Anulado",LARGE(P523:P525,1)-SUM(O523:O525)+AA520,AA520))</f>
        <v>12.425099999999992</v>
      </c>
      <c r="AB523" s="470">
        <f>IF($D523="","",AB520+S523)</f>
        <v>609.78000000000043</v>
      </c>
      <c r="AC523" s="472">
        <f ca="1">IF($D523="","",IF($B523=" ",IF(DAY(G523)=DAY(TODAY()),1+AC520,0+AC520),0+AC520))</f>
        <v>0</v>
      </c>
      <c r="AD523" s="103">
        <f>(((L524/(L524-1)-1)*(1-_xlfn.XLOOKUP(K524,'Fevereiro 2023 - Valor Real'!A3:A15,'Fevereiro 2023 - Valor Real'!C3:C15,0))+1))/(((L523-1)*(1-_xlfn.XLOOKUP(K523,'Fevereiro 2023 - Valor Real'!A3:A15,'Fevereiro 2023 - Valor Real'!C3:C15,0))+1)+((L524/(L524-1)-1)*(1-_xlfn.XLOOKUP(K524,'Fevereiro 2023 - Valor Real'!A3:A15,'Fevereiro 2023 - Valor Real'!C3:C15,0))+1))</f>
        <v>0.44831776092512676</v>
      </c>
      <c r="AE523" s="104">
        <f>IF(L523="","",IF(L525&gt;0,(SUM(((L523-1)*(1-_xlfn.XLOOKUP(K523,'Fevereiro 2023 - Valor Real'!A3:A15,'Fevereiro 2023 - Valor Real'!C3:C15,0))+1),((L524-1)*(1-_xlfn.XLOOKUP(K524,'Fevereiro 2023 - Valor Real'!A3:A15,'Fevereiro 2023 - Valor Real'!C3:C15,0))+1),((L525-1)*(1-_xlfn.XLOOKUP(K525,'Fevereiro 2023 - Valor Real'!A3:A15,'Fevereiro 2023 - Valor Real'!C3:C15,0))+1))/((L523-1)*(1-_xlfn.XLOOKUP(K523,'Fevereiro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Real'!C3:C15,0))+1))/((L523-1)*(1-_xlfn.XLOOKUP(K523,'Fevereiro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Real'!C3:C15,0))+1))/((L524-1)*(1-_xlfn.XLOOKUP(K524,'Fevereiro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Real'!C3:C15,0))+1))/((L525-1)*(1-_xlfn.XLOOKUP(K525,'Fevereiro 2023 - Valor Real'!A3:A15,'Fevereiro 2023 - Valor Real'!C3:C15,0))+1)),IF(I523="Lay",IF(I524="Lay",((L524/(L524-1)-1)*(1-_xlfn.XLOOKUP(K524,'Fevereiro 2023 - Valor Real'!A3:A15,'Fevereiro 2023 - Valor Real'!C3:C15,0))+1)/(((L524/(L524-1)-1)*(1-_xlfn.XLOOKUP(K524,'Fevereiro 2023 - Valor Real'!A3:A15,'Fevereiro 2023 - Valor Real'!C3:C15,0))+1)+((L523/(L523-1)-1)*(1-_xlfn.XLOOKUP(K523,'Fevereiro 2023 - Valor Real'!A3:A15,'Fevereiro 2023 - Valor Real'!C3:C15,0))+1)),((L524-1)*(1-_xlfn.XLOOKUP(K524,'Fevereiro 2023 - Valor Real'!A3:A15,'Fevereiro 2023 - Valor Real'!C3:C15,0))+1)/(((L524-1)*(1-_xlfn.XLOOKUP(K524,'Fevereiro 2023 - Valor Real'!A3:A15,'Fevereiro 2023 - Valor Real'!C3:C15,0))+1)+((L523/(L523-1)-1)*(1-_xlfn.XLOOKUP(K523,'Fevereiro 2023 - Valor Real'!A3:A15,'Fevereiro 2023 - Valor Real'!C3:C15,0))+1))),IF(I524="Lay",(((L524/(L524-1)-1)*(1-_xlfn.XLOOKUP(K524,'Fevereiro 2023 - Valor Real'!A3:A15,'Fevereiro 2023 - Valor Real'!C3:C15,0))+1))/(((L523-1)*(1-_xlfn.XLOOKUP(K523,'Fevereiro 2023 - Valor Real'!A3:A15,'Fevereiro 2023 - Valor Real'!C3:C15,0))+1)+((L524/(L524-1)-1)*(1-_xlfn.XLOOKUP(K524,'Fevereiro 2023 - Valor Real'!A3:A15,'Fevereiro 2023 - Valor Real'!C3:C15,0))+1)),((L524-1)*(1-_xlfn.XLOOKUP(K524,'Fevereiro 2023 - Valor Real'!A3:A15,'Fevereiro 2023 - Valor Real'!C3:C15,0))+1)/(((L524-1)*(1-_xlfn.XLOOKUP(K524,'Fevereiro 2023 - Valor Real'!A3:A15,'Fevereiro 2023 - Valor Real'!C3:C15,0))+1)+((L523-1)*(1-_xlfn.XLOOKUP(K523,'Fevereiro 2023 - Valor Real'!A3:A15,'Fevereiro 2023 - Valor Real'!C3:C15,0))+1))))))</f>
        <v>0.48089887640449441</v>
      </c>
      <c r="AF523" s="105">
        <f t="shared" si="1022"/>
        <v>0</v>
      </c>
      <c r="AG523" s="106">
        <f t="shared" si="1022"/>
        <v>0</v>
      </c>
      <c r="AH523" s="106">
        <f t="shared" si="1022"/>
        <v>0</v>
      </c>
      <c r="AI523" s="106">
        <f t="shared" si="1022"/>
        <v>0</v>
      </c>
      <c r="AJ523" s="106">
        <f t="shared" si="1022"/>
        <v>0</v>
      </c>
      <c r="AK523" s="106">
        <f t="shared" si="1022"/>
        <v>0</v>
      </c>
      <c r="AL523" s="106">
        <f t="shared" si="1022"/>
        <v>0</v>
      </c>
      <c r="AM523" s="106">
        <f t="shared" si="1022"/>
        <v>11.97</v>
      </c>
      <c r="AN523" s="106">
        <f t="shared" si="1022"/>
        <v>0</v>
      </c>
      <c r="AO523" s="106">
        <f t="shared" si="1022"/>
        <v>0</v>
      </c>
      <c r="AP523" s="106">
        <f t="shared" si="1022"/>
        <v>0</v>
      </c>
      <c r="AQ523" s="106">
        <f t="shared" si="1022"/>
        <v>0</v>
      </c>
      <c r="AR523" s="107">
        <f t="shared" si="1022"/>
        <v>0</v>
      </c>
      <c r="AS523" s="105">
        <f t="shared" ref="AS523:BE523" si="1066">IF(AND($B523=" ",$K523=AS$3),$O523,0)</f>
        <v>0</v>
      </c>
      <c r="AT523" s="106">
        <f t="shared" si="1066"/>
        <v>0</v>
      </c>
      <c r="AU523" s="106">
        <f t="shared" si="1066"/>
        <v>0</v>
      </c>
      <c r="AV523" s="106">
        <f t="shared" si="1066"/>
        <v>0</v>
      </c>
      <c r="AW523" s="106">
        <f t="shared" si="1066"/>
        <v>0</v>
      </c>
      <c r="AX523" s="106">
        <f t="shared" si="1066"/>
        <v>0</v>
      </c>
      <c r="AY523" s="108">
        <f t="shared" si="1066"/>
        <v>0</v>
      </c>
      <c r="AZ523" s="109">
        <f t="shared" si="1066"/>
        <v>0</v>
      </c>
      <c r="BA523" s="109">
        <f t="shared" si="1066"/>
        <v>0</v>
      </c>
      <c r="BB523" s="109">
        <f t="shared" si="1066"/>
        <v>0</v>
      </c>
      <c r="BC523" s="110">
        <f t="shared" si="1066"/>
        <v>0</v>
      </c>
      <c r="BD523" s="106">
        <f t="shared" si="1066"/>
        <v>0</v>
      </c>
      <c r="BE523" s="107">
        <f t="shared" si="1066"/>
        <v>0</v>
      </c>
      <c r="BF523" s="111">
        <f t="shared" si="1024"/>
        <v>0</v>
      </c>
      <c r="BG523" s="106">
        <f t="shared" si="1024"/>
        <v>0</v>
      </c>
      <c r="BH523" s="106">
        <f t="shared" si="1024"/>
        <v>0</v>
      </c>
      <c r="BI523" s="106">
        <f t="shared" si="1024"/>
        <v>0</v>
      </c>
      <c r="BJ523" s="106">
        <f t="shared" si="1024"/>
        <v>0</v>
      </c>
      <c r="BK523" s="106">
        <f t="shared" si="1024"/>
        <v>0</v>
      </c>
      <c r="BL523" s="106">
        <f t="shared" si="1024"/>
        <v>0</v>
      </c>
      <c r="BM523" s="108">
        <f t="shared" si="1024"/>
        <v>9.14</v>
      </c>
      <c r="BN523" s="109">
        <f t="shared" si="1024"/>
        <v>0</v>
      </c>
      <c r="BO523" s="109">
        <f t="shared" si="1024"/>
        <v>0</v>
      </c>
      <c r="BP523" s="109">
        <f t="shared" si="1024"/>
        <v>0</v>
      </c>
      <c r="BQ523" s="110">
        <f t="shared" si="1024"/>
        <v>0</v>
      </c>
      <c r="BR523" s="107">
        <f t="shared" si="1024"/>
        <v>0</v>
      </c>
      <c r="BS523" s="463">
        <f>IF($B523="LOSS",IF(AND($K523=BS$3,$C523="L"),-$O523,0)+IF(AND($K524=BS$3,$C524="L"),-$O524,0)+IF(AND($K525=BS$3,$C525="L"),-$O525,0),IF(OR(AND($K523=BS$3,OR($C523="W",$C523="1/2W")),AND($K524=BS$3,OR($C524="W",$C524="1/2W")),AND($K525=BS$3,OR($C525="W",$C525="1/2W"))),$S523,0))</f>
        <v>0</v>
      </c>
      <c r="BT523" s="462">
        <f>IF($B523="LOSS",IF(AND($K523=BT$3,$C523="L"),-$O523,0)+IF(AND($K524=BT$3,$C524="L"),-$O524,0)+IF(AND($K524=BT$3,$C525="L"),-$O525,0),IF(OR(AND($K524=BT$3,OR($C523="W",$C523="1/2W")),AND($K524=BT$3,OR($C524="W",$C524="1/2W")),AND($K524=BT$3,OR($C525="W",$C525="1/2W"))),$S523,0))</f>
        <v>0</v>
      </c>
      <c r="BU523" s="462">
        <f>IF($B523="LOSS",IF(AND($K523=BU$3,$C523="L"),-$O523,0)+IF(AND($K524=BU$3,$C524="L"),-$O524,0)+IF(AND($K524=BU$3,$C525="L"),-$O525,0),IF(OR(AND($K524=BU$3,OR($C523="W",$C523="1/2W")),AND($K524=BU$3,OR($C524="W",$C524="1/2W")),AND($K524=BU$3,OR($C525="W",$C525="1/2W"))),$S523,0))</f>
        <v>0</v>
      </c>
      <c r="BV523" s="462">
        <f t="shared" ref="BV523:CE523" si="1067">IF($B523="LOSS",IF(AND($K523=BV$3,$C523="L"),-$O523,0)+IF(AND($K524=BV$3,$C524="L"),-$O524,0)+IF(AND($K525=BV$3,$C525="L"),-$O525,0),IF(OR(AND($K523=BV$3,OR($C523="W",$C523="1/2W")),AND($K524=BV$3,OR($C524="W",$C524="1/2W")),AND($K525=BV$3,OR($C525="W",$C525="1/2W"))),$S523,0))</f>
        <v>0</v>
      </c>
      <c r="BW523" s="462">
        <f t="shared" si="1067"/>
        <v>0</v>
      </c>
      <c r="BX523" s="462">
        <f t="shared" si="1067"/>
        <v>0</v>
      </c>
      <c r="BY523" s="462">
        <f t="shared" si="1067"/>
        <v>0</v>
      </c>
      <c r="BZ523" s="460">
        <f t="shared" si="1067"/>
        <v>2.1</v>
      </c>
      <c r="CA523" s="460">
        <f t="shared" si="1067"/>
        <v>0</v>
      </c>
      <c r="CB523" s="460">
        <f t="shared" si="1067"/>
        <v>0</v>
      </c>
      <c r="CC523" s="460">
        <f t="shared" si="1067"/>
        <v>0</v>
      </c>
      <c r="CD523" s="473">
        <f t="shared" si="1067"/>
        <v>0</v>
      </c>
      <c r="CE523" s="479">
        <f t="shared" si="1067"/>
        <v>0</v>
      </c>
      <c r="CF523" s="113">
        <f t="shared" si="1028"/>
        <v>0</v>
      </c>
      <c r="CG523" s="114">
        <f t="shared" si="1029"/>
        <v>0</v>
      </c>
      <c r="CH523" s="114">
        <f t="shared" si="1030"/>
        <v>0</v>
      </c>
      <c r="CI523" s="114">
        <f t="shared" si="1031"/>
        <v>0</v>
      </c>
      <c r="CJ523" s="114">
        <f t="shared" si="1032"/>
        <v>0</v>
      </c>
      <c r="CK523" s="114">
        <f t="shared" si="1033"/>
        <v>0</v>
      </c>
      <c r="CL523" s="114">
        <f t="shared" si="1034"/>
        <v>0</v>
      </c>
      <c r="CM523" s="114">
        <f t="shared" si="1035"/>
        <v>0</v>
      </c>
      <c r="CN523" s="114">
        <f t="shared" si="1036"/>
        <v>0</v>
      </c>
      <c r="CO523" s="114">
        <f t="shared" si="1037"/>
        <v>0</v>
      </c>
      <c r="CP523" s="114">
        <f t="shared" si="1038"/>
        <v>0</v>
      </c>
      <c r="CQ523" s="114">
        <f t="shared" si="1039"/>
        <v>0</v>
      </c>
      <c r="CR523" s="114">
        <f t="shared" si="1040"/>
        <v>0</v>
      </c>
      <c r="CS523" s="114">
        <f t="shared" si="1041"/>
        <v>0</v>
      </c>
      <c r="CT523" s="115">
        <f t="shared" si="1042"/>
        <v>1</v>
      </c>
      <c r="CU523" s="116">
        <f t="shared" si="1043"/>
        <v>0</v>
      </c>
      <c r="CV523" s="116">
        <f t="shared" si="1044"/>
        <v>0</v>
      </c>
      <c r="CW523" s="116">
        <f t="shared" si="1045"/>
        <v>0</v>
      </c>
      <c r="CX523" s="116">
        <f t="shared" si="1046"/>
        <v>0</v>
      </c>
      <c r="CY523" s="116">
        <f t="shared" si="1047"/>
        <v>0</v>
      </c>
      <c r="CZ523" s="116">
        <f t="shared" si="1048"/>
        <v>0</v>
      </c>
      <c r="DA523" s="116">
        <f t="shared" si="1049"/>
        <v>0</v>
      </c>
      <c r="DB523" s="116">
        <f t="shared" si="1050"/>
        <v>0</v>
      </c>
      <c r="DC523" s="116">
        <f t="shared" si="1051"/>
        <v>0</v>
      </c>
      <c r="DD523" s="116">
        <f t="shared" si="1052"/>
        <v>0</v>
      </c>
      <c r="DE523" s="117">
        <f t="shared" si="1053"/>
        <v>0</v>
      </c>
      <c r="DF523" s="118">
        <f t="shared" si="1056"/>
        <v>33</v>
      </c>
      <c r="DG523" s="106">
        <f t="shared" si="1057"/>
        <v>43.031999999999989</v>
      </c>
      <c r="DH523" s="116">
        <f t="shared" si="1058"/>
        <v>13</v>
      </c>
      <c r="DI523" s="106">
        <f t="shared" si="1059"/>
        <v>56.05</v>
      </c>
      <c r="DJ523" s="201" t="str">
        <f>IF($D523="","",$D523)</f>
        <v>16</v>
      </c>
      <c r="DK523" s="465">
        <f>IF(AND($B523=" ",$D523&lt;&gt;""),1,0)</f>
        <v>0</v>
      </c>
    </row>
    <row r="524" spans="1:115" ht="14.5" customHeight="1" x14ac:dyDescent="0.2">
      <c r="A524" s="389"/>
      <c r="B524" s="456"/>
      <c r="C524" s="120" t="s">
        <v>55</v>
      </c>
      <c r="D524" s="374"/>
      <c r="E524" s="386"/>
      <c r="F524" s="377"/>
      <c r="G524" s="483"/>
      <c r="H524" s="476"/>
      <c r="I524" s="121" t="s">
        <v>66</v>
      </c>
      <c r="J524" s="122">
        <f>IF(OR(I523="TO",I523="TU",I523="TO1",I523="TU1",I523="TO2",I523="TU2"),J523,IF(OR(I523="AH1",I523="AH2"),IF(OR(I524="AH1",I524="AH2"),-J523,IF(OR(I524="EH1",I524="EH2"),-J523+0.5,"")),IF(OR(I523="EH1",I523="EH2"),IF(OR(I524="AH1",I524="AH2"),-J523+0.5,IF(OR(I524="EH1",I524="EH2"),-J523+1,"")),IF(AND(OR(I523="DNB1",I523="DNB2"),OR(I524="AH1",I524="AH2")),0,IF(AND(I523="Not ScoreBoth",OR(I524="TO1",I524="TO2")),0.5,"")))))</f>
        <v>-3</v>
      </c>
      <c r="K524" s="123" t="s">
        <v>40</v>
      </c>
      <c r="L524" s="124">
        <v>2.14</v>
      </c>
      <c r="M524" s="125">
        <v>9.8699999999999992</v>
      </c>
      <c r="N524" s="406"/>
      <c r="O524" s="126">
        <f>IF(OR(AE523="",AE524=""),"",ROUND(IF(L525&gt;0,IF(M524&gt;0,M524,IF(M523&gt;0,IF(N523=TRUE,ROUND((M523*AE524)/AE523,0),(M523*AE524)/AE523),IF(M524&gt;0,ROUND(M524,IF(N523=0,2,IF(N523=0.1,1,0))),IF(M525&gt;0,ROUND(O525*AE524/AE525,IF(N523=0,2,IF(N523=0.1,1,0))),0)))),IF(M524&gt;0,M524,ROUND((M523*AE524)/AE523,IF(N523=0,2,IF(N523=0.1,1,0))))),2))</f>
        <v>9.8699999999999992</v>
      </c>
      <c r="P524" s="127">
        <f>IF(OR(L524="",O524=""),"",IF($C524="1/2W",O524/2+O524/2*L524,IF($C524="1/2L",O524/2,IF(I524="Lay",((O524*(L524/(L524-1)))-O524)*(1-_xlfn.XLOOKUP(K524,'Fevereiro 2023 - Valor Real'!A3:A15,'Fevereiro 2023 - Valor Real'!C3:C15,0))+O524,(O524*L524-O524)*(1-_xlfn.XLOOKUP(K524,'Fevereiro 2023 - Valor Real'!A3:A15,'Fevereiro 2023 - Valor Real'!C3:C15,0))+O524))))</f>
        <v>21.1218</v>
      </c>
      <c r="Q524" s="128">
        <f>IF(K524="","",IF(_xlfn.XLOOKUP(K524,K$4:K523,$DJ$4:DJ523,0,,-1)=DJ524,_xlfn.XLOOKUP(K524,K$4:K523,Q$4:Q523,1,,-1)+1,1))</f>
        <v>4</v>
      </c>
      <c r="R524" s="129">
        <f>IF(K524="","",_xlfn.XLOOKUP(K524,K$4:K523,R$4:R523,0,,-1)+IF($C524=" ",1,0))</f>
        <v>0</v>
      </c>
      <c r="S524" s="403"/>
      <c r="T524" s="380"/>
      <c r="U524" s="380"/>
      <c r="V524" s="481"/>
      <c r="W524" s="380"/>
      <c r="X524" s="452"/>
      <c r="Y524" s="383"/>
      <c r="Z524" s="384"/>
      <c r="AA524" s="384"/>
      <c r="AB524" s="384"/>
      <c r="AC524" s="384"/>
      <c r="AD524" s="130">
        <f>(((L524/(L524-1)-1)*(1-_xlfn.XLOOKUP(K524,'Fevereiro 2023 - Valor Real'!A3:A15,'Fevereiro 2023 - Valor Real'!C3:C15,0))+1))</f>
        <v>1.8771929824561402</v>
      </c>
      <c r="AE524" s="131">
        <f>IF(L524="","",IF(L525&gt;0,(SUM(((L523-1)*(1-_xlfn.XLOOKUP(K523,'Fevereiro 2023 - Valor Real'!A3:A15,'Fevereiro 2023 - Valor Real'!C3:C15,0))+1),((L524-1)*(1-_xlfn.XLOOKUP(K524,'Fevereiro 2023 - Valor Real'!A3:A15,'Fevereiro 2023 - Valor Real'!C3:C15,0))+1),((L525-1)*(1-_xlfn.XLOOKUP(K525,'Fevereiro 2023 - Valor Real'!A3:A15,'Fevereiro 2023 - Valor Real'!C3:C15,0))+1))/((L524-1)*(1-_xlfn.XLOOKUP(K524,'Fevereiro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Real'!C3:C15,0))+1))/((L523-1)*(1-_xlfn.XLOOKUP(K523,'Fevereiro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Real'!C3:C15,0))+1))/((L524-1)*(1-_xlfn.XLOOKUP(K524,'Fevereiro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Real'!C3:C15,0))+1))/((L525-1)*(1-_xlfn.XLOOKUP(K525,'Fevereiro 2023 - Valor Real'!A3:A15,'Fevereiro 2023 - Valor Real'!C3:C15,0))+1)),IF(I524="Lay",IF(I523="Lay",((L523/(L523-1)-1)*(1-_xlfn.XLOOKUP(K523,'Fevereiro 2023 - Valor Real'!A3:A15,'Fevereiro 2023 - Valor Real'!C3:C15,0))+1)/(((L523/(L523-1)-1)*(1-_xlfn.XLOOKUP(K523,'Fevereiro 2023 - Valor Real'!A3:A15,'Fevereiro 2023 - Valor Real'!C3:C15,0))+1)+((L524/(L524-1)-1)*(1-_xlfn.XLOOKUP(K524,'Fevereiro 2023 - Valor Real'!A3:A15,'Fevereiro 2023 - Valor Real'!C3:C15,0))+1)),((L523-1)*(1-_xlfn.XLOOKUP(K523,'Fevereiro 2023 - Valor Real'!A3:A15,'Fevereiro 2023 - Valor Real'!C3:C15,0))+1)/(((L523-1)*(1-_xlfn.XLOOKUP(K523,'Fevereiro 2023 - Valor Real'!A3:A15,'Fevereiro 2023 - Valor Real'!C3:C15,0))+1)+((L524/(L524-1)-1)*(1-_xlfn.XLOOKUP(K524,'Fevereiro 2023 - Valor Real'!A3:A15,'Fevereiro 2023 - Valor Real'!C3:C15,0))+1))),IF(I523="Lay",((L523/(L523-1)-1)*(1-_xlfn.XLOOKUP(K523,'Fevereiro 2023 - Valor Real'!A3:A15,'Fevereiro 2023 - Valor Real'!C3:C15,0))+1)/((((L523/(L523-1)-1)*(1-_xlfn.XLOOKUP(K523,'Fevereiro 2023 - Valor Real'!A3:A15,'Fevereiro 2023 - Valor Real'!C3:C15,0))+1))+((L524-1)*(1-_xlfn.XLOOKUP(K524,'Fevereiro 2023 - Valor Real'!A3:A15,'Fevereiro 2023 - Valor Real'!C3:C15,0))+1)),((L523-1)*(1-_xlfn.XLOOKUP(K523,'Fevereiro 2023 - Valor Real'!A3:A15,'Fevereiro 2023 - Valor Real'!C3:C15,0))+1)/(((L523-1)*(1-_xlfn.XLOOKUP(K523,'Fevereiro 2023 - Valor Real'!A3:A15,'Fevereiro 2023 - Valor Real'!C3:C15,0))+1)+((L524-1)*(1-_xlfn.XLOOKUP(K524,'Fevereiro 2023 - Valor Real'!A3:A15,'Fevereiro 2023 - Valor Real'!C3:C15,0))+1))))))</f>
        <v>0.51910112359550564</v>
      </c>
      <c r="AF524" s="105">
        <f t="shared" ref="AF524:AR533" si="1068">IF($K524=AF$3,ROUND(IF(OR($C524="W",$C524="1/2W",$C524="1/2L"),$P524-$O524,IF($C524="X",0,-$O524)),2),0)</f>
        <v>0</v>
      </c>
      <c r="AG524" s="106">
        <f t="shared" si="1068"/>
        <v>0</v>
      </c>
      <c r="AH524" s="106">
        <f t="shared" si="1068"/>
        <v>0</v>
      </c>
      <c r="AI524" s="106">
        <f t="shared" si="1068"/>
        <v>0</v>
      </c>
      <c r="AJ524" s="106">
        <f t="shared" si="1068"/>
        <v>-9.8699999999999992</v>
      </c>
      <c r="AK524" s="106">
        <f t="shared" si="1068"/>
        <v>0</v>
      </c>
      <c r="AL524" s="106">
        <f t="shared" si="1068"/>
        <v>0</v>
      </c>
      <c r="AM524" s="106">
        <f t="shared" si="1068"/>
        <v>0</v>
      </c>
      <c r="AN524" s="106">
        <f t="shared" si="1068"/>
        <v>0</v>
      </c>
      <c r="AO524" s="106">
        <f t="shared" si="1068"/>
        <v>0</v>
      </c>
      <c r="AP524" s="106">
        <f t="shared" si="1068"/>
        <v>0</v>
      </c>
      <c r="AQ524" s="106">
        <f t="shared" si="1068"/>
        <v>0</v>
      </c>
      <c r="AR524" s="107">
        <f t="shared" si="1068"/>
        <v>0</v>
      </c>
      <c r="AS524" s="105">
        <f>IF(AND($B523=" ",$K524=AS$3),$O524,0)</f>
        <v>0</v>
      </c>
      <c r="AT524" s="106">
        <f>IF(AND($B523=" ",K524=AT$3),$O524,0)</f>
        <v>0</v>
      </c>
      <c r="AU524" s="106">
        <f t="shared" ref="AU524:BE524" si="1069">IF(AND($B523=" ",$K524=AU$3),$O524,0)</f>
        <v>0</v>
      </c>
      <c r="AV524" s="106">
        <f t="shared" si="1069"/>
        <v>0</v>
      </c>
      <c r="AW524" s="106">
        <f t="shared" si="1069"/>
        <v>0</v>
      </c>
      <c r="AX524" s="106">
        <f t="shared" si="1069"/>
        <v>0</v>
      </c>
      <c r="AY524" s="108">
        <f t="shared" si="1069"/>
        <v>0</v>
      </c>
      <c r="AZ524" s="109">
        <f t="shared" si="1069"/>
        <v>0</v>
      </c>
      <c r="BA524" s="109">
        <f t="shared" si="1069"/>
        <v>0</v>
      </c>
      <c r="BB524" s="109">
        <f t="shared" si="1069"/>
        <v>0</v>
      </c>
      <c r="BC524" s="110">
        <f t="shared" si="1069"/>
        <v>0</v>
      </c>
      <c r="BD524" s="106">
        <f t="shared" si="1069"/>
        <v>0</v>
      </c>
      <c r="BE524" s="107">
        <f t="shared" si="1069"/>
        <v>0</v>
      </c>
      <c r="BF524" s="105">
        <f t="shared" ref="BF524:BR533" si="1070">IF($K524=BF$3,IF($C524="X",0,$O524),0)</f>
        <v>0</v>
      </c>
      <c r="BG524" s="106">
        <f t="shared" si="1070"/>
        <v>0</v>
      </c>
      <c r="BH524" s="106">
        <f t="shared" si="1070"/>
        <v>0</v>
      </c>
      <c r="BI524" s="106">
        <f t="shared" si="1070"/>
        <v>0</v>
      </c>
      <c r="BJ524" s="106">
        <f t="shared" si="1070"/>
        <v>9.8699999999999992</v>
      </c>
      <c r="BK524" s="106">
        <f t="shared" si="1070"/>
        <v>0</v>
      </c>
      <c r="BL524" s="106">
        <f t="shared" si="1070"/>
        <v>0</v>
      </c>
      <c r="BM524" s="132">
        <f t="shared" si="1070"/>
        <v>0</v>
      </c>
      <c r="BN524" s="112">
        <f t="shared" si="1070"/>
        <v>0</v>
      </c>
      <c r="BO524" s="112">
        <f t="shared" si="1070"/>
        <v>0</v>
      </c>
      <c r="BP524" s="112">
        <f t="shared" si="1070"/>
        <v>0</v>
      </c>
      <c r="BQ524" s="110">
        <f t="shared" si="1070"/>
        <v>0</v>
      </c>
      <c r="BR524" s="107">
        <f t="shared" si="1070"/>
        <v>0</v>
      </c>
      <c r="BS524" s="464"/>
      <c r="BT524" s="461"/>
      <c r="BU524" s="392"/>
      <c r="BV524" s="461"/>
      <c r="BW524" s="392"/>
      <c r="BX524" s="392"/>
      <c r="BY524" s="392"/>
      <c r="BZ524" s="461"/>
      <c r="CA524" s="392"/>
      <c r="CB524" s="392"/>
      <c r="CC524" s="392"/>
      <c r="CD524" s="401"/>
      <c r="CE524" s="409"/>
      <c r="CF524" s="133">
        <f t="shared" si="1028"/>
        <v>0</v>
      </c>
      <c r="CG524" s="134">
        <f t="shared" si="1029"/>
        <v>0</v>
      </c>
      <c r="CH524" s="134">
        <f t="shared" si="1030"/>
        <v>0</v>
      </c>
      <c r="CI524" s="134">
        <f t="shared" si="1031"/>
        <v>0</v>
      </c>
      <c r="CJ524" s="134">
        <f t="shared" si="1032"/>
        <v>0</v>
      </c>
      <c r="CK524" s="134">
        <f t="shared" si="1033"/>
        <v>0</v>
      </c>
      <c r="CL524" s="134">
        <f t="shared" si="1034"/>
        <v>0</v>
      </c>
      <c r="CM524" s="134">
        <f t="shared" si="1035"/>
        <v>0</v>
      </c>
      <c r="CN524" s="134">
        <f t="shared" si="1036"/>
        <v>0</v>
      </c>
      <c r="CO524" s="134">
        <f t="shared" si="1037"/>
        <v>1</v>
      </c>
      <c r="CP524" s="134">
        <f t="shared" si="1038"/>
        <v>0</v>
      </c>
      <c r="CQ524" s="134">
        <f t="shared" si="1039"/>
        <v>0</v>
      </c>
      <c r="CR524" s="134">
        <f t="shared" si="1040"/>
        <v>0</v>
      </c>
      <c r="CS524" s="134">
        <f t="shared" si="1041"/>
        <v>0</v>
      </c>
      <c r="CT524" s="115">
        <f t="shared" si="1042"/>
        <v>0</v>
      </c>
      <c r="CU524" s="116">
        <f t="shared" si="1043"/>
        <v>0</v>
      </c>
      <c r="CV524" s="116">
        <f t="shared" si="1044"/>
        <v>0</v>
      </c>
      <c r="CW524" s="116">
        <f t="shared" si="1045"/>
        <v>0</v>
      </c>
      <c r="CX524" s="116">
        <f t="shared" si="1046"/>
        <v>0</v>
      </c>
      <c r="CY524" s="116">
        <f t="shared" si="1047"/>
        <v>0</v>
      </c>
      <c r="CZ524" s="116">
        <f t="shared" si="1048"/>
        <v>0</v>
      </c>
      <c r="DA524" s="116">
        <f t="shared" si="1049"/>
        <v>0</v>
      </c>
      <c r="DB524" s="116">
        <f t="shared" si="1050"/>
        <v>0</v>
      </c>
      <c r="DC524" s="116">
        <f t="shared" si="1051"/>
        <v>0</v>
      </c>
      <c r="DD524" s="116">
        <f t="shared" si="1052"/>
        <v>0</v>
      </c>
      <c r="DE524" s="117">
        <f t="shared" si="1053"/>
        <v>0</v>
      </c>
      <c r="DF524" s="118">
        <f t="shared" si="1056"/>
        <v>33</v>
      </c>
      <c r="DG524" s="106">
        <f t="shared" si="1057"/>
        <v>43.031999999999989</v>
      </c>
      <c r="DH524" s="116">
        <f t="shared" si="1058"/>
        <v>13</v>
      </c>
      <c r="DI524" s="106">
        <f t="shared" si="1059"/>
        <v>56.05</v>
      </c>
      <c r="DJ524" s="201" t="str">
        <f>IF($D523="","",$D523)</f>
        <v>16</v>
      </c>
      <c r="DK524" s="466"/>
    </row>
    <row r="525" spans="1:115" ht="14.5" customHeight="1" x14ac:dyDescent="0.2">
      <c r="A525" s="390"/>
      <c r="B525" s="457"/>
      <c r="C525" s="135" t="s">
        <v>53</v>
      </c>
      <c r="D525" s="375"/>
      <c r="E525" s="387"/>
      <c r="F525" s="378"/>
      <c r="G525" s="484"/>
      <c r="H525" s="477"/>
      <c r="I525" s="136"/>
      <c r="J525" s="137"/>
      <c r="K525" s="138"/>
      <c r="L525" s="139"/>
      <c r="M525" s="140"/>
      <c r="N525" s="407"/>
      <c r="O525" s="141" t="str">
        <f>IF(OR(AE523="",AE524=""),"",IF(L525&gt;0,ROUND(IF(M525&gt;0,M525,IF(M523&gt;0,ROUND((M523*AE525)/AE523,IF(N523=0,2,IF(N523=0.1,1,0))),IF(M524&gt;0,ROUND((M524*AE525)/AE524,IF(N523=0,2,IF(N523=0.1,1,0))),IF(M525&gt;0,M525,0)))),2),""))</f>
        <v/>
      </c>
      <c r="P525" s="142" t="str">
        <f>IF(I524="Lay",O524*(L524/(L524-1))-O524,IF(I523="Lay",O523*(L523/(L523-1))-O523,IF(OR(L525="",O525=""),"",IF($C525="1/2W",O525/2+O525/2*L525,IF($C525="1/2L",O525/2,(O525*L525-O525)*(1-_xlfn.XLOOKUP(K525,'Fevereiro 2023 - Valor Real'!A3:A15,'Fevereiro 2023 - Valor Real'!C3:C15,0))+O525)))))</f>
        <v/>
      </c>
      <c r="Q525" s="143" t="str">
        <f>IF(K525="","",IF(_xlfn.XLOOKUP(K525,K$4:K524,$DJ$4:DJ524,0,,-1)=DJ525,_xlfn.XLOOKUP(K525,K$4:K524,Q$4:Q524,1,,-1)+1,1))</f>
        <v/>
      </c>
      <c r="R525" s="144" t="str">
        <f>IF(K525="","",_xlfn.XLOOKUP(K525,K$4:K524,R$4:R524,0,,-1)+IF($C525=" ",1,0))</f>
        <v/>
      </c>
      <c r="S525" s="404"/>
      <c r="T525" s="378"/>
      <c r="U525" s="378"/>
      <c r="V525" s="404"/>
      <c r="W525" s="378"/>
      <c r="X525" s="453"/>
      <c r="Y525" s="383"/>
      <c r="Z525" s="384"/>
      <c r="AA525" s="384"/>
      <c r="AB525" s="384"/>
      <c r="AC525" s="384"/>
      <c r="AD525" s="145">
        <f>((L524/(L524-1)-1))</f>
        <v>0.87719298245614019</v>
      </c>
      <c r="AE525" s="146" t="str">
        <f>IF(L525="","",(SUM(((L523-1)*(1-_xlfn.XLOOKUP(K523,'Fevereiro 2023 - Valor Real'!A3:A15,'Fevereiro 2023 - Valor Real'!C3:C15,0))+1),((L524-1)*(1-_xlfn.XLOOKUP(K524,'Fevereiro 2023 - Valor Real'!A3:A15,'Fevereiro 2023 - Valor Real'!C3:C15,0))+1),((L525-1)*(1-_xlfn.XLOOKUP(K525,'Fevereiro 2023 - Valor Real'!A3:A15,'Fevereiro 2023 - Valor Real'!C3:C15,0))+1))/((L525-1)*(1-_xlfn.XLOOKUP(K525,'Fevereiro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Real'!C3:C15,0))+1))/((L523-1)*(1-_xlfn.XLOOKUP(K523,'Fevereiro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Real'!C3:C15,0))+1))/((L524-1)*(1-_xlfn.XLOOKUP(K524,'Fevereiro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Real'!C3:C15,0))+1))/((L525-1)*(1-_xlfn.XLOOKUP(K525,'Fevereiro 2023 - Valor Real'!A3:A15,'Fevereiro 2023 - Valor Real'!C3:C15,0))+1)))</f>
        <v/>
      </c>
      <c r="AF525" s="105">
        <f t="shared" si="1068"/>
        <v>0</v>
      </c>
      <c r="AG525" s="106">
        <f t="shared" si="1068"/>
        <v>0</v>
      </c>
      <c r="AH525" s="106">
        <f t="shared" si="1068"/>
        <v>0</v>
      </c>
      <c r="AI525" s="106">
        <f t="shared" si="1068"/>
        <v>0</v>
      </c>
      <c r="AJ525" s="106">
        <f t="shared" si="1068"/>
        <v>0</v>
      </c>
      <c r="AK525" s="106">
        <f t="shared" si="1068"/>
        <v>0</v>
      </c>
      <c r="AL525" s="106">
        <f t="shared" si="1068"/>
        <v>0</v>
      </c>
      <c r="AM525" s="106">
        <f t="shared" si="1068"/>
        <v>0</v>
      </c>
      <c r="AN525" s="106">
        <f t="shared" si="1068"/>
        <v>0</v>
      </c>
      <c r="AO525" s="106">
        <f t="shared" si="1068"/>
        <v>0</v>
      </c>
      <c r="AP525" s="106">
        <f t="shared" si="1068"/>
        <v>0</v>
      </c>
      <c r="AQ525" s="106">
        <f t="shared" si="1068"/>
        <v>0</v>
      </c>
      <c r="AR525" s="107">
        <f t="shared" si="1068"/>
        <v>0</v>
      </c>
      <c r="AS525" s="105">
        <f>IF(AND($B523=" ",$K525=AS$3),$O525,0)</f>
        <v>0</v>
      </c>
      <c r="AT525" s="106">
        <f>IF(AND($B523=" ",K525=AT$3),$O525,0)</f>
        <v>0</v>
      </c>
      <c r="AU525" s="106">
        <f t="shared" ref="AU525:BE525" si="1071">IF(AND($B523=" ",$K525=AU$3),$O525,0)</f>
        <v>0</v>
      </c>
      <c r="AV525" s="106">
        <f t="shared" si="1071"/>
        <v>0</v>
      </c>
      <c r="AW525" s="106">
        <f t="shared" si="1071"/>
        <v>0</v>
      </c>
      <c r="AX525" s="106">
        <f t="shared" si="1071"/>
        <v>0</v>
      </c>
      <c r="AY525" s="108">
        <f t="shared" si="1071"/>
        <v>0</v>
      </c>
      <c r="AZ525" s="109">
        <f t="shared" si="1071"/>
        <v>0</v>
      </c>
      <c r="BA525" s="109">
        <f t="shared" si="1071"/>
        <v>0</v>
      </c>
      <c r="BB525" s="109">
        <f t="shared" si="1071"/>
        <v>0</v>
      </c>
      <c r="BC525" s="110">
        <f t="shared" si="1071"/>
        <v>0</v>
      </c>
      <c r="BD525" s="106">
        <f t="shared" si="1071"/>
        <v>0</v>
      </c>
      <c r="BE525" s="107">
        <f t="shared" si="1071"/>
        <v>0</v>
      </c>
      <c r="BF525" s="105">
        <f t="shared" si="1070"/>
        <v>0</v>
      </c>
      <c r="BG525" s="106">
        <f t="shared" si="1070"/>
        <v>0</v>
      </c>
      <c r="BH525" s="106">
        <f t="shared" si="1070"/>
        <v>0</v>
      </c>
      <c r="BI525" s="106">
        <f t="shared" si="1070"/>
        <v>0</v>
      </c>
      <c r="BJ525" s="106">
        <f t="shared" si="1070"/>
        <v>0</v>
      </c>
      <c r="BK525" s="106">
        <f t="shared" si="1070"/>
        <v>0</v>
      </c>
      <c r="BL525" s="106">
        <f t="shared" si="1070"/>
        <v>0</v>
      </c>
      <c r="BM525" s="108">
        <f t="shared" si="1070"/>
        <v>0</v>
      </c>
      <c r="BN525" s="109">
        <f t="shared" si="1070"/>
        <v>0</v>
      </c>
      <c r="BO525" s="109">
        <f t="shared" si="1070"/>
        <v>0</v>
      </c>
      <c r="BP525" s="109">
        <f t="shared" si="1070"/>
        <v>0</v>
      </c>
      <c r="BQ525" s="110">
        <f t="shared" si="1070"/>
        <v>0</v>
      </c>
      <c r="BR525" s="107">
        <f t="shared" si="1070"/>
        <v>0</v>
      </c>
      <c r="BS525" s="464"/>
      <c r="BT525" s="461"/>
      <c r="BU525" s="392"/>
      <c r="BV525" s="461"/>
      <c r="BW525" s="392"/>
      <c r="BX525" s="392"/>
      <c r="BY525" s="392"/>
      <c r="BZ525" s="461"/>
      <c r="CA525" s="392"/>
      <c r="CB525" s="392"/>
      <c r="CC525" s="392"/>
      <c r="CD525" s="401"/>
      <c r="CE525" s="409"/>
      <c r="CF525" s="133">
        <f t="shared" si="1028"/>
        <v>0</v>
      </c>
      <c r="CG525" s="134">
        <f t="shared" si="1029"/>
        <v>0</v>
      </c>
      <c r="CH525" s="134">
        <f t="shared" si="1030"/>
        <v>0</v>
      </c>
      <c r="CI525" s="134">
        <f t="shared" si="1031"/>
        <v>0</v>
      </c>
      <c r="CJ525" s="134">
        <f t="shared" si="1032"/>
        <v>0</v>
      </c>
      <c r="CK525" s="134">
        <f t="shared" si="1033"/>
        <v>0</v>
      </c>
      <c r="CL525" s="134">
        <f t="shared" si="1034"/>
        <v>0</v>
      </c>
      <c r="CM525" s="134">
        <f t="shared" si="1035"/>
        <v>0</v>
      </c>
      <c r="CN525" s="134">
        <f t="shared" si="1036"/>
        <v>0</v>
      </c>
      <c r="CO525" s="134">
        <f t="shared" si="1037"/>
        <v>0</v>
      </c>
      <c r="CP525" s="134">
        <f t="shared" si="1038"/>
        <v>0</v>
      </c>
      <c r="CQ525" s="134">
        <f t="shared" si="1039"/>
        <v>0</v>
      </c>
      <c r="CR525" s="134">
        <f t="shared" si="1040"/>
        <v>0</v>
      </c>
      <c r="CS525" s="134">
        <f t="shared" si="1041"/>
        <v>0</v>
      </c>
      <c r="CT525" s="115">
        <f t="shared" si="1042"/>
        <v>0</v>
      </c>
      <c r="CU525" s="116">
        <f t="shared" si="1043"/>
        <v>0</v>
      </c>
      <c r="CV525" s="116">
        <f t="shared" si="1044"/>
        <v>0</v>
      </c>
      <c r="CW525" s="116">
        <f t="shared" si="1045"/>
        <v>0</v>
      </c>
      <c r="CX525" s="116">
        <f t="shared" si="1046"/>
        <v>0</v>
      </c>
      <c r="CY525" s="116">
        <f t="shared" si="1047"/>
        <v>0</v>
      </c>
      <c r="CZ525" s="116">
        <f t="shared" si="1048"/>
        <v>0</v>
      </c>
      <c r="DA525" s="116">
        <f t="shared" si="1049"/>
        <v>0</v>
      </c>
      <c r="DB525" s="116">
        <f t="shared" si="1050"/>
        <v>0</v>
      </c>
      <c r="DC525" s="116">
        <f t="shared" si="1051"/>
        <v>0</v>
      </c>
      <c r="DD525" s="116">
        <f t="shared" si="1052"/>
        <v>0</v>
      </c>
      <c r="DE525" s="117">
        <f t="shared" si="1053"/>
        <v>0</v>
      </c>
      <c r="DF525" s="118">
        <f t="shared" si="1056"/>
        <v>33</v>
      </c>
      <c r="DG525" s="106">
        <f t="shared" si="1057"/>
        <v>43.031999999999989</v>
      </c>
      <c r="DH525" s="116">
        <f t="shared" si="1058"/>
        <v>13</v>
      </c>
      <c r="DI525" s="106">
        <f t="shared" si="1059"/>
        <v>56.05</v>
      </c>
      <c r="DJ525" s="201" t="str">
        <f>IF($D523="","",$D523)</f>
        <v>16</v>
      </c>
      <c r="DK525" s="466"/>
    </row>
    <row r="526" spans="1:115" ht="14.5" customHeight="1" x14ac:dyDescent="0.2">
      <c r="A526" s="487">
        <f>$A523+1</f>
        <v>175</v>
      </c>
      <c r="B526" s="506" t="str">
        <f>IF(OR(C526="W",C527="W",C528="W",C526="1/2W",C527="1/2W",C528="1/2W",C526="1/2L",C527="1/2L",C528="1/2L"),"OK",IF(OR(C526="L",C527="L",C528="L"),"LOSS",IF(OR(C526="X",C527="X",C528="X"),"Anulado"," ")))</f>
        <v>OK</v>
      </c>
      <c r="C526" s="147" t="s">
        <v>54</v>
      </c>
      <c r="D526" s="494" t="str">
        <f>IF(G526="","",$D523)</f>
        <v>16</v>
      </c>
      <c r="E526" s="511" t="str">
        <f>IF(G526=""," ","– "&amp;COUNTIF(D$4:D528,$D526))</f>
        <v>– 7</v>
      </c>
      <c r="F526" s="510" t="str">
        <f ca="1">IF(G526="","",IF(OR(AND($C526&lt;&gt;" ",$C527=" "),AND($C527&lt;&gt;" ",$C526=" "),AND(L528&gt;0,OR(AND($C528&lt;&gt;" ",OR($C526=" ",$C527=" ")),AND($C528=" ",OR($C526&lt;&gt;" ",$C527&lt;&gt;" "))))),IF(SUM(F$4:F525)=0,1,LARGE(F$4:F525,1)+1),IF(MONTH(G526)=MONTH(TODAY()),IF(AND(DAY(G526)&lt;DAY(TODAY()),$B526=" "),IF(SUM(F$4:F525)=0,1,LARGE(F$4:F525,1)+1),IF($B526=" ",IF(AND(DAY(G526)=DAY(TODAY()),HOUR(G526)&lt;=HOUR(NOW())+1),IF(AND(HOUR(G526)+2&lt;=HOUR(NOW()),DAY(G526)&lt;=DAY(TODAY()),MINUTE(G526)&lt;=MINUTE(NOW())),IF(SUM(F$4:F525)=0,1,LARGE(F$4:F525,1)+1),IF(OR(MINUTE(G526)&lt;=MINUTE(NOW()),HOUR(G526)&lt;=HOUR(NOW())),"!!!","")),""),"")),"")))</f>
        <v/>
      </c>
      <c r="G526" s="508">
        <v>45003.541666666664</v>
      </c>
      <c r="H526" s="502" t="s">
        <v>207</v>
      </c>
      <c r="I526" s="180" t="s">
        <v>51</v>
      </c>
      <c r="J526" s="181">
        <v>0.5</v>
      </c>
      <c r="K526" s="150" t="s">
        <v>43</v>
      </c>
      <c r="L526" s="151">
        <v>1.909</v>
      </c>
      <c r="M526" s="152"/>
      <c r="N526" s="503">
        <v>0</v>
      </c>
      <c r="O526" s="153">
        <f>IF(OR(AE526="",AE527=""),"",ROUND(IF(L528&gt;0,IF(M526&gt;0,M526,IF(M527&gt;0,ROUND((M527*AE526)/AE527,IF(N526=0,2,IF(N526=0.1,1,0))),ROUND((M528*AE526)/AE528,IF(N526=0,2,IF(N526=0.1,1,0))))),IF(M526&gt;0,M526,ROUND((M527*AE526)/AE527,IF(N526=0,2,IF(N526=0.1,1,0))))),2))</f>
        <v>17.72</v>
      </c>
      <c r="P526" s="154">
        <f>IF(OR(L526="",O526=""),"",IF($C526="1/2W",O526/2+O526/2*L526,IF($C526="1/2L",O526/2,IF(I526="Lay",(O526*(L526/(L526-1))-O526)*(1-_xlfn.XLOOKUP(K526,'Fevereiro 2023 - Valor Real'!A3:A15,'Fevereiro 2023 - Valor Real'!C3:C15,0))+O526,(O526*L526-O526)*(1-_xlfn.XLOOKUP(K526,'Fevereiro 2023 - Valor Real'!A3:A15,'Fevereiro 2023 - Valor Real'!C3:C15,0))+O526))))</f>
        <v>33.827480000000001</v>
      </c>
      <c r="Q526" s="155">
        <f>IF(K526="","",IF(_xlfn.XLOOKUP(K526,K$9:K518,$DJ$9:DJ518,0,,-1)=DJ526,_xlfn.XLOOKUP(K526,K$9:K518,Q$9:Q518,1,,-1)+1,1))</f>
        <v>2</v>
      </c>
      <c r="R526" s="156">
        <f>IF(K526="","",_xlfn.XLOOKUP(K526,K$9:K518,R$9:R518,0,,-1)+IF($C526=" ",1,0))</f>
        <v>0</v>
      </c>
      <c r="S526" s="501">
        <f>IF($B526="Anulado",0,ROUND(IF(OR($B526="LOSS",$B526="OK"),IF(OR($C526="W",$C526="1/2W",$C526="1/2L"),P526-O526,IF($C526="L",-O526,0))+IF(OR($C527="W",$C527="1/2W",$C527="1/2L"),P527-O527,IF($C527="L",-O527,0))+IF(OR($C528="W",$C528="1/2W",$C528="1/2L"),P528-O528,IF($C528="L",-O528,0)),IF(AND(OR($C526="W",$C526="1/2W",$C526="1/2L"),C527="W"),P526+P527-SUM(O526:O528)+_xlfn.XLOOKUP("X",C526:C528,O526:O528,0),IF(AND(C526=TRUE,C528="W"),P526+P528-SUM(O526:O528),IF(AND(C527="W",C528="W"),P527+P528-SUM(O526:O528)+_xlfn.XLOOKUP("X",C526:C528,O526:O528,0),IF(L528&gt;0,IF(OR($C526="W",$C526="1/2W",$C526="1/2L"),P526-SUM(O526:O528)+_xlfn.XLOOKUP("X",C526:C528,O526:O528,0),IF(OR($C526="W",$C526="1/2W",$C526="1/2L"),P527-SUM(O526:O528)+_xlfn.XLOOKUP("X",C526:C528,O526:O528,0),IF(OR($C526="W",$C526="1/2W",$C526="1/2L"),P528-SUM(O526:O528)+_xlfn.XLOOKUP("X",C526:C528,O526:O528,0),IF(SUM(P526:P528)/3-SUM(O526:O528)+_xlfn.XLOOKUP("X",C526:C528,O526:O528,0)&gt;0,SUM(P526:P528)/3-SUM(O526:O528)+_xlfn.XLOOKUP("X",C526:C528,O526:O528,0),LARGE(P526:P528,1)-SUM(O526:O528))))),IF(OR($C526="W",$C526="1/2W",$C526="1/2L"),P526-SUM(O526:O527)+_xlfn.XLOOKUP("X",C526:C528,O526:O528,0),IF(OR($C526="W",$C526="1/2W",$C526="1/2L"),P527-SUM(O526:O527)+_xlfn.XLOOKUP("X",C526:C528,O526:O528,0),SUM(P526:P527)/2-SUM(O526:O527)+_xlfn.XLOOKUP("X",C526:C528,O526:O528,0)))))))),2))</f>
        <v>1.4</v>
      </c>
      <c r="T526" s="486">
        <f>IF(S526=0,0,S526/SUM(O526:O528))</f>
        <v>4.3169904409497376E-2</v>
      </c>
      <c r="U526" s="496">
        <f>IF($D526=$D523,IF(OR($B526="LOSS",$B526="OK",$B526="Anulada"),S526,0)+U523,IF(OR($B526="LOSS",$B526="OK",$B526="Anulada"),S526,0))</f>
        <v>13.080000000000002</v>
      </c>
      <c r="V526" s="496">
        <f>IF($D526="",0,IF($D526=$D523,IF($B526=" ",IF(I528="",IF(OR(AND(I526="DNB1",I527="DNB2"),AND(OR(I526="DNB1",I526="DNB2"),J527=0),AND(OR(I527="DNB1",I527="DNB2"),J526=0),AND(I526="DNB2",I527="DNB1"),AND(IF(J526=0,(J526+1)/ROUND(J526+1,0),J526/ROUND(J526,0))=1,IF(J527=0,(J527+1)/ROUND(IF(J527="",0,J527)+1,0),IF(J527="",0,J527)/ROUND(IF(J527="",1,J527),0))=1,OR(J526&lt;&gt;""),J527&lt;&gt;"")),0,IF(S526&lt;0,IF(I528="",SMALL(P526:P527,1)-SUM(O526:O527),0),SMALL(P526:P527,1)-SUM(O526:O527))),IF(S526&lt;0,IF(I528="",SMALL(P526:P528,1)-SUM(O526:O528),0),LARGE(P526:P528,1)-SUM(O526:O528))),S526)+V523,IF(I528="",IF(OR(AND(I526="DNB1",I527="DNB2"),AND(OR(I526="DNB1",I526="DNB2"),J527=0),AND(OR(I527="DNB1",I527="DNB2"),J526=0),AND(I526="DNB2",I527="DNB1"),AND(IF(J526=0,(J526+1)/ROUND(J526+1,0),J526/ROUND(J526,0))=1,IF(J527=0,(IF(J527="",0,J527)+1)/ROUND(IF(J527="",0,J527)+1,0),IF(J527="",0,J527)/ROUND(IF(J527="",0,J527)+1,0))=1,OR(J526&lt;&gt;""),J527&lt;&gt;"")),0,IF(S526&lt;0,IF(I528="",SMALL(P526:P527,1)-SUM(O526:O527),0),SMALL(P526:P528,1)-SUM(O526:O528))),IF(S526&lt;0,IF(I528="",SMALL(P526:P528,1)-SUM(O526:O528),0),LARGE(P526:P528,1)-SUM(O526:O528)))))</f>
        <v>13.075200000000002</v>
      </c>
      <c r="W526" s="496">
        <f>IF($D526=$D523,IF(S526&lt;0,IF(I528="",S526,0),S526)+W523,S526)</f>
        <v>13.080000000000002</v>
      </c>
      <c r="X526" s="505" t="str">
        <f>IF(OR(SUM(R526:R528)=0,V526=W526),ROUND(IF(W526=0,0,W526/Y526)*100,2)&amp;"%",ROUND(IF(V526=0,0,V526/Y526)*100,2)&amp;"% a "&amp;ROUND(IF(W526=0,0,W526/Y526)*100,2)&amp;"%")</f>
        <v>6,72%</v>
      </c>
      <c r="Y526" s="497">
        <f>IF($D526=$D523,Y523+SUM(O526:O528),SUM(O526:O528))</f>
        <v>194.69</v>
      </c>
      <c r="Z526" s="496">
        <f>IF($B526=" ",SUM(O526:O528),0)+Z523</f>
        <v>0</v>
      </c>
      <c r="AA526" s="496">
        <f>IF(G526="","",IF($B526="Anulado",LARGE(P526:P528,1)-SUM(O526:O528)+AA523,AA523))</f>
        <v>12.425099999999992</v>
      </c>
      <c r="AB526" s="496">
        <f>IF($D526="","",AB523+S526)</f>
        <v>611.1800000000004</v>
      </c>
      <c r="AC526" s="499">
        <f ca="1">IF($D526="","",IF($B526=" ",IF(DAY(G526)=DAY(TODAY()),1+AC523,0+AC523),0+AC523))</f>
        <v>0</v>
      </c>
      <c r="AD526" s="157">
        <f>(1-_xlfn.XLOOKUP(K524,'Fevereiro 2023 - Valor Real'!A3:A15,'Fevereiro 2023 - Valor Real'!C3:C15,0))+1</f>
        <v>2</v>
      </c>
      <c r="AE526" s="158">
        <f>IF(L526="","",IF(L528&gt;0,(SUM(((L526-1)*(1-_xlfn.XLOOKUP(K526,'Fevereiro 2023 - Valor Real'!A3:A15,'Fevereiro 2023 - Valor Real'!C3:C15,0))+1),((L527-1)*(1-_xlfn.XLOOKUP(K527,'Fevereiro 2023 - Valor Real'!A3:A15,'Fevereiro 2023 - Valor Real'!C3:C15,0))+1),((L528-1)*(1-_xlfn.XLOOKUP(K528,'Fevereiro 2023 - Valor Real'!A3:A15,'Fevereiro 2023 - Valor Real'!C3:C15,0))+1))/((L526-1)*(1-_xlfn.XLOOKUP(K526,'Fevereiro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Real'!C3:C15,0))+1))/((L526-1)*(1-_xlfn.XLOOKUP(K526,'Fevereiro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Real'!C3:C15,0))+1))/((L527-1)*(1-_xlfn.XLOOKUP(K527,'Fevereiro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Real'!C3:C15,0))+1))/((L528-1)*(1-_xlfn.XLOOKUP(K528,'Fevereiro 2023 - Valor Real'!A3:A15,'Fevereiro 2023 - Valor Real'!C3:C15,0))+1)),IF(I526="Lay",IF(I527="Lay",((L527/(L527-1)-1)*(1-_xlfn.XLOOKUP(K527,'Fevereiro 2023 - Valor Real'!A3:A15,'Fevereiro 2023 - Valor Real'!C3:C15,0))+1)/(((L527/(L527-1)-1)*(1-_xlfn.XLOOKUP(K527,'Fevereiro 2023 - Valor Real'!A3:A15,'Fevereiro 2023 - Valor Real'!C3:C15,0))+1)+((L526/(L526-1)-1)*(1-_xlfn.XLOOKUP(K526,'Fevereiro 2023 - Valor Real'!A3:A15,'Fevereiro 2023 - Valor Real'!C3:C15,0))+1)),((L527-1)*(1-_xlfn.XLOOKUP(K527,'Fevereiro 2023 - Valor Real'!A3:A15,'Fevereiro 2023 - Valor Real'!C3:C15,0))+1)/(((L527-1)*(1-_xlfn.XLOOKUP(K527,'Fevereiro 2023 - Valor Real'!A3:A15,'Fevereiro 2023 - Valor Real'!C3:C15,0))+1)+((L526/(L526-1)-1)*(1-_xlfn.XLOOKUP(K526,'Fevereiro 2023 - Valor Real'!A3:A15,'Fevereiro 2023 - Valor Real'!C3:C15,0))+1))),IF(I527="Lay",(((L527/(L527-1)-1)*(1-_xlfn.XLOOKUP(K527,'Fevereiro 2023 - Valor Real'!A3:A15,'Fevereiro 2023 - Valor Real'!C3:C15,0))+1))/(((L526-1)*(1-_xlfn.XLOOKUP(K526,'Fevereiro 2023 - Valor Real'!A3:A15,'Fevereiro 2023 - Valor Real'!C3:C15,0))+1)+((L527/(L527-1)-1)*(1-_xlfn.XLOOKUP(K527,'Fevereiro 2023 - Valor Real'!A3:A15,'Fevereiro 2023 - Valor Real'!C3:C15,0))+1)),((L527-1)*(1-_xlfn.XLOOKUP(K527,'Fevereiro 2023 - Valor Real'!A3:A15,'Fevereiro 2023 - Valor Real'!C3:C15,0))+1)/(((L527-1)*(1-_xlfn.XLOOKUP(K527,'Fevereiro 2023 - Valor Real'!A3:A15,'Fevereiro 2023 - Valor Real'!C3:C15,0))+1)+((L526-1)*(1-_xlfn.XLOOKUP(K526,'Fevereiro 2023 - Valor Real'!A3:A15,'Fevereiro 2023 - Valor Real'!C3:C15,0))+1))))))</f>
        <v>0.54644808743169404</v>
      </c>
      <c r="AF526" s="66">
        <f t="shared" si="1068"/>
        <v>0</v>
      </c>
      <c r="AG526" s="67">
        <f t="shared" si="1068"/>
        <v>0</v>
      </c>
      <c r="AH526" s="67">
        <f t="shared" si="1068"/>
        <v>0</v>
      </c>
      <c r="AI526" s="67">
        <f t="shared" si="1068"/>
        <v>0</v>
      </c>
      <c r="AJ526" s="67">
        <f t="shared" si="1068"/>
        <v>0</v>
      </c>
      <c r="AK526" s="67">
        <f t="shared" si="1068"/>
        <v>0</v>
      </c>
      <c r="AL526" s="67">
        <f t="shared" si="1068"/>
        <v>0</v>
      </c>
      <c r="AM526" s="67">
        <f t="shared" si="1068"/>
        <v>16.11</v>
      </c>
      <c r="AN526" s="67">
        <f t="shared" si="1068"/>
        <v>0</v>
      </c>
      <c r="AO526" s="67">
        <f t="shared" si="1068"/>
        <v>0</v>
      </c>
      <c r="AP526" s="67">
        <f t="shared" si="1068"/>
        <v>0</v>
      </c>
      <c r="AQ526" s="67">
        <f t="shared" si="1068"/>
        <v>0</v>
      </c>
      <c r="AR526" s="68">
        <f t="shared" si="1068"/>
        <v>0</v>
      </c>
      <c r="AS526" s="66">
        <f t="shared" ref="AS526:BE526" si="1072">IF(AND($B526=" ",$K526=AS$3),$O526,0)</f>
        <v>0</v>
      </c>
      <c r="AT526" s="67">
        <f t="shared" si="1072"/>
        <v>0</v>
      </c>
      <c r="AU526" s="67">
        <f t="shared" si="1072"/>
        <v>0</v>
      </c>
      <c r="AV526" s="67">
        <f t="shared" si="1072"/>
        <v>0</v>
      </c>
      <c r="AW526" s="67">
        <f t="shared" si="1072"/>
        <v>0</v>
      </c>
      <c r="AX526" s="67">
        <f t="shared" si="1072"/>
        <v>0</v>
      </c>
      <c r="AY526" s="69">
        <f t="shared" si="1072"/>
        <v>0</v>
      </c>
      <c r="AZ526" s="70">
        <f t="shared" si="1072"/>
        <v>0</v>
      </c>
      <c r="BA526" s="70">
        <f t="shared" si="1072"/>
        <v>0</v>
      </c>
      <c r="BB526" s="70">
        <f t="shared" si="1072"/>
        <v>0</v>
      </c>
      <c r="BC526" s="71">
        <f t="shared" si="1072"/>
        <v>0</v>
      </c>
      <c r="BD526" s="67">
        <f t="shared" si="1072"/>
        <v>0</v>
      </c>
      <c r="BE526" s="68">
        <f t="shared" si="1072"/>
        <v>0</v>
      </c>
      <c r="BF526" s="66">
        <f t="shared" si="1070"/>
        <v>0</v>
      </c>
      <c r="BG526" s="67">
        <f t="shared" si="1070"/>
        <v>0</v>
      </c>
      <c r="BH526" s="67">
        <f t="shared" si="1070"/>
        <v>0</v>
      </c>
      <c r="BI526" s="67">
        <f t="shared" si="1070"/>
        <v>0</v>
      </c>
      <c r="BJ526" s="67">
        <f t="shared" si="1070"/>
        <v>0</v>
      </c>
      <c r="BK526" s="67">
        <f t="shared" si="1070"/>
        <v>0</v>
      </c>
      <c r="BL526" s="67">
        <f t="shared" si="1070"/>
        <v>0</v>
      </c>
      <c r="BM526" s="69">
        <f t="shared" si="1070"/>
        <v>17.72</v>
      </c>
      <c r="BN526" s="70">
        <f t="shared" si="1070"/>
        <v>0</v>
      </c>
      <c r="BO526" s="70">
        <f t="shared" si="1070"/>
        <v>0</v>
      </c>
      <c r="BP526" s="70">
        <f t="shared" si="1070"/>
        <v>0</v>
      </c>
      <c r="BQ526" s="71">
        <f t="shared" si="1070"/>
        <v>0</v>
      </c>
      <c r="BR526" s="68">
        <f t="shared" si="1070"/>
        <v>0</v>
      </c>
      <c r="BS526" s="490">
        <f>IF($B526="LOSS",IF(AND($K526=BS$3,$C526="L"),-$O526,0)+IF(AND($K527=BS$3,$C527="L"),-$O527,0)+IF(AND($K528=BS$3,$C528="L"),-$O528,0),IF(OR(AND($K526=BS$3,OR($C526="W",$C526="1/2W")),AND($K527=BS$3,OR($C527="W",$C527="1/2W")),AND($K528=BS$3,OR($C528="W",$C528="1/2W"))),$S526,0))</f>
        <v>0</v>
      </c>
      <c r="BT526" s="498">
        <f>IF($B526="LOSS",IF(AND($K526=BT$3,$C526="L"),-$O526,0)+IF(AND($K527=BT$3,$C527="L"),-$O527,0)+IF(AND($K527=BT$3,$C528="L"),-$O528,0),IF(OR(AND($K527=BT$3,OR($C526="W",$C526="1/2W")),AND($K527=BT$3,OR($C527="W",$C527="1/2W")),AND($K527=BT$3,OR($C528="W",$C528="1/2W"))),$S526,0))</f>
        <v>1.4</v>
      </c>
      <c r="BU526" s="488">
        <f>IF($B526="LOSS",IF(AND($K526=BU$3,$C526="L"),-$O526,0)+IF(AND($K527=BU$3,$C527="L"),-$O527,0)+IF(AND($K527=BU$3,$C528="L"),-$O528,0),IF(OR(AND($K527=BU$3,OR($C526="W",$C526="1/2W")),AND($K527=BU$3,OR($C527="W",$C527="1/2W")),AND($K527=BU$3,OR($C528="W",$C528="1/2W"))),$S526,0))</f>
        <v>0</v>
      </c>
      <c r="BV526" s="488">
        <f t="shared" ref="BV526:CE526" si="1073">IF($B526="LOSS",IF(AND($K526=BV$3,$C526="L"),-$O526,0)+IF(AND($K527=BV$3,$C527="L"),-$O527,0)+IF(AND($K528=BV$3,$C528="L"),-$O528,0),IF(OR(AND($K526=BV$3,OR($C526="W",$C526="1/2W")),AND($K527=BV$3,OR($C527="W",$C527="1/2W")),AND($K528=BV$3,OR($C528="W",$C528="1/2W"))),$S526,0))</f>
        <v>0</v>
      </c>
      <c r="BW526" s="488">
        <f t="shared" si="1073"/>
        <v>0</v>
      </c>
      <c r="BX526" s="488">
        <f t="shared" si="1073"/>
        <v>0</v>
      </c>
      <c r="BY526" s="488">
        <f t="shared" si="1073"/>
        <v>0</v>
      </c>
      <c r="BZ526" s="488">
        <f t="shared" si="1073"/>
        <v>1.4</v>
      </c>
      <c r="CA526" s="488">
        <f t="shared" si="1073"/>
        <v>0</v>
      </c>
      <c r="CB526" s="488">
        <f t="shared" si="1073"/>
        <v>0</v>
      </c>
      <c r="CC526" s="488">
        <f t="shared" si="1073"/>
        <v>0</v>
      </c>
      <c r="CD526" s="500">
        <f t="shared" si="1073"/>
        <v>0</v>
      </c>
      <c r="CE526" s="504">
        <f t="shared" si="1073"/>
        <v>0</v>
      </c>
      <c r="CF526" s="160">
        <f t="shared" si="1028"/>
        <v>0</v>
      </c>
      <c r="CG526" s="161">
        <f t="shared" si="1029"/>
        <v>0</v>
      </c>
      <c r="CH526" s="161">
        <f t="shared" si="1030"/>
        <v>0</v>
      </c>
      <c r="CI526" s="161">
        <f t="shared" si="1031"/>
        <v>0</v>
      </c>
      <c r="CJ526" s="161">
        <f t="shared" si="1032"/>
        <v>0</v>
      </c>
      <c r="CK526" s="161">
        <f t="shared" si="1033"/>
        <v>0</v>
      </c>
      <c r="CL526" s="161">
        <f t="shared" si="1034"/>
        <v>0</v>
      </c>
      <c r="CM526" s="161">
        <f t="shared" si="1035"/>
        <v>0</v>
      </c>
      <c r="CN526" s="161">
        <f t="shared" si="1036"/>
        <v>0</v>
      </c>
      <c r="CO526" s="161">
        <f t="shared" si="1037"/>
        <v>0</v>
      </c>
      <c r="CP526" s="161">
        <f t="shared" si="1038"/>
        <v>0</v>
      </c>
      <c r="CQ526" s="161">
        <f t="shared" si="1039"/>
        <v>0</v>
      </c>
      <c r="CR526" s="161">
        <f t="shared" si="1040"/>
        <v>0</v>
      </c>
      <c r="CS526" s="161">
        <f t="shared" si="1041"/>
        <v>0</v>
      </c>
      <c r="CT526" s="75">
        <f t="shared" si="1042"/>
        <v>1</v>
      </c>
      <c r="CU526" s="76">
        <f t="shared" si="1043"/>
        <v>0</v>
      </c>
      <c r="CV526" s="76">
        <f t="shared" si="1044"/>
        <v>0</v>
      </c>
      <c r="CW526" s="76">
        <f t="shared" si="1045"/>
        <v>0</v>
      </c>
      <c r="CX526" s="76">
        <f t="shared" si="1046"/>
        <v>0</v>
      </c>
      <c r="CY526" s="76">
        <f t="shared" si="1047"/>
        <v>0</v>
      </c>
      <c r="CZ526" s="76">
        <f t="shared" si="1048"/>
        <v>0</v>
      </c>
      <c r="DA526" s="76">
        <f t="shared" si="1049"/>
        <v>0</v>
      </c>
      <c r="DB526" s="76">
        <f t="shared" si="1050"/>
        <v>0</v>
      </c>
      <c r="DC526" s="76">
        <f t="shared" si="1051"/>
        <v>0</v>
      </c>
      <c r="DD526" s="76">
        <f t="shared" si="1052"/>
        <v>0</v>
      </c>
      <c r="DE526" s="77">
        <f t="shared" si="1053"/>
        <v>0</v>
      </c>
      <c r="DF526" s="73">
        <f t="shared" si="1056"/>
        <v>33</v>
      </c>
      <c r="DG526" s="67">
        <f t="shared" si="1057"/>
        <v>43.031999999999989</v>
      </c>
      <c r="DH526" s="76">
        <f t="shared" si="1058"/>
        <v>13</v>
      </c>
      <c r="DI526" s="67">
        <f t="shared" si="1059"/>
        <v>56.05</v>
      </c>
      <c r="DJ526" s="202" t="str">
        <f>IF($D526="","",$D526)</f>
        <v>16</v>
      </c>
      <c r="DK526" s="492">
        <f>IF(AND($B526=" ",$D526&lt;&gt;""),1,0)</f>
        <v>0</v>
      </c>
    </row>
    <row r="527" spans="1:115" ht="14.5" customHeight="1" x14ac:dyDescent="0.2">
      <c r="A527" s="389"/>
      <c r="B527" s="456"/>
      <c r="C527" s="53" t="s">
        <v>55</v>
      </c>
      <c r="D527" s="374"/>
      <c r="E527" s="386"/>
      <c r="F527" s="377"/>
      <c r="G527" s="508"/>
      <c r="H527" s="476"/>
      <c r="I527" s="182" t="s">
        <v>52</v>
      </c>
      <c r="J527" s="56">
        <f>IF(OR(I526="TO",I526="TU",I526="TO1",I526="TU1",I526="TO2",I526="TU2"),J526,IF(OR(I526="AH1",I526="AH2"),IF(OR(I527="AH1",I527="AH2"),-J526,IF(OR(I527="EH1",I527="EH2"),-J526+0.5,"")),IF(OR(I526="EH1",I526="EH2"),IF(OR(I527="AH1",I527="AH2"),-J526+0.5,IF(OR(I527="EH1",I527="EH2"),-J526+1,"")),IF(AND(OR(I526="DNB1",I526="DNB2"),OR(I527="AH1",I527="AH2")),0,IF(AND(I526="Not ScoreBoth",OR(I527="TO1",I527="TO2")),0.5,"")))))</f>
        <v>0.5</v>
      </c>
      <c r="K527" s="57" t="s">
        <v>37</v>
      </c>
      <c r="L527" s="164">
        <v>2.2999999999999998</v>
      </c>
      <c r="M527" s="165">
        <v>14.71</v>
      </c>
      <c r="N527" s="406"/>
      <c r="O527" s="60">
        <f>IF(OR(AE526="",AE527=""),"",ROUND(IF(L528&gt;0,IF(M527&gt;0,M527,IF(M526&gt;0,IF(N526=TRUE,ROUND((M526*AE527)/AE526,0),(M526*AE527)/AE526),IF(M527&gt;0,ROUND(M527,IF(N526=0,2,IF(N526=0.1,1,0))),IF(M528&gt;0,ROUND(O528*AE527/AE528,IF(N526=0,2,IF(N526=0.1,1,0))),0)))),IF(M527&gt;0,M527,ROUND((M526*AE527)/AE526,IF(N526=0,2,IF(N526=0.1,1,0))))),2))</f>
        <v>14.71</v>
      </c>
      <c r="P527" s="61">
        <f>IF(OR(L527="",O527=""),"",IF($C527="1/2W",O527/2+O527/2*L527,IF($C527="1/2L",O527/2,IF(I527="Lay",((O527*(L527/(L527-1)))-O527)*(1-_xlfn.XLOOKUP(K527,'Fevereiro 2023 - Valor Real'!A3:A15,'Fevereiro 2023 - Valor Real'!C3:C15,0))+O527,(O527*L527-O527)*(1-_xlfn.XLOOKUP(K527,'Fevereiro 2023 - Valor Real'!A3:A15,'Fevereiro 2023 - Valor Real'!C3:C15,0))+O527))))</f>
        <v>33.832999999999998</v>
      </c>
      <c r="Q527" s="166">
        <f>IF(K527="","",IF(_xlfn.XLOOKUP(K527,K$10:K518,$DJ$10:DJ518,0,,-1)=DJ527,_xlfn.XLOOKUP(K527,K$10:K518,Q$10:Q518,1,,-1)+1,1))</f>
        <v>2</v>
      </c>
      <c r="R527" s="167">
        <f>IF(K527="","",_xlfn.XLOOKUP(K527,K$10:K518,R$10:R518,0,,-1)+IF($C527=" ",1,0))</f>
        <v>0</v>
      </c>
      <c r="S527" s="403"/>
      <c r="T527" s="380"/>
      <c r="U527" s="380"/>
      <c r="V527" s="481"/>
      <c r="W527" s="380"/>
      <c r="X527" s="452"/>
      <c r="Y527" s="383"/>
      <c r="Z527" s="384"/>
      <c r="AA527" s="384"/>
      <c r="AB527" s="384"/>
      <c r="AC527" s="384"/>
      <c r="AD527" s="64"/>
      <c r="AE527" s="65">
        <f>IF(L527="","",IF(L528&gt;0,(SUM(((L526-1)*(1-_xlfn.XLOOKUP(K526,'Fevereiro 2023 - Valor Real'!A3:A15,'Fevereiro 2023 - Valor Real'!C3:C15,0))+1),((L527-1)*(1-_xlfn.XLOOKUP(K527,'Fevereiro 2023 - Valor Real'!A3:A15,'Fevereiro 2023 - Valor Real'!C3:C15,0))+1),((L528-1)*(1-_xlfn.XLOOKUP(K528,'Fevereiro 2023 - Valor Real'!A3:A15,'Fevereiro 2023 - Valor Real'!C3:C15,0))+1))/((L527-1)*(1-_xlfn.XLOOKUP(K527,'Fevereiro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Real'!C3:C15,0))+1))/((L526-1)*(1-_xlfn.XLOOKUP(K526,'Fevereiro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Real'!C3:C15,0))+1))/((L527-1)*(1-_xlfn.XLOOKUP(K527,'Fevereiro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Real'!C3:C15,0))+1))/((L528-1)*(1-_xlfn.XLOOKUP(K528,'Fevereiro 2023 - Valor Real'!A3:A15,'Fevereiro 2023 - Valor Real'!C3:C15,0))+1)),IF(I527="Lay",IF(I526="Lay",((L526/(L526-1)-1)*(1-_xlfn.XLOOKUP(K526,'Fevereiro 2023 - Valor Real'!A3:A15,'Fevereiro 2023 - Valor Real'!C3:C15,0))+1)/(((L526/(L526-1)-1)*(1-_xlfn.XLOOKUP(K526,'Fevereiro 2023 - Valor Real'!A3:A15,'Fevereiro 2023 - Valor Real'!C3:C15,0))+1)+((L527/(L527-1)-1)*(1-_xlfn.XLOOKUP(K527,'Fevereiro 2023 - Valor Real'!A3:A15,'Fevereiro 2023 - Valor Real'!C3:C15,0))+1)),((L526-1)*(1-_xlfn.XLOOKUP(K526,'Fevereiro 2023 - Valor Real'!A3:A15,'Fevereiro 2023 - Valor Real'!C3:C15,0))+1)/(((L526-1)*(1-_xlfn.XLOOKUP(K526,'Fevereiro 2023 - Valor Real'!A3:A15,'Fevereiro 2023 - Valor Real'!C3:C15,0))+1)+((L527/(L527-1)-1)*(1-_xlfn.XLOOKUP(K527,'Fevereiro 2023 - Valor Real'!A3:A15,'Fevereiro 2023 - Valor Real'!C3:C15,0))+1))),IF(I526="Lay",((L526/(L526-1)-1)*(1-_xlfn.XLOOKUP(K526,'Fevereiro 2023 - Valor Real'!A3:A15,'Fevereiro 2023 - Valor Real'!C3:C15,0))+1)/((((L526/(L526-1)-1)*(1-_xlfn.XLOOKUP(K526,'Fevereiro 2023 - Valor Real'!A3:A15,'Fevereiro 2023 - Valor Real'!C3:C15,0))+1))+((L527-1)*(1-_xlfn.XLOOKUP(K527,'Fevereiro 2023 - Valor Real'!A3:A15,'Fevereiro 2023 - Valor Real'!C3:C15,0))+1)),((L526-1)*(1-_xlfn.XLOOKUP(K526,'Fevereiro 2023 - Valor Real'!A3:A15,'Fevereiro 2023 - Valor Real'!C3:C15,0))+1)/(((L526-1)*(1-_xlfn.XLOOKUP(K526,'Fevereiro 2023 - Valor Real'!A3:A15,'Fevereiro 2023 - Valor Real'!C3:C15,0))+1)+((L527-1)*(1-_xlfn.XLOOKUP(K527,'Fevereiro 2023 - Valor Real'!A3:A15,'Fevereiro 2023 - Valor Real'!C3:C15,0))+1))))))</f>
        <v>0.45355191256830607</v>
      </c>
      <c r="AF527" s="66">
        <f t="shared" si="1068"/>
        <v>0</v>
      </c>
      <c r="AG527" s="67">
        <f t="shared" si="1068"/>
        <v>-14.71</v>
      </c>
      <c r="AH527" s="67">
        <f t="shared" si="1068"/>
        <v>0</v>
      </c>
      <c r="AI527" s="67">
        <f t="shared" si="1068"/>
        <v>0</v>
      </c>
      <c r="AJ527" s="67">
        <f t="shared" si="1068"/>
        <v>0</v>
      </c>
      <c r="AK527" s="67">
        <f t="shared" si="1068"/>
        <v>0</v>
      </c>
      <c r="AL527" s="67">
        <f t="shared" si="1068"/>
        <v>0</v>
      </c>
      <c r="AM527" s="67">
        <f t="shared" si="1068"/>
        <v>0</v>
      </c>
      <c r="AN527" s="67">
        <f t="shared" si="1068"/>
        <v>0</v>
      </c>
      <c r="AO527" s="67">
        <f t="shared" si="1068"/>
        <v>0</v>
      </c>
      <c r="AP527" s="67">
        <f t="shared" si="1068"/>
        <v>0</v>
      </c>
      <c r="AQ527" s="67">
        <f t="shared" si="1068"/>
        <v>0</v>
      </c>
      <c r="AR527" s="68">
        <f t="shared" si="1068"/>
        <v>0</v>
      </c>
      <c r="AS527" s="66">
        <f>IF(AND($B526=" ",$K527=AS$3),$O527,0)</f>
        <v>0</v>
      </c>
      <c r="AT527" s="67">
        <f>IF(AND($B526=" ",K527=AT$3),$O527,0)</f>
        <v>0</v>
      </c>
      <c r="AU527" s="67">
        <f t="shared" ref="AU527:BE527" si="1074">IF(AND($B526=" ",$K527=AU$3),$O527,0)</f>
        <v>0</v>
      </c>
      <c r="AV527" s="67">
        <f t="shared" si="1074"/>
        <v>0</v>
      </c>
      <c r="AW527" s="67">
        <f t="shared" si="1074"/>
        <v>0</v>
      </c>
      <c r="AX527" s="67">
        <f t="shared" si="1074"/>
        <v>0</v>
      </c>
      <c r="AY527" s="69">
        <f t="shared" si="1074"/>
        <v>0</v>
      </c>
      <c r="AZ527" s="70">
        <f t="shared" si="1074"/>
        <v>0</v>
      </c>
      <c r="BA527" s="70">
        <f t="shared" si="1074"/>
        <v>0</v>
      </c>
      <c r="BB527" s="70">
        <f t="shared" si="1074"/>
        <v>0</v>
      </c>
      <c r="BC527" s="71">
        <f t="shared" si="1074"/>
        <v>0</v>
      </c>
      <c r="BD527" s="67">
        <f t="shared" si="1074"/>
        <v>0</v>
      </c>
      <c r="BE527" s="68">
        <f t="shared" si="1074"/>
        <v>0</v>
      </c>
      <c r="BF527" s="66">
        <f t="shared" si="1070"/>
        <v>0</v>
      </c>
      <c r="BG527" s="168">
        <f t="shared" si="1070"/>
        <v>14.71</v>
      </c>
      <c r="BH527" s="67">
        <f t="shared" si="1070"/>
        <v>0</v>
      </c>
      <c r="BI527" s="67">
        <f t="shared" si="1070"/>
        <v>0</v>
      </c>
      <c r="BJ527" s="67">
        <f t="shared" si="1070"/>
        <v>0</v>
      </c>
      <c r="BK527" s="67">
        <f t="shared" si="1070"/>
        <v>0</v>
      </c>
      <c r="BL527" s="67">
        <f t="shared" si="1070"/>
        <v>0</v>
      </c>
      <c r="BM527" s="69">
        <f t="shared" si="1070"/>
        <v>0</v>
      </c>
      <c r="BN527" s="70">
        <f t="shared" si="1070"/>
        <v>0</v>
      </c>
      <c r="BO527" s="70">
        <f t="shared" si="1070"/>
        <v>0</v>
      </c>
      <c r="BP527" s="70">
        <f t="shared" si="1070"/>
        <v>0</v>
      </c>
      <c r="BQ527" s="71">
        <f t="shared" si="1070"/>
        <v>0</v>
      </c>
      <c r="BR527" s="68">
        <f t="shared" si="1070"/>
        <v>0</v>
      </c>
      <c r="BS527" s="491"/>
      <c r="BT527" s="489"/>
      <c r="BU527" s="392"/>
      <c r="BV527" s="489"/>
      <c r="BW527" s="392"/>
      <c r="BX527" s="392"/>
      <c r="BY527" s="392"/>
      <c r="BZ527" s="489"/>
      <c r="CA527" s="392"/>
      <c r="CB527" s="392"/>
      <c r="CC527" s="392"/>
      <c r="CD527" s="401"/>
      <c r="CE527" s="409"/>
      <c r="CF527" s="169">
        <f t="shared" si="1028"/>
        <v>0</v>
      </c>
      <c r="CG527" s="170">
        <f t="shared" si="1029"/>
        <v>0</v>
      </c>
      <c r="CH527" s="170">
        <f t="shared" si="1030"/>
        <v>0</v>
      </c>
      <c r="CI527" s="170">
        <f t="shared" si="1031"/>
        <v>1</v>
      </c>
      <c r="CJ527" s="170">
        <f t="shared" si="1032"/>
        <v>0</v>
      </c>
      <c r="CK527" s="170">
        <f t="shared" si="1033"/>
        <v>0</v>
      </c>
      <c r="CL527" s="170">
        <f t="shared" si="1034"/>
        <v>0</v>
      </c>
      <c r="CM527" s="170">
        <f t="shared" si="1035"/>
        <v>0</v>
      </c>
      <c r="CN527" s="170">
        <f t="shared" si="1036"/>
        <v>0</v>
      </c>
      <c r="CO527" s="170">
        <f t="shared" si="1037"/>
        <v>0</v>
      </c>
      <c r="CP527" s="170">
        <f t="shared" si="1038"/>
        <v>0</v>
      </c>
      <c r="CQ527" s="170">
        <f t="shared" si="1039"/>
        <v>0</v>
      </c>
      <c r="CR527" s="170">
        <f t="shared" si="1040"/>
        <v>0</v>
      </c>
      <c r="CS527" s="170">
        <f t="shared" si="1041"/>
        <v>0</v>
      </c>
      <c r="CT527" s="75">
        <f t="shared" si="1042"/>
        <v>0</v>
      </c>
      <c r="CU527" s="76">
        <f t="shared" si="1043"/>
        <v>0</v>
      </c>
      <c r="CV527" s="76">
        <f t="shared" si="1044"/>
        <v>0</v>
      </c>
      <c r="CW527" s="76">
        <f t="shared" si="1045"/>
        <v>0</v>
      </c>
      <c r="CX527" s="76">
        <f t="shared" si="1046"/>
        <v>0</v>
      </c>
      <c r="CY527" s="76">
        <f t="shared" si="1047"/>
        <v>0</v>
      </c>
      <c r="CZ527" s="76">
        <f t="shared" si="1048"/>
        <v>0</v>
      </c>
      <c r="DA527" s="76">
        <f t="shared" si="1049"/>
        <v>0</v>
      </c>
      <c r="DB527" s="76">
        <f t="shared" si="1050"/>
        <v>0</v>
      </c>
      <c r="DC527" s="76">
        <f t="shared" si="1051"/>
        <v>0</v>
      </c>
      <c r="DD527" s="76">
        <f t="shared" si="1052"/>
        <v>0</v>
      </c>
      <c r="DE527" s="77">
        <f t="shared" si="1053"/>
        <v>0</v>
      </c>
      <c r="DF527" s="73">
        <f t="shared" si="1056"/>
        <v>33</v>
      </c>
      <c r="DG527" s="67">
        <f t="shared" si="1057"/>
        <v>43.031999999999989</v>
      </c>
      <c r="DH527" s="76">
        <f t="shared" si="1058"/>
        <v>13</v>
      </c>
      <c r="DI527" s="67">
        <f t="shared" si="1059"/>
        <v>56.05</v>
      </c>
      <c r="DJ527" s="202" t="str">
        <f>IF($D526="","",$D526)</f>
        <v>16</v>
      </c>
      <c r="DK527" s="493"/>
    </row>
    <row r="528" spans="1:115" ht="14.5" customHeight="1" x14ac:dyDescent="0.2">
      <c r="A528" s="390"/>
      <c r="B528" s="457"/>
      <c r="C528" s="79" t="s">
        <v>53</v>
      </c>
      <c r="D528" s="375"/>
      <c r="E528" s="387"/>
      <c r="F528" s="378"/>
      <c r="G528" s="508"/>
      <c r="H528" s="477"/>
      <c r="I528" s="171"/>
      <c r="J528" s="172"/>
      <c r="K528" s="81"/>
      <c r="L528" s="173"/>
      <c r="M528" s="174"/>
      <c r="N528" s="407"/>
      <c r="O528" s="86" t="str">
        <f>IF(OR(AE526="",AE527=""),"",IF(L528&gt;0,ROUND(IF(M528&gt;0,M528,IF(M526&gt;0,ROUND((M526*AE528)/AE526,IF(N526=0,2,IF(N526=0.1,1,0))),IF(M527&gt;0,ROUND((M527*AE528)/AE527,IF(N526=0,2,IF(N526=0.1,1,0))),IF(M528&gt;0,M528,0)))),2),""))</f>
        <v/>
      </c>
      <c r="P528" s="87" t="str">
        <f>IF(I527="Lay",O527*(L527/(L527-1))-O527,IF(I526="Lay",O526*(L526/(L526-1))-O526,IF(OR(L528="",O528=""),"",IF($C528="1/2W",O528/2+O528/2*L528,IF($C528="1/2L",O528/2,(O528*L528-O528)*(1-_xlfn.XLOOKUP(K528,'Fevereiro 2023 - Valor Real'!A3:A15,'Fevereiro 2023 - Valor Real'!C3:C15,0))+O528)))))</f>
        <v/>
      </c>
      <c r="Q528" s="54" t="str">
        <f>IF(K528="","",IF(_xlfn.XLOOKUP(K528,K$11:K518,$DJ$11:DJ518,0,,-1)=DJ528,_xlfn.XLOOKUP(K528,K$11:K518,Q$11:Q518,1,,-1)+1,1))</f>
        <v/>
      </c>
      <c r="R528" s="87" t="str">
        <f>IF(K528="","",_xlfn.XLOOKUP(K528,K$11:K518,R$11:R518,0,,-1)+IF($C528=" ",1,0))</f>
        <v/>
      </c>
      <c r="S528" s="404"/>
      <c r="T528" s="378"/>
      <c r="U528" s="378"/>
      <c r="V528" s="404"/>
      <c r="W528" s="378"/>
      <c r="X528" s="453"/>
      <c r="Y528" s="383"/>
      <c r="Z528" s="384"/>
      <c r="AA528" s="384"/>
      <c r="AB528" s="384"/>
      <c r="AC528" s="384"/>
      <c r="AD528" s="90"/>
      <c r="AE528" s="91" t="str">
        <f>IF(L528="","",(SUM(((L526-1)*(1-_xlfn.XLOOKUP(K526,'Fevereiro 2023 - Valor Real'!A3:A15,'Fevereiro 2023 - Valor Real'!C3:C15,0))+1),((L527-1)*(1-_xlfn.XLOOKUP(K527,'Fevereiro 2023 - Valor Real'!A3:A15,'Fevereiro 2023 - Valor Real'!C3:C15,0))+1),((L528-1)*(1-_xlfn.XLOOKUP(K528,'Fevereiro 2023 - Valor Real'!A3:A15,'Fevereiro 2023 - Valor Real'!C3:C15,0))+1))/((L528-1)*(1-_xlfn.XLOOKUP(K528,'Fevereiro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Real'!C3:C15,0))+1))/((L526-1)*(1-_xlfn.XLOOKUP(K526,'Fevereiro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Real'!C3:C15,0))+1))/((L527-1)*(1-_xlfn.XLOOKUP(K527,'Fevereiro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Real'!C3:C15,0))+1))/((L528-1)*(1-_xlfn.XLOOKUP(K528,'Fevereiro 2023 - Valor Real'!A3:A15,'Fevereiro 2023 - Valor Real'!C3:C15,0))+1)))</f>
        <v/>
      </c>
      <c r="AF528" s="66">
        <f t="shared" si="1068"/>
        <v>0</v>
      </c>
      <c r="AG528" s="67">
        <f t="shared" si="1068"/>
        <v>0</v>
      </c>
      <c r="AH528" s="67">
        <f t="shared" si="1068"/>
        <v>0</v>
      </c>
      <c r="AI528" s="67">
        <f t="shared" si="1068"/>
        <v>0</v>
      </c>
      <c r="AJ528" s="67">
        <f t="shared" si="1068"/>
        <v>0</v>
      </c>
      <c r="AK528" s="67">
        <f t="shared" si="1068"/>
        <v>0</v>
      </c>
      <c r="AL528" s="67">
        <f t="shared" si="1068"/>
        <v>0</v>
      </c>
      <c r="AM528" s="67">
        <f t="shared" si="1068"/>
        <v>0</v>
      </c>
      <c r="AN528" s="67">
        <f t="shared" si="1068"/>
        <v>0</v>
      </c>
      <c r="AO528" s="67">
        <f t="shared" si="1068"/>
        <v>0</v>
      </c>
      <c r="AP528" s="67">
        <f t="shared" si="1068"/>
        <v>0</v>
      </c>
      <c r="AQ528" s="67">
        <f t="shared" si="1068"/>
        <v>0</v>
      </c>
      <c r="AR528" s="68">
        <f t="shared" si="1068"/>
        <v>0</v>
      </c>
      <c r="AS528" s="66">
        <f>IF(AND($B526=" ",$K528=AS$3),$O528,0)</f>
        <v>0</v>
      </c>
      <c r="AT528" s="67">
        <f>IF(AND($B526=" ",K528=AT$3),$O528,0)</f>
        <v>0</v>
      </c>
      <c r="AU528" s="67">
        <f t="shared" ref="AU528:BE528" si="1075">IF(AND($B526=" ",$K528=AU$3),$O528,0)</f>
        <v>0</v>
      </c>
      <c r="AV528" s="67">
        <f t="shared" si="1075"/>
        <v>0</v>
      </c>
      <c r="AW528" s="67">
        <f t="shared" si="1075"/>
        <v>0</v>
      </c>
      <c r="AX528" s="67">
        <f t="shared" si="1075"/>
        <v>0</v>
      </c>
      <c r="AY528" s="69">
        <f t="shared" si="1075"/>
        <v>0</v>
      </c>
      <c r="AZ528" s="70">
        <f t="shared" si="1075"/>
        <v>0</v>
      </c>
      <c r="BA528" s="70">
        <f t="shared" si="1075"/>
        <v>0</v>
      </c>
      <c r="BB528" s="70">
        <f t="shared" si="1075"/>
        <v>0</v>
      </c>
      <c r="BC528" s="71">
        <f t="shared" si="1075"/>
        <v>0</v>
      </c>
      <c r="BD528" s="67">
        <f t="shared" si="1075"/>
        <v>0</v>
      </c>
      <c r="BE528" s="68">
        <f t="shared" si="1075"/>
        <v>0</v>
      </c>
      <c r="BF528" s="66">
        <f t="shared" si="1070"/>
        <v>0</v>
      </c>
      <c r="BG528" s="168">
        <f t="shared" si="1070"/>
        <v>0</v>
      </c>
      <c r="BH528" s="67">
        <f t="shared" si="1070"/>
        <v>0</v>
      </c>
      <c r="BI528" s="67">
        <f t="shared" si="1070"/>
        <v>0</v>
      </c>
      <c r="BJ528" s="67">
        <f t="shared" si="1070"/>
        <v>0</v>
      </c>
      <c r="BK528" s="67">
        <f t="shared" si="1070"/>
        <v>0</v>
      </c>
      <c r="BL528" s="67">
        <f t="shared" si="1070"/>
        <v>0</v>
      </c>
      <c r="BM528" s="69">
        <f t="shared" si="1070"/>
        <v>0</v>
      </c>
      <c r="BN528" s="70">
        <f t="shared" si="1070"/>
        <v>0</v>
      </c>
      <c r="BO528" s="70">
        <f t="shared" si="1070"/>
        <v>0</v>
      </c>
      <c r="BP528" s="70">
        <f t="shared" si="1070"/>
        <v>0</v>
      </c>
      <c r="BQ528" s="71">
        <f t="shared" si="1070"/>
        <v>0</v>
      </c>
      <c r="BR528" s="68">
        <f t="shared" si="1070"/>
        <v>0</v>
      </c>
      <c r="BS528" s="491"/>
      <c r="BT528" s="489"/>
      <c r="BU528" s="392"/>
      <c r="BV528" s="489"/>
      <c r="BW528" s="392"/>
      <c r="BX528" s="392"/>
      <c r="BY528" s="392"/>
      <c r="BZ528" s="489"/>
      <c r="CA528" s="392"/>
      <c r="CB528" s="392"/>
      <c r="CC528" s="392"/>
      <c r="CD528" s="401"/>
      <c r="CE528" s="409"/>
      <c r="CF528" s="169">
        <f t="shared" si="1028"/>
        <v>0</v>
      </c>
      <c r="CG528" s="170">
        <f t="shared" si="1029"/>
        <v>0</v>
      </c>
      <c r="CH528" s="170">
        <f t="shared" si="1030"/>
        <v>0</v>
      </c>
      <c r="CI528" s="170">
        <f t="shared" si="1031"/>
        <v>0</v>
      </c>
      <c r="CJ528" s="170">
        <f t="shared" si="1032"/>
        <v>0</v>
      </c>
      <c r="CK528" s="170">
        <f t="shared" si="1033"/>
        <v>0</v>
      </c>
      <c r="CL528" s="170">
        <f t="shared" si="1034"/>
        <v>0</v>
      </c>
      <c r="CM528" s="170">
        <f t="shared" si="1035"/>
        <v>0</v>
      </c>
      <c r="CN528" s="170">
        <f t="shared" si="1036"/>
        <v>0</v>
      </c>
      <c r="CO528" s="170">
        <f t="shared" si="1037"/>
        <v>0</v>
      </c>
      <c r="CP528" s="170">
        <f t="shared" si="1038"/>
        <v>0</v>
      </c>
      <c r="CQ528" s="170">
        <f t="shared" si="1039"/>
        <v>0</v>
      </c>
      <c r="CR528" s="170">
        <f t="shared" si="1040"/>
        <v>0</v>
      </c>
      <c r="CS528" s="170">
        <f t="shared" si="1041"/>
        <v>0</v>
      </c>
      <c r="CT528" s="75">
        <f t="shared" si="1042"/>
        <v>0</v>
      </c>
      <c r="CU528" s="76">
        <f t="shared" si="1043"/>
        <v>0</v>
      </c>
      <c r="CV528" s="76">
        <f t="shared" si="1044"/>
        <v>0</v>
      </c>
      <c r="CW528" s="76">
        <f t="shared" si="1045"/>
        <v>0</v>
      </c>
      <c r="CX528" s="76">
        <f t="shared" si="1046"/>
        <v>0</v>
      </c>
      <c r="CY528" s="76">
        <f t="shared" si="1047"/>
        <v>0</v>
      </c>
      <c r="CZ528" s="76">
        <f t="shared" si="1048"/>
        <v>0</v>
      </c>
      <c r="DA528" s="76">
        <f t="shared" si="1049"/>
        <v>0</v>
      </c>
      <c r="DB528" s="76">
        <f t="shared" si="1050"/>
        <v>0</v>
      </c>
      <c r="DC528" s="76">
        <f t="shared" si="1051"/>
        <v>0</v>
      </c>
      <c r="DD528" s="76">
        <f t="shared" si="1052"/>
        <v>0</v>
      </c>
      <c r="DE528" s="77">
        <f t="shared" si="1053"/>
        <v>0</v>
      </c>
      <c r="DF528" s="73">
        <f t="shared" si="1056"/>
        <v>33</v>
      </c>
      <c r="DG528" s="67">
        <f t="shared" si="1057"/>
        <v>43.031999999999989</v>
      </c>
      <c r="DH528" s="76">
        <f t="shared" si="1058"/>
        <v>13</v>
      </c>
      <c r="DI528" s="67">
        <f t="shared" si="1059"/>
        <v>56.05</v>
      </c>
      <c r="DJ528" s="202" t="str">
        <f>IF($D526="","",$D526)</f>
        <v>16</v>
      </c>
      <c r="DK528" s="493"/>
    </row>
    <row r="529" spans="1:115" ht="14.5" customHeight="1" x14ac:dyDescent="0.2">
      <c r="A529" s="459">
        <f>$A526+1</f>
        <v>176</v>
      </c>
      <c r="B529" s="507" t="str">
        <f>IF(OR(C529="W",C530="W",C531="W",C529="1/2W",C530="1/2W",C531="1/2W",C529="1/2L",C530="1/2L",C531="1/2L"),"OK",IF(OR(C529="L",C530="L",C531="L"),"LOSS",IF(OR(C529="X",C530="X",C531="X"),"Anulado"," ")))</f>
        <v>OK</v>
      </c>
      <c r="C529" s="93" t="s">
        <v>54</v>
      </c>
      <c r="D529" s="468" t="str">
        <f>IF(G529="","",$D526)</f>
        <v>16</v>
      </c>
      <c r="E529" s="485" t="str">
        <f>IF(G529=""," ","– "&amp;COUNTIF(D$4:D531,$D529))</f>
        <v>– 8</v>
      </c>
      <c r="F529" s="509" t="str">
        <f ca="1">IF(G529="","",IF(OR(AND($C529&lt;&gt;" ",$C530=" "),AND($C530&lt;&gt;" ",$C529=" "),AND(L531&gt;0,OR(AND($C531&lt;&gt;" ",OR($C529=" ",$C530=" ")),AND($C531=" ",OR($C529&lt;&gt;" ",$C530&lt;&gt;" "))))),IF(SUM(F$4:F528)=0,1,LARGE(F$4:F528,1)+1),IF(MONTH(G529)=MONTH(TODAY()),IF(AND(DAY(G529)&lt;DAY(TODAY()),$B529=" "),IF(SUM(F$4:F528)=0,1,LARGE(F$4:F528,1)+1),IF($B529=" ",IF(AND(DAY(G529)=DAY(TODAY()),HOUR(G529)&lt;=HOUR(NOW())+1),IF(AND(HOUR(G529)+2&lt;=HOUR(NOW()),DAY(G529)&lt;=DAY(TODAY()),MINUTE(G529)&lt;=MINUTE(NOW())),IF(SUM(F$4:F528)=0,1,LARGE(F$4:F528,1)+1),IF(OR(MINUTE(G529)&lt;=MINUTE(NOW()),HOUR(G529)&lt;=HOUR(NOW())),"!!!","")),""),"")),"")))</f>
        <v/>
      </c>
      <c r="G529" s="482">
        <f>IF(H529="","",_xlfn.XLOOKUP(H529,$H$4:H528,$G$4:G528,""))</f>
        <v>45001.708333333336</v>
      </c>
      <c r="H529" s="475" t="s">
        <v>197</v>
      </c>
      <c r="I529" s="94" t="s">
        <v>51</v>
      </c>
      <c r="J529" s="95">
        <v>9</v>
      </c>
      <c r="K529" s="96" t="s">
        <v>40</v>
      </c>
      <c r="L529" s="97">
        <v>2.1800000000000002</v>
      </c>
      <c r="M529" s="98">
        <v>11.44</v>
      </c>
      <c r="N529" s="478">
        <v>0</v>
      </c>
      <c r="O529" s="99">
        <f>IF(OR(AE529="",AE530=""),"",ROUND(IF(L531&gt;0,IF(M529&gt;0,M529,IF(M530&gt;0,ROUND((M530*AE529)/AE530,IF(N529=0,2,IF(N529=0.1,1,0))),ROUND((M531*AE529)/AE531,IF(N529=0,2,IF(N529=0.1,1,0))))),IF(M529&gt;0,M529,ROUND((M530*AE529)/AE530,IF(N529=0,2,IF(N529=0.1,1,0))))),2))</f>
        <v>11.44</v>
      </c>
      <c r="P529" s="100">
        <f>IF(OR(L529="",O529=""),"",IF($C529="1/2W",O529/2+O529/2*L529,IF($C529="1/2L",O529/2,IF(I529="Lay",(O529*(L529/(L529-1))-O529)*(1-_xlfn.XLOOKUP(K529,'Fevereiro 2023 - Valor Real'!A3:A15,'Fevereiro 2023 - Valor Real'!C3:C15,0))+O529,(O529*L529-O529)*(1-_xlfn.XLOOKUP(K529,'Fevereiro 2023 - Valor Real'!A3:A15,'Fevereiro 2023 - Valor Real'!C3:C15,0))+O529))))</f>
        <v>24.9392</v>
      </c>
      <c r="Q529" s="101">
        <f>IF(K529="","",IF(_xlfn.XLOOKUP(K529,K$4:K528,$DJ$4:DJ528,0,,-1)=DJ529,_xlfn.XLOOKUP(K529,K$4:K528,Q$4:Q528,1,,-1)+1,1))</f>
        <v>5</v>
      </c>
      <c r="R529" s="102">
        <f>IF(K529="","",_xlfn.XLOOKUP(K529,K$4:K528,R$4:R528,0,,-1)+IF($C529=" ",1,0))</f>
        <v>0</v>
      </c>
      <c r="S529" s="474">
        <f>IF($B529="Anulado",0,ROUND(IF(OR($B529="LOSS",$B529="OK"),IF(OR($C529="W",$C529="1/2W",$C529="1/2L"),P529-O529,IF($C529="L",-O529,0))+IF(OR($C530="W",$C530="1/2W",$C530="1/2L"),P530-O530,IF($C530="L",-O530,0))+IF(OR($C531="W",$C531="1/2W",$C531="1/2L"),P531-O531,IF($C531="L",-O531,0)),IF(AND(OR($C529="W",$C529="1/2W",$C529="1/2L"),C530="W"),P529+P530-SUM(O529:O531)+_xlfn.XLOOKUP("X",C529:C531,O529:O531,0),IF(AND(C529=TRUE,C531="W"),P529+P531-SUM(O529:O531),IF(AND(C530="W",C531="W"),P530+P531-SUM(O529:O531)+_xlfn.XLOOKUP("X",C529:C531,O529:O531,0),IF(L531&gt;0,IF(OR($C529="W",$C529="1/2W",$C529="1/2L"),P529-SUM(O529:O531)+_xlfn.XLOOKUP("X",C529:C531,O529:O531,0),IF(OR($C529="W",$C529="1/2W",$C529="1/2L"),P530-SUM(O529:O531)+_xlfn.XLOOKUP("X",C529:C531,O529:O531,0),IF(OR($C529="W",$C529="1/2W",$C529="1/2L"),P531-SUM(O529:O531)+_xlfn.XLOOKUP("X",C529:C531,O529:O531,0),IF(SUM(P529:P531)/3-SUM(O529:O531)+_xlfn.XLOOKUP("X",C529:C531,O529:O531,0)&gt;0,SUM(P529:P531)/3-SUM(O529:O531)+_xlfn.XLOOKUP("X",C529:C531,O529:O531,0),LARGE(P529:P531,1)-SUM(O529:O531))))),IF(OR($C529="W",$C529="1/2W",$C529="1/2L"),P529-SUM(O529:O530)+_xlfn.XLOOKUP("X",C529:C531,O529:O531,0),IF(OR($C529="W",$C529="1/2W",$C529="1/2L"),P530-SUM(O529:O530)+_xlfn.XLOOKUP("X",C529:C531,O529:O531,0),SUM(P529:P530)/2-SUM(O529:O530)+_xlfn.XLOOKUP("X",C529:C531,O529:O531,0)))))))),2))</f>
        <v>1.35</v>
      </c>
      <c r="T529" s="458">
        <f>IF(S529=0,0,S529/SUM(O529:O531))</f>
        <v>5.7227638830012723E-2</v>
      </c>
      <c r="U529" s="470">
        <f>IF($D529=$D526,IF(OR($B529="LOSS",$B529="OK",$B529="Anulada"),S529,0)+U526,IF(OR($B529="LOSS",$B529="OK",$B529="Anulada"),S529,0))</f>
        <v>14.430000000000001</v>
      </c>
      <c r="V529" s="470">
        <f>IF($D529="",0,IF($D529=$D526,IF($B529=" ",IF(I531="",IF(OR(AND(I529="DNB1",I530="DNB2"),AND(OR(I529="DNB1",I529="DNB2"),J530=0),AND(OR(I530="DNB1",I530="DNB2"),J529=0),AND(I529="DNB2",I530="DNB1"),AND(IF(J529=0,(J529+1)/ROUND(J529+1,0),J529/ROUND(J529,0))=1,IF(J530=0,(J530+1)/ROUND(IF(J530="",0,J530)+1,0),IF(J530="",0,J530)/ROUND(IF(J530="",1,J530),0))=1,OR(J529&lt;&gt;""),J530&lt;&gt;"")),0,IF(S529&lt;0,IF(I531="",SMALL(P529:P530,1)-SUM(O529:O530),0),SMALL(P529:P530,1)-SUM(O529:O530))),IF(S529&lt;0,IF(I531="",SMALL(P529:P531,1)-SUM(O529:O531),0),LARGE(P529:P531,1)-SUM(O529:O531))),S529)+V526,IF(I531="",IF(OR(AND(I529="DNB1",I530="DNB2"),AND(OR(I529="DNB1",I529="DNB2"),J530=0),AND(OR(I530="DNB1",I530="DNB2"),J529=0),AND(I529="DNB2",I530="DNB1"),AND(IF(J529=0,(J529+1)/ROUND(J529+1,0),J529/ROUND(J529,0))=1,IF(J530=0,(IF(J530="",0,J530)+1)/ROUND(IF(J530="",0,J530)+1,0),IF(J530="",0,J530)/ROUND(IF(J530="",0,J530)+1,0))=1,OR(J529&lt;&gt;""),J530&lt;&gt;"")),0,IF(S529&lt;0,IF(I531="",SMALL(P529:P530,1)-SUM(O529:O530),0),SMALL(P529:P531,1)-SUM(O529:O531))),IF(S529&lt;0,IF(I531="",SMALL(P529:P531,1)-SUM(O529:O531),0),LARGE(P529:P531,1)-SUM(O529:O531)))))</f>
        <v>14.425200000000002</v>
      </c>
      <c r="W529" s="470">
        <f>IF($D529=$D526,IF(S529&lt;0,IF(I531="",S529,0),S529)+W526,S529)</f>
        <v>14.430000000000001</v>
      </c>
      <c r="X529" s="480" t="str">
        <f>IF(OR(SUM(R529:R531)=0,V529=W529),ROUND(IF(W529=0,0,W529/Y529)*100,2)&amp;"%",ROUND(IF(V529=0,0,V529/Y529)*100,2)&amp;"% a "&amp;ROUND(IF(W529=0,0,W529/Y529)*100,2)&amp;"%")</f>
        <v>6,61%</v>
      </c>
      <c r="Y529" s="471">
        <f>IF($D529=$D526,Y526+SUM(O529:O531),SUM(O529:O531))</f>
        <v>218.28</v>
      </c>
      <c r="Z529" s="470">
        <f>IF($B529=" ",SUM(O529:O531),0)+Z526</f>
        <v>0</v>
      </c>
      <c r="AA529" s="470">
        <f>IF(G529="","",IF($B529="Anulado",LARGE(P529:P531,1)-SUM(O529:O531)+AA526,AA526))</f>
        <v>12.425099999999992</v>
      </c>
      <c r="AB529" s="470">
        <f>IF($D529="","",AB526+S529)</f>
        <v>612.53000000000043</v>
      </c>
      <c r="AC529" s="472">
        <f ca="1">IF($D529="","",IF($B529=" ",IF(DAY(G529)=DAY(TODAY()),1+AC526,0+AC526),0+AC526))</f>
        <v>0</v>
      </c>
      <c r="AD529" s="103">
        <f>(((L530/(L530-1)-1)*(1-_xlfn.XLOOKUP(K530,'Fevereiro 2023 - Valor Real'!A3:A15,'Fevereiro 2023 - Valor Real'!C3:C15,0))+1))/(((L529-1)*(1-_xlfn.XLOOKUP(K529,'Fevereiro 2023 - Valor Real'!A3:A15,'Fevereiro 2023 - Valor Real'!C3:C15,0))+1)+((L530/(L530-1)-1)*(1-_xlfn.XLOOKUP(K530,'Fevereiro 2023 - Valor Real'!A3:A15,'Fevereiro 2023 - Valor Real'!C3:C15,0))+1))</f>
        <v>0.50283013683574207</v>
      </c>
      <c r="AE529" s="104">
        <f>IF(L529="","",IF(L531&gt;0,(SUM(((L529-1)*(1-_xlfn.XLOOKUP(K529,'Fevereiro 2023 - Valor Real'!A3:A15,'Fevereiro 2023 - Valor Real'!C3:C15,0))+1),((L530-1)*(1-_xlfn.XLOOKUP(K530,'Fevereiro 2023 - Valor Real'!A3:A15,'Fevereiro 2023 - Valor Real'!C3:C15,0))+1),((L531-1)*(1-_xlfn.XLOOKUP(K531,'Fevereiro 2023 - Valor Real'!A3:A15,'Fevereiro 2023 - Valor Real'!C3:C15,0))+1))/((L529-1)*(1-_xlfn.XLOOKUP(K529,'Fevereiro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Real'!C3:C15,0))+1))/((L529-1)*(1-_xlfn.XLOOKUP(K529,'Fevereiro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Real'!C3:C15,0))+1))/((L530-1)*(1-_xlfn.XLOOKUP(K530,'Fevereiro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Real'!C3:C15,0))+1))/((L531-1)*(1-_xlfn.XLOOKUP(K531,'Fevereiro 2023 - Valor Real'!A3:A15,'Fevereiro 2023 - Valor Real'!C3:C15,0))+1)),IF(I529="Lay",IF(I530="Lay",((L530/(L530-1)-1)*(1-_xlfn.XLOOKUP(K530,'Fevereiro 2023 - Valor Real'!A3:A15,'Fevereiro 2023 - Valor Real'!C3:C15,0))+1)/(((L530/(L530-1)-1)*(1-_xlfn.XLOOKUP(K530,'Fevereiro 2023 - Valor Real'!A3:A15,'Fevereiro 2023 - Valor Real'!C3:C15,0))+1)+((L529/(L529-1)-1)*(1-_xlfn.XLOOKUP(K529,'Fevereiro 2023 - Valor Real'!A3:A15,'Fevereiro 2023 - Valor Real'!C3:C15,0))+1)),((L530-1)*(1-_xlfn.XLOOKUP(K530,'Fevereiro 2023 - Valor Real'!A3:A15,'Fevereiro 2023 - Valor Real'!C3:C15,0))+1)/(((L530-1)*(1-_xlfn.XLOOKUP(K530,'Fevereiro 2023 - Valor Real'!A3:A15,'Fevereiro 2023 - Valor Real'!C3:C15,0))+1)+((L529/(L529-1)-1)*(1-_xlfn.XLOOKUP(K529,'Fevereiro 2023 - Valor Real'!A3:A15,'Fevereiro 2023 - Valor Real'!C3:C15,0))+1))),IF(I530="Lay",(((L530/(L530-1)-1)*(1-_xlfn.XLOOKUP(K530,'Fevereiro 2023 - Valor Real'!A3:A15,'Fevereiro 2023 - Valor Real'!C3:C15,0))+1))/(((L529-1)*(1-_xlfn.XLOOKUP(K529,'Fevereiro 2023 - Valor Real'!A3:A15,'Fevereiro 2023 - Valor Real'!C3:C15,0))+1)+((L530/(L530-1)-1)*(1-_xlfn.XLOOKUP(K530,'Fevereiro 2023 - Valor Real'!A3:A15,'Fevereiro 2023 - Valor Real'!C3:C15,0))+1)),((L530-1)*(1-_xlfn.XLOOKUP(K530,'Fevereiro 2023 - Valor Real'!A3:A15,'Fevereiro 2023 - Valor Real'!C3:C15,0))+1)/(((L530-1)*(1-_xlfn.XLOOKUP(K530,'Fevereiro 2023 - Valor Real'!A3:A15,'Fevereiro 2023 - Valor Real'!C3:C15,0))+1)+((L529-1)*(1-_xlfn.XLOOKUP(K529,'Fevereiro 2023 - Valor Real'!A3:A15,'Fevereiro 2023 - Valor Real'!C3:C15,0))+1))))))</f>
        <v>0.32262329763321429</v>
      </c>
      <c r="AF529" s="105">
        <f t="shared" si="1068"/>
        <v>0</v>
      </c>
      <c r="AG529" s="106">
        <f t="shared" si="1068"/>
        <v>0</v>
      </c>
      <c r="AH529" s="106">
        <f t="shared" si="1068"/>
        <v>0</v>
      </c>
      <c r="AI529" s="106">
        <f t="shared" si="1068"/>
        <v>0</v>
      </c>
      <c r="AJ529" s="106">
        <f t="shared" si="1068"/>
        <v>13.5</v>
      </c>
      <c r="AK529" s="106">
        <f t="shared" si="1068"/>
        <v>0</v>
      </c>
      <c r="AL529" s="106">
        <f t="shared" si="1068"/>
        <v>0</v>
      </c>
      <c r="AM529" s="106">
        <f t="shared" si="1068"/>
        <v>0</v>
      </c>
      <c r="AN529" s="106">
        <f t="shared" si="1068"/>
        <v>0</v>
      </c>
      <c r="AO529" s="106">
        <f t="shared" si="1068"/>
        <v>0</v>
      </c>
      <c r="AP529" s="106">
        <f t="shared" si="1068"/>
        <v>0</v>
      </c>
      <c r="AQ529" s="106">
        <f t="shared" si="1068"/>
        <v>0</v>
      </c>
      <c r="AR529" s="107">
        <f t="shared" si="1068"/>
        <v>0</v>
      </c>
      <c r="AS529" s="105">
        <f t="shared" ref="AS529:BE529" si="1076">IF(AND($B529=" ",$K529=AS$3),$O529,0)</f>
        <v>0</v>
      </c>
      <c r="AT529" s="106">
        <f t="shared" si="1076"/>
        <v>0</v>
      </c>
      <c r="AU529" s="106">
        <f t="shared" si="1076"/>
        <v>0</v>
      </c>
      <c r="AV529" s="106">
        <f t="shared" si="1076"/>
        <v>0</v>
      </c>
      <c r="AW529" s="106">
        <f t="shared" si="1076"/>
        <v>0</v>
      </c>
      <c r="AX529" s="106">
        <f t="shared" si="1076"/>
        <v>0</v>
      </c>
      <c r="AY529" s="108">
        <f t="shared" si="1076"/>
        <v>0</v>
      </c>
      <c r="AZ529" s="109">
        <f t="shared" si="1076"/>
        <v>0</v>
      </c>
      <c r="BA529" s="109">
        <f t="shared" si="1076"/>
        <v>0</v>
      </c>
      <c r="BB529" s="109">
        <f t="shared" si="1076"/>
        <v>0</v>
      </c>
      <c r="BC529" s="110">
        <f t="shared" si="1076"/>
        <v>0</v>
      </c>
      <c r="BD529" s="106">
        <f t="shared" si="1076"/>
        <v>0</v>
      </c>
      <c r="BE529" s="107">
        <f t="shared" si="1076"/>
        <v>0</v>
      </c>
      <c r="BF529" s="111">
        <f t="shared" si="1070"/>
        <v>0</v>
      </c>
      <c r="BG529" s="106">
        <f t="shared" si="1070"/>
        <v>0</v>
      </c>
      <c r="BH529" s="106">
        <f t="shared" si="1070"/>
        <v>0</v>
      </c>
      <c r="BI529" s="106">
        <f t="shared" si="1070"/>
        <v>0</v>
      </c>
      <c r="BJ529" s="106">
        <f t="shared" si="1070"/>
        <v>11.44</v>
      </c>
      <c r="BK529" s="106">
        <f t="shared" si="1070"/>
        <v>0</v>
      </c>
      <c r="BL529" s="106">
        <f t="shared" si="1070"/>
        <v>0</v>
      </c>
      <c r="BM529" s="108">
        <f t="shared" si="1070"/>
        <v>0</v>
      </c>
      <c r="BN529" s="109">
        <f t="shared" si="1070"/>
        <v>0</v>
      </c>
      <c r="BO529" s="109">
        <f t="shared" si="1070"/>
        <v>0</v>
      </c>
      <c r="BP529" s="109">
        <f t="shared" si="1070"/>
        <v>0</v>
      </c>
      <c r="BQ529" s="110">
        <f t="shared" si="1070"/>
        <v>0</v>
      </c>
      <c r="BR529" s="107">
        <f t="shared" si="1070"/>
        <v>0</v>
      </c>
      <c r="BS529" s="463">
        <f>IF($B529="LOSS",IF(AND($K529=BS$3,$C529="L"),-$O529,0)+IF(AND($K530=BS$3,$C530="L"),-$O530,0)+IF(AND($K531=BS$3,$C531="L"),-$O531,0),IF(OR(AND($K529=BS$3,OR($C529="W",$C529="1/2W")),AND($K530=BS$3,OR($C530="W",$C530="1/2W")),AND($K531=BS$3,OR($C531="W",$C531="1/2W"))),$S529,0))</f>
        <v>0</v>
      </c>
      <c r="BT529" s="462">
        <f>IF($B529="LOSS",IF(AND($K529=BT$3,$C529="L"),-$O529,0)+IF(AND($K530=BT$3,$C530="L"),-$O530,0)+IF(AND($K530=BT$3,$C531="L"),-$O531,0),IF(OR(AND($K530=BT$3,OR($C529="W",$C529="1/2W")),AND($K530=BT$3,OR($C530="W",$C530="1/2W")),AND($K530=BT$3,OR($C531="W",$C531="1/2W"))),$S529,0))</f>
        <v>1.35</v>
      </c>
      <c r="BU529" s="462">
        <f>IF($B529="LOSS",IF(AND($K529=BU$3,$C529="L"),-$O529,0)+IF(AND($K530=BU$3,$C530="L"),-$O530,0)+IF(AND($K530=BU$3,$C531="L"),-$O531,0),IF(OR(AND($K530=BU$3,OR($C529="W",$C529="1/2W")),AND($K530=BU$3,OR($C530="W",$C530="1/2W")),AND($K530=BU$3,OR($C531="W",$C531="1/2W"))),$S529,0))</f>
        <v>0</v>
      </c>
      <c r="BV529" s="462">
        <f t="shared" ref="BV529:CE529" si="1077">IF($B529="LOSS",IF(AND($K529=BV$3,$C529="L"),-$O529,0)+IF(AND($K530=BV$3,$C530="L"),-$O530,0)+IF(AND($K531=BV$3,$C531="L"),-$O531,0),IF(OR(AND($K529=BV$3,OR($C529="W",$C529="1/2W")),AND($K530=BV$3,OR($C530="W",$C530="1/2W")),AND($K531=BV$3,OR($C531="W",$C531="1/2W"))),$S529,0))</f>
        <v>0</v>
      </c>
      <c r="BW529" s="462">
        <f t="shared" si="1077"/>
        <v>1.35</v>
      </c>
      <c r="BX529" s="462">
        <f t="shared" si="1077"/>
        <v>0</v>
      </c>
      <c r="BY529" s="462">
        <f t="shared" si="1077"/>
        <v>0</v>
      </c>
      <c r="BZ529" s="460">
        <f t="shared" si="1077"/>
        <v>0</v>
      </c>
      <c r="CA529" s="460">
        <f t="shared" si="1077"/>
        <v>0</v>
      </c>
      <c r="CB529" s="460">
        <f t="shared" si="1077"/>
        <v>0</v>
      </c>
      <c r="CC529" s="460">
        <f t="shared" si="1077"/>
        <v>0</v>
      </c>
      <c r="CD529" s="473">
        <f t="shared" si="1077"/>
        <v>0</v>
      </c>
      <c r="CE529" s="479">
        <f t="shared" si="1077"/>
        <v>0</v>
      </c>
      <c r="CF529" s="113">
        <f t="shared" si="1028"/>
        <v>0</v>
      </c>
      <c r="CG529" s="114">
        <f t="shared" si="1029"/>
        <v>0</v>
      </c>
      <c r="CH529" s="114">
        <f t="shared" si="1030"/>
        <v>0</v>
      </c>
      <c r="CI529" s="114">
        <f t="shared" si="1031"/>
        <v>0</v>
      </c>
      <c r="CJ529" s="114">
        <f t="shared" si="1032"/>
        <v>0</v>
      </c>
      <c r="CK529" s="114">
        <f t="shared" si="1033"/>
        <v>0</v>
      </c>
      <c r="CL529" s="114">
        <f t="shared" si="1034"/>
        <v>0</v>
      </c>
      <c r="CM529" s="114">
        <f t="shared" si="1035"/>
        <v>0</v>
      </c>
      <c r="CN529" s="114">
        <f t="shared" si="1036"/>
        <v>1</v>
      </c>
      <c r="CO529" s="114">
        <f t="shared" si="1037"/>
        <v>0</v>
      </c>
      <c r="CP529" s="114">
        <f t="shared" si="1038"/>
        <v>0</v>
      </c>
      <c r="CQ529" s="114">
        <f t="shared" si="1039"/>
        <v>0</v>
      </c>
      <c r="CR529" s="114">
        <f t="shared" si="1040"/>
        <v>0</v>
      </c>
      <c r="CS529" s="114">
        <f t="shared" si="1041"/>
        <v>0</v>
      </c>
      <c r="CT529" s="115">
        <f t="shared" si="1042"/>
        <v>0</v>
      </c>
      <c r="CU529" s="116">
        <f t="shared" si="1043"/>
        <v>0</v>
      </c>
      <c r="CV529" s="116">
        <f t="shared" si="1044"/>
        <v>0</v>
      </c>
      <c r="CW529" s="116">
        <f t="shared" si="1045"/>
        <v>0</v>
      </c>
      <c r="CX529" s="116">
        <f t="shared" si="1046"/>
        <v>0</v>
      </c>
      <c r="CY529" s="116">
        <f t="shared" si="1047"/>
        <v>0</v>
      </c>
      <c r="CZ529" s="116">
        <f t="shared" si="1048"/>
        <v>0</v>
      </c>
      <c r="DA529" s="116">
        <f t="shared" si="1049"/>
        <v>0</v>
      </c>
      <c r="DB529" s="116">
        <f t="shared" si="1050"/>
        <v>0</v>
      </c>
      <c r="DC529" s="116">
        <f t="shared" si="1051"/>
        <v>0</v>
      </c>
      <c r="DD529" s="116">
        <f t="shared" si="1052"/>
        <v>0</v>
      </c>
      <c r="DE529" s="117">
        <f t="shared" si="1053"/>
        <v>0</v>
      </c>
      <c r="DF529" s="118">
        <f t="shared" si="1056"/>
        <v>33</v>
      </c>
      <c r="DG529" s="106">
        <f t="shared" si="1057"/>
        <v>43.031999999999989</v>
      </c>
      <c r="DH529" s="116">
        <f t="shared" si="1058"/>
        <v>13</v>
      </c>
      <c r="DI529" s="106">
        <f t="shared" si="1059"/>
        <v>56.05</v>
      </c>
      <c r="DJ529" s="201" t="str">
        <f>IF($D529="","",$D529)</f>
        <v>16</v>
      </c>
      <c r="DK529" s="465">
        <f>IF(AND($B529=" ",$D529&lt;&gt;""),1,0)</f>
        <v>0</v>
      </c>
    </row>
    <row r="530" spans="1:115" ht="14.5" customHeight="1" x14ac:dyDescent="0.2">
      <c r="A530" s="389"/>
      <c r="B530" s="456"/>
      <c r="C530" s="120" t="s">
        <v>55</v>
      </c>
      <c r="D530" s="374"/>
      <c r="E530" s="386"/>
      <c r="F530" s="377"/>
      <c r="G530" s="483"/>
      <c r="H530" s="476"/>
      <c r="I530" s="121" t="s">
        <v>52</v>
      </c>
      <c r="J530" s="122">
        <v>9.5</v>
      </c>
      <c r="K530" s="123" t="s">
        <v>37</v>
      </c>
      <c r="L530" s="124">
        <v>1.83</v>
      </c>
      <c r="M530" s="125">
        <v>7.38</v>
      </c>
      <c r="N530" s="406"/>
      <c r="O530" s="126">
        <f>IF(OR(AE529="",AE530=""),"",ROUND(IF(L531&gt;0,IF(M530&gt;0,M530,IF(M529&gt;0,IF(N529=TRUE,ROUND((M529*AE530)/AE529,0),(M529*AE530)/AE529),IF(M530&gt;0,ROUND(M530,IF(N529=0,2,IF(N529=0.1,1,0))),IF(M531&gt;0,ROUND(O531*AE530/AE531,IF(N529=0,2,IF(N529=0.1,1,0))),0)))),IF(M530&gt;0,M530,ROUND((M529*AE530)/AE529,IF(N529=0,2,IF(N529=0.1,1,0))))),2))</f>
        <v>7.38</v>
      </c>
      <c r="P530" s="127">
        <f>IF(OR(L530="",O530=""),"",IF($C530="1/2W",O530/2+O530/2*L530,IF($C530="1/2L",O530/2,IF(I530="Lay",((O530*(L530/(L530-1)))-O530)*(1-_xlfn.XLOOKUP(K530,'Fevereiro 2023 - Valor Real'!A3:A15,'Fevereiro 2023 - Valor Real'!C3:C15,0))+O530,(O530*L530-O530)*(1-_xlfn.XLOOKUP(K530,'Fevereiro 2023 - Valor Real'!A3:A15,'Fevereiro 2023 - Valor Real'!C3:C15,0))+O530))))</f>
        <v>13.5054</v>
      </c>
      <c r="Q530" s="128">
        <f>IF(K530="","",IF(_xlfn.XLOOKUP(K530,K$4:K529,$DJ$4:DJ529,0,,-1)=DJ530,_xlfn.XLOOKUP(K530,K$4:K529,Q$4:Q529,1,,-1)+1,1))</f>
        <v>3</v>
      </c>
      <c r="R530" s="129">
        <f>IF(K530="","",_xlfn.XLOOKUP(K530,K$4:K529,R$4:R529,0,,-1)+IF($C530=" ",1,0))</f>
        <v>0</v>
      </c>
      <c r="S530" s="403"/>
      <c r="T530" s="380"/>
      <c r="U530" s="380"/>
      <c r="V530" s="481"/>
      <c r="W530" s="380"/>
      <c r="X530" s="452"/>
      <c r="Y530" s="383"/>
      <c r="Z530" s="384"/>
      <c r="AA530" s="384"/>
      <c r="AB530" s="384"/>
      <c r="AC530" s="384"/>
      <c r="AD530" s="130">
        <f>(((L530/(L530-1)-1)*(1-_xlfn.XLOOKUP(K530,'Fevereiro 2023 - Valor Real'!A3:A15,'Fevereiro 2023 - Valor Real'!C3:C15,0))+1))</f>
        <v>2.2048192771084336</v>
      </c>
      <c r="AE530" s="131">
        <f>IF(L530="","",IF(L531&gt;0,(SUM(((L529-1)*(1-_xlfn.XLOOKUP(K529,'Fevereiro 2023 - Valor Real'!A3:A15,'Fevereiro 2023 - Valor Real'!C3:C15,0))+1),((L530-1)*(1-_xlfn.XLOOKUP(K530,'Fevereiro 2023 - Valor Real'!A3:A15,'Fevereiro 2023 - Valor Real'!C3:C15,0))+1),((L531-1)*(1-_xlfn.XLOOKUP(K531,'Fevereiro 2023 - Valor Real'!A3:A15,'Fevereiro 2023 - Valor Real'!C3:C15,0))+1))/((L530-1)*(1-_xlfn.XLOOKUP(K530,'Fevereiro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Real'!C3:C15,0))+1))/((L529-1)*(1-_xlfn.XLOOKUP(K529,'Fevereiro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Real'!C3:C15,0))+1))/((L530-1)*(1-_xlfn.XLOOKUP(K530,'Fevereiro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Real'!C3:C15,0))+1))/((L531-1)*(1-_xlfn.XLOOKUP(K531,'Fevereiro 2023 - Valor Real'!A3:A15,'Fevereiro 2023 - Valor Real'!C3:C15,0))+1)),IF(I530="Lay",IF(I529="Lay",((L529/(L529-1)-1)*(1-_xlfn.XLOOKUP(K529,'Fevereiro 2023 - Valor Real'!A3:A15,'Fevereiro 2023 - Valor Real'!C3:C15,0))+1)/(((L529/(L529-1)-1)*(1-_xlfn.XLOOKUP(K529,'Fevereiro 2023 - Valor Real'!A3:A15,'Fevereiro 2023 - Valor Real'!C3:C15,0))+1)+((L530/(L530-1)-1)*(1-_xlfn.XLOOKUP(K530,'Fevereiro 2023 - Valor Real'!A3:A15,'Fevereiro 2023 - Valor Real'!C3:C15,0))+1)),((L529-1)*(1-_xlfn.XLOOKUP(K529,'Fevereiro 2023 - Valor Real'!A3:A15,'Fevereiro 2023 - Valor Real'!C3:C15,0))+1)/(((L529-1)*(1-_xlfn.XLOOKUP(K529,'Fevereiro 2023 - Valor Real'!A3:A15,'Fevereiro 2023 - Valor Real'!C3:C15,0))+1)+((L530/(L530-1)-1)*(1-_xlfn.XLOOKUP(K530,'Fevereiro 2023 - Valor Real'!A3:A15,'Fevereiro 2023 - Valor Real'!C3:C15,0))+1))),IF(I529="Lay",((L529/(L529-1)-1)*(1-_xlfn.XLOOKUP(K529,'Fevereiro 2023 - Valor Real'!A3:A15,'Fevereiro 2023 - Valor Real'!C3:C15,0))+1)/((((L529/(L529-1)-1)*(1-_xlfn.XLOOKUP(K529,'Fevereiro 2023 - Valor Real'!A3:A15,'Fevereiro 2023 - Valor Real'!C3:C15,0))+1))+((L530-1)*(1-_xlfn.XLOOKUP(K530,'Fevereiro 2023 - Valor Real'!A3:A15,'Fevereiro 2023 - Valor Real'!C3:C15,0))+1)),((L529-1)*(1-_xlfn.XLOOKUP(K529,'Fevereiro 2023 - Valor Real'!A3:A15,'Fevereiro 2023 - Valor Real'!C3:C15,0))+1)/(((L529-1)*(1-_xlfn.XLOOKUP(K529,'Fevereiro 2023 - Valor Real'!A3:A15,'Fevereiro 2023 - Valor Real'!C3:C15,0))+1)+((L530-1)*(1-_xlfn.XLOOKUP(K530,'Fevereiro 2023 - Valor Real'!A3:A15,'Fevereiro 2023 - Valor Real'!C3:C15,0))+1))))))</f>
        <v>0.38432720701661593</v>
      </c>
      <c r="AF530" s="105">
        <f t="shared" si="1068"/>
        <v>0</v>
      </c>
      <c r="AG530" s="106">
        <f t="shared" si="1068"/>
        <v>-7.38</v>
      </c>
      <c r="AH530" s="106">
        <f t="shared" si="1068"/>
        <v>0</v>
      </c>
      <c r="AI530" s="106">
        <f t="shared" si="1068"/>
        <v>0</v>
      </c>
      <c r="AJ530" s="106">
        <f t="shared" si="1068"/>
        <v>0</v>
      </c>
      <c r="AK530" s="106">
        <f t="shared" si="1068"/>
        <v>0</v>
      </c>
      <c r="AL530" s="106">
        <f t="shared" si="1068"/>
        <v>0</v>
      </c>
      <c r="AM530" s="106">
        <f t="shared" si="1068"/>
        <v>0</v>
      </c>
      <c r="AN530" s="106">
        <f t="shared" si="1068"/>
        <v>0</v>
      </c>
      <c r="AO530" s="106">
        <f t="shared" si="1068"/>
        <v>0</v>
      </c>
      <c r="AP530" s="106">
        <f t="shared" si="1068"/>
        <v>0</v>
      </c>
      <c r="AQ530" s="106">
        <f t="shared" si="1068"/>
        <v>0</v>
      </c>
      <c r="AR530" s="107">
        <f t="shared" si="1068"/>
        <v>0</v>
      </c>
      <c r="AS530" s="105">
        <f>IF(AND($B529=" ",$K530=AS$3),$O530,0)</f>
        <v>0</v>
      </c>
      <c r="AT530" s="106">
        <f>IF(AND($B529=" ",K530=AT$3),$O530,0)</f>
        <v>0</v>
      </c>
      <c r="AU530" s="106">
        <f t="shared" ref="AU530:BE530" si="1078">IF(AND($B529=" ",$K530=AU$3),$O530,0)</f>
        <v>0</v>
      </c>
      <c r="AV530" s="106">
        <f t="shared" si="1078"/>
        <v>0</v>
      </c>
      <c r="AW530" s="106">
        <f t="shared" si="1078"/>
        <v>0</v>
      </c>
      <c r="AX530" s="106">
        <f t="shared" si="1078"/>
        <v>0</v>
      </c>
      <c r="AY530" s="108">
        <f t="shared" si="1078"/>
        <v>0</v>
      </c>
      <c r="AZ530" s="109">
        <f t="shared" si="1078"/>
        <v>0</v>
      </c>
      <c r="BA530" s="109">
        <f t="shared" si="1078"/>
        <v>0</v>
      </c>
      <c r="BB530" s="109">
        <f t="shared" si="1078"/>
        <v>0</v>
      </c>
      <c r="BC530" s="110">
        <f t="shared" si="1078"/>
        <v>0</v>
      </c>
      <c r="BD530" s="106">
        <f t="shared" si="1078"/>
        <v>0</v>
      </c>
      <c r="BE530" s="107">
        <f t="shared" si="1078"/>
        <v>0</v>
      </c>
      <c r="BF530" s="105">
        <f t="shared" si="1070"/>
        <v>0</v>
      </c>
      <c r="BG530" s="106">
        <f t="shared" si="1070"/>
        <v>7.38</v>
      </c>
      <c r="BH530" s="106">
        <f t="shared" si="1070"/>
        <v>0</v>
      </c>
      <c r="BI530" s="106">
        <f t="shared" si="1070"/>
        <v>0</v>
      </c>
      <c r="BJ530" s="106">
        <f t="shared" si="1070"/>
        <v>0</v>
      </c>
      <c r="BK530" s="106">
        <f t="shared" si="1070"/>
        <v>0</v>
      </c>
      <c r="BL530" s="106">
        <f t="shared" si="1070"/>
        <v>0</v>
      </c>
      <c r="BM530" s="132">
        <f t="shared" si="1070"/>
        <v>0</v>
      </c>
      <c r="BN530" s="112">
        <f t="shared" si="1070"/>
        <v>0</v>
      </c>
      <c r="BO530" s="112">
        <f t="shared" si="1070"/>
        <v>0</v>
      </c>
      <c r="BP530" s="112">
        <f t="shared" si="1070"/>
        <v>0</v>
      </c>
      <c r="BQ530" s="110">
        <f t="shared" si="1070"/>
        <v>0</v>
      </c>
      <c r="BR530" s="107">
        <f t="shared" si="1070"/>
        <v>0</v>
      </c>
      <c r="BS530" s="464"/>
      <c r="BT530" s="461"/>
      <c r="BU530" s="392"/>
      <c r="BV530" s="461"/>
      <c r="BW530" s="392"/>
      <c r="BX530" s="392"/>
      <c r="BY530" s="392"/>
      <c r="BZ530" s="461"/>
      <c r="CA530" s="392"/>
      <c r="CB530" s="392"/>
      <c r="CC530" s="392"/>
      <c r="CD530" s="401"/>
      <c r="CE530" s="409"/>
      <c r="CF530" s="133">
        <f t="shared" si="1028"/>
        <v>0</v>
      </c>
      <c r="CG530" s="134">
        <f t="shared" si="1029"/>
        <v>0</v>
      </c>
      <c r="CH530" s="134">
        <f t="shared" si="1030"/>
        <v>0</v>
      </c>
      <c r="CI530" s="134">
        <f t="shared" si="1031"/>
        <v>1</v>
      </c>
      <c r="CJ530" s="134">
        <f t="shared" si="1032"/>
        <v>0</v>
      </c>
      <c r="CK530" s="134">
        <f t="shared" si="1033"/>
        <v>0</v>
      </c>
      <c r="CL530" s="134">
        <f t="shared" si="1034"/>
        <v>0</v>
      </c>
      <c r="CM530" s="134">
        <f t="shared" si="1035"/>
        <v>0</v>
      </c>
      <c r="CN530" s="134">
        <f t="shared" si="1036"/>
        <v>0</v>
      </c>
      <c r="CO530" s="134">
        <f t="shared" si="1037"/>
        <v>0</v>
      </c>
      <c r="CP530" s="134">
        <f t="shared" si="1038"/>
        <v>0</v>
      </c>
      <c r="CQ530" s="134">
        <f t="shared" si="1039"/>
        <v>0</v>
      </c>
      <c r="CR530" s="134">
        <f t="shared" si="1040"/>
        <v>0</v>
      </c>
      <c r="CS530" s="134">
        <f t="shared" si="1041"/>
        <v>0</v>
      </c>
      <c r="CT530" s="115">
        <f t="shared" si="1042"/>
        <v>0</v>
      </c>
      <c r="CU530" s="116">
        <f t="shared" si="1043"/>
        <v>0</v>
      </c>
      <c r="CV530" s="116">
        <f t="shared" si="1044"/>
        <v>0</v>
      </c>
      <c r="CW530" s="116">
        <f t="shared" si="1045"/>
        <v>0</v>
      </c>
      <c r="CX530" s="116">
        <f t="shared" si="1046"/>
        <v>0</v>
      </c>
      <c r="CY530" s="116">
        <f t="shared" si="1047"/>
        <v>0</v>
      </c>
      <c r="CZ530" s="116">
        <f t="shared" si="1048"/>
        <v>0</v>
      </c>
      <c r="DA530" s="116">
        <f t="shared" si="1049"/>
        <v>0</v>
      </c>
      <c r="DB530" s="116">
        <f t="shared" si="1050"/>
        <v>0</v>
      </c>
      <c r="DC530" s="116">
        <f t="shared" si="1051"/>
        <v>0</v>
      </c>
      <c r="DD530" s="116">
        <f t="shared" si="1052"/>
        <v>0</v>
      </c>
      <c r="DE530" s="117">
        <f t="shared" si="1053"/>
        <v>0</v>
      </c>
      <c r="DF530" s="118">
        <f t="shared" si="1056"/>
        <v>33</v>
      </c>
      <c r="DG530" s="106">
        <f t="shared" si="1057"/>
        <v>43.031999999999989</v>
      </c>
      <c r="DH530" s="116">
        <f t="shared" si="1058"/>
        <v>13</v>
      </c>
      <c r="DI530" s="106">
        <f t="shared" si="1059"/>
        <v>56.05</v>
      </c>
      <c r="DJ530" s="201" t="str">
        <f>IF($D529="","",$D529)</f>
        <v>16</v>
      </c>
      <c r="DK530" s="466"/>
    </row>
    <row r="531" spans="1:115" ht="14.5" customHeight="1" x14ac:dyDescent="0.2">
      <c r="A531" s="390"/>
      <c r="B531" s="457"/>
      <c r="C531" s="135" t="s">
        <v>55</v>
      </c>
      <c r="D531" s="375"/>
      <c r="E531" s="387"/>
      <c r="F531" s="378"/>
      <c r="G531" s="484"/>
      <c r="H531" s="477"/>
      <c r="I531" s="203" t="s">
        <v>52</v>
      </c>
      <c r="J531" s="204">
        <v>8.5</v>
      </c>
      <c r="K531" s="193" t="s">
        <v>37</v>
      </c>
      <c r="L531" s="194">
        <v>2.4</v>
      </c>
      <c r="M531" s="140">
        <v>4.7699999999999996</v>
      </c>
      <c r="N531" s="407"/>
      <c r="O531" s="195">
        <f>IF(OR(AE529="",AE530=""),"",IF(L531&gt;0,ROUND(IF(M531&gt;0,M531,IF(M529&gt;0,ROUND((M529*AE531)/AE529,IF(N529=0,2,IF(N529=0.1,1,0))),IF(M530&gt;0,ROUND((M530*AE531)/AE530,IF(N529=0,2,IF(N529=0.1,1,0))),IF(M531&gt;0,M531,0)))),2),""))</f>
        <v>4.7699999999999996</v>
      </c>
      <c r="P531" s="196">
        <f>IF(I530="Lay",O530*(L530/(L530-1))-O530,IF(I529="Lay",O529*(L529/(L529-1))-O529,IF(OR(L531="",O531=""),"",IF($C531="1/2W",O531/2+O531/2*L531,IF($C531="1/2L",O531/2,(O531*L531-O531)*(1-_xlfn.XLOOKUP(K531,'Fevereiro 2023 - Valor Real'!A3:A15,'Fevereiro 2023 - Valor Real'!C3:C15,0))+O531)))))</f>
        <v>11.447999999999999</v>
      </c>
      <c r="Q531" s="197">
        <f>IF(K531="","",IF(_xlfn.XLOOKUP(K531,K$4:K530,$DJ$4:DJ530,0,,-1)=DJ531,_xlfn.XLOOKUP(K531,K$4:K530,Q$4:Q530,1,,-1)+1,1))</f>
        <v>4</v>
      </c>
      <c r="R531" s="198">
        <f>IF(K531="","",_xlfn.XLOOKUP(K531,K$4:K530,R$4:R530,0,,-1)+IF($C531=" ",1,0))</f>
        <v>0</v>
      </c>
      <c r="S531" s="404"/>
      <c r="T531" s="378"/>
      <c r="U531" s="378"/>
      <c r="V531" s="404"/>
      <c r="W531" s="378"/>
      <c r="X531" s="453"/>
      <c r="Y531" s="383"/>
      <c r="Z531" s="384"/>
      <c r="AA531" s="384"/>
      <c r="AB531" s="384"/>
      <c r="AC531" s="384"/>
      <c r="AD531" s="145">
        <f>((L530/(L530-1)-1))</f>
        <v>1.2048192771084336</v>
      </c>
      <c r="AE531" s="199">
        <f>IF(L531="","",(SUM(((L529-1)*(1-_xlfn.XLOOKUP(K529,'Fevereiro 2023 - Valor Real'!A3:A15,'Fevereiro 2023 - Valor Real'!C3:C15,0))+1),((L530-1)*(1-_xlfn.XLOOKUP(K530,'Fevereiro 2023 - Valor Real'!A3:A15,'Fevereiro 2023 - Valor Real'!C3:C15,0))+1),((L531-1)*(1-_xlfn.XLOOKUP(K531,'Fevereiro 2023 - Valor Real'!A3:A15,'Fevereiro 2023 - Valor Real'!C3:C15,0))+1))/((L531-1)*(1-_xlfn.XLOOKUP(K531,'Fevereiro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Real'!C3:C15,0))+1))/((L529-1)*(1-_xlfn.XLOOKUP(K529,'Fevereiro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Real'!C3:C15,0))+1))/((L530-1)*(1-_xlfn.XLOOKUP(K530,'Fevereiro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Real'!C3:C15,0))+1))/((L531-1)*(1-_xlfn.XLOOKUP(K531,'Fevereiro 2023 - Valor Real'!A3:A15,'Fevereiro 2023 - Valor Real'!C3:C15,0))+1)))</f>
        <v>0.29304949535016966</v>
      </c>
      <c r="AF531" s="105">
        <f t="shared" si="1068"/>
        <v>0</v>
      </c>
      <c r="AG531" s="106">
        <f t="shared" si="1068"/>
        <v>-4.7699999999999996</v>
      </c>
      <c r="AH531" s="106">
        <f t="shared" si="1068"/>
        <v>0</v>
      </c>
      <c r="AI531" s="106">
        <f t="shared" si="1068"/>
        <v>0</v>
      </c>
      <c r="AJ531" s="106">
        <f t="shared" si="1068"/>
        <v>0</v>
      </c>
      <c r="AK531" s="106">
        <f t="shared" si="1068"/>
        <v>0</v>
      </c>
      <c r="AL531" s="106">
        <f t="shared" si="1068"/>
        <v>0</v>
      </c>
      <c r="AM531" s="106">
        <f t="shared" si="1068"/>
        <v>0</v>
      </c>
      <c r="AN531" s="106">
        <f t="shared" si="1068"/>
        <v>0</v>
      </c>
      <c r="AO531" s="106">
        <f t="shared" si="1068"/>
        <v>0</v>
      </c>
      <c r="AP531" s="106">
        <f t="shared" si="1068"/>
        <v>0</v>
      </c>
      <c r="AQ531" s="106">
        <f t="shared" si="1068"/>
        <v>0</v>
      </c>
      <c r="AR531" s="107">
        <f t="shared" si="1068"/>
        <v>0</v>
      </c>
      <c r="AS531" s="105">
        <f>IF(AND($B529=" ",$K531=AS$3),$O531,0)</f>
        <v>0</v>
      </c>
      <c r="AT531" s="106">
        <f>IF(AND($B529=" ",K531=AT$3),$O531,0)</f>
        <v>0</v>
      </c>
      <c r="AU531" s="106">
        <f t="shared" ref="AU531:BE531" si="1079">IF(AND($B529=" ",$K531=AU$3),$O531,0)</f>
        <v>0</v>
      </c>
      <c r="AV531" s="106">
        <f t="shared" si="1079"/>
        <v>0</v>
      </c>
      <c r="AW531" s="106">
        <f t="shared" si="1079"/>
        <v>0</v>
      </c>
      <c r="AX531" s="106">
        <f t="shared" si="1079"/>
        <v>0</v>
      </c>
      <c r="AY531" s="108">
        <f t="shared" si="1079"/>
        <v>0</v>
      </c>
      <c r="AZ531" s="109">
        <f t="shared" si="1079"/>
        <v>0</v>
      </c>
      <c r="BA531" s="109">
        <f t="shared" si="1079"/>
        <v>0</v>
      </c>
      <c r="BB531" s="109">
        <f t="shared" si="1079"/>
        <v>0</v>
      </c>
      <c r="BC531" s="110">
        <f t="shared" si="1079"/>
        <v>0</v>
      </c>
      <c r="BD531" s="106">
        <f t="shared" si="1079"/>
        <v>0</v>
      </c>
      <c r="BE531" s="107">
        <f t="shared" si="1079"/>
        <v>0</v>
      </c>
      <c r="BF531" s="105">
        <f t="shared" si="1070"/>
        <v>0</v>
      </c>
      <c r="BG531" s="106">
        <f t="shared" si="1070"/>
        <v>4.7699999999999996</v>
      </c>
      <c r="BH531" s="106">
        <f t="shared" si="1070"/>
        <v>0</v>
      </c>
      <c r="BI531" s="106">
        <f t="shared" si="1070"/>
        <v>0</v>
      </c>
      <c r="BJ531" s="106">
        <f t="shared" si="1070"/>
        <v>0</v>
      </c>
      <c r="BK531" s="106">
        <f t="shared" si="1070"/>
        <v>0</v>
      </c>
      <c r="BL531" s="106">
        <f t="shared" si="1070"/>
        <v>0</v>
      </c>
      <c r="BM531" s="108">
        <f t="shared" si="1070"/>
        <v>0</v>
      </c>
      <c r="BN531" s="109">
        <f t="shared" si="1070"/>
        <v>0</v>
      </c>
      <c r="BO531" s="109">
        <f t="shared" si="1070"/>
        <v>0</v>
      </c>
      <c r="BP531" s="109">
        <f t="shared" si="1070"/>
        <v>0</v>
      </c>
      <c r="BQ531" s="110">
        <f t="shared" si="1070"/>
        <v>0</v>
      </c>
      <c r="BR531" s="107">
        <f t="shared" si="1070"/>
        <v>0</v>
      </c>
      <c r="BS531" s="464"/>
      <c r="BT531" s="461"/>
      <c r="BU531" s="392"/>
      <c r="BV531" s="461"/>
      <c r="BW531" s="392"/>
      <c r="BX531" s="392"/>
      <c r="BY531" s="392"/>
      <c r="BZ531" s="461"/>
      <c r="CA531" s="392"/>
      <c r="CB531" s="392"/>
      <c r="CC531" s="392"/>
      <c r="CD531" s="401"/>
      <c r="CE531" s="409"/>
      <c r="CF531" s="133">
        <f t="shared" si="1028"/>
        <v>0</v>
      </c>
      <c r="CG531" s="134">
        <f t="shared" si="1029"/>
        <v>0</v>
      </c>
      <c r="CH531" s="134">
        <f t="shared" si="1030"/>
        <v>0</v>
      </c>
      <c r="CI531" s="134">
        <f t="shared" si="1031"/>
        <v>1</v>
      </c>
      <c r="CJ531" s="134">
        <f t="shared" si="1032"/>
        <v>0</v>
      </c>
      <c r="CK531" s="134">
        <f t="shared" si="1033"/>
        <v>0</v>
      </c>
      <c r="CL531" s="134">
        <f t="shared" si="1034"/>
        <v>0</v>
      </c>
      <c r="CM531" s="134">
        <f t="shared" si="1035"/>
        <v>0</v>
      </c>
      <c r="CN531" s="134">
        <f t="shared" si="1036"/>
        <v>0</v>
      </c>
      <c r="CO531" s="134">
        <f t="shared" si="1037"/>
        <v>0</v>
      </c>
      <c r="CP531" s="134">
        <f t="shared" si="1038"/>
        <v>0</v>
      </c>
      <c r="CQ531" s="134">
        <f t="shared" si="1039"/>
        <v>0</v>
      </c>
      <c r="CR531" s="134">
        <f t="shared" si="1040"/>
        <v>0</v>
      </c>
      <c r="CS531" s="134">
        <f t="shared" si="1041"/>
        <v>0</v>
      </c>
      <c r="CT531" s="115">
        <f t="shared" si="1042"/>
        <v>0</v>
      </c>
      <c r="CU531" s="116">
        <f t="shared" si="1043"/>
        <v>0</v>
      </c>
      <c r="CV531" s="116">
        <f t="shared" si="1044"/>
        <v>0</v>
      </c>
      <c r="CW531" s="116">
        <f t="shared" si="1045"/>
        <v>0</v>
      </c>
      <c r="CX531" s="116">
        <f t="shared" si="1046"/>
        <v>0</v>
      </c>
      <c r="CY531" s="116">
        <f t="shared" si="1047"/>
        <v>0</v>
      </c>
      <c r="CZ531" s="116">
        <f t="shared" si="1048"/>
        <v>0</v>
      </c>
      <c r="DA531" s="116">
        <f t="shared" si="1049"/>
        <v>0</v>
      </c>
      <c r="DB531" s="116">
        <f t="shared" si="1050"/>
        <v>0</v>
      </c>
      <c r="DC531" s="116">
        <f t="shared" si="1051"/>
        <v>0</v>
      </c>
      <c r="DD531" s="116">
        <f t="shared" si="1052"/>
        <v>0</v>
      </c>
      <c r="DE531" s="117">
        <f t="shared" si="1053"/>
        <v>0</v>
      </c>
      <c r="DF531" s="118">
        <f t="shared" si="1056"/>
        <v>33</v>
      </c>
      <c r="DG531" s="106">
        <f t="shared" si="1057"/>
        <v>43.031999999999989</v>
      </c>
      <c r="DH531" s="116">
        <f t="shared" si="1058"/>
        <v>13</v>
      </c>
      <c r="DI531" s="106">
        <f t="shared" si="1059"/>
        <v>56.05</v>
      </c>
      <c r="DJ531" s="201" t="str">
        <f>IF($D529="","",$D529)</f>
        <v>16</v>
      </c>
      <c r="DK531" s="466"/>
    </row>
    <row r="532" spans="1:115" ht="14.5" customHeight="1" x14ac:dyDescent="0.2">
      <c r="A532" s="487">
        <f>$A529+1</f>
        <v>177</v>
      </c>
      <c r="B532" s="506" t="str">
        <f>IF(OR(C532="W",C533="W",C534="W",C532="1/2W",C533="1/2W",C534="1/2W",C532="1/2L",C533="1/2L",C534="1/2L"),"OK",IF(OR(C532="L",C533="L",C534="L"),"LOSS",IF(OR(C532="X",C533="X",C534="X"),"Anulado"," ")))</f>
        <v>OK</v>
      </c>
      <c r="C532" s="147" t="s">
        <v>55</v>
      </c>
      <c r="D532" s="494" t="str">
        <f>IF(G532="","",$D529)</f>
        <v>16</v>
      </c>
      <c r="E532" s="511" t="str">
        <f>IF(G532=""," ","– "&amp;COUNTIF(D$4:D534,$D532))</f>
        <v>– 9</v>
      </c>
      <c r="F532" s="510" t="str">
        <f ca="1">IF(G532="","",IF(OR(AND($C532&lt;&gt;" ",$C533=" "),AND($C533&lt;&gt;" ",$C532=" "),AND(L534&gt;0,OR(AND($C534&lt;&gt;" ",OR($C532=" ",$C533=" ")),AND($C534=" ",OR($C532&lt;&gt;" ",$C533&lt;&gt;" "))))),IF(SUM(F$4:F531)=0,1,LARGE(F$4:F531,1)+1),IF(MONTH(G532)=MONTH(TODAY()),IF(AND(DAY(G532)&lt;DAY(TODAY()),$B532=" "),IF(SUM(F$4:F531)=0,1,LARGE(F$4:F531,1)+1),IF($B532=" ",IF(AND(DAY(G532)=DAY(TODAY()),HOUR(G532)&lt;=HOUR(NOW())+1),IF(AND(HOUR(G532)+2&lt;=HOUR(NOW()),DAY(G532)&lt;=DAY(TODAY()),MINUTE(G532)&lt;=MINUTE(NOW())),IF(SUM(F$4:F531)=0,1,LARGE(F$4:F531,1)+1),IF(OR(MINUTE(G532)&lt;=MINUTE(NOW()),HOUR(G532)&lt;=HOUR(NOW())),"!!!","")),""),"")),"")))</f>
        <v/>
      </c>
      <c r="G532" s="508">
        <v>45001.614583333336</v>
      </c>
      <c r="H532" s="502" t="s">
        <v>208</v>
      </c>
      <c r="I532" s="180" t="s">
        <v>76</v>
      </c>
      <c r="J532" s="181">
        <v>0.5</v>
      </c>
      <c r="K532" s="150" t="s">
        <v>43</v>
      </c>
      <c r="L532" s="151">
        <v>1.7509999999999999</v>
      </c>
      <c r="M532" s="152"/>
      <c r="N532" s="503">
        <v>0</v>
      </c>
      <c r="O532" s="153">
        <f>IF(OR(AE532="",AE533=""),"",ROUND(IF(L534&gt;0,IF(M532&gt;0,M532,IF(M533&gt;0,ROUND((M533*AE532)/AE533,IF(N532=0,2,IF(N532=0.1,1,0))),ROUND((M534*AE532)/AE534,IF(N532=0,2,IF(N532=0.1,1,0))))),IF(M532&gt;0,M532,ROUND((M533*AE532)/AE533,IF(N532=0,2,IF(N532=0.1,1,0))))),2))</f>
        <v>9.67</v>
      </c>
      <c r="P532" s="154">
        <f>IF(OR(L532="",O532=""),"",IF($C532="1/2W",O532/2+O532/2*L532,IF($C532="1/2L",O532/2,IF(I532="Lay",(O532*(L532/(L532-1))-O532)*(1-_xlfn.XLOOKUP(K532,'Fevereiro 2023 - Valor Real'!A3:A15,'Fevereiro 2023 - Valor Real'!C3:C15,0))+O532,(O532*L532-O532)*(1-_xlfn.XLOOKUP(K532,'Fevereiro 2023 - Valor Real'!A3:A15,'Fevereiro 2023 - Valor Real'!C3:C15,0))+O532))))</f>
        <v>16.932169999999999</v>
      </c>
      <c r="Q532" s="155">
        <f>IF(K532="","",IF(_xlfn.XLOOKUP(K532,K$9:K524,$DJ$9:DJ524,0,,-1)=DJ532,_xlfn.XLOOKUP(K532,K$9:K524,Q$9:Q524,1,,-1)+1,1))</f>
        <v>3</v>
      </c>
      <c r="R532" s="156">
        <f>IF(K532="","",_xlfn.XLOOKUP(K532,K$9:K524,R$9:R524,0,,-1)+IF($C532=" ",1,0))</f>
        <v>0</v>
      </c>
      <c r="S532" s="501">
        <f>IF($B532="Anulado",0,ROUND(IF(OR($B532="LOSS",$B532="OK"),IF(OR($C532="W",$C532="1/2W",$C532="1/2L"),P532-O532,IF($C532="L",-O532,0))+IF(OR($C533="W",$C533="1/2W",$C533="1/2L"),P533-O533,IF($C533="L",-O533,0))+IF(OR($C534="W",$C534="1/2W",$C534="1/2L"),P534-O534,IF($C534="L",-O534,0)),IF(AND(OR($C532="W",$C532="1/2W",$C532="1/2L"),C533="W"),P532+P533-SUM(O532:O534)+_xlfn.XLOOKUP("X",C532:C534,O532:O534,0),IF(AND(C532=TRUE,C534="W"),P532+P534-SUM(O532:O534),IF(AND(C533="W",C534="W"),P533+P534-SUM(O532:O534)+_xlfn.XLOOKUP("X",C532:C534,O532:O534,0),IF(L534&gt;0,IF(OR($C532="W",$C532="1/2W",$C532="1/2L"),P532-SUM(O532:O534)+_xlfn.XLOOKUP("X",C532:C534,O532:O534,0),IF(OR($C532="W",$C532="1/2W",$C532="1/2L"),P533-SUM(O532:O534)+_xlfn.XLOOKUP("X",C532:C534,O532:O534,0),IF(OR($C532="W",$C532="1/2W",$C532="1/2L"),P534-SUM(O532:O534)+_xlfn.XLOOKUP("X",C532:C534,O532:O534,0),IF(SUM(P532:P534)/3-SUM(O532:O534)+_xlfn.XLOOKUP("X",C532:C534,O532:O534,0)&gt;0,SUM(P532:P534)/3-SUM(O532:O534)+_xlfn.XLOOKUP("X",C532:C534,O532:O534,0),LARGE(P532:P534,1)-SUM(O532:O534))))),IF(OR($C532="W",$C532="1/2W",$C532="1/2L"),P532-SUM(O532:O533)+_xlfn.XLOOKUP("X",C532:C534,O532:O534,0),IF(OR($C532="W",$C532="1/2W",$C532="1/2L"),P533-SUM(O532:O533)+_xlfn.XLOOKUP("X",C532:C534,O532:O534,0),SUM(P532:P533)/2-SUM(O532:O533)+_xlfn.XLOOKUP("X",C532:C534,O532:O534,0)))))))),2))</f>
        <v>1.58</v>
      </c>
      <c r="T532" s="486">
        <f>IF(S532=0,0,S532/SUM(O532:O534))</f>
        <v>0.10293159609120522</v>
      </c>
      <c r="U532" s="496">
        <f>IF($D532=$D529,IF(OR($B532="LOSS",$B532="OK",$B532="Anulada"),S532,0)+U529,IF(OR($B532="LOSS",$B532="OK",$B532="Anulada"),S532,0))</f>
        <v>16.010000000000002</v>
      </c>
      <c r="V532" s="496">
        <f>IF($D532="",0,IF($D532=$D529,IF($B532=" ",IF(I534="",IF(OR(AND(I532="DNB1",I533="DNB2"),AND(OR(I532="DNB1",I532="DNB2"),J533=0),AND(OR(I533="DNB1",I533="DNB2"),J532=0),AND(I532="DNB2",I533="DNB1"),AND(IF(J532=0,(J532+1)/ROUND(J532+1,0),J532/ROUND(J532,0))=1,IF(J533=0,(J533+1)/ROUND(IF(J533="",0,J533)+1,0),IF(J533="",0,J533)/ROUND(IF(J533="",1,J533),0))=1,OR(J532&lt;&gt;""),J533&lt;&gt;"")),0,IF(S532&lt;0,IF(I534="",SMALL(P532:P533,1)-SUM(O532:O533),0),SMALL(P532:P533,1)-SUM(O532:O533))),IF(S532&lt;0,IF(I534="",SMALL(P532:P534,1)-SUM(O532:O534),0),LARGE(P532:P534,1)-SUM(O532:O534))),S532)+V529,IF(I534="",IF(OR(AND(I532="DNB1",I533="DNB2"),AND(OR(I532="DNB1",I532="DNB2"),J533=0),AND(OR(I533="DNB1",I533="DNB2"),J532=0),AND(I532="DNB2",I533="DNB1"),AND(IF(J532=0,(J532+1)/ROUND(J532+1,0),J532/ROUND(J532,0))=1,IF(J533=0,(IF(J533="",0,J533)+1)/ROUND(IF(J533="",0,J533)+1,0),IF(J533="",0,J533)/ROUND(IF(J533="",0,J533)+1,0))=1,OR(J532&lt;&gt;""),J533&lt;&gt;"")),0,IF(S532&lt;0,IF(I534="",SMALL(P532:P533,1)-SUM(O532:O533),0),SMALL(P532:P534,1)-SUM(O532:O534))),IF(S532&lt;0,IF(I534="",SMALL(P532:P534,1)-SUM(O532:O534),0),LARGE(P532:P534,1)-SUM(O532:O534)))))</f>
        <v>16.005200000000002</v>
      </c>
      <c r="W532" s="496">
        <f>IF($D532=$D529,IF(S532&lt;0,IF(I534="",S532,0),S532)+W529,S532)</f>
        <v>16.010000000000002</v>
      </c>
      <c r="X532" s="505" t="str">
        <f>IF(OR(SUM(R532:R534)=0,V532=W532),ROUND(IF(W532=0,0,W532/Y532)*100,2)&amp;"%",ROUND(IF(V532=0,0,V532/Y532)*100,2)&amp;"% a "&amp;ROUND(IF(W532=0,0,W532/Y532)*100,2)&amp;"%")</f>
        <v>6,85%</v>
      </c>
      <c r="Y532" s="497">
        <f>IF($D532=$D529,Y529+SUM(O532:O534),SUM(O532:O534))</f>
        <v>233.63</v>
      </c>
      <c r="Z532" s="496">
        <f>IF($B532=" ",SUM(O532:O534),0)+Z529</f>
        <v>0</v>
      </c>
      <c r="AA532" s="496">
        <f>IF(G532="","",IF($B532="Anulado",LARGE(P532:P534,1)-SUM(O532:O534)+AA529,AA529))</f>
        <v>12.425099999999992</v>
      </c>
      <c r="AB532" s="496">
        <f>IF($D532="","",AB529+S532)</f>
        <v>614.11000000000047</v>
      </c>
      <c r="AC532" s="499">
        <f ca="1">IF($D532="","",IF($B532=" ",IF(DAY(G532)=DAY(TODAY()),1+AC529,0+AC529),0+AC529))</f>
        <v>0</v>
      </c>
      <c r="AD532" s="157">
        <f>(1-_xlfn.XLOOKUP(K530,'Fevereiro 2023 - Valor Real'!A3:A15,'Fevereiro 2023 - Valor Real'!C3:C15,0))+1</f>
        <v>2</v>
      </c>
      <c r="AE532" s="158">
        <f>IF(L532="","",IF(L534&gt;0,(SUM(((L532-1)*(1-_xlfn.XLOOKUP(K532,'Fevereiro 2023 - Valor Real'!A3:A15,'Fevereiro 2023 - Valor Real'!C3:C15,0))+1),((L533-1)*(1-_xlfn.XLOOKUP(K533,'Fevereiro 2023 - Valor Real'!A3:A15,'Fevereiro 2023 - Valor Real'!C3:C15,0))+1),((L534-1)*(1-_xlfn.XLOOKUP(K534,'Fevereiro 2023 - Valor Real'!A3:A15,'Fevereiro 2023 - Valor Real'!C3:C15,0))+1))/((L532-1)*(1-_xlfn.XLOOKUP(K532,'Fevereiro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Real'!C3:C15,0))+1))/((L532-1)*(1-_xlfn.XLOOKUP(K532,'Fevereiro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Real'!C3:C15,0))+1))/((L533-1)*(1-_xlfn.XLOOKUP(K533,'Fevereiro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Real'!C3:C15,0))+1))/((L534-1)*(1-_xlfn.XLOOKUP(K534,'Fevereiro 2023 - Valor Real'!A3:A15,'Fevereiro 2023 - Valor Real'!C3:C15,0))+1)),IF(I532="Lay",IF(I533="Lay",((L533/(L533-1)-1)*(1-_xlfn.XLOOKUP(K533,'Fevereiro 2023 - Valor Real'!A3:A15,'Fevereiro 2023 - Valor Real'!C3:C15,0))+1)/(((L533/(L533-1)-1)*(1-_xlfn.XLOOKUP(K533,'Fevereiro 2023 - Valor Real'!A3:A15,'Fevereiro 2023 - Valor Real'!C3:C15,0))+1)+((L532/(L532-1)-1)*(1-_xlfn.XLOOKUP(K532,'Fevereiro 2023 - Valor Real'!A3:A15,'Fevereiro 2023 - Valor Real'!C3:C15,0))+1)),((L533-1)*(1-_xlfn.XLOOKUP(K533,'Fevereiro 2023 - Valor Real'!A3:A15,'Fevereiro 2023 - Valor Real'!C3:C15,0))+1)/(((L533-1)*(1-_xlfn.XLOOKUP(K533,'Fevereiro 2023 - Valor Real'!A3:A15,'Fevereiro 2023 - Valor Real'!C3:C15,0))+1)+((L532/(L532-1)-1)*(1-_xlfn.XLOOKUP(K532,'Fevereiro 2023 - Valor Real'!A3:A15,'Fevereiro 2023 - Valor Real'!C3:C15,0))+1))),IF(I533="Lay",(((L533/(L533-1)-1)*(1-_xlfn.XLOOKUP(K533,'Fevereiro 2023 - Valor Real'!A3:A15,'Fevereiro 2023 - Valor Real'!C3:C15,0))+1))/(((L532-1)*(1-_xlfn.XLOOKUP(K532,'Fevereiro 2023 - Valor Real'!A3:A15,'Fevereiro 2023 - Valor Real'!C3:C15,0))+1)+((L533/(L533-1)-1)*(1-_xlfn.XLOOKUP(K533,'Fevereiro 2023 - Valor Real'!A3:A15,'Fevereiro 2023 - Valor Real'!C3:C15,0))+1)),((L533-1)*(1-_xlfn.XLOOKUP(K533,'Fevereiro 2023 - Valor Real'!A3:A15,'Fevereiro 2023 - Valor Real'!C3:C15,0))+1)/(((L533-1)*(1-_xlfn.XLOOKUP(K533,'Fevereiro 2023 - Valor Real'!A3:A15,'Fevereiro 2023 - Valor Real'!C3:C15,0))+1)+((L532-1)*(1-_xlfn.XLOOKUP(K532,'Fevereiro 2023 - Valor Real'!A3:A15,'Fevereiro 2023 - Valor Real'!C3:C15,0))+1))))))</f>
        <v>0.62988797294440924</v>
      </c>
      <c r="AF532" s="66">
        <f t="shared" si="1068"/>
        <v>0</v>
      </c>
      <c r="AG532" s="67">
        <f t="shared" si="1068"/>
        <v>0</v>
      </c>
      <c r="AH532" s="67">
        <f t="shared" si="1068"/>
        <v>0</v>
      </c>
      <c r="AI532" s="67">
        <f t="shared" si="1068"/>
        <v>0</v>
      </c>
      <c r="AJ532" s="67">
        <f t="shared" si="1068"/>
        <v>0</v>
      </c>
      <c r="AK532" s="67">
        <f t="shared" si="1068"/>
        <v>0</v>
      </c>
      <c r="AL532" s="67">
        <f t="shared" si="1068"/>
        <v>0</v>
      </c>
      <c r="AM532" s="67">
        <f t="shared" si="1068"/>
        <v>-9.67</v>
      </c>
      <c r="AN532" s="67">
        <f t="shared" si="1068"/>
        <v>0</v>
      </c>
      <c r="AO532" s="67">
        <f t="shared" si="1068"/>
        <v>0</v>
      </c>
      <c r="AP532" s="67">
        <f t="shared" si="1068"/>
        <v>0</v>
      </c>
      <c r="AQ532" s="67">
        <f t="shared" si="1068"/>
        <v>0</v>
      </c>
      <c r="AR532" s="68">
        <f t="shared" si="1068"/>
        <v>0</v>
      </c>
      <c r="AS532" s="66">
        <f t="shared" ref="AS532:BE532" si="1080">IF(AND($B532=" ",$K532=AS$3),$O532,0)</f>
        <v>0</v>
      </c>
      <c r="AT532" s="67">
        <f t="shared" si="1080"/>
        <v>0</v>
      </c>
      <c r="AU532" s="67">
        <f t="shared" si="1080"/>
        <v>0</v>
      </c>
      <c r="AV532" s="67">
        <f t="shared" si="1080"/>
        <v>0</v>
      </c>
      <c r="AW532" s="67">
        <f t="shared" si="1080"/>
        <v>0</v>
      </c>
      <c r="AX532" s="67">
        <f t="shared" si="1080"/>
        <v>0</v>
      </c>
      <c r="AY532" s="69">
        <f t="shared" si="1080"/>
        <v>0</v>
      </c>
      <c r="AZ532" s="70">
        <f t="shared" si="1080"/>
        <v>0</v>
      </c>
      <c r="BA532" s="70">
        <f t="shared" si="1080"/>
        <v>0</v>
      </c>
      <c r="BB532" s="70">
        <f t="shared" si="1080"/>
        <v>0</v>
      </c>
      <c r="BC532" s="71">
        <f t="shared" si="1080"/>
        <v>0</v>
      </c>
      <c r="BD532" s="67">
        <f t="shared" si="1080"/>
        <v>0</v>
      </c>
      <c r="BE532" s="68">
        <f t="shared" si="1080"/>
        <v>0</v>
      </c>
      <c r="BF532" s="66">
        <f t="shared" si="1070"/>
        <v>0</v>
      </c>
      <c r="BG532" s="67">
        <f t="shared" si="1070"/>
        <v>0</v>
      </c>
      <c r="BH532" s="67">
        <f t="shared" si="1070"/>
        <v>0</v>
      </c>
      <c r="BI532" s="67">
        <f t="shared" si="1070"/>
        <v>0</v>
      </c>
      <c r="BJ532" s="67">
        <f t="shared" si="1070"/>
        <v>0</v>
      </c>
      <c r="BK532" s="67">
        <f t="shared" si="1070"/>
        <v>0</v>
      </c>
      <c r="BL532" s="67">
        <f t="shared" si="1070"/>
        <v>0</v>
      </c>
      <c r="BM532" s="69">
        <f t="shared" si="1070"/>
        <v>9.67</v>
      </c>
      <c r="BN532" s="70">
        <f t="shared" si="1070"/>
        <v>0</v>
      </c>
      <c r="BO532" s="70">
        <f t="shared" si="1070"/>
        <v>0</v>
      </c>
      <c r="BP532" s="70">
        <f t="shared" si="1070"/>
        <v>0</v>
      </c>
      <c r="BQ532" s="71">
        <f t="shared" si="1070"/>
        <v>0</v>
      </c>
      <c r="BR532" s="68">
        <f t="shared" si="1070"/>
        <v>0</v>
      </c>
      <c r="BS532" s="490">
        <f>IF($B532="LOSS",IF(AND($K532=BS$3,$C532="L"),-$O532,0)+IF(AND($K533=BS$3,$C533="L"),-$O533,0)+IF(AND($K534=BS$3,$C534="L"),-$O534,0),IF(OR(AND($K532=BS$3,OR($C532="W",$C532="1/2W")),AND($K533=BS$3,OR($C533="W",$C533="1/2W")),AND($K534=BS$3,OR($C534="W",$C534="1/2W"))),$S532,0))</f>
        <v>0</v>
      </c>
      <c r="BT532" s="498">
        <f>IF($B532="LOSS",IF(AND($K532=BT$3,$C532="L"),-$O532,0)+IF(AND($K533=BT$3,$C533="L"),-$O533,0)+IF(AND($K533=BT$3,$C534="L"),-$O534,0),IF(OR(AND($K533=BT$3,OR($C532="W",$C532="1/2W")),AND($K533=BT$3,OR($C533="W",$C533="1/2W")),AND($K533=BT$3,OR($C534="W",$C534="1/2W"))),$S532,0))</f>
        <v>0</v>
      </c>
      <c r="BU532" s="488">
        <f>IF($B532="LOSS",IF(AND($K532=BU$3,$C532="L"),-$O532,0)+IF(AND($K533=BU$3,$C533="L"),-$O533,0)+IF(AND($K533=BU$3,$C534="L"),-$O534,0),IF(OR(AND($K533=BU$3,OR($C532="W",$C532="1/2W")),AND($K533=BU$3,OR($C533="W",$C533="1/2W")),AND($K533=BU$3,OR($C534="W",$C534="1/2W"))),$S532,0))</f>
        <v>0</v>
      </c>
      <c r="BV532" s="488">
        <f t="shared" ref="BV532:CE532" si="1081">IF($B532="LOSS",IF(AND($K532=BV$3,$C532="L"),-$O532,0)+IF(AND($K533=BV$3,$C533="L"),-$O533,0)+IF(AND($K534=BV$3,$C534="L"),-$O534,0),IF(OR(AND($K532=BV$3,OR($C532="W",$C532="1/2W")),AND($K533=BV$3,OR($C533="W",$C533="1/2W")),AND($K534=BV$3,OR($C534="W",$C534="1/2W"))),$S532,0))</f>
        <v>0</v>
      </c>
      <c r="BW532" s="488">
        <f t="shared" si="1081"/>
        <v>1.58</v>
      </c>
      <c r="BX532" s="488">
        <f t="shared" si="1081"/>
        <v>0</v>
      </c>
      <c r="BY532" s="488">
        <f t="shared" si="1081"/>
        <v>0</v>
      </c>
      <c r="BZ532" s="488">
        <f t="shared" si="1081"/>
        <v>0</v>
      </c>
      <c r="CA532" s="488">
        <f t="shared" si="1081"/>
        <v>0</v>
      </c>
      <c r="CB532" s="488">
        <f t="shared" si="1081"/>
        <v>0</v>
      </c>
      <c r="CC532" s="488">
        <f t="shared" si="1081"/>
        <v>0</v>
      </c>
      <c r="CD532" s="500">
        <f t="shared" si="1081"/>
        <v>0</v>
      </c>
      <c r="CE532" s="504">
        <f t="shared" si="1081"/>
        <v>0</v>
      </c>
      <c r="CF532" s="160">
        <f t="shared" si="1028"/>
        <v>0</v>
      </c>
      <c r="CG532" s="161">
        <f t="shared" si="1029"/>
        <v>0</v>
      </c>
      <c r="CH532" s="161">
        <f t="shared" si="1030"/>
        <v>0</v>
      </c>
      <c r="CI532" s="161">
        <f t="shared" si="1031"/>
        <v>0</v>
      </c>
      <c r="CJ532" s="161">
        <f t="shared" si="1032"/>
        <v>0</v>
      </c>
      <c r="CK532" s="161">
        <f t="shared" si="1033"/>
        <v>0</v>
      </c>
      <c r="CL532" s="161">
        <f t="shared" si="1034"/>
        <v>0</v>
      </c>
      <c r="CM532" s="161">
        <f t="shared" si="1035"/>
        <v>0</v>
      </c>
      <c r="CN532" s="161">
        <f t="shared" si="1036"/>
        <v>0</v>
      </c>
      <c r="CO532" s="161">
        <f t="shared" si="1037"/>
        <v>0</v>
      </c>
      <c r="CP532" s="161">
        <f t="shared" si="1038"/>
        <v>0</v>
      </c>
      <c r="CQ532" s="161">
        <f t="shared" si="1039"/>
        <v>0</v>
      </c>
      <c r="CR532" s="161">
        <f t="shared" si="1040"/>
        <v>0</v>
      </c>
      <c r="CS532" s="161">
        <f t="shared" si="1041"/>
        <v>0</v>
      </c>
      <c r="CT532" s="75">
        <f t="shared" si="1042"/>
        <v>0</v>
      </c>
      <c r="CU532" s="76">
        <f t="shared" si="1043"/>
        <v>1</v>
      </c>
      <c r="CV532" s="76">
        <f t="shared" si="1044"/>
        <v>0</v>
      </c>
      <c r="CW532" s="76">
        <f t="shared" si="1045"/>
        <v>0</v>
      </c>
      <c r="CX532" s="76">
        <f t="shared" si="1046"/>
        <v>0</v>
      </c>
      <c r="CY532" s="76">
        <f t="shared" si="1047"/>
        <v>0</v>
      </c>
      <c r="CZ532" s="76">
        <f t="shared" si="1048"/>
        <v>0</v>
      </c>
      <c r="DA532" s="76">
        <f t="shared" si="1049"/>
        <v>0</v>
      </c>
      <c r="DB532" s="76">
        <f t="shared" si="1050"/>
        <v>0</v>
      </c>
      <c r="DC532" s="76">
        <f t="shared" si="1051"/>
        <v>0</v>
      </c>
      <c r="DD532" s="76">
        <f t="shared" si="1052"/>
        <v>0</v>
      </c>
      <c r="DE532" s="77">
        <f t="shared" si="1053"/>
        <v>0</v>
      </c>
      <c r="DF532" s="73">
        <f t="shared" si="1056"/>
        <v>33</v>
      </c>
      <c r="DG532" s="67">
        <f t="shared" si="1057"/>
        <v>43.031999999999989</v>
      </c>
      <c r="DH532" s="76">
        <f t="shared" si="1058"/>
        <v>13</v>
      </c>
      <c r="DI532" s="67">
        <f t="shared" si="1059"/>
        <v>56.05</v>
      </c>
      <c r="DJ532" s="202" t="str">
        <f>IF($D532="","",$D532)</f>
        <v>16</v>
      </c>
      <c r="DK532" s="492">
        <f>IF(AND($B532=" ",$D532&lt;&gt;""),1,0)</f>
        <v>0</v>
      </c>
    </row>
    <row r="533" spans="1:115" ht="14.5" customHeight="1" x14ac:dyDescent="0.2">
      <c r="A533" s="389"/>
      <c r="B533" s="456"/>
      <c r="C533" s="53" t="s">
        <v>54</v>
      </c>
      <c r="D533" s="374"/>
      <c r="E533" s="386"/>
      <c r="F533" s="377"/>
      <c r="G533" s="508"/>
      <c r="H533" s="476"/>
      <c r="I533" s="162">
        <v>1</v>
      </c>
      <c r="J533" s="163" t="str">
        <f>IF(OR(I532="TO",I532="TU",I532="TO1",I532="TU1",I532="TO2",I532="TU2"),J532,IF(OR(I532="AH1",I532="AH2"),IF(OR(I533="AH1",I533="AH2"),-J532,IF(OR(I533="EH1",I533="EH2"),-J532+0.5,"")),IF(OR(I532="EH1",I532="EH2"),IF(OR(I533="AH1",I533="AH2"),-J532+0.5,IF(OR(I533="EH1",I533="EH2"),-J532+1,"")),IF(AND(OR(I532="DNB1",I532="DNB2"),OR(I533="AH1",I533="AH2")),0,IF(AND(I532="Not ScoreBoth",OR(I533="TO1",I533="TO2")),0.5,"")))))</f>
        <v/>
      </c>
      <c r="K533" s="57" t="s">
        <v>40</v>
      </c>
      <c r="L533" s="164">
        <v>2.98</v>
      </c>
      <c r="M533" s="165">
        <v>5.68</v>
      </c>
      <c r="N533" s="406"/>
      <c r="O533" s="60">
        <f>IF(OR(AE532="",AE533=""),"",ROUND(IF(L534&gt;0,IF(M533&gt;0,M533,IF(M532&gt;0,IF(N532=TRUE,ROUND((M532*AE533)/AE532,0),(M532*AE533)/AE532),IF(M533&gt;0,ROUND(M533,IF(N532=0,2,IF(N532=0.1,1,0))),IF(M534&gt;0,ROUND(O534*AE533/AE534,IF(N532=0,2,IF(N532=0.1,1,0))),0)))),IF(M533&gt;0,M533,ROUND((M532*AE533)/AE532,IF(N532=0,2,IF(N532=0.1,1,0))))),2))</f>
        <v>5.68</v>
      </c>
      <c r="P533" s="61">
        <f>IF(OR(L533="",O533=""),"",IF($C533="1/2W",O533/2+O533/2*L533,IF($C533="1/2L",O533/2,IF(I533="Lay",((O533*(L533/(L533-1)))-O533)*(1-_xlfn.XLOOKUP(K533,'Fevereiro 2023 - Valor Real'!A3:A15,'Fevereiro 2023 - Valor Real'!C3:C15,0))+O533,(O533*L533-O533)*(1-_xlfn.XLOOKUP(K533,'Fevereiro 2023 - Valor Real'!A3:A15,'Fevereiro 2023 - Valor Real'!C3:C15,0))+O533))))</f>
        <v>16.926399999999997</v>
      </c>
      <c r="Q533" s="166">
        <f>IF(K533="","",IF(_xlfn.XLOOKUP(K533,K$10:K524,$DJ$10:DJ524,0,,-1)=DJ533,_xlfn.XLOOKUP(K533,K$10:K524,Q$10:Q524,1,,-1)+1,1))</f>
        <v>5</v>
      </c>
      <c r="R533" s="167">
        <f>IF(K533="","",_xlfn.XLOOKUP(K533,K$10:K524,R$10:R524,0,,-1)+IF($C533=" ",1,0))</f>
        <v>0</v>
      </c>
      <c r="S533" s="403"/>
      <c r="T533" s="380"/>
      <c r="U533" s="380"/>
      <c r="V533" s="481"/>
      <c r="W533" s="380"/>
      <c r="X533" s="452"/>
      <c r="Y533" s="383"/>
      <c r="Z533" s="384"/>
      <c r="AA533" s="384"/>
      <c r="AB533" s="384"/>
      <c r="AC533" s="384"/>
      <c r="AD533" s="64"/>
      <c r="AE533" s="65">
        <f>IF(L533="","",IF(L534&gt;0,(SUM(((L532-1)*(1-_xlfn.XLOOKUP(K532,'Fevereiro 2023 - Valor Real'!A3:A15,'Fevereiro 2023 - Valor Real'!C3:C15,0))+1),((L533-1)*(1-_xlfn.XLOOKUP(K533,'Fevereiro 2023 - Valor Real'!A3:A15,'Fevereiro 2023 - Valor Real'!C3:C15,0))+1),((L534-1)*(1-_xlfn.XLOOKUP(K534,'Fevereiro 2023 - Valor Real'!A3:A15,'Fevereiro 2023 - Valor Real'!C3:C15,0))+1))/((L533-1)*(1-_xlfn.XLOOKUP(K533,'Fevereiro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Real'!C3:C15,0))+1))/((L532-1)*(1-_xlfn.XLOOKUP(K532,'Fevereiro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Real'!C3:C15,0))+1))/((L533-1)*(1-_xlfn.XLOOKUP(K533,'Fevereiro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Real'!C3:C15,0))+1))/((L534-1)*(1-_xlfn.XLOOKUP(K534,'Fevereiro 2023 - Valor Real'!A3:A15,'Fevereiro 2023 - Valor Real'!C3:C15,0))+1)),IF(I533="Lay",IF(I532="Lay",((L532/(L532-1)-1)*(1-_xlfn.XLOOKUP(K532,'Fevereiro 2023 - Valor Real'!A3:A15,'Fevereiro 2023 - Valor Real'!C3:C15,0))+1)/(((L532/(L532-1)-1)*(1-_xlfn.XLOOKUP(K532,'Fevereiro 2023 - Valor Real'!A3:A15,'Fevereiro 2023 - Valor Real'!C3:C15,0))+1)+((L533/(L533-1)-1)*(1-_xlfn.XLOOKUP(K533,'Fevereiro 2023 - Valor Real'!A3:A15,'Fevereiro 2023 - Valor Real'!C3:C15,0))+1)),((L532-1)*(1-_xlfn.XLOOKUP(K532,'Fevereiro 2023 - Valor Real'!A3:A15,'Fevereiro 2023 - Valor Real'!C3:C15,0))+1)/(((L532-1)*(1-_xlfn.XLOOKUP(K532,'Fevereiro 2023 - Valor Real'!A3:A15,'Fevereiro 2023 - Valor Real'!C3:C15,0))+1)+((L533/(L533-1)-1)*(1-_xlfn.XLOOKUP(K533,'Fevereiro 2023 - Valor Real'!A3:A15,'Fevereiro 2023 - Valor Real'!C3:C15,0))+1))),IF(I532="Lay",((L532/(L532-1)-1)*(1-_xlfn.XLOOKUP(K532,'Fevereiro 2023 - Valor Real'!A3:A15,'Fevereiro 2023 - Valor Real'!C3:C15,0))+1)/((((L532/(L532-1)-1)*(1-_xlfn.XLOOKUP(K532,'Fevereiro 2023 - Valor Real'!A3:A15,'Fevereiro 2023 - Valor Real'!C3:C15,0))+1))+((L533-1)*(1-_xlfn.XLOOKUP(K533,'Fevereiro 2023 - Valor Real'!A3:A15,'Fevereiro 2023 - Valor Real'!C3:C15,0))+1)),((L532-1)*(1-_xlfn.XLOOKUP(K532,'Fevereiro 2023 - Valor Real'!A3:A15,'Fevereiro 2023 - Valor Real'!C3:C15,0))+1)/(((L532-1)*(1-_xlfn.XLOOKUP(K532,'Fevereiro 2023 - Valor Real'!A3:A15,'Fevereiro 2023 - Valor Real'!C3:C15,0))+1)+((L533-1)*(1-_xlfn.XLOOKUP(K533,'Fevereiro 2023 - Valor Real'!A3:A15,'Fevereiro 2023 - Valor Real'!C3:C15,0))+1))))))</f>
        <v>0.37011202705559076</v>
      </c>
      <c r="AF533" s="66">
        <f t="shared" si="1068"/>
        <v>0</v>
      </c>
      <c r="AG533" s="67">
        <f t="shared" si="1068"/>
        <v>0</v>
      </c>
      <c r="AH533" s="67">
        <f t="shared" si="1068"/>
        <v>0</v>
      </c>
      <c r="AI533" s="67">
        <f t="shared" si="1068"/>
        <v>0</v>
      </c>
      <c r="AJ533" s="67">
        <f t="shared" si="1068"/>
        <v>11.25</v>
      </c>
      <c r="AK533" s="67">
        <f t="shared" si="1068"/>
        <v>0</v>
      </c>
      <c r="AL533" s="67">
        <f t="shared" si="1068"/>
        <v>0</v>
      </c>
      <c r="AM533" s="67">
        <f t="shared" si="1068"/>
        <v>0</v>
      </c>
      <c r="AN533" s="67">
        <f t="shared" si="1068"/>
        <v>0</v>
      </c>
      <c r="AO533" s="67">
        <f t="shared" si="1068"/>
        <v>0</v>
      </c>
      <c r="AP533" s="67">
        <f t="shared" si="1068"/>
        <v>0</v>
      </c>
      <c r="AQ533" s="67">
        <f t="shared" si="1068"/>
        <v>0</v>
      </c>
      <c r="AR533" s="68">
        <f t="shared" si="1068"/>
        <v>0</v>
      </c>
      <c r="AS533" s="66">
        <f>IF(AND($B532=" ",$K533=AS$3),$O533,0)</f>
        <v>0</v>
      </c>
      <c r="AT533" s="67">
        <f>IF(AND($B532=" ",K533=AT$3),$O533,0)</f>
        <v>0</v>
      </c>
      <c r="AU533" s="67">
        <f t="shared" ref="AU533:BE533" si="1082">IF(AND($B532=" ",$K533=AU$3),$O533,0)</f>
        <v>0</v>
      </c>
      <c r="AV533" s="67">
        <f t="shared" si="1082"/>
        <v>0</v>
      </c>
      <c r="AW533" s="67">
        <f t="shared" si="1082"/>
        <v>0</v>
      </c>
      <c r="AX533" s="67">
        <f t="shared" si="1082"/>
        <v>0</v>
      </c>
      <c r="AY533" s="69">
        <f t="shared" si="1082"/>
        <v>0</v>
      </c>
      <c r="AZ533" s="70">
        <f t="shared" si="1082"/>
        <v>0</v>
      </c>
      <c r="BA533" s="70">
        <f t="shared" si="1082"/>
        <v>0</v>
      </c>
      <c r="BB533" s="70">
        <f t="shared" si="1082"/>
        <v>0</v>
      </c>
      <c r="BC533" s="71">
        <f t="shared" si="1082"/>
        <v>0</v>
      </c>
      <c r="BD533" s="67">
        <f t="shared" si="1082"/>
        <v>0</v>
      </c>
      <c r="BE533" s="68">
        <f t="shared" si="1082"/>
        <v>0</v>
      </c>
      <c r="BF533" s="66">
        <f t="shared" si="1070"/>
        <v>0</v>
      </c>
      <c r="BG533" s="168">
        <f t="shared" si="1070"/>
        <v>0</v>
      </c>
      <c r="BH533" s="67">
        <f t="shared" si="1070"/>
        <v>0</v>
      </c>
      <c r="BI533" s="67">
        <f t="shared" si="1070"/>
        <v>0</v>
      </c>
      <c r="BJ533" s="67">
        <f t="shared" si="1070"/>
        <v>5.68</v>
      </c>
      <c r="BK533" s="67">
        <f t="shared" si="1070"/>
        <v>0</v>
      </c>
      <c r="BL533" s="67">
        <f t="shared" si="1070"/>
        <v>0</v>
      </c>
      <c r="BM533" s="69">
        <f t="shared" si="1070"/>
        <v>0</v>
      </c>
      <c r="BN533" s="70">
        <f t="shared" si="1070"/>
        <v>0</v>
      </c>
      <c r="BO533" s="70">
        <f t="shared" si="1070"/>
        <v>0</v>
      </c>
      <c r="BP533" s="70">
        <f t="shared" si="1070"/>
        <v>0</v>
      </c>
      <c r="BQ533" s="71">
        <f t="shared" si="1070"/>
        <v>0</v>
      </c>
      <c r="BR533" s="68">
        <f t="shared" si="1070"/>
        <v>0</v>
      </c>
      <c r="BS533" s="491"/>
      <c r="BT533" s="489"/>
      <c r="BU533" s="392"/>
      <c r="BV533" s="489"/>
      <c r="BW533" s="392"/>
      <c r="BX533" s="392"/>
      <c r="BY533" s="392"/>
      <c r="BZ533" s="489"/>
      <c r="CA533" s="392"/>
      <c r="CB533" s="392"/>
      <c r="CC533" s="392"/>
      <c r="CD533" s="401"/>
      <c r="CE533" s="409"/>
      <c r="CF533" s="169">
        <f t="shared" si="1028"/>
        <v>0</v>
      </c>
      <c r="CG533" s="170">
        <f t="shared" si="1029"/>
        <v>0</v>
      </c>
      <c r="CH533" s="170">
        <f t="shared" si="1030"/>
        <v>0</v>
      </c>
      <c r="CI533" s="170">
        <f t="shared" si="1031"/>
        <v>0</v>
      </c>
      <c r="CJ533" s="170">
        <f t="shared" si="1032"/>
        <v>0</v>
      </c>
      <c r="CK533" s="170">
        <f t="shared" si="1033"/>
        <v>0</v>
      </c>
      <c r="CL533" s="170">
        <f t="shared" si="1034"/>
        <v>0</v>
      </c>
      <c r="CM533" s="170">
        <f t="shared" si="1035"/>
        <v>0</v>
      </c>
      <c r="CN533" s="170">
        <f t="shared" si="1036"/>
        <v>1</v>
      </c>
      <c r="CO533" s="170">
        <f t="shared" si="1037"/>
        <v>0</v>
      </c>
      <c r="CP533" s="170">
        <f t="shared" si="1038"/>
        <v>0</v>
      </c>
      <c r="CQ533" s="170">
        <f t="shared" si="1039"/>
        <v>0</v>
      </c>
      <c r="CR533" s="170">
        <f t="shared" si="1040"/>
        <v>0</v>
      </c>
      <c r="CS533" s="170">
        <f t="shared" si="1041"/>
        <v>0</v>
      </c>
      <c r="CT533" s="75">
        <f t="shared" si="1042"/>
        <v>0</v>
      </c>
      <c r="CU533" s="76">
        <f t="shared" si="1043"/>
        <v>0</v>
      </c>
      <c r="CV533" s="76">
        <f t="shared" si="1044"/>
        <v>0</v>
      </c>
      <c r="CW533" s="76">
        <f t="shared" si="1045"/>
        <v>0</v>
      </c>
      <c r="CX533" s="76">
        <f t="shared" si="1046"/>
        <v>0</v>
      </c>
      <c r="CY533" s="76">
        <f t="shared" si="1047"/>
        <v>0</v>
      </c>
      <c r="CZ533" s="76">
        <f t="shared" si="1048"/>
        <v>0</v>
      </c>
      <c r="DA533" s="76">
        <f t="shared" si="1049"/>
        <v>0</v>
      </c>
      <c r="DB533" s="76">
        <f t="shared" si="1050"/>
        <v>0</v>
      </c>
      <c r="DC533" s="76">
        <f t="shared" si="1051"/>
        <v>0</v>
      </c>
      <c r="DD533" s="76">
        <f t="shared" si="1052"/>
        <v>0</v>
      </c>
      <c r="DE533" s="77">
        <f t="shared" si="1053"/>
        <v>0</v>
      </c>
      <c r="DF533" s="73">
        <f t="shared" si="1056"/>
        <v>33</v>
      </c>
      <c r="DG533" s="67">
        <f t="shared" si="1057"/>
        <v>43.031999999999989</v>
      </c>
      <c r="DH533" s="76">
        <f t="shared" si="1058"/>
        <v>13</v>
      </c>
      <c r="DI533" s="67">
        <f t="shared" si="1059"/>
        <v>56.05</v>
      </c>
      <c r="DJ533" s="202" t="str">
        <f>IF($D532="","",$D532)</f>
        <v>16</v>
      </c>
      <c r="DK533" s="493"/>
    </row>
    <row r="534" spans="1:115" ht="14.5" customHeight="1" x14ac:dyDescent="0.2">
      <c r="A534" s="390"/>
      <c r="B534" s="457"/>
      <c r="C534" s="79" t="s">
        <v>53</v>
      </c>
      <c r="D534" s="375"/>
      <c r="E534" s="387"/>
      <c r="F534" s="378"/>
      <c r="G534" s="508"/>
      <c r="H534" s="477"/>
      <c r="I534" s="171"/>
      <c r="J534" s="172"/>
      <c r="K534" s="81"/>
      <c r="L534" s="173"/>
      <c r="M534" s="174"/>
      <c r="N534" s="407"/>
      <c r="O534" s="86" t="str">
        <f>IF(OR(AE532="",AE533=""),"",IF(L534&gt;0,ROUND(IF(M534&gt;0,M534,IF(M532&gt;0,ROUND((M532*AE534)/AE532,IF(N532=0,2,IF(N532=0.1,1,0))),IF(M533&gt;0,ROUND((M533*AE534)/AE533,IF(N532=0,2,IF(N532=0.1,1,0))),IF(M534&gt;0,M534,0)))),2),""))</f>
        <v/>
      </c>
      <c r="P534" s="87" t="str">
        <f>IF(I533="Lay",O533*(L533/(L533-1))-O533,IF(I532="Lay",O532*(L532/(L532-1))-O532,IF(OR(L534="",O534=""),"",IF($C534="1/2W",O534/2+O534/2*L534,IF($C534="1/2L",O534/2,(O534*L534-O534)*(1-_xlfn.XLOOKUP(K534,'Fevereiro 2023 - Valor Real'!A3:A15,'Fevereiro 2023 - Valor Real'!C3:C15,0))+O534)))))</f>
        <v/>
      </c>
      <c r="Q534" s="54" t="str">
        <f>IF(K534="","",IF(_xlfn.XLOOKUP(K534,K$11:K524,$DJ$11:DJ524,0,,-1)=DJ534,_xlfn.XLOOKUP(K534,K$11:K524,Q$11:Q524,1,,-1)+1,1))</f>
        <v/>
      </c>
      <c r="R534" s="87" t="str">
        <f>IF(K534="","",_xlfn.XLOOKUP(K534,K$11:K524,R$11:R524,0,,-1)+IF($C534=" ",1,0))</f>
        <v/>
      </c>
      <c r="S534" s="404"/>
      <c r="T534" s="378"/>
      <c r="U534" s="378"/>
      <c r="V534" s="404"/>
      <c r="W534" s="378"/>
      <c r="X534" s="453"/>
      <c r="Y534" s="383"/>
      <c r="Z534" s="384"/>
      <c r="AA534" s="384"/>
      <c r="AB534" s="384"/>
      <c r="AC534" s="384"/>
      <c r="AD534" s="90"/>
      <c r="AE534" s="91" t="str">
        <f>IF(L534="","",(SUM(((L532-1)*(1-_xlfn.XLOOKUP(K532,'Fevereiro 2023 - Valor Real'!A3:A15,'Fevereiro 2023 - Valor Real'!C3:C15,0))+1),((L533-1)*(1-_xlfn.XLOOKUP(K533,'Fevereiro 2023 - Valor Real'!A3:A15,'Fevereiro 2023 - Valor Real'!C3:C15,0))+1),((L534-1)*(1-_xlfn.XLOOKUP(K534,'Fevereiro 2023 - Valor Real'!A3:A15,'Fevereiro 2023 - Valor Real'!C3:C15,0))+1))/((L534-1)*(1-_xlfn.XLOOKUP(K534,'Fevereiro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Real'!C3:C15,0))+1))/((L532-1)*(1-_xlfn.XLOOKUP(K532,'Fevereiro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Real'!C3:C15,0))+1))/((L533-1)*(1-_xlfn.XLOOKUP(K533,'Fevereiro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Real'!C3:C15,0))+1))/((L534-1)*(1-_xlfn.XLOOKUP(K534,'Fevereiro 2023 - Valor Real'!A3:A15,'Fevereiro 2023 - Valor Real'!C3:C15,0))+1)))</f>
        <v/>
      </c>
      <c r="AF534" s="66">
        <f t="shared" ref="AF534:AR543" si="1083">IF($K534=AF$3,ROUND(IF(OR($C534="W",$C534="1/2W",$C534="1/2L"),$P534-$O534,IF($C534="X",0,-$O534)),2),0)</f>
        <v>0</v>
      </c>
      <c r="AG534" s="67">
        <f t="shared" si="1083"/>
        <v>0</v>
      </c>
      <c r="AH534" s="67">
        <f t="shared" si="1083"/>
        <v>0</v>
      </c>
      <c r="AI534" s="67">
        <f t="shared" si="1083"/>
        <v>0</v>
      </c>
      <c r="AJ534" s="67">
        <f t="shared" si="1083"/>
        <v>0</v>
      </c>
      <c r="AK534" s="67">
        <f t="shared" si="1083"/>
        <v>0</v>
      </c>
      <c r="AL534" s="67">
        <f t="shared" si="1083"/>
        <v>0</v>
      </c>
      <c r="AM534" s="67">
        <f t="shared" si="1083"/>
        <v>0</v>
      </c>
      <c r="AN534" s="67">
        <f t="shared" si="1083"/>
        <v>0</v>
      </c>
      <c r="AO534" s="67">
        <f t="shared" si="1083"/>
        <v>0</v>
      </c>
      <c r="AP534" s="67">
        <f t="shared" si="1083"/>
        <v>0</v>
      </c>
      <c r="AQ534" s="67">
        <f t="shared" si="1083"/>
        <v>0</v>
      </c>
      <c r="AR534" s="68">
        <f t="shared" si="1083"/>
        <v>0</v>
      </c>
      <c r="AS534" s="66">
        <f>IF(AND($B532=" ",$K534=AS$3),$O534,0)</f>
        <v>0</v>
      </c>
      <c r="AT534" s="67">
        <f>IF(AND($B532=" ",K534=AT$3),$O534,0)</f>
        <v>0</v>
      </c>
      <c r="AU534" s="67">
        <f t="shared" ref="AU534:BE534" si="1084">IF(AND($B532=" ",$K534=AU$3),$O534,0)</f>
        <v>0</v>
      </c>
      <c r="AV534" s="67">
        <f t="shared" si="1084"/>
        <v>0</v>
      </c>
      <c r="AW534" s="67">
        <f t="shared" si="1084"/>
        <v>0</v>
      </c>
      <c r="AX534" s="67">
        <f t="shared" si="1084"/>
        <v>0</v>
      </c>
      <c r="AY534" s="69">
        <f t="shared" si="1084"/>
        <v>0</v>
      </c>
      <c r="AZ534" s="70">
        <f t="shared" si="1084"/>
        <v>0</v>
      </c>
      <c r="BA534" s="70">
        <f t="shared" si="1084"/>
        <v>0</v>
      </c>
      <c r="BB534" s="70">
        <f t="shared" si="1084"/>
        <v>0</v>
      </c>
      <c r="BC534" s="71">
        <f t="shared" si="1084"/>
        <v>0</v>
      </c>
      <c r="BD534" s="67">
        <f t="shared" si="1084"/>
        <v>0</v>
      </c>
      <c r="BE534" s="68">
        <f t="shared" si="1084"/>
        <v>0</v>
      </c>
      <c r="BF534" s="66">
        <f t="shared" ref="BF534:BR543" si="1085">IF($K534=BF$3,IF($C534="X",0,$O534),0)</f>
        <v>0</v>
      </c>
      <c r="BG534" s="168">
        <f t="shared" si="1085"/>
        <v>0</v>
      </c>
      <c r="BH534" s="67">
        <f t="shared" si="1085"/>
        <v>0</v>
      </c>
      <c r="BI534" s="67">
        <f t="shared" si="1085"/>
        <v>0</v>
      </c>
      <c r="BJ534" s="67">
        <f t="shared" si="1085"/>
        <v>0</v>
      </c>
      <c r="BK534" s="67">
        <f t="shared" si="1085"/>
        <v>0</v>
      </c>
      <c r="BL534" s="67">
        <f t="shared" si="1085"/>
        <v>0</v>
      </c>
      <c r="BM534" s="69">
        <f t="shared" si="1085"/>
        <v>0</v>
      </c>
      <c r="BN534" s="70">
        <f t="shared" si="1085"/>
        <v>0</v>
      </c>
      <c r="BO534" s="70">
        <f t="shared" si="1085"/>
        <v>0</v>
      </c>
      <c r="BP534" s="70">
        <f t="shared" si="1085"/>
        <v>0</v>
      </c>
      <c r="BQ534" s="71">
        <f t="shared" si="1085"/>
        <v>0</v>
      </c>
      <c r="BR534" s="68">
        <f t="shared" si="1085"/>
        <v>0</v>
      </c>
      <c r="BS534" s="491"/>
      <c r="BT534" s="489"/>
      <c r="BU534" s="392"/>
      <c r="BV534" s="489"/>
      <c r="BW534" s="392"/>
      <c r="BX534" s="392"/>
      <c r="BY534" s="392"/>
      <c r="BZ534" s="489"/>
      <c r="CA534" s="392"/>
      <c r="CB534" s="392"/>
      <c r="CC534" s="392"/>
      <c r="CD534" s="401"/>
      <c r="CE534" s="409"/>
      <c r="CF534" s="169">
        <f t="shared" si="1028"/>
        <v>0</v>
      </c>
      <c r="CG534" s="170">
        <f t="shared" si="1029"/>
        <v>0</v>
      </c>
      <c r="CH534" s="170">
        <f t="shared" si="1030"/>
        <v>0</v>
      </c>
      <c r="CI534" s="170">
        <f t="shared" si="1031"/>
        <v>0</v>
      </c>
      <c r="CJ534" s="170">
        <f t="shared" si="1032"/>
        <v>0</v>
      </c>
      <c r="CK534" s="170">
        <f t="shared" si="1033"/>
        <v>0</v>
      </c>
      <c r="CL534" s="170">
        <f t="shared" si="1034"/>
        <v>0</v>
      </c>
      <c r="CM534" s="170">
        <f t="shared" si="1035"/>
        <v>0</v>
      </c>
      <c r="CN534" s="170">
        <f t="shared" si="1036"/>
        <v>0</v>
      </c>
      <c r="CO534" s="170">
        <f t="shared" si="1037"/>
        <v>0</v>
      </c>
      <c r="CP534" s="170">
        <f t="shared" si="1038"/>
        <v>0</v>
      </c>
      <c r="CQ534" s="170">
        <f t="shared" si="1039"/>
        <v>0</v>
      </c>
      <c r="CR534" s="170">
        <f t="shared" si="1040"/>
        <v>0</v>
      </c>
      <c r="CS534" s="170">
        <f t="shared" si="1041"/>
        <v>0</v>
      </c>
      <c r="CT534" s="75">
        <f t="shared" si="1042"/>
        <v>0</v>
      </c>
      <c r="CU534" s="76">
        <f t="shared" si="1043"/>
        <v>0</v>
      </c>
      <c r="CV534" s="76">
        <f t="shared" si="1044"/>
        <v>0</v>
      </c>
      <c r="CW534" s="76">
        <f t="shared" si="1045"/>
        <v>0</v>
      </c>
      <c r="CX534" s="76">
        <f t="shared" si="1046"/>
        <v>0</v>
      </c>
      <c r="CY534" s="76">
        <f t="shared" si="1047"/>
        <v>0</v>
      </c>
      <c r="CZ534" s="76">
        <f t="shared" si="1048"/>
        <v>0</v>
      </c>
      <c r="DA534" s="76">
        <f t="shared" si="1049"/>
        <v>0</v>
      </c>
      <c r="DB534" s="76">
        <f t="shared" si="1050"/>
        <v>0</v>
      </c>
      <c r="DC534" s="76">
        <f t="shared" si="1051"/>
        <v>0</v>
      </c>
      <c r="DD534" s="76">
        <f t="shared" si="1052"/>
        <v>0</v>
      </c>
      <c r="DE534" s="77">
        <f t="shared" si="1053"/>
        <v>0</v>
      </c>
      <c r="DF534" s="73">
        <f t="shared" si="1056"/>
        <v>33</v>
      </c>
      <c r="DG534" s="67">
        <f t="shared" si="1057"/>
        <v>43.031999999999989</v>
      </c>
      <c r="DH534" s="76">
        <f t="shared" si="1058"/>
        <v>13</v>
      </c>
      <c r="DI534" s="67">
        <f t="shared" si="1059"/>
        <v>56.05</v>
      </c>
      <c r="DJ534" s="202" t="str">
        <f>IF($D532="","",$D532)</f>
        <v>16</v>
      </c>
      <c r="DK534" s="493"/>
    </row>
    <row r="535" spans="1:115" ht="14.5" customHeight="1" x14ac:dyDescent="0.2">
      <c r="A535" s="459">
        <f>$A532+1</f>
        <v>178</v>
      </c>
      <c r="B535" s="507" t="str">
        <f>IF(OR(C535="W",C536="W",C537="W",C535="1/2W",C536="1/2W",C537="1/2W",C535="1/2L",C536="1/2L",C537="1/2L"),"OK",IF(OR(C535="L",C536="L",C537="L"),"LOSS",IF(OR(C535="X",C536="X",C537="X"),"Anulado"," ")))</f>
        <v>OK</v>
      </c>
      <c r="C535" s="93" t="s">
        <v>55</v>
      </c>
      <c r="D535" s="468" t="str">
        <f>IF(G535="","",$D532)</f>
        <v>16</v>
      </c>
      <c r="E535" s="485" t="str">
        <f>IF(G535=""," ","– "&amp;COUNTIF(D$4:D537,$D535))</f>
        <v>– 10</v>
      </c>
      <c r="F535" s="509" t="str">
        <f ca="1">IF(G535="","",IF(OR(AND($C535&lt;&gt;" ",$C536=" "),AND($C536&lt;&gt;" ",$C535=" "),AND(L537&gt;0,OR(AND($C537&lt;&gt;" ",OR($C535=" ",$C536=" ")),AND($C537=" ",OR($C535&lt;&gt;" ",$C536&lt;&gt;" "))))),IF(SUM(F$4:F534)=0,1,LARGE(F$4:F534,1)+1),IF(MONTH(G535)=MONTH(TODAY()),IF(AND(DAY(G535)&lt;DAY(TODAY()),$B535=" "),IF(SUM(F$4:F534)=0,1,LARGE(F$4:F534,1)+1),IF($B535=" ",IF(AND(DAY(G535)=DAY(TODAY()),HOUR(G535)&lt;=HOUR(NOW())+1),IF(AND(HOUR(G535)+2&lt;=HOUR(NOW()),DAY(G535)&lt;=DAY(TODAY()),MINUTE(G535)&lt;=MINUTE(NOW())),IF(SUM(F$4:F534)=0,1,LARGE(F$4:F534,1)+1),IF(OR(MINUTE(G535)&lt;=MINUTE(NOW()),HOUR(G535)&lt;=HOUR(NOW())),"!!!","")),""),"")),"")))</f>
        <v/>
      </c>
      <c r="G535" s="482">
        <v>45003.458333333336</v>
      </c>
      <c r="H535" s="475" t="s">
        <v>209</v>
      </c>
      <c r="I535" s="94" t="s">
        <v>102</v>
      </c>
      <c r="J535" s="95">
        <v>-1</v>
      </c>
      <c r="K535" s="96" t="s">
        <v>37</v>
      </c>
      <c r="L535" s="97">
        <v>3.75</v>
      </c>
      <c r="M535" s="98">
        <v>3.47</v>
      </c>
      <c r="N535" s="478">
        <v>0</v>
      </c>
      <c r="O535" s="99">
        <f>IF(OR(AE535="",AE536=""),"",ROUND(IF(L537&gt;0,IF(M535&gt;0,M535,IF(M536&gt;0,ROUND((M536*AE535)/AE536,IF(N535=0,2,IF(N535=0.1,1,0))),ROUND((M537*AE535)/AE537,IF(N535=0,2,IF(N535=0.1,1,0))))),IF(M535&gt;0,M535,ROUND((M536*AE535)/AE536,IF(N535=0,2,IF(N535=0.1,1,0))))),2))</f>
        <v>3.47</v>
      </c>
      <c r="P535" s="100">
        <f>IF(OR(L535="",O535=""),"",IF($C535="1/2W",O535/2+O535/2*L535,IF($C535="1/2L",O535/2,IF(I535="Lay",(O535*(L535/(L535-1))-O535)*(1-_xlfn.XLOOKUP(K535,'Fevereiro 2023 - Valor Real'!A3:A15,'Fevereiro 2023 - Valor Real'!C3:C15,0))+O535,(O535*L535-O535)*(1-_xlfn.XLOOKUP(K535,'Fevereiro 2023 - Valor Real'!A3:A15,'Fevereiro 2023 - Valor Real'!C3:C15,0))+O535))))</f>
        <v>13.012500000000001</v>
      </c>
      <c r="Q535" s="101">
        <f>IF(K535="","",IF(_xlfn.XLOOKUP(K535,K$4:K534,$DJ$4:DJ534,0,,-1)=DJ535,_xlfn.XLOOKUP(K535,K$4:K534,Q$4:Q534,1,,-1)+1,1))</f>
        <v>5</v>
      </c>
      <c r="R535" s="102">
        <f>IF(K535="","",_xlfn.XLOOKUP(K535,K$4:K534,R$4:R534,0,,-1)+IF($C535=" ",1,0))</f>
        <v>0</v>
      </c>
      <c r="S535" s="474">
        <f>IF($B535="Anulado",0,ROUND(IF(OR($B535="LOSS",$B535="OK"),IF(OR($C535="W",$C535="1/2W",$C535="1/2L"),P535-O535,IF($C535="L",-O535,0))+IF(OR($C536="W",$C536="1/2W",$C536="1/2L"),P536-O536,IF($C536="L",-O536,0))+IF(OR($C537="W",$C537="1/2W",$C537="1/2L"),P537-O537,IF($C537="L",-O537,0)),IF(AND(OR($C535="W",$C535="1/2W",$C535="1/2L"),C536="W"),P535+P536-SUM(O535:O537)+_xlfn.XLOOKUP("X",C535:C537,O535:O537,0),IF(AND(C535=TRUE,C537="W"),P535+P537-SUM(O535:O537),IF(AND(C536="W",C537="W"),P536+P537-SUM(O535:O537)+_xlfn.XLOOKUP("X",C535:C537,O535:O537,0),IF(L537&gt;0,IF(OR($C535="W",$C535="1/2W",$C535="1/2L"),P535-SUM(O535:O537)+_xlfn.XLOOKUP("X",C535:C537,O535:O537,0),IF(OR($C535="W",$C535="1/2W",$C535="1/2L"),P536-SUM(O535:O537)+_xlfn.XLOOKUP("X",C535:C537,O535:O537,0),IF(OR($C535="W",$C535="1/2W",$C535="1/2L"),P537-SUM(O535:O537)+_xlfn.XLOOKUP("X",C535:C537,O535:O537,0),IF(SUM(P535:P537)/3-SUM(O535:O537)+_xlfn.XLOOKUP("X",C535:C537,O535:O537,0)&gt;0,SUM(P535:P537)/3-SUM(O535:O537)+_xlfn.XLOOKUP("X",C535:C537,O535:O537,0),LARGE(P535:P537,1)-SUM(O535:O537))))),IF(OR($C535="W",$C535="1/2W",$C535="1/2L"),P535-SUM(O535:O536)+_xlfn.XLOOKUP("X",C535:C537,O535:O537,0),IF(OR($C535="W",$C535="1/2W",$C535="1/2L"),P536-SUM(O535:O536)+_xlfn.XLOOKUP("X",C535:C537,O535:O537,0),SUM(P535:P536)/2-SUM(O535:O536)+_xlfn.XLOOKUP("X",C535:C537,O535:O537,0)))))))),2))</f>
        <v>1.72</v>
      </c>
      <c r="T535" s="458">
        <f>IF(S535=0,0,S535/SUM(O535:O537))</f>
        <v>7.6139884904825136E-2</v>
      </c>
      <c r="U535" s="470">
        <f>IF($D535=$D532,IF(OR($B535="LOSS",$B535="OK",$B535="Anulada"),S535,0)+U532,IF(OR($B535="LOSS",$B535="OK",$B535="Anulada"),S535,0))</f>
        <v>17.73</v>
      </c>
      <c r="V535" s="470">
        <f>IF($D535="",0,IF($D535=$D532,IF($B535=" ",IF(I537="",IF(OR(AND(I535="DNB1",I536="DNB2"),AND(OR(I535="DNB1",I535="DNB2"),J536=0),AND(OR(I536="DNB1",I536="DNB2"),J535=0),AND(I535="DNB2",I536="DNB1"),AND(IF(J535=0,(J535+1)/ROUND(J535+1,0),J535/ROUND(J535,0))=1,IF(J536=0,(J536+1)/ROUND(IF(J536="",0,J536)+1,0),IF(J536="",0,J536)/ROUND(IF(J536="",1,J536),0))=1,OR(J535&lt;&gt;""),J536&lt;&gt;"")),0,IF(S535&lt;0,IF(I537="",SMALL(P535:P536,1)-SUM(O535:O536),0),SMALL(P535:P536,1)-SUM(O535:O536))),IF(S535&lt;0,IF(I537="",SMALL(P535:P537,1)-SUM(O535:O537),0),LARGE(P535:P537,1)-SUM(O535:O537))),S535)+V532,IF(I537="",IF(OR(AND(I535="DNB1",I536="DNB2"),AND(OR(I535="DNB1",I535="DNB2"),J536=0),AND(OR(I536="DNB1",I536="DNB2"),J535=0),AND(I535="DNB2",I536="DNB1"),AND(IF(J535=0,(J535+1)/ROUND(J535+1,0),J535/ROUND(J535,0))=1,IF(J536=0,(IF(J536="",0,J536)+1)/ROUND(IF(J536="",0,J536)+1,0),IF(J536="",0,J536)/ROUND(IF(J536="",0,J536)+1,0))=1,OR(J535&lt;&gt;""),J536&lt;&gt;"")),0,IF(S535&lt;0,IF(I537="",SMALL(P535:P536,1)-SUM(O535:O536),0),SMALL(P535:P537,1)-SUM(O535:O537))),IF(S535&lt;0,IF(I537="",SMALL(P535:P537,1)-SUM(O535:O537),0),LARGE(P535:P537,1)-SUM(O535:O537)))))</f>
        <v>17.725200000000001</v>
      </c>
      <c r="W535" s="470">
        <f>IF($D535=$D532,IF(S535&lt;0,IF(I537="",S535,0),S535)+W532,S535)</f>
        <v>17.73</v>
      </c>
      <c r="X535" s="480" t="str">
        <f>IF(OR(SUM(R535:R537)=0,V535=W535),ROUND(IF(W535=0,0,W535/Y535)*100,2)&amp;"%",ROUND(IF(V535=0,0,V535/Y535)*100,2)&amp;"% a "&amp;ROUND(IF(W535=0,0,W535/Y535)*100,2)&amp;"%")</f>
        <v>6,92%</v>
      </c>
      <c r="Y535" s="471">
        <f>IF($D535=$D532,Y532+SUM(O535:O537),SUM(O535:O537))</f>
        <v>256.21999999999997</v>
      </c>
      <c r="Z535" s="470">
        <f>IF($B535=" ",SUM(O535:O537),0)+Z532</f>
        <v>0</v>
      </c>
      <c r="AA535" s="470">
        <f>IF(G535="","",IF($B535="Anulado",LARGE(P535:P537,1)-SUM(O535:O537)+AA532,AA532))</f>
        <v>12.425099999999992</v>
      </c>
      <c r="AB535" s="470">
        <f>IF($D535="","",AB532+S535)</f>
        <v>615.8300000000005</v>
      </c>
      <c r="AC535" s="472">
        <f ca="1">IF($D535="","",IF($B535=" ",IF(DAY(G535)=DAY(TODAY()),1+AC532,0+AC532),0+AC532))</f>
        <v>0</v>
      </c>
      <c r="AD535" s="103">
        <f>(((L536/(L536-1)-1)*(1-_xlfn.XLOOKUP(K536,'Fevereiro 2023 - Valor Real'!A3:A15,'Fevereiro 2023 - Valor Real'!C3:C15,0))+1))/(((L535-1)*(1-_xlfn.XLOOKUP(K535,'Fevereiro 2023 - Valor Real'!A3:A15,'Fevereiro 2023 - Valor Real'!C3:C15,0))+1)+((L536/(L536-1)-1)*(1-_xlfn.XLOOKUP(K536,'Fevereiro 2023 - Valor Real'!A3:A15,'Fevereiro 2023 - Valor Real'!C3:C15,0))+1))</f>
        <v>0.36724565756823824</v>
      </c>
      <c r="AE535" s="104">
        <f>IF(L535="","",IF(L537&gt;0,(SUM(((L535-1)*(1-_xlfn.XLOOKUP(K535,'Fevereiro 2023 - Valor Real'!A3:A15,'Fevereiro 2023 - Valor Real'!C3:C15,0))+1),((L536-1)*(1-_xlfn.XLOOKUP(K536,'Fevereiro 2023 - Valor Real'!A3:A15,'Fevereiro 2023 - Valor Real'!C3:C15,0))+1),((L537-1)*(1-_xlfn.XLOOKUP(K537,'Fevereiro 2023 - Valor Real'!A3:A15,'Fevereiro 2023 - Valor Real'!C3:C15,0))+1))/((L535-1)*(1-_xlfn.XLOOKUP(K535,'Fevereiro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Real'!C3:C15,0))+1))/((L535-1)*(1-_xlfn.XLOOKUP(K535,'Fevereiro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Real'!C3:C15,0))+1))/((L536-1)*(1-_xlfn.XLOOKUP(K536,'Fevereiro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Real'!C3:C15,0))+1))/((L537-1)*(1-_xlfn.XLOOKUP(K537,'Fevereiro 2023 - Valor Real'!A3:A15,'Fevereiro 2023 - Valor Real'!C3:C15,0))+1)),IF(I535="Lay",IF(I536="Lay",((L536/(L536-1)-1)*(1-_xlfn.XLOOKUP(K536,'Fevereiro 2023 - Valor Real'!A3:A15,'Fevereiro 2023 - Valor Real'!C3:C15,0))+1)/(((L536/(L536-1)-1)*(1-_xlfn.XLOOKUP(K536,'Fevereiro 2023 - Valor Real'!A3:A15,'Fevereiro 2023 - Valor Real'!C3:C15,0))+1)+((L535/(L535-1)-1)*(1-_xlfn.XLOOKUP(K535,'Fevereiro 2023 - Valor Real'!A3:A15,'Fevereiro 2023 - Valor Real'!C3:C15,0))+1)),((L536-1)*(1-_xlfn.XLOOKUP(K536,'Fevereiro 2023 - Valor Real'!A3:A15,'Fevereiro 2023 - Valor Real'!C3:C15,0))+1)/(((L536-1)*(1-_xlfn.XLOOKUP(K536,'Fevereiro 2023 - Valor Real'!A3:A15,'Fevereiro 2023 - Valor Real'!C3:C15,0))+1)+((L535/(L535-1)-1)*(1-_xlfn.XLOOKUP(K535,'Fevereiro 2023 - Valor Real'!A3:A15,'Fevereiro 2023 - Valor Real'!C3:C15,0))+1))),IF(I536="Lay",(((L536/(L536-1)-1)*(1-_xlfn.XLOOKUP(K536,'Fevereiro 2023 - Valor Real'!A3:A15,'Fevereiro 2023 - Valor Real'!C3:C15,0))+1))/(((L535-1)*(1-_xlfn.XLOOKUP(K535,'Fevereiro 2023 - Valor Real'!A3:A15,'Fevereiro 2023 - Valor Real'!C3:C15,0))+1)+((L536/(L536-1)-1)*(1-_xlfn.XLOOKUP(K536,'Fevereiro 2023 - Valor Real'!A3:A15,'Fevereiro 2023 - Valor Real'!C3:C15,0))+1)),((L536-1)*(1-_xlfn.XLOOKUP(K536,'Fevereiro 2023 - Valor Real'!A3:A15,'Fevereiro 2023 - Valor Real'!C3:C15,0))+1)/(((L536-1)*(1-_xlfn.XLOOKUP(K536,'Fevereiro 2023 - Valor Real'!A3:A15,'Fevereiro 2023 - Valor Real'!C3:C15,0))+1)+((L535-1)*(1-_xlfn.XLOOKUP(K535,'Fevereiro 2023 - Valor Real'!A3:A15,'Fevereiro 2023 - Valor Real'!C3:C15,0))+1))))))</f>
        <v>0.19871334616157849</v>
      </c>
      <c r="AF535" s="105">
        <f t="shared" si="1083"/>
        <v>0</v>
      </c>
      <c r="AG535" s="106">
        <f t="shared" si="1083"/>
        <v>-3.47</v>
      </c>
      <c r="AH535" s="106">
        <f t="shared" si="1083"/>
        <v>0</v>
      </c>
      <c r="AI535" s="106">
        <f t="shared" si="1083"/>
        <v>0</v>
      </c>
      <c r="AJ535" s="106">
        <f t="shared" si="1083"/>
        <v>0</v>
      </c>
      <c r="AK535" s="106">
        <f t="shared" si="1083"/>
        <v>0</v>
      </c>
      <c r="AL535" s="106">
        <f t="shared" si="1083"/>
        <v>0</v>
      </c>
      <c r="AM535" s="106">
        <f t="shared" si="1083"/>
        <v>0</v>
      </c>
      <c r="AN535" s="106">
        <f t="shared" si="1083"/>
        <v>0</v>
      </c>
      <c r="AO535" s="106">
        <f t="shared" si="1083"/>
        <v>0</v>
      </c>
      <c r="AP535" s="106">
        <f t="shared" si="1083"/>
        <v>0</v>
      </c>
      <c r="AQ535" s="106">
        <f t="shared" si="1083"/>
        <v>0</v>
      </c>
      <c r="AR535" s="107">
        <f t="shared" si="1083"/>
        <v>0</v>
      </c>
      <c r="AS535" s="105">
        <f t="shared" ref="AS535:BE535" si="1086">IF(AND($B535=" ",$K535=AS$3),$O535,0)</f>
        <v>0</v>
      </c>
      <c r="AT535" s="106">
        <f t="shared" si="1086"/>
        <v>0</v>
      </c>
      <c r="AU535" s="106">
        <f t="shared" si="1086"/>
        <v>0</v>
      </c>
      <c r="AV535" s="106">
        <f t="shared" si="1086"/>
        <v>0</v>
      </c>
      <c r="AW535" s="106">
        <f t="shared" si="1086"/>
        <v>0</v>
      </c>
      <c r="AX535" s="106">
        <f t="shared" si="1086"/>
        <v>0</v>
      </c>
      <c r="AY535" s="108">
        <f t="shared" si="1086"/>
        <v>0</v>
      </c>
      <c r="AZ535" s="109">
        <f t="shared" si="1086"/>
        <v>0</v>
      </c>
      <c r="BA535" s="109">
        <f t="shared" si="1086"/>
        <v>0</v>
      </c>
      <c r="BB535" s="109">
        <f t="shared" si="1086"/>
        <v>0</v>
      </c>
      <c r="BC535" s="110">
        <f t="shared" si="1086"/>
        <v>0</v>
      </c>
      <c r="BD535" s="106">
        <f t="shared" si="1086"/>
        <v>0</v>
      </c>
      <c r="BE535" s="107">
        <f t="shared" si="1086"/>
        <v>0</v>
      </c>
      <c r="BF535" s="111">
        <f t="shared" si="1085"/>
        <v>0</v>
      </c>
      <c r="BG535" s="106">
        <f t="shared" si="1085"/>
        <v>3.47</v>
      </c>
      <c r="BH535" s="106">
        <f t="shared" si="1085"/>
        <v>0</v>
      </c>
      <c r="BI535" s="106">
        <f t="shared" si="1085"/>
        <v>0</v>
      </c>
      <c r="BJ535" s="106">
        <f t="shared" si="1085"/>
        <v>0</v>
      </c>
      <c r="BK535" s="106">
        <f t="shared" si="1085"/>
        <v>0</v>
      </c>
      <c r="BL535" s="106">
        <f t="shared" si="1085"/>
        <v>0</v>
      </c>
      <c r="BM535" s="108">
        <f t="shared" si="1085"/>
        <v>0</v>
      </c>
      <c r="BN535" s="109">
        <f t="shared" si="1085"/>
        <v>0</v>
      </c>
      <c r="BO535" s="109">
        <f t="shared" si="1085"/>
        <v>0</v>
      </c>
      <c r="BP535" s="109">
        <f t="shared" si="1085"/>
        <v>0</v>
      </c>
      <c r="BQ535" s="110">
        <f t="shared" si="1085"/>
        <v>0</v>
      </c>
      <c r="BR535" s="107">
        <f t="shared" si="1085"/>
        <v>0</v>
      </c>
      <c r="BS535" s="463">
        <f>IF($B535="LOSS",IF(AND($K535=BS$3,$C535="L"),-$O535,0)+IF(AND($K536=BS$3,$C536="L"),-$O536,0)+IF(AND($K537=BS$3,$C537="L"),-$O537,0),IF(OR(AND($K535=BS$3,OR($C535="W",$C535="1/2W")),AND($K536=BS$3,OR($C536="W",$C536="1/2W")),AND($K537=BS$3,OR($C537="W",$C537="1/2W"))),$S535,0))</f>
        <v>0</v>
      </c>
      <c r="BT535" s="462">
        <f>IF($B535="LOSS",IF(AND($K535=BT$3,$C535="L"),-$O535,0)+IF(AND($K536=BT$3,$C536="L"),-$O536,0)+IF(AND($K536=BT$3,$C537="L"),-$O537,0),IF(OR(AND($K536=BT$3,OR($C535="W",$C535="1/2W")),AND($K536=BT$3,OR($C536="W",$C536="1/2W")),AND($K536=BT$3,OR($C537="W",$C537="1/2W"))),$S535,0))</f>
        <v>1.72</v>
      </c>
      <c r="BU535" s="462">
        <f>IF($B535="LOSS",IF(AND($K535=BU$3,$C535="L"),-$O535,0)+IF(AND($K536=BU$3,$C536="L"),-$O536,0)+IF(AND($K536=BU$3,$C537="L"),-$O537,0),IF(OR(AND($K536=BU$3,OR($C535="W",$C535="1/2W")),AND($K536=BU$3,OR($C536="W",$C536="1/2W")),AND($K536=BU$3,OR($C537="W",$C537="1/2W"))),$S535,0))</f>
        <v>0</v>
      </c>
      <c r="BV535" s="462">
        <f t="shared" ref="BV535:CE535" si="1087">IF($B535="LOSS",IF(AND($K535=BV$3,$C535="L"),-$O535,0)+IF(AND($K536=BV$3,$C536="L"),-$O536,0)+IF(AND($K537=BV$3,$C537="L"),-$O537,0),IF(OR(AND($K535=BV$3,OR($C535="W",$C535="1/2W")),AND($K536=BV$3,OR($C536="W",$C536="1/2W")),AND($K537=BV$3,OR($C537="W",$C537="1/2W"))),$S535,0))</f>
        <v>0</v>
      </c>
      <c r="BW535" s="462">
        <f t="shared" si="1087"/>
        <v>0</v>
      </c>
      <c r="BX535" s="462">
        <f t="shared" si="1087"/>
        <v>0</v>
      </c>
      <c r="BY535" s="462">
        <f t="shared" si="1087"/>
        <v>0</v>
      </c>
      <c r="BZ535" s="460">
        <f t="shared" si="1087"/>
        <v>0</v>
      </c>
      <c r="CA535" s="460">
        <f t="shared" si="1087"/>
        <v>0</v>
      </c>
      <c r="CB535" s="460">
        <f t="shared" si="1087"/>
        <v>0</v>
      </c>
      <c r="CC535" s="460">
        <f t="shared" si="1087"/>
        <v>0</v>
      </c>
      <c r="CD535" s="473">
        <f t="shared" si="1087"/>
        <v>1.72</v>
      </c>
      <c r="CE535" s="479">
        <f t="shared" si="1087"/>
        <v>0</v>
      </c>
      <c r="CF535" s="113">
        <f t="shared" si="1028"/>
        <v>0</v>
      </c>
      <c r="CG535" s="114">
        <f t="shared" si="1029"/>
        <v>0</v>
      </c>
      <c r="CH535" s="114">
        <f t="shared" si="1030"/>
        <v>0</v>
      </c>
      <c r="CI535" s="114">
        <f t="shared" si="1031"/>
        <v>1</v>
      </c>
      <c r="CJ535" s="114">
        <f t="shared" si="1032"/>
        <v>0</v>
      </c>
      <c r="CK535" s="114">
        <f t="shared" si="1033"/>
        <v>0</v>
      </c>
      <c r="CL535" s="114">
        <f t="shared" si="1034"/>
        <v>0</v>
      </c>
      <c r="CM535" s="114">
        <f t="shared" si="1035"/>
        <v>0</v>
      </c>
      <c r="CN535" s="114">
        <f t="shared" si="1036"/>
        <v>0</v>
      </c>
      <c r="CO535" s="114">
        <f t="shared" si="1037"/>
        <v>0</v>
      </c>
      <c r="CP535" s="114">
        <f t="shared" si="1038"/>
        <v>0</v>
      </c>
      <c r="CQ535" s="114">
        <f t="shared" si="1039"/>
        <v>0</v>
      </c>
      <c r="CR535" s="114">
        <f t="shared" si="1040"/>
        <v>0</v>
      </c>
      <c r="CS535" s="114">
        <f t="shared" si="1041"/>
        <v>0</v>
      </c>
      <c r="CT535" s="115">
        <f t="shared" si="1042"/>
        <v>0</v>
      </c>
      <c r="CU535" s="116">
        <f t="shared" si="1043"/>
        <v>0</v>
      </c>
      <c r="CV535" s="116">
        <f t="shared" si="1044"/>
        <v>0</v>
      </c>
      <c r="CW535" s="116">
        <f t="shared" si="1045"/>
        <v>0</v>
      </c>
      <c r="CX535" s="116">
        <f t="shared" si="1046"/>
        <v>0</v>
      </c>
      <c r="CY535" s="116">
        <f t="shared" si="1047"/>
        <v>0</v>
      </c>
      <c r="CZ535" s="116">
        <f t="shared" si="1048"/>
        <v>0</v>
      </c>
      <c r="DA535" s="116">
        <f t="shared" si="1049"/>
        <v>0</v>
      </c>
      <c r="DB535" s="116">
        <f t="shared" si="1050"/>
        <v>0</v>
      </c>
      <c r="DC535" s="116">
        <f t="shared" si="1051"/>
        <v>0</v>
      </c>
      <c r="DD535" s="116">
        <f t="shared" si="1052"/>
        <v>0</v>
      </c>
      <c r="DE535" s="117">
        <f t="shared" si="1053"/>
        <v>0</v>
      </c>
      <c r="DF535" s="118">
        <f t="shared" si="1056"/>
        <v>33</v>
      </c>
      <c r="DG535" s="106">
        <f t="shared" si="1057"/>
        <v>43.031999999999989</v>
      </c>
      <c r="DH535" s="116">
        <f t="shared" si="1058"/>
        <v>13</v>
      </c>
      <c r="DI535" s="106">
        <f t="shared" si="1059"/>
        <v>56.05</v>
      </c>
      <c r="DJ535" s="201" t="str">
        <f>IF($D535="","",$D535)</f>
        <v>16</v>
      </c>
      <c r="DK535" s="465">
        <f>IF(AND($B535=" ",$D535&lt;&gt;""),1,0)</f>
        <v>0</v>
      </c>
    </row>
    <row r="536" spans="1:115" ht="14.5" customHeight="1" x14ac:dyDescent="0.2">
      <c r="A536" s="389"/>
      <c r="B536" s="456"/>
      <c r="C536" s="120" t="s">
        <v>55</v>
      </c>
      <c r="D536" s="374"/>
      <c r="E536" s="386"/>
      <c r="F536" s="377"/>
      <c r="G536" s="483"/>
      <c r="H536" s="476"/>
      <c r="I536" s="178">
        <v>1</v>
      </c>
      <c r="J536" s="179" t="str">
        <f>IF(OR(I535="TO",I535="TU",I535="TO1",I535="TU1",I535="TO2",I535="TU2"),J535,IF(OR(I535="AH1",I535="AH2"),IF(OR(I536="AH1",I536="AH2"),-J535,IF(OR(I536="EH1",I536="EH2"),-J535+0.5,"")),IF(OR(I535="EH1",I535="EH2"),IF(OR(I536="AH1",I536="AH2"),-J535+0.5,IF(OR(I536="EH1",I536="EH2"),-J535+1,"")),IF(AND(OR(I535="DNB1",I535="DNB2"),OR(I536="AH1",I536="AH2")),0,IF(AND(I535="Not ScoreBoth",OR(I536="TO1",I536="TO2")),0.5,"")))))</f>
        <v/>
      </c>
      <c r="K536" s="123" t="s">
        <v>37</v>
      </c>
      <c r="L536" s="124">
        <v>1.85</v>
      </c>
      <c r="M536" s="125">
        <v>6.12</v>
      </c>
      <c r="N536" s="406"/>
      <c r="O536" s="126">
        <f>IF(OR(AE535="",AE536=""),"",ROUND(IF(L537&gt;0,IF(M536&gt;0,M536,IF(M535&gt;0,IF(N535=TRUE,ROUND((M535*AE536)/AE535,0),(M535*AE536)/AE535),IF(M536&gt;0,ROUND(M536,IF(N535=0,2,IF(N535=0.1,1,0))),IF(M537&gt;0,ROUND(O537*AE536/AE537,IF(N535=0,2,IF(N535=0.1,1,0))),0)))),IF(M536&gt;0,M536,ROUND((M535*AE536)/AE535,IF(N535=0,2,IF(N535=0.1,1,0))))),2))</f>
        <v>6.12</v>
      </c>
      <c r="P536" s="127">
        <f>IF(OR(L536="",O536=""),"",IF($C536="1/2W",O536/2+O536/2*L536,IF($C536="1/2L",O536/2,IF(I536="Lay",((O536*(L536/(L536-1)))-O536)*(1-_xlfn.XLOOKUP(K536,'Fevereiro 2023 - Valor Real'!A3:A15,'Fevereiro 2023 - Valor Real'!C3:C15,0))+O536,(O536*L536-O536)*(1-_xlfn.XLOOKUP(K536,'Fevereiro 2023 - Valor Real'!A3:A15,'Fevereiro 2023 - Valor Real'!C3:C15,0))+O536))))</f>
        <v>11.322000000000001</v>
      </c>
      <c r="Q536" s="128">
        <f>IF(K536="","",IF(_xlfn.XLOOKUP(K536,K$4:K535,$DJ$4:DJ535,0,,-1)=DJ536,_xlfn.XLOOKUP(K536,K$4:K535,Q$4:Q535,1,,-1)+1,1))</f>
        <v>6</v>
      </c>
      <c r="R536" s="129">
        <f>IF(K536="","",_xlfn.XLOOKUP(K536,K$4:K535,R$4:R535,0,,-1)+IF($C536=" ",1,0))</f>
        <v>0</v>
      </c>
      <c r="S536" s="403"/>
      <c r="T536" s="380"/>
      <c r="U536" s="380"/>
      <c r="V536" s="481"/>
      <c r="W536" s="380"/>
      <c r="X536" s="452"/>
      <c r="Y536" s="383"/>
      <c r="Z536" s="384"/>
      <c r="AA536" s="384"/>
      <c r="AB536" s="384"/>
      <c r="AC536" s="384"/>
      <c r="AD536" s="130">
        <f>(((L536/(L536-1)-1)*(1-_xlfn.XLOOKUP(K536,'Fevereiro 2023 - Valor Real'!A3:A15,'Fevereiro 2023 - Valor Real'!C3:C15,0))+1))</f>
        <v>2.1764705882352939</v>
      </c>
      <c r="AE536" s="131">
        <f>IF(L536="","",IF(L537&gt;0,(SUM(((L535-1)*(1-_xlfn.XLOOKUP(K535,'Fevereiro 2023 - Valor Real'!A3:A15,'Fevereiro 2023 - Valor Real'!C3:C15,0))+1),((L536-1)*(1-_xlfn.XLOOKUP(K536,'Fevereiro 2023 - Valor Real'!A3:A15,'Fevereiro 2023 - Valor Real'!C3:C15,0))+1),((L537-1)*(1-_xlfn.XLOOKUP(K537,'Fevereiro 2023 - Valor Real'!A3:A15,'Fevereiro 2023 - Valor Real'!C3:C15,0))+1))/((L536-1)*(1-_xlfn.XLOOKUP(K536,'Fevereiro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Real'!C3:C15,0))+1))/((L535-1)*(1-_xlfn.XLOOKUP(K535,'Fevereiro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Real'!C3:C15,0))+1))/((L536-1)*(1-_xlfn.XLOOKUP(K536,'Fevereiro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Real'!C3:C15,0))+1))/((L537-1)*(1-_xlfn.XLOOKUP(K537,'Fevereiro 2023 - Valor Real'!A3:A15,'Fevereiro 2023 - Valor Real'!C3:C15,0))+1)),IF(I536="Lay",IF(I535="Lay",((L535/(L535-1)-1)*(1-_xlfn.XLOOKUP(K535,'Fevereiro 2023 - Valor Real'!A3:A15,'Fevereiro 2023 - Valor Real'!C3:C15,0))+1)/(((L535/(L535-1)-1)*(1-_xlfn.XLOOKUP(K535,'Fevereiro 2023 - Valor Real'!A3:A15,'Fevereiro 2023 - Valor Real'!C3:C15,0))+1)+((L536/(L536-1)-1)*(1-_xlfn.XLOOKUP(K536,'Fevereiro 2023 - Valor Real'!A3:A15,'Fevereiro 2023 - Valor Real'!C3:C15,0))+1)),((L535-1)*(1-_xlfn.XLOOKUP(K535,'Fevereiro 2023 - Valor Real'!A3:A15,'Fevereiro 2023 - Valor Real'!C3:C15,0))+1)/(((L535-1)*(1-_xlfn.XLOOKUP(K535,'Fevereiro 2023 - Valor Real'!A3:A15,'Fevereiro 2023 - Valor Real'!C3:C15,0))+1)+((L536/(L536-1)-1)*(1-_xlfn.XLOOKUP(K536,'Fevereiro 2023 - Valor Real'!A3:A15,'Fevereiro 2023 - Valor Real'!C3:C15,0))+1))),IF(I535="Lay",((L535/(L535-1)-1)*(1-_xlfn.XLOOKUP(K535,'Fevereiro 2023 - Valor Real'!A3:A15,'Fevereiro 2023 - Valor Real'!C3:C15,0))+1)/((((L535/(L535-1)-1)*(1-_xlfn.XLOOKUP(K535,'Fevereiro 2023 - Valor Real'!A3:A15,'Fevereiro 2023 - Valor Real'!C3:C15,0))+1))+((L536-1)*(1-_xlfn.XLOOKUP(K536,'Fevereiro 2023 - Valor Real'!A3:A15,'Fevereiro 2023 - Valor Real'!C3:C15,0))+1)),((L535-1)*(1-_xlfn.XLOOKUP(K535,'Fevereiro 2023 - Valor Real'!A3:A15,'Fevereiro 2023 - Valor Real'!C3:C15,0))+1)/(((L535-1)*(1-_xlfn.XLOOKUP(K535,'Fevereiro 2023 - Valor Real'!A3:A15,'Fevereiro 2023 - Valor Real'!C3:C15,0))+1)+((L536-1)*(1-_xlfn.XLOOKUP(K536,'Fevereiro 2023 - Valor Real'!A3:A15,'Fevereiro 2023 - Valor Real'!C3:C15,0))+1))))))</f>
        <v>0.40279732330049689</v>
      </c>
      <c r="AF536" s="105">
        <f t="shared" si="1083"/>
        <v>0</v>
      </c>
      <c r="AG536" s="106">
        <f t="shared" si="1083"/>
        <v>-6.12</v>
      </c>
      <c r="AH536" s="106">
        <f t="shared" si="1083"/>
        <v>0</v>
      </c>
      <c r="AI536" s="106">
        <f t="shared" si="1083"/>
        <v>0</v>
      </c>
      <c r="AJ536" s="106">
        <f t="shared" si="1083"/>
        <v>0</v>
      </c>
      <c r="AK536" s="106">
        <f t="shared" si="1083"/>
        <v>0</v>
      </c>
      <c r="AL536" s="106">
        <f t="shared" si="1083"/>
        <v>0</v>
      </c>
      <c r="AM536" s="106">
        <f t="shared" si="1083"/>
        <v>0</v>
      </c>
      <c r="AN536" s="106">
        <f t="shared" si="1083"/>
        <v>0</v>
      </c>
      <c r="AO536" s="106">
        <f t="shared" si="1083"/>
        <v>0</v>
      </c>
      <c r="AP536" s="106">
        <f t="shared" si="1083"/>
        <v>0</v>
      </c>
      <c r="AQ536" s="106">
        <f t="shared" si="1083"/>
        <v>0</v>
      </c>
      <c r="AR536" s="107">
        <f t="shared" si="1083"/>
        <v>0</v>
      </c>
      <c r="AS536" s="105">
        <f>IF(AND($B535=" ",$K536=AS$3),$O536,0)</f>
        <v>0</v>
      </c>
      <c r="AT536" s="106">
        <f>IF(AND($B535=" ",K536=AT$3),$O536,0)</f>
        <v>0</v>
      </c>
      <c r="AU536" s="106">
        <f t="shared" ref="AU536:BE536" si="1088">IF(AND($B535=" ",$K536=AU$3),$O536,0)</f>
        <v>0</v>
      </c>
      <c r="AV536" s="106">
        <f t="shared" si="1088"/>
        <v>0</v>
      </c>
      <c r="AW536" s="106">
        <f t="shared" si="1088"/>
        <v>0</v>
      </c>
      <c r="AX536" s="106">
        <f t="shared" si="1088"/>
        <v>0</v>
      </c>
      <c r="AY536" s="108">
        <f t="shared" si="1088"/>
        <v>0</v>
      </c>
      <c r="AZ536" s="109">
        <f t="shared" si="1088"/>
        <v>0</v>
      </c>
      <c r="BA536" s="109">
        <f t="shared" si="1088"/>
        <v>0</v>
      </c>
      <c r="BB536" s="109">
        <f t="shared" si="1088"/>
        <v>0</v>
      </c>
      <c r="BC536" s="110">
        <f t="shared" si="1088"/>
        <v>0</v>
      </c>
      <c r="BD536" s="106">
        <f t="shared" si="1088"/>
        <v>0</v>
      </c>
      <c r="BE536" s="107">
        <f t="shared" si="1088"/>
        <v>0</v>
      </c>
      <c r="BF536" s="105">
        <f t="shared" si="1085"/>
        <v>0</v>
      </c>
      <c r="BG536" s="106">
        <f t="shared" si="1085"/>
        <v>6.12</v>
      </c>
      <c r="BH536" s="106">
        <f t="shared" si="1085"/>
        <v>0</v>
      </c>
      <c r="BI536" s="106">
        <f t="shared" si="1085"/>
        <v>0</v>
      </c>
      <c r="BJ536" s="106">
        <f t="shared" si="1085"/>
        <v>0</v>
      </c>
      <c r="BK536" s="106">
        <f t="shared" si="1085"/>
        <v>0</v>
      </c>
      <c r="BL536" s="106">
        <f t="shared" si="1085"/>
        <v>0</v>
      </c>
      <c r="BM536" s="132">
        <f t="shared" si="1085"/>
        <v>0</v>
      </c>
      <c r="BN536" s="112">
        <f t="shared" si="1085"/>
        <v>0</v>
      </c>
      <c r="BO536" s="112">
        <f t="shared" si="1085"/>
        <v>0</v>
      </c>
      <c r="BP536" s="112">
        <f t="shared" si="1085"/>
        <v>0</v>
      </c>
      <c r="BQ536" s="110">
        <f t="shared" si="1085"/>
        <v>0</v>
      </c>
      <c r="BR536" s="107">
        <f t="shared" si="1085"/>
        <v>0</v>
      </c>
      <c r="BS536" s="464"/>
      <c r="BT536" s="461"/>
      <c r="BU536" s="392"/>
      <c r="BV536" s="461"/>
      <c r="BW536" s="392"/>
      <c r="BX536" s="392"/>
      <c r="BY536" s="392"/>
      <c r="BZ536" s="461"/>
      <c r="CA536" s="392"/>
      <c r="CB536" s="392"/>
      <c r="CC536" s="392"/>
      <c r="CD536" s="401"/>
      <c r="CE536" s="409"/>
      <c r="CF536" s="133">
        <f t="shared" si="1028"/>
        <v>0</v>
      </c>
      <c r="CG536" s="134">
        <f t="shared" si="1029"/>
        <v>0</v>
      </c>
      <c r="CH536" s="134">
        <f t="shared" si="1030"/>
        <v>0</v>
      </c>
      <c r="CI536" s="134">
        <f t="shared" si="1031"/>
        <v>1</v>
      </c>
      <c r="CJ536" s="134">
        <f t="shared" si="1032"/>
        <v>0</v>
      </c>
      <c r="CK536" s="134">
        <f t="shared" si="1033"/>
        <v>0</v>
      </c>
      <c r="CL536" s="134">
        <f t="shared" si="1034"/>
        <v>0</v>
      </c>
      <c r="CM536" s="134">
        <f t="shared" si="1035"/>
        <v>0</v>
      </c>
      <c r="CN536" s="134">
        <f t="shared" si="1036"/>
        <v>0</v>
      </c>
      <c r="CO536" s="134">
        <f t="shared" si="1037"/>
        <v>0</v>
      </c>
      <c r="CP536" s="134">
        <f t="shared" si="1038"/>
        <v>0</v>
      </c>
      <c r="CQ536" s="134">
        <f t="shared" si="1039"/>
        <v>0</v>
      </c>
      <c r="CR536" s="134">
        <f t="shared" si="1040"/>
        <v>0</v>
      </c>
      <c r="CS536" s="134">
        <f t="shared" si="1041"/>
        <v>0</v>
      </c>
      <c r="CT536" s="115">
        <f t="shared" si="1042"/>
        <v>0</v>
      </c>
      <c r="CU536" s="116">
        <f t="shared" si="1043"/>
        <v>0</v>
      </c>
      <c r="CV536" s="116">
        <f t="shared" si="1044"/>
        <v>0</v>
      </c>
      <c r="CW536" s="116">
        <f t="shared" si="1045"/>
        <v>0</v>
      </c>
      <c r="CX536" s="116">
        <f t="shared" si="1046"/>
        <v>0</v>
      </c>
      <c r="CY536" s="116">
        <f t="shared" si="1047"/>
        <v>0</v>
      </c>
      <c r="CZ536" s="116">
        <f t="shared" si="1048"/>
        <v>0</v>
      </c>
      <c r="DA536" s="116">
        <f t="shared" si="1049"/>
        <v>0</v>
      </c>
      <c r="DB536" s="116">
        <f t="shared" si="1050"/>
        <v>0</v>
      </c>
      <c r="DC536" s="116">
        <f t="shared" si="1051"/>
        <v>0</v>
      </c>
      <c r="DD536" s="116">
        <f t="shared" si="1052"/>
        <v>0</v>
      </c>
      <c r="DE536" s="117">
        <f t="shared" si="1053"/>
        <v>0</v>
      </c>
      <c r="DF536" s="118">
        <f t="shared" si="1056"/>
        <v>33</v>
      </c>
      <c r="DG536" s="106">
        <f t="shared" si="1057"/>
        <v>43.031999999999989</v>
      </c>
      <c r="DH536" s="116">
        <f t="shared" si="1058"/>
        <v>13</v>
      </c>
      <c r="DI536" s="106">
        <f t="shared" si="1059"/>
        <v>56.05</v>
      </c>
      <c r="DJ536" s="201" t="str">
        <f>IF($D535="","",$D535)</f>
        <v>16</v>
      </c>
      <c r="DK536" s="466"/>
    </row>
    <row r="537" spans="1:115" ht="14.5" customHeight="1" x14ac:dyDescent="0.2">
      <c r="A537" s="390"/>
      <c r="B537" s="457"/>
      <c r="C537" s="135" t="s">
        <v>54</v>
      </c>
      <c r="D537" s="375"/>
      <c r="E537" s="387"/>
      <c r="F537" s="378"/>
      <c r="G537" s="484"/>
      <c r="H537" s="477"/>
      <c r="I537" s="203" t="s">
        <v>76</v>
      </c>
      <c r="J537" s="204">
        <v>1</v>
      </c>
      <c r="K537" s="193" t="s">
        <v>47</v>
      </c>
      <c r="L537" s="194">
        <v>1.87</v>
      </c>
      <c r="M537" s="140">
        <v>13</v>
      </c>
      <c r="N537" s="407"/>
      <c r="O537" s="195">
        <f>IF(OR(AE535="",AE536=""),"",IF(L537&gt;0,ROUND(IF(M537&gt;0,M537,IF(M535&gt;0,ROUND((M535*AE537)/AE535,IF(N535=0,2,IF(N535=0.1,1,0))),IF(M536&gt;0,ROUND((M536*AE537)/AE536,IF(N535=0,2,IF(N535=0.1,1,0))),IF(M537&gt;0,M537,0)))),2),""))</f>
        <v>13</v>
      </c>
      <c r="P537" s="196">
        <f>IF(I536="Lay",O536*(L536/(L536-1))-O536,IF(I535="Lay",O535*(L535/(L535-1))-O535,IF(OR(L537="",O537=""),"",IF($C537="1/2W",O537/2+O537/2*L537,IF($C537="1/2L",O537/2,(O537*L537-O537)*(1-_xlfn.XLOOKUP(K537,'Fevereiro 2023 - Valor Real'!A3:A15,'Fevereiro 2023 - Valor Real'!C3:C15,0))+O537)))))</f>
        <v>24.310000000000002</v>
      </c>
      <c r="Q537" s="197">
        <f>IF(K537="","",IF(_xlfn.XLOOKUP(K537,K$4:K536,$DJ$4:DJ536,0,,-1)=DJ537,_xlfn.XLOOKUP(K537,K$4:K536,Q$4:Q536,1,,-1)+1,1))</f>
        <v>3</v>
      </c>
      <c r="R537" s="198">
        <f>IF(K537="","",_xlfn.XLOOKUP(K537,K$4:K536,R$4:R536,0,,-1)+IF($C537=" ",1,0))</f>
        <v>0</v>
      </c>
      <c r="S537" s="404"/>
      <c r="T537" s="378"/>
      <c r="U537" s="378"/>
      <c r="V537" s="404"/>
      <c r="W537" s="378"/>
      <c r="X537" s="453"/>
      <c r="Y537" s="383"/>
      <c r="Z537" s="384"/>
      <c r="AA537" s="384"/>
      <c r="AB537" s="384"/>
      <c r="AC537" s="384"/>
      <c r="AD537" s="145">
        <f>((L536/(L536-1)-1))</f>
        <v>1.1764705882352939</v>
      </c>
      <c r="AE537" s="199">
        <f>IF(L537="","",(SUM(((L535-1)*(1-_xlfn.XLOOKUP(K535,'Fevereiro 2023 - Valor Real'!A3:A15,'Fevereiro 2023 - Valor Real'!C3:C15,0))+1),((L536-1)*(1-_xlfn.XLOOKUP(K536,'Fevereiro 2023 - Valor Real'!A3:A15,'Fevereiro 2023 - Valor Real'!C3:C15,0))+1),((L537-1)*(1-_xlfn.XLOOKUP(K537,'Fevereiro 2023 - Valor Real'!A3:A15,'Fevereiro 2023 - Valor Real'!C3:C15,0))+1))/((L537-1)*(1-_xlfn.XLOOKUP(K537,'Fevereiro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Real'!C3:C15,0))+1))/((L535-1)*(1-_xlfn.XLOOKUP(K535,'Fevereiro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Real'!C3:C15,0))+1))/((L536-1)*(1-_xlfn.XLOOKUP(K536,'Fevereiro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Real'!C3:C15,0))+1))/((L537-1)*(1-_xlfn.XLOOKUP(K537,'Fevereiro 2023 - Valor Real'!A3:A15,'Fevereiro 2023 - Valor Real'!C3:C15,0))+1)))</f>
        <v>0.39848933053792468</v>
      </c>
      <c r="AF537" s="105">
        <f t="shared" si="1083"/>
        <v>0</v>
      </c>
      <c r="AG537" s="106">
        <f t="shared" si="1083"/>
        <v>0</v>
      </c>
      <c r="AH537" s="106">
        <f t="shared" si="1083"/>
        <v>0</v>
      </c>
      <c r="AI537" s="106">
        <f t="shared" si="1083"/>
        <v>0</v>
      </c>
      <c r="AJ537" s="106">
        <f t="shared" si="1083"/>
        <v>0</v>
      </c>
      <c r="AK537" s="106">
        <f t="shared" si="1083"/>
        <v>0</v>
      </c>
      <c r="AL537" s="106">
        <f t="shared" si="1083"/>
        <v>0</v>
      </c>
      <c r="AM537" s="106">
        <f t="shared" si="1083"/>
        <v>0</v>
      </c>
      <c r="AN537" s="106">
        <f t="shared" si="1083"/>
        <v>0</v>
      </c>
      <c r="AO537" s="106">
        <f t="shared" si="1083"/>
        <v>0</v>
      </c>
      <c r="AP537" s="106">
        <f t="shared" si="1083"/>
        <v>0</v>
      </c>
      <c r="AQ537" s="106">
        <f t="shared" si="1083"/>
        <v>11.31</v>
      </c>
      <c r="AR537" s="107">
        <f t="shared" si="1083"/>
        <v>0</v>
      </c>
      <c r="AS537" s="105">
        <f>IF(AND($B535=" ",$K537=AS$3),$O537,0)</f>
        <v>0</v>
      </c>
      <c r="AT537" s="106">
        <f>IF(AND($B535=" ",K537=AT$3),$O537,0)</f>
        <v>0</v>
      </c>
      <c r="AU537" s="106">
        <f t="shared" ref="AU537:BE537" si="1089">IF(AND($B535=" ",$K537=AU$3),$O537,0)</f>
        <v>0</v>
      </c>
      <c r="AV537" s="106">
        <f t="shared" si="1089"/>
        <v>0</v>
      </c>
      <c r="AW537" s="106">
        <f t="shared" si="1089"/>
        <v>0</v>
      </c>
      <c r="AX537" s="106">
        <f t="shared" si="1089"/>
        <v>0</v>
      </c>
      <c r="AY537" s="108">
        <f t="shared" si="1089"/>
        <v>0</v>
      </c>
      <c r="AZ537" s="109">
        <f t="shared" si="1089"/>
        <v>0</v>
      </c>
      <c r="BA537" s="109">
        <f t="shared" si="1089"/>
        <v>0</v>
      </c>
      <c r="BB537" s="109">
        <f t="shared" si="1089"/>
        <v>0</v>
      </c>
      <c r="BC537" s="110">
        <f t="shared" si="1089"/>
        <v>0</v>
      </c>
      <c r="BD537" s="106">
        <f t="shared" si="1089"/>
        <v>0</v>
      </c>
      <c r="BE537" s="107">
        <f t="shared" si="1089"/>
        <v>0</v>
      </c>
      <c r="BF537" s="105">
        <f t="shared" si="1085"/>
        <v>0</v>
      </c>
      <c r="BG537" s="106">
        <f t="shared" si="1085"/>
        <v>0</v>
      </c>
      <c r="BH537" s="106">
        <f t="shared" si="1085"/>
        <v>0</v>
      </c>
      <c r="BI537" s="106">
        <f t="shared" si="1085"/>
        <v>0</v>
      </c>
      <c r="BJ537" s="106">
        <f t="shared" si="1085"/>
        <v>0</v>
      </c>
      <c r="BK537" s="106">
        <f t="shared" si="1085"/>
        <v>0</v>
      </c>
      <c r="BL537" s="106">
        <f t="shared" si="1085"/>
        <v>0</v>
      </c>
      <c r="BM537" s="108">
        <f t="shared" si="1085"/>
        <v>0</v>
      </c>
      <c r="BN537" s="109">
        <f t="shared" si="1085"/>
        <v>0</v>
      </c>
      <c r="BO537" s="109">
        <f t="shared" si="1085"/>
        <v>0</v>
      </c>
      <c r="BP537" s="109">
        <f t="shared" si="1085"/>
        <v>0</v>
      </c>
      <c r="BQ537" s="110">
        <f t="shared" si="1085"/>
        <v>13</v>
      </c>
      <c r="BR537" s="107">
        <f t="shared" si="1085"/>
        <v>0</v>
      </c>
      <c r="BS537" s="464"/>
      <c r="BT537" s="461"/>
      <c r="BU537" s="392"/>
      <c r="BV537" s="461"/>
      <c r="BW537" s="392"/>
      <c r="BX537" s="392"/>
      <c r="BY537" s="392"/>
      <c r="BZ537" s="461"/>
      <c r="CA537" s="392"/>
      <c r="CB537" s="392"/>
      <c r="CC537" s="392"/>
      <c r="CD537" s="401"/>
      <c r="CE537" s="409"/>
      <c r="CF537" s="133">
        <f t="shared" si="1028"/>
        <v>0</v>
      </c>
      <c r="CG537" s="134">
        <f t="shared" si="1029"/>
        <v>0</v>
      </c>
      <c r="CH537" s="134">
        <f t="shared" si="1030"/>
        <v>0</v>
      </c>
      <c r="CI537" s="134">
        <f t="shared" si="1031"/>
        <v>0</v>
      </c>
      <c r="CJ537" s="134">
        <f t="shared" si="1032"/>
        <v>0</v>
      </c>
      <c r="CK537" s="134">
        <f t="shared" si="1033"/>
        <v>0</v>
      </c>
      <c r="CL537" s="134">
        <f t="shared" si="1034"/>
        <v>0</v>
      </c>
      <c r="CM537" s="134">
        <f t="shared" si="1035"/>
        <v>0</v>
      </c>
      <c r="CN537" s="134">
        <f t="shared" si="1036"/>
        <v>0</v>
      </c>
      <c r="CO537" s="134">
        <f t="shared" si="1037"/>
        <v>0</v>
      </c>
      <c r="CP537" s="134">
        <f t="shared" si="1038"/>
        <v>0</v>
      </c>
      <c r="CQ537" s="134">
        <f t="shared" si="1039"/>
        <v>0</v>
      </c>
      <c r="CR537" s="134">
        <f t="shared" si="1040"/>
        <v>0</v>
      </c>
      <c r="CS537" s="134">
        <f t="shared" si="1041"/>
        <v>0</v>
      </c>
      <c r="CT537" s="115">
        <f t="shared" si="1042"/>
        <v>0</v>
      </c>
      <c r="CU537" s="116">
        <f t="shared" si="1043"/>
        <v>0</v>
      </c>
      <c r="CV537" s="116">
        <f t="shared" si="1044"/>
        <v>0</v>
      </c>
      <c r="CW537" s="116">
        <f t="shared" si="1045"/>
        <v>0</v>
      </c>
      <c r="CX537" s="116">
        <f t="shared" si="1046"/>
        <v>0</v>
      </c>
      <c r="CY537" s="116">
        <f t="shared" si="1047"/>
        <v>0</v>
      </c>
      <c r="CZ537" s="116">
        <f t="shared" si="1048"/>
        <v>0</v>
      </c>
      <c r="DA537" s="116">
        <f t="shared" si="1049"/>
        <v>0</v>
      </c>
      <c r="DB537" s="116">
        <f t="shared" si="1050"/>
        <v>1</v>
      </c>
      <c r="DC537" s="116">
        <f t="shared" si="1051"/>
        <v>0</v>
      </c>
      <c r="DD537" s="116">
        <f t="shared" si="1052"/>
        <v>0</v>
      </c>
      <c r="DE537" s="117">
        <f t="shared" si="1053"/>
        <v>0</v>
      </c>
      <c r="DF537" s="118">
        <f t="shared" si="1056"/>
        <v>33</v>
      </c>
      <c r="DG537" s="106">
        <f t="shared" si="1057"/>
        <v>43.031999999999989</v>
      </c>
      <c r="DH537" s="116">
        <f t="shared" si="1058"/>
        <v>13</v>
      </c>
      <c r="DI537" s="106">
        <f t="shared" si="1059"/>
        <v>56.05</v>
      </c>
      <c r="DJ537" s="201" t="str">
        <f>IF($D535="","",$D535)</f>
        <v>16</v>
      </c>
      <c r="DK537" s="466"/>
    </row>
    <row r="538" spans="1:115" ht="14.5" customHeight="1" x14ac:dyDescent="0.2">
      <c r="A538" s="487">
        <f>$A535+1</f>
        <v>179</v>
      </c>
      <c r="B538" s="506" t="str">
        <f>IF(OR(C538="W",C539="W",C540="W",C538="1/2W",C539="1/2W",C540="1/2W",C538="1/2L",C539="1/2L",C540="1/2L"),"OK",IF(OR(C538="L",C539="L",C540="L"),"LOSS",IF(OR(C538="X",C539="X",C540="X"),"Anulado"," ")))</f>
        <v>OK</v>
      </c>
      <c r="C538" s="147" t="s">
        <v>55</v>
      </c>
      <c r="D538" s="494" t="str">
        <f>IF(G538="","",$D535)</f>
        <v>16</v>
      </c>
      <c r="E538" s="511" t="str">
        <f>IF(G538=""," ","– "&amp;COUNTIF(D$4:D540,$D538))</f>
        <v>– 11</v>
      </c>
      <c r="F538" s="510" t="str">
        <f ca="1">IF(G538="","",IF(OR(AND($C538&lt;&gt;" ",$C539=" "),AND($C539&lt;&gt;" ",$C538=" "),AND(L540&gt;0,OR(AND($C540&lt;&gt;" ",OR($C538=" ",$C539=" ")),AND($C540=" ",OR($C538&lt;&gt;" ",$C539&lt;&gt;" "))))),IF(SUM(F$4:F537)=0,1,LARGE(F$4:F537,1)+1),IF(MONTH(G538)=MONTH(TODAY()),IF(AND(DAY(G538)&lt;DAY(TODAY()),$B538=" "),IF(SUM(F$4:F537)=0,1,LARGE(F$4:F537,1)+1),IF($B538=" ",IF(AND(DAY(G538)=DAY(TODAY()),HOUR(G538)&lt;=HOUR(NOW())+1),IF(AND(HOUR(G538)+2&lt;=HOUR(NOW()),DAY(G538)&lt;=DAY(TODAY()),MINUTE(G538)&lt;=MINUTE(NOW())),IF(SUM(F$4:F537)=0,1,LARGE(F$4:F537,1)+1),IF(OR(MINUTE(G538)&lt;=MINUTE(NOW()),HOUR(G538)&lt;=HOUR(NOW())),"!!!","")),""),"")),"")))</f>
        <v/>
      </c>
      <c r="G538" s="508">
        <v>45001.614583333336</v>
      </c>
      <c r="H538" s="502" t="s">
        <v>203</v>
      </c>
      <c r="I538" s="180" t="s">
        <v>51</v>
      </c>
      <c r="J538" s="181">
        <v>5.5</v>
      </c>
      <c r="K538" s="150" t="s">
        <v>37</v>
      </c>
      <c r="L538" s="151">
        <v>2.25</v>
      </c>
      <c r="M538" s="152"/>
      <c r="N538" s="503">
        <v>0</v>
      </c>
      <c r="O538" s="153">
        <f>IF(OR(AE538="",AE539=""),"",ROUND(IF(L540&gt;0,IF(M538&gt;0,M538,IF(M539&gt;0,ROUND((M539*AE538)/AE539,IF(N538=0,2,IF(N538=0.1,1,0))),ROUND((M540*AE538)/AE540,IF(N538=0,2,IF(N538=0.1,1,0))))),IF(M538&gt;0,M538,ROUND((M539*AE538)/AE539,IF(N538=0,2,IF(N538=0.1,1,0))))),2))</f>
        <v>20.420000000000002</v>
      </c>
      <c r="P538" s="154">
        <f>IF(OR(L538="",O538=""),"",IF($C538="1/2W",O538/2+O538/2*L538,IF($C538="1/2L",O538/2,IF(I538="Lay",(O538*(L538/(L538-1))-O538)*(1-_xlfn.XLOOKUP(K538,'Fevereiro 2023 - Valor Real'!A3:A15,'Fevereiro 2023 - Valor Real'!C3:C15,0))+O538,(O538*L538-O538)*(1-_xlfn.XLOOKUP(K538,'Fevereiro 2023 - Valor Real'!A3:A15,'Fevereiro 2023 - Valor Real'!C3:C15,0))+O538))))</f>
        <v>45.945000000000007</v>
      </c>
      <c r="Q538" s="155">
        <f>IF(K538="","",IF(_xlfn.XLOOKUP(K538,K$9:K530,$DJ$9:DJ530,0,,-1)=DJ538,_xlfn.XLOOKUP(K538,K$9:K530,Q$9:Q530,1,,-1)+1,1))</f>
        <v>4</v>
      </c>
      <c r="R538" s="156">
        <f>IF(K538="","",_xlfn.XLOOKUP(K538,K$9:K530,R$9:R530,0,,-1)+IF($C538=" ",1,0))</f>
        <v>0</v>
      </c>
      <c r="S538" s="501">
        <f>IF($B538="Anulado",0,ROUND(IF(OR($B538="LOSS",$B538="OK"),IF(OR($C538="W",$C538="1/2W",$C538="1/2L"),P538-O538,IF($C538="L",-O538,0))+IF(OR($C539="W",$C539="1/2W",$C539="1/2L"),P539-O539,IF($C539="L",-O539,0))+IF(OR($C540="W",$C540="1/2W",$C540="1/2L"),P540-O540,IF($C540="L",-O540,0)),IF(AND(OR($C538="W",$C538="1/2W",$C538="1/2L"),C539="W"),P538+P539-SUM(O538:O540)+_xlfn.XLOOKUP("X",C538:C540,O538:O540,0),IF(AND(C538=TRUE,C540="W"),P538+P540-SUM(O538:O540),IF(AND(C539="W",C540="W"),P539+P540-SUM(O538:O540)+_xlfn.XLOOKUP("X",C538:C540,O538:O540,0),IF(L540&gt;0,IF(OR($C538="W",$C538="1/2W",$C538="1/2L"),P538-SUM(O538:O540)+_xlfn.XLOOKUP("X",C538:C540,O538:O540,0),IF(OR($C538="W",$C538="1/2W",$C538="1/2L"),P539-SUM(O538:O540)+_xlfn.XLOOKUP("X",C538:C540,O538:O540,0),IF(OR($C538="W",$C538="1/2W",$C538="1/2L"),P540-SUM(O538:O540)+_xlfn.XLOOKUP("X",C538:C540,O538:O540,0),IF(SUM(P538:P540)/3-SUM(O538:O540)+_xlfn.XLOOKUP("X",C538:C540,O538:O540,0)&gt;0,SUM(P538:P540)/3-SUM(O538:O540)+_xlfn.XLOOKUP("X",C538:C540,O538:O540,0),LARGE(P538:P540,1)-SUM(O538:O540))))),IF(OR($C538="W",$C538="1/2W",$C538="1/2L"),P538-SUM(O538:O539)+_xlfn.XLOOKUP("X",C538:C540,O538:O540,0),IF(OR($C538="W",$C538="1/2W",$C538="1/2L"),P539-SUM(O538:O539)+_xlfn.XLOOKUP("X",C538:C540,O538:O540,0),SUM(P538:P539)/2-SUM(O538:O539)+_xlfn.XLOOKUP("X",C538:C540,O538:O540,0)))))))),2))</f>
        <v>2.08</v>
      </c>
      <c r="T538" s="486">
        <f>IF(S538=0,0,S538/SUM(O538:O540))</f>
        <v>4.7423620611035111E-2</v>
      </c>
      <c r="U538" s="496">
        <f>IF($D538=$D535,IF(OR($B538="LOSS",$B538="OK",$B538="Anulada"),S538,0)+U535,IF(OR($B538="LOSS",$B538="OK",$B538="Anulada"),S538,0))</f>
        <v>19.810000000000002</v>
      </c>
      <c r="V538" s="496">
        <f>IF($D538="",0,IF($D538=$D535,IF($B538=" ",IF(I540="",IF(OR(AND(I538="DNB1",I539="DNB2"),AND(OR(I538="DNB1",I538="DNB2"),J539=0),AND(OR(I539="DNB1",I539="DNB2"),J538=0),AND(I538="DNB2",I539="DNB1"),AND(IF(J538=0,(J538+1)/ROUND(J538+1,0),J538/ROUND(J538,0))=1,IF(J539=0,(J539+1)/ROUND(IF(J539="",0,J539)+1,0),IF(J539="",0,J539)/ROUND(IF(J539="",1,J539),0))=1,OR(J538&lt;&gt;""),J539&lt;&gt;"")),0,IF(S538&lt;0,IF(I540="",SMALL(P538:P539,1)-SUM(O538:O539),0),SMALL(P538:P539,1)-SUM(O538:O539))),IF(S538&lt;0,IF(I540="",SMALL(P538:P540,1)-SUM(O538:O540),0),LARGE(P538:P540,1)-SUM(O538:O540))),S538)+V535,IF(I540="",IF(OR(AND(I538="DNB1",I539="DNB2"),AND(OR(I538="DNB1",I538="DNB2"),J539=0),AND(OR(I539="DNB1",I539="DNB2"),J538=0),AND(I538="DNB2",I539="DNB1"),AND(IF(J538=0,(J538+1)/ROUND(J538+1,0),J538/ROUND(J538,0))=1,IF(J539=0,(IF(J539="",0,J539)+1)/ROUND(IF(J539="",0,J539)+1,0),IF(J539="",0,J539)/ROUND(IF(J539="",0,J539)+1,0))=1,OR(J538&lt;&gt;""),J539&lt;&gt;"")),0,IF(S538&lt;0,IF(I540="",SMALL(P538:P539,1)-SUM(O538:O539),0),SMALL(P538:P540,1)-SUM(O538:O540))),IF(S538&lt;0,IF(I540="",SMALL(P538:P540,1)-SUM(O538:O540),0),LARGE(P538:P540,1)-SUM(O538:O540)))))</f>
        <v>19.805199999999999</v>
      </c>
      <c r="W538" s="496">
        <f>IF($D538=$D535,IF(S538&lt;0,IF(I540="",S538,0),S538)+W535,S538)</f>
        <v>19.810000000000002</v>
      </c>
      <c r="X538" s="505" t="str">
        <f>IF(OR(SUM(R538:R540)=0,V538=W538),ROUND(IF(W538=0,0,W538/Y538)*100,2)&amp;"%",ROUND(IF(V538=0,0,V538/Y538)*100,2)&amp;"% a "&amp;ROUND(IF(W538=0,0,W538/Y538)*100,2)&amp;"%")</f>
        <v>6,6%</v>
      </c>
      <c r="Y538" s="497">
        <f>IF($D538=$D535,Y535+SUM(O538:O540),SUM(O538:O540))</f>
        <v>300.08</v>
      </c>
      <c r="Z538" s="496">
        <f>IF($B538=" ",SUM(O538:O540),0)+Z535</f>
        <v>0</v>
      </c>
      <c r="AA538" s="496">
        <f>IF(G538="","",IF($B538="Anulado",LARGE(P538:P540,1)-SUM(O538:O540)+AA535,AA535))</f>
        <v>12.425099999999992</v>
      </c>
      <c r="AB538" s="496">
        <f>IF($D538="","",AB535+S538)</f>
        <v>617.91000000000054</v>
      </c>
      <c r="AC538" s="499">
        <f ca="1">IF($D538="","",IF($B538=" ",IF(DAY(G538)=DAY(TODAY()),1+AC535,0+AC535),0+AC535))</f>
        <v>0</v>
      </c>
      <c r="AD538" s="157">
        <f>(1-_xlfn.XLOOKUP(K536,'Fevereiro 2023 - Valor Real'!A3:A15,'Fevereiro 2023 - Valor Real'!C3:C15,0))+1</f>
        <v>2</v>
      </c>
      <c r="AE538" s="158">
        <f>IF(L538="","",IF(L540&gt;0,(SUM(((L538-1)*(1-_xlfn.XLOOKUP(K538,'Fevereiro 2023 - Valor Real'!A3:A15,'Fevereiro 2023 - Valor Real'!C3:C15,0))+1),((L539-1)*(1-_xlfn.XLOOKUP(K539,'Fevereiro 2023 - Valor Real'!A3:A15,'Fevereiro 2023 - Valor Real'!C3:C15,0))+1),((L540-1)*(1-_xlfn.XLOOKUP(K540,'Fevereiro 2023 - Valor Real'!A3:A15,'Fevereiro 2023 - Valor Real'!C3:C15,0))+1))/((L538-1)*(1-_xlfn.XLOOKUP(K538,'Fevereiro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Real'!C3:C15,0))+1))/((L538-1)*(1-_xlfn.XLOOKUP(K538,'Fevereiro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Real'!C3:C15,0))+1))/((L539-1)*(1-_xlfn.XLOOKUP(K539,'Fevereiro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Real'!C3:C15,0))+1))/((L540-1)*(1-_xlfn.XLOOKUP(K540,'Fevereiro 2023 - Valor Real'!A3:A15,'Fevereiro 2023 - Valor Real'!C3:C15,0))+1)),IF(I538="Lay",IF(I539="Lay",((L539/(L539-1)-1)*(1-_xlfn.XLOOKUP(K539,'Fevereiro 2023 - Valor Real'!A3:A15,'Fevereiro 2023 - Valor Real'!C3:C15,0))+1)/(((L539/(L539-1)-1)*(1-_xlfn.XLOOKUP(K539,'Fevereiro 2023 - Valor Real'!A3:A15,'Fevereiro 2023 - Valor Real'!C3:C15,0))+1)+((L538/(L538-1)-1)*(1-_xlfn.XLOOKUP(K538,'Fevereiro 2023 - Valor Real'!A3:A15,'Fevereiro 2023 - Valor Real'!C3:C15,0))+1)),((L539-1)*(1-_xlfn.XLOOKUP(K539,'Fevereiro 2023 - Valor Real'!A3:A15,'Fevereiro 2023 - Valor Real'!C3:C15,0))+1)/(((L539-1)*(1-_xlfn.XLOOKUP(K539,'Fevereiro 2023 - Valor Real'!A3:A15,'Fevereiro 2023 - Valor Real'!C3:C15,0))+1)+((L538/(L538-1)-1)*(1-_xlfn.XLOOKUP(K538,'Fevereiro 2023 - Valor Real'!A3:A15,'Fevereiro 2023 - Valor Real'!C3:C15,0))+1))),IF(I539="Lay",(((L539/(L539-1)-1)*(1-_xlfn.XLOOKUP(K539,'Fevereiro 2023 - Valor Real'!A3:A15,'Fevereiro 2023 - Valor Real'!C3:C15,0))+1))/(((L538-1)*(1-_xlfn.XLOOKUP(K538,'Fevereiro 2023 - Valor Real'!A3:A15,'Fevereiro 2023 - Valor Real'!C3:C15,0))+1)+((L539/(L539-1)-1)*(1-_xlfn.XLOOKUP(K539,'Fevereiro 2023 - Valor Real'!A3:A15,'Fevereiro 2023 - Valor Real'!C3:C15,0))+1)),((L539-1)*(1-_xlfn.XLOOKUP(K539,'Fevereiro 2023 - Valor Real'!A3:A15,'Fevereiro 2023 - Valor Real'!C3:C15,0))+1)/(((L539-1)*(1-_xlfn.XLOOKUP(K539,'Fevereiro 2023 - Valor Real'!A3:A15,'Fevereiro 2023 - Valor Real'!C3:C15,0))+1)+((L538-1)*(1-_xlfn.XLOOKUP(K538,'Fevereiro 2023 - Valor Real'!A3:A15,'Fevereiro 2023 - Valor Real'!C3:C15,0))+1))))))</f>
        <v>0.46555819477434679</v>
      </c>
      <c r="AF538" s="66">
        <f t="shared" si="1083"/>
        <v>0</v>
      </c>
      <c r="AG538" s="67">
        <f t="shared" si="1083"/>
        <v>-20.420000000000002</v>
      </c>
      <c r="AH538" s="67">
        <f t="shared" si="1083"/>
        <v>0</v>
      </c>
      <c r="AI538" s="67">
        <f t="shared" si="1083"/>
        <v>0</v>
      </c>
      <c r="AJ538" s="67">
        <f t="shared" si="1083"/>
        <v>0</v>
      </c>
      <c r="AK538" s="67">
        <f t="shared" si="1083"/>
        <v>0</v>
      </c>
      <c r="AL538" s="67">
        <f t="shared" si="1083"/>
        <v>0</v>
      </c>
      <c r="AM538" s="67">
        <f t="shared" si="1083"/>
        <v>0</v>
      </c>
      <c r="AN538" s="67">
        <f t="shared" si="1083"/>
        <v>0</v>
      </c>
      <c r="AO538" s="67">
        <f t="shared" si="1083"/>
        <v>0</v>
      </c>
      <c r="AP538" s="67">
        <f t="shared" si="1083"/>
        <v>0</v>
      </c>
      <c r="AQ538" s="67">
        <f t="shared" si="1083"/>
        <v>0</v>
      </c>
      <c r="AR538" s="68">
        <f t="shared" si="1083"/>
        <v>0</v>
      </c>
      <c r="AS538" s="66">
        <f t="shared" ref="AS538:BE538" si="1090">IF(AND($B538=" ",$K538=AS$3),$O538,0)</f>
        <v>0</v>
      </c>
      <c r="AT538" s="67">
        <f t="shared" si="1090"/>
        <v>0</v>
      </c>
      <c r="AU538" s="67">
        <f t="shared" si="1090"/>
        <v>0</v>
      </c>
      <c r="AV538" s="67">
        <f t="shared" si="1090"/>
        <v>0</v>
      </c>
      <c r="AW538" s="67">
        <f t="shared" si="1090"/>
        <v>0</v>
      </c>
      <c r="AX538" s="67">
        <f t="shared" si="1090"/>
        <v>0</v>
      </c>
      <c r="AY538" s="69">
        <f t="shared" si="1090"/>
        <v>0</v>
      </c>
      <c r="AZ538" s="70">
        <f t="shared" si="1090"/>
        <v>0</v>
      </c>
      <c r="BA538" s="70">
        <f t="shared" si="1090"/>
        <v>0</v>
      </c>
      <c r="BB538" s="70">
        <f t="shared" si="1090"/>
        <v>0</v>
      </c>
      <c r="BC538" s="71">
        <f t="shared" si="1090"/>
        <v>0</v>
      </c>
      <c r="BD538" s="67">
        <f t="shared" si="1090"/>
        <v>0</v>
      </c>
      <c r="BE538" s="68">
        <f t="shared" si="1090"/>
        <v>0</v>
      </c>
      <c r="BF538" s="66">
        <f t="shared" si="1085"/>
        <v>0</v>
      </c>
      <c r="BG538" s="67">
        <f t="shared" si="1085"/>
        <v>20.420000000000002</v>
      </c>
      <c r="BH538" s="67">
        <f t="shared" si="1085"/>
        <v>0</v>
      </c>
      <c r="BI538" s="67">
        <f t="shared" si="1085"/>
        <v>0</v>
      </c>
      <c r="BJ538" s="67">
        <f t="shared" si="1085"/>
        <v>0</v>
      </c>
      <c r="BK538" s="67">
        <f t="shared" si="1085"/>
        <v>0</v>
      </c>
      <c r="BL538" s="67">
        <f t="shared" si="1085"/>
        <v>0</v>
      </c>
      <c r="BM538" s="69">
        <f t="shared" si="1085"/>
        <v>0</v>
      </c>
      <c r="BN538" s="70">
        <f t="shared" si="1085"/>
        <v>0</v>
      </c>
      <c r="BO538" s="70">
        <f t="shared" si="1085"/>
        <v>0</v>
      </c>
      <c r="BP538" s="70">
        <f t="shared" si="1085"/>
        <v>0</v>
      </c>
      <c r="BQ538" s="71">
        <f t="shared" si="1085"/>
        <v>0</v>
      </c>
      <c r="BR538" s="68">
        <f t="shared" si="1085"/>
        <v>0</v>
      </c>
      <c r="BS538" s="490">
        <f>IF($B538="LOSS",IF(AND($K538=BS$3,$C538="L"),-$O538,0)+IF(AND($K539=BS$3,$C539="L"),-$O539,0)+IF(AND($K540=BS$3,$C540="L"),-$O540,0),IF(OR(AND($K538=BS$3,OR($C538="W",$C538="1/2W")),AND($K539=BS$3,OR($C539="W",$C539="1/2W")),AND($K540=BS$3,OR($C540="W",$C540="1/2W"))),$S538,0))</f>
        <v>0</v>
      </c>
      <c r="BT538" s="498">
        <f>IF($B538="LOSS",IF(AND($K538=BT$3,$C538="L"),-$O538,0)+IF(AND($K539=BT$3,$C539="L"),-$O539,0)+IF(AND($K539=BT$3,$C540="L"),-$O540,0),IF(OR(AND($K539=BT$3,OR($C538="W",$C538="1/2W")),AND($K539=BT$3,OR($C539="W",$C539="1/2W")),AND($K539=BT$3,OR($C540="W",$C540="1/2W"))),$S538,0))</f>
        <v>0</v>
      </c>
      <c r="BU538" s="488">
        <f>IF($B538="LOSS",IF(AND($K538=BU$3,$C538="L"),-$O538,0)+IF(AND($K539=BU$3,$C539="L"),-$O539,0)+IF(AND($K539=BU$3,$C540="L"),-$O540,0),IF(OR(AND($K539=BU$3,OR($C538="W",$C538="1/2W")),AND($K539=BU$3,OR($C539="W",$C539="1/2W")),AND($K539=BU$3,OR($C540="W",$C540="1/2W"))),$S538,0))</f>
        <v>0</v>
      </c>
      <c r="BV538" s="488">
        <f t="shared" ref="BV538:CE538" si="1091">IF($B538="LOSS",IF(AND($K538=BV$3,$C538="L"),-$O538,0)+IF(AND($K539=BV$3,$C539="L"),-$O539,0)+IF(AND($K540=BV$3,$C540="L"),-$O540,0),IF(OR(AND($K538=BV$3,OR($C538="W",$C538="1/2W")),AND($K539=BV$3,OR($C539="W",$C539="1/2W")),AND($K540=BV$3,OR($C540="W",$C540="1/2W"))),$S538,0))</f>
        <v>0</v>
      </c>
      <c r="BW538" s="488">
        <f t="shared" si="1091"/>
        <v>2.08</v>
      </c>
      <c r="BX538" s="488">
        <f t="shared" si="1091"/>
        <v>0</v>
      </c>
      <c r="BY538" s="488">
        <f t="shared" si="1091"/>
        <v>0</v>
      </c>
      <c r="BZ538" s="488">
        <f t="shared" si="1091"/>
        <v>0</v>
      </c>
      <c r="CA538" s="488">
        <f t="shared" si="1091"/>
        <v>0</v>
      </c>
      <c r="CB538" s="488">
        <f t="shared" si="1091"/>
        <v>0</v>
      </c>
      <c r="CC538" s="488">
        <f t="shared" si="1091"/>
        <v>0</v>
      </c>
      <c r="CD538" s="500">
        <f t="shared" si="1091"/>
        <v>0</v>
      </c>
      <c r="CE538" s="504">
        <f t="shared" si="1091"/>
        <v>0</v>
      </c>
      <c r="CF538" s="160">
        <f t="shared" si="1028"/>
        <v>0</v>
      </c>
      <c r="CG538" s="161">
        <f t="shared" si="1029"/>
        <v>0</v>
      </c>
      <c r="CH538" s="161">
        <f t="shared" si="1030"/>
        <v>0</v>
      </c>
      <c r="CI538" s="161">
        <f t="shared" si="1031"/>
        <v>1</v>
      </c>
      <c r="CJ538" s="161">
        <f t="shared" si="1032"/>
        <v>0</v>
      </c>
      <c r="CK538" s="161">
        <f t="shared" si="1033"/>
        <v>0</v>
      </c>
      <c r="CL538" s="161">
        <f t="shared" si="1034"/>
        <v>0</v>
      </c>
      <c r="CM538" s="161">
        <f t="shared" si="1035"/>
        <v>0</v>
      </c>
      <c r="CN538" s="161">
        <f t="shared" si="1036"/>
        <v>0</v>
      </c>
      <c r="CO538" s="161">
        <f t="shared" si="1037"/>
        <v>0</v>
      </c>
      <c r="CP538" s="161">
        <f t="shared" si="1038"/>
        <v>0</v>
      </c>
      <c r="CQ538" s="161">
        <f t="shared" si="1039"/>
        <v>0</v>
      </c>
      <c r="CR538" s="161">
        <f t="shared" si="1040"/>
        <v>0</v>
      </c>
      <c r="CS538" s="161">
        <f t="shared" si="1041"/>
        <v>0</v>
      </c>
      <c r="CT538" s="75">
        <f t="shared" si="1042"/>
        <v>0</v>
      </c>
      <c r="CU538" s="76">
        <f t="shared" si="1043"/>
        <v>0</v>
      </c>
      <c r="CV538" s="76">
        <f t="shared" si="1044"/>
        <v>0</v>
      </c>
      <c r="CW538" s="76">
        <f t="shared" si="1045"/>
        <v>0</v>
      </c>
      <c r="CX538" s="76">
        <f t="shared" si="1046"/>
        <v>0</v>
      </c>
      <c r="CY538" s="76">
        <f t="shared" si="1047"/>
        <v>0</v>
      </c>
      <c r="CZ538" s="76">
        <f t="shared" si="1048"/>
        <v>0</v>
      </c>
      <c r="DA538" s="76">
        <f t="shared" si="1049"/>
        <v>0</v>
      </c>
      <c r="DB538" s="76">
        <f t="shared" si="1050"/>
        <v>0</v>
      </c>
      <c r="DC538" s="76">
        <f t="shared" si="1051"/>
        <v>0</v>
      </c>
      <c r="DD538" s="76">
        <f t="shared" si="1052"/>
        <v>0</v>
      </c>
      <c r="DE538" s="77">
        <f t="shared" si="1053"/>
        <v>0</v>
      </c>
      <c r="DF538" s="73">
        <f t="shared" si="1056"/>
        <v>33</v>
      </c>
      <c r="DG538" s="67">
        <f t="shared" si="1057"/>
        <v>43.031999999999989</v>
      </c>
      <c r="DH538" s="76">
        <f t="shared" si="1058"/>
        <v>13</v>
      </c>
      <c r="DI538" s="67">
        <f t="shared" si="1059"/>
        <v>56.05</v>
      </c>
      <c r="DJ538" s="202" t="str">
        <f>IF($D538="","",$D538)</f>
        <v>16</v>
      </c>
      <c r="DK538" s="492">
        <f>IF(AND($B538=" ",$D538&lt;&gt;""),1,0)</f>
        <v>0</v>
      </c>
    </row>
    <row r="539" spans="1:115" ht="14.5" customHeight="1" x14ac:dyDescent="0.2">
      <c r="A539" s="389"/>
      <c r="B539" s="456"/>
      <c r="C539" s="53" t="s">
        <v>54</v>
      </c>
      <c r="D539" s="374"/>
      <c r="E539" s="386"/>
      <c r="F539" s="377"/>
      <c r="G539" s="508"/>
      <c r="H539" s="476"/>
      <c r="I539" s="182" t="s">
        <v>52</v>
      </c>
      <c r="J539" s="56">
        <f>IF(OR(I538="TO",I538="TU",I538="TO1",I538="TU1",I538="TO2",I538="TU2"),J538,IF(OR(I538="AH1",I538="AH2"),IF(OR(I539="AH1",I539="AH2"),-J538,IF(OR(I539="EH1",I539="EH2"),-J538+0.5,"")),IF(OR(I538="EH1",I538="EH2"),IF(OR(I539="AH1",I539="AH2"),-J538+0.5,IF(OR(I539="EH1",I539="EH2"),-J538+1,"")),IF(AND(OR(I538="DNB1",I538="DNB2"),OR(I539="AH1",I539="AH2")),0,IF(AND(I538="Not ScoreBoth",OR(I539="TO1",I539="TO2")),0.5,"")))))</f>
        <v>5.5</v>
      </c>
      <c r="K539" s="57" t="s">
        <v>40</v>
      </c>
      <c r="L539" s="164">
        <v>1.96</v>
      </c>
      <c r="M539" s="165">
        <v>23.44</v>
      </c>
      <c r="N539" s="406"/>
      <c r="O539" s="60">
        <f>IF(OR(AE538="",AE539=""),"",ROUND(IF(L540&gt;0,IF(M539&gt;0,M539,IF(M538&gt;0,IF(N538=TRUE,ROUND((M538*AE539)/AE538,0),(M538*AE539)/AE538),IF(M539&gt;0,ROUND(M539,IF(N538=0,2,IF(N538=0.1,1,0))),IF(M540&gt;0,ROUND(O540*AE539/AE540,IF(N538=0,2,IF(N538=0.1,1,0))),0)))),IF(M539&gt;0,M539,ROUND((M538*AE539)/AE538,IF(N538=0,2,IF(N538=0.1,1,0))))),2))</f>
        <v>23.44</v>
      </c>
      <c r="P539" s="61">
        <f>IF(OR(L539="",O539=""),"",IF($C539="1/2W",O539/2+O539/2*L539,IF($C539="1/2L",O539/2,IF(I539="Lay",((O539*(L539/(L539-1)))-O539)*(1-_xlfn.XLOOKUP(K539,'Fevereiro 2023 - Valor Real'!A3:A15,'Fevereiro 2023 - Valor Real'!C3:C15,0))+O539,(O539*L539-O539)*(1-_xlfn.XLOOKUP(K539,'Fevereiro 2023 - Valor Real'!A3:A15,'Fevereiro 2023 - Valor Real'!C3:C15,0))+O539))))</f>
        <v>45.942399999999999</v>
      </c>
      <c r="Q539" s="166">
        <f>IF(K539="","",IF(_xlfn.XLOOKUP(K539,K$10:K530,$DJ$10:DJ530,0,,-1)=DJ539,_xlfn.XLOOKUP(K539,K$10:K530,Q$10:Q530,1,,-1)+1,1))</f>
        <v>6</v>
      </c>
      <c r="R539" s="167">
        <f>IF(K539="","",_xlfn.XLOOKUP(K539,K$10:K530,R$10:R530,0,,-1)+IF($C539=" ",1,0))</f>
        <v>0</v>
      </c>
      <c r="S539" s="403"/>
      <c r="T539" s="380"/>
      <c r="U539" s="380"/>
      <c r="V539" s="481"/>
      <c r="W539" s="380"/>
      <c r="X539" s="452"/>
      <c r="Y539" s="383"/>
      <c r="Z539" s="384"/>
      <c r="AA539" s="384"/>
      <c r="AB539" s="384"/>
      <c r="AC539" s="384"/>
      <c r="AD539" s="64"/>
      <c r="AE539" s="65">
        <f>IF(L539="","",IF(L540&gt;0,(SUM(((L538-1)*(1-_xlfn.XLOOKUP(K538,'Fevereiro 2023 - Valor Real'!A3:A15,'Fevereiro 2023 - Valor Real'!C3:C15,0))+1),((L539-1)*(1-_xlfn.XLOOKUP(K539,'Fevereiro 2023 - Valor Real'!A3:A15,'Fevereiro 2023 - Valor Real'!C3:C15,0))+1),((L540-1)*(1-_xlfn.XLOOKUP(K540,'Fevereiro 2023 - Valor Real'!A3:A15,'Fevereiro 2023 - Valor Real'!C3:C15,0))+1))/((L539-1)*(1-_xlfn.XLOOKUP(K539,'Fevereiro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Real'!C3:C15,0))+1))/((L538-1)*(1-_xlfn.XLOOKUP(K538,'Fevereiro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Real'!C3:C15,0))+1))/((L539-1)*(1-_xlfn.XLOOKUP(K539,'Fevereiro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Real'!C3:C15,0))+1))/((L540-1)*(1-_xlfn.XLOOKUP(K540,'Fevereiro 2023 - Valor Real'!A3:A15,'Fevereiro 2023 - Valor Real'!C3:C15,0))+1)),IF(I539="Lay",IF(I538="Lay",((L538/(L538-1)-1)*(1-_xlfn.XLOOKUP(K538,'Fevereiro 2023 - Valor Real'!A3:A15,'Fevereiro 2023 - Valor Real'!C3:C15,0))+1)/(((L538/(L538-1)-1)*(1-_xlfn.XLOOKUP(K538,'Fevereiro 2023 - Valor Real'!A3:A15,'Fevereiro 2023 - Valor Real'!C3:C15,0))+1)+((L539/(L539-1)-1)*(1-_xlfn.XLOOKUP(K539,'Fevereiro 2023 - Valor Real'!A3:A15,'Fevereiro 2023 - Valor Real'!C3:C15,0))+1)),((L538-1)*(1-_xlfn.XLOOKUP(K538,'Fevereiro 2023 - Valor Real'!A3:A15,'Fevereiro 2023 - Valor Real'!C3:C15,0))+1)/(((L538-1)*(1-_xlfn.XLOOKUP(K538,'Fevereiro 2023 - Valor Real'!A3:A15,'Fevereiro 2023 - Valor Real'!C3:C15,0))+1)+((L539/(L539-1)-1)*(1-_xlfn.XLOOKUP(K539,'Fevereiro 2023 - Valor Real'!A3:A15,'Fevereiro 2023 - Valor Real'!C3:C15,0))+1))),IF(I538="Lay",((L538/(L538-1)-1)*(1-_xlfn.XLOOKUP(K538,'Fevereiro 2023 - Valor Real'!A3:A15,'Fevereiro 2023 - Valor Real'!C3:C15,0))+1)/((((L538/(L538-1)-1)*(1-_xlfn.XLOOKUP(K538,'Fevereiro 2023 - Valor Real'!A3:A15,'Fevereiro 2023 - Valor Real'!C3:C15,0))+1))+((L539-1)*(1-_xlfn.XLOOKUP(K539,'Fevereiro 2023 - Valor Real'!A3:A15,'Fevereiro 2023 - Valor Real'!C3:C15,0))+1)),((L538-1)*(1-_xlfn.XLOOKUP(K538,'Fevereiro 2023 - Valor Real'!A3:A15,'Fevereiro 2023 - Valor Real'!C3:C15,0))+1)/(((L538-1)*(1-_xlfn.XLOOKUP(K538,'Fevereiro 2023 - Valor Real'!A3:A15,'Fevereiro 2023 - Valor Real'!C3:C15,0))+1)+((L539-1)*(1-_xlfn.XLOOKUP(K539,'Fevereiro 2023 - Valor Real'!A3:A15,'Fevereiro 2023 - Valor Real'!C3:C15,0))+1))))))</f>
        <v>0.53444180522565321</v>
      </c>
      <c r="AF539" s="66">
        <f t="shared" si="1083"/>
        <v>0</v>
      </c>
      <c r="AG539" s="67">
        <f t="shared" si="1083"/>
        <v>0</v>
      </c>
      <c r="AH539" s="67">
        <f t="shared" si="1083"/>
        <v>0</v>
      </c>
      <c r="AI539" s="67">
        <f t="shared" si="1083"/>
        <v>0</v>
      </c>
      <c r="AJ539" s="67">
        <f t="shared" si="1083"/>
        <v>22.5</v>
      </c>
      <c r="AK539" s="67">
        <f t="shared" si="1083"/>
        <v>0</v>
      </c>
      <c r="AL539" s="67">
        <f t="shared" si="1083"/>
        <v>0</v>
      </c>
      <c r="AM539" s="67">
        <f t="shared" si="1083"/>
        <v>0</v>
      </c>
      <c r="AN539" s="67">
        <f t="shared" si="1083"/>
        <v>0</v>
      </c>
      <c r="AO539" s="67">
        <f t="shared" si="1083"/>
        <v>0</v>
      </c>
      <c r="AP539" s="67">
        <f t="shared" si="1083"/>
        <v>0</v>
      </c>
      <c r="AQ539" s="67">
        <f t="shared" si="1083"/>
        <v>0</v>
      </c>
      <c r="AR539" s="68">
        <f t="shared" si="1083"/>
        <v>0</v>
      </c>
      <c r="AS539" s="66">
        <f>IF(AND($B538=" ",$K539=AS$3),$O539,0)</f>
        <v>0</v>
      </c>
      <c r="AT539" s="67">
        <f>IF(AND($B538=" ",K539=AT$3),$O539,0)</f>
        <v>0</v>
      </c>
      <c r="AU539" s="67">
        <f t="shared" ref="AU539:BE539" si="1092">IF(AND($B538=" ",$K539=AU$3),$O539,0)</f>
        <v>0</v>
      </c>
      <c r="AV539" s="67">
        <f t="shared" si="1092"/>
        <v>0</v>
      </c>
      <c r="AW539" s="67">
        <f t="shared" si="1092"/>
        <v>0</v>
      </c>
      <c r="AX539" s="67">
        <f t="shared" si="1092"/>
        <v>0</v>
      </c>
      <c r="AY539" s="69">
        <f t="shared" si="1092"/>
        <v>0</v>
      </c>
      <c r="AZ539" s="70">
        <f t="shared" si="1092"/>
        <v>0</v>
      </c>
      <c r="BA539" s="70">
        <f t="shared" si="1092"/>
        <v>0</v>
      </c>
      <c r="BB539" s="70">
        <f t="shared" si="1092"/>
        <v>0</v>
      </c>
      <c r="BC539" s="71">
        <f t="shared" si="1092"/>
        <v>0</v>
      </c>
      <c r="BD539" s="67">
        <f t="shared" si="1092"/>
        <v>0</v>
      </c>
      <c r="BE539" s="68">
        <f t="shared" si="1092"/>
        <v>0</v>
      </c>
      <c r="BF539" s="66">
        <f t="shared" si="1085"/>
        <v>0</v>
      </c>
      <c r="BG539" s="168">
        <f t="shared" si="1085"/>
        <v>0</v>
      </c>
      <c r="BH539" s="67">
        <f t="shared" si="1085"/>
        <v>0</v>
      </c>
      <c r="BI539" s="67">
        <f t="shared" si="1085"/>
        <v>0</v>
      </c>
      <c r="BJ539" s="67">
        <f t="shared" si="1085"/>
        <v>23.44</v>
      </c>
      <c r="BK539" s="67">
        <f t="shared" si="1085"/>
        <v>0</v>
      </c>
      <c r="BL539" s="67">
        <f t="shared" si="1085"/>
        <v>0</v>
      </c>
      <c r="BM539" s="69">
        <f t="shared" si="1085"/>
        <v>0</v>
      </c>
      <c r="BN539" s="70">
        <f t="shared" si="1085"/>
        <v>0</v>
      </c>
      <c r="BO539" s="70">
        <f t="shared" si="1085"/>
        <v>0</v>
      </c>
      <c r="BP539" s="70">
        <f t="shared" si="1085"/>
        <v>0</v>
      </c>
      <c r="BQ539" s="71">
        <f t="shared" si="1085"/>
        <v>0</v>
      </c>
      <c r="BR539" s="68">
        <f t="shared" si="1085"/>
        <v>0</v>
      </c>
      <c r="BS539" s="491"/>
      <c r="BT539" s="489"/>
      <c r="BU539" s="392"/>
      <c r="BV539" s="489"/>
      <c r="BW539" s="392"/>
      <c r="BX539" s="392"/>
      <c r="BY539" s="392"/>
      <c r="BZ539" s="489"/>
      <c r="CA539" s="392"/>
      <c r="CB539" s="392"/>
      <c r="CC539" s="392"/>
      <c r="CD539" s="401"/>
      <c r="CE539" s="409"/>
      <c r="CF539" s="169">
        <f t="shared" si="1028"/>
        <v>0</v>
      </c>
      <c r="CG539" s="170">
        <f t="shared" si="1029"/>
        <v>0</v>
      </c>
      <c r="CH539" s="170">
        <f t="shared" si="1030"/>
        <v>0</v>
      </c>
      <c r="CI539" s="170">
        <f t="shared" si="1031"/>
        <v>0</v>
      </c>
      <c r="CJ539" s="170">
        <f t="shared" si="1032"/>
        <v>0</v>
      </c>
      <c r="CK539" s="170">
        <f t="shared" si="1033"/>
        <v>0</v>
      </c>
      <c r="CL539" s="170">
        <f t="shared" si="1034"/>
        <v>0</v>
      </c>
      <c r="CM539" s="170">
        <f t="shared" si="1035"/>
        <v>0</v>
      </c>
      <c r="CN539" s="170">
        <f t="shared" si="1036"/>
        <v>1</v>
      </c>
      <c r="CO539" s="170">
        <f t="shared" si="1037"/>
        <v>0</v>
      </c>
      <c r="CP539" s="170">
        <f t="shared" si="1038"/>
        <v>0</v>
      </c>
      <c r="CQ539" s="170">
        <f t="shared" si="1039"/>
        <v>0</v>
      </c>
      <c r="CR539" s="170">
        <f t="shared" si="1040"/>
        <v>0</v>
      </c>
      <c r="CS539" s="170">
        <f t="shared" si="1041"/>
        <v>0</v>
      </c>
      <c r="CT539" s="75">
        <f t="shared" si="1042"/>
        <v>0</v>
      </c>
      <c r="CU539" s="76">
        <f t="shared" si="1043"/>
        <v>0</v>
      </c>
      <c r="CV539" s="76">
        <f t="shared" si="1044"/>
        <v>0</v>
      </c>
      <c r="CW539" s="76">
        <f t="shared" si="1045"/>
        <v>0</v>
      </c>
      <c r="CX539" s="76">
        <f t="shared" si="1046"/>
        <v>0</v>
      </c>
      <c r="CY539" s="76">
        <f t="shared" si="1047"/>
        <v>0</v>
      </c>
      <c r="CZ539" s="76">
        <f t="shared" si="1048"/>
        <v>0</v>
      </c>
      <c r="DA539" s="76">
        <f t="shared" si="1049"/>
        <v>0</v>
      </c>
      <c r="DB539" s="76">
        <f t="shared" si="1050"/>
        <v>0</v>
      </c>
      <c r="DC539" s="76">
        <f t="shared" si="1051"/>
        <v>0</v>
      </c>
      <c r="DD539" s="76">
        <f t="shared" si="1052"/>
        <v>0</v>
      </c>
      <c r="DE539" s="77">
        <f t="shared" si="1053"/>
        <v>0</v>
      </c>
      <c r="DF539" s="73">
        <f t="shared" si="1056"/>
        <v>33</v>
      </c>
      <c r="DG539" s="67">
        <f t="shared" si="1057"/>
        <v>43.031999999999989</v>
      </c>
      <c r="DH539" s="76">
        <f t="shared" si="1058"/>
        <v>13</v>
      </c>
      <c r="DI539" s="67">
        <f t="shared" si="1059"/>
        <v>56.05</v>
      </c>
      <c r="DJ539" s="202" t="str">
        <f>IF($D538="","",$D538)</f>
        <v>16</v>
      </c>
      <c r="DK539" s="493"/>
    </row>
    <row r="540" spans="1:115" ht="14.5" customHeight="1" x14ac:dyDescent="0.2">
      <c r="A540" s="390"/>
      <c r="B540" s="457"/>
      <c r="C540" s="79" t="s">
        <v>53</v>
      </c>
      <c r="D540" s="375"/>
      <c r="E540" s="387"/>
      <c r="F540" s="378"/>
      <c r="G540" s="508"/>
      <c r="H540" s="477"/>
      <c r="I540" s="171"/>
      <c r="J540" s="172"/>
      <c r="K540" s="81"/>
      <c r="L540" s="173"/>
      <c r="M540" s="174"/>
      <c r="N540" s="407"/>
      <c r="O540" s="86" t="str">
        <f>IF(OR(AE538="",AE539=""),"",IF(L540&gt;0,ROUND(IF(M540&gt;0,M540,IF(M538&gt;0,ROUND((M538*AE540)/AE538,IF(N538=0,2,IF(N538=0.1,1,0))),IF(M539&gt;0,ROUND((M539*AE540)/AE539,IF(N538=0,2,IF(N538=0.1,1,0))),IF(M540&gt;0,M540,0)))),2),""))</f>
        <v/>
      </c>
      <c r="P540" s="87" t="str">
        <f>IF(I539="Lay",O539*(L539/(L539-1))-O539,IF(I538="Lay",O538*(L538/(L538-1))-O538,IF(OR(L540="",O540=""),"",IF($C540="1/2W",O540/2+O540/2*L540,IF($C540="1/2L",O540/2,(O540*L540-O540)*(1-_xlfn.XLOOKUP(K540,'Fevereiro 2023 - Valor Real'!A3:A15,'Fevereiro 2023 - Valor Real'!C3:C15,0))+O540)))))</f>
        <v/>
      </c>
      <c r="Q540" s="54" t="str">
        <f>IF(K540="","",IF(_xlfn.XLOOKUP(K540,K$11:K530,$DJ$11:DJ530,0,,-1)=DJ540,_xlfn.XLOOKUP(K540,K$11:K530,Q$11:Q530,1,,-1)+1,1))</f>
        <v/>
      </c>
      <c r="R540" s="87" t="str">
        <f>IF(K540="","",_xlfn.XLOOKUP(K540,K$11:K530,R$11:R530,0,,-1)+IF($C540=" ",1,0))</f>
        <v/>
      </c>
      <c r="S540" s="404"/>
      <c r="T540" s="378"/>
      <c r="U540" s="378"/>
      <c r="V540" s="404"/>
      <c r="W540" s="378"/>
      <c r="X540" s="453"/>
      <c r="Y540" s="383"/>
      <c r="Z540" s="384"/>
      <c r="AA540" s="384"/>
      <c r="AB540" s="384"/>
      <c r="AC540" s="384"/>
      <c r="AD540" s="90"/>
      <c r="AE540" s="91" t="str">
        <f>IF(L540="","",(SUM(((L538-1)*(1-_xlfn.XLOOKUP(K538,'Fevereiro 2023 - Valor Real'!A3:A15,'Fevereiro 2023 - Valor Real'!C3:C15,0))+1),((L539-1)*(1-_xlfn.XLOOKUP(K539,'Fevereiro 2023 - Valor Real'!A3:A15,'Fevereiro 2023 - Valor Real'!C3:C15,0))+1),((L540-1)*(1-_xlfn.XLOOKUP(K540,'Fevereiro 2023 - Valor Real'!A3:A15,'Fevereiro 2023 - Valor Real'!C3:C15,0))+1))/((L540-1)*(1-_xlfn.XLOOKUP(K540,'Fevereiro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Real'!C3:C15,0))+1))/((L538-1)*(1-_xlfn.XLOOKUP(K538,'Fevereiro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Real'!C3:C15,0))+1))/((L539-1)*(1-_xlfn.XLOOKUP(K539,'Fevereiro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Real'!C3:C15,0))+1))/((L540-1)*(1-_xlfn.XLOOKUP(K540,'Fevereiro 2023 - Valor Real'!A3:A15,'Fevereiro 2023 - Valor Real'!C3:C15,0))+1)))</f>
        <v/>
      </c>
      <c r="AF540" s="66">
        <f t="shared" si="1083"/>
        <v>0</v>
      </c>
      <c r="AG540" s="67">
        <f t="shared" si="1083"/>
        <v>0</v>
      </c>
      <c r="AH540" s="67">
        <f t="shared" si="1083"/>
        <v>0</v>
      </c>
      <c r="AI540" s="67">
        <f t="shared" si="1083"/>
        <v>0</v>
      </c>
      <c r="AJ540" s="67">
        <f t="shared" si="1083"/>
        <v>0</v>
      </c>
      <c r="AK540" s="67">
        <f t="shared" si="1083"/>
        <v>0</v>
      </c>
      <c r="AL540" s="67">
        <f t="shared" si="1083"/>
        <v>0</v>
      </c>
      <c r="AM540" s="67">
        <f t="shared" si="1083"/>
        <v>0</v>
      </c>
      <c r="AN540" s="67">
        <f t="shared" si="1083"/>
        <v>0</v>
      </c>
      <c r="AO540" s="67">
        <f t="shared" si="1083"/>
        <v>0</v>
      </c>
      <c r="AP540" s="67">
        <f t="shared" si="1083"/>
        <v>0</v>
      </c>
      <c r="AQ540" s="67">
        <f t="shared" si="1083"/>
        <v>0</v>
      </c>
      <c r="AR540" s="68">
        <f t="shared" si="1083"/>
        <v>0</v>
      </c>
      <c r="AS540" s="66">
        <f>IF(AND($B538=" ",$K540=AS$3),$O540,0)</f>
        <v>0</v>
      </c>
      <c r="AT540" s="67">
        <f>IF(AND($B538=" ",K540=AT$3),$O540,0)</f>
        <v>0</v>
      </c>
      <c r="AU540" s="67">
        <f t="shared" ref="AU540:BE540" si="1093">IF(AND($B538=" ",$K540=AU$3),$O540,0)</f>
        <v>0</v>
      </c>
      <c r="AV540" s="67">
        <f t="shared" si="1093"/>
        <v>0</v>
      </c>
      <c r="AW540" s="67">
        <f t="shared" si="1093"/>
        <v>0</v>
      </c>
      <c r="AX540" s="67">
        <f t="shared" si="1093"/>
        <v>0</v>
      </c>
      <c r="AY540" s="69">
        <f t="shared" si="1093"/>
        <v>0</v>
      </c>
      <c r="AZ540" s="70">
        <f t="shared" si="1093"/>
        <v>0</v>
      </c>
      <c r="BA540" s="70">
        <f t="shared" si="1093"/>
        <v>0</v>
      </c>
      <c r="BB540" s="70">
        <f t="shared" si="1093"/>
        <v>0</v>
      </c>
      <c r="BC540" s="71">
        <f t="shared" si="1093"/>
        <v>0</v>
      </c>
      <c r="BD540" s="67">
        <f t="shared" si="1093"/>
        <v>0</v>
      </c>
      <c r="BE540" s="68">
        <f t="shared" si="1093"/>
        <v>0</v>
      </c>
      <c r="BF540" s="66">
        <f t="shared" si="1085"/>
        <v>0</v>
      </c>
      <c r="BG540" s="168">
        <f t="shared" si="1085"/>
        <v>0</v>
      </c>
      <c r="BH540" s="67">
        <f t="shared" si="1085"/>
        <v>0</v>
      </c>
      <c r="BI540" s="67">
        <f t="shared" si="1085"/>
        <v>0</v>
      </c>
      <c r="BJ540" s="67">
        <f t="shared" si="1085"/>
        <v>0</v>
      </c>
      <c r="BK540" s="67">
        <f t="shared" si="1085"/>
        <v>0</v>
      </c>
      <c r="BL540" s="67">
        <f t="shared" si="1085"/>
        <v>0</v>
      </c>
      <c r="BM540" s="69">
        <f t="shared" si="1085"/>
        <v>0</v>
      </c>
      <c r="BN540" s="70">
        <f t="shared" si="1085"/>
        <v>0</v>
      </c>
      <c r="BO540" s="70">
        <f t="shared" si="1085"/>
        <v>0</v>
      </c>
      <c r="BP540" s="70">
        <f t="shared" si="1085"/>
        <v>0</v>
      </c>
      <c r="BQ540" s="71">
        <f t="shared" si="1085"/>
        <v>0</v>
      </c>
      <c r="BR540" s="68">
        <f t="shared" si="1085"/>
        <v>0</v>
      </c>
      <c r="BS540" s="491"/>
      <c r="BT540" s="489"/>
      <c r="BU540" s="392"/>
      <c r="BV540" s="489"/>
      <c r="BW540" s="392"/>
      <c r="BX540" s="392"/>
      <c r="BY540" s="392"/>
      <c r="BZ540" s="489"/>
      <c r="CA540" s="392"/>
      <c r="CB540" s="392"/>
      <c r="CC540" s="392"/>
      <c r="CD540" s="401"/>
      <c r="CE540" s="409"/>
      <c r="CF540" s="169">
        <f t="shared" si="1028"/>
        <v>0</v>
      </c>
      <c r="CG540" s="170">
        <f t="shared" si="1029"/>
        <v>0</v>
      </c>
      <c r="CH540" s="170">
        <f t="shared" si="1030"/>
        <v>0</v>
      </c>
      <c r="CI540" s="170">
        <f t="shared" si="1031"/>
        <v>0</v>
      </c>
      <c r="CJ540" s="170">
        <f t="shared" si="1032"/>
        <v>0</v>
      </c>
      <c r="CK540" s="170">
        <f t="shared" si="1033"/>
        <v>0</v>
      </c>
      <c r="CL540" s="170">
        <f t="shared" si="1034"/>
        <v>0</v>
      </c>
      <c r="CM540" s="170">
        <f t="shared" si="1035"/>
        <v>0</v>
      </c>
      <c r="CN540" s="170">
        <f t="shared" si="1036"/>
        <v>0</v>
      </c>
      <c r="CO540" s="170">
        <f t="shared" si="1037"/>
        <v>0</v>
      </c>
      <c r="CP540" s="170">
        <f t="shared" si="1038"/>
        <v>0</v>
      </c>
      <c r="CQ540" s="170">
        <f t="shared" si="1039"/>
        <v>0</v>
      </c>
      <c r="CR540" s="170">
        <f t="shared" si="1040"/>
        <v>0</v>
      </c>
      <c r="CS540" s="170">
        <f t="shared" si="1041"/>
        <v>0</v>
      </c>
      <c r="CT540" s="75">
        <f t="shared" si="1042"/>
        <v>0</v>
      </c>
      <c r="CU540" s="76">
        <f t="shared" si="1043"/>
        <v>0</v>
      </c>
      <c r="CV540" s="76">
        <f t="shared" si="1044"/>
        <v>0</v>
      </c>
      <c r="CW540" s="76">
        <f t="shared" si="1045"/>
        <v>0</v>
      </c>
      <c r="CX540" s="76">
        <f t="shared" si="1046"/>
        <v>0</v>
      </c>
      <c r="CY540" s="76">
        <f t="shared" si="1047"/>
        <v>0</v>
      </c>
      <c r="CZ540" s="76">
        <f t="shared" si="1048"/>
        <v>0</v>
      </c>
      <c r="DA540" s="76">
        <f t="shared" si="1049"/>
        <v>0</v>
      </c>
      <c r="DB540" s="76">
        <f t="shared" si="1050"/>
        <v>0</v>
      </c>
      <c r="DC540" s="76">
        <f t="shared" si="1051"/>
        <v>0</v>
      </c>
      <c r="DD540" s="76">
        <f t="shared" si="1052"/>
        <v>0</v>
      </c>
      <c r="DE540" s="77">
        <f t="shared" si="1053"/>
        <v>0</v>
      </c>
      <c r="DF540" s="73">
        <f t="shared" si="1056"/>
        <v>33</v>
      </c>
      <c r="DG540" s="67">
        <f t="shared" si="1057"/>
        <v>43.031999999999989</v>
      </c>
      <c r="DH540" s="76">
        <f t="shared" si="1058"/>
        <v>13</v>
      </c>
      <c r="DI540" s="67">
        <f t="shared" si="1059"/>
        <v>56.05</v>
      </c>
      <c r="DJ540" s="202" t="str">
        <f>IF($D538="","",$D538)</f>
        <v>16</v>
      </c>
      <c r="DK540" s="493"/>
    </row>
    <row r="541" spans="1:115" ht="14.5" customHeight="1" x14ac:dyDescent="0.2">
      <c r="A541" s="459">
        <f>$A538+1</f>
        <v>180</v>
      </c>
      <c r="B541" s="507" t="str">
        <f>IF(OR(C541="W",C542="W",C543="W",C541="1/2W",C542="1/2W",C543="1/2W",C541="1/2L",C542="1/2L",C543="1/2L"),"OK",IF(OR(C541="L",C542="L",C543="L"),"LOSS",IF(OR(C541="X",C542="X",C543="X"),"Anulado"," ")))</f>
        <v>OK</v>
      </c>
      <c r="C541" s="93" t="s">
        <v>54</v>
      </c>
      <c r="D541" s="468" t="str">
        <f>IF(G541="","",$D538)</f>
        <v>16</v>
      </c>
      <c r="E541" s="485" t="str">
        <f>IF(G541=""," ","– "&amp;COUNTIF(D$4:D543,$D541))</f>
        <v>– 12</v>
      </c>
      <c r="F541" s="509" t="str">
        <f ca="1">IF(G541="","",IF(OR(AND($C541&lt;&gt;" ",$C542=" "),AND($C542&lt;&gt;" ",$C541=" "),AND(L543&gt;0,OR(AND($C543&lt;&gt;" ",OR($C541=" ",$C542=" ")),AND($C543=" ",OR($C541&lt;&gt;" ",$C542&lt;&gt;" "))))),IF(SUM(F$4:F540)=0,1,LARGE(F$4:F540,1)+1),IF(MONTH(G541)=MONTH(TODAY()),IF(AND(DAY(G541)&lt;DAY(TODAY()),$B541=" "),IF(SUM(F$4:F540)=0,1,LARGE(F$4:F540,1)+1),IF($B541=" ",IF(AND(DAY(G541)=DAY(TODAY()),HOUR(G541)&lt;=HOUR(NOW())+1),IF(AND(HOUR(G541)+2&lt;=HOUR(NOW()),DAY(G541)&lt;=DAY(TODAY()),MINUTE(G541)&lt;=MINUTE(NOW())),IF(SUM(F$4:F540)=0,1,LARGE(F$4:F540,1)+1),IF(OR(MINUTE(G541)&lt;=MINUTE(NOW()),HOUR(G541)&lt;=HOUR(NOW())),"!!!","")),""),"")),"")))</f>
        <v/>
      </c>
      <c r="G541" s="482">
        <v>45001.375</v>
      </c>
      <c r="H541" s="475" t="s">
        <v>210</v>
      </c>
      <c r="I541" s="175">
        <v>2</v>
      </c>
      <c r="J541" s="176"/>
      <c r="K541" s="96" t="s">
        <v>40</v>
      </c>
      <c r="L541" s="97">
        <v>2.48</v>
      </c>
      <c r="M541" s="98">
        <v>7.71</v>
      </c>
      <c r="N541" s="478">
        <v>0</v>
      </c>
      <c r="O541" s="99">
        <f>IF(OR(AE541="",AE542=""),"",ROUND(IF(L543&gt;0,IF(M541&gt;0,M541,IF(M542&gt;0,ROUND((M542*AE541)/AE542,IF(N541=0,2,IF(N541=0.1,1,0))),ROUND((M543*AE541)/AE543,IF(N541=0,2,IF(N541=0.1,1,0))))),IF(M541&gt;0,M541,ROUND((M542*AE541)/AE542,IF(N541=0,2,IF(N541=0.1,1,0))))),2))</f>
        <v>7.71</v>
      </c>
      <c r="P541" s="100">
        <f>IF(OR(L541="",O541=""),"",IF($C541="1/2W",O541/2+O541/2*L541,IF($C541="1/2L",O541/2,IF(I541="Lay",(O541*(L541/(L541-1))-O541)*(1-_xlfn.XLOOKUP(K541,'Fevereiro 2023 - Valor Real'!A3:A15,'Fevereiro 2023 - Valor Real'!C3:C15,0))+O541,(O541*L541-O541)*(1-_xlfn.XLOOKUP(K541,'Fevereiro 2023 - Valor Real'!A3:A15,'Fevereiro 2023 - Valor Real'!C3:C15,0))+O541))))</f>
        <v>19.120799999999999</v>
      </c>
      <c r="Q541" s="101">
        <f>IF(K541="","",IF(_xlfn.XLOOKUP(K541,K$4:K540,$DJ$4:DJ540,0,,-1)=DJ541,_xlfn.XLOOKUP(K541,K$4:K540,Q$4:Q540,1,,-1)+1,1))</f>
        <v>7</v>
      </c>
      <c r="R541" s="102">
        <f>IF(K541="","",_xlfn.XLOOKUP(K541,K$4:K540,R$4:R540,0,,-1)+IF($C541=" ",1,0))</f>
        <v>0</v>
      </c>
      <c r="S541" s="474">
        <f>IF($B541="Anulado",0,ROUND(IF(OR($B541="LOSS",$B541="OK"),IF(OR($C541="W",$C541="1/2W",$C541="1/2L"),P541-O541,IF($C541="L",-O541,0))+IF(OR($C542="W",$C542="1/2W",$C542="1/2L"),P542-O542,IF($C542="L",-O542,0))+IF(OR($C543="W",$C543="1/2W",$C543="1/2L"),P543-O543,IF($C543="L",-O543,0)),IF(AND(OR($C541="W",$C541="1/2W",$C541="1/2L"),C542="W"),P541+P542-SUM(O541:O543)+_xlfn.XLOOKUP("X",C541:C543,O541:O543,0),IF(AND(C541=TRUE,C543="W"),P541+P543-SUM(O541:O543),IF(AND(C542="W",C543="W"),P542+P543-SUM(O541:O543)+_xlfn.XLOOKUP("X",C541:C543,O541:O543,0),IF(L543&gt;0,IF(OR($C541="W",$C541="1/2W",$C541="1/2L"),P541-SUM(O541:O543)+_xlfn.XLOOKUP("X",C541:C543,O541:O543,0),IF(OR($C541="W",$C541="1/2W",$C541="1/2L"),P542-SUM(O541:O543)+_xlfn.XLOOKUP("X",C541:C543,O541:O543,0),IF(OR($C541="W",$C541="1/2W",$C541="1/2L"),P543-SUM(O541:O543)+_xlfn.XLOOKUP("X",C541:C543,O541:O543,0),IF(SUM(P541:P543)/3-SUM(O541:O543)+_xlfn.XLOOKUP("X",C541:C543,O541:O543,0)&gt;0,SUM(P541:P543)/3-SUM(O541:O543)+_xlfn.XLOOKUP("X",C541:C543,O541:O543,0),LARGE(P541:P543,1)-SUM(O541:O543))))),IF(OR($C541="W",$C541="1/2W",$C541="1/2L"),P541-SUM(O541:O542)+_xlfn.XLOOKUP("X",C541:C543,O541:O543,0),IF(OR($C541="W",$C541="1/2W",$C541="1/2L"),P542-SUM(O541:O542)+_xlfn.XLOOKUP("X",C541:C543,O541:O543,0),SUM(P541:P542)/2-SUM(O541:O542)+_xlfn.XLOOKUP("X",C541:C543,O541:O543,0)))))))),2))</f>
        <v>1.74</v>
      </c>
      <c r="T541" s="458">
        <f>IF(S541=0,0,S541/SUM(O541:O543))</f>
        <v>0.10011507479861911</v>
      </c>
      <c r="U541" s="470">
        <f>IF($D541=$D538,IF(OR($B541="LOSS",$B541="OK",$B541="Anulada"),S541,0)+U538,IF(OR($B541="LOSS",$B541="OK",$B541="Anulada"),S541,0))</f>
        <v>21.55</v>
      </c>
      <c r="V541" s="470">
        <f>IF($D541="",0,IF($D541=$D538,IF($B541=" ",IF(I543="",IF(OR(AND(I541="DNB1",I542="DNB2"),AND(OR(I541="DNB1",I541="DNB2"),J542=0),AND(OR(I542="DNB1",I542="DNB2"),J541=0),AND(I541="DNB2",I542="DNB1"),AND(IF(J541=0,(J541+1)/ROUND(J541+1,0),J541/ROUND(J541,0))=1,IF(J542=0,(J542+1)/ROUND(IF(J542="",0,J542)+1,0),IF(J542="",0,J542)/ROUND(IF(J542="",1,J542),0))=1,OR(J541&lt;&gt;""),J542&lt;&gt;"")),0,IF(S541&lt;0,IF(I543="",SMALL(P541:P542,1)-SUM(O541:O542),0),SMALL(P541:P542,1)-SUM(O541:O542))),IF(S541&lt;0,IF(I543="",SMALL(P541:P543,1)-SUM(O541:O543),0),LARGE(P541:P543,1)-SUM(O541:O543))),S541)+V538,IF(I543="",IF(OR(AND(I541="DNB1",I542="DNB2"),AND(OR(I541="DNB1",I541="DNB2"),J542=0),AND(OR(I542="DNB1",I542="DNB2"),J541=0),AND(I541="DNB2",I542="DNB1"),AND(IF(J541=0,(J541+1)/ROUND(J541+1,0),J541/ROUND(J541,0))=1,IF(J542=0,(IF(J542="",0,J542)+1)/ROUND(IF(J542="",0,J542)+1,0),IF(J542="",0,J542)/ROUND(IF(J542="",0,J542)+1,0))=1,OR(J541&lt;&gt;""),J542&lt;&gt;"")),0,IF(S541&lt;0,IF(I543="",SMALL(P541:P542,1)-SUM(O541:O542),0),SMALL(P541:P543,1)-SUM(O541:O543))),IF(S541&lt;0,IF(I543="",SMALL(P541:P543,1)-SUM(O541:O543),0),LARGE(P541:P543,1)-SUM(O541:O543)))))</f>
        <v>21.545199999999998</v>
      </c>
      <c r="W541" s="470">
        <f>IF($D541=$D538,IF(S541&lt;0,IF(I543="",S541,0),S541)+W538,S541)</f>
        <v>21.55</v>
      </c>
      <c r="X541" s="480" t="str">
        <f>IF(OR(SUM(R541:R543)=0,V541=W541),ROUND(IF(W541=0,0,W541/Y541)*100,2)&amp;"%",ROUND(IF(V541=0,0,V541/Y541)*100,2)&amp;"% a "&amp;ROUND(IF(W541=0,0,W541/Y541)*100,2)&amp;"%")</f>
        <v>6,79%</v>
      </c>
      <c r="Y541" s="471">
        <f>IF($D541=$D538,Y538+SUM(O541:O543),SUM(O541:O543))</f>
        <v>317.45999999999998</v>
      </c>
      <c r="Z541" s="470">
        <f>IF($B541=" ",SUM(O541:O543),0)+Z538</f>
        <v>0</v>
      </c>
      <c r="AA541" s="470">
        <f>IF(G541="","",IF($B541="Anulado",LARGE(P541:P543,1)-SUM(O541:O543)+AA538,AA538))</f>
        <v>12.425099999999992</v>
      </c>
      <c r="AB541" s="470">
        <f>IF($D541="","",AB538+S541)</f>
        <v>619.65000000000055</v>
      </c>
      <c r="AC541" s="472">
        <f ca="1">IF($D541="","",IF($B541=" ",IF(DAY(G541)=DAY(TODAY()),1+AC538,0+AC538),0+AC538))</f>
        <v>0</v>
      </c>
      <c r="AD541" s="103">
        <f>(((L542/(L542-1)-1)*(1-_xlfn.XLOOKUP(K542,'Fevereiro 2023 - Valor Real'!A3:A15,'Fevereiro 2023 - Valor Real'!C3:C15,0))+1))/(((L541-1)*(1-_xlfn.XLOOKUP(K541,'Fevereiro 2023 - Valor Real'!A3:A15,'Fevereiro 2023 - Valor Real'!C3:C15,0))+1)+((L542/(L542-1)-1)*(1-_xlfn.XLOOKUP(K542,'Fevereiro 2023 - Valor Real'!A3:A15,'Fevereiro 2023 - Valor Real'!C3:C15,0))+1))</f>
        <v>0.4464285714285714</v>
      </c>
      <c r="AE541" s="104">
        <f>IF(L541="","",IF(L543&gt;0,(SUM(((L541-1)*(1-_xlfn.XLOOKUP(K541,'Fevereiro 2023 - Valor Real'!A3:A15,'Fevereiro 2023 - Valor Real'!C3:C15,0))+1),((L542-1)*(1-_xlfn.XLOOKUP(K542,'Fevereiro 2023 - Valor Real'!A3:A15,'Fevereiro 2023 - Valor Real'!C3:C15,0))+1),((L543-1)*(1-_xlfn.XLOOKUP(K543,'Fevereiro 2023 - Valor Real'!A3:A15,'Fevereiro 2023 - Valor Real'!C3:C15,0))+1))/((L541-1)*(1-_xlfn.XLOOKUP(K541,'Fevereiro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Real'!C3:C15,0))+1))/((L541-1)*(1-_xlfn.XLOOKUP(K541,'Fevereiro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Real'!C3:C15,0))+1))/((L542-1)*(1-_xlfn.XLOOKUP(K542,'Fevereiro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Real'!C3:C15,0))+1))/((L543-1)*(1-_xlfn.XLOOKUP(K543,'Fevereiro 2023 - Valor Real'!A3:A15,'Fevereiro 2023 - Valor Real'!C3:C15,0))+1)),IF(I541="Lay",IF(I542="Lay",((L542/(L542-1)-1)*(1-_xlfn.XLOOKUP(K542,'Fevereiro 2023 - Valor Real'!A3:A15,'Fevereiro 2023 - Valor Real'!C3:C15,0))+1)/(((L542/(L542-1)-1)*(1-_xlfn.XLOOKUP(K542,'Fevereiro 2023 - Valor Real'!A3:A15,'Fevereiro 2023 - Valor Real'!C3:C15,0))+1)+((L541/(L541-1)-1)*(1-_xlfn.XLOOKUP(K541,'Fevereiro 2023 - Valor Real'!A3:A15,'Fevereiro 2023 - Valor Real'!C3:C15,0))+1)),((L542-1)*(1-_xlfn.XLOOKUP(K542,'Fevereiro 2023 - Valor Real'!A3:A15,'Fevereiro 2023 - Valor Real'!C3:C15,0))+1)/(((L542-1)*(1-_xlfn.XLOOKUP(K542,'Fevereiro 2023 - Valor Real'!A3:A15,'Fevereiro 2023 - Valor Real'!C3:C15,0))+1)+((L541/(L541-1)-1)*(1-_xlfn.XLOOKUP(K541,'Fevereiro 2023 - Valor Real'!A3:A15,'Fevereiro 2023 - Valor Real'!C3:C15,0))+1))),IF(I542="Lay",(((L542/(L542-1)-1)*(1-_xlfn.XLOOKUP(K542,'Fevereiro 2023 - Valor Real'!A3:A15,'Fevereiro 2023 - Valor Real'!C3:C15,0))+1))/(((L541-1)*(1-_xlfn.XLOOKUP(K541,'Fevereiro 2023 - Valor Real'!A3:A15,'Fevereiro 2023 - Valor Real'!C3:C15,0))+1)+((L542/(L542-1)-1)*(1-_xlfn.XLOOKUP(K542,'Fevereiro 2023 - Valor Real'!A3:A15,'Fevereiro 2023 - Valor Real'!C3:C15,0))+1)),((L542-1)*(1-_xlfn.XLOOKUP(K542,'Fevereiro 2023 - Valor Real'!A3:A15,'Fevereiro 2023 - Valor Real'!C3:C15,0))+1)/(((L542-1)*(1-_xlfn.XLOOKUP(K542,'Fevereiro 2023 - Valor Real'!A3:A15,'Fevereiro 2023 - Valor Real'!C3:C15,0))+1)+((L541-1)*(1-_xlfn.XLOOKUP(K541,'Fevereiro 2023 - Valor Real'!A3:A15,'Fevereiro 2023 - Valor Real'!C3:C15,0))+1))))))</f>
        <v>0.4464285714285714</v>
      </c>
      <c r="AF541" s="105">
        <f t="shared" si="1083"/>
        <v>0</v>
      </c>
      <c r="AG541" s="106">
        <f t="shared" si="1083"/>
        <v>0</v>
      </c>
      <c r="AH541" s="106">
        <f t="shared" si="1083"/>
        <v>0</v>
      </c>
      <c r="AI541" s="106">
        <f t="shared" si="1083"/>
        <v>0</v>
      </c>
      <c r="AJ541" s="106">
        <f t="shared" si="1083"/>
        <v>11.41</v>
      </c>
      <c r="AK541" s="106">
        <f t="shared" si="1083"/>
        <v>0</v>
      </c>
      <c r="AL541" s="106">
        <f t="shared" si="1083"/>
        <v>0</v>
      </c>
      <c r="AM541" s="106">
        <f t="shared" si="1083"/>
        <v>0</v>
      </c>
      <c r="AN541" s="106">
        <f t="shared" si="1083"/>
        <v>0</v>
      </c>
      <c r="AO541" s="106">
        <f t="shared" si="1083"/>
        <v>0</v>
      </c>
      <c r="AP541" s="106">
        <f t="shared" si="1083"/>
        <v>0</v>
      </c>
      <c r="AQ541" s="106">
        <f t="shared" si="1083"/>
        <v>0</v>
      </c>
      <c r="AR541" s="107">
        <f t="shared" si="1083"/>
        <v>0</v>
      </c>
      <c r="AS541" s="105">
        <f t="shared" ref="AS541:BE541" si="1094">IF(AND($B541=" ",$K541=AS$3),$O541,0)</f>
        <v>0</v>
      </c>
      <c r="AT541" s="106">
        <f t="shared" si="1094"/>
        <v>0</v>
      </c>
      <c r="AU541" s="106">
        <f t="shared" si="1094"/>
        <v>0</v>
      </c>
      <c r="AV541" s="106">
        <f t="shared" si="1094"/>
        <v>0</v>
      </c>
      <c r="AW541" s="106">
        <f t="shared" si="1094"/>
        <v>0</v>
      </c>
      <c r="AX541" s="106">
        <f t="shared" si="1094"/>
        <v>0</v>
      </c>
      <c r="AY541" s="108">
        <f t="shared" si="1094"/>
        <v>0</v>
      </c>
      <c r="AZ541" s="109">
        <f t="shared" si="1094"/>
        <v>0</v>
      </c>
      <c r="BA541" s="109">
        <f t="shared" si="1094"/>
        <v>0</v>
      </c>
      <c r="BB541" s="109">
        <f t="shared" si="1094"/>
        <v>0</v>
      </c>
      <c r="BC541" s="110">
        <f t="shared" si="1094"/>
        <v>0</v>
      </c>
      <c r="BD541" s="106">
        <f t="shared" si="1094"/>
        <v>0</v>
      </c>
      <c r="BE541" s="107">
        <f t="shared" si="1094"/>
        <v>0</v>
      </c>
      <c r="BF541" s="111">
        <f t="shared" si="1085"/>
        <v>0</v>
      </c>
      <c r="BG541" s="106">
        <f t="shared" si="1085"/>
        <v>0</v>
      </c>
      <c r="BH541" s="106">
        <f t="shared" si="1085"/>
        <v>0</v>
      </c>
      <c r="BI541" s="106">
        <f t="shared" si="1085"/>
        <v>0</v>
      </c>
      <c r="BJ541" s="106">
        <f t="shared" si="1085"/>
        <v>7.71</v>
      </c>
      <c r="BK541" s="106">
        <f t="shared" si="1085"/>
        <v>0</v>
      </c>
      <c r="BL541" s="106">
        <f t="shared" si="1085"/>
        <v>0</v>
      </c>
      <c r="BM541" s="108">
        <f t="shared" si="1085"/>
        <v>0</v>
      </c>
      <c r="BN541" s="109">
        <f t="shared" si="1085"/>
        <v>0</v>
      </c>
      <c r="BO541" s="109">
        <f t="shared" si="1085"/>
        <v>0</v>
      </c>
      <c r="BP541" s="109">
        <f t="shared" si="1085"/>
        <v>0</v>
      </c>
      <c r="BQ541" s="110">
        <f t="shared" si="1085"/>
        <v>0</v>
      </c>
      <c r="BR541" s="107">
        <f t="shared" si="1085"/>
        <v>0</v>
      </c>
      <c r="BS541" s="463">
        <f>IF($B541="LOSS",IF(AND($K541=BS$3,$C541="L"),-$O541,0)+IF(AND($K542=BS$3,$C542="L"),-$O542,0)+IF(AND($K543=BS$3,$C543="L"),-$O543,0),IF(OR(AND($K541=BS$3,OR($C541="W",$C541="1/2W")),AND($K542=BS$3,OR($C542="W",$C542="1/2W")),AND($K543=BS$3,OR($C543="W",$C543="1/2W"))),$S541,0))</f>
        <v>0</v>
      </c>
      <c r="BT541" s="462">
        <f>IF($B541="LOSS",IF(AND($K541=BT$3,$C541="L"),-$O541,0)+IF(AND($K542=BT$3,$C542="L"),-$O542,0)+IF(AND($K542=BT$3,$C543="L"),-$O543,0),IF(OR(AND($K542=BT$3,OR($C541="W",$C541="1/2W")),AND($K542=BT$3,OR($C542="W",$C542="1/2W")),AND($K542=BT$3,OR($C543="W",$C543="1/2W"))),$S541,0))</f>
        <v>0</v>
      </c>
      <c r="BU541" s="462">
        <f>IF($B541="LOSS",IF(AND($K541=BU$3,$C541="L"),-$O541,0)+IF(AND($K542=BU$3,$C542="L"),-$O542,0)+IF(AND($K542=BU$3,$C543="L"),-$O543,0),IF(OR(AND($K542=BU$3,OR($C541="W",$C541="1/2W")),AND($K542=BU$3,OR($C542="W",$C542="1/2W")),AND($K542=BU$3,OR($C543="W",$C543="1/2W"))),$S541,0))</f>
        <v>0</v>
      </c>
      <c r="BV541" s="462">
        <f t="shared" ref="BV541:CE541" si="1095">IF($B541="LOSS",IF(AND($K541=BV$3,$C541="L"),-$O541,0)+IF(AND($K542=BV$3,$C542="L"),-$O542,0)+IF(AND($K543=BV$3,$C543="L"),-$O543,0),IF(OR(AND($K541=BV$3,OR($C541="W",$C541="1/2W")),AND($K542=BV$3,OR($C542="W",$C542="1/2W")),AND($K543=BV$3,OR($C543="W",$C543="1/2W"))),$S541,0))</f>
        <v>0</v>
      </c>
      <c r="BW541" s="462">
        <f t="shared" si="1095"/>
        <v>1.74</v>
      </c>
      <c r="BX541" s="462">
        <f t="shared" si="1095"/>
        <v>0</v>
      </c>
      <c r="BY541" s="462">
        <f t="shared" si="1095"/>
        <v>0</v>
      </c>
      <c r="BZ541" s="460">
        <f t="shared" si="1095"/>
        <v>0</v>
      </c>
      <c r="CA541" s="460">
        <f t="shared" si="1095"/>
        <v>0</v>
      </c>
      <c r="CB541" s="460">
        <f t="shared" si="1095"/>
        <v>0</v>
      </c>
      <c r="CC541" s="460">
        <f t="shared" si="1095"/>
        <v>0</v>
      </c>
      <c r="CD541" s="473">
        <f t="shared" si="1095"/>
        <v>0</v>
      </c>
      <c r="CE541" s="479">
        <f t="shared" si="1095"/>
        <v>0</v>
      </c>
      <c r="CF541" s="113">
        <f t="shared" si="1028"/>
        <v>0</v>
      </c>
      <c r="CG541" s="114">
        <f t="shared" si="1029"/>
        <v>0</v>
      </c>
      <c r="CH541" s="114">
        <f t="shared" si="1030"/>
        <v>0</v>
      </c>
      <c r="CI541" s="114">
        <f t="shared" si="1031"/>
        <v>0</v>
      </c>
      <c r="CJ541" s="114">
        <f t="shared" si="1032"/>
        <v>0</v>
      </c>
      <c r="CK541" s="114">
        <f t="shared" si="1033"/>
        <v>0</v>
      </c>
      <c r="CL541" s="114">
        <f t="shared" si="1034"/>
        <v>0</v>
      </c>
      <c r="CM541" s="114">
        <f t="shared" si="1035"/>
        <v>0</v>
      </c>
      <c r="CN541" s="114">
        <f t="shared" si="1036"/>
        <v>1</v>
      </c>
      <c r="CO541" s="114">
        <f t="shared" si="1037"/>
        <v>0</v>
      </c>
      <c r="CP541" s="114">
        <f t="shared" si="1038"/>
        <v>0</v>
      </c>
      <c r="CQ541" s="114">
        <f t="shared" si="1039"/>
        <v>0</v>
      </c>
      <c r="CR541" s="114">
        <f t="shared" si="1040"/>
        <v>0</v>
      </c>
      <c r="CS541" s="114">
        <f t="shared" si="1041"/>
        <v>0</v>
      </c>
      <c r="CT541" s="115">
        <f t="shared" si="1042"/>
        <v>0</v>
      </c>
      <c r="CU541" s="116">
        <f t="shared" si="1043"/>
        <v>0</v>
      </c>
      <c r="CV541" s="116">
        <f t="shared" si="1044"/>
        <v>0</v>
      </c>
      <c r="CW541" s="116">
        <f t="shared" si="1045"/>
        <v>0</v>
      </c>
      <c r="CX541" s="116">
        <f t="shared" si="1046"/>
        <v>0</v>
      </c>
      <c r="CY541" s="116">
        <f t="shared" si="1047"/>
        <v>0</v>
      </c>
      <c r="CZ541" s="116">
        <f t="shared" si="1048"/>
        <v>0</v>
      </c>
      <c r="DA541" s="116">
        <f t="shared" si="1049"/>
        <v>0</v>
      </c>
      <c r="DB541" s="116">
        <f t="shared" si="1050"/>
        <v>0</v>
      </c>
      <c r="DC541" s="116">
        <f t="shared" si="1051"/>
        <v>0</v>
      </c>
      <c r="DD541" s="116">
        <f t="shared" si="1052"/>
        <v>0</v>
      </c>
      <c r="DE541" s="117">
        <f t="shared" si="1053"/>
        <v>0</v>
      </c>
      <c r="DF541" s="118">
        <f t="shared" si="1056"/>
        <v>33</v>
      </c>
      <c r="DG541" s="106">
        <f t="shared" si="1057"/>
        <v>43.031999999999989</v>
      </c>
      <c r="DH541" s="116">
        <f t="shared" si="1058"/>
        <v>13</v>
      </c>
      <c r="DI541" s="106">
        <f t="shared" si="1059"/>
        <v>56.05</v>
      </c>
      <c r="DJ541" s="201" t="str">
        <f>IF($D541="","",$D541)</f>
        <v>16</v>
      </c>
      <c r="DK541" s="465">
        <f>IF(AND($B541=" ",$D541&lt;&gt;""),1,0)</f>
        <v>0</v>
      </c>
    </row>
    <row r="542" spans="1:115" ht="14.5" customHeight="1" x14ac:dyDescent="0.2">
      <c r="A542" s="389"/>
      <c r="B542" s="456"/>
      <c r="C542" s="120" t="s">
        <v>55</v>
      </c>
      <c r="D542" s="374"/>
      <c r="E542" s="386"/>
      <c r="F542" s="377"/>
      <c r="G542" s="483"/>
      <c r="H542" s="476"/>
      <c r="I542" s="121" t="s">
        <v>66</v>
      </c>
      <c r="J542" s="122">
        <v>0.5</v>
      </c>
      <c r="K542" s="123" t="s">
        <v>43</v>
      </c>
      <c r="L542" s="124">
        <v>2</v>
      </c>
      <c r="M542" s="125">
        <v>9.67</v>
      </c>
      <c r="N542" s="406"/>
      <c r="O542" s="126">
        <f>IF(OR(AE541="",AE542=""),"",ROUND(IF(L543&gt;0,IF(M542&gt;0,M542,IF(M541&gt;0,IF(N541=TRUE,ROUND((M541*AE542)/AE541,0),(M541*AE542)/AE541),IF(M542&gt;0,ROUND(M542,IF(N541=0,2,IF(N541=0.1,1,0))),IF(M543&gt;0,ROUND(O543*AE542/AE543,IF(N541=0,2,IF(N541=0.1,1,0))),0)))),IF(M542&gt;0,M542,ROUND((M541*AE542)/AE541,IF(N541=0,2,IF(N541=0.1,1,0))))),2))</f>
        <v>9.67</v>
      </c>
      <c r="P542" s="127">
        <f>IF(OR(L542="",O542=""),"",IF($C542="1/2W",O542/2+O542/2*L542,IF($C542="1/2L",O542/2,IF(I542="Lay",((O542*(L542/(L542-1)))-O542)*(1-_xlfn.XLOOKUP(K542,'Fevereiro 2023 - Valor Real'!A3:A15,'Fevereiro 2023 - Valor Real'!C3:C15,0))+O542,(O542*L542-O542)*(1-_xlfn.XLOOKUP(K542,'Fevereiro 2023 - Valor Real'!A3:A15,'Fevereiro 2023 - Valor Real'!C3:C15,0))+O542))))</f>
        <v>19.34</v>
      </c>
      <c r="Q542" s="128">
        <f>IF(K542="","",IF(_xlfn.XLOOKUP(K542,K$4:K541,$DJ$4:DJ541,0,,-1)=DJ542,_xlfn.XLOOKUP(K542,K$4:K541,Q$4:Q541,1,,-1)+1,1))</f>
        <v>4</v>
      </c>
      <c r="R542" s="129">
        <f>IF(K542="","",_xlfn.XLOOKUP(K542,K$4:K541,R$4:R541,0,,-1)+IF($C542=" ",1,0))</f>
        <v>0</v>
      </c>
      <c r="S542" s="403"/>
      <c r="T542" s="380"/>
      <c r="U542" s="380"/>
      <c r="V542" s="481"/>
      <c r="W542" s="380"/>
      <c r="X542" s="452"/>
      <c r="Y542" s="383"/>
      <c r="Z542" s="384"/>
      <c r="AA542" s="384"/>
      <c r="AB542" s="384"/>
      <c r="AC542" s="384"/>
      <c r="AD542" s="130">
        <f>(((L542/(L542-1)-1)*(1-_xlfn.XLOOKUP(K542,'Fevereiro 2023 - Valor Real'!A3:A15,'Fevereiro 2023 - Valor Real'!C3:C15,0))+1))</f>
        <v>2</v>
      </c>
      <c r="AE542" s="131">
        <f>IF(L542="","",IF(L543&gt;0,(SUM(((L541-1)*(1-_xlfn.XLOOKUP(K541,'Fevereiro 2023 - Valor Real'!A3:A15,'Fevereiro 2023 - Valor Real'!C3:C15,0))+1),((L542-1)*(1-_xlfn.XLOOKUP(K542,'Fevereiro 2023 - Valor Real'!A3:A15,'Fevereiro 2023 - Valor Real'!C3:C15,0))+1),((L543-1)*(1-_xlfn.XLOOKUP(K543,'Fevereiro 2023 - Valor Real'!A3:A15,'Fevereiro 2023 - Valor Real'!C3:C15,0))+1))/((L542-1)*(1-_xlfn.XLOOKUP(K542,'Fevereiro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Real'!C3:C15,0))+1))/((L541-1)*(1-_xlfn.XLOOKUP(K541,'Fevereiro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Real'!C3:C15,0))+1))/((L542-1)*(1-_xlfn.XLOOKUP(K542,'Fevereiro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Real'!C3:C15,0))+1))/((L543-1)*(1-_xlfn.XLOOKUP(K543,'Fevereiro 2023 - Valor Real'!A3:A15,'Fevereiro 2023 - Valor Real'!C3:C15,0))+1)),IF(I542="Lay",IF(I541="Lay",((L541/(L541-1)-1)*(1-_xlfn.XLOOKUP(K541,'Fevereiro 2023 - Valor Real'!A3:A15,'Fevereiro 2023 - Valor Real'!C3:C15,0))+1)/(((L541/(L541-1)-1)*(1-_xlfn.XLOOKUP(K541,'Fevereiro 2023 - Valor Real'!A3:A15,'Fevereiro 2023 - Valor Real'!C3:C15,0))+1)+((L542/(L542-1)-1)*(1-_xlfn.XLOOKUP(K542,'Fevereiro 2023 - Valor Real'!A3:A15,'Fevereiro 2023 - Valor Real'!C3:C15,0))+1)),((L541-1)*(1-_xlfn.XLOOKUP(K541,'Fevereiro 2023 - Valor Real'!A3:A15,'Fevereiro 2023 - Valor Real'!C3:C15,0))+1)/(((L541-1)*(1-_xlfn.XLOOKUP(K541,'Fevereiro 2023 - Valor Real'!A3:A15,'Fevereiro 2023 - Valor Real'!C3:C15,0))+1)+((L542/(L542-1)-1)*(1-_xlfn.XLOOKUP(K542,'Fevereiro 2023 - Valor Real'!A3:A15,'Fevereiro 2023 - Valor Real'!C3:C15,0))+1))),IF(I541="Lay",((L541/(L541-1)-1)*(1-_xlfn.XLOOKUP(K541,'Fevereiro 2023 - Valor Real'!A3:A15,'Fevereiro 2023 - Valor Real'!C3:C15,0))+1)/((((L541/(L541-1)-1)*(1-_xlfn.XLOOKUP(K541,'Fevereiro 2023 - Valor Real'!A3:A15,'Fevereiro 2023 - Valor Real'!C3:C15,0))+1))+((L542-1)*(1-_xlfn.XLOOKUP(K542,'Fevereiro 2023 - Valor Real'!A3:A15,'Fevereiro 2023 - Valor Real'!C3:C15,0))+1)),((L541-1)*(1-_xlfn.XLOOKUP(K541,'Fevereiro 2023 - Valor Real'!A3:A15,'Fevereiro 2023 - Valor Real'!C3:C15,0))+1)/(((L541-1)*(1-_xlfn.XLOOKUP(K541,'Fevereiro 2023 - Valor Real'!A3:A15,'Fevereiro 2023 - Valor Real'!C3:C15,0))+1)+((L542-1)*(1-_xlfn.XLOOKUP(K542,'Fevereiro 2023 - Valor Real'!A3:A15,'Fevereiro 2023 - Valor Real'!C3:C15,0))+1))))))</f>
        <v>0.55357142857142849</v>
      </c>
      <c r="AF542" s="105">
        <f t="shared" si="1083"/>
        <v>0</v>
      </c>
      <c r="AG542" s="106">
        <f t="shared" si="1083"/>
        <v>0</v>
      </c>
      <c r="AH542" s="106">
        <f t="shared" si="1083"/>
        <v>0</v>
      </c>
      <c r="AI542" s="106">
        <f t="shared" si="1083"/>
        <v>0</v>
      </c>
      <c r="AJ542" s="106">
        <f t="shared" si="1083"/>
        <v>0</v>
      </c>
      <c r="AK542" s="106">
        <f t="shared" si="1083"/>
        <v>0</v>
      </c>
      <c r="AL542" s="106">
        <f t="shared" si="1083"/>
        <v>0</v>
      </c>
      <c r="AM542" s="106">
        <f t="shared" si="1083"/>
        <v>-9.67</v>
      </c>
      <c r="AN542" s="106">
        <f t="shared" si="1083"/>
        <v>0</v>
      </c>
      <c r="AO542" s="106">
        <f t="shared" si="1083"/>
        <v>0</v>
      </c>
      <c r="AP542" s="106">
        <f t="shared" si="1083"/>
        <v>0</v>
      </c>
      <c r="AQ542" s="106">
        <f t="shared" si="1083"/>
        <v>0</v>
      </c>
      <c r="AR542" s="107">
        <f t="shared" si="1083"/>
        <v>0</v>
      </c>
      <c r="AS542" s="105">
        <f>IF(AND($B541=" ",$K542=AS$3),$O542,0)</f>
        <v>0</v>
      </c>
      <c r="AT542" s="106">
        <f>IF(AND($B541=" ",K542=AT$3),$O542,0)</f>
        <v>0</v>
      </c>
      <c r="AU542" s="106">
        <f t="shared" ref="AU542:BE542" si="1096">IF(AND($B541=" ",$K542=AU$3),$O542,0)</f>
        <v>0</v>
      </c>
      <c r="AV542" s="106">
        <f t="shared" si="1096"/>
        <v>0</v>
      </c>
      <c r="AW542" s="106">
        <f t="shared" si="1096"/>
        <v>0</v>
      </c>
      <c r="AX542" s="106">
        <f t="shared" si="1096"/>
        <v>0</v>
      </c>
      <c r="AY542" s="108">
        <f t="shared" si="1096"/>
        <v>0</v>
      </c>
      <c r="AZ542" s="109">
        <f t="shared" si="1096"/>
        <v>0</v>
      </c>
      <c r="BA542" s="109">
        <f t="shared" si="1096"/>
        <v>0</v>
      </c>
      <c r="BB542" s="109">
        <f t="shared" si="1096"/>
        <v>0</v>
      </c>
      <c r="BC542" s="110">
        <f t="shared" si="1096"/>
        <v>0</v>
      </c>
      <c r="BD542" s="106">
        <f t="shared" si="1096"/>
        <v>0</v>
      </c>
      <c r="BE542" s="107">
        <f t="shared" si="1096"/>
        <v>0</v>
      </c>
      <c r="BF542" s="105">
        <f t="shared" si="1085"/>
        <v>0</v>
      </c>
      <c r="BG542" s="106">
        <f t="shared" si="1085"/>
        <v>0</v>
      </c>
      <c r="BH542" s="106">
        <f t="shared" si="1085"/>
        <v>0</v>
      </c>
      <c r="BI542" s="106">
        <f t="shared" si="1085"/>
        <v>0</v>
      </c>
      <c r="BJ542" s="106">
        <f t="shared" si="1085"/>
        <v>0</v>
      </c>
      <c r="BK542" s="106">
        <f t="shared" si="1085"/>
        <v>0</v>
      </c>
      <c r="BL542" s="106">
        <f t="shared" si="1085"/>
        <v>0</v>
      </c>
      <c r="BM542" s="132">
        <f t="shared" si="1085"/>
        <v>9.67</v>
      </c>
      <c r="BN542" s="112">
        <f t="shared" si="1085"/>
        <v>0</v>
      </c>
      <c r="BO542" s="112">
        <f t="shared" si="1085"/>
        <v>0</v>
      </c>
      <c r="BP542" s="112">
        <f t="shared" si="1085"/>
        <v>0</v>
      </c>
      <c r="BQ542" s="110">
        <f t="shared" si="1085"/>
        <v>0</v>
      </c>
      <c r="BR542" s="107">
        <f t="shared" si="1085"/>
        <v>0</v>
      </c>
      <c r="BS542" s="464"/>
      <c r="BT542" s="461"/>
      <c r="BU542" s="392"/>
      <c r="BV542" s="461"/>
      <c r="BW542" s="392"/>
      <c r="BX542" s="392"/>
      <c r="BY542" s="392"/>
      <c r="BZ542" s="461"/>
      <c r="CA542" s="392"/>
      <c r="CB542" s="392"/>
      <c r="CC542" s="392"/>
      <c r="CD542" s="401"/>
      <c r="CE542" s="409"/>
      <c r="CF542" s="133">
        <f t="shared" si="1028"/>
        <v>0</v>
      </c>
      <c r="CG542" s="134">
        <f t="shared" si="1029"/>
        <v>0</v>
      </c>
      <c r="CH542" s="134">
        <f t="shared" si="1030"/>
        <v>0</v>
      </c>
      <c r="CI542" s="134">
        <f t="shared" si="1031"/>
        <v>0</v>
      </c>
      <c r="CJ542" s="134">
        <f t="shared" si="1032"/>
        <v>0</v>
      </c>
      <c r="CK542" s="134">
        <f t="shared" si="1033"/>
        <v>0</v>
      </c>
      <c r="CL542" s="134">
        <f t="shared" si="1034"/>
        <v>0</v>
      </c>
      <c r="CM542" s="134">
        <f t="shared" si="1035"/>
        <v>0</v>
      </c>
      <c r="CN542" s="134">
        <f t="shared" si="1036"/>
        <v>0</v>
      </c>
      <c r="CO542" s="134">
        <f t="shared" si="1037"/>
        <v>0</v>
      </c>
      <c r="CP542" s="134">
        <f t="shared" si="1038"/>
        <v>0</v>
      </c>
      <c r="CQ542" s="134">
        <f t="shared" si="1039"/>
        <v>0</v>
      </c>
      <c r="CR542" s="134">
        <f t="shared" si="1040"/>
        <v>0</v>
      </c>
      <c r="CS542" s="134">
        <f t="shared" si="1041"/>
        <v>0</v>
      </c>
      <c r="CT542" s="115">
        <f t="shared" si="1042"/>
        <v>0</v>
      </c>
      <c r="CU542" s="116">
        <f t="shared" si="1043"/>
        <v>1</v>
      </c>
      <c r="CV542" s="116">
        <f t="shared" si="1044"/>
        <v>0</v>
      </c>
      <c r="CW542" s="116">
        <f t="shared" si="1045"/>
        <v>0</v>
      </c>
      <c r="CX542" s="116">
        <f t="shared" si="1046"/>
        <v>0</v>
      </c>
      <c r="CY542" s="116">
        <f t="shared" si="1047"/>
        <v>0</v>
      </c>
      <c r="CZ542" s="116">
        <f t="shared" si="1048"/>
        <v>0</v>
      </c>
      <c r="DA542" s="116">
        <f t="shared" si="1049"/>
        <v>0</v>
      </c>
      <c r="DB542" s="116">
        <f t="shared" si="1050"/>
        <v>0</v>
      </c>
      <c r="DC542" s="116">
        <f t="shared" si="1051"/>
        <v>0</v>
      </c>
      <c r="DD542" s="116">
        <f t="shared" si="1052"/>
        <v>0</v>
      </c>
      <c r="DE542" s="117">
        <f t="shared" si="1053"/>
        <v>0</v>
      </c>
      <c r="DF542" s="118">
        <f t="shared" si="1056"/>
        <v>33</v>
      </c>
      <c r="DG542" s="106">
        <f t="shared" si="1057"/>
        <v>43.031999999999989</v>
      </c>
      <c r="DH542" s="116">
        <f t="shared" si="1058"/>
        <v>13</v>
      </c>
      <c r="DI542" s="106">
        <f t="shared" si="1059"/>
        <v>56.05</v>
      </c>
      <c r="DJ542" s="201" t="str">
        <f>IF($D541="","",$D541)</f>
        <v>16</v>
      </c>
      <c r="DK542" s="466"/>
    </row>
    <row r="543" spans="1:115" ht="14.5" customHeight="1" x14ac:dyDescent="0.2">
      <c r="A543" s="390"/>
      <c r="B543" s="457"/>
      <c r="C543" s="135" t="s">
        <v>53</v>
      </c>
      <c r="D543" s="375"/>
      <c r="E543" s="387"/>
      <c r="F543" s="378"/>
      <c r="G543" s="484"/>
      <c r="H543" s="477"/>
      <c r="I543" s="136"/>
      <c r="J543" s="137"/>
      <c r="K543" s="138"/>
      <c r="L543" s="139"/>
      <c r="M543" s="140"/>
      <c r="N543" s="407"/>
      <c r="O543" s="141" t="str">
        <f>IF(OR(AE541="",AE542=""),"",IF(L543&gt;0,ROUND(IF(M543&gt;0,M543,IF(M541&gt;0,ROUND((M541*AE543)/AE541,IF(N541=0,2,IF(N541=0.1,1,0))),IF(M542&gt;0,ROUND((M542*AE543)/AE542,IF(N541=0,2,IF(N541=0.1,1,0))),IF(M543&gt;0,M543,0)))),2),""))</f>
        <v/>
      </c>
      <c r="P543" s="142" t="str">
        <f>IF(I542="Lay",O542*(L542/(L542-1))-O542,IF(I541="Lay",O541*(L541/(L541-1))-O541,IF(OR(L543="",O543=""),"",IF($C543="1/2W",O543/2+O543/2*L543,IF($C543="1/2L",O543/2,(O543*L543-O543)*(1-_xlfn.XLOOKUP(K543,'Fevereiro 2023 - Valor Real'!A3:A15,'Fevereiro 2023 - Valor Real'!C3:C15,0))+O543)))))</f>
        <v/>
      </c>
      <c r="Q543" s="143" t="str">
        <f>IF(K543="","",IF(_xlfn.XLOOKUP(K543,K$4:K542,$DJ$4:DJ542,0,,-1)=DJ543,_xlfn.XLOOKUP(K543,K$4:K542,Q$4:Q542,1,,-1)+1,1))</f>
        <v/>
      </c>
      <c r="R543" s="144" t="str">
        <f>IF(K543="","",_xlfn.XLOOKUP(K543,K$4:K542,R$4:R542,0,,-1)+IF($C543=" ",1,0))</f>
        <v/>
      </c>
      <c r="S543" s="404"/>
      <c r="T543" s="378"/>
      <c r="U543" s="378"/>
      <c r="V543" s="404"/>
      <c r="W543" s="378"/>
      <c r="X543" s="453"/>
      <c r="Y543" s="383"/>
      <c r="Z543" s="384"/>
      <c r="AA543" s="384"/>
      <c r="AB543" s="384"/>
      <c r="AC543" s="384"/>
      <c r="AD543" s="145">
        <f>((L542/(L542-1)-1))</f>
        <v>1</v>
      </c>
      <c r="AE543" s="146" t="str">
        <f>IF(L543="","",(SUM(((L541-1)*(1-_xlfn.XLOOKUP(K541,'Fevereiro 2023 - Valor Real'!A3:A15,'Fevereiro 2023 - Valor Real'!C3:C15,0))+1),((L542-1)*(1-_xlfn.XLOOKUP(K542,'Fevereiro 2023 - Valor Real'!A3:A15,'Fevereiro 2023 - Valor Real'!C3:C15,0))+1),((L543-1)*(1-_xlfn.XLOOKUP(K543,'Fevereiro 2023 - Valor Real'!A3:A15,'Fevereiro 2023 - Valor Real'!C3:C15,0))+1))/((L543-1)*(1-_xlfn.XLOOKUP(K543,'Fevereiro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Real'!C3:C15,0))+1))/((L541-1)*(1-_xlfn.XLOOKUP(K541,'Fevereiro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Real'!C3:C15,0))+1))/((L542-1)*(1-_xlfn.XLOOKUP(K542,'Fevereiro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Real'!C3:C15,0))+1))/((L543-1)*(1-_xlfn.XLOOKUP(K543,'Fevereiro 2023 - Valor Real'!A3:A15,'Fevereiro 2023 - Valor Real'!C3:C15,0))+1)))</f>
        <v/>
      </c>
      <c r="AF543" s="105">
        <f t="shared" si="1083"/>
        <v>0</v>
      </c>
      <c r="AG543" s="106">
        <f t="shared" si="1083"/>
        <v>0</v>
      </c>
      <c r="AH543" s="106">
        <f t="shared" si="1083"/>
        <v>0</v>
      </c>
      <c r="AI543" s="106">
        <f t="shared" si="1083"/>
        <v>0</v>
      </c>
      <c r="AJ543" s="106">
        <f t="shared" si="1083"/>
        <v>0</v>
      </c>
      <c r="AK543" s="106">
        <f t="shared" si="1083"/>
        <v>0</v>
      </c>
      <c r="AL543" s="106">
        <f t="shared" si="1083"/>
        <v>0</v>
      </c>
      <c r="AM543" s="106">
        <f t="shared" si="1083"/>
        <v>0</v>
      </c>
      <c r="AN543" s="106">
        <f t="shared" si="1083"/>
        <v>0</v>
      </c>
      <c r="AO543" s="106">
        <f t="shared" si="1083"/>
        <v>0</v>
      </c>
      <c r="AP543" s="106">
        <f t="shared" si="1083"/>
        <v>0</v>
      </c>
      <c r="AQ543" s="106">
        <f t="shared" si="1083"/>
        <v>0</v>
      </c>
      <c r="AR543" s="107">
        <f t="shared" si="1083"/>
        <v>0</v>
      </c>
      <c r="AS543" s="105">
        <f>IF(AND($B541=" ",$K543=AS$3),$O543,0)</f>
        <v>0</v>
      </c>
      <c r="AT543" s="106">
        <f>IF(AND($B541=" ",K543=AT$3),$O543,0)</f>
        <v>0</v>
      </c>
      <c r="AU543" s="106">
        <f t="shared" ref="AU543:BE543" si="1097">IF(AND($B541=" ",$K543=AU$3),$O543,0)</f>
        <v>0</v>
      </c>
      <c r="AV543" s="106">
        <f t="shared" si="1097"/>
        <v>0</v>
      </c>
      <c r="AW543" s="106">
        <f t="shared" si="1097"/>
        <v>0</v>
      </c>
      <c r="AX543" s="106">
        <f t="shared" si="1097"/>
        <v>0</v>
      </c>
      <c r="AY543" s="108">
        <f t="shared" si="1097"/>
        <v>0</v>
      </c>
      <c r="AZ543" s="109">
        <f t="shared" si="1097"/>
        <v>0</v>
      </c>
      <c r="BA543" s="109">
        <f t="shared" si="1097"/>
        <v>0</v>
      </c>
      <c r="BB543" s="109">
        <f t="shared" si="1097"/>
        <v>0</v>
      </c>
      <c r="BC543" s="110">
        <f t="shared" si="1097"/>
        <v>0</v>
      </c>
      <c r="BD543" s="106">
        <f t="shared" si="1097"/>
        <v>0</v>
      </c>
      <c r="BE543" s="107">
        <f t="shared" si="1097"/>
        <v>0</v>
      </c>
      <c r="BF543" s="105">
        <f t="shared" si="1085"/>
        <v>0</v>
      </c>
      <c r="BG543" s="106">
        <f t="shared" si="1085"/>
        <v>0</v>
      </c>
      <c r="BH543" s="106">
        <f t="shared" si="1085"/>
        <v>0</v>
      </c>
      <c r="BI543" s="106">
        <f t="shared" si="1085"/>
        <v>0</v>
      </c>
      <c r="BJ543" s="106">
        <f t="shared" si="1085"/>
        <v>0</v>
      </c>
      <c r="BK543" s="106">
        <f t="shared" si="1085"/>
        <v>0</v>
      </c>
      <c r="BL543" s="106">
        <f t="shared" si="1085"/>
        <v>0</v>
      </c>
      <c r="BM543" s="108">
        <f t="shared" si="1085"/>
        <v>0</v>
      </c>
      <c r="BN543" s="109">
        <f t="shared" si="1085"/>
        <v>0</v>
      </c>
      <c r="BO543" s="109">
        <f t="shared" si="1085"/>
        <v>0</v>
      </c>
      <c r="BP543" s="109">
        <f t="shared" si="1085"/>
        <v>0</v>
      </c>
      <c r="BQ543" s="110">
        <f t="shared" si="1085"/>
        <v>0</v>
      </c>
      <c r="BR543" s="107">
        <f t="shared" si="1085"/>
        <v>0</v>
      </c>
      <c r="BS543" s="464"/>
      <c r="BT543" s="461"/>
      <c r="BU543" s="392"/>
      <c r="BV543" s="461"/>
      <c r="BW543" s="392"/>
      <c r="BX543" s="392"/>
      <c r="BY543" s="392"/>
      <c r="BZ543" s="461"/>
      <c r="CA543" s="392"/>
      <c r="CB543" s="392"/>
      <c r="CC543" s="392"/>
      <c r="CD543" s="401"/>
      <c r="CE543" s="409"/>
      <c r="CF543" s="133">
        <f t="shared" si="1028"/>
        <v>0</v>
      </c>
      <c r="CG543" s="134">
        <f t="shared" si="1029"/>
        <v>0</v>
      </c>
      <c r="CH543" s="134">
        <f t="shared" si="1030"/>
        <v>0</v>
      </c>
      <c r="CI543" s="134">
        <f t="shared" si="1031"/>
        <v>0</v>
      </c>
      <c r="CJ543" s="134">
        <f t="shared" si="1032"/>
        <v>0</v>
      </c>
      <c r="CK543" s="134">
        <f t="shared" si="1033"/>
        <v>0</v>
      </c>
      <c r="CL543" s="134">
        <f t="shared" si="1034"/>
        <v>0</v>
      </c>
      <c r="CM543" s="134">
        <f t="shared" si="1035"/>
        <v>0</v>
      </c>
      <c r="CN543" s="134">
        <f t="shared" si="1036"/>
        <v>0</v>
      </c>
      <c r="CO543" s="134">
        <f t="shared" si="1037"/>
        <v>0</v>
      </c>
      <c r="CP543" s="134">
        <f t="shared" si="1038"/>
        <v>0</v>
      </c>
      <c r="CQ543" s="134">
        <f t="shared" si="1039"/>
        <v>0</v>
      </c>
      <c r="CR543" s="134">
        <f t="shared" si="1040"/>
        <v>0</v>
      </c>
      <c r="CS543" s="134">
        <f t="shared" si="1041"/>
        <v>0</v>
      </c>
      <c r="CT543" s="115">
        <f t="shared" si="1042"/>
        <v>0</v>
      </c>
      <c r="CU543" s="116">
        <f t="shared" si="1043"/>
        <v>0</v>
      </c>
      <c r="CV543" s="116">
        <f t="shared" si="1044"/>
        <v>0</v>
      </c>
      <c r="CW543" s="116">
        <f t="shared" si="1045"/>
        <v>0</v>
      </c>
      <c r="CX543" s="116">
        <f t="shared" si="1046"/>
        <v>0</v>
      </c>
      <c r="CY543" s="116">
        <f t="shared" si="1047"/>
        <v>0</v>
      </c>
      <c r="CZ543" s="116">
        <f t="shared" si="1048"/>
        <v>0</v>
      </c>
      <c r="DA543" s="116">
        <f t="shared" si="1049"/>
        <v>0</v>
      </c>
      <c r="DB543" s="116">
        <f t="shared" si="1050"/>
        <v>0</v>
      </c>
      <c r="DC543" s="116">
        <f t="shared" si="1051"/>
        <v>0</v>
      </c>
      <c r="DD543" s="116">
        <f t="shared" si="1052"/>
        <v>0</v>
      </c>
      <c r="DE543" s="117">
        <f t="shared" si="1053"/>
        <v>0</v>
      </c>
      <c r="DF543" s="118">
        <f t="shared" si="1056"/>
        <v>33</v>
      </c>
      <c r="DG543" s="106">
        <f t="shared" si="1057"/>
        <v>43.031999999999989</v>
      </c>
      <c r="DH543" s="116">
        <f t="shared" si="1058"/>
        <v>13</v>
      </c>
      <c r="DI543" s="106">
        <f t="shared" si="1059"/>
        <v>56.05</v>
      </c>
      <c r="DJ543" s="201" t="str">
        <f>IF($D541="","",$D541)</f>
        <v>16</v>
      </c>
      <c r="DK543" s="466"/>
    </row>
    <row r="544" spans="1:115" ht="14.5" customHeight="1" x14ac:dyDescent="0.2">
      <c r="A544" s="487">
        <f>$A541+1</f>
        <v>181</v>
      </c>
      <c r="B544" s="506" t="str">
        <f>IF(OR(C544="W",C545="W",C546="W",C544="1/2W",C545="1/2W",C546="1/2W",C544="1/2L",C545="1/2L",C546="1/2L"),"OK",IF(OR(C544="L",C545="L",C546="L"),"LOSS",IF(OR(C544="X",C545="X",C546="X"),"Anulado"," ")))</f>
        <v>OK</v>
      </c>
      <c r="C544" s="147" t="s">
        <v>54</v>
      </c>
      <c r="D544" s="494" t="str">
        <f>IF(G544="","",$D541)</f>
        <v>16</v>
      </c>
      <c r="E544" s="511" t="str">
        <f>IF(G544=""," ","– "&amp;COUNTIF(D$4:D546,$D544))</f>
        <v>– 13</v>
      </c>
      <c r="F544" s="510" t="str">
        <f ca="1">IF(G544="","",IF(OR(AND($C544&lt;&gt;" ",$C545=" "),AND($C545&lt;&gt;" ",$C544=" "),AND(L546&gt;0,OR(AND($C546&lt;&gt;" ",OR($C544=" ",$C545=" ")),AND($C546=" ",OR($C544&lt;&gt;" ",$C545&lt;&gt;" "))))),IF(SUM(F$4:F543)=0,1,LARGE(F$4:F543,1)+1),IF(MONTH(G544)=MONTH(TODAY()),IF(AND(DAY(G544)&lt;DAY(TODAY()),$B544=" "),IF(SUM(F$4:F543)=0,1,LARGE(F$4:F543,1)+1),IF($B544=" ",IF(AND(DAY(G544)=DAY(TODAY()),HOUR(G544)&lt;=HOUR(NOW())+1),IF(AND(HOUR(G544)+2&lt;=HOUR(NOW()),DAY(G544)&lt;=DAY(TODAY()),MINUTE(G544)&lt;=MINUTE(NOW())),IF(SUM(F$4:F543)=0,1,LARGE(F$4:F543,1)+1),IF(OR(MINUTE(G544)&lt;=MINUTE(NOW()),HOUR(G544)&lt;=HOUR(NOW())),"!!!","")),""),"")),"")))</f>
        <v/>
      </c>
      <c r="G544" s="508">
        <f>IF(H544="","",_xlfn.XLOOKUP(H544,$H$4:H543,$G$4:G543,""))</f>
        <v>45001.375</v>
      </c>
      <c r="H544" s="502" t="s">
        <v>210</v>
      </c>
      <c r="I544" s="180" t="s">
        <v>76</v>
      </c>
      <c r="J544" s="181">
        <v>-0.5</v>
      </c>
      <c r="K544" s="150" t="s">
        <v>40</v>
      </c>
      <c r="L544" s="151">
        <v>2.33</v>
      </c>
      <c r="M544" s="152">
        <v>8.4600000000000009</v>
      </c>
      <c r="N544" s="503">
        <v>0</v>
      </c>
      <c r="O544" s="153">
        <f>IF(OR(AE544="",AE545=""),"",ROUND(IF(L546&gt;0,IF(M544&gt;0,M544,IF(M545&gt;0,ROUND((M545*AE544)/AE545,IF(N544=0,2,IF(N544=0.1,1,0))),ROUND((M546*AE544)/AE546,IF(N544=0,2,IF(N544=0.1,1,0))))),IF(M544&gt;0,M544,ROUND((M545*AE544)/AE545,IF(N544=0,2,IF(N544=0.1,1,0))))),2))</f>
        <v>8.4600000000000009</v>
      </c>
      <c r="P544" s="154">
        <f>IF(OR(L544="",O544=""),"",IF($C544="1/2W",O544/2+O544/2*L544,IF($C544="1/2L",O544/2,IF(I544="Lay",(O544*(L544/(L544-1))-O544)*(1-_xlfn.XLOOKUP(K544,'Fevereiro 2023 - Valor Real'!A3:A15,'Fevereiro 2023 - Valor Real'!C3:C15,0))+O544,(O544*L544-O544)*(1-_xlfn.XLOOKUP(K544,'Fevereiro 2023 - Valor Real'!A3:A15,'Fevereiro 2023 - Valor Real'!C3:C15,0))+O544))))</f>
        <v>19.711800000000004</v>
      </c>
      <c r="Q544" s="155">
        <f>IF(K544="","",IF(_xlfn.XLOOKUP(K544,K$9:K536,$DJ$9:DJ536,0,,-1)=DJ544,_xlfn.XLOOKUP(K544,K$9:K536,Q$9:Q536,1,,-1)+1,1))</f>
        <v>6</v>
      </c>
      <c r="R544" s="156">
        <f>IF(K544="","",_xlfn.XLOOKUP(K544,K$9:K536,R$9:R536,0,,-1)+IF($C544=" ",1,0))</f>
        <v>0</v>
      </c>
      <c r="S544" s="501">
        <f>IF($B544="Anulado",0,ROUND(IF(OR($B544="LOSS",$B544="OK"),IF(OR($C544="W",$C544="1/2W",$C544="1/2L"),P544-O544,IF($C544="L",-O544,0))+IF(OR($C545="W",$C545="1/2W",$C545="1/2L"),P545-O545,IF($C545="L",-O545,0))+IF(OR($C546="W",$C546="1/2W",$C546="1/2L"),P546-O546,IF($C546="L",-O546,0)),IF(AND(OR($C544="W",$C544="1/2W",$C544="1/2L"),C545="W"),P544+P545-SUM(O544:O546)+_xlfn.XLOOKUP("X",C544:C546,O544:O546,0),IF(AND(C544=TRUE,C546="W"),P544+P546-SUM(O544:O546),IF(AND(C545="W",C546="W"),P545+P546-SUM(O544:O546)+_xlfn.XLOOKUP("X",C544:C546,O544:O546,0),IF(L546&gt;0,IF(OR($C544="W",$C544="1/2W",$C544="1/2L"),P544-SUM(O544:O546)+_xlfn.XLOOKUP("X",C544:C546,O544:O546,0),IF(OR($C544="W",$C544="1/2W",$C544="1/2L"),P545-SUM(O544:O546)+_xlfn.XLOOKUP("X",C544:C546,O544:O546,0),IF(OR($C544="W",$C544="1/2W",$C544="1/2L"),P546-SUM(O544:O546)+_xlfn.XLOOKUP("X",C544:C546,O544:O546,0),IF(SUM(P544:P546)/3-SUM(O544:O546)+_xlfn.XLOOKUP("X",C544:C546,O544:O546,0)&gt;0,SUM(P544:P546)/3-SUM(O544:O546)+_xlfn.XLOOKUP("X",C544:C546,O544:O546,0),LARGE(P544:P546,1)-SUM(O544:O546))))),IF(OR($C544="W",$C544="1/2W",$C544="1/2L"),P544-SUM(O544:O545)+_xlfn.XLOOKUP("X",C544:C546,O544:O546,0),IF(OR($C544="W",$C544="1/2W",$C544="1/2L"),P545-SUM(O544:O545)+_xlfn.XLOOKUP("X",C544:C546,O544:O546,0),SUM(P544:P545)/2-SUM(O544:O545)+_xlfn.XLOOKUP("X",C544:C546,O544:O546,0)))))))),2))</f>
        <v>1.49</v>
      </c>
      <c r="T544" s="486">
        <f>IF(S544=0,0,S544/SUM(O544:O546))</f>
        <v>8.1778265642151488E-2</v>
      </c>
      <c r="U544" s="496">
        <f>IF($D544=$D541,IF(OR($B544="LOSS",$B544="OK",$B544="Anulada"),S544,0)+U541,IF(OR($B544="LOSS",$B544="OK",$B544="Anulada"),S544,0))</f>
        <v>23.04</v>
      </c>
      <c r="V544" s="496">
        <f>IF($D544="",0,IF($D544=$D541,IF($B544=" ",IF(I546="",IF(OR(AND(I544="DNB1",I545="DNB2"),AND(OR(I544="DNB1",I544="DNB2"),J545=0),AND(OR(I545="DNB1",I545="DNB2"),J544=0),AND(I544="DNB2",I545="DNB1"),AND(IF(J544=0,(J544+1)/ROUND(J544+1,0),J544/ROUND(J544,0))=1,IF(J545=0,(J545+1)/ROUND(IF(J545="",0,J545)+1,0),IF(J545="",0,J545)/ROUND(IF(J545="",1,J545),0))=1,OR(J544&lt;&gt;""),J545&lt;&gt;"")),0,IF(S544&lt;0,IF(I546="",SMALL(P544:P545,1)-SUM(O544:O545),0),SMALL(P544:P545,1)-SUM(O544:O545))),IF(S544&lt;0,IF(I546="",SMALL(P544:P546,1)-SUM(O544:O546),0),LARGE(P544:P546,1)-SUM(O544:O546))),S544)+V541,IF(I546="",IF(OR(AND(I544="DNB1",I545="DNB2"),AND(OR(I544="DNB1",I544="DNB2"),J545=0),AND(OR(I545="DNB1",I545="DNB2"),J544=0),AND(I544="DNB2",I545="DNB1"),AND(IF(J544=0,(J544+1)/ROUND(J544+1,0),J544/ROUND(J544,0))=1,IF(J545=0,(IF(J545="",0,J545)+1)/ROUND(IF(J545="",0,J545)+1,0),IF(J545="",0,J545)/ROUND(IF(J545="",0,J545)+1,0))=1,OR(J544&lt;&gt;""),J545&lt;&gt;"")),0,IF(S544&lt;0,IF(I546="",SMALL(P544:P545,1)-SUM(O544:O545),0),SMALL(P544:P546,1)-SUM(O544:O546))),IF(S544&lt;0,IF(I546="",SMALL(P544:P546,1)-SUM(O544:O546),0),LARGE(P544:P546,1)-SUM(O544:O546)))))</f>
        <v>23.035199999999996</v>
      </c>
      <c r="W544" s="496">
        <f>IF($D544=$D541,IF(S544&lt;0,IF(I546="",S544,0),S544)+W541,S544)</f>
        <v>23.04</v>
      </c>
      <c r="X544" s="505" t="str">
        <f>IF(OR(SUM(R544:R546)=0,V544=W544),ROUND(IF(W544=0,0,W544/Y544)*100,2)&amp;"%",ROUND(IF(V544=0,0,V544/Y544)*100,2)&amp;"% a "&amp;ROUND(IF(W544=0,0,W544/Y544)*100,2)&amp;"%")</f>
        <v>6,86%</v>
      </c>
      <c r="Y544" s="497">
        <f>IF($D544=$D541,Y541+SUM(O544:O546),SUM(O544:O546))</f>
        <v>335.67999999999995</v>
      </c>
      <c r="Z544" s="496">
        <f>IF($B544=" ",SUM(O544:O546),0)+Z541</f>
        <v>0</v>
      </c>
      <c r="AA544" s="496">
        <f>IF(G544="","",IF($B544="Anulado",LARGE(P544:P546,1)-SUM(O544:O546)+AA541,AA541))</f>
        <v>12.425099999999992</v>
      </c>
      <c r="AB544" s="496">
        <f>IF($D544="","",AB541+S544)</f>
        <v>621.14000000000055</v>
      </c>
      <c r="AC544" s="499">
        <f ca="1">IF($D544="","",IF($B544=" ",IF(DAY(G544)=DAY(TODAY()),1+AC541,0+AC541),0+AC541))</f>
        <v>0</v>
      </c>
      <c r="AD544" s="157">
        <f>(1-_xlfn.XLOOKUP(K542,'Fevereiro 2023 - Valor Real'!A3:A15,'Fevereiro 2023 - Valor Real'!C3:C15,0))+1</f>
        <v>2</v>
      </c>
      <c r="AE544" s="158">
        <f>IF(L544="","",IF(L546&gt;0,(SUM(((L544-1)*(1-_xlfn.XLOOKUP(K544,'Fevereiro 2023 - Valor Real'!A3:A15,'Fevereiro 2023 - Valor Real'!C3:C15,0))+1),((L545-1)*(1-_xlfn.XLOOKUP(K545,'Fevereiro 2023 - Valor Real'!A3:A15,'Fevereiro 2023 - Valor Real'!C3:C15,0))+1),((L546-1)*(1-_xlfn.XLOOKUP(K546,'Fevereiro 2023 - Valor Real'!A3:A15,'Fevereiro 2023 - Valor Real'!C3:C15,0))+1))/((L544-1)*(1-_xlfn.XLOOKUP(K544,'Fevereiro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Real'!C3:C15,0))+1))/((L544-1)*(1-_xlfn.XLOOKUP(K544,'Fevereiro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Real'!C3:C15,0))+1))/((L545-1)*(1-_xlfn.XLOOKUP(K545,'Fevereiro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Real'!C3:C15,0))+1))/((L546-1)*(1-_xlfn.XLOOKUP(K546,'Fevereiro 2023 - Valor Real'!A3:A15,'Fevereiro 2023 - Valor Real'!C3:C15,0))+1)),IF(I544="Lay",IF(I545="Lay",((L545/(L545-1)-1)*(1-_xlfn.XLOOKUP(K545,'Fevereiro 2023 - Valor Real'!A3:A15,'Fevereiro 2023 - Valor Real'!C3:C15,0))+1)/(((L545/(L545-1)-1)*(1-_xlfn.XLOOKUP(K545,'Fevereiro 2023 - Valor Real'!A3:A15,'Fevereiro 2023 - Valor Real'!C3:C15,0))+1)+((L544/(L544-1)-1)*(1-_xlfn.XLOOKUP(K544,'Fevereiro 2023 - Valor Real'!A3:A15,'Fevereiro 2023 - Valor Real'!C3:C15,0))+1)),((L545-1)*(1-_xlfn.XLOOKUP(K545,'Fevereiro 2023 - Valor Real'!A3:A15,'Fevereiro 2023 - Valor Real'!C3:C15,0))+1)/(((L545-1)*(1-_xlfn.XLOOKUP(K545,'Fevereiro 2023 - Valor Real'!A3:A15,'Fevereiro 2023 - Valor Real'!C3:C15,0))+1)+((L544/(L544-1)-1)*(1-_xlfn.XLOOKUP(K544,'Fevereiro 2023 - Valor Real'!A3:A15,'Fevereiro 2023 - Valor Real'!C3:C15,0))+1))),IF(I545="Lay",(((L545/(L545-1)-1)*(1-_xlfn.XLOOKUP(K545,'Fevereiro 2023 - Valor Real'!A3:A15,'Fevereiro 2023 - Valor Real'!C3:C15,0))+1))/(((L544-1)*(1-_xlfn.XLOOKUP(K544,'Fevereiro 2023 - Valor Real'!A3:A15,'Fevereiro 2023 - Valor Real'!C3:C15,0))+1)+((L545/(L545-1)-1)*(1-_xlfn.XLOOKUP(K545,'Fevereiro 2023 - Valor Real'!A3:A15,'Fevereiro 2023 - Valor Real'!C3:C15,0))+1)),((L545-1)*(1-_xlfn.XLOOKUP(K545,'Fevereiro 2023 - Valor Real'!A3:A15,'Fevereiro 2023 - Valor Real'!C3:C15,0))+1)/(((L545-1)*(1-_xlfn.XLOOKUP(K545,'Fevereiro 2023 - Valor Real'!A3:A15,'Fevereiro 2023 - Valor Real'!C3:C15,0))+1)+((L544-1)*(1-_xlfn.XLOOKUP(K544,'Fevereiro 2023 - Valor Real'!A3:A15,'Fevereiro 2023 - Valor Real'!C3:C15,0))+1))))))</f>
        <v>0.46436781609195404</v>
      </c>
      <c r="AF544" s="66">
        <f t="shared" ref="AF544:AR553" si="1098">IF($K544=AF$3,ROUND(IF(OR($C544="W",$C544="1/2W",$C544="1/2L"),$P544-$O544,IF($C544="X",0,-$O544)),2),0)</f>
        <v>0</v>
      </c>
      <c r="AG544" s="67">
        <f t="shared" si="1098"/>
        <v>0</v>
      </c>
      <c r="AH544" s="67">
        <f t="shared" si="1098"/>
        <v>0</v>
      </c>
      <c r="AI544" s="67">
        <f t="shared" si="1098"/>
        <v>0</v>
      </c>
      <c r="AJ544" s="67">
        <f t="shared" si="1098"/>
        <v>11.25</v>
      </c>
      <c r="AK544" s="67">
        <f t="shared" si="1098"/>
        <v>0</v>
      </c>
      <c r="AL544" s="67">
        <f t="shared" si="1098"/>
        <v>0</v>
      </c>
      <c r="AM544" s="67">
        <f t="shared" si="1098"/>
        <v>0</v>
      </c>
      <c r="AN544" s="67">
        <f t="shared" si="1098"/>
        <v>0</v>
      </c>
      <c r="AO544" s="67">
        <f t="shared" si="1098"/>
        <v>0</v>
      </c>
      <c r="AP544" s="67">
        <f t="shared" si="1098"/>
        <v>0</v>
      </c>
      <c r="AQ544" s="67">
        <f t="shared" si="1098"/>
        <v>0</v>
      </c>
      <c r="AR544" s="68">
        <f t="shared" si="1098"/>
        <v>0</v>
      </c>
      <c r="AS544" s="66">
        <f t="shared" ref="AS544:BE544" si="1099">IF(AND($B544=" ",$K544=AS$3),$O544,0)</f>
        <v>0</v>
      </c>
      <c r="AT544" s="67">
        <f t="shared" si="1099"/>
        <v>0</v>
      </c>
      <c r="AU544" s="67">
        <f t="shared" si="1099"/>
        <v>0</v>
      </c>
      <c r="AV544" s="67">
        <f t="shared" si="1099"/>
        <v>0</v>
      </c>
      <c r="AW544" s="67">
        <f t="shared" si="1099"/>
        <v>0</v>
      </c>
      <c r="AX544" s="67">
        <f t="shared" si="1099"/>
        <v>0</v>
      </c>
      <c r="AY544" s="69">
        <f t="shared" si="1099"/>
        <v>0</v>
      </c>
      <c r="AZ544" s="70">
        <f t="shared" si="1099"/>
        <v>0</v>
      </c>
      <c r="BA544" s="70">
        <f t="shared" si="1099"/>
        <v>0</v>
      </c>
      <c r="BB544" s="70">
        <f t="shared" si="1099"/>
        <v>0</v>
      </c>
      <c r="BC544" s="71">
        <f t="shared" si="1099"/>
        <v>0</v>
      </c>
      <c r="BD544" s="67">
        <f t="shared" si="1099"/>
        <v>0</v>
      </c>
      <c r="BE544" s="68">
        <f t="shared" si="1099"/>
        <v>0</v>
      </c>
      <c r="BF544" s="66">
        <f t="shared" ref="BF544:BR553" si="1100">IF($K544=BF$3,IF($C544="X",0,$O544),0)</f>
        <v>0</v>
      </c>
      <c r="BG544" s="67">
        <f t="shared" si="1100"/>
        <v>0</v>
      </c>
      <c r="BH544" s="67">
        <f t="shared" si="1100"/>
        <v>0</v>
      </c>
      <c r="BI544" s="67">
        <f t="shared" si="1100"/>
        <v>0</v>
      </c>
      <c r="BJ544" s="67">
        <f t="shared" si="1100"/>
        <v>8.4600000000000009</v>
      </c>
      <c r="BK544" s="67">
        <f t="shared" si="1100"/>
        <v>0</v>
      </c>
      <c r="BL544" s="67">
        <f t="shared" si="1100"/>
        <v>0</v>
      </c>
      <c r="BM544" s="69">
        <f t="shared" si="1100"/>
        <v>0</v>
      </c>
      <c r="BN544" s="70">
        <f t="shared" si="1100"/>
        <v>0</v>
      </c>
      <c r="BO544" s="70">
        <f t="shared" si="1100"/>
        <v>0</v>
      </c>
      <c r="BP544" s="70">
        <f t="shared" si="1100"/>
        <v>0</v>
      </c>
      <c r="BQ544" s="71">
        <f t="shared" si="1100"/>
        <v>0</v>
      </c>
      <c r="BR544" s="68">
        <f t="shared" si="1100"/>
        <v>0</v>
      </c>
      <c r="BS544" s="490">
        <f>IF($B544="LOSS",IF(AND($K544=BS$3,$C544="L"),-$O544,0)+IF(AND($K545=BS$3,$C545="L"),-$O545,0)+IF(AND($K546=BS$3,$C546="L"),-$O546,0),IF(OR(AND($K544=BS$3,OR($C544="W",$C544="1/2W")),AND($K545=BS$3,OR($C545="W",$C545="1/2W")),AND($K546=BS$3,OR($C546="W",$C546="1/2W"))),$S544,0))</f>
        <v>0</v>
      </c>
      <c r="BT544" s="498">
        <f>IF($B544="LOSS",IF(AND($K544=BT$3,$C544="L"),-$O544,0)+IF(AND($K545=BT$3,$C545="L"),-$O545,0)+IF(AND($K545=BT$3,$C546="L"),-$O546,0),IF(OR(AND($K545=BT$3,OR($C544="W",$C544="1/2W")),AND($K545=BT$3,OR($C545="W",$C545="1/2W")),AND($K545=BT$3,OR($C546="W",$C546="1/2W"))),$S544,0))</f>
        <v>0</v>
      </c>
      <c r="BU544" s="488">
        <f>IF($B544="LOSS",IF(AND($K544=BU$3,$C544="L"),-$O544,0)+IF(AND($K545=BU$3,$C545="L"),-$O545,0)+IF(AND($K545=BU$3,$C546="L"),-$O546,0),IF(OR(AND($K545=BU$3,OR($C544="W",$C544="1/2W")),AND($K545=BU$3,OR($C545="W",$C545="1/2W")),AND($K545=BU$3,OR($C546="W",$C546="1/2W"))),$S544,0))</f>
        <v>0</v>
      </c>
      <c r="BV544" s="488">
        <f t="shared" ref="BV544:CE544" si="1101">IF($B544="LOSS",IF(AND($K544=BV$3,$C544="L"),-$O544,0)+IF(AND($K545=BV$3,$C545="L"),-$O545,0)+IF(AND($K546=BV$3,$C546="L"),-$O546,0),IF(OR(AND($K544=BV$3,OR($C544="W",$C544="1/2W")),AND($K545=BV$3,OR($C545="W",$C545="1/2W")),AND($K546=BV$3,OR($C546="W",$C546="1/2W"))),$S544,0))</f>
        <v>0</v>
      </c>
      <c r="BW544" s="488">
        <f t="shared" si="1101"/>
        <v>1.49</v>
      </c>
      <c r="BX544" s="488">
        <f t="shared" si="1101"/>
        <v>0</v>
      </c>
      <c r="BY544" s="488">
        <f t="shared" si="1101"/>
        <v>0</v>
      </c>
      <c r="BZ544" s="488">
        <f t="shared" si="1101"/>
        <v>0</v>
      </c>
      <c r="CA544" s="488">
        <f t="shared" si="1101"/>
        <v>0</v>
      </c>
      <c r="CB544" s="488">
        <f t="shared" si="1101"/>
        <v>0</v>
      </c>
      <c r="CC544" s="488">
        <f t="shared" si="1101"/>
        <v>0</v>
      </c>
      <c r="CD544" s="500">
        <f t="shared" si="1101"/>
        <v>0</v>
      </c>
      <c r="CE544" s="504">
        <f t="shared" si="1101"/>
        <v>0</v>
      </c>
      <c r="CF544" s="160">
        <f t="shared" si="1028"/>
        <v>0</v>
      </c>
      <c r="CG544" s="161">
        <f t="shared" si="1029"/>
        <v>0</v>
      </c>
      <c r="CH544" s="161">
        <f t="shared" si="1030"/>
        <v>0</v>
      </c>
      <c r="CI544" s="161">
        <f t="shared" si="1031"/>
        <v>0</v>
      </c>
      <c r="CJ544" s="161">
        <f t="shared" si="1032"/>
        <v>0</v>
      </c>
      <c r="CK544" s="161">
        <f t="shared" si="1033"/>
        <v>0</v>
      </c>
      <c r="CL544" s="161">
        <f t="shared" si="1034"/>
        <v>0</v>
      </c>
      <c r="CM544" s="161">
        <f t="shared" si="1035"/>
        <v>0</v>
      </c>
      <c r="CN544" s="161">
        <f t="shared" si="1036"/>
        <v>1</v>
      </c>
      <c r="CO544" s="161">
        <f t="shared" si="1037"/>
        <v>0</v>
      </c>
      <c r="CP544" s="161">
        <f t="shared" si="1038"/>
        <v>0</v>
      </c>
      <c r="CQ544" s="161">
        <f t="shared" si="1039"/>
        <v>0</v>
      </c>
      <c r="CR544" s="161">
        <f t="shared" si="1040"/>
        <v>0</v>
      </c>
      <c r="CS544" s="161">
        <f t="shared" si="1041"/>
        <v>0</v>
      </c>
      <c r="CT544" s="75">
        <f t="shared" si="1042"/>
        <v>0</v>
      </c>
      <c r="CU544" s="76">
        <f t="shared" si="1043"/>
        <v>0</v>
      </c>
      <c r="CV544" s="76">
        <f t="shared" si="1044"/>
        <v>0</v>
      </c>
      <c r="CW544" s="76">
        <f t="shared" si="1045"/>
        <v>0</v>
      </c>
      <c r="CX544" s="76">
        <f t="shared" si="1046"/>
        <v>0</v>
      </c>
      <c r="CY544" s="76">
        <f t="shared" si="1047"/>
        <v>0</v>
      </c>
      <c r="CZ544" s="76">
        <f t="shared" si="1048"/>
        <v>0</v>
      </c>
      <c r="DA544" s="76">
        <f t="shared" si="1049"/>
        <v>0</v>
      </c>
      <c r="DB544" s="76">
        <f t="shared" si="1050"/>
        <v>0</v>
      </c>
      <c r="DC544" s="76">
        <f t="shared" si="1051"/>
        <v>0</v>
      </c>
      <c r="DD544" s="76">
        <f t="shared" si="1052"/>
        <v>0</v>
      </c>
      <c r="DE544" s="77">
        <f t="shared" si="1053"/>
        <v>0</v>
      </c>
      <c r="DF544" s="73">
        <f t="shared" si="1056"/>
        <v>33</v>
      </c>
      <c r="DG544" s="67">
        <f t="shared" si="1057"/>
        <v>43.031999999999989</v>
      </c>
      <c r="DH544" s="76">
        <f t="shared" si="1058"/>
        <v>13</v>
      </c>
      <c r="DI544" s="67">
        <f t="shared" si="1059"/>
        <v>56.05</v>
      </c>
      <c r="DJ544" s="202" t="str">
        <f>IF($D544="","",$D544)</f>
        <v>16</v>
      </c>
      <c r="DK544" s="492">
        <f>IF(AND($B544=" ",$D544&lt;&gt;""),1,0)</f>
        <v>0</v>
      </c>
    </row>
    <row r="545" spans="1:115" ht="14.5" customHeight="1" x14ac:dyDescent="0.2">
      <c r="A545" s="389"/>
      <c r="B545" s="456"/>
      <c r="C545" s="53" t="s">
        <v>55</v>
      </c>
      <c r="D545" s="374"/>
      <c r="E545" s="386"/>
      <c r="F545" s="377"/>
      <c r="G545" s="508"/>
      <c r="H545" s="476"/>
      <c r="I545" s="182" t="s">
        <v>66</v>
      </c>
      <c r="J545" s="56">
        <f>IF(OR(I544="TO",I544="TU",I544="TO1",I544="TU1",I544="TO2",I544="TU2"),J544,IF(OR(I544="AH1",I544="AH2"),IF(OR(I545="AH1",I545="AH2"),-J544,IF(OR(I545="EH1",I545="EH2"),-J544+0.5,"")),IF(OR(I544="EH1",I544="EH2"),IF(OR(I545="AH1",I545="AH2"),-J544+0.5,IF(OR(I545="EH1",I545="EH2"),-J544+1,"")),IF(AND(OR(I544="DNB1",I544="DNB2"),OR(I545="AH1",I545="AH2")),0,IF(AND(I544="Not ScoreBoth",OR(I545="TO1",I545="TO2")),0.5,"")))))</f>
        <v>0.5</v>
      </c>
      <c r="K545" s="57" t="s">
        <v>43</v>
      </c>
      <c r="L545" s="164">
        <v>2.02</v>
      </c>
      <c r="M545" s="165"/>
      <c r="N545" s="406"/>
      <c r="O545" s="60">
        <f>IF(OR(AE544="",AE545=""),"",ROUND(IF(L546&gt;0,IF(M545&gt;0,M545,IF(M544&gt;0,IF(N544=TRUE,ROUND((M544*AE545)/AE544,0),(M544*AE545)/AE544),IF(M545&gt;0,ROUND(M545,IF(N544=0,2,IF(N544=0.1,1,0))),IF(M546&gt;0,ROUND(O546*AE545/AE546,IF(N544=0,2,IF(N544=0.1,1,0))),0)))),IF(M545&gt;0,M545,ROUND((M544*AE545)/AE544,IF(N544=0,2,IF(N544=0.1,1,0))))),2))</f>
        <v>9.76</v>
      </c>
      <c r="P545" s="61">
        <f>IF(OR(L545="",O545=""),"",IF($C545="1/2W",O545/2+O545/2*L545,IF($C545="1/2L",O545/2,IF(I545="Lay",((O545*(L545/(L545-1)))-O545)*(1-_xlfn.XLOOKUP(K545,'Fevereiro 2023 - Valor Real'!A3:A15,'Fevereiro 2023 - Valor Real'!C3:C15,0))+O545,(O545*L545-O545)*(1-_xlfn.XLOOKUP(K545,'Fevereiro 2023 - Valor Real'!A3:A15,'Fevereiro 2023 - Valor Real'!C3:C15,0))+O545))))</f>
        <v>19.715199999999999</v>
      </c>
      <c r="Q545" s="166">
        <f>IF(K545="","",IF(_xlfn.XLOOKUP(K545,K$10:K536,$DJ$10:DJ536,0,,-1)=DJ545,_xlfn.XLOOKUP(K545,K$10:K536,Q$10:Q536,1,,-1)+1,1))</f>
        <v>4</v>
      </c>
      <c r="R545" s="167">
        <f>IF(K545="","",_xlfn.XLOOKUP(K545,K$10:K536,R$10:R536,0,,-1)+IF($C545=" ",1,0))</f>
        <v>0</v>
      </c>
      <c r="S545" s="403"/>
      <c r="T545" s="380"/>
      <c r="U545" s="380"/>
      <c r="V545" s="481"/>
      <c r="W545" s="380"/>
      <c r="X545" s="452"/>
      <c r="Y545" s="383"/>
      <c r="Z545" s="384"/>
      <c r="AA545" s="384"/>
      <c r="AB545" s="384"/>
      <c r="AC545" s="384"/>
      <c r="AD545" s="64"/>
      <c r="AE545" s="65">
        <f>IF(L545="","",IF(L546&gt;0,(SUM(((L544-1)*(1-_xlfn.XLOOKUP(K544,'Fevereiro 2023 - Valor Real'!A3:A15,'Fevereiro 2023 - Valor Real'!C3:C15,0))+1),((L545-1)*(1-_xlfn.XLOOKUP(K545,'Fevereiro 2023 - Valor Real'!A3:A15,'Fevereiro 2023 - Valor Real'!C3:C15,0))+1),((L546-1)*(1-_xlfn.XLOOKUP(K546,'Fevereiro 2023 - Valor Real'!A3:A15,'Fevereiro 2023 - Valor Real'!C3:C15,0))+1))/((L545-1)*(1-_xlfn.XLOOKUP(K545,'Fevereiro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Real'!C3:C15,0))+1))/((L544-1)*(1-_xlfn.XLOOKUP(K544,'Fevereiro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Real'!C3:C15,0))+1))/((L545-1)*(1-_xlfn.XLOOKUP(K545,'Fevereiro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Real'!C3:C15,0))+1))/((L546-1)*(1-_xlfn.XLOOKUP(K546,'Fevereiro 2023 - Valor Real'!A3:A15,'Fevereiro 2023 - Valor Real'!C3:C15,0))+1)),IF(I545="Lay",IF(I544="Lay",((L544/(L544-1)-1)*(1-_xlfn.XLOOKUP(K544,'Fevereiro 2023 - Valor Real'!A3:A15,'Fevereiro 2023 - Valor Real'!C3:C15,0))+1)/(((L544/(L544-1)-1)*(1-_xlfn.XLOOKUP(K544,'Fevereiro 2023 - Valor Real'!A3:A15,'Fevereiro 2023 - Valor Real'!C3:C15,0))+1)+((L545/(L545-1)-1)*(1-_xlfn.XLOOKUP(K545,'Fevereiro 2023 - Valor Real'!A3:A15,'Fevereiro 2023 - Valor Real'!C3:C15,0))+1)),((L544-1)*(1-_xlfn.XLOOKUP(K544,'Fevereiro 2023 - Valor Real'!A3:A15,'Fevereiro 2023 - Valor Real'!C3:C15,0))+1)/(((L544-1)*(1-_xlfn.XLOOKUP(K544,'Fevereiro 2023 - Valor Real'!A3:A15,'Fevereiro 2023 - Valor Real'!C3:C15,0))+1)+((L545/(L545-1)-1)*(1-_xlfn.XLOOKUP(K545,'Fevereiro 2023 - Valor Real'!A3:A15,'Fevereiro 2023 - Valor Real'!C3:C15,0))+1))),IF(I544="Lay",((L544/(L544-1)-1)*(1-_xlfn.XLOOKUP(K544,'Fevereiro 2023 - Valor Real'!A3:A15,'Fevereiro 2023 - Valor Real'!C3:C15,0))+1)/((((L544/(L544-1)-1)*(1-_xlfn.XLOOKUP(K544,'Fevereiro 2023 - Valor Real'!A3:A15,'Fevereiro 2023 - Valor Real'!C3:C15,0))+1))+((L545-1)*(1-_xlfn.XLOOKUP(K545,'Fevereiro 2023 - Valor Real'!A3:A15,'Fevereiro 2023 - Valor Real'!C3:C15,0))+1)),((L544-1)*(1-_xlfn.XLOOKUP(K544,'Fevereiro 2023 - Valor Real'!A3:A15,'Fevereiro 2023 - Valor Real'!C3:C15,0))+1)/(((L544-1)*(1-_xlfn.XLOOKUP(K544,'Fevereiro 2023 - Valor Real'!A3:A15,'Fevereiro 2023 - Valor Real'!C3:C15,0))+1)+((L545-1)*(1-_xlfn.XLOOKUP(K545,'Fevereiro 2023 - Valor Real'!A3:A15,'Fevereiro 2023 - Valor Real'!C3:C15,0))+1))))))</f>
        <v>0.53563218390804601</v>
      </c>
      <c r="AF545" s="66">
        <f t="shared" si="1098"/>
        <v>0</v>
      </c>
      <c r="AG545" s="67">
        <f t="shared" si="1098"/>
        <v>0</v>
      </c>
      <c r="AH545" s="67">
        <f t="shared" si="1098"/>
        <v>0</v>
      </c>
      <c r="AI545" s="67">
        <f t="shared" si="1098"/>
        <v>0</v>
      </c>
      <c r="AJ545" s="67">
        <f t="shared" si="1098"/>
        <v>0</v>
      </c>
      <c r="AK545" s="67">
        <f t="shared" si="1098"/>
        <v>0</v>
      </c>
      <c r="AL545" s="67">
        <f t="shared" si="1098"/>
        <v>0</v>
      </c>
      <c r="AM545" s="67">
        <f t="shared" si="1098"/>
        <v>-9.76</v>
      </c>
      <c r="AN545" s="67">
        <f t="shared" si="1098"/>
        <v>0</v>
      </c>
      <c r="AO545" s="67">
        <f t="shared" si="1098"/>
        <v>0</v>
      </c>
      <c r="AP545" s="67">
        <f t="shared" si="1098"/>
        <v>0</v>
      </c>
      <c r="AQ545" s="67">
        <f t="shared" si="1098"/>
        <v>0</v>
      </c>
      <c r="AR545" s="68">
        <f t="shared" si="1098"/>
        <v>0</v>
      </c>
      <c r="AS545" s="66">
        <f>IF(AND($B544=" ",$K545=AS$3),$O545,0)</f>
        <v>0</v>
      </c>
      <c r="AT545" s="67">
        <f>IF(AND($B544=" ",K545=AT$3),$O545,0)</f>
        <v>0</v>
      </c>
      <c r="AU545" s="67">
        <f t="shared" ref="AU545:BE545" si="1102">IF(AND($B544=" ",$K545=AU$3),$O545,0)</f>
        <v>0</v>
      </c>
      <c r="AV545" s="67">
        <f t="shared" si="1102"/>
        <v>0</v>
      </c>
      <c r="AW545" s="67">
        <f t="shared" si="1102"/>
        <v>0</v>
      </c>
      <c r="AX545" s="67">
        <f t="shared" si="1102"/>
        <v>0</v>
      </c>
      <c r="AY545" s="69">
        <f t="shared" si="1102"/>
        <v>0</v>
      </c>
      <c r="AZ545" s="70">
        <f t="shared" si="1102"/>
        <v>0</v>
      </c>
      <c r="BA545" s="70">
        <f t="shared" si="1102"/>
        <v>0</v>
      </c>
      <c r="BB545" s="70">
        <f t="shared" si="1102"/>
        <v>0</v>
      </c>
      <c r="BC545" s="71">
        <f t="shared" si="1102"/>
        <v>0</v>
      </c>
      <c r="BD545" s="67">
        <f t="shared" si="1102"/>
        <v>0</v>
      </c>
      <c r="BE545" s="68">
        <f t="shared" si="1102"/>
        <v>0</v>
      </c>
      <c r="BF545" s="66">
        <f t="shared" si="1100"/>
        <v>0</v>
      </c>
      <c r="BG545" s="168">
        <f t="shared" si="1100"/>
        <v>0</v>
      </c>
      <c r="BH545" s="67">
        <f t="shared" si="1100"/>
        <v>0</v>
      </c>
      <c r="BI545" s="67">
        <f t="shared" si="1100"/>
        <v>0</v>
      </c>
      <c r="BJ545" s="67">
        <f t="shared" si="1100"/>
        <v>0</v>
      </c>
      <c r="BK545" s="67">
        <f t="shared" si="1100"/>
        <v>0</v>
      </c>
      <c r="BL545" s="67">
        <f t="shared" si="1100"/>
        <v>0</v>
      </c>
      <c r="BM545" s="69">
        <f t="shared" si="1100"/>
        <v>9.76</v>
      </c>
      <c r="BN545" s="70">
        <f t="shared" si="1100"/>
        <v>0</v>
      </c>
      <c r="BO545" s="70">
        <f t="shared" si="1100"/>
        <v>0</v>
      </c>
      <c r="BP545" s="70">
        <f t="shared" si="1100"/>
        <v>0</v>
      </c>
      <c r="BQ545" s="71">
        <f t="shared" si="1100"/>
        <v>0</v>
      </c>
      <c r="BR545" s="68">
        <f t="shared" si="1100"/>
        <v>0</v>
      </c>
      <c r="BS545" s="491"/>
      <c r="BT545" s="489"/>
      <c r="BU545" s="392"/>
      <c r="BV545" s="489"/>
      <c r="BW545" s="392"/>
      <c r="BX545" s="392"/>
      <c r="BY545" s="392"/>
      <c r="BZ545" s="489"/>
      <c r="CA545" s="392"/>
      <c r="CB545" s="392"/>
      <c r="CC545" s="392"/>
      <c r="CD545" s="401"/>
      <c r="CE545" s="409"/>
      <c r="CF545" s="169">
        <f t="shared" si="1028"/>
        <v>0</v>
      </c>
      <c r="CG545" s="170">
        <f t="shared" si="1029"/>
        <v>0</v>
      </c>
      <c r="CH545" s="170">
        <f t="shared" si="1030"/>
        <v>0</v>
      </c>
      <c r="CI545" s="170">
        <f t="shared" si="1031"/>
        <v>0</v>
      </c>
      <c r="CJ545" s="170">
        <f t="shared" si="1032"/>
        <v>0</v>
      </c>
      <c r="CK545" s="170">
        <f t="shared" si="1033"/>
        <v>0</v>
      </c>
      <c r="CL545" s="170">
        <f t="shared" si="1034"/>
        <v>0</v>
      </c>
      <c r="CM545" s="170">
        <f t="shared" si="1035"/>
        <v>0</v>
      </c>
      <c r="CN545" s="170">
        <f t="shared" si="1036"/>
        <v>0</v>
      </c>
      <c r="CO545" s="170">
        <f t="shared" si="1037"/>
        <v>0</v>
      </c>
      <c r="CP545" s="170">
        <f t="shared" si="1038"/>
        <v>0</v>
      </c>
      <c r="CQ545" s="170">
        <f t="shared" si="1039"/>
        <v>0</v>
      </c>
      <c r="CR545" s="170">
        <f t="shared" si="1040"/>
        <v>0</v>
      </c>
      <c r="CS545" s="170">
        <f t="shared" si="1041"/>
        <v>0</v>
      </c>
      <c r="CT545" s="75">
        <f t="shared" si="1042"/>
        <v>0</v>
      </c>
      <c r="CU545" s="76">
        <f t="shared" si="1043"/>
        <v>1</v>
      </c>
      <c r="CV545" s="76">
        <f t="shared" si="1044"/>
        <v>0</v>
      </c>
      <c r="CW545" s="76">
        <f t="shared" si="1045"/>
        <v>0</v>
      </c>
      <c r="CX545" s="76">
        <f t="shared" si="1046"/>
        <v>0</v>
      </c>
      <c r="CY545" s="76">
        <f t="shared" si="1047"/>
        <v>0</v>
      </c>
      <c r="CZ545" s="76">
        <f t="shared" si="1048"/>
        <v>0</v>
      </c>
      <c r="DA545" s="76">
        <f t="shared" si="1049"/>
        <v>0</v>
      </c>
      <c r="DB545" s="76">
        <f t="shared" si="1050"/>
        <v>0</v>
      </c>
      <c r="DC545" s="76">
        <f t="shared" si="1051"/>
        <v>0</v>
      </c>
      <c r="DD545" s="76">
        <f t="shared" si="1052"/>
        <v>0</v>
      </c>
      <c r="DE545" s="77">
        <f t="shared" si="1053"/>
        <v>0</v>
      </c>
      <c r="DF545" s="73">
        <f t="shared" si="1056"/>
        <v>33</v>
      </c>
      <c r="DG545" s="67">
        <f t="shared" si="1057"/>
        <v>43.031999999999989</v>
      </c>
      <c r="DH545" s="76">
        <f t="shared" si="1058"/>
        <v>13</v>
      </c>
      <c r="DI545" s="67">
        <f t="shared" si="1059"/>
        <v>56.05</v>
      </c>
      <c r="DJ545" s="202" t="str">
        <f>IF($D544="","",$D544)</f>
        <v>16</v>
      </c>
      <c r="DK545" s="493"/>
    </row>
    <row r="546" spans="1:115" ht="14.5" customHeight="1" x14ac:dyDescent="0.2">
      <c r="A546" s="390"/>
      <c r="B546" s="457"/>
      <c r="C546" s="79" t="s">
        <v>53</v>
      </c>
      <c r="D546" s="375"/>
      <c r="E546" s="387"/>
      <c r="F546" s="378"/>
      <c r="G546" s="508"/>
      <c r="H546" s="477"/>
      <c r="I546" s="171"/>
      <c r="J546" s="172"/>
      <c r="K546" s="81"/>
      <c r="L546" s="173"/>
      <c r="M546" s="174"/>
      <c r="N546" s="407"/>
      <c r="O546" s="86" t="str">
        <f>IF(OR(AE544="",AE545=""),"",IF(L546&gt;0,ROUND(IF(M546&gt;0,M546,IF(M544&gt;0,ROUND((M544*AE546)/AE544,IF(N544=0,2,IF(N544=0.1,1,0))),IF(M545&gt;0,ROUND((M545*AE546)/AE545,IF(N544=0,2,IF(N544=0.1,1,0))),IF(M546&gt;0,M546,0)))),2),""))</f>
        <v/>
      </c>
      <c r="P546" s="87" t="str">
        <f>IF(I545="Lay",O545*(L545/(L545-1))-O545,IF(I544="Lay",O544*(L544/(L544-1))-O544,IF(OR(L546="",O546=""),"",IF($C546="1/2W",O546/2+O546/2*L546,IF($C546="1/2L",O546/2,(O546*L546-O546)*(1-_xlfn.XLOOKUP(K546,'Fevereiro 2023 - Valor Real'!A3:A15,'Fevereiro 2023 - Valor Real'!C3:C15,0))+O546)))))</f>
        <v/>
      </c>
      <c r="Q546" s="54" t="str">
        <f>IF(K546="","",IF(_xlfn.XLOOKUP(K546,K$11:K536,$DJ$11:DJ536,0,,-1)=DJ546,_xlfn.XLOOKUP(K546,K$11:K536,Q$11:Q536,1,,-1)+1,1))</f>
        <v/>
      </c>
      <c r="R546" s="87" t="str">
        <f>IF(K546="","",_xlfn.XLOOKUP(K546,K$11:K536,R$11:R536,0,,-1)+IF($C546=" ",1,0))</f>
        <v/>
      </c>
      <c r="S546" s="404"/>
      <c r="T546" s="378"/>
      <c r="U546" s="378"/>
      <c r="V546" s="404"/>
      <c r="W546" s="378"/>
      <c r="X546" s="453"/>
      <c r="Y546" s="383"/>
      <c r="Z546" s="384"/>
      <c r="AA546" s="384"/>
      <c r="AB546" s="384"/>
      <c r="AC546" s="384"/>
      <c r="AD546" s="90"/>
      <c r="AE546" s="91" t="str">
        <f>IF(L546="","",(SUM(((L544-1)*(1-_xlfn.XLOOKUP(K544,'Fevereiro 2023 - Valor Real'!A3:A15,'Fevereiro 2023 - Valor Real'!C3:C15,0))+1),((L545-1)*(1-_xlfn.XLOOKUP(K545,'Fevereiro 2023 - Valor Real'!A3:A15,'Fevereiro 2023 - Valor Real'!C3:C15,0))+1),((L546-1)*(1-_xlfn.XLOOKUP(K546,'Fevereiro 2023 - Valor Real'!A3:A15,'Fevereiro 2023 - Valor Real'!C3:C15,0))+1))/((L546-1)*(1-_xlfn.XLOOKUP(K546,'Fevereiro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Real'!C3:C15,0))+1))/((L544-1)*(1-_xlfn.XLOOKUP(K544,'Fevereiro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Real'!C3:C15,0))+1))/((L545-1)*(1-_xlfn.XLOOKUP(K545,'Fevereiro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Real'!C3:C15,0))+1))/((L546-1)*(1-_xlfn.XLOOKUP(K546,'Fevereiro 2023 - Valor Real'!A3:A15,'Fevereiro 2023 - Valor Real'!C3:C15,0))+1)))</f>
        <v/>
      </c>
      <c r="AF546" s="66">
        <f t="shared" si="1098"/>
        <v>0</v>
      </c>
      <c r="AG546" s="67">
        <f t="shared" si="1098"/>
        <v>0</v>
      </c>
      <c r="AH546" s="67">
        <f t="shared" si="1098"/>
        <v>0</v>
      </c>
      <c r="AI546" s="67">
        <f t="shared" si="1098"/>
        <v>0</v>
      </c>
      <c r="AJ546" s="67">
        <f t="shared" si="1098"/>
        <v>0</v>
      </c>
      <c r="AK546" s="67">
        <f t="shared" si="1098"/>
        <v>0</v>
      </c>
      <c r="AL546" s="67">
        <f t="shared" si="1098"/>
        <v>0</v>
      </c>
      <c r="AM546" s="67">
        <f t="shared" si="1098"/>
        <v>0</v>
      </c>
      <c r="AN546" s="67">
        <f t="shared" si="1098"/>
        <v>0</v>
      </c>
      <c r="AO546" s="67">
        <f t="shared" si="1098"/>
        <v>0</v>
      </c>
      <c r="AP546" s="67">
        <f t="shared" si="1098"/>
        <v>0</v>
      </c>
      <c r="AQ546" s="67">
        <f t="shared" si="1098"/>
        <v>0</v>
      </c>
      <c r="AR546" s="68">
        <f t="shared" si="1098"/>
        <v>0</v>
      </c>
      <c r="AS546" s="66">
        <f>IF(AND($B544=" ",$K546=AS$3),$O546,0)</f>
        <v>0</v>
      </c>
      <c r="AT546" s="67">
        <f>IF(AND($B544=" ",K546=AT$3),$O546,0)</f>
        <v>0</v>
      </c>
      <c r="AU546" s="67">
        <f t="shared" ref="AU546:BE546" si="1103">IF(AND($B544=" ",$K546=AU$3),$O546,0)</f>
        <v>0</v>
      </c>
      <c r="AV546" s="67">
        <f t="shared" si="1103"/>
        <v>0</v>
      </c>
      <c r="AW546" s="67">
        <f t="shared" si="1103"/>
        <v>0</v>
      </c>
      <c r="AX546" s="67">
        <f t="shared" si="1103"/>
        <v>0</v>
      </c>
      <c r="AY546" s="69">
        <f t="shared" si="1103"/>
        <v>0</v>
      </c>
      <c r="AZ546" s="70">
        <f t="shared" si="1103"/>
        <v>0</v>
      </c>
      <c r="BA546" s="70">
        <f t="shared" si="1103"/>
        <v>0</v>
      </c>
      <c r="BB546" s="70">
        <f t="shared" si="1103"/>
        <v>0</v>
      </c>
      <c r="BC546" s="71">
        <f t="shared" si="1103"/>
        <v>0</v>
      </c>
      <c r="BD546" s="67">
        <f t="shared" si="1103"/>
        <v>0</v>
      </c>
      <c r="BE546" s="68">
        <f t="shared" si="1103"/>
        <v>0</v>
      </c>
      <c r="BF546" s="66">
        <f t="shared" si="1100"/>
        <v>0</v>
      </c>
      <c r="BG546" s="168">
        <f t="shared" si="1100"/>
        <v>0</v>
      </c>
      <c r="BH546" s="67">
        <f t="shared" si="1100"/>
        <v>0</v>
      </c>
      <c r="BI546" s="67">
        <f t="shared" si="1100"/>
        <v>0</v>
      </c>
      <c r="BJ546" s="67">
        <f t="shared" si="1100"/>
        <v>0</v>
      </c>
      <c r="BK546" s="67">
        <f t="shared" si="1100"/>
        <v>0</v>
      </c>
      <c r="BL546" s="67">
        <f t="shared" si="1100"/>
        <v>0</v>
      </c>
      <c r="BM546" s="69">
        <f t="shared" si="1100"/>
        <v>0</v>
      </c>
      <c r="BN546" s="70">
        <f t="shared" si="1100"/>
        <v>0</v>
      </c>
      <c r="BO546" s="70">
        <f t="shared" si="1100"/>
        <v>0</v>
      </c>
      <c r="BP546" s="70">
        <f t="shared" si="1100"/>
        <v>0</v>
      </c>
      <c r="BQ546" s="71">
        <f t="shared" si="1100"/>
        <v>0</v>
      </c>
      <c r="BR546" s="68">
        <f t="shared" si="1100"/>
        <v>0</v>
      </c>
      <c r="BS546" s="491"/>
      <c r="BT546" s="489"/>
      <c r="BU546" s="392"/>
      <c r="BV546" s="489"/>
      <c r="BW546" s="392"/>
      <c r="BX546" s="392"/>
      <c r="BY546" s="392"/>
      <c r="BZ546" s="489"/>
      <c r="CA546" s="392"/>
      <c r="CB546" s="392"/>
      <c r="CC546" s="392"/>
      <c r="CD546" s="401"/>
      <c r="CE546" s="409"/>
      <c r="CF546" s="169">
        <f t="shared" si="1028"/>
        <v>0</v>
      </c>
      <c r="CG546" s="170">
        <f t="shared" si="1029"/>
        <v>0</v>
      </c>
      <c r="CH546" s="170">
        <f t="shared" si="1030"/>
        <v>0</v>
      </c>
      <c r="CI546" s="170">
        <f t="shared" si="1031"/>
        <v>0</v>
      </c>
      <c r="CJ546" s="170">
        <f t="shared" si="1032"/>
        <v>0</v>
      </c>
      <c r="CK546" s="170">
        <f t="shared" si="1033"/>
        <v>0</v>
      </c>
      <c r="CL546" s="170">
        <f t="shared" si="1034"/>
        <v>0</v>
      </c>
      <c r="CM546" s="170">
        <f t="shared" si="1035"/>
        <v>0</v>
      </c>
      <c r="CN546" s="170">
        <f t="shared" si="1036"/>
        <v>0</v>
      </c>
      <c r="CO546" s="170">
        <f t="shared" si="1037"/>
        <v>0</v>
      </c>
      <c r="CP546" s="170">
        <f t="shared" si="1038"/>
        <v>0</v>
      </c>
      <c r="CQ546" s="170">
        <f t="shared" si="1039"/>
        <v>0</v>
      </c>
      <c r="CR546" s="170">
        <f t="shared" si="1040"/>
        <v>0</v>
      </c>
      <c r="CS546" s="170">
        <f t="shared" si="1041"/>
        <v>0</v>
      </c>
      <c r="CT546" s="75">
        <f t="shared" si="1042"/>
        <v>0</v>
      </c>
      <c r="CU546" s="76">
        <f t="shared" si="1043"/>
        <v>0</v>
      </c>
      <c r="CV546" s="76">
        <f t="shared" si="1044"/>
        <v>0</v>
      </c>
      <c r="CW546" s="76">
        <f t="shared" si="1045"/>
        <v>0</v>
      </c>
      <c r="CX546" s="76">
        <f t="shared" si="1046"/>
        <v>0</v>
      </c>
      <c r="CY546" s="76">
        <f t="shared" si="1047"/>
        <v>0</v>
      </c>
      <c r="CZ546" s="76">
        <f t="shared" si="1048"/>
        <v>0</v>
      </c>
      <c r="DA546" s="76">
        <f t="shared" si="1049"/>
        <v>0</v>
      </c>
      <c r="DB546" s="76">
        <f t="shared" si="1050"/>
        <v>0</v>
      </c>
      <c r="DC546" s="76">
        <f t="shared" si="1051"/>
        <v>0</v>
      </c>
      <c r="DD546" s="76">
        <f t="shared" si="1052"/>
        <v>0</v>
      </c>
      <c r="DE546" s="77">
        <f t="shared" si="1053"/>
        <v>0</v>
      </c>
      <c r="DF546" s="73">
        <f t="shared" si="1056"/>
        <v>33</v>
      </c>
      <c r="DG546" s="67">
        <f t="shared" si="1057"/>
        <v>43.031999999999989</v>
      </c>
      <c r="DH546" s="76">
        <f t="shared" si="1058"/>
        <v>13</v>
      </c>
      <c r="DI546" s="67">
        <f t="shared" si="1059"/>
        <v>56.05</v>
      </c>
      <c r="DJ546" s="202" t="str">
        <f>IF($D544="","",$D544)</f>
        <v>16</v>
      </c>
      <c r="DK546" s="493"/>
    </row>
    <row r="547" spans="1:115" ht="14.5" customHeight="1" x14ac:dyDescent="0.2">
      <c r="A547" s="459">
        <f>$A544+1</f>
        <v>182</v>
      </c>
      <c r="B547" s="507" t="str">
        <f>IF(OR(C547="W",C548="W",C549="W",C547="1/2W",C548="1/2W",C549="1/2W",C547="1/2L",C548="1/2L",C549="1/2L"),"OK",IF(OR(C547="L",C548="L",C549="L"),"LOSS",IF(OR(C547="X",C548="X",C549="X"),"Anulado"," ")))</f>
        <v>OK</v>
      </c>
      <c r="C547" s="93" t="s">
        <v>54</v>
      </c>
      <c r="D547" s="468" t="str">
        <f>IF(G547="","",$D544)</f>
        <v>16</v>
      </c>
      <c r="E547" s="485" t="str">
        <f>IF(G547=""," ","– "&amp;COUNTIF(D$4:D549,$D547))</f>
        <v>– 14</v>
      </c>
      <c r="F547" s="509" t="str">
        <f ca="1">IF(G547="","",IF(OR(AND($C547&lt;&gt;" ",$C548=" "),AND($C548&lt;&gt;" ",$C547=" "),AND(L549&gt;0,OR(AND($C549&lt;&gt;" ",OR($C547=" ",$C548=" ")),AND($C549=" ",OR($C547&lt;&gt;" ",$C548&lt;&gt;" "))))),IF(SUM(F$4:F546)=0,1,LARGE(F$4:F546,1)+1),IF(MONTH(G547)=MONTH(TODAY()),IF(AND(DAY(G547)&lt;DAY(TODAY()),$B547=" "),IF(SUM(F$4:F546)=0,1,LARGE(F$4:F546,1)+1),IF($B547=" ",IF(AND(DAY(G547)=DAY(TODAY()),HOUR(G547)&lt;=HOUR(NOW())+1),IF(AND(HOUR(G547)+2&lt;=HOUR(NOW()),DAY(G547)&lt;=DAY(TODAY()),MINUTE(G547)&lt;=MINUTE(NOW())),IF(SUM(F$4:F546)=0,1,LARGE(F$4:F546,1)+1),IF(OR(MINUTE(G547)&lt;=MINUTE(NOW()),HOUR(G547)&lt;=HOUR(NOW())),"!!!","")),""),"")),"")))</f>
        <v/>
      </c>
      <c r="G547" s="482">
        <v>45003.5625</v>
      </c>
      <c r="H547" s="475" t="s">
        <v>211</v>
      </c>
      <c r="I547" s="94" t="s">
        <v>51</v>
      </c>
      <c r="J547" s="95">
        <v>4</v>
      </c>
      <c r="K547" s="96" t="s">
        <v>47</v>
      </c>
      <c r="L547" s="97">
        <v>1.97</v>
      </c>
      <c r="M547" s="98">
        <v>21.56</v>
      </c>
      <c r="N547" s="478">
        <v>0.1</v>
      </c>
      <c r="O547" s="99">
        <f>IF(OR(AE547="",AE548=""),"",ROUND(IF(L549&gt;0,IF(M547&gt;0,M547,IF(M548&gt;0,ROUND((M548*AE547)/AE548,IF(N547=0,2,IF(N547=0.1,1,0))),ROUND((M549*AE547)/AE549,IF(N547=0,2,IF(N547=0.1,1,0))))),IF(M547&gt;0,M547,ROUND((M548*AE547)/AE548,IF(N547=0,2,IF(N547=0.1,1,0))))),2))</f>
        <v>21.56</v>
      </c>
      <c r="P547" s="100">
        <f>IF(OR(L547="",O547=""),"",IF($C547="1/2W",O547/2+O547/2*L547,IF($C547="1/2L",O547/2,IF(I547="Lay",(O547*(L547/(L547-1))-O547)*(1-_xlfn.XLOOKUP(K547,'Fevereiro 2023 - Valor Real'!A3:A15,'Fevereiro 2023 - Valor Real'!C3:C15,0))+O547,(O547*L547-O547)*(1-_xlfn.XLOOKUP(K547,'Fevereiro 2023 - Valor Real'!A3:A15,'Fevereiro 2023 - Valor Real'!C3:C15,0))+O547))))</f>
        <v>42.473199999999999</v>
      </c>
      <c r="Q547" s="101">
        <f>IF(K547="","",IF(_xlfn.XLOOKUP(K547,K$4:K546,$DJ$4:DJ546,0,,-1)=DJ547,_xlfn.XLOOKUP(K547,K$4:K546,Q$4:Q546,1,,-1)+1,1))</f>
        <v>4</v>
      </c>
      <c r="R547" s="102">
        <f>IF(K547="","",_xlfn.XLOOKUP(K547,K$4:K546,R$4:R546,0,,-1)+IF($C547=" ",1,0))</f>
        <v>0</v>
      </c>
      <c r="S547" s="474">
        <f>IF($B547="Anulado",0,ROUND(IF(OR($B547="LOSS",$B547="OK"),IF(OR($C547="W",$C547="1/2W",$C547="1/2L"),P547-O547,IF($C547="L",-O547,0))+IF(OR($C548="W",$C548="1/2W",$C548="1/2L"),P548-O548,IF($C548="L",-O548,0))+IF(OR($C549="W",$C549="1/2W",$C549="1/2L"),P549-O549,IF($C549="L",-O549,0)),IF(AND(OR($C547="W",$C547="1/2W",$C547="1/2L"),C548="W"),P547+P548-SUM(O547:O549)+_xlfn.XLOOKUP("X",C547:C549,O547:O549,0),IF(AND(C547=TRUE,C549="W"),P547+P549-SUM(O547:O549),IF(AND(C548="W",C549="W"),P548+P549-SUM(O547:O549)+_xlfn.XLOOKUP("X",C547:C549,O547:O549,0),IF(L549&gt;0,IF(OR($C547="W",$C547="1/2W",$C547="1/2L"),P547-SUM(O547:O549)+_xlfn.XLOOKUP("X",C547:C549,O547:O549,0),IF(OR($C547="W",$C547="1/2W",$C547="1/2L"),P548-SUM(O547:O549)+_xlfn.XLOOKUP("X",C547:C549,O547:O549,0),IF(OR($C547="W",$C547="1/2W",$C547="1/2L"),P549-SUM(O547:O549)+_xlfn.XLOOKUP("X",C547:C549,O547:O549,0),IF(SUM(P547:P549)/3-SUM(O547:O549)+_xlfn.XLOOKUP("X",C547:C549,O547:O549,0)&gt;0,SUM(P547:P549)/3-SUM(O547:O549)+_xlfn.XLOOKUP("X",C547:C549,O547:O549,0),LARGE(P547:P549,1)-SUM(O547:O549))))),IF(OR($C547="W",$C547="1/2W",$C547="1/2L"),P547-SUM(O547:O548)+_xlfn.XLOOKUP("X",C547:C549,O547:O549,0),IF(OR($C547="W",$C547="1/2W",$C547="1/2L"),P548-SUM(O547:O548)+_xlfn.XLOOKUP("X",C547:C549,O547:O549,0),SUM(P547:P548)/2-SUM(O547:O548)+_xlfn.XLOOKUP("X",C547:C549,O547:O549,0)))))))),2))</f>
        <v>2.81</v>
      </c>
      <c r="T547" s="458">
        <f>IF(S547=0,0,S547/SUM(O547:O549))</f>
        <v>7.0852244074634405E-2</v>
      </c>
      <c r="U547" s="470">
        <f>IF($D547=$D544,IF(OR($B547="LOSS",$B547="OK",$B547="Anulada"),S547,0)+U544,IF(OR($B547="LOSS",$B547="OK",$B547="Anulada"),S547,0))</f>
        <v>25.849999999999998</v>
      </c>
      <c r="V547" s="470">
        <f>IF($D547="",0,IF($D547=$D544,IF($B547=" ",IF(I549="",IF(OR(AND(I547="DNB1",I548="DNB2"),AND(OR(I547="DNB1",I547="DNB2"),J548=0),AND(OR(I548="DNB1",I548="DNB2"),J547=0),AND(I547="DNB2",I548="DNB1"),AND(IF(J547=0,(J547+1)/ROUND(J547+1,0),J547/ROUND(J547,0))=1,IF(J548=0,(J548+1)/ROUND(IF(J548="",0,J548)+1,0),IF(J548="",0,J548)/ROUND(IF(J548="",1,J548),0))=1,OR(J547&lt;&gt;""),J548&lt;&gt;"")),0,IF(S547&lt;0,IF(I549="",SMALL(P547:P548,1)-SUM(O547:O548),0),SMALL(P547:P548,1)-SUM(O547:O548))),IF(S547&lt;0,IF(I549="",SMALL(P547:P549,1)-SUM(O547:O549),0),LARGE(P547:P549,1)-SUM(O547:O549))),S547)+V544,IF(I549="",IF(OR(AND(I547="DNB1",I548="DNB2"),AND(OR(I547="DNB1",I547="DNB2"),J548=0),AND(OR(I548="DNB1",I548="DNB2"),J547=0),AND(I547="DNB2",I548="DNB1"),AND(IF(J547=0,(J547+1)/ROUND(J547+1,0),J547/ROUND(J547,0))=1,IF(J548=0,(IF(J548="",0,J548)+1)/ROUND(IF(J548="",0,J548)+1,0),IF(J548="",0,J548)/ROUND(IF(J548="",0,J548)+1,0))=1,OR(J547&lt;&gt;""),J548&lt;&gt;"")),0,IF(S547&lt;0,IF(I549="",SMALL(P547:P548,1)-SUM(O547:O548),0),SMALL(P547:P549,1)-SUM(O547:O549))),IF(S547&lt;0,IF(I549="",SMALL(P547:P549,1)-SUM(O547:O549),0),LARGE(P547:P549,1)-SUM(O547:O549)))))</f>
        <v>25.845199999999995</v>
      </c>
      <c r="W547" s="470">
        <f>IF($D547=$D544,IF(S547&lt;0,IF(I549="",S547,0),S547)+W544,S547)</f>
        <v>25.849999999999998</v>
      </c>
      <c r="X547" s="480" t="str">
        <f>IF(OR(SUM(R547:R549)=0,V547=W547),ROUND(IF(W547=0,0,W547/Y547)*100,2)&amp;"%",ROUND(IF(V547=0,0,V547/Y547)*100,2)&amp;"% a "&amp;ROUND(IF(W547=0,0,W547/Y547)*100,2)&amp;"%")</f>
        <v>6,89%</v>
      </c>
      <c r="Y547" s="471">
        <f>IF($D547=$D544,Y544+SUM(O547:O549),SUM(O547:O549))</f>
        <v>375.33999999999992</v>
      </c>
      <c r="Z547" s="470">
        <f>IF($B547=" ",SUM(O547:O549),0)+Z544</f>
        <v>0</v>
      </c>
      <c r="AA547" s="470">
        <f>IF(G547="","",IF($B547="Anulado",LARGE(P547:P549,1)-SUM(O547:O549)+AA544,AA544))</f>
        <v>12.425099999999992</v>
      </c>
      <c r="AB547" s="470">
        <f>IF($D547="","",AB544+S547)</f>
        <v>623.9500000000005</v>
      </c>
      <c r="AC547" s="472">
        <f ca="1">IF($D547="","",IF($B547=" ",IF(DAY(G547)=DAY(TODAY()),1+AC544,0+AC544),0+AC544))</f>
        <v>0</v>
      </c>
      <c r="AD547" s="103">
        <f>(((L548/(L548-1)-1)*(1-_xlfn.XLOOKUP(K548,'Fevereiro 2023 - Valor Real'!A3:A15,'Fevereiro 2023 - Valor Real'!C3:C15,0))+1))/(((L547-1)*(1-_xlfn.XLOOKUP(K547,'Fevereiro 2023 - Valor Real'!A3:A15,'Fevereiro 2023 - Valor Real'!C3:C15,0))+1)+((L548/(L548-1)-1)*(1-_xlfn.XLOOKUP(K548,'Fevereiro 2023 - Valor Real'!A3:A15,'Fevereiro 2023 - Valor Real'!C3:C15,0))+1))</f>
        <v>0.46910869348238349</v>
      </c>
      <c r="AE547" s="104">
        <f>IF(L547="","",IF(L549&gt;0,(SUM(((L547-1)*(1-_xlfn.XLOOKUP(K547,'Fevereiro 2023 - Valor Real'!A3:A15,'Fevereiro 2023 - Valor Real'!C3:C15,0))+1),((L548-1)*(1-_xlfn.XLOOKUP(K548,'Fevereiro 2023 - Valor Real'!A3:A15,'Fevereiro 2023 - Valor Real'!C3:C15,0))+1),((L549-1)*(1-_xlfn.XLOOKUP(K549,'Fevereiro 2023 - Valor Real'!A3:A15,'Fevereiro 2023 - Valor Real'!C3:C15,0))+1))/((L547-1)*(1-_xlfn.XLOOKUP(K547,'Fevereiro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Real'!C3:C15,0))+1))/((L547-1)*(1-_xlfn.XLOOKUP(K547,'Fevereiro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Real'!C3:C15,0))+1))/((L548-1)*(1-_xlfn.XLOOKUP(K548,'Fevereiro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Real'!C3:C15,0))+1))/((L549-1)*(1-_xlfn.XLOOKUP(K549,'Fevereiro 2023 - Valor Real'!A3:A15,'Fevereiro 2023 - Valor Real'!C3:C15,0))+1)),IF(I547="Lay",IF(I548="Lay",((L548/(L548-1)-1)*(1-_xlfn.XLOOKUP(K548,'Fevereiro 2023 - Valor Real'!A3:A15,'Fevereiro 2023 - Valor Real'!C3:C15,0))+1)/(((L548/(L548-1)-1)*(1-_xlfn.XLOOKUP(K548,'Fevereiro 2023 - Valor Real'!A3:A15,'Fevereiro 2023 - Valor Real'!C3:C15,0))+1)+((L547/(L547-1)-1)*(1-_xlfn.XLOOKUP(K547,'Fevereiro 2023 - Valor Real'!A3:A15,'Fevereiro 2023 - Valor Real'!C3:C15,0))+1)),((L548-1)*(1-_xlfn.XLOOKUP(K548,'Fevereiro 2023 - Valor Real'!A3:A15,'Fevereiro 2023 - Valor Real'!C3:C15,0))+1)/(((L548-1)*(1-_xlfn.XLOOKUP(K548,'Fevereiro 2023 - Valor Real'!A3:A15,'Fevereiro 2023 - Valor Real'!C3:C15,0))+1)+((L547/(L547-1)-1)*(1-_xlfn.XLOOKUP(K547,'Fevereiro 2023 - Valor Real'!A3:A15,'Fevereiro 2023 - Valor Real'!C3:C15,0))+1))),IF(I548="Lay",(((L548/(L548-1)-1)*(1-_xlfn.XLOOKUP(K548,'Fevereiro 2023 - Valor Real'!A3:A15,'Fevereiro 2023 - Valor Real'!C3:C15,0))+1))/(((L547-1)*(1-_xlfn.XLOOKUP(K547,'Fevereiro 2023 - Valor Real'!A3:A15,'Fevereiro 2023 - Valor Real'!C3:C15,0))+1)+((L548/(L548-1)-1)*(1-_xlfn.XLOOKUP(K548,'Fevereiro 2023 - Valor Real'!A3:A15,'Fevereiro 2023 - Valor Real'!C3:C15,0))+1)),((L548-1)*(1-_xlfn.XLOOKUP(K548,'Fevereiro 2023 - Valor Real'!A3:A15,'Fevereiro 2023 - Valor Real'!C3:C15,0))+1)/(((L548-1)*(1-_xlfn.XLOOKUP(K548,'Fevereiro 2023 - Valor Real'!A3:A15,'Fevereiro 2023 - Valor Real'!C3:C15,0))+1)+((L547-1)*(1-_xlfn.XLOOKUP(K547,'Fevereiro 2023 - Valor Real'!A3:A15,'Fevereiro 2023 - Valor Real'!C3:C15,0))+1))))))</f>
        <v>0.54398148148148151</v>
      </c>
      <c r="AF547" s="105">
        <f t="shared" si="1098"/>
        <v>0</v>
      </c>
      <c r="AG547" s="106">
        <f t="shared" si="1098"/>
        <v>0</v>
      </c>
      <c r="AH547" s="106">
        <f t="shared" si="1098"/>
        <v>0</v>
      </c>
      <c r="AI547" s="106">
        <f t="shared" si="1098"/>
        <v>0</v>
      </c>
      <c r="AJ547" s="106">
        <f t="shared" si="1098"/>
        <v>0</v>
      </c>
      <c r="AK547" s="106">
        <f t="shared" si="1098"/>
        <v>0</v>
      </c>
      <c r="AL547" s="106">
        <f t="shared" si="1098"/>
        <v>0</v>
      </c>
      <c r="AM547" s="106">
        <f t="shared" si="1098"/>
        <v>0</v>
      </c>
      <c r="AN547" s="106">
        <f t="shared" si="1098"/>
        <v>0</v>
      </c>
      <c r="AO547" s="106">
        <f t="shared" si="1098"/>
        <v>0</v>
      </c>
      <c r="AP547" s="106">
        <f t="shared" si="1098"/>
        <v>0</v>
      </c>
      <c r="AQ547" s="106">
        <f t="shared" si="1098"/>
        <v>20.91</v>
      </c>
      <c r="AR547" s="107">
        <f t="shared" si="1098"/>
        <v>0</v>
      </c>
      <c r="AS547" s="105">
        <f t="shared" ref="AS547:BE547" si="1104">IF(AND($B547=" ",$K547=AS$3),$O547,0)</f>
        <v>0</v>
      </c>
      <c r="AT547" s="106">
        <f t="shared" si="1104"/>
        <v>0</v>
      </c>
      <c r="AU547" s="106">
        <f t="shared" si="1104"/>
        <v>0</v>
      </c>
      <c r="AV547" s="106">
        <f t="shared" si="1104"/>
        <v>0</v>
      </c>
      <c r="AW547" s="106">
        <f t="shared" si="1104"/>
        <v>0</v>
      </c>
      <c r="AX547" s="106">
        <f t="shared" si="1104"/>
        <v>0</v>
      </c>
      <c r="AY547" s="108">
        <f t="shared" si="1104"/>
        <v>0</v>
      </c>
      <c r="AZ547" s="109">
        <f t="shared" si="1104"/>
        <v>0</v>
      </c>
      <c r="BA547" s="109">
        <f t="shared" si="1104"/>
        <v>0</v>
      </c>
      <c r="BB547" s="109">
        <f t="shared" si="1104"/>
        <v>0</v>
      </c>
      <c r="BC547" s="110">
        <f t="shared" si="1104"/>
        <v>0</v>
      </c>
      <c r="BD547" s="106">
        <f t="shared" si="1104"/>
        <v>0</v>
      </c>
      <c r="BE547" s="107">
        <f t="shared" si="1104"/>
        <v>0</v>
      </c>
      <c r="BF547" s="111">
        <f t="shared" si="1100"/>
        <v>0</v>
      </c>
      <c r="BG547" s="106">
        <f t="shared" si="1100"/>
        <v>0</v>
      </c>
      <c r="BH547" s="106">
        <f t="shared" si="1100"/>
        <v>0</v>
      </c>
      <c r="BI547" s="106">
        <f t="shared" si="1100"/>
        <v>0</v>
      </c>
      <c r="BJ547" s="106">
        <f t="shared" si="1100"/>
        <v>0</v>
      </c>
      <c r="BK547" s="106">
        <f t="shared" si="1100"/>
        <v>0</v>
      </c>
      <c r="BL547" s="106">
        <f t="shared" si="1100"/>
        <v>0</v>
      </c>
      <c r="BM547" s="108">
        <f t="shared" si="1100"/>
        <v>0</v>
      </c>
      <c r="BN547" s="109">
        <f t="shared" si="1100"/>
        <v>0</v>
      </c>
      <c r="BO547" s="109">
        <f t="shared" si="1100"/>
        <v>0</v>
      </c>
      <c r="BP547" s="109">
        <f t="shared" si="1100"/>
        <v>0</v>
      </c>
      <c r="BQ547" s="110">
        <f t="shared" si="1100"/>
        <v>21.56</v>
      </c>
      <c r="BR547" s="107">
        <f t="shared" si="1100"/>
        <v>0</v>
      </c>
      <c r="BS547" s="463">
        <f>IF($B547="LOSS",IF(AND($K547=BS$3,$C547="L"),-$O547,0)+IF(AND($K548=BS$3,$C548="L"),-$O548,0)+IF(AND($K549=BS$3,$C549="L"),-$O549,0),IF(OR(AND($K547=BS$3,OR($C547="W",$C547="1/2W")),AND($K548=BS$3,OR($C548="W",$C548="1/2W")),AND($K549=BS$3,OR($C549="W",$C549="1/2W"))),$S547,0))</f>
        <v>0</v>
      </c>
      <c r="BT547" s="462">
        <f>IF($B547="LOSS",IF(AND($K547=BT$3,$C547="L"),-$O547,0)+IF(AND($K548=BT$3,$C548="L"),-$O548,0)+IF(AND($K548=BT$3,$C549="L"),-$O549,0),IF(OR(AND($K548=BT$3,OR($C547="W",$C547="1/2W")),AND($K548=BT$3,OR($C548="W",$C548="1/2W")),AND($K548=BT$3,OR($C549="W",$C549="1/2W"))),$S547,0))</f>
        <v>0</v>
      </c>
      <c r="BU547" s="462">
        <f>IF($B547="LOSS",IF(AND($K547=BU$3,$C547="L"),-$O547,0)+IF(AND($K548=BU$3,$C548="L"),-$O548,0)+IF(AND($K548=BU$3,$C549="L"),-$O549,0),IF(OR(AND($K548=BU$3,OR($C547="W",$C547="1/2W")),AND($K548=BU$3,OR($C548="W",$C548="1/2W")),AND($K548=BU$3,OR($C549="W",$C549="1/2W"))),$S547,0))</f>
        <v>0</v>
      </c>
      <c r="BV547" s="462">
        <f t="shared" ref="BV547:CE547" si="1105">IF($B547="LOSS",IF(AND($K547=BV$3,$C547="L"),-$O547,0)+IF(AND($K548=BV$3,$C548="L"),-$O548,0)+IF(AND($K549=BV$3,$C549="L"),-$O549,0),IF(OR(AND($K547=BV$3,OR($C547="W",$C547="1/2W")),AND($K548=BV$3,OR($C548="W",$C548="1/2W")),AND($K549=BV$3,OR($C549="W",$C549="1/2W"))),$S547,0))</f>
        <v>0</v>
      </c>
      <c r="BW547" s="462">
        <f t="shared" si="1105"/>
        <v>0</v>
      </c>
      <c r="BX547" s="462">
        <f t="shared" si="1105"/>
        <v>0</v>
      </c>
      <c r="BY547" s="462">
        <f t="shared" si="1105"/>
        <v>0</v>
      </c>
      <c r="BZ547" s="460">
        <f t="shared" si="1105"/>
        <v>0</v>
      </c>
      <c r="CA547" s="460">
        <f t="shared" si="1105"/>
        <v>0</v>
      </c>
      <c r="CB547" s="460">
        <f t="shared" si="1105"/>
        <v>0</v>
      </c>
      <c r="CC547" s="460">
        <f t="shared" si="1105"/>
        <v>0</v>
      </c>
      <c r="CD547" s="473">
        <f t="shared" si="1105"/>
        <v>2.81</v>
      </c>
      <c r="CE547" s="479">
        <f t="shared" si="1105"/>
        <v>0</v>
      </c>
      <c r="CF547" s="113">
        <f t="shared" si="1028"/>
        <v>0</v>
      </c>
      <c r="CG547" s="114">
        <f t="shared" si="1029"/>
        <v>0</v>
      </c>
      <c r="CH547" s="114">
        <f t="shared" si="1030"/>
        <v>0</v>
      </c>
      <c r="CI547" s="114">
        <f t="shared" si="1031"/>
        <v>0</v>
      </c>
      <c r="CJ547" s="114">
        <f t="shared" si="1032"/>
        <v>0</v>
      </c>
      <c r="CK547" s="114">
        <f t="shared" si="1033"/>
        <v>0</v>
      </c>
      <c r="CL547" s="114">
        <f t="shared" si="1034"/>
        <v>0</v>
      </c>
      <c r="CM547" s="114">
        <f t="shared" si="1035"/>
        <v>0</v>
      </c>
      <c r="CN547" s="114">
        <f t="shared" si="1036"/>
        <v>0</v>
      </c>
      <c r="CO547" s="114">
        <f t="shared" si="1037"/>
        <v>0</v>
      </c>
      <c r="CP547" s="114">
        <f t="shared" si="1038"/>
        <v>0</v>
      </c>
      <c r="CQ547" s="114">
        <f t="shared" si="1039"/>
        <v>0</v>
      </c>
      <c r="CR547" s="114">
        <f t="shared" si="1040"/>
        <v>0</v>
      </c>
      <c r="CS547" s="114">
        <f t="shared" si="1041"/>
        <v>0</v>
      </c>
      <c r="CT547" s="115">
        <f t="shared" si="1042"/>
        <v>0</v>
      </c>
      <c r="CU547" s="116">
        <f t="shared" si="1043"/>
        <v>0</v>
      </c>
      <c r="CV547" s="116">
        <f t="shared" si="1044"/>
        <v>0</v>
      </c>
      <c r="CW547" s="116">
        <f t="shared" si="1045"/>
        <v>0</v>
      </c>
      <c r="CX547" s="116">
        <f t="shared" si="1046"/>
        <v>0</v>
      </c>
      <c r="CY547" s="116">
        <f t="shared" si="1047"/>
        <v>0</v>
      </c>
      <c r="CZ547" s="116">
        <f t="shared" si="1048"/>
        <v>0</v>
      </c>
      <c r="DA547" s="116">
        <f t="shared" si="1049"/>
        <v>0</v>
      </c>
      <c r="DB547" s="116">
        <f t="shared" si="1050"/>
        <v>1</v>
      </c>
      <c r="DC547" s="116">
        <f t="shared" si="1051"/>
        <v>0</v>
      </c>
      <c r="DD547" s="116">
        <f t="shared" si="1052"/>
        <v>0</v>
      </c>
      <c r="DE547" s="117">
        <f t="shared" si="1053"/>
        <v>0</v>
      </c>
      <c r="DF547" s="118">
        <f t="shared" si="1056"/>
        <v>33</v>
      </c>
      <c r="DG547" s="106">
        <f t="shared" si="1057"/>
        <v>43.031999999999989</v>
      </c>
      <c r="DH547" s="116">
        <f t="shared" si="1058"/>
        <v>13</v>
      </c>
      <c r="DI547" s="106">
        <f t="shared" si="1059"/>
        <v>56.05</v>
      </c>
      <c r="DJ547" s="201" t="str">
        <f>IF($D547="","",$D547)</f>
        <v>16</v>
      </c>
      <c r="DK547" s="465">
        <f>IF(AND($B547=" ",$D547&lt;&gt;""),1,0)</f>
        <v>0</v>
      </c>
    </row>
    <row r="548" spans="1:115" ht="14.5" customHeight="1" x14ac:dyDescent="0.2">
      <c r="A548" s="389"/>
      <c r="B548" s="456"/>
      <c r="C548" s="120" t="s">
        <v>55</v>
      </c>
      <c r="D548" s="374"/>
      <c r="E548" s="386"/>
      <c r="F548" s="377"/>
      <c r="G548" s="483"/>
      <c r="H548" s="476"/>
      <c r="I548" s="121" t="s">
        <v>52</v>
      </c>
      <c r="J548" s="122">
        <f>IF(OR(I547="TO",I547="TU",I547="TO1",I547="TU1",I547="TO2",I547="TU2"),J547,IF(OR(I547="AH1",I547="AH2"),IF(OR(I548="AH1",I548="AH2"),-J547,IF(OR(I548="EH1",I548="EH2"),-J547+0.5,"")),IF(OR(I547="EH1",I547="EH2"),IF(OR(I548="AH1",I548="AH2"),-J547+0.5,IF(OR(I548="EH1",I548="EH2"),-J547+1,"")),IF(AND(OR(I547="DNB1",I547="DNB2"),OR(I548="AH1",I548="AH2")),0,IF(AND(I547="Not ScoreBoth",OR(I548="TO1",I548="TO2")),0.5,"")))))</f>
        <v>4</v>
      </c>
      <c r="K548" s="123" t="s">
        <v>40</v>
      </c>
      <c r="L548" s="124">
        <v>2.35</v>
      </c>
      <c r="M548" s="125"/>
      <c r="N548" s="406"/>
      <c r="O548" s="126">
        <f>IF(OR(AE547="",AE548=""),"",ROUND(IF(L549&gt;0,IF(M548&gt;0,M548,IF(M547&gt;0,IF(N547=TRUE,ROUND((M547*AE548)/AE547,0),(M547*AE548)/AE547),IF(M548&gt;0,ROUND(M548,IF(N547=0,2,IF(N547=0.1,1,0))),IF(M549&gt;0,ROUND(O549*AE548/AE549,IF(N547=0,2,IF(N547=0.1,1,0))),0)))),IF(M548&gt;0,M548,ROUND((M547*AE548)/AE547,IF(N547=0,2,IF(N547=0.1,1,0))))),2))</f>
        <v>18.100000000000001</v>
      </c>
      <c r="P548" s="127">
        <f>IF(OR(L548="",O548=""),"",IF($C548="1/2W",O548/2+O548/2*L548,IF($C548="1/2L",O548/2,IF(I548="Lay",((O548*(L548/(L548-1)))-O548)*(1-_xlfn.XLOOKUP(K548,'Fevereiro 2023 - Valor Real'!A3:A15,'Fevereiro 2023 - Valor Real'!C3:C15,0))+O548,(O548*L548-O548)*(1-_xlfn.XLOOKUP(K548,'Fevereiro 2023 - Valor Real'!A3:A15,'Fevereiro 2023 - Valor Real'!C3:C15,0))+O548))))</f>
        <v>42.535000000000004</v>
      </c>
      <c r="Q548" s="128">
        <f>IF(K548="","",IF(_xlfn.XLOOKUP(K548,K$4:K547,$DJ$4:DJ547,0,,-1)=DJ548,_xlfn.XLOOKUP(K548,K$4:K547,Q$4:Q547,1,,-1)+1,1))</f>
        <v>7</v>
      </c>
      <c r="R548" s="129">
        <f>IF(K548="","",_xlfn.XLOOKUP(K548,K$4:K547,R$4:R547,0,,-1)+IF($C548=" ",1,0))</f>
        <v>0</v>
      </c>
      <c r="S548" s="403"/>
      <c r="T548" s="380"/>
      <c r="U548" s="380"/>
      <c r="V548" s="481"/>
      <c r="W548" s="380"/>
      <c r="X548" s="452"/>
      <c r="Y548" s="383"/>
      <c r="Z548" s="384"/>
      <c r="AA548" s="384"/>
      <c r="AB548" s="384"/>
      <c r="AC548" s="384"/>
      <c r="AD548" s="130">
        <f>(((L548/(L548-1)-1)*(1-_xlfn.XLOOKUP(K548,'Fevereiro 2023 - Valor Real'!A3:A15,'Fevereiro 2023 - Valor Real'!C3:C15,0))+1))</f>
        <v>1.7407407407407407</v>
      </c>
      <c r="AE548" s="131">
        <f>IF(L548="","",IF(L549&gt;0,(SUM(((L547-1)*(1-_xlfn.XLOOKUP(K547,'Fevereiro 2023 - Valor Real'!A3:A15,'Fevereiro 2023 - Valor Real'!C3:C15,0))+1),((L548-1)*(1-_xlfn.XLOOKUP(K548,'Fevereiro 2023 - Valor Real'!A3:A15,'Fevereiro 2023 - Valor Real'!C3:C15,0))+1),((L549-1)*(1-_xlfn.XLOOKUP(K549,'Fevereiro 2023 - Valor Real'!A3:A15,'Fevereiro 2023 - Valor Real'!C3:C15,0))+1))/((L548-1)*(1-_xlfn.XLOOKUP(K548,'Fevereiro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Real'!C3:C15,0))+1))/((L547-1)*(1-_xlfn.XLOOKUP(K547,'Fevereiro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Real'!C3:C15,0))+1))/((L548-1)*(1-_xlfn.XLOOKUP(K548,'Fevereiro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Real'!C3:C15,0))+1))/((L549-1)*(1-_xlfn.XLOOKUP(K549,'Fevereiro 2023 - Valor Real'!A3:A15,'Fevereiro 2023 - Valor Real'!C3:C15,0))+1)),IF(I548="Lay",IF(I547="Lay",((L547/(L547-1)-1)*(1-_xlfn.XLOOKUP(K547,'Fevereiro 2023 - Valor Real'!A3:A15,'Fevereiro 2023 - Valor Real'!C3:C15,0))+1)/(((L547/(L547-1)-1)*(1-_xlfn.XLOOKUP(K547,'Fevereiro 2023 - Valor Real'!A3:A15,'Fevereiro 2023 - Valor Real'!C3:C15,0))+1)+((L548/(L548-1)-1)*(1-_xlfn.XLOOKUP(K548,'Fevereiro 2023 - Valor Real'!A3:A15,'Fevereiro 2023 - Valor Real'!C3:C15,0))+1)),((L547-1)*(1-_xlfn.XLOOKUP(K547,'Fevereiro 2023 - Valor Real'!A3:A15,'Fevereiro 2023 - Valor Real'!C3:C15,0))+1)/(((L547-1)*(1-_xlfn.XLOOKUP(K547,'Fevereiro 2023 - Valor Real'!A3:A15,'Fevereiro 2023 - Valor Real'!C3:C15,0))+1)+((L548/(L548-1)-1)*(1-_xlfn.XLOOKUP(K548,'Fevereiro 2023 - Valor Real'!A3:A15,'Fevereiro 2023 - Valor Real'!C3:C15,0))+1))),IF(I547="Lay",((L547/(L547-1)-1)*(1-_xlfn.XLOOKUP(K547,'Fevereiro 2023 - Valor Real'!A3:A15,'Fevereiro 2023 - Valor Real'!C3:C15,0))+1)/((((L547/(L547-1)-1)*(1-_xlfn.XLOOKUP(K547,'Fevereiro 2023 - Valor Real'!A3:A15,'Fevereiro 2023 - Valor Real'!C3:C15,0))+1))+((L548-1)*(1-_xlfn.XLOOKUP(K548,'Fevereiro 2023 - Valor Real'!A3:A15,'Fevereiro 2023 - Valor Real'!C3:C15,0))+1)),((L547-1)*(1-_xlfn.XLOOKUP(K547,'Fevereiro 2023 - Valor Real'!A3:A15,'Fevereiro 2023 - Valor Real'!C3:C15,0))+1)/(((L547-1)*(1-_xlfn.XLOOKUP(K547,'Fevereiro 2023 - Valor Real'!A3:A15,'Fevereiro 2023 - Valor Real'!C3:C15,0))+1)+((L548-1)*(1-_xlfn.XLOOKUP(K548,'Fevereiro 2023 - Valor Real'!A3:A15,'Fevereiro 2023 - Valor Real'!C3:C15,0))+1))))))</f>
        <v>0.45601851851851849</v>
      </c>
      <c r="AF548" s="105">
        <f t="shared" si="1098"/>
        <v>0</v>
      </c>
      <c r="AG548" s="106">
        <f t="shared" si="1098"/>
        <v>0</v>
      </c>
      <c r="AH548" s="106">
        <f t="shared" si="1098"/>
        <v>0</v>
      </c>
      <c r="AI548" s="106">
        <f t="shared" si="1098"/>
        <v>0</v>
      </c>
      <c r="AJ548" s="106">
        <f t="shared" si="1098"/>
        <v>-18.100000000000001</v>
      </c>
      <c r="AK548" s="106">
        <f t="shared" si="1098"/>
        <v>0</v>
      </c>
      <c r="AL548" s="106">
        <f t="shared" si="1098"/>
        <v>0</v>
      </c>
      <c r="AM548" s="106">
        <f t="shared" si="1098"/>
        <v>0</v>
      </c>
      <c r="AN548" s="106">
        <f t="shared" si="1098"/>
        <v>0</v>
      </c>
      <c r="AO548" s="106">
        <f t="shared" si="1098"/>
        <v>0</v>
      </c>
      <c r="AP548" s="106">
        <f t="shared" si="1098"/>
        <v>0</v>
      </c>
      <c r="AQ548" s="106">
        <f t="shared" si="1098"/>
        <v>0</v>
      </c>
      <c r="AR548" s="107">
        <f t="shared" si="1098"/>
        <v>0</v>
      </c>
      <c r="AS548" s="105">
        <f>IF(AND($B547=" ",$K548=AS$3),$O548,0)</f>
        <v>0</v>
      </c>
      <c r="AT548" s="106">
        <f>IF(AND($B547=" ",K548=AT$3),$O548,0)</f>
        <v>0</v>
      </c>
      <c r="AU548" s="106">
        <f t="shared" ref="AU548:BE548" si="1106">IF(AND($B547=" ",$K548=AU$3),$O548,0)</f>
        <v>0</v>
      </c>
      <c r="AV548" s="106">
        <f t="shared" si="1106"/>
        <v>0</v>
      </c>
      <c r="AW548" s="106">
        <f t="shared" si="1106"/>
        <v>0</v>
      </c>
      <c r="AX548" s="106">
        <f t="shared" si="1106"/>
        <v>0</v>
      </c>
      <c r="AY548" s="108">
        <f t="shared" si="1106"/>
        <v>0</v>
      </c>
      <c r="AZ548" s="109">
        <f t="shared" si="1106"/>
        <v>0</v>
      </c>
      <c r="BA548" s="109">
        <f t="shared" si="1106"/>
        <v>0</v>
      </c>
      <c r="BB548" s="109">
        <f t="shared" si="1106"/>
        <v>0</v>
      </c>
      <c r="BC548" s="110">
        <f t="shared" si="1106"/>
        <v>0</v>
      </c>
      <c r="BD548" s="106">
        <f t="shared" si="1106"/>
        <v>0</v>
      </c>
      <c r="BE548" s="107">
        <f t="shared" si="1106"/>
        <v>0</v>
      </c>
      <c r="BF548" s="105">
        <f t="shared" si="1100"/>
        <v>0</v>
      </c>
      <c r="BG548" s="106">
        <f t="shared" si="1100"/>
        <v>0</v>
      </c>
      <c r="BH548" s="106">
        <f t="shared" si="1100"/>
        <v>0</v>
      </c>
      <c r="BI548" s="106">
        <f t="shared" si="1100"/>
        <v>0</v>
      </c>
      <c r="BJ548" s="106">
        <f t="shared" si="1100"/>
        <v>18.100000000000001</v>
      </c>
      <c r="BK548" s="106">
        <f t="shared" si="1100"/>
        <v>0</v>
      </c>
      <c r="BL548" s="106">
        <f t="shared" si="1100"/>
        <v>0</v>
      </c>
      <c r="BM548" s="132">
        <f t="shared" si="1100"/>
        <v>0</v>
      </c>
      <c r="BN548" s="112">
        <f t="shared" si="1100"/>
        <v>0</v>
      </c>
      <c r="BO548" s="112">
        <f t="shared" si="1100"/>
        <v>0</v>
      </c>
      <c r="BP548" s="112">
        <f t="shared" si="1100"/>
        <v>0</v>
      </c>
      <c r="BQ548" s="110">
        <f t="shared" si="1100"/>
        <v>0</v>
      </c>
      <c r="BR548" s="107">
        <f t="shared" si="1100"/>
        <v>0</v>
      </c>
      <c r="BS548" s="464"/>
      <c r="BT548" s="461"/>
      <c r="BU548" s="392"/>
      <c r="BV548" s="461"/>
      <c r="BW548" s="392"/>
      <c r="BX548" s="392"/>
      <c r="BY548" s="392"/>
      <c r="BZ548" s="461"/>
      <c r="CA548" s="392"/>
      <c r="CB548" s="392"/>
      <c r="CC548" s="392"/>
      <c r="CD548" s="401"/>
      <c r="CE548" s="409"/>
      <c r="CF548" s="133">
        <f t="shared" si="1028"/>
        <v>0</v>
      </c>
      <c r="CG548" s="134">
        <f t="shared" si="1029"/>
        <v>0</v>
      </c>
      <c r="CH548" s="134">
        <f t="shared" si="1030"/>
        <v>0</v>
      </c>
      <c r="CI548" s="134">
        <f t="shared" si="1031"/>
        <v>0</v>
      </c>
      <c r="CJ548" s="134">
        <f t="shared" si="1032"/>
        <v>0</v>
      </c>
      <c r="CK548" s="134">
        <f t="shared" si="1033"/>
        <v>0</v>
      </c>
      <c r="CL548" s="134">
        <f t="shared" si="1034"/>
        <v>0</v>
      </c>
      <c r="CM548" s="134">
        <f t="shared" si="1035"/>
        <v>0</v>
      </c>
      <c r="CN548" s="134">
        <f t="shared" si="1036"/>
        <v>0</v>
      </c>
      <c r="CO548" s="134">
        <f t="shared" si="1037"/>
        <v>1</v>
      </c>
      <c r="CP548" s="134">
        <f t="shared" si="1038"/>
        <v>0</v>
      </c>
      <c r="CQ548" s="134">
        <f t="shared" si="1039"/>
        <v>0</v>
      </c>
      <c r="CR548" s="134">
        <f t="shared" si="1040"/>
        <v>0</v>
      </c>
      <c r="CS548" s="134">
        <f t="shared" si="1041"/>
        <v>0</v>
      </c>
      <c r="CT548" s="115">
        <f t="shared" si="1042"/>
        <v>0</v>
      </c>
      <c r="CU548" s="116">
        <f t="shared" si="1043"/>
        <v>0</v>
      </c>
      <c r="CV548" s="116">
        <f t="shared" si="1044"/>
        <v>0</v>
      </c>
      <c r="CW548" s="116">
        <f t="shared" si="1045"/>
        <v>0</v>
      </c>
      <c r="CX548" s="116">
        <f t="shared" si="1046"/>
        <v>0</v>
      </c>
      <c r="CY548" s="116">
        <f t="shared" si="1047"/>
        <v>0</v>
      </c>
      <c r="CZ548" s="116">
        <f t="shared" si="1048"/>
        <v>0</v>
      </c>
      <c r="DA548" s="116">
        <f t="shared" si="1049"/>
        <v>0</v>
      </c>
      <c r="DB548" s="116">
        <f t="shared" si="1050"/>
        <v>0</v>
      </c>
      <c r="DC548" s="116">
        <f t="shared" si="1051"/>
        <v>0</v>
      </c>
      <c r="DD548" s="116">
        <f t="shared" si="1052"/>
        <v>0</v>
      </c>
      <c r="DE548" s="117">
        <f t="shared" si="1053"/>
        <v>0</v>
      </c>
      <c r="DF548" s="118">
        <f t="shared" si="1056"/>
        <v>33</v>
      </c>
      <c r="DG548" s="106">
        <f t="shared" si="1057"/>
        <v>43.031999999999989</v>
      </c>
      <c r="DH548" s="116">
        <f t="shared" si="1058"/>
        <v>13</v>
      </c>
      <c r="DI548" s="106">
        <f t="shared" si="1059"/>
        <v>56.05</v>
      </c>
      <c r="DJ548" s="201" t="str">
        <f>IF($D547="","",$D547)</f>
        <v>16</v>
      </c>
      <c r="DK548" s="466"/>
    </row>
    <row r="549" spans="1:115" ht="14.5" customHeight="1" x14ac:dyDescent="0.2">
      <c r="A549" s="390"/>
      <c r="B549" s="457"/>
      <c r="C549" s="135" t="s">
        <v>53</v>
      </c>
      <c r="D549" s="375"/>
      <c r="E549" s="387"/>
      <c r="F549" s="378"/>
      <c r="G549" s="484"/>
      <c r="H549" s="477"/>
      <c r="I549" s="136"/>
      <c r="J549" s="137"/>
      <c r="K549" s="138"/>
      <c r="L549" s="139"/>
      <c r="M549" s="140"/>
      <c r="N549" s="407"/>
      <c r="O549" s="141" t="str">
        <f>IF(OR(AE547="",AE548=""),"",IF(L549&gt;0,ROUND(IF(M549&gt;0,M549,IF(M547&gt;0,ROUND((M547*AE549)/AE547,IF(N547=0,2,IF(N547=0.1,1,0))),IF(M548&gt;0,ROUND((M548*AE549)/AE548,IF(N547=0,2,IF(N547=0.1,1,0))),IF(M549&gt;0,M549,0)))),2),""))</f>
        <v/>
      </c>
      <c r="P549" s="142" t="str">
        <f>IF(I548="Lay",O548*(L548/(L548-1))-O548,IF(I547="Lay",O547*(L547/(L547-1))-O547,IF(OR(L549="",O549=""),"",IF($C549="1/2W",O549/2+O549/2*L549,IF($C549="1/2L",O549/2,(O549*L549-O549)*(1-_xlfn.XLOOKUP(K549,'Fevereiro 2023 - Valor Real'!A3:A15,'Fevereiro 2023 - Valor Real'!C3:C15,0))+O549)))))</f>
        <v/>
      </c>
      <c r="Q549" s="143" t="str">
        <f>IF(K549="","",IF(_xlfn.XLOOKUP(K549,K$4:K548,$DJ$4:DJ548,0,,-1)=DJ549,_xlfn.XLOOKUP(K549,K$4:K548,Q$4:Q548,1,,-1)+1,1))</f>
        <v/>
      </c>
      <c r="R549" s="144" t="str">
        <f>IF(K549="","",_xlfn.XLOOKUP(K549,K$4:K548,R$4:R548,0,,-1)+IF($C549=" ",1,0))</f>
        <v/>
      </c>
      <c r="S549" s="404"/>
      <c r="T549" s="378"/>
      <c r="U549" s="378"/>
      <c r="V549" s="404"/>
      <c r="W549" s="378"/>
      <c r="X549" s="453"/>
      <c r="Y549" s="383"/>
      <c r="Z549" s="384"/>
      <c r="AA549" s="384"/>
      <c r="AB549" s="384"/>
      <c r="AC549" s="384"/>
      <c r="AD549" s="145">
        <f>((L548/(L548-1)-1))</f>
        <v>0.7407407407407407</v>
      </c>
      <c r="AE549" s="146" t="str">
        <f>IF(L549="","",(SUM(((L547-1)*(1-_xlfn.XLOOKUP(K547,'Fevereiro 2023 - Valor Real'!A3:A15,'Fevereiro 2023 - Valor Real'!C3:C15,0))+1),((L548-1)*(1-_xlfn.XLOOKUP(K548,'Fevereiro 2023 - Valor Real'!A3:A15,'Fevereiro 2023 - Valor Real'!C3:C15,0))+1),((L549-1)*(1-_xlfn.XLOOKUP(K549,'Fevereiro 2023 - Valor Real'!A3:A15,'Fevereiro 2023 - Valor Real'!C3:C15,0))+1))/((L549-1)*(1-_xlfn.XLOOKUP(K549,'Fevereiro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Real'!C3:C15,0))+1))/((L547-1)*(1-_xlfn.XLOOKUP(K547,'Fevereiro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Real'!C3:C15,0))+1))/((L548-1)*(1-_xlfn.XLOOKUP(K548,'Fevereiro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Real'!C3:C15,0))+1))/((L549-1)*(1-_xlfn.XLOOKUP(K549,'Fevereiro 2023 - Valor Real'!A3:A15,'Fevereiro 2023 - Valor Real'!C3:C15,0))+1)))</f>
        <v/>
      </c>
      <c r="AF549" s="105">
        <f t="shared" si="1098"/>
        <v>0</v>
      </c>
      <c r="AG549" s="106">
        <f t="shared" si="1098"/>
        <v>0</v>
      </c>
      <c r="AH549" s="106">
        <f t="shared" si="1098"/>
        <v>0</v>
      </c>
      <c r="AI549" s="106">
        <f t="shared" si="1098"/>
        <v>0</v>
      </c>
      <c r="AJ549" s="106">
        <f t="shared" si="1098"/>
        <v>0</v>
      </c>
      <c r="AK549" s="106">
        <f t="shared" si="1098"/>
        <v>0</v>
      </c>
      <c r="AL549" s="106">
        <f t="shared" si="1098"/>
        <v>0</v>
      </c>
      <c r="AM549" s="106">
        <f t="shared" si="1098"/>
        <v>0</v>
      </c>
      <c r="AN549" s="106">
        <f t="shared" si="1098"/>
        <v>0</v>
      </c>
      <c r="AO549" s="106">
        <f t="shared" si="1098"/>
        <v>0</v>
      </c>
      <c r="AP549" s="106">
        <f t="shared" si="1098"/>
        <v>0</v>
      </c>
      <c r="AQ549" s="106">
        <f t="shared" si="1098"/>
        <v>0</v>
      </c>
      <c r="AR549" s="107">
        <f t="shared" si="1098"/>
        <v>0</v>
      </c>
      <c r="AS549" s="105">
        <f>IF(AND($B547=" ",$K549=AS$3),$O549,0)</f>
        <v>0</v>
      </c>
      <c r="AT549" s="106">
        <f>IF(AND($B547=" ",K549=AT$3),$O549,0)</f>
        <v>0</v>
      </c>
      <c r="AU549" s="106">
        <f t="shared" ref="AU549:BE549" si="1107">IF(AND($B547=" ",$K549=AU$3),$O549,0)</f>
        <v>0</v>
      </c>
      <c r="AV549" s="106">
        <f t="shared" si="1107"/>
        <v>0</v>
      </c>
      <c r="AW549" s="106">
        <f t="shared" si="1107"/>
        <v>0</v>
      </c>
      <c r="AX549" s="106">
        <f t="shared" si="1107"/>
        <v>0</v>
      </c>
      <c r="AY549" s="108">
        <f t="shared" si="1107"/>
        <v>0</v>
      </c>
      <c r="AZ549" s="109">
        <f t="shared" si="1107"/>
        <v>0</v>
      </c>
      <c r="BA549" s="109">
        <f t="shared" si="1107"/>
        <v>0</v>
      </c>
      <c r="BB549" s="109">
        <f t="shared" si="1107"/>
        <v>0</v>
      </c>
      <c r="BC549" s="110">
        <f t="shared" si="1107"/>
        <v>0</v>
      </c>
      <c r="BD549" s="106">
        <f t="shared" si="1107"/>
        <v>0</v>
      </c>
      <c r="BE549" s="107">
        <f t="shared" si="1107"/>
        <v>0</v>
      </c>
      <c r="BF549" s="105">
        <f t="shared" si="1100"/>
        <v>0</v>
      </c>
      <c r="BG549" s="106">
        <f t="shared" si="1100"/>
        <v>0</v>
      </c>
      <c r="BH549" s="106">
        <f t="shared" si="1100"/>
        <v>0</v>
      </c>
      <c r="BI549" s="106">
        <f t="shared" si="1100"/>
        <v>0</v>
      </c>
      <c r="BJ549" s="106">
        <f t="shared" si="1100"/>
        <v>0</v>
      </c>
      <c r="BK549" s="106">
        <f t="shared" si="1100"/>
        <v>0</v>
      </c>
      <c r="BL549" s="106">
        <f t="shared" si="1100"/>
        <v>0</v>
      </c>
      <c r="BM549" s="108">
        <f t="shared" si="1100"/>
        <v>0</v>
      </c>
      <c r="BN549" s="109">
        <f t="shared" si="1100"/>
        <v>0</v>
      </c>
      <c r="BO549" s="109">
        <f t="shared" si="1100"/>
        <v>0</v>
      </c>
      <c r="BP549" s="109">
        <f t="shared" si="1100"/>
        <v>0</v>
      </c>
      <c r="BQ549" s="110">
        <f t="shared" si="1100"/>
        <v>0</v>
      </c>
      <c r="BR549" s="107">
        <f t="shared" si="1100"/>
        <v>0</v>
      </c>
      <c r="BS549" s="464"/>
      <c r="BT549" s="461"/>
      <c r="BU549" s="392"/>
      <c r="BV549" s="461"/>
      <c r="BW549" s="392"/>
      <c r="BX549" s="392"/>
      <c r="BY549" s="392"/>
      <c r="BZ549" s="461"/>
      <c r="CA549" s="392"/>
      <c r="CB549" s="392"/>
      <c r="CC549" s="392"/>
      <c r="CD549" s="401"/>
      <c r="CE549" s="409"/>
      <c r="CF549" s="133">
        <f t="shared" si="1028"/>
        <v>0</v>
      </c>
      <c r="CG549" s="134">
        <f t="shared" si="1029"/>
        <v>0</v>
      </c>
      <c r="CH549" s="134">
        <f t="shared" si="1030"/>
        <v>0</v>
      </c>
      <c r="CI549" s="134">
        <f t="shared" si="1031"/>
        <v>0</v>
      </c>
      <c r="CJ549" s="134">
        <f t="shared" si="1032"/>
        <v>0</v>
      </c>
      <c r="CK549" s="134">
        <f t="shared" si="1033"/>
        <v>0</v>
      </c>
      <c r="CL549" s="134">
        <f t="shared" si="1034"/>
        <v>0</v>
      </c>
      <c r="CM549" s="134">
        <f t="shared" si="1035"/>
        <v>0</v>
      </c>
      <c r="CN549" s="134">
        <f t="shared" si="1036"/>
        <v>0</v>
      </c>
      <c r="CO549" s="134">
        <f t="shared" si="1037"/>
        <v>0</v>
      </c>
      <c r="CP549" s="134">
        <f t="shared" si="1038"/>
        <v>0</v>
      </c>
      <c r="CQ549" s="134">
        <f t="shared" si="1039"/>
        <v>0</v>
      </c>
      <c r="CR549" s="134">
        <f t="shared" si="1040"/>
        <v>0</v>
      </c>
      <c r="CS549" s="134">
        <f t="shared" si="1041"/>
        <v>0</v>
      </c>
      <c r="CT549" s="115">
        <f t="shared" si="1042"/>
        <v>0</v>
      </c>
      <c r="CU549" s="116">
        <f t="shared" si="1043"/>
        <v>0</v>
      </c>
      <c r="CV549" s="116">
        <f t="shared" si="1044"/>
        <v>0</v>
      </c>
      <c r="CW549" s="116">
        <f t="shared" si="1045"/>
        <v>0</v>
      </c>
      <c r="CX549" s="116">
        <f t="shared" si="1046"/>
        <v>0</v>
      </c>
      <c r="CY549" s="116">
        <f t="shared" si="1047"/>
        <v>0</v>
      </c>
      <c r="CZ549" s="116">
        <f t="shared" si="1048"/>
        <v>0</v>
      </c>
      <c r="DA549" s="116">
        <f t="shared" si="1049"/>
        <v>0</v>
      </c>
      <c r="DB549" s="116">
        <f t="shared" si="1050"/>
        <v>0</v>
      </c>
      <c r="DC549" s="116">
        <f t="shared" si="1051"/>
        <v>0</v>
      </c>
      <c r="DD549" s="116">
        <f t="shared" si="1052"/>
        <v>0</v>
      </c>
      <c r="DE549" s="117">
        <f t="shared" si="1053"/>
        <v>0</v>
      </c>
      <c r="DF549" s="118">
        <f t="shared" si="1056"/>
        <v>33</v>
      </c>
      <c r="DG549" s="106">
        <f t="shared" si="1057"/>
        <v>43.031999999999989</v>
      </c>
      <c r="DH549" s="116">
        <f t="shared" si="1058"/>
        <v>13</v>
      </c>
      <c r="DI549" s="106">
        <f t="shared" si="1059"/>
        <v>56.05</v>
      </c>
      <c r="DJ549" s="201" t="str">
        <f>IF($D547="","",$D547)</f>
        <v>16</v>
      </c>
      <c r="DK549" s="466"/>
    </row>
    <row r="550" spans="1:115" ht="14.5" customHeight="1" x14ac:dyDescent="0.2">
      <c r="A550" s="487">
        <f>$A547+1</f>
        <v>183</v>
      </c>
      <c r="B550" s="506" t="str">
        <f>IF(OR(C550="W",C551="W",C552="W",C550="1/2W",C551="1/2W",C552="1/2W",C550="1/2L",C551="1/2L",C552="1/2L"),"OK",IF(OR(C550="L",C551="L",C552="L"),"LOSS",IF(OR(C550="X",C551="X",C552="X"),"Anulado"," ")))</f>
        <v>OK</v>
      </c>
      <c r="C550" s="147" t="s">
        <v>55</v>
      </c>
      <c r="D550" s="494" t="str">
        <f>IF(G550="","",$D547)</f>
        <v>16</v>
      </c>
      <c r="E550" s="511" t="str">
        <f>IF(G550=""," ","– "&amp;COUNTIF(D$4:D552,$D550))</f>
        <v>– 15</v>
      </c>
      <c r="F550" s="510" t="str">
        <f ca="1">IF(G550="","",IF(OR(AND($C550&lt;&gt;" ",$C551=" "),AND($C551&lt;&gt;" ",$C550=" "),AND(L552&gt;0,OR(AND($C552&lt;&gt;" ",OR($C550=" ",$C551=" ")),AND($C552=" ",OR($C550&lt;&gt;" ",$C551&lt;&gt;" "))))),IF(SUM(F$4:F549)=0,1,LARGE(F$4:F549,1)+1),IF(MONTH(G550)=MONTH(TODAY()),IF(AND(DAY(G550)&lt;DAY(TODAY()),$B550=" "),IF(SUM(F$4:F549)=0,1,LARGE(F$4:F549,1)+1),IF($B550=" ",IF(AND(DAY(G550)=DAY(TODAY()),HOUR(G550)&lt;=HOUR(NOW())+1),IF(AND(HOUR(G550)+2&lt;=HOUR(NOW()),DAY(G550)&lt;=DAY(TODAY()),MINUTE(G550)&lt;=MINUTE(NOW())),IF(SUM(F$4:F549)=0,1,LARGE(F$4:F549,1)+1),IF(OR(MINUTE(G550)&lt;=MINUTE(NOW()),HOUR(G550)&lt;=HOUR(NOW())),"!!!","")),""),"")),"")))</f>
        <v/>
      </c>
      <c r="G550" s="508">
        <v>45001.604166666664</v>
      </c>
      <c r="H550" s="502" t="s">
        <v>212</v>
      </c>
      <c r="I550" s="180" t="s">
        <v>66</v>
      </c>
      <c r="J550" s="181">
        <v>0.5</v>
      </c>
      <c r="K550" s="150" t="s">
        <v>47</v>
      </c>
      <c r="L550" s="151">
        <v>2.0499999999999998</v>
      </c>
      <c r="M550" s="152">
        <v>22.41</v>
      </c>
      <c r="N550" s="503">
        <v>0</v>
      </c>
      <c r="O550" s="153">
        <f>IF(OR(AE550="",AE551=""),"",ROUND(IF(L552&gt;0,IF(M550&gt;0,M550,IF(M551&gt;0,ROUND((M551*AE550)/AE551,IF(N550=0,2,IF(N550=0.1,1,0))),ROUND((M552*AE550)/AE552,IF(N550=0,2,IF(N550=0.1,1,0))))),IF(M550&gt;0,M550,ROUND((M551*AE550)/AE551,IF(N550=0,2,IF(N550=0.1,1,0))))),2))</f>
        <v>22.41</v>
      </c>
      <c r="P550" s="154">
        <f>IF(OR(L550="",O550=""),"",IF($C550="1/2W",O550/2+O550/2*L550,IF($C550="1/2L",O550/2,IF(I550="Lay",(O550*(L550/(L550-1))-O550)*(1-_xlfn.XLOOKUP(K550,'Fevereiro 2023 - Valor Real'!A3:A15,'Fevereiro 2023 - Valor Real'!C3:C15,0))+O550,(O550*L550-O550)*(1-_xlfn.XLOOKUP(K550,'Fevereiro 2023 - Valor Real'!A3:A15,'Fevereiro 2023 - Valor Real'!C3:C15,0))+O550))))</f>
        <v>45.940499999999993</v>
      </c>
      <c r="Q550" s="155">
        <f>IF(K550="","",IF(_xlfn.XLOOKUP(K550,K$9:K542,$DJ$9:DJ542,0,,-1)=DJ550,_xlfn.XLOOKUP(K550,K$9:K542,Q$9:Q542,1,,-1)+1,1))</f>
        <v>4</v>
      </c>
      <c r="R550" s="156">
        <f>IF(K550="","",_xlfn.XLOOKUP(K550,K$9:K542,R$9:R542,0,,-1)+IF($C550=" ",1,0))</f>
        <v>0</v>
      </c>
      <c r="S550" s="501">
        <f>IF($B550="Anulado",0,ROUND(IF(OR($B550="LOSS",$B550="OK"),IF(OR($C550="W",$C550="1/2W",$C550="1/2L"),P550-O550,IF($C550="L",-O550,0))+IF(OR($C551="W",$C551="1/2W",$C551="1/2L"),P551-O551,IF($C551="L",-O551,0))+IF(OR($C552="W",$C552="1/2W",$C552="1/2L"),P552-O552,IF($C552="L",-O552,0)),IF(AND(OR($C550="W",$C550="1/2W",$C550="1/2L"),C551="W"),P550+P551-SUM(O550:O552)+_xlfn.XLOOKUP("X",C550:C552,O550:O552,0),IF(AND(C550=TRUE,C552="W"),P550+P552-SUM(O550:O552),IF(AND(C551="W",C552="W"),P551+P552-SUM(O550:O552)+_xlfn.XLOOKUP("X",C550:C552,O550:O552,0),IF(L552&gt;0,IF(OR($C550="W",$C550="1/2W",$C550="1/2L"),P550-SUM(O550:O552)+_xlfn.XLOOKUP("X",C550:C552,O550:O552,0),IF(OR($C550="W",$C550="1/2W",$C550="1/2L"),P551-SUM(O550:O552)+_xlfn.XLOOKUP("X",C550:C552,O550:O552,0),IF(OR($C550="W",$C550="1/2W",$C550="1/2L"),P552-SUM(O550:O552)+_xlfn.XLOOKUP("X",C550:C552,O550:O552,0),IF(SUM(P550:P552)/3-SUM(O550:O552)+_xlfn.XLOOKUP("X",C550:C552,O550:O552,0)&gt;0,SUM(P550:P552)/3-SUM(O550:O552)+_xlfn.XLOOKUP("X",C550:C552,O550:O552,0),LARGE(P550:P552,1)-SUM(O550:O552))))),IF(OR($C550="W",$C550="1/2W",$C550="1/2L"),P550-SUM(O550:O551)+_xlfn.XLOOKUP("X",C550:C552,O550:O552,0),IF(OR($C550="W",$C550="1/2W",$C550="1/2L"),P551-SUM(O550:O551)+_xlfn.XLOOKUP("X",C550:C552,O550:O552,0),SUM(P550:P551)/2-SUM(O550:O551)+_xlfn.XLOOKUP("X",C550:C552,O550:O552,0)))))))),2))</f>
        <v>2.65</v>
      </c>
      <c r="T550" s="486">
        <f>IF(S550=0,0,S550/SUM(O550:O552))</f>
        <v>6.1215061215061213E-2</v>
      </c>
      <c r="U550" s="496">
        <f>IF($D550=$D547,IF(OR($B550="LOSS",$B550="OK",$B550="Anulada"),S550,0)+U547,IF(OR($B550="LOSS",$B550="OK",$B550="Anulada"),S550,0))</f>
        <v>28.499999999999996</v>
      </c>
      <c r="V550" s="496">
        <f>IF($D550="",0,IF($D550=$D547,IF($B550=" ",IF(I552="",IF(OR(AND(I550="DNB1",I551="DNB2"),AND(OR(I550="DNB1",I550="DNB2"),J551=0),AND(OR(I551="DNB1",I551="DNB2"),J550=0),AND(I550="DNB2",I551="DNB1"),AND(IF(J550=0,(J550+1)/ROUND(J550+1,0),J550/ROUND(J550,0))=1,IF(J551=0,(J551+1)/ROUND(IF(J551="",0,J551)+1,0),IF(J551="",0,J551)/ROUND(IF(J551="",1,J551),0))=1,OR(J550&lt;&gt;""),J551&lt;&gt;"")),0,IF(S550&lt;0,IF(I552="",SMALL(P550:P551,1)-SUM(O550:O551),0),SMALL(P550:P551,1)-SUM(O550:O551))),IF(S550&lt;0,IF(I552="",SMALL(P550:P552,1)-SUM(O550:O552),0),LARGE(P550:P552,1)-SUM(O550:O552))),S550)+V547,IF(I552="",IF(OR(AND(I550="DNB1",I551="DNB2"),AND(OR(I550="DNB1",I550="DNB2"),J551=0),AND(OR(I551="DNB1",I551="DNB2"),J550=0),AND(I550="DNB2",I551="DNB1"),AND(IF(J550=0,(J550+1)/ROUND(J550+1,0),J550/ROUND(J550,0))=1,IF(J551=0,(IF(J551="",0,J551)+1)/ROUND(IF(J551="",0,J551)+1,0),IF(J551="",0,J551)/ROUND(IF(J551="",0,J551)+1,0))=1,OR(J550&lt;&gt;""),J551&lt;&gt;"")),0,IF(S550&lt;0,IF(I552="",SMALL(P550:P551,1)-SUM(O550:O551),0),SMALL(P550:P552,1)-SUM(O550:O552))),IF(S550&lt;0,IF(I552="",SMALL(P550:P552,1)-SUM(O550:O552),0),LARGE(P550:P552,1)-SUM(O550:O552)))))</f>
        <v>28.495199999999993</v>
      </c>
      <c r="W550" s="496">
        <f>IF($D550=$D547,IF(S550&lt;0,IF(I552="",S550,0),S550)+W547,S550)</f>
        <v>28.499999999999996</v>
      </c>
      <c r="X550" s="505" t="str">
        <f>IF(OR(SUM(R550:R552)=0,V550=W550),ROUND(IF(W550=0,0,W550/Y550)*100,2)&amp;"%",ROUND(IF(V550=0,0,V550/Y550)*100,2)&amp;"% a "&amp;ROUND(IF(W550=0,0,W550/Y550)*100,2)&amp;"%")</f>
        <v>6,81%</v>
      </c>
      <c r="Y550" s="497">
        <f>IF($D550=$D547,Y547+SUM(O550:O552),SUM(O550:O552))</f>
        <v>418.62999999999994</v>
      </c>
      <c r="Z550" s="496">
        <f>IF($B550=" ",SUM(O550:O552),0)+Z547</f>
        <v>0</v>
      </c>
      <c r="AA550" s="496">
        <f>IF(G550="","",IF($B550="Anulado",LARGE(P550:P552,1)-SUM(O550:O552)+AA547,AA547))</f>
        <v>12.425099999999992</v>
      </c>
      <c r="AB550" s="496">
        <f>IF($D550="","",AB547+S550)</f>
        <v>626.60000000000048</v>
      </c>
      <c r="AC550" s="499">
        <f ca="1">IF($D550="","",IF($B550=" ",IF(DAY(G550)=DAY(TODAY()),1+AC547,0+AC547),0+AC547))</f>
        <v>0</v>
      </c>
      <c r="AD550" s="157">
        <f>(1-_xlfn.XLOOKUP(K548,'Fevereiro 2023 - Valor Real'!A3:A15,'Fevereiro 2023 - Valor Real'!C3:C15,0))+1</f>
        <v>2</v>
      </c>
      <c r="AE550" s="158">
        <f>IF(L550="","",IF(L552&gt;0,(SUM(((L550-1)*(1-_xlfn.XLOOKUP(K550,'Fevereiro 2023 - Valor Real'!A3:A15,'Fevereiro 2023 - Valor Real'!C3:C15,0))+1),((L551-1)*(1-_xlfn.XLOOKUP(K551,'Fevereiro 2023 - Valor Real'!A3:A15,'Fevereiro 2023 - Valor Real'!C3:C15,0))+1),((L552-1)*(1-_xlfn.XLOOKUP(K552,'Fevereiro 2023 - Valor Real'!A3:A15,'Fevereiro 2023 - Valor Real'!C3:C15,0))+1))/((L550-1)*(1-_xlfn.XLOOKUP(K550,'Fevereiro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Real'!C3:C15,0))+1))/((L550-1)*(1-_xlfn.XLOOKUP(K550,'Fevereiro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Real'!C3:C15,0))+1))/((L551-1)*(1-_xlfn.XLOOKUP(K551,'Fevereiro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Real'!C3:C15,0))+1))/((L552-1)*(1-_xlfn.XLOOKUP(K552,'Fevereiro 2023 - Valor Real'!A3:A15,'Fevereiro 2023 - Valor Real'!C3:C15,0))+1)),IF(I550="Lay",IF(I551="Lay",((L551/(L551-1)-1)*(1-_xlfn.XLOOKUP(K551,'Fevereiro 2023 - Valor Real'!A3:A15,'Fevereiro 2023 - Valor Real'!C3:C15,0))+1)/(((L551/(L551-1)-1)*(1-_xlfn.XLOOKUP(K551,'Fevereiro 2023 - Valor Real'!A3:A15,'Fevereiro 2023 - Valor Real'!C3:C15,0))+1)+((L550/(L550-1)-1)*(1-_xlfn.XLOOKUP(K550,'Fevereiro 2023 - Valor Real'!A3:A15,'Fevereiro 2023 - Valor Real'!C3:C15,0))+1)),((L551-1)*(1-_xlfn.XLOOKUP(K551,'Fevereiro 2023 - Valor Real'!A3:A15,'Fevereiro 2023 - Valor Real'!C3:C15,0))+1)/(((L551-1)*(1-_xlfn.XLOOKUP(K551,'Fevereiro 2023 - Valor Real'!A3:A15,'Fevereiro 2023 - Valor Real'!C3:C15,0))+1)+((L550/(L550-1)-1)*(1-_xlfn.XLOOKUP(K550,'Fevereiro 2023 - Valor Real'!A3:A15,'Fevereiro 2023 - Valor Real'!C3:C15,0))+1))),IF(I551="Lay",(((L551/(L551-1)-1)*(1-_xlfn.XLOOKUP(K551,'Fevereiro 2023 - Valor Real'!A3:A15,'Fevereiro 2023 - Valor Real'!C3:C15,0))+1))/(((L550-1)*(1-_xlfn.XLOOKUP(K550,'Fevereiro 2023 - Valor Real'!A3:A15,'Fevereiro 2023 - Valor Real'!C3:C15,0))+1)+((L551/(L551-1)-1)*(1-_xlfn.XLOOKUP(K551,'Fevereiro 2023 - Valor Real'!A3:A15,'Fevereiro 2023 - Valor Real'!C3:C15,0))+1)),((L551-1)*(1-_xlfn.XLOOKUP(K551,'Fevereiro 2023 - Valor Real'!A3:A15,'Fevereiro 2023 - Valor Real'!C3:C15,0))+1)/(((L551-1)*(1-_xlfn.XLOOKUP(K551,'Fevereiro 2023 - Valor Real'!A3:A15,'Fevereiro 2023 - Valor Real'!C3:C15,0))+1)+((L550-1)*(1-_xlfn.XLOOKUP(K550,'Fevereiro 2023 - Valor Real'!A3:A15,'Fevereiro 2023 - Valor Real'!C3:C15,0))+1))))))</f>
        <v>0.51764705882352946</v>
      </c>
      <c r="AF550" s="66">
        <f t="shared" si="1098"/>
        <v>0</v>
      </c>
      <c r="AG550" s="67">
        <f t="shared" si="1098"/>
        <v>0</v>
      </c>
      <c r="AH550" s="67">
        <f t="shared" si="1098"/>
        <v>0</v>
      </c>
      <c r="AI550" s="67">
        <f t="shared" si="1098"/>
        <v>0</v>
      </c>
      <c r="AJ550" s="67">
        <f t="shared" si="1098"/>
        <v>0</v>
      </c>
      <c r="AK550" s="67">
        <f t="shared" si="1098"/>
        <v>0</v>
      </c>
      <c r="AL550" s="67">
        <f t="shared" si="1098"/>
        <v>0</v>
      </c>
      <c r="AM550" s="67">
        <f t="shared" si="1098"/>
        <v>0</v>
      </c>
      <c r="AN550" s="67">
        <f t="shared" si="1098"/>
        <v>0</v>
      </c>
      <c r="AO550" s="67">
        <f t="shared" si="1098"/>
        <v>0</v>
      </c>
      <c r="AP550" s="67">
        <f t="shared" si="1098"/>
        <v>0</v>
      </c>
      <c r="AQ550" s="67">
        <f t="shared" si="1098"/>
        <v>-22.41</v>
      </c>
      <c r="AR550" s="68">
        <f t="shared" si="1098"/>
        <v>0</v>
      </c>
      <c r="AS550" s="66">
        <f t="shared" ref="AS550:BE550" si="1108">IF(AND($B550=" ",$K550=AS$3),$O550,0)</f>
        <v>0</v>
      </c>
      <c r="AT550" s="67">
        <f t="shared" si="1108"/>
        <v>0</v>
      </c>
      <c r="AU550" s="67">
        <f t="shared" si="1108"/>
        <v>0</v>
      </c>
      <c r="AV550" s="67">
        <f t="shared" si="1108"/>
        <v>0</v>
      </c>
      <c r="AW550" s="67">
        <f t="shared" si="1108"/>
        <v>0</v>
      </c>
      <c r="AX550" s="67">
        <f t="shared" si="1108"/>
        <v>0</v>
      </c>
      <c r="AY550" s="69">
        <f t="shared" si="1108"/>
        <v>0</v>
      </c>
      <c r="AZ550" s="70">
        <f t="shared" si="1108"/>
        <v>0</v>
      </c>
      <c r="BA550" s="70">
        <f t="shared" si="1108"/>
        <v>0</v>
      </c>
      <c r="BB550" s="70">
        <f t="shared" si="1108"/>
        <v>0</v>
      </c>
      <c r="BC550" s="71">
        <f t="shared" si="1108"/>
        <v>0</v>
      </c>
      <c r="BD550" s="67">
        <f t="shared" si="1108"/>
        <v>0</v>
      </c>
      <c r="BE550" s="68">
        <f t="shared" si="1108"/>
        <v>0</v>
      </c>
      <c r="BF550" s="66">
        <f t="shared" si="1100"/>
        <v>0</v>
      </c>
      <c r="BG550" s="67">
        <f t="shared" si="1100"/>
        <v>0</v>
      </c>
      <c r="BH550" s="67">
        <f t="shared" si="1100"/>
        <v>0</v>
      </c>
      <c r="BI550" s="67">
        <f t="shared" si="1100"/>
        <v>0</v>
      </c>
      <c r="BJ550" s="67">
        <f t="shared" si="1100"/>
        <v>0</v>
      </c>
      <c r="BK550" s="67">
        <f t="shared" si="1100"/>
        <v>0</v>
      </c>
      <c r="BL550" s="67">
        <f t="shared" si="1100"/>
        <v>0</v>
      </c>
      <c r="BM550" s="69">
        <f t="shared" si="1100"/>
        <v>0</v>
      </c>
      <c r="BN550" s="70">
        <f t="shared" si="1100"/>
        <v>0</v>
      </c>
      <c r="BO550" s="70">
        <f t="shared" si="1100"/>
        <v>0</v>
      </c>
      <c r="BP550" s="70">
        <f t="shared" si="1100"/>
        <v>0</v>
      </c>
      <c r="BQ550" s="71">
        <f t="shared" si="1100"/>
        <v>22.41</v>
      </c>
      <c r="BR550" s="68">
        <f t="shared" si="1100"/>
        <v>0</v>
      </c>
      <c r="BS550" s="490">
        <f>IF($B550="LOSS",IF(AND($K550=BS$3,$C550="L"),-$O550,0)+IF(AND($K551=BS$3,$C551="L"),-$O551,0)+IF(AND($K552=BS$3,$C552="L"),-$O552,0),IF(OR(AND($K550=BS$3,OR($C550="W",$C550="1/2W")),AND($K551=BS$3,OR($C551="W",$C551="1/2W")),AND($K552=BS$3,OR($C552="W",$C552="1/2W"))),$S550,0))</f>
        <v>0</v>
      </c>
      <c r="BT550" s="498">
        <f>IF($B550="LOSS",IF(AND($K550=BT$3,$C550="L"),-$O550,0)+IF(AND($K551=BT$3,$C551="L"),-$O551,0)+IF(AND($K551=BT$3,$C552="L"),-$O552,0),IF(OR(AND($K551=BT$3,OR($C550="W",$C550="1/2W")),AND($K551=BT$3,OR($C551="W",$C551="1/2W")),AND($K551=BT$3,OR($C552="W",$C552="1/2W"))),$S550,0))</f>
        <v>2.65</v>
      </c>
      <c r="BU550" s="488">
        <f>IF($B550="LOSS",IF(AND($K550=BU$3,$C550="L"),-$O550,0)+IF(AND($K551=BU$3,$C551="L"),-$O551,0)+IF(AND($K551=BU$3,$C552="L"),-$O552,0),IF(OR(AND($K551=BU$3,OR($C550="W",$C550="1/2W")),AND($K551=BU$3,OR($C551="W",$C551="1/2W")),AND($K551=BU$3,OR($C552="W",$C552="1/2W"))),$S550,0))</f>
        <v>0</v>
      </c>
      <c r="BV550" s="488">
        <f t="shared" ref="BV550:CE550" si="1109">IF($B550="LOSS",IF(AND($K550=BV$3,$C550="L"),-$O550,0)+IF(AND($K551=BV$3,$C551="L"),-$O551,0)+IF(AND($K552=BV$3,$C552="L"),-$O552,0),IF(OR(AND($K550=BV$3,OR($C550="W",$C550="1/2W")),AND($K551=BV$3,OR($C551="W",$C551="1/2W")),AND($K552=BV$3,OR($C552="W",$C552="1/2W"))),$S550,0))</f>
        <v>0</v>
      </c>
      <c r="BW550" s="488">
        <f t="shared" si="1109"/>
        <v>0</v>
      </c>
      <c r="BX550" s="488">
        <f t="shared" si="1109"/>
        <v>0</v>
      </c>
      <c r="BY550" s="488">
        <f t="shared" si="1109"/>
        <v>0</v>
      </c>
      <c r="BZ550" s="488">
        <f t="shared" si="1109"/>
        <v>0</v>
      </c>
      <c r="CA550" s="488">
        <f t="shared" si="1109"/>
        <v>0</v>
      </c>
      <c r="CB550" s="488">
        <f t="shared" si="1109"/>
        <v>0</v>
      </c>
      <c r="CC550" s="488">
        <f t="shared" si="1109"/>
        <v>0</v>
      </c>
      <c r="CD550" s="500">
        <f t="shared" si="1109"/>
        <v>0</v>
      </c>
      <c r="CE550" s="504">
        <f t="shared" si="1109"/>
        <v>0</v>
      </c>
      <c r="CF550" s="160">
        <f t="shared" si="1028"/>
        <v>0</v>
      </c>
      <c r="CG550" s="161">
        <f t="shared" si="1029"/>
        <v>0</v>
      </c>
      <c r="CH550" s="161">
        <f t="shared" si="1030"/>
        <v>0</v>
      </c>
      <c r="CI550" s="161">
        <f t="shared" si="1031"/>
        <v>0</v>
      </c>
      <c r="CJ550" s="161">
        <f t="shared" si="1032"/>
        <v>0</v>
      </c>
      <c r="CK550" s="161">
        <f t="shared" si="1033"/>
        <v>0</v>
      </c>
      <c r="CL550" s="161">
        <f t="shared" si="1034"/>
        <v>0</v>
      </c>
      <c r="CM550" s="161">
        <f t="shared" si="1035"/>
        <v>0</v>
      </c>
      <c r="CN550" s="161">
        <f t="shared" si="1036"/>
        <v>0</v>
      </c>
      <c r="CO550" s="161">
        <f t="shared" si="1037"/>
        <v>0</v>
      </c>
      <c r="CP550" s="161">
        <f t="shared" si="1038"/>
        <v>0</v>
      </c>
      <c r="CQ550" s="161">
        <f t="shared" si="1039"/>
        <v>0</v>
      </c>
      <c r="CR550" s="161">
        <f t="shared" si="1040"/>
        <v>0</v>
      </c>
      <c r="CS550" s="161">
        <f t="shared" si="1041"/>
        <v>0</v>
      </c>
      <c r="CT550" s="75">
        <f t="shared" si="1042"/>
        <v>0</v>
      </c>
      <c r="CU550" s="76">
        <f t="shared" si="1043"/>
        <v>0</v>
      </c>
      <c r="CV550" s="76">
        <f t="shared" si="1044"/>
        <v>0</v>
      </c>
      <c r="CW550" s="76">
        <f t="shared" si="1045"/>
        <v>0</v>
      </c>
      <c r="CX550" s="76">
        <f t="shared" si="1046"/>
        <v>0</v>
      </c>
      <c r="CY550" s="76">
        <f t="shared" si="1047"/>
        <v>0</v>
      </c>
      <c r="CZ550" s="76">
        <f t="shared" si="1048"/>
        <v>0</v>
      </c>
      <c r="DA550" s="76">
        <f t="shared" si="1049"/>
        <v>0</v>
      </c>
      <c r="DB550" s="76">
        <f t="shared" si="1050"/>
        <v>0</v>
      </c>
      <c r="DC550" s="76">
        <f t="shared" si="1051"/>
        <v>1</v>
      </c>
      <c r="DD550" s="76">
        <f t="shared" si="1052"/>
        <v>0</v>
      </c>
      <c r="DE550" s="77">
        <f t="shared" si="1053"/>
        <v>0</v>
      </c>
      <c r="DF550" s="73">
        <f t="shared" si="1056"/>
        <v>33</v>
      </c>
      <c r="DG550" s="67">
        <f t="shared" si="1057"/>
        <v>43.031999999999989</v>
      </c>
      <c r="DH550" s="76">
        <f t="shared" si="1058"/>
        <v>13</v>
      </c>
      <c r="DI550" s="67">
        <f t="shared" si="1059"/>
        <v>56.05</v>
      </c>
      <c r="DJ550" s="202" t="str">
        <f>IF($D550="","",$D550)</f>
        <v>16</v>
      </c>
      <c r="DK550" s="492">
        <f>IF(AND($B550=" ",$D550&lt;&gt;""),1,0)</f>
        <v>0</v>
      </c>
    </row>
    <row r="551" spans="1:115" ht="14.5" customHeight="1" x14ac:dyDescent="0.2">
      <c r="A551" s="389"/>
      <c r="B551" s="456"/>
      <c r="C551" s="53" t="s">
        <v>54</v>
      </c>
      <c r="D551" s="374"/>
      <c r="E551" s="386"/>
      <c r="F551" s="377"/>
      <c r="G551" s="508"/>
      <c r="H551" s="476"/>
      <c r="I551" s="162">
        <v>2</v>
      </c>
      <c r="J551" s="163" t="str">
        <f>IF(OR(I550="TO",I550="TU",I550="TO1",I550="TU1",I550="TO2",I550="TU2"),J550,IF(OR(I550="AH1",I550="AH2"),IF(OR(I551="AH1",I551="AH2"),-J550,IF(OR(I551="EH1",I551="EH2"),-J550+0.5,"")),IF(OR(I550="EH1",I550="EH2"),IF(OR(I551="AH1",I551="AH2"),-J550+0.5,IF(OR(I551="EH1",I551="EH2"),-J550+1,"")),IF(AND(OR(I550="DNB1",I550="DNB2"),OR(I551="AH1",I551="AH2")),0,IF(AND(I550="Not ScoreBoth",OR(I551="TO1",I551="TO2")),0.5,"")))))</f>
        <v/>
      </c>
      <c r="K551" s="57" t="s">
        <v>37</v>
      </c>
      <c r="L551" s="164">
        <v>2.2000000000000002</v>
      </c>
      <c r="M551" s="165"/>
      <c r="N551" s="406"/>
      <c r="O551" s="60">
        <f>IF(OR(AE550="",AE551=""),"",ROUND(IF(L552&gt;0,IF(M551&gt;0,M551,IF(M550&gt;0,IF(N550=TRUE,ROUND((M550*AE551)/AE550,0),(M550*AE551)/AE550),IF(M551&gt;0,ROUND(M551,IF(N550=0,2,IF(N550=0.1,1,0))),IF(M552&gt;0,ROUND(O552*AE551/AE552,IF(N550=0,2,IF(N550=0.1,1,0))),0)))),IF(M551&gt;0,M551,ROUND((M550*AE551)/AE550,IF(N550=0,2,IF(N550=0.1,1,0))))),2))</f>
        <v>20.88</v>
      </c>
      <c r="P551" s="61">
        <f>IF(OR(L551="",O551=""),"",IF($C551="1/2W",O551/2+O551/2*L551,IF($C551="1/2L",O551/2,IF(I551="Lay",((O551*(L551/(L551-1)))-O551)*(1-_xlfn.XLOOKUP(K551,'Fevereiro 2023 - Valor Real'!A3:A15,'Fevereiro 2023 - Valor Real'!C3:C15,0))+O551,(O551*L551-O551)*(1-_xlfn.XLOOKUP(K551,'Fevereiro 2023 - Valor Real'!A3:A15,'Fevereiro 2023 - Valor Real'!C3:C15,0))+O551))))</f>
        <v>45.936</v>
      </c>
      <c r="Q551" s="166">
        <f>IF(K551="","",IF(_xlfn.XLOOKUP(K551,K$10:K542,$DJ$10:DJ542,0,,-1)=DJ551,_xlfn.XLOOKUP(K551,K$10:K542,Q$10:Q542,1,,-1)+1,1))</f>
        <v>5</v>
      </c>
      <c r="R551" s="167">
        <f>IF(K551="","",_xlfn.XLOOKUP(K551,K$10:K542,R$10:R542,0,,-1)+IF($C551=" ",1,0))</f>
        <v>0</v>
      </c>
      <c r="S551" s="403"/>
      <c r="T551" s="380"/>
      <c r="U551" s="380"/>
      <c r="V551" s="481"/>
      <c r="W551" s="380"/>
      <c r="X551" s="452"/>
      <c r="Y551" s="383"/>
      <c r="Z551" s="384"/>
      <c r="AA551" s="384"/>
      <c r="AB551" s="384"/>
      <c r="AC551" s="384"/>
      <c r="AD551" s="64"/>
      <c r="AE551" s="65">
        <f>IF(L551="","",IF(L552&gt;0,(SUM(((L550-1)*(1-_xlfn.XLOOKUP(K550,'Fevereiro 2023 - Valor Real'!A3:A15,'Fevereiro 2023 - Valor Real'!C3:C15,0))+1),((L551-1)*(1-_xlfn.XLOOKUP(K551,'Fevereiro 2023 - Valor Real'!A3:A15,'Fevereiro 2023 - Valor Real'!C3:C15,0))+1),((L552-1)*(1-_xlfn.XLOOKUP(K552,'Fevereiro 2023 - Valor Real'!A3:A15,'Fevereiro 2023 - Valor Real'!C3:C15,0))+1))/((L551-1)*(1-_xlfn.XLOOKUP(K551,'Fevereiro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Real'!C3:C15,0))+1))/((L550-1)*(1-_xlfn.XLOOKUP(K550,'Fevereiro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Real'!C3:C15,0))+1))/((L551-1)*(1-_xlfn.XLOOKUP(K551,'Fevereiro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Real'!C3:C15,0))+1))/((L552-1)*(1-_xlfn.XLOOKUP(K552,'Fevereiro 2023 - Valor Real'!A3:A15,'Fevereiro 2023 - Valor Real'!C3:C15,0))+1)),IF(I551="Lay",IF(I550="Lay",((L550/(L550-1)-1)*(1-_xlfn.XLOOKUP(K550,'Fevereiro 2023 - Valor Real'!A3:A15,'Fevereiro 2023 - Valor Real'!C3:C15,0))+1)/(((L550/(L550-1)-1)*(1-_xlfn.XLOOKUP(K550,'Fevereiro 2023 - Valor Real'!A3:A15,'Fevereiro 2023 - Valor Real'!C3:C15,0))+1)+((L551/(L551-1)-1)*(1-_xlfn.XLOOKUP(K551,'Fevereiro 2023 - Valor Real'!A3:A15,'Fevereiro 2023 - Valor Real'!C3:C15,0))+1)),((L550-1)*(1-_xlfn.XLOOKUP(K550,'Fevereiro 2023 - Valor Real'!A3:A15,'Fevereiro 2023 - Valor Real'!C3:C15,0))+1)/(((L550-1)*(1-_xlfn.XLOOKUP(K550,'Fevereiro 2023 - Valor Real'!A3:A15,'Fevereiro 2023 - Valor Real'!C3:C15,0))+1)+((L551/(L551-1)-1)*(1-_xlfn.XLOOKUP(K551,'Fevereiro 2023 - Valor Real'!A3:A15,'Fevereiro 2023 - Valor Real'!C3:C15,0))+1))),IF(I550="Lay",((L550/(L550-1)-1)*(1-_xlfn.XLOOKUP(K550,'Fevereiro 2023 - Valor Real'!A3:A15,'Fevereiro 2023 - Valor Real'!C3:C15,0))+1)/((((L550/(L550-1)-1)*(1-_xlfn.XLOOKUP(K550,'Fevereiro 2023 - Valor Real'!A3:A15,'Fevereiro 2023 - Valor Real'!C3:C15,0))+1))+((L551-1)*(1-_xlfn.XLOOKUP(K551,'Fevereiro 2023 - Valor Real'!A3:A15,'Fevereiro 2023 - Valor Real'!C3:C15,0))+1)),((L550-1)*(1-_xlfn.XLOOKUP(K550,'Fevereiro 2023 - Valor Real'!A3:A15,'Fevereiro 2023 - Valor Real'!C3:C15,0))+1)/(((L550-1)*(1-_xlfn.XLOOKUP(K550,'Fevereiro 2023 - Valor Real'!A3:A15,'Fevereiro 2023 - Valor Real'!C3:C15,0))+1)+((L551-1)*(1-_xlfn.XLOOKUP(K551,'Fevereiro 2023 - Valor Real'!A3:A15,'Fevereiro 2023 - Valor Real'!C3:C15,0))+1))))))</f>
        <v>0.48235294117647054</v>
      </c>
      <c r="AF551" s="66">
        <f t="shared" si="1098"/>
        <v>0</v>
      </c>
      <c r="AG551" s="67">
        <f t="shared" si="1098"/>
        <v>25.06</v>
      </c>
      <c r="AH551" s="67">
        <f t="shared" si="1098"/>
        <v>0</v>
      </c>
      <c r="AI551" s="67">
        <f t="shared" si="1098"/>
        <v>0</v>
      </c>
      <c r="AJ551" s="67">
        <f t="shared" si="1098"/>
        <v>0</v>
      </c>
      <c r="AK551" s="67">
        <f t="shared" si="1098"/>
        <v>0</v>
      </c>
      <c r="AL551" s="67">
        <f t="shared" si="1098"/>
        <v>0</v>
      </c>
      <c r="AM551" s="67">
        <f t="shared" si="1098"/>
        <v>0</v>
      </c>
      <c r="AN551" s="67">
        <f t="shared" si="1098"/>
        <v>0</v>
      </c>
      <c r="AO551" s="67">
        <f t="shared" si="1098"/>
        <v>0</v>
      </c>
      <c r="AP551" s="67">
        <f t="shared" si="1098"/>
        <v>0</v>
      </c>
      <c r="AQ551" s="67">
        <f t="shared" si="1098"/>
        <v>0</v>
      </c>
      <c r="AR551" s="68">
        <f t="shared" si="1098"/>
        <v>0</v>
      </c>
      <c r="AS551" s="66">
        <f>IF(AND($B550=" ",$K551=AS$3),$O551,0)</f>
        <v>0</v>
      </c>
      <c r="AT551" s="67">
        <f>IF(AND($B550=" ",K551=AT$3),$O551,0)</f>
        <v>0</v>
      </c>
      <c r="AU551" s="67">
        <f t="shared" ref="AU551:BE551" si="1110">IF(AND($B550=" ",$K551=AU$3),$O551,0)</f>
        <v>0</v>
      </c>
      <c r="AV551" s="67">
        <f t="shared" si="1110"/>
        <v>0</v>
      </c>
      <c r="AW551" s="67">
        <f t="shared" si="1110"/>
        <v>0</v>
      </c>
      <c r="AX551" s="67">
        <f t="shared" si="1110"/>
        <v>0</v>
      </c>
      <c r="AY551" s="69">
        <f t="shared" si="1110"/>
        <v>0</v>
      </c>
      <c r="AZ551" s="70">
        <f t="shared" si="1110"/>
        <v>0</v>
      </c>
      <c r="BA551" s="70">
        <f t="shared" si="1110"/>
        <v>0</v>
      </c>
      <c r="BB551" s="70">
        <f t="shared" si="1110"/>
        <v>0</v>
      </c>
      <c r="BC551" s="71">
        <f t="shared" si="1110"/>
        <v>0</v>
      </c>
      <c r="BD551" s="67">
        <f t="shared" si="1110"/>
        <v>0</v>
      </c>
      <c r="BE551" s="68">
        <f t="shared" si="1110"/>
        <v>0</v>
      </c>
      <c r="BF551" s="66">
        <f t="shared" si="1100"/>
        <v>0</v>
      </c>
      <c r="BG551" s="168">
        <f t="shared" si="1100"/>
        <v>20.88</v>
      </c>
      <c r="BH551" s="67">
        <f t="shared" si="1100"/>
        <v>0</v>
      </c>
      <c r="BI551" s="67">
        <f t="shared" si="1100"/>
        <v>0</v>
      </c>
      <c r="BJ551" s="67">
        <f t="shared" si="1100"/>
        <v>0</v>
      </c>
      <c r="BK551" s="67">
        <f t="shared" si="1100"/>
        <v>0</v>
      </c>
      <c r="BL551" s="67">
        <f t="shared" si="1100"/>
        <v>0</v>
      </c>
      <c r="BM551" s="69">
        <f t="shared" si="1100"/>
        <v>0</v>
      </c>
      <c r="BN551" s="70">
        <f t="shared" si="1100"/>
        <v>0</v>
      </c>
      <c r="BO551" s="70">
        <f t="shared" si="1100"/>
        <v>0</v>
      </c>
      <c r="BP551" s="70">
        <f t="shared" si="1100"/>
        <v>0</v>
      </c>
      <c r="BQ551" s="71">
        <f t="shared" si="1100"/>
        <v>0</v>
      </c>
      <c r="BR551" s="68">
        <f t="shared" si="1100"/>
        <v>0</v>
      </c>
      <c r="BS551" s="491"/>
      <c r="BT551" s="489"/>
      <c r="BU551" s="392"/>
      <c r="BV551" s="489"/>
      <c r="BW551" s="392"/>
      <c r="BX551" s="392"/>
      <c r="BY551" s="392"/>
      <c r="BZ551" s="489"/>
      <c r="CA551" s="392"/>
      <c r="CB551" s="392"/>
      <c r="CC551" s="392"/>
      <c r="CD551" s="401"/>
      <c r="CE551" s="409"/>
      <c r="CF551" s="169">
        <f t="shared" si="1028"/>
        <v>0</v>
      </c>
      <c r="CG551" s="170">
        <f t="shared" si="1029"/>
        <v>0</v>
      </c>
      <c r="CH551" s="170">
        <f t="shared" si="1030"/>
        <v>1</v>
      </c>
      <c r="CI551" s="170">
        <f t="shared" si="1031"/>
        <v>0</v>
      </c>
      <c r="CJ551" s="170">
        <f t="shared" si="1032"/>
        <v>0</v>
      </c>
      <c r="CK551" s="170">
        <f t="shared" si="1033"/>
        <v>0</v>
      </c>
      <c r="CL551" s="170">
        <f t="shared" si="1034"/>
        <v>0</v>
      </c>
      <c r="CM551" s="170">
        <f t="shared" si="1035"/>
        <v>0</v>
      </c>
      <c r="CN551" s="170">
        <f t="shared" si="1036"/>
        <v>0</v>
      </c>
      <c r="CO551" s="170">
        <f t="shared" si="1037"/>
        <v>0</v>
      </c>
      <c r="CP551" s="170">
        <f t="shared" si="1038"/>
        <v>0</v>
      </c>
      <c r="CQ551" s="170">
        <f t="shared" si="1039"/>
        <v>0</v>
      </c>
      <c r="CR551" s="170">
        <f t="shared" si="1040"/>
        <v>0</v>
      </c>
      <c r="CS551" s="170">
        <f t="shared" si="1041"/>
        <v>0</v>
      </c>
      <c r="CT551" s="75">
        <f t="shared" si="1042"/>
        <v>0</v>
      </c>
      <c r="CU551" s="76">
        <f t="shared" si="1043"/>
        <v>0</v>
      </c>
      <c r="CV551" s="76">
        <f t="shared" si="1044"/>
        <v>0</v>
      </c>
      <c r="CW551" s="76">
        <f t="shared" si="1045"/>
        <v>0</v>
      </c>
      <c r="CX551" s="76">
        <f t="shared" si="1046"/>
        <v>0</v>
      </c>
      <c r="CY551" s="76">
        <f t="shared" si="1047"/>
        <v>0</v>
      </c>
      <c r="CZ551" s="76">
        <f t="shared" si="1048"/>
        <v>0</v>
      </c>
      <c r="DA551" s="76">
        <f t="shared" si="1049"/>
        <v>0</v>
      </c>
      <c r="DB551" s="76">
        <f t="shared" si="1050"/>
        <v>0</v>
      </c>
      <c r="DC551" s="76">
        <f t="shared" si="1051"/>
        <v>0</v>
      </c>
      <c r="DD551" s="76">
        <f t="shared" si="1052"/>
        <v>0</v>
      </c>
      <c r="DE551" s="77">
        <f t="shared" si="1053"/>
        <v>0</v>
      </c>
      <c r="DF551" s="73">
        <f t="shared" si="1056"/>
        <v>33</v>
      </c>
      <c r="DG551" s="67">
        <f t="shared" si="1057"/>
        <v>43.031999999999989</v>
      </c>
      <c r="DH551" s="76">
        <f t="shared" si="1058"/>
        <v>13</v>
      </c>
      <c r="DI551" s="67">
        <f t="shared" si="1059"/>
        <v>56.05</v>
      </c>
      <c r="DJ551" s="202" t="str">
        <f>IF($D550="","",$D550)</f>
        <v>16</v>
      </c>
      <c r="DK551" s="493"/>
    </row>
    <row r="552" spans="1:115" ht="14.5" customHeight="1" x14ac:dyDescent="0.2">
      <c r="A552" s="390"/>
      <c r="B552" s="457"/>
      <c r="C552" s="79" t="s">
        <v>53</v>
      </c>
      <c r="D552" s="375"/>
      <c r="E552" s="387"/>
      <c r="F552" s="378"/>
      <c r="G552" s="508"/>
      <c r="H552" s="477"/>
      <c r="I552" s="171"/>
      <c r="J552" s="172"/>
      <c r="K552" s="81"/>
      <c r="L552" s="173"/>
      <c r="M552" s="174"/>
      <c r="N552" s="407"/>
      <c r="O552" s="86" t="str">
        <f>IF(OR(AE550="",AE551=""),"",IF(L552&gt;0,ROUND(IF(M552&gt;0,M552,IF(M550&gt;0,ROUND((M550*AE552)/AE550,IF(N550=0,2,IF(N550=0.1,1,0))),IF(M551&gt;0,ROUND((M551*AE552)/AE551,IF(N550=0,2,IF(N550=0.1,1,0))),IF(M552&gt;0,M552,0)))),2),""))</f>
        <v/>
      </c>
      <c r="P552" s="87" t="str">
        <f>IF(I551="Lay",O551*(L551/(L551-1))-O551,IF(I550="Lay",O550*(L550/(L550-1))-O550,IF(OR(L552="",O552=""),"",IF($C552="1/2W",O552/2+O552/2*L552,IF($C552="1/2L",O552/2,(O552*L552-O552)*(1-_xlfn.XLOOKUP(K552,'Fevereiro 2023 - Valor Real'!A3:A15,'Fevereiro 2023 - Valor Real'!C3:C15,0))+O552)))))</f>
        <v/>
      </c>
      <c r="Q552" s="54" t="str">
        <f>IF(K552="","",IF(_xlfn.XLOOKUP(K552,K$11:K542,$DJ$11:DJ542,0,,-1)=DJ552,_xlfn.XLOOKUP(K552,K$11:K542,Q$11:Q542,1,,-1)+1,1))</f>
        <v/>
      </c>
      <c r="R552" s="87" t="str">
        <f>IF(K552="","",_xlfn.XLOOKUP(K552,K$11:K542,R$11:R542,0,,-1)+IF($C552=" ",1,0))</f>
        <v/>
      </c>
      <c r="S552" s="404"/>
      <c r="T552" s="378"/>
      <c r="U552" s="378"/>
      <c r="V552" s="404"/>
      <c r="W552" s="378"/>
      <c r="X552" s="453"/>
      <c r="Y552" s="383"/>
      <c r="Z552" s="384"/>
      <c r="AA552" s="384"/>
      <c r="AB552" s="384"/>
      <c r="AC552" s="384"/>
      <c r="AD552" s="90"/>
      <c r="AE552" s="91" t="str">
        <f>IF(L552="","",(SUM(((L550-1)*(1-_xlfn.XLOOKUP(K550,'Fevereiro 2023 - Valor Real'!A3:A15,'Fevereiro 2023 - Valor Real'!C3:C15,0))+1),((L551-1)*(1-_xlfn.XLOOKUP(K551,'Fevereiro 2023 - Valor Real'!A3:A15,'Fevereiro 2023 - Valor Real'!C3:C15,0))+1),((L552-1)*(1-_xlfn.XLOOKUP(K552,'Fevereiro 2023 - Valor Real'!A3:A15,'Fevereiro 2023 - Valor Real'!C3:C15,0))+1))/((L552-1)*(1-_xlfn.XLOOKUP(K552,'Fevereiro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Real'!C3:C15,0))+1))/((L550-1)*(1-_xlfn.XLOOKUP(K550,'Fevereiro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Real'!C3:C15,0))+1))/((L551-1)*(1-_xlfn.XLOOKUP(K551,'Fevereiro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Real'!C3:C15,0))+1))/((L552-1)*(1-_xlfn.XLOOKUP(K552,'Fevereiro 2023 - Valor Real'!A3:A15,'Fevereiro 2023 - Valor Real'!C3:C15,0))+1)))</f>
        <v/>
      </c>
      <c r="AF552" s="66">
        <f t="shared" si="1098"/>
        <v>0</v>
      </c>
      <c r="AG552" s="67">
        <f t="shared" si="1098"/>
        <v>0</v>
      </c>
      <c r="AH552" s="67">
        <f t="shared" si="1098"/>
        <v>0</v>
      </c>
      <c r="AI552" s="67">
        <f t="shared" si="1098"/>
        <v>0</v>
      </c>
      <c r="AJ552" s="67">
        <f t="shared" si="1098"/>
        <v>0</v>
      </c>
      <c r="AK552" s="67">
        <f t="shared" si="1098"/>
        <v>0</v>
      </c>
      <c r="AL552" s="67">
        <f t="shared" si="1098"/>
        <v>0</v>
      </c>
      <c r="AM552" s="67">
        <f t="shared" si="1098"/>
        <v>0</v>
      </c>
      <c r="AN552" s="67">
        <f t="shared" si="1098"/>
        <v>0</v>
      </c>
      <c r="AO552" s="67">
        <f t="shared" si="1098"/>
        <v>0</v>
      </c>
      <c r="AP552" s="67">
        <f t="shared" si="1098"/>
        <v>0</v>
      </c>
      <c r="AQ552" s="67">
        <f t="shared" si="1098"/>
        <v>0</v>
      </c>
      <c r="AR552" s="68">
        <f t="shared" si="1098"/>
        <v>0</v>
      </c>
      <c r="AS552" s="66">
        <f>IF(AND($B550=" ",$K552=AS$3),$O552,0)</f>
        <v>0</v>
      </c>
      <c r="AT552" s="67">
        <f>IF(AND($B550=" ",K552=AT$3),$O552,0)</f>
        <v>0</v>
      </c>
      <c r="AU552" s="67">
        <f t="shared" ref="AU552:BE552" si="1111">IF(AND($B550=" ",$K552=AU$3),$O552,0)</f>
        <v>0</v>
      </c>
      <c r="AV552" s="67">
        <f t="shared" si="1111"/>
        <v>0</v>
      </c>
      <c r="AW552" s="67">
        <f t="shared" si="1111"/>
        <v>0</v>
      </c>
      <c r="AX552" s="67">
        <f t="shared" si="1111"/>
        <v>0</v>
      </c>
      <c r="AY552" s="69">
        <f t="shared" si="1111"/>
        <v>0</v>
      </c>
      <c r="AZ552" s="70">
        <f t="shared" si="1111"/>
        <v>0</v>
      </c>
      <c r="BA552" s="70">
        <f t="shared" si="1111"/>
        <v>0</v>
      </c>
      <c r="BB552" s="70">
        <f t="shared" si="1111"/>
        <v>0</v>
      </c>
      <c r="BC552" s="71">
        <f t="shared" si="1111"/>
        <v>0</v>
      </c>
      <c r="BD552" s="67">
        <f t="shared" si="1111"/>
        <v>0</v>
      </c>
      <c r="BE552" s="68">
        <f t="shared" si="1111"/>
        <v>0</v>
      </c>
      <c r="BF552" s="66">
        <f t="shared" si="1100"/>
        <v>0</v>
      </c>
      <c r="BG552" s="168">
        <f t="shared" si="1100"/>
        <v>0</v>
      </c>
      <c r="BH552" s="67">
        <f t="shared" si="1100"/>
        <v>0</v>
      </c>
      <c r="BI552" s="67">
        <f t="shared" si="1100"/>
        <v>0</v>
      </c>
      <c r="BJ552" s="67">
        <f t="shared" si="1100"/>
        <v>0</v>
      </c>
      <c r="BK552" s="67">
        <f t="shared" si="1100"/>
        <v>0</v>
      </c>
      <c r="BL552" s="67">
        <f t="shared" si="1100"/>
        <v>0</v>
      </c>
      <c r="BM552" s="69">
        <f t="shared" si="1100"/>
        <v>0</v>
      </c>
      <c r="BN552" s="70">
        <f t="shared" si="1100"/>
        <v>0</v>
      </c>
      <c r="BO552" s="70">
        <f t="shared" si="1100"/>
        <v>0</v>
      </c>
      <c r="BP552" s="70">
        <f t="shared" si="1100"/>
        <v>0</v>
      </c>
      <c r="BQ552" s="71">
        <f t="shared" si="1100"/>
        <v>0</v>
      </c>
      <c r="BR552" s="68">
        <f t="shared" si="1100"/>
        <v>0</v>
      </c>
      <c r="BS552" s="491"/>
      <c r="BT552" s="489"/>
      <c r="BU552" s="392"/>
      <c r="BV552" s="489"/>
      <c r="BW552" s="392"/>
      <c r="BX552" s="392"/>
      <c r="BY552" s="392"/>
      <c r="BZ552" s="489"/>
      <c r="CA552" s="392"/>
      <c r="CB552" s="392"/>
      <c r="CC552" s="392"/>
      <c r="CD552" s="401"/>
      <c r="CE552" s="409"/>
      <c r="CF552" s="169">
        <f t="shared" si="1028"/>
        <v>0</v>
      </c>
      <c r="CG552" s="170">
        <f t="shared" si="1029"/>
        <v>0</v>
      </c>
      <c r="CH552" s="170">
        <f t="shared" si="1030"/>
        <v>0</v>
      </c>
      <c r="CI552" s="170">
        <f t="shared" si="1031"/>
        <v>0</v>
      </c>
      <c r="CJ552" s="170">
        <f t="shared" si="1032"/>
        <v>0</v>
      </c>
      <c r="CK552" s="170">
        <f t="shared" si="1033"/>
        <v>0</v>
      </c>
      <c r="CL552" s="170">
        <f t="shared" si="1034"/>
        <v>0</v>
      </c>
      <c r="CM552" s="170">
        <f t="shared" si="1035"/>
        <v>0</v>
      </c>
      <c r="CN552" s="170">
        <f t="shared" si="1036"/>
        <v>0</v>
      </c>
      <c r="CO552" s="170">
        <f t="shared" si="1037"/>
        <v>0</v>
      </c>
      <c r="CP552" s="170">
        <f t="shared" si="1038"/>
        <v>0</v>
      </c>
      <c r="CQ552" s="170">
        <f t="shared" si="1039"/>
        <v>0</v>
      </c>
      <c r="CR552" s="170">
        <f t="shared" si="1040"/>
        <v>0</v>
      </c>
      <c r="CS552" s="170">
        <f t="shared" si="1041"/>
        <v>0</v>
      </c>
      <c r="CT552" s="75">
        <f t="shared" si="1042"/>
        <v>0</v>
      </c>
      <c r="CU552" s="76">
        <f t="shared" si="1043"/>
        <v>0</v>
      </c>
      <c r="CV552" s="76">
        <f t="shared" si="1044"/>
        <v>0</v>
      </c>
      <c r="CW552" s="76">
        <f t="shared" si="1045"/>
        <v>0</v>
      </c>
      <c r="CX552" s="76">
        <f t="shared" si="1046"/>
        <v>0</v>
      </c>
      <c r="CY552" s="76">
        <f t="shared" si="1047"/>
        <v>0</v>
      </c>
      <c r="CZ552" s="76">
        <f t="shared" si="1048"/>
        <v>0</v>
      </c>
      <c r="DA552" s="76">
        <f t="shared" si="1049"/>
        <v>0</v>
      </c>
      <c r="DB552" s="76">
        <f t="shared" si="1050"/>
        <v>0</v>
      </c>
      <c r="DC552" s="76">
        <f t="shared" si="1051"/>
        <v>0</v>
      </c>
      <c r="DD552" s="76">
        <f t="shared" si="1052"/>
        <v>0</v>
      </c>
      <c r="DE552" s="77">
        <f t="shared" si="1053"/>
        <v>0</v>
      </c>
      <c r="DF552" s="73">
        <f t="shared" si="1056"/>
        <v>33</v>
      </c>
      <c r="DG552" s="67">
        <f t="shared" si="1057"/>
        <v>43.031999999999989</v>
      </c>
      <c r="DH552" s="76">
        <f t="shared" si="1058"/>
        <v>13</v>
      </c>
      <c r="DI552" s="67">
        <f t="shared" si="1059"/>
        <v>56.05</v>
      </c>
      <c r="DJ552" s="202" t="str">
        <f>IF($D550="","",$D550)</f>
        <v>16</v>
      </c>
      <c r="DK552" s="493"/>
    </row>
    <row r="553" spans="1:115" ht="14.5" customHeight="1" x14ac:dyDescent="0.2">
      <c r="A553" s="459">
        <f>$A550+1</f>
        <v>184</v>
      </c>
      <c r="B553" s="507" t="str">
        <f>IF(OR(C553="W",C554="W",C555="W",C553="1/2W",C554="1/2W",C555="1/2W",C553="1/2L",C554="1/2L",C555="1/2L"),"OK",IF(OR(C553="L",C554="L",C555="L"),"LOSS",IF(OR(C553="X",C554="X",C555="X"),"Anulado"," ")))</f>
        <v>OK</v>
      </c>
      <c r="C553" s="93" t="s">
        <v>55</v>
      </c>
      <c r="D553" s="468" t="str">
        <f>IF(G553="","",$D550)</f>
        <v>16</v>
      </c>
      <c r="E553" s="485" t="str">
        <f>IF(G553=""," ","– "&amp;COUNTIF(D$4:D555,$D553))</f>
        <v>– 16</v>
      </c>
      <c r="F553" s="509" t="str">
        <f ca="1">IF(G553="","",IF(OR(AND($C553&lt;&gt;" ",$C554=" "),AND($C554&lt;&gt;" ",$C553=" "),AND(L555&gt;0,OR(AND($C555&lt;&gt;" ",OR($C553=" ",$C554=" ")),AND($C555=" ",OR($C553&lt;&gt;" ",$C554&lt;&gt;" "))))),IF(SUM(F$4:F552)=0,1,LARGE(F$4:F552,1)+1),IF(MONTH(G553)=MONTH(TODAY()),IF(AND(DAY(G553)&lt;DAY(TODAY()),$B553=" "),IF(SUM(F$4:F552)=0,1,LARGE(F$4:F552,1)+1),IF($B553=" ",IF(AND(DAY(G553)=DAY(TODAY()),HOUR(G553)&lt;=HOUR(NOW())+1),IF(AND(HOUR(G553)+2&lt;=HOUR(NOW()),DAY(G553)&lt;=DAY(TODAY()),MINUTE(G553)&lt;=MINUTE(NOW())),IF(SUM(F$4:F552)=0,1,LARGE(F$4:F552,1)+1),IF(OR(MINUTE(G553)&lt;=MINUTE(NOW()),HOUR(G553)&lt;=HOUR(NOW())),"!!!","")),""),"")),"")))</f>
        <v/>
      </c>
      <c r="G553" s="482">
        <v>45001.614583333336</v>
      </c>
      <c r="H553" s="475" t="s">
        <v>208</v>
      </c>
      <c r="I553" s="94" t="s">
        <v>67</v>
      </c>
      <c r="J553" s="95">
        <v>-1</v>
      </c>
      <c r="K553" s="96" t="s">
        <v>36</v>
      </c>
      <c r="L553" s="97">
        <v>5.5</v>
      </c>
      <c r="M553" s="98">
        <v>2.91</v>
      </c>
      <c r="N553" s="478">
        <v>0</v>
      </c>
      <c r="O553" s="99">
        <f>IF(OR(AE553="",AE554=""),"",ROUND(IF(L555&gt;0,IF(M553&gt;0,M553,IF(M554&gt;0,ROUND((M554*AE553)/AE554,IF(N553=0,2,IF(N553=0.1,1,0))),ROUND((M555*AE553)/AE555,IF(N553=0,2,IF(N553=0.1,1,0))))),IF(M553&gt;0,M553,ROUND((M554*AE553)/AE554,IF(N553=0,2,IF(N553=0.1,1,0))))),2))</f>
        <v>2.91</v>
      </c>
      <c r="P553" s="100">
        <f>IF(OR(L553="",O553=""),"",IF($C553="1/2W",O553/2+O553/2*L553,IF($C553="1/2L",O553/2,IF(I553="Lay",(O553*(L553/(L553-1))-O553)*(1-_xlfn.XLOOKUP(K553,'Fevereiro 2023 - Valor Real'!A3:A15,'Fevereiro 2023 - Valor Real'!C3:C15,0))+O553,(O553*L553-O553)*(1-_xlfn.XLOOKUP(K553,'Fevereiro 2023 - Valor Real'!A3:A15,'Fevereiro 2023 - Valor Real'!C3:C15,0))+O553))))</f>
        <v>16.005000000000003</v>
      </c>
      <c r="Q553" s="101">
        <f>IF(K553="","",IF(_xlfn.XLOOKUP(K553,K$4:K552,$DJ$4:DJ552,0,,-1)=DJ553,_xlfn.XLOOKUP(K553,K$4:K552,Q$4:Q552,1,,-1)+1,1))</f>
        <v>1</v>
      </c>
      <c r="R553" s="102">
        <f>IF(K553="","",_xlfn.XLOOKUP(K553,K$4:K552,R$4:R552,0,,-1)+IF($C553=" ",1,0))</f>
        <v>0</v>
      </c>
      <c r="S553" s="474">
        <f>IF($B553="Anulado",0,ROUND(IF(OR($B553="LOSS",$B553="OK"),IF(OR($C553="W",$C553="1/2W",$C553="1/2L"),P553-O553,IF($C553="L",-O553,0))+IF(OR($C554="W",$C554="1/2W",$C554="1/2L"),P554-O554,IF($C554="L",-O554,0))+IF(OR($C555="W",$C555="1/2W",$C555="1/2L"),P555-O555,IF($C555="L",-O555,0)),IF(AND(OR($C553="W",$C553="1/2W",$C553="1/2L"),C554="W"),P553+P554-SUM(O553:O555)+_xlfn.XLOOKUP("X",C553:C555,O553:O555,0),IF(AND(C553=TRUE,C555="W"),P553+P555-SUM(O553:O555),IF(AND(C554="W",C555="W"),P554+P555-SUM(O553:O555)+_xlfn.XLOOKUP("X",C553:C555,O553:O555,0),IF(L555&gt;0,IF(OR($C553="W",$C553="1/2W",$C553="1/2L"),P553-SUM(O553:O555)+_xlfn.XLOOKUP("X",C553:C555,O553:O555,0),IF(OR($C553="W",$C553="1/2W",$C553="1/2L"),P554-SUM(O553:O555)+_xlfn.XLOOKUP("X",C553:C555,O553:O555,0),IF(OR($C553="W",$C553="1/2W",$C553="1/2L"),P555-SUM(O553:O555)+_xlfn.XLOOKUP("X",C553:C555,O553:O555,0),IF(SUM(P553:P555)/3-SUM(O553:O555)+_xlfn.XLOOKUP("X",C553:C555,O553:O555,0)&gt;0,SUM(P553:P555)/3-SUM(O553:O555)+_xlfn.XLOOKUP("X",C553:C555,O553:O555,0),LARGE(P553:P555,1)-SUM(O553:O555))))),IF(OR($C553="W",$C553="1/2W",$C553="1/2L"),P553-SUM(O553:O554)+_xlfn.XLOOKUP("X",C553:C555,O553:O555,0),IF(OR($C553="W",$C553="1/2W",$C553="1/2L"),P554-SUM(O553:O554)+_xlfn.XLOOKUP("X",C553:C555,O553:O555,0),SUM(P553:P554)/2-SUM(O553:O554)+_xlfn.XLOOKUP("X",C553:C555,O553:O555,0)))))))),2))</f>
        <v>1.47</v>
      </c>
      <c r="T553" s="458">
        <f>IF(S553=0,0,S553/SUM(O553:O555))</f>
        <v>6.9176470588235298E-2</v>
      </c>
      <c r="U553" s="470">
        <f>IF($D553=$D550,IF(OR($B553="LOSS",$B553="OK",$B553="Anulada"),S553,0)+U550,IF(OR($B553="LOSS",$B553="OK",$B553="Anulada"),S553,0))</f>
        <v>29.969999999999995</v>
      </c>
      <c r="V553" s="470">
        <f>IF($D553="",0,IF($D553=$D550,IF($B553=" ",IF(I555="",IF(OR(AND(I553="DNB1",I554="DNB2"),AND(OR(I553="DNB1",I553="DNB2"),J554=0),AND(OR(I554="DNB1",I554="DNB2"),J553=0),AND(I553="DNB2",I554="DNB1"),AND(IF(J553=0,(J553+1)/ROUND(J553+1,0),J553/ROUND(J553,0))=1,IF(J554=0,(J554+1)/ROUND(IF(J554="",0,J554)+1,0),IF(J554="",0,J554)/ROUND(IF(J554="",1,J554),0))=1,OR(J553&lt;&gt;""),J554&lt;&gt;"")),0,IF(S553&lt;0,IF(I555="",SMALL(P553:P554,1)-SUM(O553:O554),0),SMALL(P553:P554,1)-SUM(O553:O554))),IF(S553&lt;0,IF(I555="",SMALL(P553:P555,1)-SUM(O553:O555),0),LARGE(P553:P555,1)-SUM(O553:O555))),S553)+V550,IF(I555="",IF(OR(AND(I553="DNB1",I554="DNB2"),AND(OR(I553="DNB1",I553="DNB2"),J554=0),AND(OR(I554="DNB1",I554="DNB2"),J553=0),AND(I553="DNB2",I554="DNB1"),AND(IF(J553=0,(J553+1)/ROUND(J553+1,0),J553/ROUND(J553,0))=1,IF(J554=0,(IF(J554="",0,J554)+1)/ROUND(IF(J554="",0,J554)+1,0),IF(J554="",0,J554)/ROUND(IF(J554="",0,J554)+1,0))=1,OR(J553&lt;&gt;""),J554&lt;&gt;"")),0,IF(S553&lt;0,IF(I555="",SMALL(P553:P554,1)-SUM(O553:O554),0),SMALL(P553:P555,1)-SUM(O553:O555))),IF(S553&lt;0,IF(I555="",SMALL(P553:P555,1)-SUM(O553:O555),0),LARGE(P553:P555,1)-SUM(O553:O555)))))</f>
        <v>29.965199999999992</v>
      </c>
      <c r="W553" s="470">
        <f>IF($D553=$D550,IF(S553&lt;0,IF(I555="",S553,0),S553)+W550,S553)</f>
        <v>29.969999999999995</v>
      </c>
      <c r="X553" s="480" t="str">
        <f>IF(OR(SUM(R553:R555)=0,V553=W553),ROUND(IF(W553=0,0,W553/Y553)*100,2)&amp;"%",ROUND(IF(V553=0,0,V553/Y553)*100,2)&amp;"% a "&amp;ROUND(IF(W553=0,0,W553/Y553)*100,2)&amp;"%")</f>
        <v>6,81%</v>
      </c>
      <c r="Y553" s="471">
        <f>IF($D553=$D550,Y550+SUM(O553:O555),SUM(O553:O555))</f>
        <v>439.87999999999994</v>
      </c>
      <c r="Z553" s="470">
        <f>IF($B553=" ",SUM(O553:O555),0)+Z550</f>
        <v>0</v>
      </c>
      <c r="AA553" s="470">
        <f>IF(G553="","",IF($B553="Anulado",LARGE(P553:P555,1)-SUM(O553:O555)+AA550,AA550))</f>
        <v>12.425099999999992</v>
      </c>
      <c r="AB553" s="470">
        <f>IF($D553="","",AB550+S553)</f>
        <v>628.0700000000005</v>
      </c>
      <c r="AC553" s="472">
        <f ca="1">IF($D553="","",IF($B553=" ",IF(DAY(G553)=DAY(TODAY()),1+AC550,0+AC550),0+AC550))</f>
        <v>0</v>
      </c>
      <c r="AD553" s="103">
        <f>(((L554/(L554-1)-1)*(1-_xlfn.XLOOKUP(K554,'Fevereiro 2023 - Valor Real'!A3:A15,'Fevereiro 2023 - Valor Real'!C3:C15,0))+1))/(((L553-1)*(1-_xlfn.XLOOKUP(K553,'Fevereiro 2023 - Valor Real'!A3:A15,'Fevereiro 2023 - Valor Real'!C3:C15,0))+1)+((L554/(L554-1)-1)*(1-_xlfn.XLOOKUP(K554,'Fevereiro 2023 - Valor Real'!A3:A15,'Fevereiro 2023 - Valor Real'!C3:C15,0))+1))</f>
        <v>0.21800947867298581</v>
      </c>
      <c r="AE553" s="104">
        <f>IF(L553="","",IF(L555&gt;0,(SUM(((L553-1)*(1-_xlfn.XLOOKUP(K553,'Fevereiro 2023 - Valor Real'!A3:A15,'Fevereiro 2023 - Valor Real'!C3:C15,0))+1),((L554-1)*(1-_xlfn.XLOOKUP(K554,'Fevereiro 2023 - Valor Real'!A3:A15,'Fevereiro 2023 - Valor Real'!C3:C15,0))+1),((L555-1)*(1-_xlfn.XLOOKUP(K555,'Fevereiro 2023 - Valor Real'!A3:A15,'Fevereiro 2023 - Valor Real'!C3:C15,0))+1))/((L553-1)*(1-_xlfn.XLOOKUP(K553,'Fevereiro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Real'!C3:C15,0))+1))/((L553-1)*(1-_xlfn.XLOOKUP(K553,'Fevereiro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Real'!C3:C15,0))+1))/((L554-1)*(1-_xlfn.XLOOKUP(K554,'Fevereiro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Real'!C3:C15,0))+1))/((L555-1)*(1-_xlfn.XLOOKUP(K555,'Fevereiro 2023 - Valor Real'!A3:A15,'Fevereiro 2023 - Valor Real'!C3:C15,0))+1)),IF(I553="Lay",IF(I554="Lay",((L554/(L554-1)-1)*(1-_xlfn.XLOOKUP(K554,'Fevereiro 2023 - Valor Real'!A3:A15,'Fevereiro 2023 - Valor Real'!C3:C15,0))+1)/(((L554/(L554-1)-1)*(1-_xlfn.XLOOKUP(K554,'Fevereiro 2023 - Valor Real'!A3:A15,'Fevereiro 2023 - Valor Real'!C3:C15,0))+1)+((L553/(L553-1)-1)*(1-_xlfn.XLOOKUP(K553,'Fevereiro 2023 - Valor Real'!A3:A15,'Fevereiro 2023 - Valor Real'!C3:C15,0))+1)),((L554-1)*(1-_xlfn.XLOOKUP(K554,'Fevereiro 2023 - Valor Real'!A3:A15,'Fevereiro 2023 - Valor Real'!C3:C15,0))+1)/(((L554-1)*(1-_xlfn.XLOOKUP(K554,'Fevereiro 2023 - Valor Real'!A3:A15,'Fevereiro 2023 - Valor Real'!C3:C15,0))+1)+((L553/(L553-1)-1)*(1-_xlfn.XLOOKUP(K553,'Fevereiro 2023 - Valor Real'!A3:A15,'Fevereiro 2023 - Valor Real'!C3:C15,0))+1))),IF(I554="Lay",(((L554/(L554-1)-1)*(1-_xlfn.XLOOKUP(K554,'Fevereiro 2023 - Valor Real'!A3:A15,'Fevereiro 2023 - Valor Real'!C3:C15,0))+1))/(((L553-1)*(1-_xlfn.XLOOKUP(K553,'Fevereiro 2023 - Valor Real'!A3:A15,'Fevereiro 2023 - Valor Real'!C3:C15,0))+1)+((L554/(L554-1)-1)*(1-_xlfn.XLOOKUP(K554,'Fevereiro 2023 - Valor Real'!A3:A15,'Fevereiro 2023 - Valor Real'!C3:C15,0))+1)),((L554-1)*(1-_xlfn.XLOOKUP(K554,'Fevereiro 2023 - Valor Real'!A3:A15,'Fevereiro 2023 - Valor Real'!C3:C15,0))+1)/(((L554-1)*(1-_xlfn.XLOOKUP(K554,'Fevereiro 2023 - Valor Real'!A3:A15,'Fevereiro 2023 - Valor Real'!C3:C15,0))+1)+((L553-1)*(1-_xlfn.XLOOKUP(K553,'Fevereiro 2023 - Valor Real'!A3:A15,'Fevereiro 2023 - Valor Real'!C3:C15,0))+1))))))</f>
        <v>0.1473560729110269</v>
      </c>
      <c r="AF553" s="105">
        <f t="shared" si="1098"/>
        <v>-2.91</v>
      </c>
      <c r="AG553" s="106">
        <f t="shared" si="1098"/>
        <v>0</v>
      </c>
      <c r="AH553" s="106">
        <f t="shared" si="1098"/>
        <v>0</v>
      </c>
      <c r="AI553" s="106">
        <f t="shared" si="1098"/>
        <v>0</v>
      </c>
      <c r="AJ553" s="106">
        <f t="shared" si="1098"/>
        <v>0</v>
      </c>
      <c r="AK553" s="106">
        <f t="shared" si="1098"/>
        <v>0</v>
      </c>
      <c r="AL553" s="106">
        <f t="shared" si="1098"/>
        <v>0</v>
      </c>
      <c r="AM553" s="106">
        <f t="shared" si="1098"/>
        <v>0</v>
      </c>
      <c r="AN553" s="106">
        <f t="shared" si="1098"/>
        <v>0</v>
      </c>
      <c r="AO553" s="106">
        <f t="shared" si="1098"/>
        <v>0</v>
      </c>
      <c r="AP553" s="106">
        <f t="shared" si="1098"/>
        <v>0</v>
      </c>
      <c r="AQ553" s="106">
        <f t="shared" si="1098"/>
        <v>0</v>
      </c>
      <c r="AR553" s="107">
        <f t="shared" si="1098"/>
        <v>0</v>
      </c>
      <c r="AS553" s="105">
        <f t="shared" ref="AS553:BE553" si="1112">IF(AND($B553=" ",$K553=AS$3),$O553,0)</f>
        <v>0</v>
      </c>
      <c r="AT553" s="106">
        <f t="shared" si="1112"/>
        <v>0</v>
      </c>
      <c r="AU553" s="106">
        <f t="shared" si="1112"/>
        <v>0</v>
      </c>
      <c r="AV553" s="106">
        <f t="shared" si="1112"/>
        <v>0</v>
      </c>
      <c r="AW553" s="106">
        <f t="shared" si="1112"/>
        <v>0</v>
      </c>
      <c r="AX553" s="106">
        <f t="shared" si="1112"/>
        <v>0</v>
      </c>
      <c r="AY553" s="108">
        <f t="shared" si="1112"/>
        <v>0</v>
      </c>
      <c r="AZ553" s="109">
        <f t="shared" si="1112"/>
        <v>0</v>
      </c>
      <c r="BA553" s="109">
        <f t="shared" si="1112"/>
        <v>0</v>
      </c>
      <c r="BB553" s="109">
        <f t="shared" si="1112"/>
        <v>0</v>
      </c>
      <c r="BC553" s="110">
        <f t="shared" si="1112"/>
        <v>0</v>
      </c>
      <c r="BD553" s="106">
        <f t="shared" si="1112"/>
        <v>0</v>
      </c>
      <c r="BE553" s="107">
        <f t="shared" si="1112"/>
        <v>0</v>
      </c>
      <c r="BF553" s="111">
        <f t="shared" si="1100"/>
        <v>2.91</v>
      </c>
      <c r="BG553" s="106">
        <f t="shared" si="1100"/>
        <v>0</v>
      </c>
      <c r="BH553" s="106">
        <f t="shared" si="1100"/>
        <v>0</v>
      </c>
      <c r="BI553" s="106">
        <f t="shared" si="1100"/>
        <v>0</v>
      </c>
      <c r="BJ553" s="106">
        <f t="shared" si="1100"/>
        <v>0</v>
      </c>
      <c r="BK553" s="106">
        <f t="shared" si="1100"/>
        <v>0</v>
      </c>
      <c r="BL553" s="106">
        <f t="shared" si="1100"/>
        <v>0</v>
      </c>
      <c r="BM553" s="108">
        <f t="shared" si="1100"/>
        <v>0</v>
      </c>
      <c r="BN553" s="109">
        <f t="shared" si="1100"/>
        <v>0</v>
      </c>
      <c r="BO553" s="109">
        <f t="shared" si="1100"/>
        <v>0</v>
      </c>
      <c r="BP553" s="109">
        <f t="shared" si="1100"/>
        <v>0</v>
      </c>
      <c r="BQ553" s="110">
        <f t="shared" si="1100"/>
        <v>0</v>
      </c>
      <c r="BR553" s="107">
        <f t="shared" si="1100"/>
        <v>0</v>
      </c>
      <c r="BS553" s="463">
        <f>IF($B553="LOSS",IF(AND($K553=BS$3,$C553="L"),-$O553,0)+IF(AND($K554=BS$3,$C554="L"),-$O554,0)+IF(AND($K555=BS$3,$C555="L"),-$O555,0),IF(OR(AND($K553=BS$3,OR($C553="W",$C553="1/2W")),AND($K554=BS$3,OR($C554="W",$C554="1/2W")),AND($K555=BS$3,OR($C555="W",$C555="1/2W"))),$S553,0))</f>
        <v>0</v>
      </c>
      <c r="BT553" s="462">
        <f>IF($B553="LOSS",IF(AND($K553=BT$3,$C553="L"),-$O553,0)+IF(AND($K554=BT$3,$C554="L"),-$O554,0)+IF(AND($K554=BT$3,$C555="L"),-$O555,0),IF(OR(AND($K554=BT$3,OR($C553="W",$C553="1/2W")),AND($K554=BT$3,OR($C554="W",$C554="1/2W")),AND($K554=BT$3,OR($C555="W",$C555="1/2W"))),$S553,0))</f>
        <v>0</v>
      </c>
      <c r="BU553" s="462">
        <f>IF($B553="LOSS",IF(AND($K553=BU$3,$C553="L"),-$O553,0)+IF(AND($K554=BU$3,$C554="L"),-$O554,0)+IF(AND($K554=BU$3,$C555="L"),-$O555,0),IF(OR(AND($K554=BU$3,OR($C553="W",$C553="1/2W")),AND($K554=BU$3,OR($C554="W",$C554="1/2W")),AND($K554=BU$3,OR($C555="W",$C555="1/2W"))),$S553,0))</f>
        <v>0</v>
      </c>
      <c r="BV553" s="462">
        <f t="shared" ref="BV553:CE553" si="1113">IF($B553="LOSS",IF(AND($K553=BV$3,$C553="L"),-$O553,0)+IF(AND($K554=BV$3,$C554="L"),-$O554,0)+IF(AND($K555=BV$3,$C555="L"),-$O555,0),IF(OR(AND($K553=BV$3,OR($C553="W",$C553="1/2W")),AND($K554=BV$3,OR($C554="W",$C554="1/2W")),AND($K555=BV$3,OR($C555="W",$C555="1/2W"))),$S553,0))</f>
        <v>0</v>
      </c>
      <c r="BW553" s="462">
        <f t="shared" si="1113"/>
        <v>1.47</v>
      </c>
      <c r="BX553" s="462">
        <f t="shared" si="1113"/>
        <v>0</v>
      </c>
      <c r="BY553" s="462">
        <f t="shared" si="1113"/>
        <v>0</v>
      </c>
      <c r="BZ553" s="460">
        <f t="shared" si="1113"/>
        <v>0</v>
      </c>
      <c r="CA553" s="460">
        <f t="shared" si="1113"/>
        <v>0</v>
      </c>
      <c r="CB553" s="460">
        <f t="shared" si="1113"/>
        <v>0</v>
      </c>
      <c r="CC553" s="460">
        <f t="shared" si="1113"/>
        <v>0</v>
      </c>
      <c r="CD553" s="473">
        <f t="shared" si="1113"/>
        <v>0</v>
      </c>
      <c r="CE553" s="479">
        <f t="shared" si="1113"/>
        <v>0</v>
      </c>
      <c r="CF553" s="113">
        <f t="shared" si="1028"/>
        <v>0</v>
      </c>
      <c r="CG553" s="114">
        <f t="shared" si="1029"/>
        <v>1</v>
      </c>
      <c r="CH553" s="114">
        <f t="shared" si="1030"/>
        <v>0</v>
      </c>
      <c r="CI553" s="114">
        <f t="shared" si="1031"/>
        <v>0</v>
      </c>
      <c r="CJ553" s="114">
        <f t="shared" si="1032"/>
        <v>0</v>
      </c>
      <c r="CK553" s="114">
        <f t="shared" si="1033"/>
        <v>0</v>
      </c>
      <c r="CL553" s="114">
        <f t="shared" si="1034"/>
        <v>0</v>
      </c>
      <c r="CM553" s="114">
        <f t="shared" si="1035"/>
        <v>0</v>
      </c>
      <c r="CN553" s="114">
        <f t="shared" si="1036"/>
        <v>0</v>
      </c>
      <c r="CO553" s="114">
        <f t="shared" si="1037"/>
        <v>0</v>
      </c>
      <c r="CP553" s="114">
        <f t="shared" si="1038"/>
        <v>0</v>
      </c>
      <c r="CQ553" s="114">
        <f t="shared" si="1039"/>
        <v>0</v>
      </c>
      <c r="CR553" s="114">
        <f t="shared" si="1040"/>
        <v>0</v>
      </c>
      <c r="CS553" s="114">
        <f t="shared" si="1041"/>
        <v>0</v>
      </c>
      <c r="CT553" s="115">
        <f t="shared" si="1042"/>
        <v>0</v>
      </c>
      <c r="CU553" s="116">
        <f t="shared" si="1043"/>
        <v>0</v>
      </c>
      <c r="CV553" s="116">
        <f t="shared" si="1044"/>
        <v>0</v>
      </c>
      <c r="CW553" s="116">
        <f t="shared" si="1045"/>
        <v>0</v>
      </c>
      <c r="CX553" s="116">
        <f t="shared" si="1046"/>
        <v>0</v>
      </c>
      <c r="CY553" s="116">
        <f t="shared" si="1047"/>
        <v>0</v>
      </c>
      <c r="CZ553" s="116">
        <f t="shared" si="1048"/>
        <v>0</v>
      </c>
      <c r="DA553" s="116">
        <f t="shared" si="1049"/>
        <v>0</v>
      </c>
      <c r="DB553" s="116">
        <f t="shared" si="1050"/>
        <v>0</v>
      </c>
      <c r="DC553" s="116">
        <f t="shared" si="1051"/>
        <v>0</v>
      </c>
      <c r="DD553" s="116">
        <f t="shared" si="1052"/>
        <v>0</v>
      </c>
      <c r="DE553" s="117">
        <f t="shared" si="1053"/>
        <v>0</v>
      </c>
      <c r="DF553" s="118">
        <f t="shared" si="1056"/>
        <v>33</v>
      </c>
      <c r="DG553" s="106">
        <f t="shared" si="1057"/>
        <v>43.031999999999989</v>
      </c>
      <c r="DH553" s="116">
        <f t="shared" si="1058"/>
        <v>13</v>
      </c>
      <c r="DI553" s="106">
        <f t="shared" si="1059"/>
        <v>56.05</v>
      </c>
      <c r="DJ553" s="201" t="str">
        <f>IF($D553="","",$D553)</f>
        <v>16</v>
      </c>
      <c r="DK553" s="465">
        <f>IF(AND($B553=" ",$D553&lt;&gt;""),1,0)</f>
        <v>0</v>
      </c>
    </row>
    <row r="554" spans="1:115" ht="14.5" customHeight="1" x14ac:dyDescent="0.2">
      <c r="A554" s="389"/>
      <c r="B554" s="456"/>
      <c r="C554" s="120" t="s">
        <v>55</v>
      </c>
      <c r="D554" s="374"/>
      <c r="E554" s="386"/>
      <c r="F554" s="377"/>
      <c r="G554" s="483"/>
      <c r="H554" s="476"/>
      <c r="I554" s="121" t="s">
        <v>67</v>
      </c>
      <c r="J554" s="122">
        <v>0</v>
      </c>
      <c r="K554" s="123" t="s">
        <v>36</v>
      </c>
      <c r="L554" s="124">
        <v>2.875</v>
      </c>
      <c r="M554" s="125">
        <v>2.34</v>
      </c>
      <c r="N554" s="406"/>
      <c r="O554" s="126">
        <f>IF(OR(AE553="",AE554=""),"",ROUND(IF(L555&gt;0,IF(M554&gt;0,M554,IF(M553&gt;0,IF(N553=TRUE,ROUND((M553*AE554)/AE553,0),(M553*AE554)/AE553),IF(M554&gt;0,ROUND(M554,IF(N553=0,2,IF(N553=0.1,1,0))),IF(M555&gt;0,ROUND(O555*AE554/AE555,IF(N553=0,2,IF(N553=0.1,1,0))),0)))),IF(M554&gt;0,M554,ROUND((M553*AE554)/AE553,IF(N553=0,2,IF(N553=0.1,1,0))))),2))</f>
        <v>2.34</v>
      </c>
      <c r="P554" s="127">
        <f>IF(OR(L554="",O554=""),"",IF($C554="1/2W",O554/2+O554/2*L554,IF($C554="1/2L",O554/2,IF(I554="Lay",((O554*(L554/(L554-1)))-O554)*(1-_xlfn.XLOOKUP(K554,'Fevereiro 2023 - Valor Real'!A3:A15,'Fevereiro 2023 - Valor Real'!C3:C15,0))+O554,(O554*L554-O554)*(1-_xlfn.XLOOKUP(K554,'Fevereiro 2023 - Valor Real'!A3:A15,'Fevereiro 2023 - Valor Real'!C3:C15,0))+O554))))</f>
        <v>6.7274999999999991</v>
      </c>
      <c r="Q554" s="128">
        <f>IF(K554="","",IF(_xlfn.XLOOKUP(K554,K$4:K553,$DJ$4:DJ553,0,,-1)=DJ554,_xlfn.XLOOKUP(K554,K$4:K553,Q$4:Q553,1,,-1)+1,1))</f>
        <v>2</v>
      </c>
      <c r="R554" s="129">
        <f>IF(K554="","",_xlfn.XLOOKUP(K554,K$4:K553,R$4:R553,0,,-1)+IF($C554=" ",1,0))</f>
        <v>0</v>
      </c>
      <c r="S554" s="403"/>
      <c r="T554" s="380"/>
      <c r="U554" s="380"/>
      <c r="V554" s="481"/>
      <c r="W554" s="380"/>
      <c r="X554" s="452"/>
      <c r="Y554" s="383"/>
      <c r="Z554" s="384"/>
      <c r="AA554" s="384"/>
      <c r="AB554" s="384"/>
      <c r="AC554" s="384"/>
      <c r="AD554" s="130">
        <f>(((L554/(L554-1)-1)*(1-_xlfn.XLOOKUP(K554,'Fevereiro 2023 - Valor Real'!A3:A15,'Fevereiro 2023 - Valor Real'!C3:C15,0))+1))</f>
        <v>1.5333333333333334</v>
      </c>
      <c r="AE554" s="131">
        <f>IF(L554="","",IF(L555&gt;0,(SUM(((L553-1)*(1-_xlfn.XLOOKUP(K553,'Fevereiro 2023 - Valor Real'!A3:A15,'Fevereiro 2023 - Valor Real'!C3:C15,0))+1),((L554-1)*(1-_xlfn.XLOOKUP(K554,'Fevereiro 2023 - Valor Real'!A3:A15,'Fevereiro 2023 - Valor Real'!C3:C15,0))+1),((L555-1)*(1-_xlfn.XLOOKUP(K555,'Fevereiro 2023 - Valor Real'!A3:A15,'Fevereiro 2023 - Valor Real'!C3:C15,0))+1))/((L554-1)*(1-_xlfn.XLOOKUP(K554,'Fevereiro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Real'!C3:C15,0))+1))/((L553-1)*(1-_xlfn.XLOOKUP(K553,'Fevereiro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Real'!C3:C15,0))+1))/((L554-1)*(1-_xlfn.XLOOKUP(K554,'Fevereiro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Real'!C3:C15,0))+1))/((L555-1)*(1-_xlfn.XLOOKUP(K555,'Fevereiro 2023 - Valor Real'!A3:A15,'Fevereiro 2023 - Valor Real'!C3:C15,0))+1)),IF(I554="Lay",IF(I553="Lay",((L553/(L553-1)-1)*(1-_xlfn.XLOOKUP(K553,'Fevereiro 2023 - Valor Real'!A3:A15,'Fevereiro 2023 - Valor Real'!C3:C15,0))+1)/(((L553/(L553-1)-1)*(1-_xlfn.XLOOKUP(K553,'Fevereiro 2023 - Valor Real'!A3:A15,'Fevereiro 2023 - Valor Real'!C3:C15,0))+1)+((L554/(L554-1)-1)*(1-_xlfn.XLOOKUP(K554,'Fevereiro 2023 - Valor Real'!A3:A15,'Fevereiro 2023 - Valor Real'!C3:C15,0))+1)),((L553-1)*(1-_xlfn.XLOOKUP(K553,'Fevereiro 2023 - Valor Real'!A3:A15,'Fevereiro 2023 - Valor Real'!C3:C15,0))+1)/(((L553-1)*(1-_xlfn.XLOOKUP(K553,'Fevereiro 2023 - Valor Real'!A3:A15,'Fevereiro 2023 - Valor Real'!C3:C15,0))+1)+((L554/(L554-1)-1)*(1-_xlfn.XLOOKUP(K554,'Fevereiro 2023 - Valor Real'!A3:A15,'Fevereiro 2023 - Valor Real'!C3:C15,0))+1))),IF(I553="Lay",((L553/(L553-1)-1)*(1-_xlfn.XLOOKUP(K553,'Fevereiro 2023 - Valor Real'!A3:A15,'Fevereiro 2023 - Valor Real'!C3:C15,0))+1)/((((L553/(L553-1)-1)*(1-_xlfn.XLOOKUP(K553,'Fevereiro 2023 - Valor Real'!A3:A15,'Fevereiro 2023 - Valor Real'!C3:C15,0))+1))+((L554-1)*(1-_xlfn.XLOOKUP(K554,'Fevereiro 2023 - Valor Real'!A3:A15,'Fevereiro 2023 - Valor Real'!C3:C15,0))+1)),((L553-1)*(1-_xlfn.XLOOKUP(K553,'Fevereiro 2023 - Valor Real'!A3:A15,'Fevereiro 2023 - Valor Real'!C3:C15,0))+1)/(((L553-1)*(1-_xlfn.XLOOKUP(K553,'Fevereiro 2023 - Valor Real'!A3:A15,'Fevereiro 2023 - Valor Real'!C3:C15,0))+1)+((L554-1)*(1-_xlfn.XLOOKUP(K554,'Fevereiro 2023 - Valor Real'!A3:A15,'Fevereiro 2023 - Valor Real'!C3:C15,0))+1))))))</f>
        <v>0.28189857426457315</v>
      </c>
      <c r="AF554" s="105">
        <f t="shared" ref="AF554:AR563" si="1114">IF($K554=AF$3,ROUND(IF(OR($C554="W",$C554="1/2W",$C554="1/2L"),$P554-$O554,IF($C554="X",0,-$O554)),2),0)</f>
        <v>-2.34</v>
      </c>
      <c r="AG554" s="106">
        <f t="shared" si="1114"/>
        <v>0</v>
      </c>
      <c r="AH554" s="106">
        <f t="shared" si="1114"/>
        <v>0</v>
      </c>
      <c r="AI554" s="106">
        <f t="shared" si="1114"/>
        <v>0</v>
      </c>
      <c r="AJ554" s="106">
        <f t="shared" si="1114"/>
        <v>0</v>
      </c>
      <c r="AK554" s="106">
        <f t="shared" si="1114"/>
        <v>0</v>
      </c>
      <c r="AL554" s="106">
        <f t="shared" si="1114"/>
        <v>0</v>
      </c>
      <c r="AM554" s="106">
        <f t="shared" si="1114"/>
        <v>0</v>
      </c>
      <c r="AN554" s="106">
        <f t="shared" si="1114"/>
        <v>0</v>
      </c>
      <c r="AO554" s="106">
        <f t="shared" si="1114"/>
        <v>0</v>
      </c>
      <c r="AP554" s="106">
        <f t="shared" si="1114"/>
        <v>0</v>
      </c>
      <c r="AQ554" s="106">
        <f t="shared" si="1114"/>
        <v>0</v>
      </c>
      <c r="AR554" s="107">
        <f t="shared" si="1114"/>
        <v>0</v>
      </c>
      <c r="AS554" s="105">
        <f>IF(AND($B553=" ",$K554=AS$3),$O554,0)</f>
        <v>0</v>
      </c>
      <c r="AT554" s="106">
        <f>IF(AND($B553=" ",K554=AT$3),$O554,0)</f>
        <v>0</v>
      </c>
      <c r="AU554" s="106">
        <f t="shared" ref="AU554:BE554" si="1115">IF(AND($B553=" ",$K554=AU$3),$O554,0)</f>
        <v>0</v>
      </c>
      <c r="AV554" s="106">
        <f t="shared" si="1115"/>
        <v>0</v>
      </c>
      <c r="AW554" s="106">
        <f t="shared" si="1115"/>
        <v>0</v>
      </c>
      <c r="AX554" s="106">
        <f t="shared" si="1115"/>
        <v>0</v>
      </c>
      <c r="AY554" s="108">
        <f t="shared" si="1115"/>
        <v>0</v>
      </c>
      <c r="AZ554" s="109">
        <f t="shared" si="1115"/>
        <v>0</v>
      </c>
      <c r="BA554" s="109">
        <f t="shared" si="1115"/>
        <v>0</v>
      </c>
      <c r="BB554" s="109">
        <f t="shared" si="1115"/>
        <v>0</v>
      </c>
      <c r="BC554" s="110">
        <f t="shared" si="1115"/>
        <v>0</v>
      </c>
      <c r="BD554" s="106">
        <f t="shared" si="1115"/>
        <v>0</v>
      </c>
      <c r="BE554" s="107">
        <f t="shared" si="1115"/>
        <v>0</v>
      </c>
      <c r="BF554" s="105">
        <f t="shared" ref="BF554:BR563" si="1116">IF($K554=BF$3,IF($C554="X",0,$O554),0)</f>
        <v>2.34</v>
      </c>
      <c r="BG554" s="106">
        <f t="shared" si="1116"/>
        <v>0</v>
      </c>
      <c r="BH554" s="106">
        <f t="shared" si="1116"/>
        <v>0</v>
      </c>
      <c r="BI554" s="106">
        <f t="shared" si="1116"/>
        <v>0</v>
      </c>
      <c r="BJ554" s="106">
        <f t="shared" si="1116"/>
        <v>0</v>
      </c>
      <c r="BK554" s="106">
        <f t="shared" si="1116"/>
        <v>0</v>
      </c>
      <c r="BL554" s="106">
        <f t="shared" si="1116"/>
        <v>0</v>
      </c>
      <c r="BM554" s="132">
        <f t="shared" si="1116"/>
        <v>0</v>
      </c>
      <c r="BN554" s="112">
        <f t="shared" si="1116"/>
        <v>0</v>
      </c>
      <c r="BO554" s="112">
        <f t="shared" si="1116"/>
        <v>0</v>
      </c>
      <c r="BP554" s="112">
        <f t="shared" si="1116"/>
        <v>0</v>
      </c>
      <c r="BQ554" s="110">
        <f t="shared" si="1116"/>
        <v>0</v>
      </c>
      <c r="BR554" s="107">
        <f t="shared" si="1116"/>
        <v>0</v>
      </c>
      <c r="BS554" s="464"/>
      <c r="BT554" s="461"/>
      <c r="BU554" s="392"/>
      <c r="BV554" s="461"/>
      <c r="BW554" s="392"/>
      <c r="BX554" s="392"/>
      <c r="BY554" s="392"/>
      <c r="BZ554" s="461"/>
      <c r="CA554" s="392"/>
      <c r="CB554" s="392"/>
      <c r="CC554" s="392"/>
      <c r="CD554" s="401"/>
      <c r="CE554" s="409"/>
      <c r="CF554" s="133">
        <f t="shared" si="1028"/>
        <v>0</v>
      </c>
      <c r="CG554" s="134">
        <f t="shared" si="1029"/>
        <v>1</v>
      </c>
      <c r="CH554" s="134">
        <f t="shared" si="1030"/>
        <v>0</v>
      </c>
      <c r="CI554" s="134">
        <f t="shared" si="1031"/>
        <v>0</v>
      </c>
      <c r="CJ554" s="134">
        <f t="shared" si="1032"/>
        <v>0</v>
      </c>
      <c r="CK554" s="134">
        <f t="shared" si="1033"/>
        <v>0</v>
      </c>
      <c r="CL554" s="134">
        <f t="shared" si="1034"/>
        <v>0</v>
      </c>
      <c r="CM554" s="134">
        <f t="shared" si="1035"/>
        <v>0</v>
      </c>
      <c r="CN554" s="134">
        <f t="shared" si="1036"/>
        <v>0</v>
      </c>
      <c r="CO554" s="134">
        <f t="shared" si="1037"/>
        <v>0</v>
      </c>
      <c r="CP554" s="134">
        <f t="shared" si="1038"/>
        <v>0</v>
      </c>
      <c r="CQ554" s="134">
        <f t="shared" si="1039"/>
        <v>0</v>
      </c>
      <c r="CR554" s="134">
        <f t="shared" si="1040"/>
        <v>0</v>
      </c>
      <c r="CS554" s="134">
        <f t="shared" si="1041"/>
        <v>0</v>
      </c>
      <c r="CT554" s="115">
        <f t="shared" si="1042"/>
        <v>0</v>
      </c>
      <c r="CU554" s="116">
        <f t="shared" si="1043"/>
        <v>0</v>
      </c>
      <c r="CV554" s="116">
        <f t="shared" si="1044"/>
        <v>0</v>
      </c>
      <c r="CW554" s="116">
        <f t="shared" si="1045"/>
        <v>0</v>
      </c>
      <c r="CX554" s="116">
        <f t="shared" si="1046"/>
        <v>0</v>
      </c>
      <c r="CY554" s="116">
        <f t="shared" si="1047"/>
        <v>0</v>
      </c>
      <c r="CZ554" s="116">
        <f t="shared" si="1048"/>
        <v>0</v>
      </c>
      <c r="DA554" s="116">
        <f t="shared" si="1049"/>
        <v>0</v>
      </c>
      <c r="DB554" s="116">
        <f t="shared" si="1050"/>
        <v>0</v>
      </c>
      <c r="DC554" s="116">
        <f t="shared" si="1051"/>
        <v>0</v>
      </c>
      <c r="DD554" s="116">
        <f t="shared" si="1052"/>
        <v>0</v>
      </c>
      <c r="DE554" s="117">
        <f t="shared" si="1053"/>
        <v>0</v>
      </c>
      <c r="DF554" s="118">
        <f t="shared" si="1056"/>
        <v>33</v>
      </c>
      <c r="DG554" s="106">
        <f t="shared" si="1057"/>
        <v>43.031999999999989</v>
      </c>
      <c r="DH554" s="116">
        <f t="shared" si="1058"/>
        <v>13</v>
      </c>
      <c r="DI554" s="106">
        <f t="shared" si="1059"/>
        <v>56.05</v>
      </c>
      <c r="DJ554" s="201" t="str">
        <f>IF($D553="","",$D553)</f>
        <v>16</v>
      </c>
      <c r="DK554" s="466"/>
    </row>
    <row r="555" spans="1:115" ht="14.5" customHeight="1" x14ac:dyDescent="0.2">
      <c r="A555" s="390"/>
      <c r="B555" s="457"/>
      <c r="C555" s="135" t="s">
        <v>54</v>
      </c>
      <c r="D555" s="375"/>
      <c r="E555" s="387"/>
      <c r="F555" s="378"/>
      <c r="G555" s="484"/>
      <c r="H555" s="477"/>
      <c r="I555" s="203" t="s">
        <v>66</v>
      </c>
      <c r="J555" s="204">
        <v>1</v>
      </c>
      <c r="K555" s="193" t="s">
        <v>40</v>
      </c>
      <c r="L555" s="194">
        <v>1.42</v>
      </c>
      <c r="M555" s="140">
        <v>16</v>
      </c>
      <c r="N555" s="407"/>
      <c r="O555" s="195">
        <f>IF(OR(AE553="",AE554=""),"",IF(L555&gt;0,ROUND(IF(M555&gt;0,M555,IF(M553&gt;0,ROUND((M553*AE555)/AE553,IF(N553=0,2,IF(N553=0.1,1,0))),IF(M554&gt;0,ROUND((M554*AE555)/AE554,IF(N553=0,2,IF(N553=0.1,1,0))),IF(M555&gt;0,M555,0)))),2),""))</f>
        <v>16</v>
      </c>
      <c r="P555" s="196">
        <f>IF(I554="Lay",O554*(L554/(L554-1))-O554,IF(I553="Lay",O553*(L553/(L553-1))-O553,IF(OR(L555="",O555=""),"",IF($C555="1/2W",O555/2+O555/2*L555,IF($C555="1/2L",O555/2,(O555*L555-O555)*(1-_xlfn.XLOOKUP(K555,'Fevereiro 2023 - Valor Real'!A3:A15,'Fevereiro 2023 - Valor Real'!C3:C15,0))+O555)))))</f>
        <v>22.72</v>
      </c>
      <c r="Q555" s="197">
        <f>IF(K555="","",IF(_xlfn.XLOOKUP(K555,K$4:K554,$DJ$4:DJ554,0,,-1)=DJ555,_xlfn.XLOOKUP(K555,K$4:K554,Q$4:Q554,1,,-1)+1,1))</f>
        <v>8</v>
      </c>
      <c r="R555" s="198">
        <f>IF(K555="","",_xlfn.XLOOKUP(K555,K$4:K554,R$4:R554,0,,-1)+IF($C555=" ",1,0))</f>
        <v>0</v>
      </c>
      <c r="S555" s="404"/>
      <c r="T555" s="378"/>
      <c r="U555" s="378"/>
      <c r="V555" s="404"/>
      <c r="W555" s="378"/>
      <c r="X555" s="453"/>
      <c r="Y555" s="383"/>
      <c r="Z555" s="384"/>
      <c r="AA555" s="384"/>
      <c r="AB555" s="384"/>
      <c r="AC555" s="384"/>
      <c r="AD555" s="145">
        <f>((L554/(L554-1)-1))</f>
        <v>0.53333333333333344</v>
      </c>
      <c r="AE555" s="199">
        <f>IF(L555="","",(SUM(((L553-1)*(1-_xlfn.XLOOKUP(K553,'Fevereiro 2023 - Valor Real'!A3:A15,'Fevereiro 2023 - Valor Real'!C3:C15,0))+1),((L554-1)*(1-_xlfn.XLOOKUP(K554,'Fevereiro 2023 - Valor Real'!A3:A15,'Fevereiro 2023 - Valor Real'!C3:C15,0))+1),((L555-1)*(1-_xlfn.XLOOKUP(K555,'Fevereiro 2023 - Valor Real'!A3:A15,'Fevereiro 2023 - Valor Real'!C3:C15,0))+1))/((L555-1)*(1-_xlfn.XLOOKUP(K555,'Fevereiro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Real'!C3:C15,0))+1))/((L553-1)*(1-_xlfn.XLOOKUP(K553,'Fevereiro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Real'!C3:C15,0))+1))/((L554-1)*(1-_xlfn.XLOOKUP(K554,'Fevereiro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Real'!C3:C15,0))+1))/((L555-1)*(1-_xlfn.XLOOKUP(K555,'Fevereiro 2023 - Valor Real'!A3:A15,'Fevereiro 2023 - Valor Real'!C3:C15,0))+1)))</f>
        <v>0.57074535282439987</v>
      </c>
      <c r="AF555" s="105">
        <f t="shared" si="1114"/>
        <v>0</v>
      </c>
      <c r="AG555" s="106">
        <f t="shared" si="1114"/>
        <v>0</v>
      </c>
      <c r="AH555" s="106">
        <f t="shared" si="1114"/>
        <v>0</v>
      </c>
      <c r="AI555" s="106">
        <f t="shared" si="1114"/>
        <v>0</v>
      </c>
      <c r="AJ555" s="106">
        <f t="shared" si="1114"/>
        <v>6.72</v>
      </c>
      <c r="AK555" s="106">
        <f t="shared" si="1114"/>
        <v>0</v>
      </c>
      <c r="AL555" s="106">
        <f t="shared" si="1114"/>
        <v>0</v>
      </c>
      <c r="AM555" s="106">
        <f t="shared" si="1114"/>
        <v>0</v>
      </c>
      <c r="AN555" s="106">
        <f t="shared" si="1114"/>
        <v>0</v>
      </c>
      <c r="AO555" s="106">
        <f t="shared" si="1114"/>
        <v>0</v>
      </c>
      <c r="AP555" s="106">
        <f t="shared" si="1114"/>
        <v>0</v>
      </c>
      <c r="AQ555" s="106">
        <f t="shared" si="1114"/>
        <v>0</v>
      </c>
      <c r="AR555" s="107">
        <f t="shared" si="1114"/>
        <v>0</v>
      </c>
      <c r="AS555" s="105">
        <f>IF(AND($B553=" ",$K555=AS$3),$O555,0)</f>
        <v>0</v>
      </c>
      <c r="AT555" s="106">
        <f>IF(AND($B553=" ",K555=AT$3),$O555,0)</f>
        <v>0</v>
      </c>
      <c r="AU555" s="106">
        <f t="shared" ref="AU555:BE555" si="1117">IF(AND($B553=" ",$K555=AU$3),$O555,0)</f>
        <v>0</v>
      </c>
      <c r="AV555" s="106">
        <f t="shared" si="1117"/>
        <v>0</v>
      </c>
      <c r="AW555" s="106">
        <f t="shared" si="1117"/>
        <v>0</v>
      </c>
      <c r="AX555" s="106">
        <f t="shared" si="1117"/>
        <v>0</v>
      </c>
      <c r="AY555" s="108">
        <f t="shared" si="1117"/>
        <v>0</v>
      </c>
      <c r="AZ555" s="109">
        <f t="shared" si="1117"/>
        <v>0</v>
      </c>
      <c r="BA555" s="109">
        <f t="shared" si="1117"/>
        <v>0</v>
      </c>
      <c r="BB555" s="109">
        <f t="shared" si="1117"/>
        <v>0</v>
      </c>
      <c r="BC555" s="110">
        <f t="shared" si="1117"/>
        <v>0</v>
      </c>
      <c r="BD555" s="106">
        <f t="shared" si="1117"/>
        <v>0</v>
      </c>
      <c r="BE555" s="107">
        <f t="shared" si="1117"/>
        <v>0</v>
      </c>
      <c r="BF555" s="105">
        <f t="shared" si="1116"/>
        <v>0</v>
      </c>
      <c r="BG555" s="106">
        <f t="shared" si="1116"/>
        <v>0</v>
      </c>
      <c r="BH555" s="106">
        <f t="shared" si="1116"/>
        <v>0</v>
      </c>
      <c r="BI555" s="106">
        <f t="shared" si="1116"/>
        <v>0</v>
      </c>
      <c r="BJ555" s="106">
        <f t="shared" si="1116"/>
        <v>16</v>
      </c>
      <c r="BK555" s="106">
        <f t="shared" si="1116"/>
        <v>0</v>
      </c>
      <c r="BL555" s="106">
        <f t="shared" si="1116"/>
        <v>0</v>
      </c>
      <c r="BM555" s="108">
        <f t="shared" si="1116"/>
        <v>0</v>
      </c>
      <c r="BN555" s="109">
        <f t="shared" si="1116"/>
        <v>0</v>
      </c>
      <c r="BO555" s="109">
        <f t="shared" si="1116"/>
        <v>0</v>
      </c>
      <c r="BP555" s="109">
        <f t="shared" si="1116"/>
        <v>0</v>
      </c>
      <c r="BQ555" s="110">
        <f t="shared" si="1116"/>
        <v>0</v>
      </c>
      <c r="BR555" s="107">
        <f t="shared" si="1116"/>
        <v>0</v>
      </c>
      <c r="BS555" s="464"/>
      <c r="BT555" s="461"/>
      <c r="BU555" s="392"/>
      <c r="BV555" s="461"/>
      <c r="BW555" s="392"/>
      <c r="BX555" s="392"/>
      <c r="BY555" s="392"/>
      <c r="BZ555" s="461"/>
      <c r="CA555" s="392"/>
      <c r="CB555" s="392"/>
      <c r="CC555" s="392"/>
      <c r="CD555" s="401"/>
      <c r="CE555" s="409"/>
      <c r="CF555" s="133">
        <f t="shared" si="1028"/>
        <v>0</v>
      </c>
      <c r="CG555" s="134">
        <f t="shared" si="1029"/>
        <v>0</v>
      </c>
      <c r="CH555" s="134">
        <f t="shared" si="1030"/>
        <v>0</v>
      </c>
      <c r="CI555" s="134">
        <f t="shared" si="1031"/>
        <v>0</v>
      </c>
      <c r="CJ555" s="134">
        <f t="shared" si="1032"/>
        <v>0</v>
      </c>
      <c r="CK555" s="134">
        <f t="shared" si="1033"/>
        <v>0</v>
      </c>
      <c r="CL555" s="134">
        <f t="shared" si="1034"/>
        <v>0</v>
      </c>
      <c r="CM555" s="134">
        <f t="shared" si="1035"/>
        <v>0</v>
      </c>
      <c r="CN555" s="134">
        <f t="shared" si="1036"/>
        <v>1</v>
      </c>
      <c r="CO555" s="134">
        <f t="shared" si="1037"/>
        <v>0</v>
      </c>
      <c r="CP555" s="134">
        <f t="shared" si="1038"/>
        <v>0</v>
      </c>
      <c r="CQ555" s="134">
        <f t="shared" si="1039"/>
        <v>0</v>
      </c>
      <c r="CR555" s="134">
        <f t="shared" si="1040"/>
        <v>0</v>
      </c>
      <c r="CS555" s="134">
        <f t="shared" si="1041"/>
        <v>0</v>
      </c>
      <c r="CT555" s="115">
        <f t="shared" si="1042"/>
        <v>0</v>
      </c>
      <c r="CU555" s="116">
        <f t="shared" si="1043"/>
        <v>0</v>
      </c>
      <c r="CV555" s="116">
        <f t="shared" si="1044"/>
        <v>0</v>
      </c>
      <c r="CW555" s="116">
        <f t="shared" si="1045"/>
        <v>0</v>
      </c>
      <c r="CX555" s="116">
        <f t="shared" si="1046"/>
        <v>0</v>
      </c>
      <c r="CY555" s="116">
        <f t="shared" si="1047"/>
        <v>0</v>
      </c>
      <c r="CZ555" s="116">
        <f t="shared" si="1048"/>
        <v>0</v>
      </c>
      <c r="DA555" s="116">
        <f t="shared" si="1049"/>
        <v>0</v>
      </c>
      <c r="DB555" s="116">
        <f t="shared" si="1050"/>
        <v>0</v>
      </c>
      <c r="DC555" s="116">
        <f t="shared" si="1051"/>
        <v>0</v>
      </c>
      <c r="DD555" s="116">
        <f t="shared" si="1052"/>
        <v>0</v>
      </c>
      <c r="DE555" s="117">
        <f t="shared" si="1053"/>
        <v>0</v>
      </c>
      <c r="DF555" s="118">
        <f t="shared" si="1056"/>
        <v>34</v>
      </c>
      <c r="DG555" s="106">
        <f t="shared" si="1057"/>
        <v>44.451999999999991</v>
      </c>
      <c r="DH555" s="116">
        <f t="shared" si="1058"/>
        <v>13</v>
      </c>
      <c r="DI555" s="106">
        <f t="shared" si="1059"/>
        <v>56.05</v>
      </c>
      <c r="DJ555" s="201" t="str">
        <f>IF($D553="","",$D553)</f>
        <v>16</v>
      </c>
      <c r="DK555" s="466"/>
    </row>
    <row r="556" spans="1:115" ht="14.5" customHeight="1" x14ac:dyDescent="0.2">
      <c r="A556" s="487">
        <f>$A553+1</f>
        <v>185</v>
      </c>
      <c r="B556" s="506" t="str">
        <f>IF(OR(C556="W",C557="W",C558="W",C556="1/2W",C557="1/2W",C558="1/2W",C556="1/2L",C557="1/2L",C558="1/2L"),"OK",IF(OR(C556="L",C557="L",C558="L"),"LOSS",IF(OR(C556="X",C557="X",C558="X"),"Anulado"," ")))</f>
        <v>OK</v>
      </c>
      <c r="C556" s="147" t="s">
        <v>54</v>
      </c>
      <c r="D556" s="494" t="str">
        <f>IF(G556="","",$D553)</f>
        <v>16</v>
      </c>
      <c r="E556" s="511" t="str">
        <f>IF(G556=""," ","– "&amp;COUNTIF(D$4:D558,$D556))</f>
        <v>– 17</v>
      </c>
      <c r="F556" s="510" t="str">
        <f ca="1">IF(G556="","",IF(OR(AND($C556&lt;&gt;" ",$C557=" "),AND($C557&lt;&gt;" ",$C556=" "),AND(L558&gt;0,OR(AND($C558&lt;&gt;" ",OR($C556=" ",$C557=" ")),AND($C558=" ",OR($C556&lt;&gt;" ",$C557&lt;&gt;" "))))),IF(SUM(F$4:F555)=0,1,LARGE(F$4:F555,1)+1),IF(MONTH(G556)=MONTH(TODAY()),IF(AND(DAY(G556)&lt;DAY(TODAY()),$B556=" "),IF(SUM(F$4:F555)=0,1,LARGE(F$4:F555,1)+1),IF($B556=" ",IF(AND(DAY(G556)=DAY(TODAY()),HOUR(G556)&lt;=HOUR(NOW())+1),IF(AND(HOUR(G556)+2&lt;=HOUR(NOW()),DAY(G556)&lt;=DAY(TODAY()),MINUTE(G556)&lt;=MINUTE(NOW())),IF(SUM(F$4:F555)=0,1,LARGE(F$4:F555,1)+1),IF(OR(MINUTE(G556)&lt;=MINUTE(NOW()),HOUR(G556)&lt;=HOUR(NOW())),"!!!","")),""),"")),"")))</f>
        <v/>
      </c>
      <c r="G556" s="508">
        <f>IF(H556="","",_xlfn.XLOOKUP(H556,$H$4:H555,$G$4:G555,""))</f>
        <v>45001.604166666664</v>
      </c>
      <c r="H556" s="502" t="s">
        <v>212</v>
      </c>
      <c r="I556" s="148">
        <v>2</v>
      </c>
      <c r="J556" s="149"/>
      <c r="K556" s="150" t="s">
        <v>47</v>
      </c>
      <c r="L556" s="151">
        <v>2.86</v>
      </c>
      <c r="M556" s="152">
        <v>12.65</v>
      </c>
      <c r="N556" s="503">
        <v>0</v>
      </c>
      <c r="O556" s="153">
        <f>IF(OR(AE556="",AE557=""),"",ROUND(IF(L558&gt;0,IF(M556&gt;0,M556,IF(M557&gt;0,ROUND((M557*AE556)/AE557,IF(N556=0,2,IF(N556=0.1,1,0))),ROUND((M558*AE556)/AE558,IF(N556=0,2,IF(N556=0.1,1,0))))),IF(M556&gt;0,M556,ROUND((M557*AE556)/AE557,IF(N556=0,2,IF(N556=0.1,1,0))))),2))</f>
        <v>12.65</v>
      </c>
      <c r="P556" s="154">
        <f>IF(OR(L556="",O556=""),"",IF($C556="1/2W",O556/2+O556/2*L556,IF($C556="1/2L",O556/2,IF(I556="Lay",(O556*(L556/(L556-1))-O556)*(1-_xlfn.XLOOKUP(K556,'Fevereiro 2023 - Valor Real'!A3:A15,'Fevereiro 2023 - Valor Real'!C3:C15,0))+O556,(O556*L556-O556)*(1-_xlfn.XLOOKUP(K556,'Fevereiro 2023 - Valor Real'!A3:A15,'Fevereiro 2023 - Valor Real'!C3:C15,0))+O556))))</f>
        <v>36.179000000000002</v>
      </c>
      <c r="Q556" s="155">
        <f>IF(K556="","",IF(_xlfn.XLOOKUP(K556,K$9:K548,$DJ$9:DJ548,0,,-1)=DJ556,_xlfn.XLOOKUP(K556,K$9:K548,Q$9:Q548,1,,-1)+1,1))</f>
        <v>5</v>
      </c>
      <c r="R556" s="156">
        <f>IF(K556="","",_xlfn.XLOOKUP(K556,K$9:K548,R$9:R548,0,,-1)+IF($C556=" ",1,0))</f>
        <v>0</v>
      </c>
      <c r="S556" s="501">
        <f>IF($B556="Anulado",0,ROUND(IF(OR($B556="LOSS",$B556="OK"),IF(OR($C556="W",$C556="1/2W",$C556="1/2L"),P556-O556,IF($C556="L",-O556,0))+IF(OR($C557="W",$C557="1/2W",$C557="1/2L"),P557-O557,IF($C557="L",-O557,0))+IF(OR($C558="W",$C558="1/2W",$C558="1/2L"),P558-O558,IF($C558="L",-O558,0)),IF(AND(OR($C556="W",$C556="1/2W",$C556="1/2L"),C557="W"),P556+P557-SUM(O556:O558)+_xlfn.XLOOKUP("X",C556:C558,O556:O558,0),IF(AND(C556=TRUE,C558="W"),P556+P558-SUM(O556:O558),IF(AND(C557="W",C558="W"),P557+P558-SUM(O556:O558)+_xlfn.XLOOKUP("X",C556:C558,O556:O558,0),IF(L558&gt;0,IF(OR($C556="W",$C556="1/2W",$C556="1/2L"),P556-SUM(O556:O558)+_xlfn.XLOOKUP("X",C556:C558,O556:O558,0),IF(OR($C556="W",$C556="1/2W",$C556="1/2L"),P557-SUM(O556:O558)+_xlfn.XLOOKUP("X",C556:C558,O556:O558,0),IF(OR($C556="W",$C556="1/2W",$C556="1/2L"),P558-SUM(O556:O558)+_xlfn.XLOOKUP("X",C556:C558,O556:O558,0),IF(SUM(P556:P558)/3-SUM(O556:O558)+_xlfn.XLOOKUP("X",C556:C558,O556:O558,0)&gt;0,SUM(P556:P558)/3-SUM(O556:O558)+_xlfn.XLOOKUP("X",C556:C558,O556:O558,0),LARGE(P556:P558,1)-SUM(O556:O558))))),IF(OR($C556="W",$C556="1/2W",$C556="1/2L"),P556-SUM(O556:O557)+_xlfn.XLOOKUP("X",C556:C558,O556:O558,0),IF(OR($C556="W",$C556="1/2W",$C556="1/2L"),P557-SUM(O556:O557)+_xlfn.XLOOKUP("X",C556:C558,O556:O558,0),SUM(P556:P557)/2-SUM(O556:O557)+_xlfn.XLOOKUP("X",C556:C558,O556:O558,0)))))))),2))</f>
        <v>6.83</v>
      </c>
      <c r="T556" s="486">
        <f>IF(S556=0,0,S556/SUM(O556:O558))</f>
        <v>0.23270868824531515</v>
      </c>
      <c r="U556" s="496">
        <f>IF($D556=$D553,IF(OR($B556="LOSS",$B556="OK",$B556="Anulada"),S556,0)+U553,IF(OR($B556="LOSS",$B556="OK",$B556="Anulada"),S556,0))</f>
        <v>36.799999999999997</v>
      </c>
      <c r="V556" s="496">
        <f>IF($D556="",0,IF($D556=$D553,IF($B556=" ",IF(I558="",IF(OR(AND(I556="DNB1",I557="DNB2"),AND(OR(I556="DNB1",I556="DNB2"),J557=0),AND(OR(I557="DNB1",I557="DNB2"),J556=0),AND(I556="DNB2",I557="DNB1"),AND(IF(J556=0,(J556+1)/ROUND(J556+1,0),J556/ROUND(J556,0))=1,IF(J557=0,(J557+1)/ROUND(IF(J557="",0,J557)+1,0),IF(J557="",0,J557)/ROUND(IF(J557="",1,J557),0))=1,OR(J556&lt;&gt;""),J557&lt;&gt;"")),0,IF(S556&lt;0,IF(I558="",SMALL(P556:P557,1)-SUM(O556:O557),0),SMALL(P556:P557,1)-SUM(O556:O557))),IF(S556&lt;0,IF(I558="",SMALL(P556:P558,1)-SUM(O556:O558),0),LARGE(P556:P558,1)-SUM(O556:O558))),S556)+V553,IF(I558="",IF(OR(AND(I556="DNB1",I557="DNB2"),AND(OR(I556="DNB1",I556="DNB2"),J557=0),AND(OR(I557="DNB1",I557="DNB2"),J556=0),AND(I556="DNB2",I557="DNB1"),AND(IF(J556=0,(J556+1)/ROUND(J556+1,0),J556/ROUND(J556,0))=1,IF(J557=0,(IF(J557="",0,J557)+1)/ROUND(IF(J557="",0,J557)+1,0),IF(J557="",0,J557)/ROUND(IF(J557="",0,J557)+1,0))=1,OR(J556&lt;&gt;""),J557&lt;&gt;"")),0,IF(S556&lt;0,IF(I558="",SMALL(P556:P557,1)-SUM(O556:O557),0),SMALL(P556:P558,1)-SUM(O556:O558))),IF(S556&lt;0,IF(I558="",SMALL(P556:P558,1)-SUM(O556:O558),0),LARGE(P556:P558,1)-SUM(O556:O558)))))</f>
        <v>36.795199999999994</v>
      </c>
      <c r="W556" s="496">
        <f>IF($D556=$D553,IF(S556&lt;0,IF(I558="",S556,0),S556)+W553,S556)</f>
        <v>36.799999999999997</v>
      </c>
      <c r="X556" s="505" t="str">
        <f>IF(OR(SUM(R556:R558)=0,V556=W556),ROUND(IF(W556=0,0,W556/Y556)*100,2)&amp;"%",ROUND(IF(V556=0,0,V556/Y556)*100,2)&amp;"% a "&amp;ROUND(IF(W556=0,0,W556/Y556)*100,2)&amp;"%")</f>
        <v>7,84%</v>
      </c>
      <c r="Y556" s="497">
        <f>IF($D556=$D553,Y553+SUM(O556:O558),SUM(O556:O558))</f>
        <v>469.22999999999996</v>
      </c>
      <c r="Z556" s="496">
        <f>IF($B556=" ",SUM(O556:O558),0)+Z553</f>
        <v>0</v>
      </c>
      <c r="AA556" s="496">
        <f>IF(G556="","",IF($B556="Anulado",LARGE(P556:P558,1)-SUM(O556:O558)+AA553,AA553))</f>
        <v>12.425099999999992</v>
      </c>
      <c r="AB556" s="496">
        <f>IF($D556="","",AB553+S556)</f>
        <v>634.90000000000055</v>
      </c>
      <c r="AC556" s="499">
        <f ca="1">IF($D556="","",IF($B556=" ",IF(DAY(G556)=DAY(TODAY()),1+AC553,0+AC553),0+AC553))</f>
        <v>0</v>
      </c>
      <c r="AD556" s="157">
        <f>(1-_xlfn.XLOOKUP(K554,'Fevereiro 2023 - Valor Real'!A3:A15,'Fevereiro 2023 - Valor Real'!C3:C15,0))+1</f>
        <v>2</v>
      </c>
      <c r="AE556" s="158">
        <f>IF(L556="","",IF(L558&gt;0,(SUM(((L556-1)*(1-_xlfn.XLOOKUP(K556,'Fevereiro 2023 - Valor Real'!A3:A15,'Fevereiro 2023 - Valor Real'!C3:C15,0))+1),((L557-1)*(1-_xlfn.XLOOKUP(K557,'Fevereiro 2023 - Valor Real'!A3:A15,'Fevereiro 2023 - Valor Real'!C3:C15,0))+1),((L558-1)*(1-_xlfn.XLOOKUP(K558,'Fevereiro 2023 - Valor Real'!A3:A15,'Fevereiro 2023 - Valor Real'!C3:C15,0))+1))/((L556-1)*(1-_xlfn.XLOOKUP(K556,'Fevereiro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Real'!C3:C15,0))+1))/((L556-1)*(1-_xlfn.XLOOKUP(K556,'Fevereiro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Real'!C3:C15,0))+1))/((L557-1)*(1-_xlfn.XLOOKUP(K557,'Fevereiro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Real'!C3:C15,0))+1))/((L558-1)*(1-_xlfn.XLOOKUP(K558,'Fevereiro 2023 - Valor Real'!A3:A15,'Fevereiro 2023 - Valor Real'!C3:C15,0))+1)),IF(I556="Lay",IF(I557="Lay",((L557/(L557-1)-1)*(1-_xlfn.XLOOKUP(K557,'Fevereiro 2023 - Valor Real'!A3:A15,'Fevereiro 2023 - Valor Real'!C3:C15,0))+1)/(((L557/(L557-1)-1)*(1-_xlfn.XLOOKUP(K557,'Fevereiro 2023 - Valor Real'!A3:A15,'Fevereiro 2023 - Valor Real'!C3:C15,0))+1)+((L556/(L556-1)-1)*(1-_xlfn.XLOOKUP(K556,'Fevereiro 2023 - Valor Real'!A3:A15,'Fevereiro 2023 - Valor Real'!C3:C15,0))+1)),((L557-1)*(1-_xlfn.XLOOKUP(K557,'Fevereiro 2023 - Valor Real'!A3:A15,'Fevereiro 2023 - Valor Real'!C3:C15,0))+1)/(((L557-1)*(1-_xlfn.XLOOKUP(K557,'Fevereiro 2023 - Valor Real'!A3:A15,'Fevereiro 2023 - Valor Real'!C3:C15,0))+1)+((L556/(L556-1)-1)*(1-_xlfn.XLOOKUP(K556,'Fevereiro 2023 - Valor Real'!A3:A15,'Fevereiro 2023 - Valor Real'!C3:C15,0))+1))),IF(I557="Lay",(((L557/(L557-1)-1)*(1-_xlfn.XLOOKUP(K557,'Fevereiro 2023 - Valor Real'!A3:A15,'Fevereiro 2023 - Valor Real'!C3:C15,0))+1))/(((L556-1)*(1-_xlfn.XLOOKUP(K556,'Fevereiro 2023 - Valor Real'!A3:A15,'Fevereiro 2023 - Valor Real'!C3:C15,0))+1)+((L557/(L557-1)-1)*(1-_xlfn.XLOOKUP(K557,'Fevereiro 2023 - Valor Real'!A3:A15,'Fevereiro 2023 - Valor Real'!C3:C15,0))+1)),((L557-1)*(1-_xlfn.XLOOKUP(K557,'Fevereiro 2023 - Valor Real'!A3:A15,'Fevereiro 2023 - Valor Real'!C3:C15,0))+1)/(((L557-1)*(1-_xlfn.XLOOKUP(K557,'Fevereiro 2023 - Valor Real'!A3:A15,'Fevereiro 2023 - Valor Real'!C3:C15,0))+1)+((L556-1)*(1-_xlfn.XLOOKUP(K556,'Fevereiro 2023 - Valor Real'!A3:A15,'Fevereiro 2023 - Valor Real'!C3:C15,0))+1))))))</f>
        <v>0.4312701963708675</v>
      </c>
      <c r="AF556" s="66">
        <f t="shared" si="1114"/>
        <v>0</v>
      </c>
      <c r="AG556" s="67">
        <f t="shared" si="1114"/>
        <v>0</v>
      </c>
      <c r="AH556" s="67">
        <f t="shared" si="1114"/>
        <v>0</v>
      </c>
      <c r="AI556" s="67">
        <f t="shared" si="1114"/>
        <v>0</v>
      </c>
      <c r="AJ556" s="67">
        <f t="shared" si="1114"/>
        <v>0</v>
      </c>
      <c r="AK556" s="67">
        <f t="shared" si="1114"/>
        <v>0</v>
      </c>
      <c r="AL556" s="67">
        <f t="shared" si="1114"/>
        <v>0</v>
      </c>
      <c r="AM556" s="67">
        <f t="shared" si="1114"/>
        <v>0</v>
      </c>
      <c r="AN556" s="67">
        <f t="shared" si="1114"/>
        <v>0</v>
      </c>
      <c r="AO556" s="67">
        <f t="shared" si="1114"/>
        <v>0</v>
      </c>
      <c r="AP556" s="67">
        <f t="shared" si="1114"/>
        <v>0</v>
      </c>
      <c r="AQ556" s="67">
        <f t="shared" si="1114"/>
        <v>23.53</v>
      </c>
      <c r="AR556" s="68">
        <f t="shared" si="1114"/>
        <v>0</v>
      </c>
      <c r="AS556" s="66">
        <f t="shared" ref="AS556:BE556" si="1118">IF(AND($B556=" ",$K556=AS$3),$O556,0)</f>
        <v>0</v>
      </c>
      <c r="AT556" s="67">
        <f t="shared" si="1118"/>
        <v>0</v>
      </c>
      <c r="AU556" s="67">
        <f t="shared" si="1118"/>
        <v>0</v>
      </c>
      <c r="AV556" s="67">
        <f t="shared" si="1118"/>
        <v>0</v>
      </c>
      <c r="AW556" s="67">
        <f t="shared" si="1118"/>
        <v>0</v>
      </c>
      <c r="AX556" s="67">
        <f t="shared" si="1118"/>
        <v>0</v>
      </c>
      <c r="AY556" s="69">
        <f t="shared" si="1118"/>
        <v>0</v>
      </c>
      <c r="AZ556" s="70">
        <f t="shared" si="1118"/>
        <v>0</v>
      </c>
      <c r="BA556" s="70">
        <f t="shared" si="1118"/>
        <v>0</v>
      </c>
      <c r="BB556" s="70">
        <f t="shared" si="1118"/>
        <v>0</v>
      </c>
      <c r="BC556" s="71">
        <f t="shared" si="1118"/>
        <v>0</v>
      </c>
      <c r="BD556" s="67">
        <f t="shared" si="1118"/>
        <v>0</v>
      </c>
      <c r="BE556" s="68">
        <f t="shared" si="1118"/>
        <v>0</v>
      </c>
      <c r="BF556" s="66">
        <f t="shared" si="1116"/>
        <v>0</v>
      </c>
      <c r="BG556" s="67">
        <f t="shared" si="1116"/>
        <v>0</v>
      </c>
      <c r="BH556" s="67">
        <f t="shared" si="1116"/>
        <v>0</v>
      </c>
      <c r="BI556" s="67">
        <f t="shared" si="1116"/>
        <v>0</v>
      </c>
      <c r="BJ556" s="67">
        <f t="shared" si="1116"/>
        <v>0</v>
      </c>
      <c r="BK556" s="67">
        <f t="shared" si="1116"/>
        <v>0</v>
      </c>
      <c r="BL556" s="67">
        <f t="shared" si="1116"/>
        <v>0</v>
      </c>
      <c r="BM556" s="69">
        <f t="shared" si="1116"/>
        <v>0</v>
      </c>
      <c r="BN556" s="70">
        <f t="shared" si="1116"/>
        <v>0</v>
      </c>
      <c r="BO556" s="70">
        <f t="shared" si="1116"/>
        <v>0</v>
      </c>
      <c r="BP556" s="70">
        <f t="shared" si="1116"/>
        <v>0</v>
      </c>
      <c r="BQ556" s="71">
        <f t="shared" si="1116"/>
        <v>12.65</v>
      </c>
      <c r="BR556" s="68">
        <f t="shared" si="1116"/>
        <v>0</v>
      </c>
      <c r="BS556" s="490">
        <f>IF($B556="LOSS",IF(AND($K556=BS$3,$C556="L"),-$O556,0)+IF(AND($K557=BS$3,$C557="L"),-$O557,0)+IF(AND($K558=BS$3,$C558="L"),-$O558,0),IF(OR(AND($K556=BS$3,OR($C556="W",$C556="1/2W")),AND($K557=BS$3,OR($C557="W",$C557="1/2W")),AND($K558=BS$3,OR($C558="W",$C558="1/2W"))),$S556,0))</f>
        <v>0</v>
      </c>
      <c r="BT556" s="498">
        <f>IF($B556="LOSS",IF(AND($K556=BT$3,$C556="L"),-$O556,0)+IF(AND($K557=BT$3,$C557="L"),-$O557,0)+IF(AND($K557=BT$3,$C558="L"),-$O558,0),IF(OR(AND($K557=BT$3,OR($C556="W",$C556="1/2W")),AND($K557=BT$3,OR($C557="W",$C557="1/2W")),AND($K557=BT$3,OR($C558="W",$C558="1/2W"))),$S556,0))</f>
        <v>0</v>
      </c>
      <c r="BU556" s="488">
        <f>IF($B556="LOSS",IF(AND($K556=BU$3,$C556="L"),-$O556,0)+IF(AND($K557=BU$3,$C557="L"),-$O557,0)+IF(AND($K557=BU$3,$C558="L"),-$O558,0),IF(OR(AND($K557=BU$3,OR($C556="W",$C556="1/2W")),AND($K557=BU$3,OR($C557="W",$C557="1/2W")),AND($K557=BU$3,OR($C558="W",$C558="1/2W"))),$S556,0))</f>
        <v>6.83</v>
      </c>
      <c r="BV556" s="488">
        <f t="shared" ref="BV556:CE556" si="1119">IF($B556="LOSS",IF(AND($K556=BV$3,$C556="L"),-$O556,0)+IF(AND($K557=BV$3,$C557="L"),-$O557,0)+IF(AND($K558=BV$3,$C558="L"),-$O558,0),IF(OR(AND($K556=BV$3,OR($C556="W",$C556="1/2W")),AND($K557=BV$3,OR($C557="W",$C557="1/2W")),AND($K558=BV$3,OR($C558="W",$C558="1/2W"))),$S556,0))</f>
        <v>0</v>
      </c>
      <c r="BW556" s="488">
        <f t="shared" si="1119"/>
        <v>0</v>
      </c>
      <c r="BX556" s="488">
        <f t="shared" si="1119"/>
        <v>0</v>
      </c>
      <c r="BY556" s="488">
        <f t="shared" si="1119"/>
        <v>0</v>
      </c>
      <c r="BZ556" s="488">
        <f t="shared" si="1119"/>
        <v>0</v>
      </c>
      <c r="CA556" s="488">
        <f t="shared" si="1119"/>
        <v>0</v>
      </c>
      <c r="CB556" s="488">
        <f t="shared" si="1119"/>
        <v>0</v>
      </c>
      <c r="CC556" s="488">
        <f t="shared" si="1119"/>
        <v>0</v>
      </c>
      <c r="CD556" s="500">
        <f t="shared" si="1119"/>
        <v>6.83</v>
      </c>
      <c r="CE556" s="504">
        <f t="shared" si="1119"/>
        <v>0</v>
      </c>
      <c r="CF556" s="160">
        <f t="shared" si="1028"/>
        <v>0</v>
      </c>
      <c r="CG556" s="161">
        <f t="shared" si="1029"/>
        <v>0</v>
      </c>
      <c r="CH556" s="161">
        <f t="shared" si="1030"/>
        <v>0</v>
      </c>
      <c r="CI556" s="161">
        <f t="shared" si="1031"/>
        <v>0</v>
      </c>
      <c r="CJ556" s="161">
        <f t="shared" si="1032"/>
        <v>0</v>
      </c>
      <c r="CK556" s="161">
        <f t="shared" si="1033"/>
        <v>0</v>
      </c>
      <c r="CL556" s="161">
        <f t="shared" si="1034"/>
        <v>0</v>
      </c>
      <c r="CM556" s="161">
        <f t="shared" si="1035"/>
        <v>0</v>
      </c>
      <c r="CN556" s="161">
        <f t="shared" si="1036"/>
        <v>0</v>
      </c>
      <c r="CO556" s="161">
        <f t="shared" si="1037"/>
        <v>0</v>
      </c>
      <c r="CP556" s="161">
        <f t="shared" si="1038"/>
        <v>0</v>
      </c>
      <c r="CQ556" s="161">
        <f t="shared" si="1039"/>
        <v>0</v>
      </c>
      <c r="CR556" s="161">
        <f t="shared" si="1040"/>
        <v>0</v>
      </c>
      <c r="CS556" s="161">
        <f t="shared" si="1041"/>
        <v>0</v>
      </c>
      <c r="CT556" s="75">
        <f t="shared" si="1042"/>
        <v>0</v>
      </c>
      <c r="CU556" s="76">
        <f t="shared" si="1043"/>
        <v>0</v>
      </c>
      <c r="CV556" s="76">
        <f t="shared" si="1044"/>
        <v>0</v>
      </c>
      <c r="CW556" s="76">
        <f t="shared" si="1045"/>
        <v>0</v>
      </c>
      <c r="CX556" s="76">
        <f t="shared" si="1046"/>
        <v>0</v>
      </c>
      <c r="CY556" s="76">
        <f t="shared" si="1047"/>
        <v>0</v>
      </c>
      <c r="CZ556" s="76">
        <f t="shared" si="1048"/>
        <v>0</v>
      </c>
      <c r="DA556" s="76">
        <f t="shared" si="1049"/>
        <v>0</v>
      </c>
      <c r="DB556" s="76">
        <f t="shared" si="1050"/>
        <v>1</v>
      </c>
      <c r="DC556" s="76">
        <f t="shared" si="1051"/>
        <v>0</v>
      </c>
      <c r="DD556" s="76">
        <f t="shared" si="1052"/>
        <v>0</v>
      </c>
      <c r="DE556" s="77">
        <f t="shared" si="1053"/>
        <v>0</v>
      </c>
      <c r="DF556" s="73">
        <f t="shared" si="1056"/>
        <v>34</v>
      </c>
      <c r="DG556" s="67">
        <f t="shared" si="1057"/>
        <v>44.451999999999991</v>
      </c>
      <c r="DH556" s="76">
        <f t="shared" si="1058"/>
        <v>13</v>
      </c>
      <c r="DI556" s="67">
        <f t="shared" si="1059"/>
        <v>56.05</v>
      </c>
      <c r="DJ556" s="202" t="str">
        <f>IF($D556="","",$D556)</f>
        <v>16</v>
      </c>
      <c r="DK556" s="492">
        <f>IF(AND($B556=" ",$D556&lt;&gt;""),1,0)</f>
        <v>0</v>
      </c>
    </row>
    <row r="557" spans="1:115" ht="14.5" customHeight="1" x14ac:dyDescent="0.2">
      <c r="A557" s="389"/>
      <c r="B557" s="456"/>
      <c r="C557" s="53" t="s">
        <v>55</v>
      </c>
      <c r="D557" s="374"/>
      <c r="E557" s="386"/>
      <c r="F557" s="377"/>
      <c r="G557" s="508"/>
      <c r="H557" s="476"/>
      <c r="I557" s="182" t="s">
        <v>88</v>
      </c>
      <c r="J557" s="163" t="str">
        <f>IF(OR(I556="TO",I556="TU",I556="TO1",I556="TU1",I556="TO2",I556="TU2"),J556,IF(OR(I556="AH1",I556="AH2"),IF(OR(I557="AH1",I557="AH2"),-J556,IF(OR(I557="EH1",I557="EH2"),-J556+0.5,"")),IF(OR(I556="EH1",I556="EH2"),IF(OR(I557="AH1",I557="AH2"),-J556+0.5,IF(OR(I557="EH1",I557="EH2"),-J556+1,"")),IF(AND(OR(I556="DNB1",I556="DNB2"),OR(I557="AH1",I557="AH2")),0,IF(AND(I556="Not ScoreBoth",OR(I557="TO1",I557="TO2")),0.5,"")))))</f>
        <v/>
      </c>
      <c r="K557" s="57" t="s">
        <v>38</v>
      </c>
      <c r="L557" s="164">
        <v>1.8</v>
      </c>
      <c r="M557" s="165">
        <v>16.7</v>
      </c>
      <c r="N557" s="406"/>
      <c r="O557" s="60">
        <f>IF(OR(AE556="",AE557=""),"",ROUND(IF(L558&gt;0,IF(M557&gt;0,M557,IF(M556&gt;0,IF(N556=TRUE,ROUND((M556*AE557)/AE556,0),(M556*AE557)/AE556),IF(M557&gt;0,ROUND(M557,IF(N556=0,2,IF(N556=0.1,1,0))),IF(M558&gt;0,ROUND(O558*AE557/AE558,IF(N556=0,2,IF(N556=0.1,1,0))),0)))),IF(M557&gt;0,M557,ROUND((M556*AE557)/AE556,IF(N556=0,2,IF(N556=0.1,1,0))))),2))</f>
        <v>16.7</v>
      </c>
      <c r="P557" s="61">
        <f>IF(OR(L557="",O557=""),"",IF($C557="1/2W",O557/2+O557/2*L557,IF($C557="1/2L",O557/2,IF(I557="Lay",((O557*(L557/(L557-1)))-O557)*(1-_xlfn.XLOOKUP(K557,'Fevereiro 2023 - Valor Real'!A3:A15,'Fevereiro 2023 - Valor Real'!C3:C15,0))+O557,(O557*L557-O557)*(1-_xlfn.XLOOKUP(K557,'Fevereiro 2023 - Valor Real'!A3:A15,'Fevereiro 2023 - Valor Real'!C3:C15,0))+O557))))</f>
        <v>36.218125000000001</v>
      </c>
      <c r="Q557" s="166">
        <f>IF(K557="","",IF(_xlfn.XLOOKUP(K557,K$10:K548,$DJ$10:DJ548,0,,-1)=DJ557,_xlfn.XLOOKUP(K557,K$10:K548,Q$10:Q548,1,,-1)+1,1))</f>
        <v>1</v>
      </c>
      <c r="R557" s="167">
        <f>IF(K557="","",_xlfn.XLOOKUP(K557,K$10:K548,R$10:R548,0,,-1)+IF($C557=" ",1,0))</f>
        <v>0</v>
      </c>
      <c r="S557" s="403"/>
      <c r="T557" s="380"/>
      <c r="U557" s="380"/>
      <c r="V557" s="481"/>
      <c r="W557" s="380"/>
      <c r="X557" s="452"/>
      <c r="Y557" s="383"/>
      <c r="Z557" s="384"/>
      <c r="AA557" s="384"/>
      <c r="AB557" s="384"/>
      <c r="AC557" s="384"/>
      <c r="AD557" s="64"/>
      <c r="AE557" s="65">
        <f>IF(L557="","",IF(L558&gt;0,(SUM(((L556-1)*(1-_xlfn.XLOOKUP(K556,'Fevereiro 2023 - Valor Real'!A3:A15,'Fevereiro 2023 - Valor Real'!C3:C15,0))+1),((L557-1)*(1-_xlfn.XLOOKUP(K557,'Fevereiro 2023 - Valor Real'!A3:A15,'Fevereiro 2023 - Valor Real'!C3:C15,0))+1),((L558-1)*(1-_xlfn.XLOOKUP(K558,'Fevereiro 2023 - Valor Real'!A3:A15,'Fevereiro 2023 - Valor Real'!C3:C15,0))+1))/((L557-1)*(1-_xlfn.XLOOKUP(K557,'Fevereiro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Real'!C3:C15,0))+1))/((L556-1)*(1-_xlfn.XLOOKUP(K556,'Fevereiro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Real'!C3:C15,0))+1))/((L557-1)*(1-_xlfn.XLOOKUP(K557,'Fevereiro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Real'!C3:C15,0))+1))/((L558-1)*(1-_xlfn.XLOOKUP(K558,'Fevereiro 2023 - Valor Real'!A3:A15,'Fevereiro 2023 - Valor Real'!C3:C15,0))+1)),IF(I557="Lay",IF(I556="Lay",((L556/(L556-1)-1)*(1-_xlfn.XLOOKUP(K556,'Fevereiro 2023 - Valor Real'!A3:A15,'Fevereiro 2023 - Valor Real'!C3:C15,0))+1)/(((L556/(L556-1)-1)*(1-_xlfn.XLOOKUP(K556,'Fevereiro 2023 - Valor Real'!A3:A15,'Fevereiro 2023 - Valor Real'!C3:C15,0))+1)+((L557/(L557-1)-1)*(1-_xlfn.XLOOKUP(K557,'Fevereiro 2023 - Valor Real'!A3:A15,'Fevereiro 2023 - Valor Real'!C3:C15,0))+1)),((L556-1)*(1-_xlfn.XLOOKUP(K556,'Fevereiro 2023 - Valor Real'!A3:A15,'Fevereiro 2023 - Valor Real'!C3:C15,0))+1)/(((L556-1)*(1-_xlfn.XLOOKUP(K556,'Fevereiro 2023 - Valor Real'!A3:A15,'Fevereiro 2023 - Valor Real'!C3:C15,0))+1)+((L557/(L557-1)-1)*(1-_xlfn.XLOOKUP(K557,'Fevereiro 2023 - Valor Real'!A3:A15,'Fevereiro 2023 - Valor Real'!C3:C15,0))+1))),IF(I556="Lay",((L556/(L556-1)-1)*(1-_xlfn.XLOOKUP(K556,'Fevereiro 2023 - Valor Real'!A3:A15,'Fevereiro 2023 - Valor Real'!C3:C15,0))+1)/((((L556/(L556-1)-1)*(1-_xlfn.XLOOKUP(K556,'Fevereiro 2023 - Valor Real'!A3:A15,'Fevereiro 2023 - Valor Real'!C3:C15,0))+1))+((L557-1)*(1-_xlfn.XLOOKUP(K557,'Fevereiro 2023 - Valor Real'!A3:A15,'Fevereiro 2023 - Valor Real'!C3:C15,0))+1)),((L556-1)*(1-_xlfn.XLOOKUP(K556,'Fevereiro 2023 - Valor Real'!A3:A15,'Fevereiro 2023 - Valor Real'!C3:C15,0))+1)/(((L556-1)*(1-_xlfn.XLOOKUP(K556,'Fevereiro 2023 - Valor Real'!A3:A15,'Fevereiro 2023 - Valor Real'!C3:C15,0))+1)+((L557-1)*(1-_xlfn.XLOOKUP(K557,'Fevereiro 2023 - Valor Real'!A3:A15,'Fevereiro 2023 - Valor Real'!C3:C15,0))+1))))))</f>
        <v>0.56872980362913239</v>
      </c>
      <c r="AF557" s="66">
        <f t="shared" si="1114"/>
        <v>0</v>
      </c>
      <c r="AG557" s="67">
        <f t="shared" si="1114"/>
        <v>0</v>
      </c>
      <c r="AH557" s="67">
        <f t="shared" si="1114"/>
        <v>-16.7</v>
      </c>
      <c r="AI557" s="67">
        <f t="shared" si="1114"/>
        <v>0</v>
      </c>
      <c r="AJ557" s="67">
        <f t="shared" si="1114"/>
        <v>0</v>
      </c>
      <c r="AK557" s="67">
        <f t="shared" si="1114"/>
        <v>0</v>
      </c>
      <c r="AL557" s="67">
        <f t="shared" si="1114"/>
        <v>0</v>
      </c>
      <c r="AM557" s="67">
        <f t="shared" si="1114"/>
        <v>0</v>
      </c>
      <c r="AN557" s="67">
        <f t="shared" si="1114"/>
        <v>0</v>
      </c>
      <c r="AO557" s="67">
        <f t="shared" si="1114"/>
        <v>0</v>
      </c>
      <c r="AP557" s="67">
        <f t="shared" si="1114"/>
        <v>0</v>
      </c>
      <c r="AQ557" s="67">
        <f t="shared" si="1114"/>
        <v>0</v>
      </c>
      <c r="AR557" s="68">
        <f t="shared" si="1114"/>
        <v>0</v>
      </c>
      <c r="AS557" s="66">
        <f>IF(AND($B556=" ",$K557=AS$3),$O557,0)</f>
        <v>0</v>
      </c>
      <c r="AT557" s="67">
        <f>IF(AND($B556=" ",K557=AT$3),$O557,0)</f>
        <v>0</v>
      </c>
      <c r="AU557" s="67">
        <f t="shared" ref="AU557:BE557" si="1120">IF(AND($B556=" ",$K557=AU$3),$O557,0)</f>
        <v>0</v>
      </c>
      <c r="AV557" s="67">
        <f t="shared" si="1120"/>
        <v>0</v>
      </c>
      <c r="AW557" s="67">
        <f t="shared" si="1120"/>
        <v>0</v>
      </c>
      <c r="AX557" s="67">
        <f t="shared" si="1120"/>
        <v>0</v>
      </c>
      <c r="AY557" s="69">
        <f t="shared" si="1120"/>
        <v>0</v>
      </c>
      <c r="AZ557" s="70">
        <f t="shared" si="1120"/>
        <v>0</v>
      </c>
      <c r="BA557" s="70">
        <f t="shared" si="1120"/>
        <v>0</v>
      </c>
      <c r="BB557" s="70">
        <f t="shared" si="1120"/>
        <v>0</v>
      </c>
      <c r="BC557" s="71">
        <f t="shared" si="1120"/>
        <v>0</v>
      </c>
      <c r="BD557" s="67">
        <f t="shared" si="1120"/>
        <v>0</v>
      </c>
      <c r="BE557" s="68">
        <f t="shared" si="1120"/>
        <v>0</v>
      </c>
      <c r="BF557" s="66">
        <f t="shared" si="1116"/>
        <v>0</v>
      </c>
      <c r="BG557" s="168">
        <f t="shared" si="1116"/>
        <v>0</v>
      </c>
      <c r="BH557" s="67">
        <f t="shared" si="1116"/>
        <v>16.7</v>
      </c>
      <c r="BI557" s="67">
        <f t="shared" si="1116"/>
        <v>0</v>
      </c>
      <c r="BJ557" s="67">
        <f t="shared" si="1116"/>
        <v>0</v>
      </c>
      <c r="BK557" s="67">
        <f t="shared" si="1116"/>
        <v>0</v>
      </c>
      <c r="BL557" s="67">
        <f t="shared" si="1116"/>
        <v>0</v>
      </c>
      <c r="BM557" s="69">
        <f t="shared" si="1116"/>
        <v>0</v>
      </c>
      <c r="BN557" s="70">
        <f t="shared" si="1116"/>
        <v>0</v>
      </c>
      <c r="BO557" s="70">
        <f t="shared" si="1116"/>
        <v>0</v>
      </c>
      <c r="BP557" s="70">
        <f t="shared" si="1116"/>
        <v>0</v>
      </c>
      <c r="BQ557" s="71">
        <f t="shared" si="1116"/>
        <v>0</v>
      </c>
      <c r="BR557" s="68">
        <f t="shared" si="1116"/>
        <v>0</v>
      </c>
      <c r="BS557" s="491"/>
      <c r="BT557" s="489"/>
      <c r="BU557" s="392"/>
      <c r="BV557" s="489"/>
      <c r="BW557" s="392"/>
      <c r="BX557" s="392"/>
      <c r="BY557" s="392"/>
      <c r="BZ557" s="489"/>
      <c r="CA557" s="392"/>
      <c r="CB557" s="392"/>
      <c r="CC557" s="392"/>
      <c r="CD557" s="401"/>
      <c r="CE557" s="409"/>
      <c r="CF557" s="169">
        <f t="shared" si="1028"/>
        <v>0</v>
      </c>
      <c r="CG557" s="170">
        <f t="shared" si="1029"/>
        <v>0</v>
      </c>
      <c r="CH557" s="170">
        <f t="shared" si="1030"/>
        <v>0</v>
      </c>
      <c r="CI557" s="170">
        <f t="shared" si="1031"/>
        <v>0</v>
      </c>
      <c r="CJ557" s="170">
        <f t="shared" si="1032"/>
        <v>0</v>
      </c>
      <c r="CK557" s="170">
        <f t="shared" si="1033"/>
        <v>1</v>
      </c>
      <c r="CL557" s="170">
        <f t="shared" si="1034"/>
        <v>0</v>
      </c>
      <c r="CM557" s="170">
        <f t="shared" si="1035"/>
        <v>0</v>
      </c>
      <c r="CN557" s="170">
        <f t="shared" si="1036"/>
        <v>0</v>
      </c>
      <c r="CO557" s="170">
        <f t="shared" si="1037"/>
        <v>0</v>
      </c>
      <c r="CP557" s="170">
        <f t="shared" si="1038"/>
        <v>0</v>
      </c>
      <c r="CQ557" s="170">
        <f t="shared" si="1039"/>
        <v>0</v>
      </c>
      <c r="CR557" s="170">
        <f t="shared" si="1040"/>
        <v>0</v>
      </c>
      <c r="CS557" s="170">
        <f t="shared" si="1041"/>
        <v>0</v>
      </c>
      <c r="CT557" s="75">
        <f t="shared" si="1042"/>
        <v>0</v>
      </c>
      <c r="CU557" s="76">
        <f t="shared" si="1043"/>
        <v>0</v>
      </c>
      <c r="CV557" s="76">
        <f t="shared" si="1044"/>
        <v>0</v>
      </c>
      <c r="CW557" s="76">
        <f t="shared" si="1045"/>
        <v>0</v>
      </c>
      <c r="CX557" s="76">
        <f t="shared" si="1046"/>
        <v>0</v>
      </c>
      <c r="CY557" s="76">
        <f t="shared" si="1047"/>
        <v>0</v>
      </c>
      <c r="CZ557" s="76">
        <f t="shared" si="1048"/>
        <v>0</v>
      </c>
      <c r="DA557" s="76">
        <f t="shared" si="1049"/>
        <v>0</v>
      </c>
      <c r="DB557" s="76">
        <f t="shared" si="1050"/>
        <v>0</v>
      </c>
      <c r="DC557" s="76">
        <f t="shared" si="1051"/>
        <v>0</v>
      </c>
      <c r="DD557" s="76">
        <f t="shared" si="1052"/>
        <v>0</v>
      </c>
      <c r="DE557" s="77">
        <f t="shared" si="1053"/>
        <v>0</v>
      </c>
      <c r="DF557" s="73">
        <f t="shared" si="1056"/>
        <v>34</v>
      </c>
      <c r="DG557" s="67">
        <f t="shared" si="1057"/>
        <v>44.451999999999991</v>
      </c>
      <c r="DH557" s="76">
        <f t="shared" si="1058"/>
        <v>13</v>
      </c>
      <c r="DI557" s="67">
        <f t="shared" si="1059"/>
        <v>56.05</v>
      </c>
      <c r="DJ557" s="202" t="str">
        <f>IF($D556="","",$D556)</f>
        <v>16</v>
      </c>
      <c r="DK557" s="493"/>
    </row>
    <row r="558" spans="1:115" ht="14.5" customHeight="1" x14ac:dyDescent="0.2">
      <c r="A558" s="390"/>
      <c r="B558" s="457"/>
      <c r="C558" s="79" t="s">
        <v>53</v>
      </c>
      <c r="D558" s="375"/>
      <c r="E558" s="387"/>
      <c r="F558" s="378"/>
      <c r="G558" s="508"/>
      <c r="H558" s="477"/>
      <c r="I558" s="171"/>
      <c r="J558" s="172"/>
      <c r="K558" s="81"/>
      <c r="L558" s="173"/>
      <c r="M558" s="174"/>
      <c r="N558" s="407"/>
      <c r="O558" s="86" t="str">
        <f>IF(OR(AE556="",AE557=""),"",IF(L558&gt;0,ROUND(IF(M558&gt;0,M558,IF(M556&gt;0,ROUND((M556*AE558)/AE556,IF(N556=0,2,IF(N556=0.1,1,0))),IF(M557&gt;0,ROUND((M557*AE558)/AE557,IF(N556=0,2,IF(N556=0.1,1,0))),IF(M558&gt;0,M558,0)))),2),""))</f>
        <v/>
      </c>
      <c r="P558" s="188">
        <f>IF(I557="Lay",O557*(L557/(L557-1))-O557,IF(I556="Lay",O556*(L556/(L556-1))-O556,IF(OR(L558="",O558=""),"",IF($C558="1/2W",O558/2+O558/2*L558,IF($C558="1/2L",O558/2,(O558*L558-O558)*(1-_xlfn.XLOOKUP(K558,'Fevereiro 2023 - Valor Real'!A3:A15,'Fevereiro 2023 - Valor Real'!C3:C15,0))+O558)))))</f>
        <v>20.874999999999996</v>
      </c>
      <c r="Q558" s="54" t="str">
        <f>IF(K558="","",IF(_xlfn.XLOOKUP(K558,K$11:K548,$DJ$11:DJ548,0,,-1)=DJ558,_xlfn.XLOOKUP(K558,K$11:K548,Q$11:Q548,1,,-1)+1,1))</f>
        <v/>
      </c>
      <c r="R558" s="87" t="str">
        <f>IF(K558="","",_xlfn.XLOOKUP(K558,K$11:K548,R$11:R548,0,,-1)+IF($C558=" ",1,0))</f>
        <v/>
      </c>
      <c r="S558" s="404"/>
      <c r="T558" s="378"/>
      <c r="U558" s="378"/>
      <c r="V558" s="404"/>
      <c r="W558" s="378"/>
      <c r="X558" s="453"/>
      <c r="Y558" s="383"/>
      <c r="Z558" s="384"/>
      <c r="AA558" s="384"/>
      <c r="AB558" s="384"/>
      <c r="AC558" s="384"/>
      <c r="AD558" s="90"/>
      <c r="AE558" s="91" t="str">
        <f>IF(L558="","",(SUM(((L556-1)*(1-_xlfn.XLOOKUP(K556,'Fevereiro 2023 - Valor Real'!A3:A15,'Fevereiro 2023 - Valor Real'!C3:C15,0))+1),((L557-1)*(1-_xlfn.XLOOKUP(K557,'Fevereiro 2023 - Valor Real'!A3:A15,'Fevereiro 2023 - Valor Real'!C3:C15,0))+1),((L558-1)*(1-_xlfn.XLOOKUP(K558,'Fevereiro 2023 - Valor Real'!A3:A15,'Fevereiro 2023 - Valor Real'!C3:C15,0))+1))/((L558-1)*(1-_xlfn.XLOOKUP(K558,'Fevereiro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Real'!C3:C15,0))+1))/((L556-1)*(1-_xlfn.XLOOKUP(K556,'Fevereiro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Real'!C3:C15,0))+1))/((L557-1)*(1-_xlfn.XLOOKUP(K557,'Fevereiro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Real'!C3:C15,0))+1))/((L558-1)*(1-_xlfn.XLOOKUP(K558,'Fevereiro 2023 - Valor Real'!A3:A15,'Fevereiro 2023 - Valor Real'!C3:C15,0))+1)))</f>
        <v/>
      </c>
      <c r="AF558" s="66">
        <f t="shared" si="1114"/>
        <v>0</v>
      </c>
      <c r="AG558" s="67">
        <f t="shared" si="1114"/>
        <v>0</v>
      </c>
      <c r="AH558" s="67">
        <f t="shared" si="1114"/>
        <v>0</v>
      </c>
      <c r="AI558" s="67">
        <f t="shared" si="1114"/>
        <v>0</v>
      </c>
      <c r="AJ558" s="67">
        <f t="shared" si="1114"/>
        <v>0</v>
      </c>
      <c r="AK558" s="67">
        <f t="shared" si="1114"/>
        <v>0</v>
      </c>
      <c r="AL558" s="67">
        <f t="shared" si="1114"/>
        <v>0</v>
      </c>
      <c r="AM558" s="67">
        <f t="shared" si="1114"/>
        <v>0</v>
      </c>
      <c r="AN558" s="67">
        <f t="shared" si="1114"/>
        <v>0</v>
      </c>
      <c r="AO558" s="67">
        <f t="shared" si="1114"/>
        <v>0</v>
      </c>
      <c r="AP558" s="67">
        <f t="shared" si="1114"/>
        <v>0</v>
      </c>
      <c r="AQ558" s="67">
        <f t="shared" si="1114"/>
        <v>0</v>
      </c>
      <c r="AR558" s="68">
        <f t="shared" si="1114"/>
        <v>0</v>
      </c>
      <c r="AS558" s="66">
        <f>IF(AND($B556=" ",$K558=AS$3),$O558,0)</f>
        <v>0</v>
      </c>
      <c r="AT558" s="67">
        <f>IF(AND($B556=" ",K558=AT$3),$O558,0)</f>
        <v>0</v>
      </c>
      <c r="AU558" s="67">
        <f t="shared" ref="AU558:BE558" si="1121">IF(AND($B556=" ",$K558=AU$3),$O558,0)</f>
        <v>0</v>
      </c>
      <c r="AV558" s="67">
        <f t="shared" si="1121"/>
        <v>0</v>
      </c>
      <c r="AW558" s="67">
        <f t="shared" si="1121"/>
        <v>0</v>
      </c>
      <c r="AX558" s="67">
        <f t="shared" si="1121"/>
        <v>0</v>
      </c>
      <c r="AY558" s="69">
        <f t="shared" si="1121"/>
        <v>0</v>
      </c>
      <c r="AZ558" s="70">
        <f t="shared" si="1121"/>
        <v>0</v>
      </c>
      <c r="BA558" s="70">
        <f t="shared" si="1121"/>
        <v>0</v>
      </c>
      <c r="BB558" s="70">
        <f t="shared" si="1121"/>
        <v>0</v>
      </c>
      <c r="BC558" s="71">
        <f t="shared" si="1121"/>
        <v>0</v>
      </c>
      <c r="BD558" s="67">
        <f t="shared" si="1121"/>
        <v>0</v>
      </c>
      <c r="BE558" s="68">
        <f t="shared" si="1121"/>
        <v>0</v>
      </c>
      <c r="BF558" s="66">
        <f t="shared" si="1116"/>
        <v>0</v>
      </c>
      <c r="BG558" s="168">
        <f t="shared" si="1116"/>
        <v>0</v>
      </c>
      <c r="BH558" s="67">
        <f t="shared" si="1116"/>
        <v>0</v>
      </c>
      <c r="BI558" s="67">
        <f t="shared" si="1116"/>
        <v>0</v>
      </c>
      <c r="BJ558" s="67">
        <f t="shared" si="1116"/>
        <v>0</v>
      </c>
      <c r="BK558" s="67">
        <f t="shared" si="1116"/>
        <v>0</v>
      </c>
      <c r="BL558" s="67">
        <f t="shared" si="1116"/>
        <v>0</v>
      </c>
      <c r="BM558" s="69">
        <f t="shared" si="1116"/>
        <v>0</v>
      </c>
      <c r="BN558" s="70">
        <f t="shared" si="1116"/>
        <v>0</v>
      </c>
      <c r="BO558" s="70">
        <f t="shared" si="1116"/>
        <v>0</v>
      </c>
      <c r="BP558" s="70">
        <f t="shared" si="1116"/>
        <v>0</v>
      </c>
      <c r="BQ558" s="71">
        <f t="shared" si="1116"/>
        <v>0</v>
      </c>
      <c r="BR558" s="68">
        <f t="shared" si="1116"/>
        <v>0</v>
      </c>
      <c r="BS558" s="491"/>
      <c r="BT558" s="489"/>
      <c r="BU558" s="392"/>
      <c r="BV558" s="489"/>
      <c r="BW558" s="392"/>
      <c r="BX558" s="392"/>
      <c r="BY558" s="392"/>
      <c r="BZ558" s="489"/>
      <c r="CA558" s="392"/>
      <c r="CB558" s="392"/>
      <c r="CC558" s="392"/>
      <c r="CD558" s="401"/>
      <c r="CE558" s="409"/>
      <c r="CF558" s="169">
        <f t="shared" si="1028"/>
        <v>0</v>
      </c>
      <c r="CG558" s="170">
        <f t="shared" si="1029"/>
        <v>0</v>
      </c>
      <c r="CH558" s="170">
        <f t="shared" si="1030"/>
        <v>0</v>
      </c>
      <c r="CI558" s="170">
        <f t="shared" si="1031"/>
        <v>0</v>
      </c>
      <c r="CJ558" s="170">
        <f t="shared" si="1032"/>
        <v>0</v>
      </c>
      <c r="CK558" s="170">
        <f t="shared" si="1033"/>
        <v>0</v>
      </c>
      <c r="CL558" s="170">
        <f t="shared" si="1034"/>
        <v>0</v>
      </c>
      <c r="CM558" s="170">
        <f t="shared" si="1035"/>
        <v>0</v>
      </c>
      <c r="CN558" s="170">
        <f t="shared" si="1036"/>
        <v>0</v>
      </c>
      <c r="CO558" s="170">
        <f t="shared" si="1037"/>
        <v>0</v>
      </c>
      <c r="CP558" s="170">
        <f t="shared" si="1038"/>
        <v>0</v>
      </c>
      <c r="CQ558" s="170">
        <f t="shared" si="1039"/>
        <v>0</v>
      </c>
      <c r="CR558" s="170">
        <f t="shared" si="1040"/>
        <v>0</v>
      </c>
      <c r="CS558" s="170">
        <f t="shared" si="1041"/>
        <v>0</v>
      </c>
      <c r="CT558" s="75">
        <f t="shared" si="1042"/>
        <v>0</v>
      </c>
      <c r="CU558" s="76">
        <f t="shared" si="1043"/>
        <v>0</v>
      </c>
      <c r="CV558" s="76">
        <f t="shared" si="1044"/>
        <v>0</v>
      </c>
      <c r="CW558" s="76">
        <f t="shared" si="1045"/>
        <v>0</v>
      </c>
      <c r="CX558" s="76">
        <f t="shared" si="1046"/>
        <v>0</v>
      </c>
      <c r="CY558" s="76">
        <f t="shared" si="1047"/>
        <v>0</v>
      </c>
      <c r="CZ558" s="76">
        <f t="shared" si="1048"/>
        <v>0</v>
      </c>
      <c r="DA558" s="76">
        <f t="shared" si="1049"/>
        <v>0</v>
      </c>
      <c r="DB558" s="76">
        <f t="shared" si="1050"/>
        <v>0</v>
      </c>
      <c r="DC558" s="76">
        <f t="shared" si="1051"/>
        <v>0</v>
      </c>
      <c r="DD558" s="76">
        <f t="shared" si="1052"/>
        <v>0</v>
      </c>
      <c r="DE558" s="77">
        <f t="shared" si="1053"/>
        <v>0</v>
      </c>
      <c r="DF558" s="73">
        <f t="shared" si="1056"/>
        <v>34</v>
      </c>
      <c r="DG558" s="67">
        <f t="shared" si="1057"/>
        <v>44.451999999999991</v>
      </c>
      <c r="DH558" s="76">
        <f t="shared" si="1058"/>
        <v>13</v>
      </c>
      <c r="DI558" s="67">
        <f t="shared" si="1059"/>
        <v>56.05</v>
      </c>
      <c r="DJ558" s="202" t="str">
        <f>IF($D556="","",$D556)</f>
        <v>16</v>
      </c>
      <c r="DK558" s="493"/>
    </row>
    <row r="559" spans="1:115" ht="14.5" customHeight="1" x14ac:dyDescent="0.2">
      <c r="A559" s="459">
        <f>$A556+1</f>
        <v>186</v>
      </c>
      <c r="B559" s="507" t="str">
        <f>IF(OR(C559="W",C560="W",C561="W",C559="1/2W",C560="1/2W",C561="1/2W",C559="1/2L",C560="1/2L",C561="1/2L"),"OK",IF(OR(C559="L",C560="L",C561="L"),"LOSS",IF(OR(C559="X",C560="X",C561="X"),"Anulado"," ")))</f>
        <v>OK</v>
      </c>
      <c r="C559" s="93" t="s">
        <v>55</v>
      </c>
      <c r="D559" s="468" t="str">
        <f>IF(G559="","",$D556)</f>
        <v>16</v>
      </c>
      <c r="E559" s="485" t="str">
        <f>IF(G559=""," ","– "&amp;COUNTIF(D$4:D561,$D559))</f>
        <v>– 18</v>
      </c>
      <c r="F559" s="509" t="str">
        <f ca="1">IF(G559="","",IF(OR(AND($C559&lt;&gt;" ",$C560=" "),AND($C560&lt;&gt;" ",$C559=" "),AND(L561&gt;0,OR(AND($C561&lt;&gt;" ",OR($C559=" ",$C560=" ")),AND($C561=" ",OR($C559&lt;&gt;" ",$C560&lt;&gt;" "))))),IF(SUM(F$4:F558)=0,1,LARGE(F$4:F558,1)+1),IF(MONTH(G559)=MONTH(TODAY()),IF(AND(DAY(G559)&lt;DAY(TODAY()),$B559=" "),IF(SUM(F$4:F558)=0,1,LARGE(F$4:F558,1)+1),IF($B559=" ",IF(AND(DAY(G559)=DAY(TODAY()),HOUR(G559)&lt;=HOUR(NOW())+1),IF(AND(HOUR(G559)+2&lt;=HOUR(NOW()),DAY(G559)&lt;=DAY(TODAY()),MINUTE(G559)&lt;=MINUTE(NOW())),IF(SUM(F$4:F558)=0,1,LARGE(F$4:F558,1)+1),IF(OR(MINUTE(G559)&lt;=MINUTE(NOW()),HOUR(G559)&lt;=HOUR(NOW())),"!!!","")),""),"")),"")))</f>
        <v/>
      </c>
      <c r="G559" s="482">
        <f>IF(H559="","",_xlfn.XLOOKUP(H559,$H$4:H558,$G$4:G558,""))</f>
        <v>45001.604166666664</v>
      </c>
      <c r="H559" s="475" t="s">
        <v>212</v>
      </c>
      <c r="I559" s="94" t="s">
        <v>63</v>
      </c>
      <c r="J559" s="176"/>
      <c r="K559" s="96" t="s">
        <v>37</v>
      </c>
      <c r="L559" s="97">
        <v>2.25</v>
      </c>
      <c r="M559" s="98">
        <v>11.46</v>
      </c>
      <c r="N559" s="478">
        <v>0</v>
      </c>
      <c r="O559" s="99">
        <f>IF(OR(AE559="",AE560=""),"",ROUND(IF(L561&gt;0,IF(M559&gt;0,M559,IF(M560&gt;0,ROUND((M560*AE559)/AE560,IF(N559=0,2,IF(N559=0.1,1,0))),ROUND((M561*AE559)/AE561,IF(N559=0,2,IF(N559=0.1,1,0))))),IF(M559&gt;0,M559,ROUND((M560*AE559)/AE560,IF(N559=0,2,IF(N559=0.1,1,0))))),2))</f>
        <v>11.46</v>
      </c>
      <c r="P559" s="100">
        <f>IF(OR(L559="",O559=""),"",IF($C559="1/2W",O559/2+O559/2*L559,IF($C559="1/2L",O559/2,IF(I559="Lay",(O559*(L559/(L559-1))-O559)*(1-_xlfn.XLOOKUP(K559,'Fevereiro 2023 - Valor Real'!A3:A15,'Fevereiro 2023 - Valor Real'!C3:C15,0))+O559,(O559*L559-O559)*(1-_xlfn.XLOOKUP(K559,'Fevereiro 2023 - Valor Real'!A3:A15,'Fevereiro 2023 - Valor Real'!C3:C15,0))+O559))))</f>
        <v>25.785000000000004</v>
      </c>
      <c r="Q559" s="101">
        <f>IF(K559="","",IF(_xlfn.XLOOKUP(K559,K$4:K558,$DJ$4:DJ558,0,,-1)=DJ559,_xlfn.XLOOKUP(K559,K$4:K558,Q$4:Q558,1,,-1)+1,1))</f>
        <v>6</v>
      </c>
      <c r="R559" s="102">
        <f>IF(K559="","",_xlfn.XLOOKUP(K559,K$4:K558,R$4:R558,0,,-1)+IF($C559=" ",1,0))</f>
        <v>0</v>
      </c>
      <c r="S559" s="474">
        <f>IF($B559="Anulado",0,ROUND(IF(OR($B559="LOSS",$B559="OK"),IF(OR($C559="W",$C559="1/2W",$C559="1/2L"),P559-O559,IF($C559="L",-O559,0))+IF(OR($C560="W",$C560="1/2W",$C560="1/2L"),P560-O560,IF($C560="L",-O560,0))+IF(OR($C561="W",$C561="1/2W",$C561="1/2L"),P561-O561,IF($C561="L",-O561,0)),IF(AND(OR($C559="W",$C559="1/2W",$C559="1/2L"),C560="W"),P559+P560-SUM(O559:O561)+_xlfn.XLOOKUP("X",C559:C561,O559:O561,0),IF(AND(C559=TRUE,C561="W"),P559+P561-SUM(O559:O561),IF(AND(C560="W",C561="W"),P560+P561-SUM(O559:O561)+_xlfn.XLOOKUP("X",C559:C561,O559:O561,0),IF(L561&gt;0,IF(OR($C559="W",$C559="1/2W",$C559="1/2L"),P559-SUM(O559:O561)+_xlfn.XLOOKUP("X",C559:C561,O559:O561,0),IF(OR($C559="W",$C559="1/2W",$C559="1/2L"),P560-SUM(O559:O561)+_xlfn.XLOOKUP("X",C559:C561,O559:O561,0),IF(OR($C559="W",$C559="1/2W",$C559="1/2L"),P561-SUM(O559:O561)+_xlfn.XLOOKUP("X",C559:C561,O559:O561,0),IF(SUM(P559:P561)/3-SUM(O559:O561)+_xlfn.XLOOKUP("X",C559:C561,O559:O561,0)&gt;0,SUM(P559:P561)/3-SUM(O559:O561)+_xlfn.XLOOKUP("X",C559:C561,O559:O561,0),LARGE(P559:P561,1)-SUM(O559:O561))))),IF(OR($C559="W",$C559="1/2W",$C559="1/2L"),P559-SUM(O559:O560)+_xlfn.XLOOKUP("X",C559:C561,O559:O561,0),IF(OR($C559="W",$C559="1/2W",$C559="1/2L"),P560-SUM(O559:O560)+_xlfn.XLOOKUP("X",C559:C561,O559:O561,0),SUM(P559:P560)/2-SUM(O559:O560)+_xlfn.XLOOKUP("X",C559:C561,O559:O561,0)))))))),2))</f>
        <v>1.75</v>
      </c>
      <c r="T559" s="458">
        <f>IF(S559=0,0,S559/SUM(O559:O561))</f>
        <v>7.2795341098169722E-2</v>
      </c>
      <c r="U559" s="470">
        <f>IF($D559=$D556,IF(OR($B559="LOSS",$B559="OK",$B559="Anulada"),S559,0)+U556,IF(OR($B559="LOSS",$B559="OK",$B559="Anulada"),S559,0))</f>
        <v>38.549999999999997</v>
      </c>
      <c r="V559" s="470">
        <f>IF($D559="",0,IF($D559=$D556,IF($B559=" ",IF(I561="",IF(OR(AND(I559="DNB1",I560="DNB2"),AND(OR(I559="DNB1",I559="DNB2"),J560=0),AND(OR(I560="DNB1",I560="DNB2"),J559=0),AND(I559="DNB2",I560="DNB1"),AND(IF(J559=0,(J559+1)/ROUND(J559+1,0),J559/ROUND(J559,0))=1,IF(J560=0,(J560+1)/ROUND(IF(J560="",0,J560)+1,0),IF(J560="",0,J560)/ROUND(IF(J560="",1,J560),0))=1,OR(J559&lt;&gt;""),J560&lt;&gt;"")),0,IF(S559&lt;0,IF(I561="",SMALL(P559:P560,1)-SUM(O559:O560),0),SMALL(P559:P560,1)-SUM(O559:O560))),IF(S559&lt;0,IF(I561="",SMALL(P559:P561,1)-SUM(O559:O561),0),LARGE(P559:P561,1)-SUM(O559:O561))),S559)+V556,IF(I561="",IF(OR(AND(I559="DNB1",I560="DNB2"),AND(OR(I559="DNB1",I559="DNB2"),J560=0),AND(OR(I560="DNB1",I560="DNB2"),J559=0),AND(I559="DNB2",I560="DNB1"),AND(IF(J559=0,(J559+1)/ROUND(J559+1,0),J559/ROUND(J559,0))=1,IF(J560=0,(IF(J560="",0,J560)+1)/ROUND(IF(J560="",0,J560)+1,0),IF(J560="",0,J560)/ROUND(IF(J560="",0,J560)+1,0))=1,OR(J559&lt;&gt;""),J560&lt;&gt;"")),0,IF(S559&lt;0,IF(I561="",SMALL(P559:P560,1)-SUM(O559:O560),0),SMALL(P559:P561,1)-SUM(O559:O561))),IF(S559&lt;0,IF(I561="",SMALL(P559:P561,1)-SUM(O559:O561),0),LARGE(P559:P561,1)-SUM(O559:O561)))))</f>
        <v>38.545199999999994</v>
      </c>
      <c r="W559" s="470">
        <f>IF($D559=$D556,IF(S559&lt;0,IF(I561="",S559,0),S559)+W556,S559)</f>
        <v>38.549999999999997</v>
      </c>
      <c r="X559" s="480" t="str">
        <f>IF(OR(SUM(R559:R561)=0,V559=W559),ROUND(IF(W559=0,0,W559/Y559)*100,2)&amp;"%",ROUND(IF(V559=0,0,V559/Y559)*100,2)&amp;"% a "&amp;ROUND(IF(W559=0,0,W559/Y559)*100,2)&amp;"%")</f>
        <v>7,82%</v>
      </c>
      <c r="Y559" s="471">
        <f>IF($D559=$D556,Y556+SUM(O559:O561),SUM(O559:O561))</f>
        <v>493.27</v>
      </c>
      <c r="Z559" s="470">
        <f>IF($B559=" ",SUM(O559:O561),0)+Z556</f>
        <v>0</v>
      </c>
      <c r="AA559" s="470">
        <f>IF(G559="","",IF($B559="Anulado",LARGE(P559:P561,1)-SUM(O559:O561)+AA556,AA556))</f>
        <v>12.425099999999992</v>
      </c>
      <c r="AB559" s="470">
        <f>IF($D559="","",AB556+S559)</f>
        <v>636.65000000000055</v>
      </c>
      <c r="AC559" s="472">
        <f ca="1">IF($D559="","",IF($B559=" ",IF(DAY(G559)=DAY(TODAY()),1+AC556,0+AC556),0+AC556))</f>
        <v>0</v>
      </c>
      <c r="AD559" s="103">
        <f>(((L560/(L560-1)-1)*(1-_xlfn.XLOOKUP(K560,'Fevereiro 2023 - Valor Real'!A3:A15,'Fevereiro 2023 - Valor Real'!C3:C15,0))+1))/(((L559-1)*(1-_xlfn.XLOOKUP(K559,'Fevereiro 2023 - Valor Real'!A3:A15,'Fevereiro 2023 - Valor Real'!C3:C15,0))+1)+((L560/(L560-1)-1)*(1-_xlfn.XLOOKUP(K560,'Fevereiro 2023 - Valor Real'!A3:A15,'Fevereiro 2023 - Valor Real'!C3:C15,0))+1))</f>
        <v>0.46458923512747879</v>
      </c>
      <c r="AE559" s="104">
        <f>IF(L559="","",IF(L561&gt;0,(SUM(((L559-1)*(1-_xlfn.XLOOKUP(K559,'Fevereiro 2023 - Valor Real'!A3:A15,'Fevereiro 2023 - Valor Real'!C3:C15,0))+1),((L560-1)*(1-_xlfn.XLOOKUP(K560,'Fevereiro 2023 - Valor Real'!A3:A15,'Fevereiro 2023 - Valor Real'!C3:C15,0))+1),((L561-1)*(1-_xlfn.XLOOKUP(K561,'Fevereiro 2023 - Valor Real'!A3:A15,'Fevereiro 2023 - Valor Real'!C3:C15,0))+1))/((L559-1)*(1-_xlfn.XLOOKUP(K559,'Fevereiro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Real'!C3:C15,0))+1))/((L559-1)*(1-_xlfn.XLOOKUP(K559,'Fevereiro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Real'!C3:C15,0))+1))/((L560-1)*(1-_xlfn.XLOOKUP(K560,'Fevereiro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Real'!C3:C15,0))+1))/((L561-1)*(1-_xlfn.XLOOKUP(K561,'Fevereiro 2023 - Valor Real'!A3:A15,'Fevereiro 2023 - Valor Real'!C3:C15,0))+1)),IF(I559="Lay",IF(I560="Lay",((L560/(L560-1)-1)*(1-_xlfn.XLOOKUP(K560,'Fevereiro 2023 - Valor Real'!A3:A15,'Fevereiro 2023 - Valor Real'!C3:C15,0))+1)/(((L560/(L560-1)-1)*(1-_xlfn.XLOOKUP(K560,'Fevereiro 2023 - Valor Real'!A3:A15,'Fevereiro 2023 - Valor Real'!C3:C15,0))+1)+((L559/(L559-1)-1)*(1-_xlfn.XLOOKUP(K559,'Fevereiro 2023 - Valor Real'!A3:A15,'Fevereiro 2023 - Valor Real'!C3:C15,0))+1)),((L560-1)*(1-_xlfn.XLOOKUP(K560,'Fevereiro 2023 - Valor Real'!A3:A15,'Fevereiro 2023 - Valor Real'!C3:C15,0))+1)/(((L560-1)*(1-_xlfn.XLOOKUP(K560,'Fevereiro 2023 - Valor Real'!A3:A15,'Fevereiro 2023 - Valor Real'!C3:C15,0))+1)+((L559/(L559-1)-1)*(1-_xlfn.XLOOKUP(K559,'Fevereiro 2023 - Valor Real'!A3:A15,'Fevereiro 2023 - Valor Real'!C3:C15,0))+1))),IF(I560="Lay",(((L560/(L560-1)-1)*(1-_xlfn.XLOOKUP(K560,'Fevereiro 2023 - Valor Real'!A3:A15,'Fevereiro 2023 - Valor Real'!C3:C15,0))+1))/(((L559-1)*(1-_xlfn.XLOOKUP(K559,'Fevereiro 2023 - Valor Real'!A3:A15,'Fevereiro 2023 - Valor Real'!C3:C15,0))+1)+((L560/(L560-1)-1)*(1-_xlfn.XLOOKUP(K560,'Fevereiro 2023 - Valor Real'!A3:A15,'Fevereiro 2023 - Valor Real'!C3:C15,0))+1)),((L560-1)*(1-_xlfn.XLOOKUP(K560,'Fevereiro 2023 - Valor Real'!A3:A15,'Fevereiro 2023 - Valor Real'!C3:C15,0))+1)/(((L560-1)*(1-_xlfn.XLOOKUP(K560,'Fevereiro 2023 - Valor Real'!A3:A15,'Fevereiro 2023 - Valor Real'!C3:C15,0))+1)+((L559-1)*(1-_xlfn.XLOOKUP(K559,'Fevereiro 2023 - Valor Real'!A3:A15,'Fevereiro 2023 - Valor Real'!C3:C15,0))+1))))))</f>
        <v>0.47674418604651159</v>
      </c>
      <c r="AF559" s="105">
        <f t="shared" si="1114"/>
        <v>0</v>
      </c>
      <c r="AG559" s="106">
        <f t="shared" si="1114"/>
        <v>-11.46</v>
      </c>
      <c r="AH559" s="106">
        <f t="shared" si="1114"/>
        <v>0</v>
      </c>
      <c r="AI559" s="106">
        <f t="shared" si="1114"/>
        <v>0</v>
      </c>
      <c r="AJ559" s="106">
        <f t="shared" si="1114"/>
        <v>0</v>
      </c>
      <c r="AK559" s="106">
        <f t="shared" si="1114"/>
        <v>0</v>
      </c>
      <c r="AL559" s="106">
        <f t="shared" si="1114"/>
        <v>0</v>
      </c>
      <c r="AM559" s="106">
        <f t="shared" si="1114"/>
        <v>0</v>
      </c>
      <c r="AN559" s="106">
        <f t="shared" si="1114"/>
        <v>0</v>
      </c>
      <c r="AO559" s="106">
        <f t="shared" si="1114"/>
        <v>0</v>
      </c>
      <c r="AP559" s="106">
        <f t="shared" si="1114"/>
        <v>0</v>
      </c>
      <c r="AQ559" s="106">
        <f t="shared" si="1114"/>
        <v>0</v>
      </c>
      <c r="AR559" s="107">
        <f t="shared" si="1114"/>
        <v>0</v>
      </c>
      <c r="AS559" s="105">
        <f t="shared" ref="AS559:BE559" si="1122">IF(AND($B559=" ",$K559=AS$3),$O559,0)</f>
        <v>0</v>
      </c>
      <c r="AT559" s="106">
        <f t="shared" si="1122"/>
        <v>0</v>
      </c>
      <c r="AU559" s="106">
        <f t="shared" si="1122"/>
        <v>0</v>
      </c>
      <c r="AV559" s="106">
        <f t="shared" si="1122"/>
        <v>0</v>
      </c>
      <c r="AW559" s="106">
        <f t="shared" si="1122"/>
        <v>0</v>
      </c>
      <c r="AX559" s="106">
        <f t="shared" si="1122"/>
        <v>0</v>
      </c>
      <c r="AY559" s="108">
        <f t="shared" si="1122"/>
        <v>0</v>
      </c>
      <c r="AZ559" s="109">
        <f t="shared" si="1122"/>
        <v>0</v>
      </c>
      <c r="BA559" s="109">
        <f t="shared" si="1122"/>
        <v>0</v>
      </c>
      <c r="BB559" s="109">
        <f t="shared" si="1122"/>
        <v>0</v>
      </c>
      <c r="BC559" s="110">
        <f t="shared" si="1122"/>
        <v>0</v>
      </c>
      <c r="BD559" s="106">
        <f t="shared" si="1122"/>
        <v>0</v>
      </c>
      <c r="BE559" s="107">
        <f t="shared" si="1122"/>
        <v>0</v>
      </c>
      <c r="BF559" s="111">
        <f t="shared" si="1116"/>
        <v>0</v>
      </c>
      <c r="BG559" s="106">
        <f t="shared" si="1116"/>
        <v>11.46</v>
      </c>
      <c r="BH559" s="106">
        <f t="shared" si="1116"/>
        <v>0</v>
      </c>
      <c r="BI559" s="106">
        <f t="shared" si="1116"/>
        <v>0</v>
      </c>
      <c r="BJ559" s="106">
        <f t="shared" si="1116"/>
        <v>0</v>
      </c>
      <c r="BK559" s="106">
        <f t="shared" si="1116"/>
        <v>0</v>
      </c>
      <c r="BL559" s="106">
        <f t="shared" si="1116"/>
        <v>0</v>
      </c>
      <c r="BM559" s="108">
        <f t="shared" si="1116"/>
        <v>0</v>
      </c>
      <c r="BN559" s="109">
        <f t="shared" si="1116"/>
        <v>0</v>
      </c>
      <c r="BO559" s="109">
        <f t="shared" si="1116"/>
        <v>0</v>
      </c>
      <c r="BP559" s="109">
        <f t="shared" si="1116"/>
        <v>0</v>
      </c>
      <c r="BQ559" s="110">
        <f t="shared" si="1116"/>
        <v>0</v>
      </c>
      <c r="BR559" s="107">
        <f t="shared" si="1116"/>
        <v>0</v>
      </c>
      <c r="BS559" s="463">
        <f>IF($B559="LOSS",IF(AND($K559=BS$3,$C559="L"),-$O559,0)+IF(AND($K560=BS$3,$C560="L"),-$O560,0)+IF(AND($K561=BS$3,$C561="L"),-$O561,0),IF(OR(AND($K559=BS$3,OR($C559="W",$C559="1/2W")),AND($K560=BS$3,OR($C560="W",$C560="1/2W")),AND($K561=BS$3,OR($C561="W",$C561="1/2W"))),$S559,0))</f>
        <v>0</v>
      </c>
      <c r="BT559" s="462">
        <f>IF($B559="LOSS",IF(AND($K559=BT$3,$C559="L"),-$O559,0)+IF(AND($K560=BT$3,$C560="L"),-$O560,0)+IF(AND($K560=BT$3,$C561="L"),-$O561,0),IF(OR(AND($K560=BT$3,OR($C559="W",$C559="1/2W")),AND($K560=BT$3,OR($C560="W",$C560="1/2W")),AND($K560=BT$3,OR($C561="W",$C561="1/2W"))),$S559,0))</f>
        <v>0</v>
      </c>
      <c r="BU559" s="462">
        <f>IF($B559="LOSS",IF(AND($K559=BU$3,$C559="L"),-$O559,0)+IF(AND($K560=BU$3,$C560="L"),-$O560,0)+IF(AND($K560=BU$3,$C561="L"),-$O561,0),IF(OR(AND($K560=BU$3,OR($C559="W",$C559="1/2W")),AND($K560=BU$3,OR($C560="W",$C560="1/2W")),AND($K560=BU$3,OR($C561="W",$C561="1/2W"))),$S559,0))</f>
        <v>0</v>
      </c>
      <c r="BV559" s="462">
        <f t="shared" ref="BV559:CE559" si="1123">IF($B559="LOSS",IF(AND($K559=BV$3,$C559="L"),-$O559,0)+IF(AND($K560=BV$3,$C560="L"),-$O560,0)+IF(AND($K561=BV$3,$C561="L"),-$O561,0),IF(OR(AND($K559=BV$3,OR($C559="W",$C559="1/2W")),AND($K560=BV$3,OR($C560="W",$C560="1/2W")),AND($K561=BV$3,OR($C561="W",$C561="1/2W"))),$S559,0))</f>
        <v>0</v>
      </c>
      <c r="BW559" s="462">
        <f t="shared" si="1123"/>
        <v>0</v>
      </c>
      <c r="BX559" s="462">
        <f t="shared" si="1123"/>
        <v>0</v>
      </c>
      <c r="BY559" s="462">
        <f t="shared" si="1123"/>
        <v>0</v>
      </c>
      <c r="BZ559" s="460">
        <f t="shared" si="1123"/>
        <v>0</v>
      </c>
      <c r="CA559" s="460">
        <f t="shared" si="1123"/>
        <v>0</v>
      </c>
      <c r="CB559" s="460">
        <f t="shared" si="1123"/>
        <v>0</v>
      </c>
      <c r="CC559" s="460">
        <f t="shared" si="1123"/>
        <v>0</v>
      </c>
      <c r="CD559" s="473">
        <f t="shared" si="1123"/>
        <v>1.75</v>
      </c>
      <c r="CE559" s="479">
        <f t="shared" si="1123"/>
        <v>0</v>
      </c>
      <c r="CF559" s="113">
        <f t="shared" si="1028"/>
        <v>0</v>
      </c>
      <c r="CG559" s="114">
        <f t="shared" si="1029"/>
        <v>0</v>
      </c>
      <c r="CH559" s="114">
        <f t="shared" si="1030"/>
        <v>0</v>
      </c>
      <c r="CI559" s="114">
        <f t="shared" si="1031"/>
        <v>1</v>
      </c>
      <c r="CJ559" s="114">
        <f t="shared" si="1032"/>
        <v>0</v>
      </c>
      <c r="CK559" s="114">
        <f t="shared" si="1033"/>
        <v>0</v>
      </c>
      <c r="CL559" s="114">
        <f t="shared" si="1034"/>
        <v>0</v>
      </c>
      <c r="CM559" s="114">
        <f t="shared" si="1035"/>
        <v>0</v>
      </c>
      <c r="CN559" s="114">
        <f t="shared" si="1036"/>
        <v>0</v>
      </c>
      <c r="CO559" s="114">
        <f t="shared" si="1037"/>
        <v>0</v>
      </c>
      <c r="CP559" s="114">
        <f t="shared" si="1038"/>
        <v>0</v>
      </c>
      <c r="CQ559" s="114">
        <f t="shared" si="1039"/>
        <v>0</v>
      </c>
      <c r="CR559" s="114">
        <f t="shared" si="1040"/>
        <v>0</v>
      </c>
      <c r="CS559" s="114">
        <f t="shared" si="1041"/>
        <v>0</v>
      </c>
      <c r="CT559" s="115">
        <f t="shared" si="1042"/>
        <v>0</v>
      </c>
      <c r="CU559" s="116">
        <f t="shared" si="1043"/>
        <v>0</v>
      </c>
      <c r="CV559" s="116">
        <f t="shared" si="1044"/>
        <v>0</v>
      </c>
      <c r="CW559" s="116">
        <f t="shared" si="1045"/>
        <v>0</v>
      </c>
      <c r="CX559" s="116">
        <f t="shared" si="1046"/>
        <v>0</v>
      </c>
      <c r="CY559" s="116">
        <f t="shared" si="1047"/>
        <v>0</v>
      </c>
      <c r="CZ559" s="116">
        <f t="shared" si="1048"/>
        <v>0</v>
      </c>
      <c r="DA559" s="116">
        <f t="shared" si="1049"/>
        <v>0</v>
      </c>
      <c r="DB559" s="116">
        <f t="shared" si="1050"/>
        <v>0</v>
      </c>
      <c r="DC559" s="116">
        <f t="shared" si="1051"/>
        <v>0</v>
      </c>
      <c r="DD559" s="116">
        <f t="shared" si="1052"/>
        <v>0</v>
      </c>
      <c r="DE559" s="117">
        <f t="shared" si="1053"/>
        <v>0</v>
      </c>
      <c r="DF559" s="118">
        <f t="shared" si="1056"/>
        <v>34</v>
      </c>
      <c r="DG559" s="106">
        <f t="shared" si="1057"/>
        <v>44.451999999999991</v>
      </c>
      <c r="DH559" s="116">
        <f t="shared" si="1058"/>
        <v>13</v>
      </c>
      <c r="DI559" s="106">
        <f t="shared" si="1059"/>
        <v>56.05</v>
      </c>
      <c r="DJ559" s="201" t="str">
        <f>IF($D559="","",$D559)</f>
        <v>16</v>
      </c>
      <c r="DK559" s="465">
        <f>IF(AND($B559=" ",$D559&lt;&gt;""),1,0)</f>
        <v>0</v>
      </c>
    </row>
    <row r="560" spans="1:115" ht="14.5" customHeight="1" x14ac:dyDescent="0.2">
      <c r="A560" s="389"/>
      <c r="B560" s="456"/>
      <c r="C560" s="120" t="s">
        <v>54</v>
      </c>
      <c r="D560" s="374"/>
      <c r="E560" s="386"/>
      <c r="F560" s="377"/>
      <c r="G560" s="483"/>
      <c r="H560" s="476"/>
      <c r="I560" s="121" t="s">
        <v>76</v>
      </c>
      <c r="J560" s="122">
        <f>IF(OR(I559="TO",I559="TU",I559="TO1",I559="TU1",I559="TO2",I559="TU2"),J559,IF(OR(I559="AH1",I559="AH2"),IF(OR(I560="AH1",I560="AH2"),-J559,IF(OR(I560="EH1",I560="EH2"),-J559+0.5,"")),IF(OR(I559="EH1",I559="EH2"),IF(OR(I560="AH1",I560="AH2"),-J559+0.5,IF(OR(I560="EH1",I560="EH2"),-J559+1,"")),IF(AND(OR(I559="DNB1",I559="DNB2"),OR(I560="AH1",I560="AH2")),0,IF(AND(I559="Not ScoreBoth",OR(I560="TO1",I560="TO2")),0.5,"")))))</f>
        <v>0</v>
      </c>
      <c r="K560" s="123" t="s">
        <v>47</v>
      </c>
      <c r="L560" s="124">
        <v>2.0499999999999998</v>
      </c>
      <c r="M560" s="125"/>
      <c r="N560" s="406"/>
      <c r="O560" s="126">
        <f>IF(OR(AE559="",AE560=""),"",ROUND(IF(L561&gt;0,IF(M560&gt;0,M560,IF(M559&gt;0,IF(N559=TRUE,ROUND((M559*AE560)/AE559,0),(M559*AE560)/AE559),IF(M560&gt;0,ROUND(M560,IF(N559=0,2,IF(N559=0.1,1,0))),IF(M561&gt;0,ROUND(O561*AE560/AE561,IF(N559=0,2,IF(N559=0.1,1,0))),0)))),IF(M560&gt;0,M560,ROUND((M559*AE560)/AE559,IF(N559=0,2,IF(N559=0.1,1,0))))),2))</f>
        <v>12.58</v>
      </c>
      <c r="P560" s="127">
        <f>IF(OR(L560="",O560=""),"",IF($C560="1/2W",O560/2+O560/2*L560,IF($C560="1/2L",O560/2,IF(I560="Lay",((O560*(L560/(L560-1)))-O560)*(1-_xlfn.XLOOKUP(K560,'Fevereiro 2023 - Valor Real'!A3:A15,'Fevereiro 2023 - Valor Real'!C3:C15,0))+O560,(O560*L560-O560)*(1-_xlfn.XLOOKUP(K560,'Fevereiro 2023 - Valor Real'!A3:A15,'Fevereiro 2023 - Valor Real'!C3:C15,0))+O560))))</f>
        <v>25.788999999999998</v>
      </c>
      <c r="Q560" s="128">
        <f>IF(K560="","",IF(_xlfn.XLOOKUP(K560,K$4:K559,$DJ$4:DJ559,0,,-1)=DJ560,_xlfn.XLOOKUP(K560,K$4:K559,Q$4:Q559,1,,-1)+1,1))</f>
        <v>6</v>
      </c>
      <c r="R560" s="129">
        <f>IF(K560="","",_xlfn.XLOOKUP(K560,K$4:K559,R$4:R559,0,,-1)+IF($C560=" ",1,0))</f>
        <v>0</v>
      </c>
      <c r="S560" s="403"/>
      <c r="T560" s="380"/>
      <c r="U560" s="380"/>
      <c r="V560" s="481"/>
      <c r="W560" s="380"/>
      <c r="X560" s="452"/>
      <c r="Y560" s="383"/>
      <c r="Z560" s="384"/>
      <c r="AA560" s="384"/>
      <c r="AB560" s="384"/>
      <c r="AC560" s="384"/>
      <c r="AD560" s="130">
        <f>(((L560/(L560-1)-1)*(1-_xlfn.XLOOKUP(K560,'Fevereiro 2023 - Valor Real'!A3:A15,'Fevereiro 2023 - Valor Real'!C3:C15,0))+1))</f>
        <v>1.9523809523809526</v>
      </c>
      <c r="AE560" s="131">
        <f>IF(L560="","",IF(L561&gt;0,(SUM(((L559-1)*(1-_xlfn.XLOOKUP(K559,'Fevereiro 2023 - Valor Real'!A3:A15,'Fevereiro 2023 - Valor Real'!C3:C15,0))+1),((L560-1)*(1-_xlfn.XLOOKUP(K560,'Fevereiro 2023 - Valor Real'!A3:A15,'Fevereiro 2023 - Valor Real'!C3:C15,0))+1),((L561-1)*(1-_xlfn.XLOOKUP(K561,'Fevereiro 2023 - Valor Real'!A3:A15,'Fevereiro 2023 - Valor Real'!C3:C15,0))+1))/((L560-1)*(1-_xlfn.XLOOKUP(K560,'Fevereiro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Real'!C3:C15,0))+1))/((L559-1)*(1-_xlfn.XLOOKUP(K559,'Fevereiro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Real'!C3:C15,0))+1))/((L560-1)*(1-_xlfn.XLOOKUP(K560,'Fevereiro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Real'!C3:C15,0))+1))/((L561-1)*(1-_xlfn.XLOOKUP(K561,'Fevereiro 2023 - Valor Real'!A3:A15,'Fevereiro 2023 - Valor Real'!C3:C15,0))+1)),IF(I560="Lay",IF(I559="Lay",((L559/(L559-1)-1)*(1-_xlfn.XLOOKUP(K559,'Fevereiro 2023 - Valor Real'!A3:A15,'Fevereiro 2023 - Valor Real'!C3:C15,0))+1)/(((L559/(L559-1)-1)*(1-_xlfn.XLOOKUP(K559,'Fevereiro 2023 - Valor Real'!A3:A15,'Fevereiro 2023 - Valor Real'!C3:C15,0))+1)+((L560/(L560-1)-1)*(1-_xlfn.XLOOKUP(K560,'Fevereiro 2023 - Valor Real'!A3:A15,'Fevereiro 2023 - Valor Real'!C3:C15,0))+1)),((L559-1)*(1-_xlfn.XLOOKUP(K559,'Fevereiro 2023 - Valor Real'!A3:A15,'Fevereiro 2023 - Valor Real'!C3:C15,0))+1)/(((L559-1)*(1-_xlfn.XLOOKUP(K559,'Fevereiro 2023 - Valor Real'!A3:A15,'Fevereiro 2023 - Valor Real'!C3:C15,0))+1)+((L560/(L560-1)-1)*(1-_xlfn.XLOOKUP(K560,'Fevereiro 2023 - Valor Real'!A3:A15,'Fevereiro 2023 - Valor Real'!C3:C15,0))+1))),IF(I559="Lay",((L559/(L559-1)-1)*(1-_xlfn.XLOOKUP(K559,'Fevereiro 2023 - Valor Real'!A3:A15,'Fevereiro 2023 - Valor Real'!C3:C15,0))+1)/((((L559/(L559-1)-1)*(1-_xlfn.XLOOKUP(K559,'Fevereiro 2023 - Valor Real'!A3:A15,'Fevereiro 2023 - Valor Real'!C3:C15,0))+1))+((L560-1)*(1-_xlfn.XLOOKUP(K560,'Fevereiro 2023 - Valor Real'!A3:A15,'Fevereiro 2023 - Valor Real'!C3:C15,0))+1)),((L559-1)*(1-_xlfn.XLOOKUP(K559,'Fevereiro 2023 - Valor Real'!A3:A15,'Fevereiro 2023 - Valor Real'!C3:C15,0))+1)/(((L559-1)*(1-_xlfn.XLOOKUP(K559,'Fevereiro 2023 - Valor Real'!A3:A15,'Fevereiro 2023 - Valor Real'!C3:C15,0))+1)+((L560-1)*(1-_xlfn.XLOOKUP(K560,'Fevereiro 2023 - Valor Real'!A3:A15,'Fevereiro 2023 - Valor Real'!C3:C15,0))+1))))))</f>
        <v>0.52325581395348841</v>
      </c>
      <c r="AF560" s="105">
        <f t="shared" si="1114"/>
        <v>0</v>
      </c>
      <c r="AG560" s="106">
        <f t="shared" si="1114"/>
        <v>0</v>
      </c>
      <c r="AH560" s="106">
        <f t="shared" si="1114"/>
        <v>0</v>
      </c>
      <c r="AI560" s="106">
        <f t="shared" si="1114"/>
        <v>0</v>
      </c>
      <c r="AJ560" s="106">
        <f t="shared" si="1114"/>
        <v>0</v>
      </c>
      <c r="AK560" s="106">
        <f t="shared" si="1114"/>
        <v>0</v>
      </c>
      <c r="AL560" s="106">
        <f t="shared" si="1114"/>
        <v>0</v>
      </c>
      <c r="AM560" s="106">
        <f t="shared" si="1114"/>
        <v>0</v>
      </c>
      <c r="AN560" s="106">
        <f t="shared" si="1114"/>
        <v>0</v>
      </c>
      <c r="AO560" s="106">
        <f t="shared" si="1114"/>
        <v>0</v>
      </c>
      <c r="AP560" s="106">
        <f t="shared" si="1114"/>
        <v>0</v>
      </c>
      <c r="AQ560" s="106">
        <f t="shared" si="1114"/>
        <v>13.21</v>
      </c>
      <c r="AR560" s="107">
        <f t="shared" si="1114"/>
        <v>0</v>
      </c>
      <c r="AS560" s="105">
        <f>IF(AND($B559=" ",$K560=AS$3),$O560,0)</f>
        <v>0</v>
      </c>
      <c r="AT560" s="106">
        <f>IF(AND($B559=" ",K560=AT$3),$O560,0)</f>
        <v>0</v>
      </c>
      <c r="AU560" s="106">
        <f t="shared" ref="AU560:BE560" si="1124">IF(AND($B559=" ",$K560=AU$3),$O560,0)</f>
        <v>0</v>
      </c>
      <c r="AV560" s="106">
        <f t="shared" si="1124"/>
        <v>0</v>
      </c>
      <c r="AW560" s="106">
        <f t="shared" si="1124"/>
        <v>0</v>
      </c>
      <c r="AX560" s="106">
        <f t="shared" si="1124"/>
        <v>0</v>
      </c>
      <c r="AY560" s="108">
        <f t="shared" si="1124"/>
        <v>0</v>
      </c>
      <c r="AZ560" s="109">
        <f t="shared" si="1124"/>
        <v>0</v>
      </c>
      <c r="BA560" s="109">
        <f t="shared" si="1124"/>
        <v>0</v>
      </c>
      <c r="BB560" s="109">
        <f t="shared" si="1124"/>
        <v>0</v>
      </c>
      <c r="BC560" s="110">
        <f t="shared" si="1124"/>
        <v>0</v>
      </c>
      <c r="BD560" s="106">
        <f t="shared" si="1124"/>
        <v>0</v>
      </c>
      <c r="BE560" s="107">
        <f t="shared" si="1124"/>
        <v>0</v>
      </c>
      <c r="BF560" s="105">
        <f t="shared" si="1116"/>
        <v>0</v>
      </c>
      <c r="BG560" s="106">
        <f t="shared" si="1116"/>
        <v>0</v>
      </c>
      <c r="BH560" s="106">
        <f t="shared" si="1116"/>
        <v>0</v>
      </c>
      <c r="BI560" s="106">
        <f t="shared" si="1116"/>
        <v>0</v>
      </c>
      <c r="BJ560" s="106">
        <f t="shared" si="1116"/>
        <v>0</v>
      </c>
      <c r="BK560" s="106">
        <f t="shared" si="1116"/>
        <v>0</v>
      </c>
      <c r="BL560" s="106">
        <f t="shared" si="1116"/>
        <v>0</v>
      </c>
      <c r="BM560" s="132">
        <f t="shared" si="1116"/>
        <v>0</v>
      </c>
      <c r="BN560" s="112">
        <f t="shared" si="1116"/>
        <v>0</v>
      </c>
      <c r="BO560" s="112">
        <f t="shared" si="1116"/>
        <v>0</v>
      </c>
      <c r="BP560" s="112">
        <f t="shared" si="1116"/>
        <v>0</v>
      </c>
      <c r="BQ560" s="110">
        <f t="shared" si="1116"/>
        <v>12.58</v>
      </c>
      <c r="BR560" s="107">
        <f t="shared" si="1116"/>
        <v>0</v>
      </c>
      <c r="BS560" s="464"/>
      <c r="BT560" s="461"/>
      <c r="BU560" s="392"/>
      <c r="BV560" s="461"/>
      <c r="BW560" s="392"/>
      <c r="BX560" s="392"/>
      <c r="BY560" s="392"/>
      <c r="BZ560" s="461"/>
      <c r="CA560" s="392"/>
      <c r="CB560" s="392"/>
      <c r="CC560" s="392"/>
      <c r="CD560" s="401"/>
      <c r="CE560" s="409"/>
      <c r="CF560" s="133">
        <f t="shared" si="1028"/>
        <v>0</v>
      </c>
      <c r="CG560" s="134">
        <f t="shared" si="1029"/>
        <v>0</v>
      </c>
      <c r="CH560" s="134">
        <f t="shared" si="1030"/>
        <v>0</v>
      </c>
      <c r="CI560" s="134">
        <f t="shared" si="1031"/>
        <v>0</v>
      </c>
      <c r="CJ560" s="134">
        <f t="shared" si="1032"/>
        <v>0</v>
      </c>
      <c r="CK560" s="134">
        <f t="shared" si="1033"/>
        <v>0</v>
      </c>
      <c r="CL560" s="134">
        <f t="shared" si="1034"/>
        <v>0</v>
      </c>
      <c r="CM560" s="134">
        <f t="shared" si="1035"/>
        <v>0</v>
      </c>
      <c r="CN560" s="134">
        <f t="shared" si="1036"/>
        <v>0</v>
      </c>
      <c r="CO560" s="134">
        <f t="shared" si="1037"/>
        <v>0</v>
      </c>
      <c r="CP560" s="134">
        <f t="shared" si="1038"/>
        <v>0</v>
      </c>
      <c r="CQ560" s="134">
        <f t="shared" si="1039"/>
        <v>0</v>
      </c>
      <c r="CR560" s="134">
        <f t="shared" si="1040"/>
        <v>0</v>
      </c>
      <c r="CS560" s="134">
        <f t="shared" si="1041"/>
        <v>0</v>
      </c>
      <c r="CT560" s="115">
        <f t="shared" si="1042"/>
        <v>0</v>
      </c>
      <c r="CU560" s="116">
        <f t="shared" si="1043"/>
        <v>0</v>
      </c>
      <c r="CV560" s="116">
        <f t="shared" si="1044"/>
        <v>0</v>
      </c>
      <c r="CW560" s="116">
        <f t="shared" si="1045"/>
        <v>0</v>
      </c>
      <c r="CX560" s="116">
        <f t="shared" si="1046"/>
        <v>0</v>
      </c>
      <c r="CY560" s="116">
        <f t="shared" si="1047"/>
        <v>0</v>
      </c>
      <c r="CZ560" s="116">
        <f t="shared" si="1048"/>
        <v>0</v>
      </c>
      <c r="DA560" s="116">
        <f t="shared" si="1049"/>
        <v>0</v>
      </c>
      <c r="DB560" s="116">
        <f t="shared" si="1050"/>
        <v>1</v>
      </c>
      <c r="DC560" s="116">
        <f t="shared" si="1051"/>
        <v>0</v>
      </c>
      <c r="DD560" s="116">
        <f t="shared" si="1052"/>
        <v>0</v>
      </c>
      <c r="DE560" s="117">
        <f t="shared" si="1053"/>
        <v>0</v>
      </c>
      <c r="DF560" s="118">
        <f t="shared" si="1056"/>
        <v>34</v>
      </c>
      <c r="DG560" s="106">
        <f t="shared" si="1057"/>
        <v>44.451999999999991</v>
      </c>
      <c r="DH560" s="116">
        <f t="shared" si="1058"/>
        <v>13</v>
      </c>
      <c r="DI560" s="106">
        <f t="shared" si="1059"/>
        <v>56.05</v>
      </c>
      <c r="DJ560" s="201" t="str">
        <f>IF($D559="","",$D559)</f>
        <v>16</v>
      </c>
      <c r="DK560" s="466"/>
    </row>
    <row r="561" spans="1:115" ht="14.5" customHeight="1" x14ac:dyDescent="0.2">
      <c r="A561" s="390"/>
      <c r="B561" s="457"/>
      <c r="C561" s="135" t="s">
        <v>53</v>
      </c>
      <c r="D561" s="375"/>
      <c r="E561" s="387"/>
      <c r="F561" s="378"/>
      <c r="G561" s="484"/>
      <c r="H561" s="477"/>
      <c r="I561" s="136"/>
      <c r="J561" s="137"/>
      <c r="K561" s="138"/>
      <c r="L561" s="139"/>
      <c r="M561" s="140"/>
      <c r="N561" s="407"/>
      <c r="O561" s="141" t="str">
        <f>IF(OR(AE559="",AE560=""),"",IF(L561&gt;0,ROUND(IF(M561&gt;0,M561,IF(M559&gt;0,ROUND((M559*AE561)/AE559,IF(N559=0,2,IF(N559=0.1,1,0))),IF(M560&gt;0,ROUND((M560*AE561)/AE560,IF(N559=0,2,IF(N559=0.1,1,0))),IF(M561&gt;0,M561,0)))),2),""))</f>
        <v/>
      </c>
      <c r="P561" s="142" t="str">
        <f>IF(I560="Lay",O560*(L560/(L560-1))-O560,IF(I559="Lay",O559*(L559/(L559-1))-O559,IF(OR(L561="",O561=""),"",IF($C561="1/2W",O561/2+O561/2*L561,IF($C561="1/2L",O561/2,(O561*L561-O561)*(1-_xlfn.XLOOKUP(K561,'Fevereiro 2023 - Valor Real'!A3:A15,'Fevereiro 2023 - Valor Real'!C3:C15,0))+O561)))))</f>
        <v/>
      </c>
      <c r="Q561" s="143" t="str">
        <f>IF(K561="","",IF(_xlfn.XLOOKUP(K561,K$4:K560,$DJ$4:DJ560,0,,-1)=DJ561,_xlfn.XLOOKUP(K561,K$4:K560,Q$4:Q560,1,,-1)+1,1))</f>
        <v/>
      </c>
      <c r="R561" s="144" t="str">
        <f>IF(K561="","",_xlfn.XLOOKUP(K561,K$4:K560,R$4:R560,0,,-1)+IF($C561=" ",1,0))</f>
        <v/>
      </c>
      <c r="S561" s="404"/>
      <c r="T561" s="378"/>
      <c r="U561" s="378"/>
      <c r="V561" s="404"/>
      <c r="W561" s="378"/>
      <c r="X561" s="453"/>
      <c r="Y561" s="383"/>
      <c r="Z561" s="384"/>
      <c r="AA561" s="384"/>
      <c r="AB561" s="384"/>
      <c r="AC561" s="384"/>
      <c r="AD561" s="145">
        <f>((L560/(L560-1)-1))</f>
        <v>0.95238095238095255</v>
      </c>
      <c r="AE561" s="146" t="str">
        <f>IF(L561="","",(SUM(((L559-1)*(1-_xlfn.XLOOKUP(K559,'Fevereiro 2023 - Valor Real'!A3:A15,'Fevereiro 2023 - Valor Real'!C3:C15,0))+1),((L560-1)*(1-_xlfn.XLOOKUP(K560,'Fevereiro 2023 - Valor Real'!A3:A15,'Fevereiro 2023 - Valor Real'!C3:C15,0))+1),((L561-1)*(1-_xlfn.XLOOKUP(K561,'Fevereiro 2023 - Valor Real'!A3:A15,'Fevereiro 2023 - Valor Real'!C3:C15,0))+1))/((L561-1)*(1-_xlfn.XLOOKUP(K561,'Fevereiro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Real'!C3:C15,0))+1))/((L559-1)*(1-_xlfn.XLOOKUP(K559,'Fevereiro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Real'!C3:C15,0))+1))/((L560-1)*(1-_xlfn.XLOOKUP(K560,'Fevereiro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Real'!C3:C15,0))+1))/((L561-1)*(1-_xlfn.XLOOKUP(K561,'Fevereiro 2023 - Valor Real'!A3:A15,'Fevereiro 2023 - Valor Real'!C3:C15,0))+1)))</f>
        <v/>
      </c>
      <c r="AF561" s="105">
        <f t="shared" si="1114"/>
        <v>0</v>
      </c>
      <c r="AG561" s="106">
        <f t="shared" si="1114"/>
        <v>0</v>
      </c>
      <c r="AH561" s="106">
        <f t="shared" si="1114"/>
        <v>0</v>
      </c>
      <c r="AI561" s="106">
        <f t="shared" si="1114"/>
        <v>0</v>
      </c>
      <c r="AJ561" s="106">
        <f t="shared" si="1114"/>
        <v>0</v>
      </c>
      <c r="AK561" s="106">
        <f t="shared" si="1114"/>
        <v>0</v>
      </c>
      <c r="AL561" s="106">
        <f t="shared" si="1114"/>
        <v>0</v>
      </c>
      <c r="AM561" s="106">
        <f t="shared" si="1114"/>
        <v>0</v>
      </c>
      <c r="AN561" s="106">
        <f t="shared" si="1114"/>
        <v>0</v>
      </c>
      <c r="AO561" s="106">
        <f t="shared" si="1114"/>
        <v>0</v>
      </c>
      <c r="AP561" s="106">
        <f t="shared" si="1114"/>
        <v>0</v>
      </c>
      <c r="AQ561" s="106">
        <f t="shared" si="1114"/>
        <v>0</v>
      </c>
      <c r="AR561" s="107">
        <f t="shared" si="1114"/>
        <v>0</v>
      </c>
      <c r="AS561" s="105">
        <f>IF(AND($B559=" ",$K561=AS$3),$O561,0)</f>
        <v>0</v>
      </c>
      <c r="AT561" s="106">
        <f>IF(AND($B559=" ",K561=AT$3),$O561,0)</f>
        <v>0</v>
      </c>
      <c r="AU561" s="106">
        <f t="shared" ref="AU561:BE561" si="1125">IF(AND($B559=" ",$K561=AU$3),$O561,0)</f>
        <v>0</v>
      </c>
      <c r="AV561" s="106">
        <f t="shared" si="1125"/>
        <v>0</v>
      </c>
      <c r="AW561" s="106">
        <f t="shared" si="1125"/>
        <v>0</v>
      </c>
      <c r="AX561" s="106">
        <f t="shared" si="1125"/>
        <v>0</v>
      </c>
      <c r="AY561" s="108">
        <f t="shared" si="1125"/>
        <v>0</v>
      </c>
      <c r="AZ561" s="109">
        <f t="shared" si="1125"/>
        <v>0</v>
      </c>
      <c r="BA561" s="109">
        <f t="shared" si="1125"/>
        <v>0</v>
      </c>
      <c r="BB561" s="109">
        <f t="shared" si="1125"/>
        <v>0</v>
      </c>
      <c r="BC561" s="110">
        <f t="shared" si="1125"/>
        <v>0</v>
      </c>
      <c r="BD561" s="106">
        <f t="shared" si="1125"/>
        <v>0</v>
      </c>
      <c r="BE561" s="107">
        <f t="shared" si="1125"/>
        <v>0</v>
      </c>
      <c r="BF561" s="105">
        <f t="shared" si="1116"/>
        <v>0</v>
      </c>
      <c r="BG561" s="106">
        <f t="shared" si="1116"/>
        <v>0</v>
      </c>
      <c r="BH561" s="106">
        <f t="shared" si="1116"/>
        <v>0</v>
      </c>
      <c r="BI561" s="106">
        <f t="shared" si="1116"/>
        <v>0</v>
      </c>
      <c r="BJ561" s="106">
        <f t="shared" si="1116"/>
        <v>0</v>
      </c>
      <c r="BK561" s="106">
        <f t="shared" si="1116"/>
        <v>0</v>
      </c>
      <c r="BL561" s="106">
        <f t="shared" si="1116"/>
        <v>0</v>
      </c>
      <c r="BM561" s="108">
        <f t="shared" si="1116"/>
        <v>0</v>
      </c>
      <c r="BN561" s="109">
        <f t="shared" si="1116"/>
        <v>0</v>
      </c>
      <c r="BO561" s="109">
        <f t="shared" si="1116"/>
        <v>0</v>
      </c>
      <c r="BP561" s="109">
        <f t="shared" si="1116"/>
        <v>0</v>
      </c>
      <c r="BQ561" s="110">
        <f t="shared" si="1116"/>
        <v>0</v>
      </c>
      <c r="BR561" s="107">
        <f t="shared" si="1116"/>
        <v>0</v>
      </c>
      <c r="BS561" s="464"/>
      <c r="BT561" s="461"/>
      <c r="BU561" s="392"/>
      <c r="BV561" s="461"/>
      <c r="BW561" s="392"/>
      <c r="BX561" s="392"/>
      <c r="BY561" s="392"/>
      <c r="BZ561" s="461"/>
      <c r="CA561" s="392"/>
      <c r="CB561" s="392"/>
      <c r="CC561" s="392"/>
      <c r="CD561" s="401"/>
      <c r="CE561" s="409"/>
      <c r="CF561" s="133">
        <f t="shared" si="1028"/>
        <v>0</v>
      </c>
      <c r="CG561" s="134">
        <f t="shared" si="1029"/>
        <v>0</v>
      </c>
      <c r="CH561" s="134">
        <f t="shared" si="1030"/>
        <v>0</v>
      </c>
      <c r="CI561" s="134">
        <f t="shared" si="1031"/>
        <v>0</v>
      </c>
      <c r="CJ561" s="134">
        <f t="shared" si="1032"/>
        <v>0</v>
      </c>
      <c r="CK561" s="134">
        <f t="shared" si="1033"/>
        <v>0</v>
      </c>
      <c r="CL561" s="134">
        <f t="shared" si="1034"/>
        <v>0</v>
      </c>
      <c r="CM561" s="134">
        <f t="shared" si="1035"/>
        <v>0</v>
      </c>
      <c r="CN561" s="134">
        <f t="shared" si="1036"/>
        <v>0</v>
      </c>
      <c r="CO561" s="134">
        <f t="shared" si="1037"/>
        <v>0</v>
      </c>
      <c r="CP561" s="134">
        <f t="shared" si="1038"/>
        <v>0</v>
      </c>
      <c r="CQ561" s="134">
        <f t="shared" si="1039"/>
        <v>0</v>
      </c>
      <c r="CR561" s="134">
        <f t="shared" si="1040"/>
        <v>0</v>
      </c>
      <c r="CS561" s="134">
        <f t="shared" si="1041"/>
        <v>0</v>
      </c>
      <c r="CT561" s="115">
        <f t="shared" si="1042"/>
        <v>0</v>
      </c>
      <c r="CU561" s="116">
        <f t="shared" si="1043"/>
        <v>0</v>
      </c>
      <c r="CV561" s="116">
        <f t="shared" si="1044"/>
        <v>0</v>
      </c>
      <c r="CW561" s="116">
        <f t="shared" si="1045"/>
        <v>0</v>
      </c>
      <c r="CX561" s="116">
        <f t="shared" si="1046"/>
        <v>0</v>
      </c>
      <c r="CY561" s="116">
        <f t="shared" si="1047"/>
        <v>0</v>
      </c>
      <c r="CZ561" s="116">
        <f t="shared" si="1048"/>
        <v>0</v>
      </c>
      <c r="DA561" s="116">
        <f t="shared" si="1049"/>
        <v>0</v>
      </c>
      <c r="DB561" s="116">
        <f t="shared" si="1050"/>
        <v>0</v>
      </c>
      <c r="DC561" s="116">
        <f t="shared" si="1051"/>
        <v>0</v>
      </c>
      <c r="DD561" s="116">
        <f t="shared" si="1052"/>
        <v>0</v>
      </c>
      <c r="DE561" s="117">
        <f t="shared" si="1053"/>
        <v>0</v>
      </c>
      <c r="DF561" s="118">
        <f t="shared" si="1056"/>
        <v>34</v>
      </c>
      <c r="DG561" s="106">
        <f t="shared" si="1057"/>
        <v>44.451999999999991</v>
      </c>
      <c r="DH561" s="116">
        <f t="shared" si="1058"/>
        <v>13</v>
      </c>
      <c r="DI561" s="106">
        <f t="shared" si="1059"/>
        <v>56.05</v>
      </c>
      <c r="DJ561" s="201" t="str">
        <f>IF($D559="","",$D559)</f>
        <v>16</v>
      </c>
      <c r="DK561" s="466"/>
    </row>
    <row r="562" spans="1:115" ht="14.5" customHeight="1" x14ac:dyDescent="0.2">
      <c r="A562" s="487">
        <f>$A559+1</f>
        <v>187</v>
      </c>
      <c r="B562" s="506" t="str">
        <f>IF(OR(C562="W",C563="W",C564="W",C562="1/2W",C563="1/2W",C564="1/2W",C562="1/2L",C563="1/2L",C564="1/2L"),"OK",IF(OR(C562="L",C563="L",C564="L"),"LOSS",IF(OR(C562="X",C563="X",C564="X"),"Anulado"," ")))</f>
        <v>OK</v>
      </c>
      <c r="C562" s="147" t="s">
        <v>54</v>
      </c>
      <c r="D562" s="494" t="str">
        <f>IF(G562="","",$D559)</f>
        <v>16</v>
      </c>
      <c r="E562" s="511" t="str">
        <f>IF(G562=""," ","– "&amp;COUNTIF(D$4:D564,$D562))</f>
        <v>– 19</v>
      </c>
      <c r="F562" s="510" t="str">
        <f ca="1">IF(G562="","",IF(OR(AND($C562&lt;&gt;" ",$C563=" "),AND($C563&lt;&gt;" ",$C562=" "),AND(L564&gt;0,OR(AND($C564&lt;&gt;" ",OR($C562=" ",$C563=" ")),AND($C564=" ",OR($C562&lt;&gt;" ",$C563&lt;&gt;" "))))),IF(SUM(F$4:F561)=0,1,LARGE(F$4:F561,1)+1),IF(MONTH(G562)=MONTH(TODAY()),IF(AND(DAY(G562)&lt;DAY(TODAY()),$B562=" "),IF(SUM(F$4:F561)=0,1,LARGE(F$4:F561,1)+1),IF($B562=" ",IF(AND(DAY(G562)=DAY(TODAY()),HOUR(G562)&lt;=HOUR(NOW())+1),IF(AND(HOUR(G562)+2&lt;=HOUR(NOW()),DAY(G562)&lt;=DAY(TODAY()),MINUTE(G562)&lt;=MINUTE(NOW())),IF(SUM(F$4:F561)=0,1,LARGE(F$4:F561,1)+1),IF(OR(MINUTE(G562)&lt;=MINUTE(NOW()),HOUR(G562)&lt;=HOUR(NOW())),"!!!","")),""),"")),"")))</f>
        <v/>
      </c>
      <c r="G562" s="508">
        <f>IF(H562="","",_xlfn.XLOOKUP(H562,$H$4:H561,$G$4:G561,""))</f>
        <v>45001.604166666664</v>
      </c>
      <c r="H562" s="502" t="s">
        <v>212</v>
      </c>
      <c r="I562" s="148">
        <v>2</v>
      </c>
      <c r="J562" s="149"/>
      <c r="K562" s="150" t="s">
        <v>37</v>
      </c>
      <c r="L562" s="151">
        <v>2.2000000000000002</v>
      </c>
      <c r="M562" s="152">
        <v>15.31</v>
      </c>
      <c r="N562" s="503">
        <v>0</v>
      </c>
      <c r="O562" s="153">
        <f>IF(OR(AE562="",AE563=""),"",ROUND(IF(L564&gt;0,IF(M562&gt;0,M562,IF(M563&gt;0,ROUND((M563*AE562)/AE563,IF(N562=0,2,IF(N562=0.1,1,0))),ROUND((M564*AE562)/AE564,IF(N562=0,2,IF(N562=0.1,1,0))))),IF(M562&gt;0,M562,ROUND((M563*AE562)/AE563,IF(N562=0,2,IF(N562=0.1,1,0))))),2))</f>
        <v>15.31</v>
      </c>
      <c r="P562" s="154">
        <f>IF(OR(L562="",O562=""),"",IF($C562="1/2W",O562/2+O562/2*L562,IF($C562="1/2L",O562/2,IF(I562="Lay",(O562*(L562/(L562-1))-O562)*(1-_xlfn.XLOOKUP(K562,'Fevereiro 2023 - Valor Real'!A3:A15,'Fevereiro 2023 - Valor Real'!C3:C15,0))+O562,(O562*L562-O562)*(1-_xlfn.XLOOKUP(K562,'Fevereiro 2023 - Valor Real'!A3:A15,'Fevereiro 2023 - Valor Real'!C3:C15,0))+O562))))</f>
        <v>33.682000000000002</v>
      </c>
      <c r="Q562" s="155">
        <f>IF(K562="","",IF(_xlfn.XLOOKUP(K562,K$9:K554,$DJ$9:DJ554,0,,-1)=DJ562,_xlfn.XLOOKUP(K562,K$9:K554,Q$9:Q554,1,,-1)+1,1))</f>
        <v>6</v>
      </c>
      <c r="R562" s="156">
        <f>IF(K562="","",_xlfn.XLOOKUP(K562,K$9:K554,R$9:R554,0,,-1)+IF($C562=" ",1,0))</f>
        <v>0</v>
      </c>
      <c r="S562" s="501">
        <f>IF($B562="Anulado",0,ROUND(IF(OR($B562="LOSS",$B562="OK"),IF(OR($C562="W",$C562="1/2W",$C562="1/2L"),P562-O562,IF($C562="L",-O562,0))+IF(OR($C563="W",$C563="1/2W",$C563="1/2L"),P563-O563,IF($C563="L",-O563,0))+IF(OR($C564="W",$C564="1/2W",$C564="1/2L"),P564-O564,IF($C564="L",-O564,0)),IF(AND(OR($C562="W",$C562="1/2W",$C562="1/2L"),C563="W"),P562+P563-SUM(O562:O564)+_xlfn.XLOOKUP("X",C562:C564,O562:O564,0),IF(AND(C562=TRUE,C564="W"),P562+P564-SUM(O562:O564),IF(AND(C563="W",C564="W"),P563+P564-SUM(O562:O564)+_xlfn.XLOOKUP("X",C562:C564,O562:O564,0),IF(L564&gt;0,IF(OR($C562="W",$C562="1/2W",$C562="1/2L"),P562-SUM(O562:O564)+_xlfn.XLOOKUP("X",C562:C564,O562:O564,0),IF(OR($C562="W",$C562="1/2W",$C562="1/2L"),P563-SUM(O562:O564)+_xlfn.XLOOKUP("X",C562:C564,O562:O564,0),IF(OR($C562="W",$C562="1/2W",$C562="1/2L"),P564-SUM(O562:O564)+_xlfn.XLOOKUP("X",C562:C564,O562:O564,0),IF(SUM(P562:P564)/3-SUM(O562:O564)+_xlfn.XLOOKUP("X",C562:C564,O562:O564,0)&gt;0,SUM(P562:P564)/3-SUM(O562:O564)+_xlfn.XLOOKUP("X",C562:C564,O562:O564,0),LARGE(P562:P564,1)-SUM(O562:O564))))),IF(OR($C562="W",$C562="1/2W",$C562="1/2L"),P562-SUM(O562:O563)+_xlfn.XLOOKUP("X",C562:C564,O562:O564,0),IF(OR($C562="W",$C562="1/2W",$C562="1/2L"),P563-SUM(O562:O563)+_xlfn.XLOOKUP("X",C562:C564,O562:O564,0),SUM(P562:P563)/2-SUM(O562:O563)+_xlfn.XLOOKUP("X",C562:C564,O562:O564,0)))))))),2))</f>
        <v>3.9</v>
      </c>
      <c r="T562" s="486">
        <f>IF(S562=0,0,S562/SUM(O562:O564))</f>
        <v>0.13096037609133646</v>
      </c>
      <c r="U562" s="496">
        <f>IF($D562=$D559,IF(OR($B562="LOSS",$B562="OK",$B562="Anulada"),S562,0)+U559,IF(OR($B562="LOSS",$B562="OK",$B562="Anulada"),S562,0))</f>
        <v>42.449999999999996</v>
      </c>
      <c r="V562" s="496">
        <f>IF($D562="",0,IF($D562=$D559,IF($B562=" ",IF(I564="",IF(OR(AND(I562="DNB1",I563="DNB2"),AND(OR(I562="DNB1",I562="DNB2"),J563=0),AND(OR(I563="DNB1",I563="DNB2"),J562=0),AND(I562="DNB2",I563="DNB1"),AND(IF(J562=0,(J562+1)/ROUND(J562+1,0),J562/ROUND(J562,0))=1,IF(J563=0,(J563+1)/ROUND(IF(J563="",0,J563)+1,0),IF(J563="",0,J563)/ROUND(IF(J563="",1,J563),0))=1,OR(J562&lt;&gt;""),J563&lt;&gt;"")),0,IF(S562&lt;0,IF(I564="",SMALL(P562:P563,1)-SUM(O562:O563),0),SMALL(P562:P563,1)-SUM(O562:O563))),IF(S562&lt;0,IF(I564="",SMALL(P562:P564,1)-SUM(O562:O564),0),LARGE(P562:P564,1)-SUM(O562:O564))),S562)+V559,IF(I564="",IF(OR(AND(I562="DNB1",I563="DNB2"),AND(OR(I562="DNB1",I562="DNB2"),J563=0),AND(OR(I563="DNB1",I563="DNB2"),J562=0),AND(I562="DNB2",I563="DNB1"),AND(IF(J562=0,(J562+1)/ROUND(J562+1,0),J562/ROUND(J562,0))=1,IF(J563=0,(IF(J563="",0,J563)+1)/ROUND(IF(J563="",0,J563)+1,0),IF(J563="",0,J563)/ROUND(IF(J563="",0,J563)+1,0))=1,OR(J562&lt;&gt;""),J563&lt;&gt;"")),0,IF(S562&lt;0,IF(I564="",SMALL(P562:P563,1)-SUM(O562:O563),0),SMALL(P562:P564,1)-SUM(O562:O564))),IF(S562&lt;0,IF(I564="",SMALL(P562:P564,1)-SUM(O562:O564),0),LARGE(P562:P564,1)-SUM(O562:O564)))))</f>
        <v>42.445199999999993</v>
      </c>
      <c r="W562" s="496">
        <f>IF($D562=$D559,IF(S562&lt;0,IF(I564="",S562,0),S562)+W559,S562)</f>
        <v>42.449999999999996</v>
      </c>
      <c r="X562" s="505" t="str">
        <f>IF(OR(SUM(R562:R564)=0,V562=W562),ROUND(IF(W562=0,0,W562/Y562)*100,2)&amp;"%",ROUND(IF(V562=0,0,V562/Y562)*100,2)&amp;"% a "&amp;ROUND(IF(W562=0,0,W562/Y562)*100,2)&amp;"%")</f>
        <v>8,12%</v>
      </c>
      <c r="Y562" s="497">
        <f>IF($D562=$D559,Y559+SUM(O562:O564),SUM(O562:O564))</f>
        <v>523.04999999999995</v>
      </c>
      <c r="Z562" s="496">
        <f>IF($B562=" ",SUM(O562:O564),0)+Z559</f>
        <v>0</v>
      </c>
      <c r="AA562" s="496">
        <f>IF(G562="","",IF($B562="Anulado",LARGE(P562:P564,1)-SUM(O562:O564)+AA559,AA559))</f>
        <v>12.425099999999992</v>
      </c>
      <c r="AB562" s="496">
        <f>IF($D562="","",AB559+S562)</f>
        <v>640.55000000000052</v>
      </c>
      <c r="AC562" s="499">
        <f ca="1">IF($D562="","",IF($B562=" ",IF(DAY(G562)=DAY(TODAY()),1+AC559,0+AC559),0+AC559))</f>
        <v>0</v>
      </c>
      <c r="AD562" s="157">
        <f>(1-_xlfn.XLOOKUP(K560,'Fevereiro 2023 - Valor Real'!A3:A15,'Fevereiro 2023 - Valor Real'!C3:C15,0))+1</f>
        <v>2</v>
      </c>
      <c r="AE562" s="158">
        <f>IF(L562="","",IF(L564&gt;0,(SUM(((L562-1)*(1-_xlfn.XLOOKUP(K562,'Fevereiro 2023 - Valor Real'!A3:A15,'Fevereiro 2023 - Valor Real'!C3:C15,0))+1),((L563-1)*(1-_xlfn.XLOOKUP(K563,'Fevereiro 2023 - Valor Real'!A3:A15,'Fevereiro 2023 - Valor Real'!C3:C15,0))+1),((L564-1)*(1-_xlfn.XLOOKUP(K564,'Fevereiro 2023 - Valor Real'!A3:A15,'Fevereiro 2023 - Valor Real'!C3:C15,0))+1))/((L562-1)*(1-_xlfn.XLOOKUP(K562,'Fevereiro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Real'!C3:C15,0))+1))/((L562-1)*(1-_xlfn.XLOOKUP(K562,'Fevereiro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Real'!C3:C15,0))+1))/((L563-1)*(1-_xlfn.XLOOKUP(K563,'Fevereiro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Real'!C3:C15,0))+1))/((L564-1)*(1-_xlfn.XLOOKUP(K564,'Fevereiro 2023 - Valor Real'!A3:A15,'Fevereiro 2023 - Valor Real'!C3:C15,0))+1)),IF(I562="Lay",IF(I563="Lay",((L563/(L563-1)-1)*(1-_xlfn.XLOOKUP(K563,'Fevereiro 2023 - Valor Real'!A3:A15,'Fevereiro 2023 - Valor Real'!C3:C15,0))+1)/(((L563/(L563-1)-1)*(1-_xlfn.XLOOKUP(K563,'Fevereiro 2023 - Valor Real'!A3:A15,'Fevereiro 2023 - Valor Real'!C3:C15,0))+1)+((L562/(L562-1)-1)*(1-_xlfn.XLOOKUP(K562,'Fevereiro 2023 - Valor Real'!A3:A15,'Fevereiro 2023 - Valor Real'!C3:C15,0))+1)),((L563-1)*(1-_xlfn.XLOOKUP(K563,'Fevereiro 2023 - Valor Real'!A3:A15,'Fevereiro 2023 - Valor Real'!C3:C15,0))+1)/(((L563-1)*(1-_xlfn.XLOOKUP(K563,'Fevereiro 2023 - Valor Real'!A3:A15,'Fevereiro 2023 - Valor Real'!C3:C15,0))+1)+((L562/(L562-1)-1)*(1-_xlfn.XLOOKUP(K562,'Fevereiro 2023 - Valor Real'!A3:A15,'Fevereiro 2023 - Valor Real'!C3:C15,0))+1))),IF(I563="Lay",(((L563/(L563-1)-1)*(1-_xlfn.XLOOKUP(K563,'Fevereiro 2023 - Valor Real'!A3:A15,'Fevereiro 2023 - Valor Real'!C3:C15,0))+1))/(((L562-1)*(1-_xlfn.XLOOKUP(K562,'Fevereiro 2023 - Valor Real'!A3:A15,'Fevereiro 2023 - Valor Real'!C3:C15,0))+1)+((L563/(L563-1)-1)*(1-_xlfn.XLOOKUP(K563,'Fevereiro 2023 - Valor Real'!A3:A15,'Fevereiro 2023 - Valor Real'!C3:C15,0))+1)),((L563-1)*(1-_xlfn.XLOOKUP(K563,'Fevereiro 2023 - Valor Real'!A3:A15,'Fevereiro 2023 - Valor Real'!C3:C15,0))+1)/(((L563-1)*(1-_xlfn.XLOOKUP(K563,'Fevereiro 2023 - Valor Real'!A3:A15,'Fevereiro 2023 - Valor Real'!C3:C15,0))+1)+((L562-1)*(1-_xlfn.XLOOKUP(K562,'Fevereiro 2023 - Valor Real'!A3:A15,'Fevereiro 2023 - Valor Real'!C3:C15,0))+1))))))</f>
        <v>0.5149606299212599</v>
      </c>
      <c r="AF562" s="66">
        <f t="shared" si="1114"/>
        <v>0</v>
      </c>
      <c r="AG562" s="67">
        <f t="shared" si="1114"/>
        <v>18.37</v>
      </c>
      <c r="AH562" s="67">
        <f t="shared" si="1114"/>
        <v>0</v>
      </c>
      <c r="AI562" s="67">
        <f t="shared" si="1114"/>
        <v>0</v>
      </c>
      <c r="AJ562" s="67">
        <f t="shared" si="1114"/>
        <v>0</v>
      </c>
      <c r="AK562" s="67">
        <f t="shared" si="1114"/>
        <v>0</v>
      </c>
      <c r="AL562" s="67">
        <f t="shared" si="1114"/>
        <v>0</v>
      </c>
      <c r="AM562" s="67">
        <f t="shared" si="1114"/>
        <v>0</v>
      </c>
      <c r="AN562" s="67">
        <f t="shared" si="1114"/>
        <v>0</v>
      </c>
      <c r="AO562" s="67">
        <f t="shared" si="1114"/>
        <v>0</v>
      </c>
      <c r="AP562" s="67">
        <f t="shared" si="1114"/>
        <v>0</v>
      </c>
      <c r="AQ562" s="67">
        <f t="shared" si="1114"/>
        <v>0</v>
      </c>
      <c r="AR562" s="68">
        <f t="shared" si="1114"/>
        <v>0</v>
      </c>
      <c r="AS562" s="66">
        <f t="shared" ref="AS562:BE562" si="1126">IF(AND($B562=" ",$K562=AS$3),$O562,0)</f>
        <v>0</v>
      </c>
      <c r="AT562" s="67">
        <f t="shared" si="1126"/>
        <v>0</v>
      </c>
      <c r="AU562" s="67">
        <f t="shared" si="1126"/>
        <v>0</v>
      </c>
      <c r="AV562" s="67">
        <f t="shared" si="1126"/>
        <v>0</v>
      </c>
      <c r="AW562" s="67">
        <f t="shared" si="1126"/>
        <v>0</v>
      </c>
      <c r="AX562" s="67">
        <f t="shared" si="1126"/>
        <v>0</v>
      </c>
      <c r="AY562" s="69">
        <f t="shared" si="1126"/>
        <v>0</v>
      </c>
      <c r="AZ562" s="70">
        <f t="shared" si="1126"/>
        <v>0</v>
      </c>
      <c r="BA562" s="70">
        <f t="shared" si="1126"/>
        <v>0</v>
      </c>
      <c r="BB562" s="70">
        <f t="shared" si="1126"/>
        <v>0</v>
      </c>
      <c r="BC562" s="71">
        <f t="shared" si="1126"/>
        <v>0</v>
      </c>
      <c r="BD562" s="67">
        <f t="shared" si="1126"/>
        <v>0</v>
      </c>
      <c r="BE562" s="68">
        <f t="shared" si="1126"/>
        <v>0</v>
      </c>
      <c r="BF562" s="66">
        <f t="shared" si="1116"/>
        <v>0</v>
      </c>
      <c r="BG562" s="67">
        <f t="shared" si="1116"/>
        <v>15.31</v>
      </c>
      <c r="BH562" s="67">
        <f t="shared" si="1116"/>
        <v>0</v>
      </c>
      <c r="BI562" s="67">
        <f t="shared" si="1116"/>
        <v>0</v>
      </c>
      <c r="BJ562" s="67">
        <f t="shared" si="1116"/>
        <v>0</v>
      </c>
      <c r="BK562" s="67">
        <f t="shared" si="1116"/>
        <v>0</v>
      </c>
      <c r="BL562" s="67">
        <f t="shared" si="1116"/>
        <v>0</v>
      </c>
      <c r="BM562" s="69">
        <f t="shared" si="1116"/>
        <v>0</v>
      </c>
      <c r="BN562" s="70">
        <f t="shared" si="1116"/>
        <v>0</v>
      </c>
      <c r="BO562" s="70">
        <f t="shared" si="1116"/>
        <v>0</v>
      </c>
      <c r="BP562" s="70">
        <f t="shared" si="1116"/>
        <v>0</v>
      </c>
      <c r="BQ562" s="71">
        <f t="shared" si="1116"/>
        <v>0</v>
      </c>
      <c r="BR562" s="68">
        <f t="shared" si="1116"/>
        <v>0</v>
      </c>
      <c r="BS562" s="490">
        <f>IF($B562="LOSS",IF(AND($K562=BS$3,$C562="L"),-$O562,0)+IF(AND($K563=BS$3,$C563="L"),-$O563,0)+IF(AND($K564=BS$3,$C564="L"),-$O564,0),IF(OR(AND($K562=BS$3,OR($C562="W",$C562="1/2W")),AND($K563=BS$3,OR($C563="W",$C563="1/2W")),AND($K564=BS$3,OR($C564="W",$C564="1/2W"))),$S562,0))</f>
        <v>0</v>
      </c>
      <c r="BT562" s="498">
        <f>IF($B562="LOSS",IF(AND($K562=BT$3,$C562="L"),-$O562,0)+IF(AND($K563=BT$3,$C563="L"),-$O563,0)+IF(AND($K563=BT$3,$C564="L"),-$O564,0),IF(OR(AND($K563=BT$3,OR($C562="W",$C562="1/2W")),AND($K563=BT$3,OR($C563="W",$C563="1/2W")),AND($K563=BT$3,OR($C564="W",$C564="1/2W"))),$S562,0))</f>
        <v>0</v>
      </c>
      <c r="BU562" s="488">
        <f>IF($B562="LOSS",IF(AND($K562=BU$3,$C562="L"),-$O562,0)+IF(AND($K563=BU$3,$C563="L"),-$O563,0)+IF(AND($K563=BU$3,$C564="L"),-$O564,0),IF(OR(AND($K563=BU$3,OR($C562="W",$C562="1/2W")),AND($K563=BU$3,OR($C563="W",$C563="1/2W")),AND($K563=BU$3,OR($C564="W",$C564="1/2W"))),$S562,0))</f>
        <v>3.9</v>
      </c>
      <c r="BV562" s="488">
        <f t="shared" ref="BV562:CE562" si="1127">IF($B562="LOSS",IF(AND($K562=BV$3,$C562="L"),-$O562,0)+IF(AND($K563=BV$3,$C563="L"),-$O563,0)+IF(AND($K564=BV$3,$C564="L"),-$O564,0),IF(OR(AND($K562=BV$3,OR($C562="W",$C562="1/2W")),AND($K563=BV$3,OR($C563="W",$C563="1/2W")),AND($K564=BV$3,OR($C564="W",$C564="1/2W"))),$S562,0))</f>
        <v>0</v>
      </c>
      <c r="BW562" s="488">
        <f t="shared" si="1127"/>
        <v>0</v>
      </c>
      <c r="BX562" s="488">
        <f t="shared" si="1127"/>
        <v>0</v>
      </c>
      <c r="BY562" s="488">
        <f t="shared" si="1127"/>
        <v>0</v>
      </c>
      <c r="BZ562" s="488">
        <f t="shared" si="1127"/>
        <v>0</v>
      </c>
      <c r="CA562" s="488">
        <f t="shared" si="1127"/>
        <v>0</v>
      </c>
      <c r="CB562" s="488">
        <f t="shared" si="1127"/>
        <v>0</v>
      </c>
      <c r="CC562" s="488">
        <f t="shared" si="1127"/>
        <v>0</v>
      </c>
      <c r="CD562" s="500">
        <f t="shared" si="1127"/>
        <v>0</v>
      </c>
      <c r="CE562" s="504">
        <f t="shared" si="1127"/>
        <v>0</v>
      </c>
      <c r="CF562" s="160">
        <f t="shared" si="1028"/>
        <v>0</v>
      </c>
      <c r="CG562" s="161">
        <f t="shared" si="1029"/>
        <v>0</v>
      </c>
      <c r="CH562" s="161">
        <f t="shared" si="1030"/>
        <v>1</v>
      </c>
      <c r="CI562" s="161">
        <f t="shared" si="1031"/>
        <v>0</v>
      </c>
      <c r="CJ562" s="161">
        <f t="shared" si="1032"/>
        <v>0</v>
      </c>
      <c r="CK562" s="161">
        <f t="shared" si="1033"/>
        <v>0</v>
      </c>
      <c r="CL562" s="161">
        <f t="shared" si="1034"/>
        <v>0</v>
      </c>
      <c r="CM562" s="161">
        <f t="shared" si="1035"/>
        <v>0</v>
      </c>
      <c r="CN562" s="161">
        <f t="shared" si="1036"/>
        <v>0</v>
      </c>
      <c r="CO562" s="161">
        <f t="shared" si="1037"/>
        <v>0</v>
      </c>
      <c r="CP562" s="161">
        <f t="shared" si="1038"/>
        <v>0</v>
      </c>
      <c r="CQ562" s="161">
        <f t="shared" si="1039"/>
        <v>0</v>
      </c>
      <c r="CR562" s="161">
        <f t="shared" si="1040"/>
        <v>0</v>
      </c>
      <c r="CS562" s="161">
        <f t="shared" si="1041"/>
        <v>0</v>
      </c>
      <c r="CT562" s="75">
        <f t="shared" si="1042"/>
        <v>0</v>
      </c>
      <c r="CU562" s="76">
        <f t="shared" si="1043"/>
        <v>0</v>
      </c>
      <c r="CV562" s="76">
        <f t="shared" si="1044"/>
        <v>0</v>
      </c>
      <c r="CW562" s="76">
        <f t="shared" si="1045"/>
        <v>0</v>
      </c>
      <c r="CX562" s="76">
        <f t="shared" si="1046"/>
        <v>0</v>
      </c>
      <c r="CY562" s="76">
        <f t="shared" si="1047"/>
        <v>0</v>
      </c>
      <c r="CZ562" s="76">
        <f t="shared" si="1048"/>
        <v>0</v>
      </c>
      <c r="DA562" s="76">
        <f t="shared" si="1049"/>
        <v>0</v>
      </c>
      <c r="DB562" s="76">
        <f t="shared" si="1050"/>
        <v>0</v>
      </c>
      <c r="DC562" s="76">
        <f t="shared" si="1051"/>
        <v>0</v>
      </c>
      <c r="DD562" s="76">
        <f t="shared" si="1052"/>
        <v>0</v>
      </c>
      <c r="DE562" s="77">
        <f t="shared" si="1053"/>
        <v>0</v>
      </c>
      <c r="DF562" s="73">
        <f t="shared" si="1056"/>
        <v>34</v>
      </c>
      <c r="DG562" s="67">
        <f t="shared" si="1057"/>
        <v>44.451999999999991</v>
      </c>
      <c r="DH562" s="76">
        <f t="shared" si="1058"/>
        <v>13</v>
      </c>
      <c r="DI562" s="67">
        <f t="shared" si="1059"/>
        <v>56.05</v>
      </c>
      <c r="DJ562" s="202" t="str">
        <f>IF($D562="","",$D562)</f>
        <v>16</v>
      </c>
      <c r="DK562" s="492">
        <f>IF(AND($B562=" ",$D562&lt;&gt;""),1,0)</f>
        <v>0</v>
      </c>
    </row>
    <row r="563" spans="1:115" ht="14.5" customHeight="1" x14ac:dyDescent="0.2">
      <c r="A563" s="389"/>
      <c r="B563" s="456"/>
      <c r="C563" s="53" t="s">
        <v>55</v>
      </c>
      <c r="D563" s="374"/>
      <c r="E563" s="386"/>
      <c r="F563" s="377"/>
      <c r="G563" s="508"/>
      <c r="H563" s="476"/>
      <c r="I563" s="182" t="s">
        <v>88</v>
      </c>
      <c r="J563" s="163" t="str">
        <f>IF(OR(I562="TO",I562="TU",I562="TO1",I562="TU1",I562="TO2",I562="TU2"),J562,IF(OR(I562="AH1",I562="AH2"),IF(OR(I563="AH1",I563="AH2"),-J562,IF(OR(I563="EH1",I563="EH2"),-J562+0.5,"")),IF(OR(I562="EH1",I562="EH2"),IF(OR(I563="AH1",I563="AH2"),-J562+0.5,IF(OR(I563="EH1",I563="EH2"),-J562+1,"")),IF(AND(OR(I562="DNB1",I562="DNB2"),OR(I563="AH1",I563="AH2")),0,IF(AND(I562="Not ScoreBoth",OR(I563="TO1",I563="TO2")),0.5,"")))))</f>
        <v/>
      </c>
      <c r="K563" s="57" t="s">
        <v>38</v>
      </c>
      <c r="L563" s="164">
        <v>1.7</v>
      </c>
      <c r="M563" s="165">
        <v>14.47</v>
      </c>
      <c r="N563" s="406"/>
      <c r="O563" s="60">
        <f>IF(OR(AE562="",AE563=""),"",ROUND(IF(L564&gt;0,IF(M563&gt;0,M563,IF(M562&gt;0,IF(N562=TRUE,ROUND((M562*AE563)/AE562,0),(M562*AE563)/AE562),IF(M563&gt;0,ROUND(M563,IF(N562=0,2,IF(N562=0.1,1,0))),IF(M564&gt;0,ROUND(O564*AE563/AE564,IF(N562=0,2,IF(N562=0.1,1,0))),0)))),IF(M563&gt;0,M563,ROUND((M562*AE563)/AE562,IF(N562=0,2,IF(N562=0.1,1,0))))),2))</f>
        <v>14.47</v>
      </c>
      <c r="P563" s="61">
        <f>IF(OR(L563="",O563=""),"",IF($C563="1/2W",O563/2+O563/2*L563,IF($C563="1/2L",O563/2,IF(I563="Lay",((O563*(L563/(L563-1)))-O563)*(1-_xlfn.XLOOKUP(K563,'Fevereiro 2023 - Valor Real'!A3:A15,'Fevereiro 2023 - Valor Real'!C3:C15,0))+O563,(O563*L563-O563)*(1-_xlfn.XLOOKUP(K563,'Fevereiro 2023 - Valor Real'!A3:A15,'Fevereiro 2023 - Valor Real'!C3:C15,0))+O563))))</f>
        <v>33.797785714285723</v>
      </c>
      <c r="Q563" s="166">
        <f>IF(K563="","",IF(_xlfn.XLOOKUP(K563,K$10:K554,$DJ$10:DJ554,0,,-1)=DJ563,_xlfn.XLOOKUP(K563,K$10:K554,Q$10:Q554,1,,-1)+1,1))</f>
        <v>1</v>
      </c>
      <c r="R563" s="167">
        <f>IF(K563="","",_xlfn.XLOOKUP(K563,K$10:K554,R$10:R554,0,,-1)+IF($C563=" ",1,0))</f>
        <v>0</v>
      </c>
      <c r="S563" s="403"/>
      <c r="T563" s="380"/>
      <c r="U563" s="380"/>
      <c r="V563" s="481"/>
      <c r="W563" s="380"/>
      <c r="X563" s="452"/>
      <c r="Y563" s="383"/>
      <c r="Z563" s="384"/>
      <c r="AA563" s="384"/>
      <c r="AB563" s="384"/>
      <c r="AC563" s="384"/>
      <c r="AD563" s="64"/>
      <c r="AE563" s="65">
        <f>IF(L563="","",IF(L564&gt;0,(SUM(((L562-1)*(1-_xlfn.XLOOKUP(K562,'Fevereiro 2023 - Valor Real'!A3:A15,'Fevereiro 2023 - Valor Real'!C3:C15,0))+1),((L563-1)*(1-_xlfn.XLOOKUP(K563,'Fevereiro 2023 - Valor Real'!A3:A15,'Fevereiro 2023 - Valor Real'!C3:C15,0))+1),((L564-1)*(1-_xlfn.XLOOKUP(K564,'Fevereiro 2023 - Valor Real'!A3:A15,'Fevereiro 2023 - Valor Real'!C3:C15,0))+1))/((L563-1)*(1-_xlfn.XLOOKUP(K563,'Fevereiro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Real'!C3:C15,0))+1))/((L562-1)*(1-_xlfn.XLOOKUP(K562,'Fevereiro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Real'!C3:C15,0))+1))/((L563-1)*(1-_xlfn.XLOOKUP(K563,'Fevereiro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Real'!C3:C15,0))+1))/((L564-1)*(1-_xlfn.XLOOKUP(K564,'Fevereiro 2023 - Valor Real'!A3:A15,'Fevereiro 2023 - Valor Real'!C3:C15,0))+1)),IF(I563="Lay",IF(I562="Lay",((L562/(L562-1)-1)*(1-_xlfn.XLOOKUP(K562,'Fevereiro 2023 - Valor Real'!A3:A15,'Fevereiro 2023 - Valor Real'!C3:C15,0))+1)/(((L562/(L562-1)-1)*(1-_xlfn.XLOOKUP(K562,'Fevereiro 2023 - Valor Real'!A3:A15,'Fevereiro 2023 - Valor Real'!C3:C15,0))+1)+((L563/(L563-1)-1)*(1-_xlfn.XLOOKUP(K563,'Fevereiro 2023 - Valor Real'!A3:A15,'Fevereiro 2023 - Valor Real'!C3:C15,0))+1)),((L562-1)*(1-_xlfn.XLOOKUP(K562,'Fevereiro 2023 - Valor Real'!A3:A15,'Fevereiro 2023 - Valor Real'!C3:C15,0))+1)/(((L562-1)*(1-_xlfn.XLOOKUP(K562,'Fevereiro 2023 - Valor Real'!A3:A15,'Fevereiro 2023 - Valor Real'!C3:C15,0))+1)+((L563/(L563-1)-1)*(1-_xlfn.XLOOKUP(K563,'Fevereiro 2023 - Valor Real'!A3:A15,'Fevereiro 2023 - Valor Real'!C3:C15,0))+1))),IF(I562="Lay",((L562/(L562-1)-1)*(1-_xlfn.XLOOKUP(K562,'Fevereiro 2023 - Valor Real'!A3:A15,'Fevereiro 2023 - Valor Real'!C3:C15,0))+1)/((((L562/(L562-1)-1)*(1-_xlfn.XLOOKUP(K562,'Fevereiro 2023 - Valor Real'!A3:A15,'Fevereiro 2023 - Valor Real'!C3:C15,0))+1))+((L563-1)*(1-_xlfn.XLOOKUP(K563,'Fevereiro 2023 - Valor Real'!A3:A15,'Fevereiro 2023 - Valor Real'!C3:C15,0))+1)),((L562-1)*(1-_xlfn.XLOOKUP(K562,'Fevereiro 2023 - Valor Real'!A3:A15,'Fevereiro 2023 - Valor Real'!C3:C15,0))+1)/(((L562-1)*(1-_xlfn.XLOOKUP(K562,'Fevereiro 2023 - Valor Real'!A3:A15,'Fevereiro 2023 - Valor Real'!C3:C15,0))+1)+((L563-1)*(1-_xlfn.XLOOKUP(K563,'Fevereiro 2023 - Valor Real'!A3:A15,'Fevereiro 2023 - Valor Real'!C3:C15,0))+1))))))</f>
        <v>0.4850393700787401</v>
      </c>
      <c r="AF563" s="66">
        <f t="shared" si="1114"/>
        <v>0</v>
      </c>
      <c r="AG563" s="67">
        <f t="shared" si="1114"/>
        <v>0</v>
      </c>
      <c r="AH563" s="67">
        <f t="shared" si="1114"/>
        <v>-14.47</v>
      </c>
      <c r="AI563" s="67">
        <f t="shared" si="1114"/>
        <v>0</v>
      </c>
      <c r="AJ563" s="67">
        <f t="shared" si="1114"/>
        <v>0</v>
      </c>
      <c r="AK563" s="67">
        <f t="shared" si="1114"/>
        <v>0</v>
      </c>
      <c r="AL563" s="67">
        <f t="shared" si="1114"/>
        <v>0</v>
      </c>
      <c r="AM563" s="67">
        <f t="shared" si="1114"/>
        <v>0</v>
      </c>
      <c r="AN563" s="67">
        <f t="shared" si="1114"/>
        <v>0</v>
      </c>
      <c r="AO563" s="67">
        <f t="shared" si="1114"/>
        <v>0</v>
      </c>
      <c r="AP563" s="67">
        <f t="shared" si="1114"/>
        <v>0</v>
      </c>
      <c r="AQ563" s="67">
        <f t="shared" si="1114"/>
        <v>0</v>
      </c>
      <c r="AR563" s="68">
        <f t="shared" si="1114"/>
        <v>0</v>
      </c>
      <c r="AS563" s="66">
        <f>IF(AND($B562=" ",$K563=AS$3),$O563,0)</f>
        <v>0</v>
      </c>
      <c r="AT563" s="67">
        <f>IF(AND($B562=" ",K563=AT$3),$O563,0)</f>
        <v>0</v>
      </c>
      <c r="AU563" s="67">
        <f t="shared" ref="AU563:BE563" si="1128">IF(AND($B562=" ",$K563=AU$3),$O563,0)</f>
        <v>0</v>
      </c>
      <c r="AV563" s="67">
        <f t="shared" si="1128"/>
        <v>0</v>
      </c>
      <c r="AW563" s="67">
        <f t="shared" si="1128"/>
        <v>0</v>
      </c>
      <c r="AX563" s="67">
        <f t="shared" si="1128"/>
        <v>0</v>
      </c>
      <c r="AY563" s="69">
        <f t="shared" si="1128"/>
        <v>0</v>
      </c>
      <c r="AZ563" s="70">
        <f t="shared" si="1128"/>
        <v>0</v>
      </c>
      <c r="BA563" s="70">
        <f t="shared" si="1128"/>
        <v>0</v>
      </c>
      <c r="BB563" s="70">
        <f t="shared" si="1128"/>
        <v>0</v>
      </c>
      <c r="BC563" s="71">
        <f t="shared" si="1128"/>
        <v>0</v>
      </c>
      <c r="BD563" s="67">
        <f t="shared" si="1128"/>
        <v>0</v>
      </c>
      <c r="BE563" s="68">
        <f t="shared" si="1128"/>
        <v>0</v>
      </c>
      <c r="BF563" s="66">
        <f t="shared" si="1116"/>
        <v>0</v>
      </c>
      <c r="BG563" s="168">
        <f t="shared" si="1116"/>
        <v>0</v>
      </c>
      <c r="BH563" s="67">
        <f t="shared" si="1116"/>
        <v>14.47</v>
      </c>
      <c r="BI563" s="67">
        <f t="shared" si="1116"/>
        <v>0</v>
      </c>
      <c r="BJ563" s="67">
        <f t="shared" si="1116"/>
        <v>0</v>
      </c>
      <c r="BK563" s="67">
        <f t="shared" si="1116"/>
        <v>0</v>
      </c>
      <c r="BL563" s="67">
        <f t="shared" si="1116"/>
        <v>0</v>
      </c>
      <c r="BM563" s="69">
        <f t="shared" si="1116"/>
        <v>0</v>
      </c>
      <c r="BN563" s="70">
        <f t="shared" si="1116"/>
        <v>0</v>
      </c>
      <c r="BO563" s="70">
        <f t="shared" si="1116"/>
        <v>0</v>
      </c>
      <c r="BP563" s="70">
        <f t="shared" si="1116"/>
        <v>0</v>
      </c>
      <c r="BQ563" s="71">
        <f t="shared" si="1116"/>
        <v>0</v>
      </c>
      <c r="BR563" s="68">
        <f t="shared" si="1116"/>
        <v>0</v>
      </c>
      <c r="BS563" s="491"/>
      <c r="BT563" s="489"/>
      <c r="BU563" s="392"/>
      <c r="BV563" s="489"/>
      <c r="BW563" s="392"/>
      <c r="BX563" s="392"/>
      <c r="BY563" s="392"/>
      <c r="BZ563" s="489"/>
      <c r="CA563" s="392"/>
      <c r="CB563" s="392"/>
      <c r="CC563" s="392"/>
      <c r="CD563" s="401"/>
      <c r="CE563" s="409"/>
      <c r="CF563" s="169">
        <f t="shared" si="1028"/>
        <v>0</v>
      </c>
      <c r="CG563" s="170">
        <f t="shared" si="1029"/>
        <v>0</v>
      </c>
      <c r="CH563" s="170">
        <f t="shared" si="1030"/>
        <v>0</v>
      </c>
      <c r="CI563" s="170">
        <f t="shared" si="1031"/>
        <v>0</v>
      </c>
      <c r="CJ563" s="170">
        <f t="shared" si="1032"/>
        <v>0</v>
      </c>
      <c r="CK563" s="170">
        <f t="shared" si="1033"/>
        <v>1</v>
      </c>
      <c r="CL563" s="170">
        <f t="shared" si="1034"/>
        <v>0</v>
      </c>
      <c r="CM563" s="170">
        <f t="shared" si="1035"/>
        <v>0</v>
      </c>
      <c r="CN563" s="170">
        <f t="shared" si="1036"/>
        <v>0</v>
      </c>
      <c r="CO563" s="170">
        <f t="shared" si="1037"/>
        <v>0</v>
      </c>
      <c r="CP563" s="170">
        <f t="shared" si="1038"/>
        <v>0</v>
      </c>
      <c r="CQ563" s="170">
        <f t="shared" si="1039"/>
        <v>0</v>
      </c>
      <c r="CR563" s="170">
        <f t="shared" si="1040"/>
        <v>0</v>
      </c>
      <c r="CS563" s="170">
        <f t="shared" si="1041"/>
        <v>0</v>
      </c>
      <c r="CT563" s="75">
        <f t="shared" si="1042"/>
        <v>0</v>
      </c>
      <c r="CU563" s="76">
        <f t="shared" si="1043"/>
        <v>0</v>
      </c>
      <c r="CV563" s="76">
        <f t="shared" si="1044"/>
        <v>0</v>
      </c>
      <c r="CW563" s="76">
        <f t="shared" si="1045"/>
        <v>0</v>
      </c>
      <c r="CX563" s="76">
        <f t="shared" si="1046"/>
        <v>0</v>
      </c>
      <c r="CY563" s="76">
        <f t="shared" si="1047"/>
        <v>0</v>
      </c>
      <c r="CZ563" s="76">
        <f t="shared" si="1048"/>
        <v>0</v>
      </c>
      <c r="DA563" s="76">
        <f t="shared" si="1049"/>
        <v>0</v>
      </c>
      <c r="DB563" s="76">
        <f t="shared" si="1050"/>
        <v>0</v>
      </c>
      <c r="DC563" s="76">
        <f t="shared" si="1051"/>
        <v>0</v>
      </c>
      <c r="DD563" s="76">
        <f t="shared" si="1052"/>
        <v>0</v>
      </c>
      <c r="DE563" s="77">
        <f t="shared" si="1053"/>
        <v>0</v>
      </c>
      <c r="DF563" s="73">
        <f t="shared" si="1056"/>
        <v>34</v>
      </c>
      <c r="DG563" s="67">
        <f t="shared" si="1057"/>
        <v>44.451999999999991</v>
      </c>
      <c r="DH563" s="76">
        <f t="shared" si="1058"/>
        <v>13</v>
      </c>
      <c r="DI563" s="67">
        <f t="shared" si="1059"/>
        <v>56.05</v>
      </c>
      <c r="DJ563" s="202" t="str">
        <f>IF($D562="","",$D562)</f>
        <v>16</v>
      </c>
      <c r="DK563" s="493"/>
    </row>
    <row r="564" spans="1:115" ht="14.5" customHeight="1" x14ac:dyDescent="0.2">
      <c r="A564" s="390"/>
      <c r="B564" s="457"/>
      <c r="C564" s="79" t="s">
        <v>53</v>
      </c>
      <c r="D564" s="375"/>
      <c r="E564" s="387"/>
      <c r="F564" s="378"/>
      <c r="G564" s="508"/>
      <c r="H564" s="477"/>
      <c r="I564" s="171"/>
      <c r="J564" s="172"/>
      <c r="K564" s="81"/>
      <c r="L564" s="173"/>
      <c r="M564" s="174"/>
      <c r="N564" s="407"/>
      <c r="O564" s="86" t="str">
        <f>IF(OR(AE562="",AE563=""),"",IF(L564&gt;0,ROUND(IF(M564&gt;0,M564,IF(M562&gt;0,ROUND((M562*AE564)/AE562,IF(N562=0,2,IF(N562=0.1,1,0))),IF(M563&gt;0,ROUND((M563*AE564)/AE563,IF(N562=0,2,IF(N562=0.1,1,0))),IF(M564&gt;0,M564,0)))),2),""))</f>
        <v/>
      </c>
      <c r="P564" s="188">
        <f>IF(I563="Lay",O563*(L563/(L563-1))-O563,IF(I562="Lay",O562*(L562/(L562-1))-O562,IF(OR(L564="",O564=""),"",IF($C564="1/2W",O564/2+O564/2*L564,IF($C564="1/2L",O564/2,(O564*L564-O564)*(1-_xlfn.XLOOKUP(K564,'Fevereiro 2023 - Valor Real'!A3:A15,'Fevereiro 2023 - Valor Real'!C3:C15,0))+O564)))))</f>
        <v>20.671428571428578</v>
      </c>
      <c r="Q564" s="54" t="str">
        <f>IF(K564="","",IF(_xlfn.XLOOKUP(K564,K$11:K554,$DJ$11:DJ554,0,,-1)=DJ564,_xlfn.XLOOKUP(K564,K$11:K554,Q$11:Q554,1,,-1)+1,1))</f>
        <v/>
      </c>
      <c r="R564" s="87" t="str">
        <f>IF(K564="","",_xlfn.XLOOKUP(K564,K$11:K554,R$11:R554,0,,-1)+IF($C564=" ",1,0))</f>
        <v/>
      </c>
      <c r="S564" s="404"/>
      <c r="T564" s="378"/>
      <c r="U564" s="378"/>
      <c r="V564" s="404"/>
      <c r="W564" s="378"/>
      <c r="X564" s="453"/>
      <c r="Y564" s="383"/>
      <c r="Z564" s="384"/>
      <c r="AA564" s="384"/>
      <c r="AB564" s="384"/>
      <c r="AC564" s="384"/>
      <c r="AD564" s="90"/>
      <c r="AE564" s="91" t="str">
        <f>IF(L564="","",(SUM(((L562-1)*(1-_xlfn.XLOOKUP(K562,'Fevereiro 2023 - Valor Real'!A3:A15,'Fevereiro 2023 - Valor Real'!C3:C15,0))+1),((L563-1)*(1-_xlfn.XLOOKUP(K563,'Fevereiro 2023 - Valor Real'!A3:A15,'Fevereiro 2023 - Valor Real'!C3:C15,0))+1),((L564-1)*(1-_xlfn.XLOOKUP(K564,'Fevereiro 2023 - Valor Real'!A3:A15,'Fevereiro 2023 - Valor Real'!C3:C15,0))+1))/((L564-1)*(1-_xlfn.XLOOKUP(K564,'Fevereiro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Real'!C3:C15,0))+1))/((L562-1)*(1-_xlfn.XLOOKUP(K562,'Fevereiro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Real'!C3:C15,0))+1))/((L563-1)*(1-_xlfn.XLOOKUP(K563,'Fevereiro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Real'!C3:C15,0))+1))/((L564-1)*(1-_xlfn.XLOOKUP(K564,'Fevereiro 2023 - Valor Real'!A3:A15,'Fevereiro 2023 - Valor Real'!C3:C15,0))+1)))</f>
        <v/>
      </c>
      <c r="AF564" s="66">
        <f t="shared" ref="AF564:AR573" si="1129">IF($K564=AF$3,ROUND(IF(OR($C564="W",$C564="1/2W",$C564="1/2L"),$P564-$O564,IF($C564="X",0,-$O564)),2),0)</f>
        <v>0</v>
      </c>
      <c r="AG564" s="67">
        <f t="shared" si="1129"/>
        <v>0</v>
      </c>
      <c r="AH564" s="67">
        <f t="shared" si="1129"/>
        <v>0</v>
      </c>
      <c r="AI564" s="67">
        <f t="shared" si="1129"/>
        <v>0</v>
      </c>
      <c r="AJ564" s="67">
        <f t="shared" si="1129"/>
        <v>0</v>
      </c>
      <c r="AK564" s="67">
        <f t="shared" si="1129"/>
        <v>0</v>
      </c>
      <c r="AL564" s="67">
        <f t="shared" si="1129"/>
        <v>0</v>
      </c>
      <c r="AM564" s="67">
        <f t="shared" si="1129"/>
        <v>0</v>
      </c>
      <c r="AN564" s="67">
        <f t="shared" si="1129"/>
        <v>0</v>
      </c>
      <c r="AO564" s="67">
        <f t="shared" si="1129"/>
        <v>0</v>
      </c>
      <c r="AP564" s="67">
        <f t="shared" si="1129"/>
        <v>0</v>
      </c>
      <c r="AQ564" s="67">
        <f t="shared" si="1129"/>
        <v>0</v>
      </c>
      <c r="AR564" s="68">
        <f t="shared" si="1129"/>
        <v>0</v>
      </c>
      <c r="AS564" s="66">
        <f>IF(AND($B562=" ",$K564=AS$3),$O564,0)</f>
        <v>0</v>
      </c>
      <c r="AT564" s="67">
        <f>IF(AND($B562=" ",K564=AT$3),$O564,0)</f>
        <v>0</v>
      </c>
      <c r="AU564" s="67">
        <f t="shared" ref="AU564:BE564" si="1130">IF(AND($B562=" ",$K564=AU$3),$O564,0)</f>
        <v>0</v>
      </c>
      <c r="AV564" s="67">
        <f t="shared" si="1130"/>
        <v>0</v>
      </c>
      <c r="AW564" s="67">
        <f t="shared" si="1130"/>
        <v>0</v>
      </c>
      <c r="AX564" s="67">
        <f t="shared" si="1130"/>
        <v>0</v>
      </c>
      <c r="AY564" s="69">
        <f t="shared" si="1130"/>
        <v>0</v>
      </c>
      <c r="AZ564" s="70">
        <f t="shared" si="1130"/>
        <v>0</v>
      </c>
      <c r="BA564" s="70">
        <f t="shared" si="1130"/>
        <v>0</v>
      </c>
      <c r="BB564" s="70">
        <f t="shared" si="1130"/>
        <v>0</v>
      </c>
      <c r="BC564" s="71">
        <f t="shared" si="1130"/>
        <v>0</v>
      </c>
      <c r="BD564" s="67">
        <f t="shared" si="1130"/>
        <v>0</v>
      </c>
      <c r="BE564" s="68">
        <f t="shared" si="1130"/>
        <v>0</v>
      </c>
      <c r="BF564" s="66">
        <f t="shared" ref="BF564:BR573" si="1131">IF($K564=BF$3,IF($C564="X",0,$O564),0)</f>
        <v>0</v>
      </c>
      <c r="BG564" s="168">
        <f t="shared" si="1131"/>
        <v>0</v>
      </c>
      <c r="BH564" s="67">
        <f t="shared" si="1131"/>
        <v>0</v>
      </c>
      <c r="BI564" s="67">
        <f t="shared" si="1131"/>
        <v>0</v>
      </c>
      <c r="BJ564" s="67">
        <f t="shared" si="1131"/>
        <v>0</v>
      </c>
      <c r="BK564" s="67">
        <f t="shared" si="1131"/>
        <v>0</v>
      </c>
      <c r="BL564" s="67">
        <f t="shared" si="1131"/>
        <v>0</v>
      </c>
      <c r="BM564" s="69">
        <f t="shared" si="1131"/>
        <v>0</v>
      </c>
      <c r="BN564" s="70">
        <f t="shared" si="1131"/>
        <v>0</v>
      </c>
      <c r="BO564" s="70">
        <f t="shared" si="1131"/>
        <v>0</v>
      </c>
      <c r="BP564" s="70">
        <f t="shared" si="1131"/>
        <v>0</v>
      </c>
      <c r="BQ564" s="71">
        <f t="shared" si="1131"/>
        <v>0</v>
      </c>
      <c r="BR564" s="68">
        <f t="shared" si="1131"/>
        <v>0</v>
      </c>
      <c r="BS564" s="491"/>
      <c r="BT564" s="489"/>
      <c r="BU564" s="392"/>
      <c r="BV564" s="489"/>
      <c r="BW564" s="392"/>
      <c r="BX564" s="392"/>
      <c r="BY564" s="392"/>
      <c r="BZ564" s="489"/>
      <c r="CA564" s="392"/>
      <c r="CB564" s="392"/>
      <c r="CC564" s="392"/>
      <c r="CD564" s="401"/>
      <c r="CE564" s="409"/>
      <c r="CF564" s="169">
        <f t="shared" si="1028"/>
        <v>0</v>
      </c>
      <c r="CG564" s="170">
        <f t="shared" si="1029"/>
        <v>0</v>
      </c>
      <c r="CH564" s="170">
        <f t="shared" si="1030"/>
        <v>0</v>
      </c>
      <c r="CI564" s="170">
        <f t="shared" si="1031"/>
        <v>0</v>
      </c>
      <c r="CJ564" s="170">
        <f t="shared" si="1032"/>
        <v>0</v>
      </c>
      <c r="CK564" s="170">
        <f t="shared" si="1033"/>
        <v>0</v>
      </c>
      <c r="CL564" s="170">
        <f t="shared" si="1034"/>
        <v>0</v>
      </c>
      <c r="CM564" s="170">
        <f t="shared" si="1035"/>
        <v>0</v>
      </c>
      <c r="CN564" s="170">
        <f t="shared" si="1036"/>
        <v>0</v>
      </c>
      <c r="CO564" s="170">
        <f t="shared" si="1037"/>
        <v>0</v>
      </c>
      <c r="CP564" s="170">
        <f t="shared" si="1038"/>
        <v>0</v>
      </c>
      <c r="CQ564" s="170">
        <f t="shared" si="1039"/>
        <v>0</v>
      </c>
      <c r="CR564" s="170">
        <f t="shared" si="1040"/>
        <v>0</v>
      </c>
      <c r="CS564" s="170">
        <f t="shared" si="1041"/>
        <v>0</v>
      </c>
      <c r="CT564" s="75">
        <f t="shared" si="1042"/>
        <v>0</v>
      </c>
      <c r="CU564" s="76">
        <f t="shared" si="1043"/>
        <v>0</v>
      </c>
      <c r="CV564" s="76">
        <f t="shared" si="1044"/>
        <v>0</v>
      </c>
      <c r="CW564" s="76">
        <f t="shared" si="1045"/>
        <v>0</v>
      </c>
      <c r="CX564" s="76">
        <f t="shared" si="1046"/>
        <v>0</v>
      </c>
      <c r="CY564" s="76">
        <f t="shared" si="1047"/>
        <v>0</v>
      </c>
      <c r="CZ564" s="76">
        <f t="shared" si="1048"/>
        <v>0</v>
      </c>
      <c r="DA564" s="76">
        <f t="shared" si="1049"/>
        <v>0</v>
      </c>
      <c r="DB564" s="76">
        <f t="shared" si="1050"/>
        <v>0</v>
      </c>
      <c r="DC564" s="76">
        <f t="shared" si="1051"/>
        <v>0</v>
      </c>
      <c r="DD564" s="76">
        <f t="shared" si="1052"/>
        <v>0</v>
      </c>
      <c r="DE564" s="77">
        <f t="shared" si="1053"/>
        <v>0</v>
      </c>
      <c r="DF564" s="73">
        <f t="shared" si="1056"/>
        <v>34</v>
      </c>
      <c r="DG564" s="67">
        <f t="shared" si="1057"/>
        <v>44.451999999999991</v>
      </c>
      <c r="DH564" s="76">
        <f t="shared" si="1058"/>
        <v>13</v>
      </c>
      <c r="DI564" s="67">
        <f t="shared" si="1059"/>
        <v>56.05</v>
      </c>
      <c r="DJ564" s="202" t="str">
        <f>IF($D562="","",$D562)</f>
        <v>16</v>
      </c>
      <c r="DK564" s="493"/>
    </row>
    <row r="565" spans="1:115" ht="14.5" customHeight="1" x14ac:dyDescent="0.2">
      <c r="A565" s="459">
        <f>$A562+1</f>
        <v>188</v>
      </c>
      <c r="B565" s="507" t="str">
        <f>IF(OR(C565="W",C566="W",C567="W",C565="1/2W",C566="1/2W",C567="1/2W",C565="1/2L",C566="1/2L",C567="1/2L"),"OK",IF(OR(C565="L",C566="L",C567="L"),"LOSS",IF(OR(C565="X",C566="X",C567="X"),"Anulado"," ")))</f>
        <v>OK</v>
      </c>
      <c r="C565" s="93" t="s">
        <v>55</v>
      </c>
      <c r="D565" s="468" t="str">
        <f>IF(G565="","",$D562)</f>
        <v>16</v>
      </c>
      <c r="E565" s="485" t="str">
        <f>IF(G565=""," ","– "&amp;COUNTIF(D$4:D567,$D565))</f>
        <v>– 20</v>
      </c>
      <c r="F565" s="509" t="str">
        <f ca="1">IF(G565="","",IF(OR(AND($C565&lt;&gt;" ",$C566=" "),AND($C566&lt;&gt;" ",$C565=" "),AND(L567&gt;0,OR(AND($C567&lt;&gt;" ",OR($C565=" ",$C566=" ")),AND($C567=" ",OR($C565&lt;&gt;" ",$C566&lt;&gt;" "))))),IF(SUM(F$4:F564)=0,1,LARGE(F$4:F564,1)+1),IF(MONTH(G565)=MONTH(TODAY()),IF(AND(DAY(G565)&lt;DAY(TODAY()),$B565=" "),IF(SUM(F$4:F564)=0,1,LARGE(F$4:F564,1)+1),IF($B565=" ",IF(AND(DAY(G565)=DAY(TODAY()),HOUR(G565)&lt;=HOUR(NOW())+1),IF(AND(HOUR(G565)+2&lt;=HOUR(NOW()),DAY(G565)&lt;=DAY(TODAY()),MINUTE(G565)&lt;=MINUTE(NOW())),IF(SUM(F$4:F564)=0,1,LARGE(F$4:F564,1)+1),IF(OR(MINUTE(G565)&lt;=MINUTE(NOW()),HOUR(G565)&lt;=HOUR(NOW())),"!!!","")),""),"")),"")))</f>
        <v/>
      </c>
      <c r="G565" s="482">
        <f>IF(H565="","",_xlfn.XLOOKUP(H565,$H$4:H564,$G$4:G564,""))</f>
        <v>45001.604166666664</v>
      </c>
      <c r="H565" s="475" t="s">
        <v>212</v>
      </c>
      <c r="I565" s="94" t="s">
        <v>102</v>
      </c>
      <c r="J565" s="95">
        <v>1</v>
      </c>
      <c r="K565" s="96" t="s">
        <v>38</v>
      </c>
      <c r="L565" s="97">
        <v>2.44</v>
      </c>
      <c r="M565" s="98">
        <v>8.1999999999999993</v>
      </c>
      <c r="N565" s="478">
        <v>0</v>
      </c>
      <c r="O565" s="99">
        <f>IF(OR(AE565="",AE566=""),"",ROUND(IF(L567&gt;0,IF(M565&gt;0,M565,IF(M566&gt;0,ROUND((M566*AE565)/AE566,IF(N565=0,2,IF(N565=0.1,1,0))),ROUND((M567*AE565)/AE567,IF(N565=0,2,IF(N565=0.1,1,0))))),IF(M565&gt;0,M565,ROUND((M566*AE565)/AE566,IF(N565=0,2,IF(N565=0.1,1,0))))),2))</f>
        <v>8.1999999999999993</v>
      </c>
      <c r="P565" s="100">
        <f>IF(OR(L565="",O565=""),"",IF($C565="1/2W",O565/2+O565/2*L565,IF($C565="1/2L",O565/2,IF(I565="Lay",(O565*(L565/(L565-1))-O565)*(1-_xlfn.XLOOKUP(K565,'Fevereiro 2023 - Valor Real'!A3:A15,'Fevereiro 2023 - Valor Real'!C3:C15,0))+O565,(O565*L565-O565)*(1-_xlfn.XLOOKUP(K565,'Fevereiro 2023 - Valor Real'!A3:A15,'Fevereiro 2023 - Valor Real'!C3:C15,0))+O565))))</f>
        <v>19.240479999999998</v>
      </c>
      <c r="Q565" s="101">
        <f>IF(K565="","",IF(_xlfn.XLOOKUP(K565,K$4:K564,$DJ$4:DJ564,0,,-1)=DJ565,_xlfn.XLOOKUP(K565,K$4:K564,Q$4:Q564,1,,-1)+1,1))</f>
        <v>2</v>
      </c>
      <c r="R565" s="102">
        <f>IF(K565="","",_xlfn.XLOOKUP(K565,K$4:K564,R$4:R564,0,,-1)+IF($C565=" ",1,0))</f>
        <v>0</v>
      </c>
      <c r="S565" s="474">
        <f>IF($B565="Anulado",0,ROUND(IF(OR($B565="LOSS",$B565="OK"),IF(OR($C565="W",$C565="1/2W",$C565="1/2L"),P565-O565,IF($C565="L",-O565,0))+IF(OR($C566="W",$C566="1/2W",$C566="1/2L"),P566-O566,IF($C566="L",-O566,0))+IF(OR($C567="W",$C567="1/2W",$C567="1/2L"),P567-O567,IF($C567="L",-O567,0)),IF(AND(OR($C565="W",$C565="1/2W",$C565="1/2L"),C566="W"),P565+P566-SUM(O565:O567)+_xlfn.XLOOKUP("X",C565:C567,O565:O567,0),IF(AND(C565=TRUE,C567="W"),P565+P567-SUM(O565:O567),IF(AND(C566="W",C567="W"),P566+P567-SUM(O565:O567)+_xlfn.XLOOKUP("X",C565:C567,O565:O567,0),IF(L567&gt;0,IF(OR($C565="W",$C565="1/2W",$C565="1/2L"),P565-SUM(O565:O567)+_xlfn.XLOOKUP("X",C565:C567,O565:O567,0),IF(OR($C565="W",$C565="1/2W",$C565="1/2L"),P566-SUM(O565:O567)+_xlfn.XLOOKUP("X",C565:C567,O565:O567,0),IF(OR($C565="W",$C565="1/2W",$C565="1/2L"),P567-SUM(O565:O567)+_xlfn.XLOOKUP("X",C565:C567,O565:O567,0),IF(SUM(P565:P567)/3-SUM(O565:O567)+_xlfn.XLOOKUP("X",C565:C567,O565:O567,0)&gt;0,SUM(P565:P567)/3-SUM(O565:O567)+_xlfn.XLOOKUP("X",C565:C567,O565:O567,0),LARGE(P565:P567,1)-SUM(O565:O567))))),IF(OR($C565="W",$C565="1/2W",$C565="1/2L"),P565-SUM(O565:O566)+_xlfn.XLOOKUP("X",C565:C567,O565:O567,0),IF(OR($C565="W",$C565="1/2W",$C565="1/2L"),P566-SUM(O565:O566)+_xlfn.XLOOKUP("X",C565:C567,O565:O567,0),SUM(P565:P566)/2-SUM(O565:O566)+_xlfn.XLOOKUP("X",C565:C567,O565:O567,0)))))))),2))</f>
        <v>1.42</v>
      </c>
      <c r="T565" s="458">
        <f>IF(S565=0,0,S565/SUM(O565:O567))</f>
        <v>7.9685746352413031E-2</v>
      </c>
      <c r="U565" s="470">
        <f>IF($D565=$D562,IF(OR($B565="LOSS",$B565="OK",$B565="Anulada"),S565,0)+U562,IF(OR($B565="LOSS",$B565="OK",$B565="Anulada"),S565,0))</f>
        <v>43.87</v>
      </c>
      <c r="V565" s="470">
        <f>IF($D565="",0,IF($D565=$D562,IF($B565=" ",IF(I567="",IF(OR(AND(I565="DNB1",I566="DNB2"),AND(OR(I565="DNB1",I565="DNB2"),J566=0),AND(OR(I566="DNB1",I566="DNB2"),J565=0),AND(I565="DNB2",I566="DNB1"),AND(IF(J565=0,(J565+1)/ROUND(J565+1,0),J565/ROUND(J565,0))=1,IF(J566=0,(J566+1)/ROUND(IF(J566="",0,J566)+1,0),IF(J566="",0,J566)/ROUND(IF(J566="",1,J566),0))=1,OR(J565&lt;&gt;""),J566&lt;&gt;"")),0,IF(S565&lt;0,IF(I567="",SMALL(P565:P566,1)-SUM(O565:O566),0),SMALL(P565:P566,1)-SUM(O565:O566))),IF(S565&lt;0,IF(I567="",SMALL(P565:P567,1)-SUM(O565:O567),0),LARGE(P565:P567,1)-SUM(O565:O567))),S565)+V562,IF(I567="",IF(OR(AND(I565="DNB1",I566="DNB2"),AND(OR(I565="DNB1",I565="DNB2"),J566=0),AND(OR(I566="DNB1",I566="DNB2"),J565=0),AND(I565="DNB2",I566="DNB1"),AND(IF(J565=0,(J565+1)/ROUND(J565+1,0),J565/ROUND(J565,0))=1,IF(J566=0,(IF(J566="",0,J566)+1)/ROUND(IF(J566="",0,J566)+1,0),IF(J566="",0,J566)/ROUND(IF(J566="",0,J566)+1,0))=1,OR(J565&lt;&gt;""),J566&lt;&gt;"")),0,IF(S565&lt;0,IF(I567="",SMALL(P565:P566,1)-SUM(O565:O566),0),SMALL(P565:P567,1)-SUM(O565:O567))),IF(S565&lt;0,IF(I567="",SMALL(P565:P567,1)-SUM(O565:O567),0),LARGE(P565:P567,1)-SUM(O565:O567)))))</f>
        <v>43.865199999999994</v>
      </c>
      <c r="W565" s="470">
        <f>IF($D565=$D562,IF(S565&lt;0,IF(I567="",S565,0),S565)+W562,S565)</f>
        <v>43.87</v>
      </c>
      <c r="X565" s="480" t="str">
        <f>IF(OR(SUM(R565:R567)=0,V565=W565),ROUND(IF(W565=0,0,W565/Y565)*100,2)&amp;"%",ROUND(IF(V565=0,0,V565/Y565)*100,2)&amp;"% a "&amp;ROUND(IF(W565=0,0,W565/Y565)*100,2)&amp;"%")</f>
        <v>8,11%</v>
      </c>
      <c r="Y565" s="471">
        <f>IF($D565=$D562,Y562+SUM(O565:O567),SUM(O565:O567))</f>
        <v>540.87</v>
      </c>
      <c r="Z565" s="470">
        <f>IF($B565=" ",SUM(O565:O567),0)+Z562</f>
        <v>0</v>
      </c>
      <c r="AA565" s="470">
        <f>IF(G565="","",IF($B565="Anulado",LARGE(P565:P567,1)-SUM(O565:O567)+AA562,AA562))</f>
        <v>12.425099999999992</v>
      </c>
      <c r="AB565" s="470">
        <f>IF($D565="","",AB562+S565)</f>
        <v>641.97000000000048</v>
      </c>
      <c r="AC565" s="472">
        <f ca="1">IF($D565="","",IF($B565=" ",IF(DAY(G565)=DAY(TODAY()),1+AC562,0+AC562),0+AC562))</f>
        <v>0</v>
      </c>
      <c r="AD565" s="103">
        <f>(((L566/(L566-1)-1)*(1-_xlfn.XLOOKUP(K566,'Fevereiro 2023 - Valor Real'!A3:A15,'Fevereiro 2023 - Valor Real'!C3:C15,0))+1))/(((L565-1)*(1-_xlfn.XLOOKUP(K565,'Fevereiro 2023 - Valor Real'!A3:A15,'Fevereiro 2023 - Valor Real'!C3:C15,0))+1)+((L566/(L566-1)-1)*(1-_xlfn.XLOOKUP(K566,'Fevereiro 2023 - Valor Real'!A3:A15,'Fevereiro 2023 - Valor Real'!C3:C15,0))+1))</f>
        <v>0.36234509747083121</v>
      </c>
      <c r="AE565" s="104">
        <f>IF(L565="","",IF(L567&gt;0,(SUM(((L565-1)*(1-_xlfn.XLOOKUP(K565,'Fevereiro 2023 - Valor Real'!A3:A15,'Fevereiro 2023 - Valor Real'!C3:C15,0))+1),((L566-1)*(1-_xlfn.XLOOKUP(K566,'Fevereiro 2023 - Valor Real'!A3:A15,'Fevereiro 2023 - Valor Real'!C3:C15,0))+1),((L567-1)*(1-_xlfn.XLOOKUP(K567,'Fevereiro 2023 - Valor Real'!A3:A15,'Fevereiro 2023 - Valor Real'!C3:C15,0))+1))/((L565-1)*(1-_xlfn.XLOOKUP(K565,'Fevereiro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Real'!C3:C15,0))+1))/((L565-1)*(1-_xlfn.XLOOKUP(K565,'Fevereiro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Real'!C3:C15,0))+1))/((L566-1)*(1-_xlfn.XLOOKUP(K566,'Fevereiro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Real'!C3:C15,0))+1))/((L567-1)*(1-_xlfn.XLOOKUP(K567,'Fevereiro 2023 - Valor Real'!A3:A15,'Fevereiro 2023 - Valor Real'!C3:C15,0))+1)),IF(I565="Lay",IF(I566="Lay",((L566/(L566-1)-1)*(1-_xlfn.XLOOKUP(K566,'Fevereiro 2023 - Valor Real'!A3:A15,'Fevereiro 2023 - Valor Real'!C3:C15,0))+1)/(((L566/(L566-1)-1)*(1-_xlfn.XLOOKUP(K566,'Fevereiro 2023 - Valor Real'!A3:A15,'Fevereiro 2023 - Valor Real'!C3:C15,0))+1)+((L565/(L565-1)-1)*(1-_xlfn.XLOOKUP(K565,'Fevereiro 2023 - Valor Real'!A3:A15,'Fevereiro 2023 - Valor Real'!C3:C15,0))+1)),((L566-1)*(1-_xlfn.XLOOKUP(K566,'Fevereiro 2023 - Valor Real'!A3:A15,'Fevereiro 2023 - Valor Real'!C3:C15,0))+1)/(((L566-1)*(1-_xlfn.XLOOKUP(K566,'Fevereiro 2023 - Valor Real'!A3:A15,'Fevereiro 2023 - Valor Real'!C3:C15,0))+1)+((L565/(L565-1)-1)*(1-_xlfn.XLOOKUP(K565,'Fevereiro 2023 - Valor Real'!A3:A15,'Fevereiro 2023 - Valor Real'!C3:C15,0))+1))),IF(I566="Lay",(((L566/(L566-1)-1)*(1-_xlfn.XLOOKUP(K566,'Fevereiro 2023 - Valor Real'!A3:A15,'Fevereiro 2023 - Valor Real'!C3:C15,0))+1))/(((L565-1)*(1-_xlfn.XLOOKUP(K565,'Fevereiro 2023 - Valor Real'!A3:A15,'Fevereiro 2023 - Valor Real'!C3:C15,0))+1)+((L566/(L566-1)-1)*(1-_xlfn.XLOOKUP(K566,'Fevereiro 2023 - Valor Real'!A3:A15,'Fevereiro 2023 - Valor Real'!C3:C15,0))+1)),((L566-1)*(1-_xlfn.XLOOKUP(K566,'Fevereiro 2023 - Valor Real'!A3:A15,'Fevereiro 2023 - Valor Real'!C3:C15,0))+1)/(((L566-1)*(1-_xlfn.XLOOKUP(K566,'Fevereiro 2023 - Valor Real'!A3:A15,'Fevereiro 2023 - Valor Real'!C3:C15,0))+1)+((L565-1)*(1-_xlfn.XLOOKUP(K565,'Fevereiro 2023 - Valor Real'!A3:A15,'Fevereiro 2023 - Valor Real'!C3:C15,0))+1))))))</f>
        <v>0.46015092950487757</v>
      </c>
      <c r="AF565" s="105">
        <f t="shared" si="1129"/>
        <v>0</v>
      </c>
      <c r="AG565" s="106">
        <f t="shared" si="1129"/>
        <v>0</v>
      </c>
      <c r="AH565" s="106">
        <f t="shared" si="1129"/>
        <v>-8.1999999999999993</v>
      </c>
      <c r="AI565" s="106">
        <f t="shared" si="1129"/>
        <v>0</v>
      </c>
      <c r="AJ565" s="106">
        <f t="shared" si="1129"/>
        <v>0</v>
      </c>
      <c r="AK565" s="106">
        <f t="shared" si="1129"/>
        <v>0</v>
      </c>
      <c r="AL565" s="106">
        <f t="shared" si="1129"/>
        <v>0</v>
      </c>
      <c r="AM565" s="106">
        <f t="shared" si="1129"/>
        <v>0</v>
      </c>
      <c r="AN565" s="106">
        <f t="shared" si="1129"/>
        <v>0</v>
      </c>
      <c r="AO565" s="106">
        <f t="shared" si="1129"/>
        <v>0</v>
      </c>
      <c r="AP565" s="106">
        <f t="shared" si="1129"/>
        <v>0</v>
      </c>
      <c r="AQ565" s="106">
        <f t="shared" si="1129"/>
        <v>0</v>
      </c>
      <c r="AR565" s="107">
        <f t="shared" si="1129"/>
        <v>0</v>
      </c>
      <c r="AS565" s="105">
        <f t="shared" ref="AS565:BE565" si="1132">IF(AND($B565=" ",$K565=AS$3),$O565,0)</f>
        <v>0</v>
      </c>
      <c r="AT565" s="106">
        <f t="shared" si="1132"/>
        <v>0</v>
      </c>
      <c r="AU565" s="106">
        <f t="shared" si="1132"/>
        <v>0</v>
      </c>
      <c r="AV565" s="106">
        <f t="shared" si="1132"/>
        <v>0</v>
      </c>
      <c r="AW565" s="106">
        <f t="shared" si="1132"/>
        <v>0</v>
      </c>
      <c r="AX565" s="106">
        <f t="shared" si="1132"/>
        <v>0</v>
      </c>
      <c r="AY565" s="108">
        <f t="shared" si="1132"/>
        <v>0</v>
      </c>
      <c r="AZ565" s="109">
        <f t="shared" si="1132"/>
        <v>0</v>
      </c>
      <c r="BA565" s="109">
        <f t="shared" si="1132"/>
        <v>0</v>
      </c>
      <c r="BB565" s="109">
        <f t="shared" si="1132"/>
        <v>0</v>
      </c>
      <c r="BC565" s="110">
        <f t="shared" si="1132"/>
        <v>0</v>
      </c>
      <c r="BD565" s="106">
        <f t="shared" si="1132"/>
        <v>0</v>
      </c>
      <c r="BE565" s="107">
        <f t="shared" si="1132"/>
        <v>0</v>
      </c>
      <c r="BF565" s="111">
        <f t="shared" si="1131"/>
        <v>0</v>
      </c>
      <c r="BG565" s="106">
        <f t="shared" si="1131"/>
        <v>0</v>
      </c>
      <c r="BH565" s="106">
        <f t="shared" si="1131"/>
        <v>8.1999999999999993</v>
      </c>
      <c r="BI565" s="106">
        <f t="shared" si="1131"/>
        <v>0</v>
      </c>
      <c r="BJ565" s="106">
        <f t="shared" si="1131"/>
        <v>0</v>
      </c>
      <c r="BK565" s="106">
        <f t="shared" si="1131"/>
        <v>0</v>
      </c>
      <c r="BL565" s="106">
        <f t="shared" si="1131"/>
        <v>0</v>
      </c>
      <c r="BM565" s="108">
        <f t="shared" si="1131"/>
        <v>0</v>
      </c>
      <c r="BN565" s="109">
        <f t="shared" si="1131"/>
        <v>0</v>
      </c>
      <c r="BO565" s="109">
        <f t="shared" si="1131"/>
        <v>0</v>
      </c>
      <c r="BP565" s="109">
        <f t="shared" si="1131"/>
        <v>0</v>
      </c>
      <c r="BQ565" s="110">
        <f t="shared" si="1131"/>
        <v>0</v>
      </c>
      <c r="BR565" s="107">
        <f t="shared" si="1131"/>
        <v>0</v>
      </c>
      <c r="BS565" s="463">
        <f>IF($B565="LOSS",IF(AND($K565=BS$3,$C565="L"),-$O565,0)+IF(AND($K566=BS$3,$C566="L"),-$O566,0)+IF(AND($K567=BS$3,$C567="L"),-$O567,0),IF(OR(AND($K565=BS$3,OR($C565="W",$C565="1/2W")),AND($K566=BS$3,OR($C566="W",$C566="1/2W")),AND($K567=BS$3,OR($C567="W",$C567="1/2W"))),$S565,0))</f>
        <v>0</v>
      </c>
      <c r="BT565" s="462">
        <f>IF($B565="LOSS",IF(AND($K565=BT$3,$C565="L"),-$O565,0)+IF(AND($K566=BT$3,$C566="L"),-$O566,0)+IF(AND($K566=BT$3,$C567="L"),-$O567,0),IF(OR(AND($K566=BT$3,OR($C565="W",$C565="1/2W")),AND($K566=BT$3,OR($C566="W",$C566="1/2W")),AND($K566=BT$3,OR($C567="W",$C567="1/2W"))),$S565,0))</f>
        <v>1.42</v>
      </c>
      <c r="BU565" s="462">
        <f>IF($B565="LOSS",IF(AND($K565=BU$3,$C565="L"),-$O565,0)+IF(AND($K566=BU$3,$C566="L"),-$O566,0)+IF(AND($K566=BU$3,$C567="L"),-$O567,0),IF(OR(AND($K566=BU$3,OR($C565="W",$C565="1/2W")),AND($K566=BU$3,OR($C566="W",$C566="1/2W")),AND($K566=BU$3,OR($C567="W",$C567="1/2W"))),$S565,0))</f>
        <v>0</v>
      </c>
      <c r="BV565" s="462">
        <f t="shared" ref="BV565:CE565" si="1133">IF($B565="LOSS",IF(AND($K565=BV$3,$C565="L"),-$O565,0)+IF(AND($K566=BV$3,$C566="L"),-$O566,0)+IF(AND($K567=BV$3,$C567="L"),-$O567,0),IF(OR(AND($K565=BV$3,OR($C565="W",$C565="1/2W")),AND($K566=BV$3,OR($C566="W",$C566="1/2W")),AND($K567=BV$3,OR($C567="W",$C567="1/2W"))),$S565,0))</f>
        <v>0</v>
      </c>
      <c r="BW565" s="462">
        <f t="shared" si="1133"/>
        <v>0</v>
      </c>
      <c r="BX565" s="462">
        <f t="shared" si="1133"/>
        <v>0</v>
      </c>
      <c r="BY565" s="462">
        <f t="shared" si="1133"/>
        <v>0</v>
      </c>
      <c r="BZ565" s="460">
        <f t="shared" si="1133"/>
        <v>0</v>
      </c>
      <c r="CA565" s="460">
        <f t="shared" si="1133"/>
        <v>0</v>
      </c>
      <c r="CB565" s="460">
        <f t="shared" si="1133"/>
        <v>0</v>
      </c>
      <c r="CC565" s="460">
        <f t="shared" si="1133"/>
        <v>0</v>
      </c>
      <c r="CD565" s="473">
        <f t="shared" si="1133"/>
        <v>0</v>
      </c>
      <c r="CE565" s="479">
        <f t="shared" si="1133"/>
        <v>0</v>
      </c>
      <c r="CF565" s="113">
        <f t="shared" si="1028"/>
        <v>0</v>
      </c>
      <c r="CG565" s="114">
        <f t="shared" si="1029"/>
        <v>0</v>
      </c>
      <c r="CH565" s="114">
        <f t="shared" si="1030"/>
        <v>0</v>
      </c>
      <c r="CI565" s="114">
        <f t="shared" si="1031"/>
        <v>0</v>
      </c>
      <c r="CJ565" s="114">
        <f t="shared" si="1032"/>
        <v>0</v>
      </c>
      <c r="CK565" s="114">
        <f t="shared" si="1033"/>
        <v>1</v>
      </c>
      <c r="CL565" s="114">
        <f t="shared" si="1034"/>
        <v>0</v>
      </c>
      <c r="CM565" s="114">
        <f t="shared" si="1035"/>
        <v>0</v>
      </c>
      <c r="CN565" s="114">
        <f t="shared" si="1036"/>
        <v>0</v>
      </c>
      <c r="CO565" s="114">
        <f t="shared" si="1037"/>
        <v>0</v>
      </c>
      <c r="CP565" s="114">
        <f t="shared" si="1038"/>
        <v>0</v>
      </c>
      <c r="CQ565" s="114">
        <f t="shared" si="1039"/>
        <v>0</v>
      </c>
      <c r="CR565" s="114">
        <f t="shared" si="1040"/>
        <v>0</v>
      </c>
      <c r="CS565" s="114">
        <f t="shared" si="1041"/>
        <v>0</v>
      </c>
      <c r="CT565" s="115">
        <f t="shared" si="1042"/>
        <v>0</v>
      </c>
      <c r="CU565" s="116">
        <f t="shared" si="1043"/>
        <v>0</v>
      </c>
      <c r="CV565" s="116">
        <f t="shared" si="1044"/>
        <v>0</v>
      </c>
      <c r="CW565" s="116">
        <f t="shared" si="1045"/>
        <v>0</v>
      </c>
      <c r="CX565" s="116">
        <f t="shared" si="1046"/>
        <v>0</v>
      </c>
      <c r="CY565" s="116">
        <f t="shared" si="1047"/>
        <v>0</v>
      </c>
      <c r="CZ565" s="116">
        <f t="shared" si="1048"/>
        <v>0</v>
      </c>
      <c r="DA565" s="116">
        <f t="shared" si="1049"/>
        <v>0</v>
      </c>
      <c r="DB565" s="116">
        <f t="shared" si="1050"/>
        <v>0</v>
      </c>
      <c r="DC565" s="116">
        <f t="shared" si="1051"/>
        <v>0</v>
      </c>
      <c r="DD565" s="116">
        <f t="shared" si="1052"/>
        <v>0</v>
      </c>
      <c r="DE565" s="117">
        <f t="shared" si="1053"/>
        <v>0</v>
      </c>
      <c r="DF565" s="118">
        <f t="shared" si="1056"/>
        <v>34</v>
      </c>
      <c r="DG565" s="106">
        <f t="shared" si="1057"/>
        <v>44.451999999999991</v>
      </c>
      <c r="DH565" s="116">
        <f t="shared" si="1058"/>
        <v>13</v>
      </c>
      <c r="DI565" s="106">
        <f t="shared" si="1059"/>
        <v>56.05</v>
      </c>
      <c r="DJ565" s="201" t="str">
        <f>IF($D565="","",$D565)</f>
        <v>16</v>
      </c>
      <c r="DK565" s="465">
        <f>IF(AND($B565=" ",$D565&lt;&gt;""),1,0)</f>
        <v>0</v>
      </c>
    </row>
    <row r="566" spans="1:115" ht="14.5" customHeight="1" x14ac:dyDescent="0.2">
      <c r="A566" s="389"/>
      <c r="B566" s="456"/>
      <c r="C566" s="120" t="s">
        <v>54</v>
      </c>
      <c r="D566" s="374"/>
      <c r="E566" s="386"/>
      <c r="F566" s="377"/>
      <c r="G566" s="483"/>
      <c r="H566" s="476"/>
      <c r="I566" s="121" t="s">
        <v>213</v>
      </c>
      <c r="J566" s="122">
        <v>1</v>
      </c>
      <c r="K566" s="123" t="s">
        <v>37</v>
      </c>
      <c r="L566" s="124">
        <v>4</v>
      </c>
      <c r="M566" s="125">
        <v>4.8099999999999996</v>
      </c>
      <c r="N566" s="406"/>
      <c r="O566" s="126">
        <f>IF(OR(AE565="",AE566=""),"",ROUND(IF(L567&gt;0,IF(M566&gt;0,M566,IF(M565&gt;0,IF(N565=TRUE,ROUND((M565*AE566)/AE565,0),(M565*AE566)/AE565),IF(M566&gt;0,ROUND(M566,IF(N565=0,2,IF(N565=0.1,1,0))),IF(M567&gt;0,ROUND(O567*AE566/AE567,IF(N565=0,2,IF(N565=0.1,1,0))),0)))),IF(M566&gt;0,M566,ROUND((M565*AE566)/AE565,IF(N565=0,2,IF(N565=0.1,1,0))))),2))</f>
        <v>4.8099999999999996</v>
      </c>
      <c r="P566" s="127">
        <f>IF(OR(L566="",O566=""),"",IF($C566="1/2W",O566/2+O566/2*L566,IF($C566="1/2L",O566/2,IF(I566="Lay",((O566*(L566/(L566-1)))-O566)*(1-_xlfn.XLOOKUP(K566,'Fevereiro 2023 - Valor Real'!A3:A15,'Fevereiro 2023 - Valor Real'!C3:C15,0))+O566,(O566*L566-O566)*(1-_xlfn.XLOOKUP(K566,'Fevereiro 2023 - Valor Real'!A3:A15,'Fevereiro 2023 - Valor Real'!C3:C15,0))+O566))))</f>
        <v>19.239999999999998</v>
      </c>
      <c r="Q566" s="128">
        <f>IF(K566="","",IF(_xlfn.XLOOKUP(K566,K$4:K565,$DJ$4:DJ565,0,,-1)=DJ566,_xlfn.XLOOKUP(K566,K$4:K565,Q$4:Q565,1,,-1)+1,1))</f>
        <v>7</v>
      </c>
      <c r="R566" s="129">
        <f>IF(K566="","",_xlfn.XLOOKUP(K566,K$4:K565,R$4:R565,0,,-1)+IF($C566=" ",1,0))</f>
        <v>0</v>
      </c>
      <c r="S566" s="403"/>
      <c r="T566" s="380"/>
      <c r="U566" s="380"/>
      <c r="V566" s="481"/>
      <c r="W566" s="380"/>
      <c r="X566" s="452"/>
      <c r="Y566" s="383"/>
      <c r="Z566" s="384"/>
      <c r="AA566" s="384"/>
      <c r="AB566" s="384"/>
      <c r="AC566" s="384"/>
      <c r="AD566" s="130">
        <f>(((L566/(L566-1)-1)*(1-_xlfn.XLOOKUP(K566,'Fevereiro 2023 - Valor Real'!A3:A15,'Fevereiro 2023 - Valor Real'!C3:C15,0))+1))</f>
        <v>1.3333333333333333</v>
      </c>
      <c r="AE566" s="131">
        <f>IF(L566="","",IF(L567&gt;0,(SUM(((L565-1)*(1-_xlfn.XLOOKUP(K565,'Fevereiro 2023 - Valor Real'!A3:A15,'Fevereiro 2023 - Valor Real'!C3:C15,0))+1),((L566-1)*(1-_xlfn.XLOOKUP(K566,'Fevereiro 2023 - Valor Real'!A3:A15,'Fevereiro 2023 - Valor Real'!C3:C15,0))+1),((L567-1)*(1-_xlfn.XLOOKUP(K567,'Fevereiro 2023 - Valor Real'!A3:A15,'Fevereiro 2023 - Valor Real'!C3:C15,0))+1))/((L566-1)*(1-_xlfn.XLOOKUP(K566,'Fevereiro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Real'!C3:C15,0))+1))/((L565-1)*(1-_xlfn.XLOOKUP(K565,'Fevereiro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Real'!C3:C15,0))+1))/((L566-1)*(1-_xlfn.XLOOKUP(K566,'Fevereiro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Real'!C3:C15,0))+1))/((L567-1)*(1-_xlfn.XLOOKUP(K567,'Fevereiro 2023 - Valor Real'!A3:A15,'Fevereiro 2023 - Valor Real'!C3:C15,0))+1)),IF(I566="Lay",IF(I565="Lay",((L565/(L565-1)-1)*(1-_xlfn.XLOOKUP(K565,'Fevereiro 2023 - Valor Real'!A3:A15,'Fevereiro 2023 - Valor Real'!C3:C15,0))+1)/(((L565/(L565-1)-1)*(1-_xlfn.XLOOKUP(K565,'Fevereiro 2023 - Valor Real'!A3:A15,'Fevereiro 2023 - Valor Real'!C3:C15,0))+1)+((L566/(L566-1)-1)*(1-_xlfn.XLOOKUP(K566,'Fevereiro 2023 - Valor Real'!A3:A15,'Fevereiro 2023 - Valor Real'!C3:C15,0))+1)),((L565-1)*(1-_xlfn.XLOOKUP(K565,'Fevereiro 2023 - Valor Real'!A3:A15,'Fevereiro 2023 - Valor Real'!C3:C15,0))+1)/(((L565-1)*(1-_xlfn.XLOOKUP(K565,'Fevereiro 2023 - Valor Real'!A3:A15,'Fevereiro 2023 - Valor Real'!C3:C15,0))+1)+((L566/(L566-1)-1)*(1-_xlfn.XLOOKUP(K566,'Fevereiro 2023 - Valor Real'!A3:A15,'Fevereiro 2023 - Valor Real'!C3:C15,0))+1))),IF(I565="Lay",((L565/(L565-1)-1)*(1-_xlfn.XLOOKUP(K565,'Fevereiro 2023 - Valor Real'!A3:A15,'Fevereiro 2023 - Valor Real'!C3:C15,0))+1)/((((L565/(L565-1)-1)*(1-_xlfn.XLOOKUP(K565,'Fevereiro 2023 - Valor Real'!A3:A15,'Fevereiro 2023 - Valor Real'!C3:C15,0))+1))+((L566-1)*(1-_xlfn.XLOOKUP(K566,'Fevereiro 2023 - Valor Real'!A3:A15,'Fevereiro 2023 - Valor Real'!C3:C15,0))+1)),((L565-1)*(1-_xlfn.XLOOKUP(K565,'Fevereiro 2023 - Valor Real'!A3:A15,'Fevereiro 2023 - Valor Real'!C3:C15,0))+1)/(((L565-1)*(1-_xlfn.XLOOKUP(K565,'Fevereiro 2023 - Valor Real'!A3:A15,'Fevereiro 2023 - Valor Real'!C3:C15,0))+1)+((L566-1)*(1-_xlfn.XLOOKUP(K566,'Fevereiro 2023 - Valor Real'!A3:A15,'Fevereiro 2023 - Valor Real'!C3:C15,0))+1))))))</f>
        <v>0.26992453524756116</v>
      </c>
      <c r="AF566" s="105">
        <f t="shared" si="1129"/>
        <v>0</v>
      </c>
      <c r="AG566" s="106">
        <f t="shared" si="1129"/>
        <v>14.43</v>
      </c>
      <c r="AH566" s="106">
        <f t="shared" si="1129"/>
        <v>0</v>
      </c>
      <c r="AI566" s="106">
        <f t="shared" si="1129"/>
        <v>0</v>
      </c>
      <c r="AJ566" s="106">
        <f t="shared" si="1129"/>
        <v>0</v>
      </c>
      <c r="AK566" s="106">
        <f t="shared" si="1129"/>
        <v>0</v>
      </c>
      <c r="AL566" s="106">
        <f t="shared" si="1129"/>
        <v>0</v>
      </c>
      <c r="AM566" s="106">
        <f t="shared" si="1129"/>
        <v>0</v>
      </c>
      <c r="AN566" s="106">
        <f t="shared" si="1129"/>
        <v>0</v>
      </c>
      <c r="AO566" s="106">
        <f t="shared" si="1129"/>
        <v>0</v>
      </c>
      <c r="AP566" s="106">
        <f t="shared" si="1129"/>
        <v>0</v>
      </c>
      <c r="AQ566" s="106">
        <f t="shared" si="1129"/>
        <v>0</v>
      </c>
      <c r="AR566" s="107">
        <f t="shared" si="1129"/>
        <v>0</v>
      </c>
      <c r="AS566" s="105">
        <f>IF(AND($B565=" ",$K566=AS$3),$O566,0)</f>
        <v>0</v>
      </c>
      <c r="AT566" s="106">
        <f>IF(AND($B565=" ",K566=AT$3),$O566,0)</f>
        <v>0</v>
      </c>
      <c r="AU566" s="106">
        <f t="shared" ref="AU566:BE566" si="1134">IF(AND($B565=" ",$K566=AU$3),$O566,0)</f>
        <v>0</v>
      </c>
      <c r="AV566" s="106">
        <f t="shared" si="1134"/>
        <v>0</v>
      </c>
      <c r="AW566" s="106">
        <f t="shared" si="1134"/>
        <v>0</v>
      </c>
      <c r="AX566" s="106">
        <f t="shared" si="1134"/>
        <v>0</v>
      </c>
      <c r="AY566" s="108">
        <f t="shared" si="1134"/>
        <v>0</v>
      </c>
      <c r="AZ566" s="109">
        <f t="shared" si="1134"/>
        <v>0</v>
      </c>
      <c r="BA566" s="109">
        <f t="shared" si="1134"/>
        <v>0</v>
      </c>
      <c r="BB566" s="109">
        <f t="shared" si="1134"/>
        <v>0</v>
      </c>
      <c r="BC566" s="110">
        <f t="shared" si="1134"/>
        <v>0</v>
      </c>
      <c r="BD566" s="106">
        <f t="shared" si="1134"/>
        <v>0</v>
      </c>
      <c r="BE566" s="107">
        <f t="shared" si="1134"/>
        <v>0</v>
      </c>
      <c r="BF566" s="105">
        <f t="shared" si="1131"/>
        <v>0</v>
      </c>
      <c r="BG566" s="106">
        <f t="shared" si="1131"/>
        <v>4.8099999999999996</v>
      </c>
      <c r="BH566" s="106">
        <f t="shared" si="1131"/>
        <v>0</v>
      </c>
      <c r="BI566" s="106">
        <f t="shared" si="1131"/>
        <v>0</v>
      </c>
      <c r="BJ566" s="106">
        <f t="shared" si="1131"/>
        <v>0</v>
      </c>
      <c r="BK566" s="106">
        <f t="shared" si="1131"/>
        <v>0</v>
      </c>
      <c r="BL566" s="106">
        <f t="shared" si="1131"/>
        <v>0</v>
      </c>
      <c r="BM566" s="132">
        <f t="shared" si="1131"/>
        <v>0</v>
      </c>
      <c r="BN566" s="112">
        <f t="shared" si="1131"/>
        <v>0</v>
      </c>
      <c r="BO566" s="112">
        <f t="shared" si="1131"/>
        <v>0</v>
      </c>
      <c r="BP566" s="112">
        <f t="shared" si="1131"/>
        <v>0</v>
      </c>
      <c r="BQ566" s="110">
        <f t="shared" si="1131"/>
        <v>0</v>
      </c>
      <c r="BR566" s="107">
        <f t="shared" si="1131"/>
        <v>0</v>
      </c>
      <c r="BS566" s="464"/>
      <c r="BT566" s="461"/>
      <c r="BU566" s="392"/>
      <c r="BV566" s="461"/>
      <c r="BW566" s="392"/>
      <c r="BX566" s="392"/>
      <c r="BY566" s="392"/>
      <c r="BZ566" s="461"/>
      <c r="CA566" s="392"/>
      <c r="CB566" s="392"/>
      <c r="CC566" s="392"/>
      <c r="CD566" s="401"/>
      <c r="CE566" s="409"/>
      <c r="CF566" s="133">
        <f t="shared" si="1028"/>
        <v>0</v>
      </c>
      <c r="CG566" s="134">
        <f t="shared" si="1029"/>
        <v>0</v>
      </c>
      <c r="CH566" s="134">
        <f t="shared" si="1030"/>
        <v>1</v>
      </c>
      <c r="CI566" s="134">
        <f t="shared" si="1031"/>
        <v>0</v>
      </c>
      <c r="CJ566" s="134">
        <f t="shared" si="1032"/>
        <v>0</v>
      </c>
      <c r="CK566" s="134">
        <f t="shared" si="1033"/>
        <v>0</v>
      </c>
      <c r="CL566" s="134">
        <f t="shared" si="1034"/>
        <v>0</v>
      </c>
      <c r="CM566" s="134">
        <f t="shared" si="1035"/>
        <v>0</v>
      </c>
      <c r="CN566" s="134">
        <f t="shared" si="1036"/>
        <v>0</v>
      </c>
      <c r="CO566" s="134">
        <f t="shared" si="1037"/>
        <v>0</v>
      </c>
      <c r="CP566" s="134">
        <f t="shared" si="1038"/>
        <v>0</v>
      </c>
      <c r="CQ566" s="134">
        <f t="shared" si="1039"/>
        <v>0</v>
      </c>
      <c r="CR566" s="134">
        <f t="shared" si="1040"/>
        <v>0</v>
      </c>
      <c r="CS566" s="134">
        <f t="shared" si="1041"/>
        <v>0</v>
      </c>
      <c r="CT566" s="115">
        <f t="shared" si="1042"/>
        <v>0</v>
      </c>
      <c r="CU566" s="116">
        <f t="shared" si="1043"/>
        <v>0</v>
      </c>
      <c r="CV566" s="116">
        <f t="shared" si="1044"/>
        <v>0</v>
      </c>
      <c r="CW566" s="116">
        <f t="shared" si="1045"/>
        <v>0</v>
      </c>
      <c r="CX566" s="116">
        <f t="shared" si="1046"/>
        <v>0</v>
      </c>
      <c r="CY566" s="116">
        <f t="shared" si="1047"/>
        <v>0</v>
      </c>
      <c r="CZ566" s="116">
        <f t="shared" si="1048"/>
        <v>0</v>
      </c>
      <c r="DA566" s="116">
        <f t="shared" si="1049"/>
        <v>0</v>
      </c>
      <c r="DB566" s="116">
        <f t="shared" si="1050"/>
        <v>0</v>
      </c>
      <c r="DC566" s="116">
        <f t="shared" si="1051"/>
        <v>0</v>
      </c>
      <c r="DD566" s="116">
        <f t="shared" si="1052"/>
        <v>0</v>
      </c>
      <c r="DE566" s="117">
        <f t="shared" si="1053"/>
        <v>0</v>
      </c>
      <c r="DF566" s="118">
        <f t="shared" si="1056"/>
        <v>34</v>
      </c>
      <c r="DG566" s="106">
        <f t="shared" si="1057"/>
        <v>44.451999999999991</v>
      </c>
      <c r="DH566" s="116">
        <f t="shared" si="1058"/>
        <v>14</v>
      </c>
      <c r="DI566" s="106">
        <f t="shared" si="1059"/>
        <v>60.05</v>
      </c>
      <c r="DJ566" s="201" t="str">
        <f>IF($D565="","",$D565)</f>
        <v>16</v>
      </c>
      <c r="DK566" s="466"/>
    </row>
    <row r="567" spans="1:115" ht="14.5" customHeight="1" x14ac:dyDescent="0.2">
      <c r="A567" s="390"/>
      <c r="B567" s="457"/>
      <c r="C567" s="135" t="s">
        <v>55</v>
      </c>
      <c r="D567" s="375"/>
      <c r="E567" s="387"/>
      <c r="F567" s="378"/>
      <c r="G567" s="484"/>
      <c r="H567" s="477"/>
      <c r="I567" s="203" t="s">
        <v>67</v>
      </c>
      <c r="J567" s="204">
        <v>-1</v>
      </c>
      <c r="K567" s="193" t="s">
        <v>37</v>
      </c>
      <c r="L567" s="194">
        <v>4</v>
      </c>
      <c r="M567" s="140">
        <v>4.8099999999999996</v>
      </c>
      <c r="N567" s="407"/>
      <c r="O567" s="195">
        <f>IF(OR(AE565="",AE566=""),"",IF(L567&gt;0,ROUND(IF(M567&gt;0,M567,IF(M565&gt;0,ROUND((M565*AE567)/AE565,IF(N565=0,2,IF(N565=0.1,1,0))),IF(M566&gt;0,ROUND((M566*AE567)/AE566,IF(N565=0,2,IF(N565=0.1,1,0))),IF(M567&gt;0,M567,0)))),2),""))</f>
        <v>4.8099999999999996</v>
      </c>
      <c r="P567" s="196">
        <f>IF(I566="Lay",O566*(L566/(L566-1))-O566,IF(I565="Lay",O565*(L565/(L565-1))-O565,IF(OR(L567="",O567=""),"",IF($C567="1/2W",O567/2+O567/2*L567,IF($C567="1/2L",O567/2,(O567*L567-O567)*(1-_xlfn.XLOOKUP(K567,'Fevereiro 2023 - Valor Real'!A3:A15,'Fevereiro 2023 - Valor Real'!C3:C15,0))+O567)))))</f>
        <v>19.239999999999998</v>
      </c>
      <c r="Q567" s="197">
        <f>IF(K567="","",IF(_xlfn.XLOOKUP(K567,K$4:K566,$DJ$4:DJ566,0,,-1)=DJ567,_xlfn.XLOOKUP(K567,K$4:K566,Q$4:Q566,1,,-1)+1,1))</f>
        <v>8</v>
      </c>
      <c r="R567" s="198">
        <f>IF(K567="","",_xlfn.XLOOKUP(K567,K$4:K566,R$4:R566,0,,-1)+IF($C567=" ",1,0))</f>
        <v>0</v>
      </c>
      <c r="S567" s="404"/>
      <c r="T567" s="378"/>
      <c r="U567" s="378"/>
      <c r="V567" s="404"/>
      <c r="W567" s="378"/>
      <c r="X567" s="453"/>
      <c r="Y567" s="383"/>
      <c r="Z567" s="384"/>
      <c r="AA567" s="384"/>
      <c r="AB567" s="384"/>
      <c r="AC567" s="384"/>
      <c r="AD567" s="145">
        <f>((L566/(L566-1)-1))</f>
        <v>0.33333333333333326</v>
      </c>
      <c r="AE567" s="199">
        <f>IF(L567="","",(SUM(((L565-1)*(1-_xlfn.XLOOKUP(K565,'Fevereiro 2023 - Valor Real'!A3:A15,'Fevereiro 2023 - Valor Real'!C3:C15,0))+1),((L566-1)*(1-_xlfn.XLOOKUP(K566,'Fevereiro 2023 - Valor Real'!A3:A15,'Fevereiro 2023 - Valor Real'!C3:C15,0))+1),((L567-1)*(1-_xlfn.XLOOKUP(K567,'Fevereiro 2023 - Valor Real'!A3:A15,'Fevereiro 2023 - Valor Real'!C3:C15,0))+1))/((L567-1)*(1-_xlfn.XLOOKUP(K567,'Fevereiro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Real'!C3:C15,0))+1))/((L565-1)*(1-_xlfn.XLOOKUP(K565,'Fevereiro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Real'!C3:C15,0))+1))/((L566-1)*(1-_xlfn.XLOOKUP(K566,'Fevereiro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Real'!C3:C15,0))+1))/((L567-1)*(1-_xlfn.XLOOKUP(K567,'Fevereiro 2023 - Valor Real'!A3:A15,'Fevereiro 2023 - Valor Real'!C3:C15,0))+1)))</f>
        <v>0.26992453524756116</v>
      </c>
      <c r="AF567" s="105">
        <f t="shared" si="1129"/>
        <v>0</v>
      </c>
      <c r="AG567" s="106">
        <f t="shared" si="1129"/>
        <v>-4.8099999999999996</v>
      </c>
      <c r="AH567" s="106">
        <f t="shared" si="1129"/>
        <v>0</v>
      </c>
      <c r="AI567" s="106">
        <f t="shared" si="1129"/>
        <v>0</v>
      </c>
      <c r="AJ567" s="106">
        <f t="shared" si="1129"/>
        <v>0</v>
      </c>
      <c r="AK567" s="106">
        <f t="shared" si="1129"/>
        <v>0</v>
      </c>
      <c r="AL567" s="106">
        <f t="shared" si="1129"/>
        <v>0</v>
      </c>
      <c r="AM567" s="106">
        <f t="shared" si="1129"/>
        <v>0</v>
      </c>
      <c r="AN567" s="106">
        <f t="shared" si="1129"/>
        <v>0</v>
      </c>
      <c r="AO567" s="106">
        <f t="shared" si="1129"/>
        <v>0</v>
      </c>
      <c r="AP567" s="106">
        <f t="shared" si="1129"/>
        <v>0</v>
      </c>
      <c r="AQ567" s="106">
        <f t="shared" si="1129"/>
        <v>0</v>
      </c>
      <c r="AR567" s="107">
        <f t="shared" si="1129"/>
        <v>0</v>
      </c>
      <c r="AS567" s="105">
        <f>IF(AND($B565=" ",$K567=AS$3),$O567,0)</f>
        <v>0</v>
      </c>
      <c r="AT567" s="106">
        <f>IF(AND($B565=" ",K567=AT$3),$O567,0)</f>
        <v>0</v>
      </c>
      <c r="AU567" s="106">
        <f t="shared" ref="AU567:BE567" si="1135">IF(AND($B565=" ",$K567=AU$3),$O567,0)</f>
        <v>0</v>
      </c>
      <c r="AV567" s="106">
        <f t="shared" si="1135"/>
        <v>0</v>
      </c>
      <c r="AW567" s="106">
        <f t="shared" si="1135"/>
        <v>0</v>
      </c>
      <c r="AX567" s="106">
        <f t="shared" si="1135"/>
        <v>0</v>
      </c>
      <c r="AY567" s="108">
        <f t="shared" si="1135"/>
        <v>0</v>
      </c>
      <c r="AZ567" s="109">
        <f t="shared" si="1135"/>
        <v>0</v>
      </c>
      <c r="BA567" s="109">
        <f t="shared" si="1135"/>
        <v>0</v>
      </c>
      <c r="BB567" s="109">
        <f t="shared" si="1135"/>
        <v>0</v>
      </c>
      <c r="BC567" s="110">
        <f t="shared" si="1135"/>
        <v>0</v>
      </c>
      <c r="BD567" s="106">
        <f t="shared" si="1135"/>
        <v>0</v>
      </c>
      <c r="BE567" s="107">
        <f t="shared" si="1135"/>
        <v>0</v>
      </c>
      <c r="BF567" s="105">
        <f t="shared" si="1131"/>
        <v>0</v>
      </c>
      <c r="BG567" s="106">
        <f t="shared" si="1131"/>
        <v>4.8099999999999996</v>
      </c>
      <c r="BH567" s="106">
        <f t="shared" si="1131"/>
        <v>0</v>
      </c>
      <c r="BI567" s="106">
        <f t="shared" si="1131"/>
        <v>0</v>
      </c>
      <c r="BJ567" s="106">
        <f t="shared" si="1131"/>
        <v>0</v>
      </c>
      <c r="BK567" s="106">
        <f t="shared" si="1131"/>
        <v>0</v>
      </c>
      <c r="BL567" s="106">
        <f t="shared" si="1131"/>
        <v>0</v>
      </c>
      <c r="BM567" s="108">
        <f t="shared" si="1131"/>
        <v>0</v>
      </c>
      <c r="BN567" s="109">
        <f t="shared" si="1131"/>
        <v>0</v>
      </c>
      <c r="BO567" s="109">
        <f t="shared" si="1131"/>
        <v>0</v>
      </c>
      <c r="BP567" s="109">
        <f t="shared" si="1131"/>
        <v>0</v>
      </c>
      <c r="BQ567" s="110">
        <f t="shared" si="1131"/>
        <v>0</v>
      </c>
      <c r="BR567" s="107">
        <f t="shared" si="1131"/>
        <v>0</v>
      </c>
      <c r="BS567" s="464"/>
      <c r="BT567" s="461"/>
      <c r="BU567" s="392"/>
      <c r="BV567" s="461"/>
      <c r="BW567" s="392"/>
      <c r="BX567" s="392"/>
      <c r="BY567" s="392"/>
      <c r="BZ567" s="461"/>
      <c r="CA567" s="392"/>
      <c r="CB567" s="392"/>
      <c r="CC567" s="392"/>
      <c r="CD567" s="401"/>
      <c r="CE567" s="409"/>
      <c r="CF567" s="133">
        <f t="shared" si="1028"/>
        <v>0</v>
      </c>
      <c r="CG567" s="134">
        <f t="shared" si="1029"/>
        <v>0</v>
      </c>
      <c r="CH567" s="134">
        <f t="shared" si="1030"/>
        <v>0</v>
      </c>
      <c r="CI567" s="134">
        <f t="shared" si="1031"/>
        <v>1</v>
      </c>
      <c r="CJ567" s="134">
        <f t="shared" si="1032"/>
        <v>0</v>
      </c>
      <c r="CK567" s="134">
        <f t="shared" si="1033"/>
        <v>0</v>
      </c>
      <c r="CL567" s="134">
        <f t="shared" si="1034"/>
        <v>0</v>
      </c>
      <c r="CM567" s="134">
        <f t="shared" si="1035"/>
        <v>0</v>
      </c>
      <c r="CN567" s="134">
        <f t="shared" si="1036"/>
        <v>0</v>
      </c>
      <c r="CO567" s="134">
        <f t="shared" si="1037"/>
        <v>0</v>
      </c>
      <c r="CP567" s="134">
        <f t="shared" si="1038"/>
        <v>0</v>
      </c>
      <c r="CQ567" s="134">
        <f t="shared" si="1039"/>
        <v>0</v>
      </c>
      <c r="CR567" s="134">
        <f t="shared" si="1040"/>
        <v>0</v>
      </c>
      <c r="CS567" s="134">
        <f t="shared" si="1041"/>
        <v>0</v>
      </c>
      <c r="CT567" s="115">
        <f t="shared" si="1042"/>
        <v>0</v>
      </c>
      <c r="CU567" s="116">
        <f t="shared" si="1043"/>
        <v>0</v>
      </c>
      <c r="CV567" s="116">
        <f t="shared" si="1044"/>
        <v>0</v>
      </c>
      <c r="CW567" s="116">
        <f t="shared" si="1045"/>
        <v>0</v>
      </c>
      <c r="CX567" s="116">
        <f t="shared" si="1046"/>
        <v>0</v>
      </c>
      <c r="CY567" s="116">
        <f t="shared" si="1047"/>
        <v>0</v>
      </c>
      <c r="CZ567" s="116">
        <f t="shared" si="1048"/>
        <v>0</v>
      </c>
      <c r="DA567" s="116">
        <f t="shared" si="1049"/>
        <v>0</v>
      </c>
      <c r="DB567" s="116">
        <f t="shared" si="1050"/>
        <v>0</v>
      </c>
      <c r="DC567" s="116">
        <f t="shared" si="1051"/>
        <v>0</v>
      </c>
      <c r="DD567" s="116">
        <f t="shared" si="1052"/>
        <v>0</v>
      </c>
      <c r="DE567" s="117">
        <f t="shared" si="1053"/>
        <v>0</v>
      </c>
      <c r="DF567" s="118">
        <f t="shared" si="1056"/>
        <v>34</v>
      </c>
      <c r="DG567" s="106">
        <f t="shared" si="1057"/>
        <v>44.451999999999991</v>
      </c>
      <c r="DH567" s="116">
        <f t="shared" si="1058"/>
        <v>14</v>
      </c>
      <c r="DI567" s="106">
        <f t="shared" si="1059"/>
        <v>60.05</v>
      </c>
      <c r="DJ567" s="201" t="str">
        <f>IF($D565="","",$D565)</f>
        <v>16</v>
      </c>
      <c r="DK567" s="466"/>
    </row>
    <row r="568" spans="1:115" ht="14.5" customHeight="1" x14ac:dyDescent="0.2">
      <c r="A568" s="487">
        <f>$A565+1</f>
        <v>189</v>
      </c>
      <c r="B568" s="506" t="str">
        <f>IF(OR(C568="W",C569="W",C570="W",C568="1/2W",C569="1/2W",C570="1/2W",C568="1/2L",C569="1/2L",C570="1/2L"),"OK",IF(OR(C568="L",C569="L",C570="L"),"LOSS",IF(OR(C568="X",C569="X",C570="X"),"Anulado"," ")))</f>
        <v>OK</v>
      </c>
      <c r="C568" s="147" t="s">
        <v>55</v>
      </c>
      <c r="D568" s="494" t="str">
        <f>IF(G568="","",$D565)</f>
        <v>16</v>
      </c>
      <c r="E568" s="511" t="str">
        <f>IF(G568=""," ","– "&amp;COUNTIF(D$4:D570,$D568))</f>
        <v>– 21</v>
      </c>
      <c r="F568" s="510" t="str">
        <f ca="1">IF(G568="","",IF(OR(AND($C568&lt;&gt;" ",$C569=" "),AND($C569&lt;&gt;" ",$C568=" "),AND(L570&gt;0,OR(AND($C570&lt;&gt;" ",OR($C568=" ",$C569=" ")),AND($C570=" ",OR($C568&lt;&gt;" ",$C569&lt;&gt;" "))))),IF(SUM(F$4:F567)=0,1,LARGE(F$4:F567,1)+1),IF(MONTH(G568)=MONTH(TODAY()),IF(AND(DAY(G568)&lt;DAY(TODAY()),$B568=" "),IF(SUM(F$4:F567)=0,1,LARGE(F$4:F567,1)+1),IF($B568=" ",IF(AND(DAY(G568)=DAY(TODAY()),HOUR(G568)&lt;=HOUR(NOW())+1),IF(AND(HOUR(G568)+2&lt;=HOUR(NOW()),DAY(G568)&lt;=DAY(TODAY()),MINUTE(G568)&lt;=MINUTE(NOW())),IF(SUM(F$4:F567)=0,1,LARGE(F$4:F567,1)+1),IF(OR(MINUTE(G568)&lt;=MINUTE(NOW()),HOUR(G568)&lt;=HOUR(NOW())),"!!!","")),""),"")),"")))</f>
        <v/>
      </c>
      <c r="G568" s="508">
        <v>45002.635416666664</v>
      </c>
      <c r="H568" s="502" t="s">
        <v>214</v>
      </c>
      <c r="I568" s="180" t="s">
        <v>76</v>
      </c>
      <c r="J568" s="181">
        <v>4</v>
      </c>
      <c r="K568" s="150" t="s">
        <v>43</v>
      </c>
      <c r="L568" s="151">
        <v>2.13</v>
      </c>
      <c r="M568" s="152"/>
      <c r="N568" s="503">
        <v>0</v>
      </c>
      <c r="O568" s="153">
        <f>IF(OR(AE568="",AE569=""),"",ROUND(IF(L570&gt;0,IF(M568&gt;0,M568,IF(M569&gt;0,ROUND((M569*AE568)/AE569,IF(N568=0,2,IF(N568=0.1,1,0))),ROUND((M570*AE568)/AE570,IF(N568=0,2,IF(N568=0.1,1,0))))),IF(M568&gt;0,M568,ROUND((M569*AE568)/AE569,IF(N568=0,2,IF(N568=0.1,1,0))))),2))</f>
        <v>10.31</v>
      </c>
      <c r="P568" s="154">
        <f>IF(OR(L568="",O568=""),"",IF($C568="1/2W",O568/2+O568/2*L568,IF($C568="1/2L",O568/2,IF(I568="Lay",(O568*(L568/(L568-1))-O568)*(1-_xlfn.XLOOKUP(K568,'Fevereiro 2023 - Valor Real'!A3:A15,'Fevereiro 2023 - Valor Real'!C3:C15,0))+O568,(O568*L568-O568)*(1-_xlfn.XLOOKUP(K568,'Fevereiro 2023 - Valor Real'!A3:A15,'Fevereiro 2023 - Valor Real'!C3:C15,0))+O568))))</f>
        <v>21.9603</v>
      </c>
      <c r="Q568" s="155">
        <f>IF(K568="","",IF(_xlfn.XLOOKUP(K568,K$9:K560,$DJ$9:DJ560,0,,-1)=DJ568,_xlfn.XLOOKUP(K568,K$9:K560,Q$9:Q560,1,,-1)+1,1))</f>
        <v>5</v>
      </c>
      <c r="R568" s="156">
        <f>IF(K568="","",_xlfn.XLOOKUP(K568,K$9:K560,R$9:R560,0,,-1)+IF($C568=" ",1,0))</f>
        <v>0</v>
      </c>
      <c r="S568" s="501">
        <f>IF($B568="Anulado",0,ROUND(IF(OR($B568="LOSS",$B568="OK"),IF(OR($C568="W",$C568="1/2W",$C568="1/2L"),P568-O568,IF($C568="L",-O568,0))+IF(OR($C569="W",$C569="1/2W",$C569="1/2L"),P569-O569,IF($C569="L",-O569,0))+IF(OR($C570="W",$C570="1/2W",$C570="1/2L"),P570-O570,IF($C570="L",-O570,0)),IF(AND(OR($C568="W",$C568="1/2W",$C568="1/2L"),C569="W"),P568+P569-SUM(O568:O570)+_xlfn.XLOOKUP("X",C568:C570,O568:O570,0),IF(AND(C568=TRUE,C570="W"),P568+P570-SUM(O568:O570),IF(AND(C569="W",C570="W"),P569+P570-SUM(O568:O570)+_xlfn.XLOOKUP("X",C568:C570,O568:O570,0),IF(L570&gt;0,IF(OR($C568="W",$C568="1/2W",$C568="1/2L"),P568-SUM(O568:O570)+_xlfn.XLOOKUP("X",C568:C570,O568:O570,0),IF(OR($C568="W",$C568="1/2W",$C568="1/2L"),P569-SUM(O568:O570)+_xlfn.XLOOKUP("X",C568:C570,O568:O570,0),IF(OR($C568="W",$C568="1/2W",$C568="1/2L"),P570-SUM(O568:O570)+_xlfn.XLOOKUP("X",C568:C570,O568:O570,0),IF(SUM(P568:P570)/3-SUM(O568:O570)+_xlfn.XLOOKUP("X",C568:C570,O568:O570,0)&gt;0,SUM(P568:P570)/3-SUM(O568:O570)+_xlfn.XLOOKUP("X",C568:C570,O568:O570,0),LARGE(P568:P570,1)-SUM(O568:O570))))),IF(OR($C568="W",$C568="1/2W",$C568="1/2L"),P568-SUM(O568:O569)+_xlfn.XLOOKUP("X",C568:C570,O568:O570,0),IF(OR($C568="W",$C568="1/2W",$C568="1/2L"),P569-SUM(O568:O569)+_xlfn.XLOOKUP("X",C568:C570,O568:O570,0),SUM(P568:P569)/2-SUM(O568:O569)+_xlfn.XLOOKUP("X",C568:C570,O568:O570,0)))))))),2))</f>
        <v>0.94</v>
      </c>
      <c r="T568" s="486">
        <f>IF(S568=0,0,S568/SUM(O568:O570))</f>
        <v>4.4719314938154127E-2</v>
      </c>
      <c r="U568" s="496">
        <f>IF($D568=$D565,IF(OR($B568="LOSS",$B568="OK",$B568="Anulada"),S568,0)+U565,IF(OR($B568="LOSS",$B568="OK",$B568="Anulada"),S568,0))</f>
        <v>44.809999999999995</v>
      </c>
      <c r="V568" s="496">
        <f>IF($D568="",0,IF($D568=$D565,IF($B568=" ",IF(I570="",IF(OR(AND(I568="DNB1",I569="DNB2"),AND(OR(I568="DNB1",I568="DNB2"),J569=0),AND(OR(I569="DNB1",I569="DNB2"),J568=0),AND(I568="DNB2",I569="DNB1"),AND(IF(J568=0,(J568+1)/ROUND(J568+1,0),J568/ROUND(J568,0))=1,IF(J569=0,(J569+1)/ROUND(IF(J569="",0,J569)+1,0),IF(J569="",0,J569)/ROUND(IF(J569="",1,J569),0))=1,OR(J568&lt;&gt;""),J569&lt;&gt;"")),0,IF(S568&lt;0,IF(I570="",SMALL(P568:P569,1)-SUM(O568:O569),0),SMALL(P568:P569,1)-SUM(O568:O569))),IF(S568&lt;0,IF(I570="",SMALL(P568:P570,1)-SUM(O568:O570),0),LARGE(P568:P570,1)-SUM(O568:O570))),S568)+V565,IF(I570="",IF(OR(AND(I568="DNB1",I569="DNB2"),AND(OR(I568="DNB1",I568="DNB2"),J569=0),AND(OR(I569="DNB1",I569="DNB2"),J568=0),AND(I568="DNB2",I569="DNB1"),AND(IF(J568=0,(J568+1)/ROUND(J568+1,0),J568/ROUND(J568,0))=1,IF(J569=0,(IF(J569="",0,J569)+1)/ROUND(IF(J569="",0,J569)+1,0),IF(J569="",0,J569)/ROUND(IF(J569="",0,J569)+1,0))=1,OR(J568&lt;&gt;""),J569&lt;&gt;"")),0,IF(S568&lt;0,IF(I570="",SMALL(P568:P569,1)-SUM(O568:O569),0),SMALL(P568:P570,1)-SUM(O568:O570))),IF(S568&lt;0,IF(I570="",SMALL(P568:P570,1)-SUM(O568:O570),0),LARGE(P568:P570,1)-SUM(O568:O570)))))</f>
        <v>44.805199999999992</v>
      </c>
      <c r="W568" s="496">
        <f>IF($D568=$D565,IF(S568&lt;0,IF(I570="",S568,0),S568)+W565,S568)</f>
        <v>44.809999999999995</v>
      </c>
      <c r="X568" s="505" t="str">
        <f>IF(OR(SUM(R568:R570)=0,V568=W568),ROUND(IF(W568=0,0,W568/Y568)*100,2)&amp;"%",ROUND(IF(V568=0,0,V568/Y568)*100,2)&amp;"% a "&amp;ROUND(IF(W568=0,0,W568/Y568)*100,2)&amp;"%")</f>
        <v>7,97%</v>
      </c>
      <c r="Y568" s="497">
        <f>IF($D568=$D565,Y565+SUM(O568:O570),SUM(O568:O570))</f>
        <v>561.89</v>
      </c>
      <c r="Z568" s="496">
        <f>IF($B568=" ",SUM(O568:O570),0)+Z565</f>
        <v>0</v>
      </c>
      <c r="AA568" s="496">
        <f>IF(G568="","",IF($B568="Anulado",LARGE(P568:P570,1)-SUM(O568:O570)+AA565,AA565))</f>
        <v>12.425099999999992</v>
      </c>
      <c r="AB568" s="496">
        <f>IF($D568="","",AB565+S568)</f>
        <v>642.91000000000054</v>
      </c>
      <c r="AC568" s="499">
        <f ca="1">IF($D568="","",IF($B568=" ",IF(DAY(G568)=DAY(TODAY()),1+AC565,0+AC565),0+AC565))</f>
        <v>0</v>
      </c>
      <c r="AD568" s="157">
        <f>(1-_xlfn.XLOOKUP(K566,'Fevereiro 2023 - Valor Real'!A3:A15,'Fevereiro 2023 - Valor Real'!C3:C15,0))+1</f>
        <v>2</v>
      </c>
      <c r="AE568" s="158">
        <f>IF(L568="","",IF(L570&gt;0,(SUM(((L568-1)*(1-_xlfn.XLOOKUP(K568,'Fevereiro 2023 - Valor Real'!A3:A15,'Fevereiro 2023 - Valor Real'!C3:C15,0))+1),((L569-1)*(1-_xlfn.XLOOKUP(K569,'Fevereiro 2023 - Valor Real'!A3:A15,'Fevereiro 2023 - Valor Real'!C3:C15,0))+1),((L570-1)*(1-_xlfn.XLOOKUP(K570,'Fevereiro 2023 - Valor Real'!A3:A15,'Fevereiro 2023 - Valor Real'!C3:C15,0))+1))/((L568-1)*(1-_xlfn.XLOOKUP(K568,'Fevereiro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Real'!C3:C15,0))+1))/((L568-1)*(1-_xlfn.XLOOKUP(K568,'Fevereiro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Real'!C3:C15,0))+1))/((L569-1)*(1-_xlfn.XLOOKUP(K569,'Fevereiro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Real'!C3:C15,0))+1))/((L570-1)*(1-_xlfn.XLOOKUP(K570,'Fevereiro 2023 - Valor Real'!A3:A15,'Fevereiro 2023 - Valor Real'!C3:C15,0))+1)),IF(I568="Lay",IF(I569="Lay",((L569/(L569-1)-1)*(1-_xlfn.XLOOKUP(K569,'Fevereiro 2023 - Valor Real'!A3:A15,'Fevereiro 2023 - Valor Real'!C3:C15,0))+1)/(((L569/(L569-1)-1)*(1-_xlfn.XLOOKUP(K569,'Fevereiro 2023 - Valor Real'!A3:A15,'Fevereiro 2023 - Valor Real'!C3:C15,0))+1)+((L568/(L568-1)-1)*(1-_xlfn.XLOOKUP(K568,'Fevereiro 2023 - Valor Real'!A3:A15,'Fevereiro 2023 - Valor Real'!C3:C15,0))+1)),((L569-1)*(1-_xlfn.XLOOKUP(K569,'Fevereiro 2023 - Valor Real'!A3:A15,'Fevereiro 2023 - Valor Real'!C3:C15,0))+1)/(((L569-1)*(1-_xlfn.XLOOKUP(K569,'Fevereiro 2023 - Valor Real'!A3:A15,'Fevereiro 2023 - Valor Real'!C3:C15,0))+1)+((L568/(L568-1)-1)*(1-_xlfn.XLOOKUP(K568,'Fevereiro 2023 - Valor Real'!A3:A15,'Fevereiro 2023 - Valor Real'!C3:C15,0))+1))),IF(I569="Lay",(((L569/(L569-1)-1)*(1-_xlfn.XLOOKUP(K569,'Fevereiro 2023 - Valor Real'!A3:A15,'Fevereiro 2023 - Valor Real'!C3:C15,0))+1))/(((L568-1)*(1-_xlfn.XLOOKUP(K568,'Fevereiro 2023 - Valor Real'!A3:A15,'Fevereiro 2023 - Valor Real'!C3:C15,0))+1)+((L569/(L569-1)-1)*(1-_xlfn.XLOOKUP(K569,'Fevereiro 2023 - Valor Real'!A3:A15,'Fevereiro 2023 - Valor Real'!C3:C15,0))+1)),((L569-1)*(1-_xlfn.XLOOKUP(K569,'Fevereiro 2023 - Valor Real'!A3:A15,'Fevereiro 2023 - Valor Real'!C3:C15,0))+1)/(((L569-1)*(1-_xlfn.XLOOKUP(K569,'Fevereiro 2023 - Valor Real'!A3:A15,'Fevereiro 2023 - Valor Real'!C3:C15,0))+1)+((L568-1)*(1-_xlfn.XLOOKUP(K568,'Fevereiro 2023 - Valor Real'!A3:A15,'Fevereiro 2023 - Valor Real'!C3:C15,0))+1))))))</f>
        <v>0.49043062200956938</v>
      </c>
      <c r="AF568" s="66">
        <f t="shared" si="1129"/>
        <v>0</v>
      </c>
      <c r="AG568" s="67">
        <f t="shared" si="1129"/>
        <v>0</v>
      </c>
      <c r="AH568" s="67">
        <f t="shared" si="1129"/>
        <v>0</v>
      </c>
      <c r="AI568" s="67">
        <f t="shared" si="1129"/>
        <v>0</v>
      </c>
      <c r="AJ568" s="67">
        <f t="shared" si="1129"/>
        <v>0</v>
      </c>
      <c r="AK568" s="67">
        <f t="shared" si="1129"/>
        <v>0</v>
      </c>
      <c r="AL568" s="67">
        <f t="shared" si="1129"/>
        <v>0</v>
      </c>
      <c r="AM568" s="67">
        <f t="shared" si="1129"/>
        <v>-10.31</v>
      </c>
      <c r="AN568" s="67">
        <f t="shared" si="1129"/>
        <v>0</v>
      </c>
      <c r="AO568" s="67">
        <f t="shared" si="1129"/>
        <v>0</v>
      </c>
      <c r="AP568" s="67">
        <f t="shared" si="1129"/>
        <v>0</v>
      </c>
      <c r="AQ568" s="67">
        <f t="shared" si="1129"/>
        <v>0</v>
      </c>
      <c r="AR568" s="68">
        <f t="shared" si="1129"/>
        <v>0</v>
      </c>
      <c r="AS568" s="66">
        <f t="shared" ref="AS568:BE568" si="1136">IF(AND($B568=" ",$K568=AS$3),$O568,0)</f>
        <v>0</v>
      </c>
      <c r="AT568" s="67">
        <f t="shared" si="1136"/>
        <v>0</v>
      </c>
      <c r="AU568" s="67">
        <f t="shared" si="1136"/>
        <v>0</v>
      </c>
      <c r="AV568" s="67">
        <f t="shared" si="1136"/>
        <v>0</v>
      </c>
      <c r="AW568" s="67">
        <f t="shared" si="1136"/>
        <v>0</v>
      </c>
      <c r="AX568" s="67">
        <f t="shared" si="1136"/>
        <v>0</v>
      </c>
      <c r="AY568" s="69">
        <f t="shared" si="1136"/>
        <v>0</v>
      </c>
      <c r="AZ568" s="70">
        <f t="shared" si="1136"/>
        <v>0</v>
      </c>
      <c r="BA568" s="70">
        <f t="shared" si="1136"/>
        <v>0</v>
      </c>
      <c r="BB568" s="70">
        <f t="shared" si="1136"/>
        <v>0</v>
      </c>
      <c r="BC568" s="71">
        <f t="shared" si="1136"/>
        <v>0</v>
      </c>
      <c r="BD568" s="67">
        <f t="shared" si="1136"/>
        <v>0</v>
      </c>
      <c r="BE568" s="68">
        <f t="shared" si="1136"/>
        <v>0</v>
      </c>
      <c r="BF568" s="66">
        <f t="shared" si="1131"/>
        <v>0</v>
      </c>
      <c r="BG568" s="67">
        <f t="shared" si="1131"/>
        <v>0</v>
      </c>
      <c r="BH568" s="67">
        <f t="shared" si="1131"/>
        <v>0</v>
      </c>
      <c r="BI568" s="67">
        <f t="shared" si="1131"/>
        <v>0</v>
      </c>
      <c r="BJ568" s="67">
        <f t="shared" si="1131"/>
        <v>0</v>
      </c>
      <c r="BK568" s="67">
        <f t="shared" si="1131"/>
        <v>0</v>
      </c>
      <c r="BL568" s="67">
        <f t="shared" si="1131"/>
        <v>0</v>
      </c>
      <c r="BM568" s="69">
        <f t="shared" si="1131"/>
        <v>10.31</v>
      </c>
      <c r="BN568" s="70">
        <f t="shared" si="1131"/>
        <v>0</v>
      </c>
      <c r="BO568" s="70">
        <f t="shared" si="1131"/>
        <v>0</v>
      </c>
      <c r="BP568" s="70">
        <f t="shared" si="1131"/>
        <v>0</v>
      </c>
      <c r="BQ568" s="71">
        <f t="shared" si="1131"/>
        <v>0</v>
      </c>
      <c r="BR568" s="68">
        <f t="shared" si="1131"/>
        <v>0</v>
      </c>
      <c r="BS568" s="490">
        <f>IF($B568="LOSS",IF(AND($K568=BS$3,$C568="L"),-$O568,0)+IF(AND($K569=BS$3,$C569="L"),-$O569,0)+IF(AND($K570=BS$3,$C570="L"),-$O570,0),IF(OR(AND($K568=BS$3,OR($C568="W",$C568="1/2W")),AND($K569=BS$3,OR($C569="W",$C569="1/2W")),AND($K570=BS$3,OR($C570="W",$C570="1/2W"))),$S568,0))</f>
        <v>0</v>
      </c>
      <c r="BT568" s="498">
        <f>IF($B568="LOSS",IF(AND($K568=BT$3,$C568="L"),-$O568,0)+IF(AND($K569=BT$3,$C569="L"),-$O569,0)+IF(AND($K569=BT$3,$C570="L"),-$O570,0),IF(OR(AND($K569=BT$3,OR($C568="W",$C568="1/2W")),AND($K569=BT$3,OR($C569="W",$C569="1/2W")),AND($K569=BT$3,OR($C570="W",$C570="1/2W"))),$S568,0))</f>
        <v>0</v>
      </c>
      <c r="BU568" s="488">
        <f>IF($B568="LOSS",IF(AND($K568=BU$3,$C568="L"),-$O568,0)+IF(AND($K569=BU$3,$C569="L"),-$O569,0)+IF(AND($K569=BU$3,$C570="L"),-$O570,0),IF(OR(AND($K569=BU$3,OR($C568="W",$C568="1/2W")),AND($K569=BU$3,OR($C569="W",$C569="1/2W")),AND($K569=BU$3,OR($C570="W",$C570="1/2W"))),$S568,0))</f>
        <v>0</v>
      </c>
      <c r="BV568" s="488">
        <f t="shared" ref="BV568:CE568" si="1137">IF($B568="LOSS",IF(AND($K568=BV$3,$C568="L"),-$O568,0)+IF(AND($K569=BV$3,$C569="L"),-$O569,0)+IF(AND($K570=BV$3,$C570="L"),-$O570,0),IF(OR(AND($K568=BV$3,OR($C568="W",$C568="1/2W")),AND($K569=BV$3,OR($C569="W",$C569="1/2W")),AND($K570=BV$3,OR($C570="W",$C570="1/2W"))),$S568,0))</f>
        <v>0</v>
      </c>
      <c r="BW568" s="488">
        <f t="shared" si="1137"/>
        <v>0.94</v>
      </c>
      <c r="BX568" s="488">
        <f t="shared" si="1137"/>
        <v>0</v>
      </c>
      <c r="BY568" s="488">
        <f t="shared" si="1137"/>
        <v>0</v>
      </c>
      <c r="BZ568" s="488">
        <f t="shared" si="1137"/>
        <v>0</v>
      </c>
      <c r="CA568" s="488">
        <f t="shared" si="1137"/>
        <v>0</v>
      </c>
      <c r="CB568" s="488">
        <f t="shared" si="1137"/>
        <v>0</v>
      </c>
      <c r="CC568" s="488">
        <f t="shared" si="1137"/>
        <v>0</v>
      </c>
      <c r="CD568" s="500">
        <f t="shared" si="1137"/>
        <v>0</v>
      </c>
      <c r="CE568" s="504">
        <f t="shared" si="1137"/>
        <v>0</v>
      </c>
      <c r="CF568" s="160">
        <f t="shared" si="1028"/>
        <v>0</v>
      </c>
      <c r="CG568" s="161">
        <f t="shared" si="1029"/>
        <v>0</v>
      </c>
      <c r="CH568" s="161">
        <f t="shared" si="1030"/>
        <v>0</v>
      </c>
      <c r="CI568" s="161">
        <f t="shared" si="1031"/>
        <v>0</v>
      </c>
      <c r="CJ568" s="161">
        <f t="shared" si="1032"/>
        <v>0</v>
      </c>
      <c r="CK568" s="161">
        <f t="shared" si="1033"/>
        <v>0</v>
      </c>
      <c r="CL568" s="161">
        <f t="shared" si="1034"/>
        <v>0</v>
      </c>
      <c r="CM568" s="161">
        <f t="shared" si="1035"/>
        <v>0</v>
      </c>
      <c r="CN568" s="161">
        <f t="shared" si="1036"/>
        <v>0</v>
      </c>
      <c r="CO568" s="161">
        <f t="shared" si="1037"/>
        <v>0</v>
      </c>
      <c r="CP568" s="161">
        <f t="shared" si="1038"/>
        <v>0</v>
      </c>
      <c r="CQ568" s="161">
        <f t="shared" si="1039"/>
        <v>0</v>
      </c>
      <c r="CR568" s="161">
        <f t="shared" si="1040"/>
        <v>0</v>
      </c>
      <c r="CS568" s="161">
        <f t="shared" si="1041"/>
        <v>0</v>
      </c>
      <c r="CT568" s="75">
        <f t="shared" si="1042"/>
        <v>0</v>
      </c>
      <c r="CU568" s="76">
        <f t="shared" si="1043"/>
        <v>1</v>
      </c>
      <c r="CV568" s="76">
        <f t="shared" si="1044"/>
        <v>0</v>
      </c>
      <c r="CW568" s="76">
        <f t="shared" si="1045"/>
        <v>0</v>
      </c>
      <c r="CX568" s="76">
        <f t="shared" si="1046"/>
        <v>0</v>
      </c>
      <c r="CY568" s="76">
        <f t="shared" si="1047"/>
        <v>0</v>
      </c>
      <c r="CZ568" s="76">
        <f t="shared" si="1048"/>
        <v>0</v>
      </c>
      <c r="DA568" s="76">
        <f t="shared" si="1049"/>
        <v>0</v>
      </c>
      <c r="DB568" s="76">
        <f t="shared" si="1050"/>
        <v>0</v>
      </c>
      <c r="DC568" s="76">
        <f t="shared" si="1051"/>
        <v>0</v>
      </c>
      <c r="DD568" s="76">
        <f t="shared" si="1052"/>
        <v>0</v>
      </c>
      <c r="DE568" s="77">
        <f t="shared" si="1053"/>
        <v>0</v>
      </c>
      <c r="DF568" s="73">
        <f t="shared" si="1056"/>
        <v>34</v>
      </c>
      <c r="DG568" s="67">
        <f t="shared" si="1057"/>
        <v>44.451999999999991</v>
      </c>
      <c r="DH568" s="76">
        <f t="shared" si="1058"/>
        <v>14</v>
      </c>
      <c r="DI568" s="67">
        <f t="shared" si="1059"/>
        <v>60.05</v>
      </c>
      <c r="DJ568" s="202" t="str">
        <f>IF($D568="","",$D568)</f>
        <v>16</v>
      </c>
      <c r="DK568" s="492">
        <f>IF(AND($B568=" ",$D568&lt;&gt;""),1,0)</f>
        <v>0</v>
      </c>
    </row>
    <row r="569" spans="1:115" ht="14.5" customHeight="1" x14ac:dyDescent="0.2">
      <c r="A569" s="389"/>
      <c r="B569" s="456"/>
      <c r="C569" s="53" t="s">
        <v>54</v>
      </c>
      <c r="D569" s="374"/>
      <c r="E569" s="386"/>
      <c r="F569" s="377"/>
      <c r="G569" s="508"/>
      <c r="H569" s="476"/>
      <c r="I569" s="182" t="s">
        <v>66</v>
      </c>
      <c r="J569" s="56">
        <f>IF(OR(I568="TO",I568="TU",I568="TO1",I568="TU1",I568="TO2",I568="TU2"),J568,IF(OR(I568="AH1",I568="AH2"),IF(OR(I569="AH1",I569="AH2"),-J568,IF(OR(I569="EH1",I569="EH2"),-J568+0.5,"")),IF(OR(I568="EH1",I568="EH2"),IF(OR(I569="AH1",I569="AH2"),-J568+0.5,IF(OR(I569="EH1",I569="EH2"),-J568+1,"")),IF(AND(OR(I568="DNB1",I568="DNB2"),OR(I569="AH1",I569="AH2")),0,IF(AND(I568="Not ScoreBoth",OR(I569="TO1",I569="TO2")),0.5,"")))))</f>
        <v>-4</v>
      </c>
      <c r="K569" s="57" t="s">
        <v>40</v>
      </c>
      <c r="L569" s="164">
        <v>2.0499999999999998</v>
      </c>
      <c r="M569" s="165">
        <v>10.71</v>
      </c>
      <c r="N569" s="406"/>
      <c r="O569" s="60">
        <f>IF(OR(AE568="",AE569=""),"",ROUND(IF(L570&gt;0,IF(M569&gt;0,M569,IF(M568&gt;0,IF(N568=TRUE,ROUND((M568*AE569)/AE568,0),(M568*AE569)/AE568),IF(M569&gt;0,ROUND(M569,IF(N568=0,2,IF(N568=0.1,1,0))),IF(M570&gt;0,ROUND(O570*AE569/AE570,IF(N568=0,2,IF(N568=0.1,1,0))),0)))),IF(M569&gt;0,M569,ROUND((M568*AE569)/AE568,IF(N568=0,2,IF(N568=0.1,1,0))))),2))</f>
        <v>10.71</v>
      </c>
      <c r="P569" s="61">
        <f>IF(OR(L569="",O569=""),"",IF($C569="1/2W",O569/2+O569/2*L569,IF($C569="1/2L",O569/2,IF(I569="Lay",((O569*(L569/(L569-1)))-O569)*(1-_xlfn.XLOOKUP(K569,'Fevereiro 2023 - Valor Real'!A3:A15,'Fevereiro 2023 - Valor Real'!C3:C15,0))+O569,(O569*L569-O569)*(1-_xlfn.XLOOKUP(K569,'Fevereiro 2023 - Valor Real'!A3:A15,'Fevereiro 2023 - Valor Real'!C3:C15,0))+O569))))</f>
        <v>21.955500000000001</v>
      </c>
      <c r="Q569" s="166">
        <f>IF(K569="","",IF(_xlfn.XLOOKUP(K569,K$10:K560,$DJ$10:DJ560,0,,-1)=DJ569,_xlfn.XLOOKUP(K569,K$10:K560,Q$10:Q560,1,,-1)+1,1))</f>
        <v>9</v>
      </c>
      <c r="R569" s="167">
        <f>IF(K569="","",_xlfn.XLOOKUP(K569,K$10:K560,R$10:R560,0,,-1)+IF($C569=" ",1,0))</f>
        <v>0</v>
      </c>
      <c r="S569" s="403"/>
      <c r="T569" s="380"/>
      <c r="U569" s="380"/>
      <c r="V569" s="481"/>
      <c r="W569" s="380"/>
      <c r="X569" s="452"/>
      <c r="Y569" s="383"/>
      <c r="Z569" s="384"/>
      <c r="AA569" s="384"/>
      <c r="AB569" s="384"/>
      <c r="AC569" s="384"/>
      <c r="AD569" s="64"/>
      <c r="AE569" s="65">
        <f>IF(L569="","",IF(L570&gt;0,(SUM(((L568-1)*(1-_xlfn.XLOOKUP(K568,'Fevereiro 2023 - Valor Real'!A3:A15,'Fevereiro 2023 - Valor Real'!C3:C15,0))+1),((L569-1)*(1-_xlfn.XLOOKUP(K569,'Fevereiro 2023 - Valor Real'!A3:A15,'Fevereiro 2023 - Valor Real'!C3:C15,0))+1),((L570-1)*(1-_xlfn.XLOOKUP(K570,'Fevereiro 2023 - Valor Real'!A3:A15,'Fevereiro 2023 - Valor Real'!C3:C15,0))+1))/((L569-1)*(1-_xlfn.XLOOKUP(K569,'Fevereiro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Real'!C3:C15,0))+1))/((L568-1)*(1-_xlfn.XLOOKUP(K568,'Fevereiro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Real'!C3:C15,0))+1))/((L569-1)*(1-_xlfn.XLOOKUP(K569,'Fevereiro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Real'!C3:C15,0))+1))/((L570-1)*(1-_xlfn.XLOOKUP(K570,'Fevereiro 2023 - Valor Real'!A3:A15,'Fevereiro 2023 - Valor Real'!C3:C15,0))+1)),IF(I569="Lay",IF(I568="Lay",((L568/(L568-1)-1)*(1-_xlfn.XLOOKUP(K568,'Fevereiro 2023 - Valor Real'!A3:A15,'Fevereiro 2023 - Valor Real'!C3:C15,0))+1)/(((L568/(L568-1)-1)*(1-_xlfn.XLOOKUP(K568,'Fevereiro 2023 - Valor Real'!A3:A15,'Fevereiro 2023 - Valor Real'!C3:C15,0))+1)+((L569/(L569-1)-1)*(1-_xlfn.XLOOKUP(K569,'Fevereiro 2023 - Valor Real'!A3:A15,'Fevereiro 2023 - Valor Real'!C3:C15,0))+1)),((L568-1)*(1-_xlfn.XLOOKUP(K568,'Fevereiro 2023 - Valor Real'!A3:A15,'Fevereiro 2023 - Valor Real'!C3:C15,0))+1)/(((L568-1)*(1-_xlfn.XLOOKUP(K568,'Fevereiro 2023 - Valor Real'!A3:A15,'Fevereiro 2023 - Valor Real'!C3:C15,0))+1)+((L569/(L569-1)-1)*(1-_xlfn.XLOOKUP(K569,'Fevereiro 2023 - Valor Real'!A3:A15,'Fevereiro 2023 - Valor Real'!C3:C15,0))+1))),IF(I568="Lay",((L568/(L568-1)-1)*(1-_xlfn.XLOOKUP(K568,'Fevereiro 2023 - Valor Real'!A3:A15,'Fevereiro 2023 - Valor Real'!C3:C15,0))+1)/((((L568/(L568-1)-1)*(1-_xlfn.XLOOKUP(K568,'Fevereiro 2023 - Valor Real'!A3:A15,'Fevereiro 2023 - Valor Real'!C3:C15,0))+1))+((L569-1)*(1-_xlfn.XLOOKUP(K569,'Fevereiro 2023 - Valor Real'!A3:A15,'Fevereiro 2023 - Valor Real'!C3:C15,0))+1)),((L568-1)*(1-_xlfn.XLOOKUP(K568,'Fevereiro 2023 - Valor Real'!A3:A15,'Fevereiro 2023 - Valor Real'!C3:C15,0))+1)/(((L568-1)*(1-_xlfn.XLOOKUP(K568,'Fevereiro 2023 - Valor Real'!A3:A15,'Fevereiro 2023 - Valor Real'!C3:C15,0))+1)+((L569-1)*(1-_xlfn.XLOOKUP(K569,'Fevereiro 2023 - Valor Real'!A3:A15,'Fevereiro 2023 - Valor Real'!C3:C15,0))+1))))))</f>
        <v>0.50956937799043067</v>
      </c>
      <c r="AF569" s="66">
        <f t="shared" si="1129"/>
        <v>0</v>
      </c>
      <c r="AG569" s="67">
        <f t="shared" si="1129"/>
        <v>0</v>
      </c>
      <c r="AH569" s="67">
        <f t="shared" si="1129"/>
        <v>0</v>
      </c>
      <c r="AI569" s="67">
        <f t="shared" si="1129"/>
        <v>0</v>
      </c>
      <c r="AJ569" s="67">
        <f t="shared" si="1129"/>
        <v>11.25</v>
      </c>
      <c r="AK569" s="67">
        <f t="shared" si="1129"/>
        <v>0</v>
      </c>
      <c r="AL569" s="67">
        <f t="shared" si="1129"/>
        <v>0</v>
      </c>
      <c r="AM569" s="67">
        <f t="shared" si="1129"/>
        <v>0</v>
      </c>
      <c r="AN569" s="67">
        <f t="shared" si="1129"/>
        <v>0</v>
      </c>
      <c r="AO569" s="67">
        <f t="shared" si="1129"/>
        <v>0</v>
      </c>
      <c r="AP569" s="67">
        <f t="shared" si="1129"/>
        <v>0</v>
      </c>
      <c r="AQ569" s="67">
        <f t="shared" si="1129"/>
        <v>0</v>
      </c>
      <c r="AR569" s="68">
        <f t="shared" si="1129"/>
        <v>0</v>
      </c>
      <c r="AS569" s="66">
        <f>IF(AND($B568=" ",$K569=AS$3),$O569,0)</f>
        <v>0</v>
      </c>
      <c r="AT569" s="67">
        <f>IF(AND($B568=" ",K569=AT$3),$O569,0)</f>
        <v>0</v>
      </c>
      <c r="AU569" s="67">
        <f t="shared" ref="AU569:BE569" si="1138">IF(AND($B568=" ",$K569=AU$3),$O569,0)</f>
        <v>0</v>
      </c>
      <c r="AV569" s="67">
        <f t="shared" si="1138"/>
        <v>0</v>
      </c>
      <c r="AW569" s="67">
        <f t="shared" si="1138"/>
        <v>0</v>
      </c>
      <c r="AX569" s="67">
        <f t="shared" si="1138"/>
        <v>0</v>
      </c>
      <c r="AY569" s="69">
        <f t="shared" si="1138"/>
        <v>0</v>
      </c>
      <c r="AZ569" s="70">
        <f t="shared" si="1138"/>
        <v>0</v>
      </c>
      <c r="BA569" s="70">
        <f t="shared" si="1138"/>
        <v>0</v>
      </c>
      <c r="BB569" s="70">
        <f t="shared" si="1138"/>
        <v>0</v>
      </c>
      <c r="BC569" s="71">
        <f t="shared" si="1138"/>
        <v>0</v>
      </c>
      <c r="BD569" s="67">
        <f t="shared" si="1138"/>
        <v>0</v>
      </c>
      <c r="BE569" s="68">
        <f t="shared" si="1138"/>
        <v>0</v>
      </c>
      <c r="BF569" s="66">
        <f t="shared" si="1131"/>
        <v>0</v>
      </c>
      <c r="BG569" s="168">
        <f t="shared" si="1131"/>
        <v>0</v>
      </c>
      <c r="BH569" s="67">
        <f t="shared" si="1131"/>
        <v>0</v>
      </c>
      <c r="BI569" s="67">
        <f t="shared" si="1131"/>
        <v>0</v>
      </c>
      <c r="BJ569" s="67">
        <f t="shared" si="1131"/>
        <v>10.71</v>
      </c>
      <c r="BK569" s="67">
        <f t="shared" si="1131"/>
        <v>0</v>
      </c>
      <c r="BL569" s="67">
        <f t="shared" si="1131"/>
        <v>0</v>
      </c>
      <c r="BM569" s="69">
        <f t="shared" si="1131"/>
        <v>0</v>
      </c>
      <c r="BN569" s="70">
        <f t="shared" si="1131"/>
        <v>0</v>
      </c>
      <c r="BO569" s="70">
        <f t="shared" si="1131"/>
        <v>0</v>
      </c>
      <c r="BP569" s="70">
        <f t="shared" si="1131"/>
        <v>0</v>
      </c>
      <c r="BQ569" s="71">
        <f t="shared" si="1131"/>
        <v>0</v>
      </c>
      <c r="BR569" s="68">
        <f t="shared" si="1131"/>
        <v>0</v>
      </c>
      <c r="BS569" s="491"/>
      <c r="BT569" s="489"/>
      <c r="BU569" s="392"/>
      <c r="BV569" s="489"/>
      <c r="BW569" s="392"/>
      <c r="BX569" s="392"/>
      <c r="BY569" s="392"/>
      <c r="BZ569" s="489"/>
      <c r="CA569" s="392"/>
      <c r="CB569" s="392"/>
      <c r="CC569" s="392"/>
      <c r="CD569" s="401"/>
      <c r="CE569" s="409"/>
      <c r="CF569" s="169">
        <f t="shared" si="1028"/>
        <v>0</v>
      </c>
      <c r="CG569" s="170">
        <f t="shared" si="1029"/>
        <v>0</v>
      </c>
      <c r="CH569" s="170">
        <f t="shared" si="1030"/>
        <v>0</v>
      </c>
      <c r="CI569" s="170">
        <f t="shared" si="1031"/>
        <v>0</v>
      </c>
      <c r="CJ569" s="170">
        <f t="shared" si="1032"/>
        <v>0</v>
      </c>
      <c r="CK569" s="170">
        <f t="shared" si="1033"/>
        <v>0</v>
      </c>
      <c r="CL569" s="170">
        <f t="shared" si="1034"/>
        <v>0</v>
      </c>
      <c r="CM569" s="170">
        <f t="shared" si="1035"/>
        <v>0</v>
      </c>
      <c r="CN569" s="170">
        <f t="shared" si="1036"/>
        <v>1</v>
      </c>
      <c r="CO569" s="170">
        <f t="shared" si="1037"/>
        <v>0</v>
      </c>
      <c r="CP569" s="170">
        <f t="shared" si="1038"/>
        <v>0</v>
      </c>
      <c r="CQ569" s="170">
        <f t="shared" si="1039"/>
        <v>0</v>
      </c>
      <c r="CR569" s="170">
        <f t="shared" si="1040"/>
        <v>0</v>
      </c>
      <c r="CS569" s="170">
        <f t="shared" si="1041"/>
        <v>0</v>
      </c>
      <c r="CT569" s="75">
        <f t="shared" si="1042"/>
        <v>0</v>
      </c>
      <c r="CU569" s="76">
        <f t="shared" si="1043"/>
        <v>0</v>
      </c>
      <c r="CV569" s="76">
        <f t="shared" si="1044"/>
        <v>0</v>
      </c>
      <c r="CW569" s="76">
        <f t="shared" si="1045"/>
        <v>0</v>
      </c>
      <c r="CX569" s="76">
        <f t="shared" si="1046"/>
        <v>0</v>
      </c>
      <c r="CY569" s="76">
        <f t="shared" si="1047"/>
        <v>0</v>
      </c>
      <c r="CZ569" s="76">
        <f t="shared" si="1048"/>
        <v>0</v>
      </c>
      <c r="DA569" s="76">
        <f t="shared" si="1049"/>
        <v>0</v>
      </c>
      <c r="DB569" s="76">
        <f t="shared" si="1050"/>
        <v>0</v>
      </c>
      <c r="DC569" s="76">
        <f t="shared" si="1051"/>
        <v>0</v>
      </c>
      <c r="DD569" s="76">
        <f t="shared" si="1052"/>
        <v>0</v>
      </c>
      <c r="DE569" s="77">
        <f t="shared" si="1053"/>
        <v>0</v>
      </c>
      <c r="DF569" s="73">
        <f t="shared" si="1056"/>
        <v>34</v>
      </c>
      <c r="DG569" s="67">
        <f t="shared" si="1057"/>
        <v>44.451999999999991</v>
      </c>
      <c r="DH569" s="76">
        <f t="shared" si="1058"/>
        <v>14</v>
      </c>
      <c r="DI569" s="67">
        <f t="shared" si="1059"/>
        <v>60.05</v>
      </c>
      <c r="DJ569" s="202" t="str">
        <f>IF($D568="","",$D568)</f>
        <v>16</v>
      </c>
      <c r="DK569" s="493"/>
    </row>
    <row r="570" spans="1:115" ht="14.5" customHeight="1" x14ac:dyDescent="0.2">
      <c r="A570" s="390"/>
      <c r="B570" s="457"/>
      <c r="C570" s="79" t="s">
        <v>53</v>
      </c>
      <c r="D570" s="375"/>
      <c r="E570" s="387"/>
      <c r="F570" s="378"/>
      <c r="G570" s="508"/>
      <c r="H570" s="477"/>
      <c r="I570" s="171"/>
      <c r="J570" s="172"/>
      <c r="K570" s="81"/>
      <c r="L570" s="173"/>
      <c r="M570" s="174"/>
      <c r="N570" s="407"/>
      <c r="O570" s="86" t="str">
        <f>IF(OR(AE568="",AE569=""),"",IF(L570&gt;0,ROUND(IF(M570&gt;0,M570,IF(M568&gt;0,ROUND((M568*AE570)/AE568,IF(N568=0,2,IF(N568=0.1,1,0))),IF(M569&gt;0,ROUND((M569*AE570)/AE569,IF(N568=0,2,IF(N568=0.1,1,0))),IF(M570&gt;0,M570,0)))),2),""))</f>
        <v/>
      </c>
      <c r="P570" s="87" t="str">
        <f>IF(I569="Lay",O569*(L569/(L569-1))-O569,IF(I568="Lay",O568*(L568/(L568-1))-O568,IF(OR(L570="",O570=""),"",IF($C570="1/2W",O570/2+O570/2*L570,IF($C570="1/2L",O570/2,(O570*L570-O570)*(1-_xlfn.XLOOKUP(K570,'Fevereiro 2023 - Valor Real'!A3:A15,'Fevereiro 2023 - Valor Real'!C3:C15,0))+O570)))))</f>
        <v/>
      </c>
      <c r="Q570" s="54" t="str">
        <f>IF(K570="","",IF(_xlfn.XLOOKUP(K570,K$11:K560,$DJ$11:DJ560,0,,-1)=DJ570,_xlfn.XLOOKUP(K570,K$11:K560,Q$11:Q560,1,,-1)+1,1))</f>
        <v/>
      </c>
      <c r="R570" s="87" t="str">
        <f>IF(K570="","",_xlfn.XLOOKUP(K570,K$11:K560,R$11:R560,0,,-1)+IF($C570=" ",1,0))</f>
        <v/>
      </c>
      <c r="S570" s="404"/>
      <c r="T570" s="378"/>
      <c r="U570" s="378"/>
      <c r="V570" s="404"/>
      <c r="W570" s="378"/>
      <c r="X570" s="453"/>
      <c r="Y570" s="383"/>
      <c r="Z570" s="384"/>
      <c r="AA570" s="384"/>
      <c r="AB570" s="384"/>
      <c r="AC570" s="384"/>
      <c r="AD570" s="90"/>
      <c r="AE570" s="91" t="str">
        <f>IF(L570="","",(SUM(((L568-1)*(1-_xlfn.XLOOKUP(K568,'Fevereiro 2023 - Valor Real'!A3:A15,'Fevereiro 2023 - Valor Real'!C3:C15,0))+1),((L569-1)*(1-_xlfn.XLOOKUP(K569,'Fevereiro 2023 - Valor Real'!A3:A15,'Fevereiro 2023 - Valor Real'!C3:C15,0))+1),((L570-1)*(1-_xlfn.XLOOKUP(K570,'Fevereiro 2023 - Valor Real'!A3:A15,'Fevereiro 2023 - Valor Real'!C3:C15,0))+1))/((L570-1)*(1-_xlfn.XLOOKUP(K570,'Fevereiro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Real'!C3:C15,0))+1))/((L568-1)*(1-_xlfn.XLOOKUP(K568,'Fevereiro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Real'!C3:C15,0))+1))/((L569-1)*(1-_xlfn.XLOOKUP(K569,'Fevereiro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Real'!C3:C15,0))+1))/((L570-1)*(1-_xlfn.XLOOKUP(K570,'Fevereiro 2023 - Valor Real'!A3:A15,'Fevereiro 2023 - Valor Real'!C3:C15,0))+1)))</f>
        <v/>
      </c>
      <c r="AF570" s="66">
        <f t="shared" si="1129"/>
        <v>0</v>
      </c>
      <c r="AG570" s="67">
        <f t="shared" si="1129"/>
        <v>0</v>
      </c>
      <c r="AH570" s="67">
        <f t="shared" si="1129"/>
        <v>0</v>
      </c>
      <c r="AI570" s="67">
        <f t="shared" si="1129"/>
        <v>0</v>
      </c>
      <c r="AJ570" s="67">
        <f t="shared" si="1129"/>
        <v>0</v>
      </c>
      <c r="AK570" s="67">
        <f t="shared" si="1129"/>
        <v>0</v>
      </c>
      <c r="AL570" s="67">
        <f t="shared" si="1129"/>
        <v>0</v>
      </c>
      <c r="AM570" s="67">
        <f t="shared" si="1129"/>
        <v>0</v>
      </c>
      <c r="AN570" s="67">
        <f t="shared" si="1129"/>
        <v>0</v>
      </c>
      <c r="AO570" s="67">
        <f t="shared" si="1129"/>
        <v>0</v>
      </c>
      <c r="AP570" s="67">
        <f t="shared" si="1129"/>
        <v>0</v>
      </c>
      <c r="AQ570" s="67">
        <f t="shared" si="1129"/>
        <v>0</v>
      </c>
      <c r="AR570" s="68">
        <f t="shared" si="1129"/>
        <v>0</v>
      </c>
      <c r="AS570" s="66">
        <f>IF(AND($B568=" ",$K570=AS$3),$O570,0)</f>
        <v>0</v>
      </c>
      <c r="AT570" s="67">
        <f>IF(AND($B568=" ",K570=AT$3),$O570,0)</f>
        <v>0</v>
      </c>
      <c r="AU570" s="67">
        <f t="shared" ref="AU570:BE570" si="1139">IF(AND($B568=" ",$K570=AU$3),$O570,0)</f>
        <v>0</v>
      </c>
      <c r="AV570" s="67">
        <f t="shared" si="1139"/>
        <v>0</v>
      </c>
      <c r="AW570" s="67">
        <f t="shared" si="1139"/>
        <v>0</v>
      </c>
      <c r="AX570" s="67">
        <f t="shared" si="1139"/>
        <v>0</v>
      </c>
      <c r="AY570" s="69">
        <f t="shared" si="1139"/>
        <v>0</v>
      </c>
      <c r="AZ570" s="70">
        <f t="shared" si="1139"/>
        <v>0</v>
      </c>
      <c r="BA570" s="70">
        <f t="shared" si="1139"/>
        <v>0</v>
      </c>
      <c r="BB570" s="70">
        <f t="shared" si="1139"/>
        <v>0</v>
      </c>
      <c r="BC570" s="71">
        <f t="shared" si="1139"/>
        <v>0</v>
      </c>
      <c r="BD570" s="67">
        <f t="shared" si="1139"/>
        <v>0</v>
      </c>
      <c r="BE570" s="68">
        <f t="shared" si="1139"/>
        <v>0</v>
      </c>
      <c r="BF570" s="66">
        <f t="shared" si="1131"/>
        <v>0</v>
      </c>
      <c r="BG570" s="168">
        <f t="shared" si="1131"/>
        <v>0</v>
      </c>
      <c r="BH570" s="67">
        <f t="shared" si="1131"/>
        <v>0</v>
      </c>
      <c r="BI570" s="67">
        <f t="shared" si="1131"/>
        <v>0</v>
      </c>
      <c r="BJ570" s="67">
        <f t="shared" si="1131"/>
        <v>0</v>
      </c>
      <c r="BK570" s="67">
        <f t="shared" si="1131"/>
        <v>0</v>
      </c>
      <c r="BL570" s="67">
        <f t="shared" si="1131"/>
        <v>0</v>
      </c>
      <c r="BM570" s="69">
        <f t="shared" si="1131"/>
        <v>0</v>
      </c>
      <c r="BN570" s="70">
        <f t="shared" si="1131"/>
        <v>0</v>
      </c>
      <c r="BO570" s="70">
        <f t="shared" si="1131"/>
        <v>0</v>
      </c>
      <c r="BP570" s="70">
        <f t="shared" si="1131"/>
        <v>0</v>
      </c>
      <c r="BQ570" s="71">
        <f t="shared" si="1131"/>
        <v>0</v>
      </c>
      <c r="BR570" s="68">
        <f t="shared" si="1131"/>
        <v>0</v>
      </c>
      <c r="BS570" s="491"/>
      <c r="BT570" s="489"/>
      <c r="BU570" s="392"/>
      <c r="BV570" s="489"/>
      <c r="BW570" s="392"/>
      <c r="BX570" s="392"/>
      <c r="BY570" s="392"/>
      <c r="BZ570" s="489"/>
      <c r="CA570" s="392"/>
      <c r="CB570" s="392"/>
      <c r="CC570" s="392"/>
      <c r="CD570" s="401"/>
      <c r="CE570" s="409"/>
      <c r="CF570" s="169">
        <f t="shared" si="1028"/>
        <v>0</v>
      </c>
      <c r="CG570" s="170">
        <f t="shared" si="1029"/>
        <v>0</v>
      </c>
      <c r="CH570" s="170">
        <f t="shared" si="1030"/>
        <v>0</v>
      </c>
      <c r="CI570" s="170">
        <f t="shared" si="1031"/>
        <v>0</v>
      </c>
      <c r="CJ570" s="170">
        <f t="shared" si="1032"/>
        <v>0</v>
      </c>
      <c r="CK570" s="170">
        <f t="shared" si="1033"/>
        <v>0</v>
      </c>
      <c r="CL570" s="170">
        <f t="shared" si="1034"/>
        <v>0</v>
      </c>
      <c r="CM570" s="170">
        <f t="shared" si="1035"/>
        <v>0</v>
      </c>
      <c r="CN570" s="170">
        <f t="shared" si="1036"/>
        <v>0</v>
      </c>
      <c r="CO570" s="170">
        <f t="shared" si="1037"/>
        <v>0</v>
      </c>
      <c r="CP570" s="170">
        <f t="shared" si="1038"/>
        <v>0</v>
      </c>
      <c r="CQ570" s="170">
        <f t="shared" si="1039"/>
        <v>0</v>
      </c>
      <c r="CR570" s="170">
        <f t="shared" si="1040"/>
        <v>0</v>
      </c>
      <c r="CS570" s="170">
        <f t="shared" si="1041"/>
        <v>0</v>
      </c>
      <c r="CT570" s="75">
        <f t="shared" si="1042"/>
        <v>0</v>
      </c>
      <c r="CU570" s="76">
        <f t="shared" si="1043"/>
        <v>0</v>
      </c>
      <c r="CV570" s="76">
        <f t="shared" si="1044"/>
        <v>0</v>
      </c>
      <c r="CW570" s="76">
        <f t="shared" si="1045"/>
        <v>0</v>
      </c>
      <c r="CX570" s="76">
        <f t="shared" si="1046"/>
        <v>0</v>
      </c>
      <c r="CY570" s="76">
        <f t="shared" si="1047"/>
        <v>0</v>
      </c>
      <c r="CZ570" s="76">
        <f t="shared" si="1048"/>
        <v>0</v>
      </c>
      <c r="DA570" s="76">
        <f t="shared" si="1049"/>
        <v>0</v>
      </c>
      <c r="DB570" s="76">
        <f t="shared" si="1050"/>
        <v>0</v>
      </c>
      <c r="DC570" s="76">
        <f t="shared" si="1051"/>
        <v>0</v>
      </c>
      <c r="DD570" s="76">
        <f t="shared" si="1052"/>
        <v>0</v>
      </c>
      <c r="DE570" s="77">
        <f t="shared" si="1053"/>
        <v>0</v>
      </c>
      <c r="DF570" s="73">
        <f t="shared" si="1056"/>
        <v>34</v>
      </c>
      <c r="DG570" s="67">
        <f t="shared" si="1057"/>
        <v>44.451999999999991</v>
      </c>
      <c r="DH570" s="76">
        <f t="shared" si="1058"/>
        <v>14</v>
      </c>
      <c r="DI570" s="67">
        <f t="shared" si="1059"/>
        <v>60.05</v>
      </c>
      <c r="DJ570" s="202" t="str">
        <f>IF($D568="","",$D568)</f>
        <v>16</v>
      </c>
      <c r="DK570" s="493"/>
    </row>
    <row r="571" spans="1:115" ht="14.5" customHeight="1" x14ac:dyDescent="0.2">
      <c r="A571" s="459">
        <f>$A568+1</f>
        <v>190</v>
      </c>
      <c r="B571" s="507" t="str">
        <f>IF(OR(C571="W",C572="W",C573="W",C571="1/2W",C572="1/2W",C573="1/2W",C571="1/2L",C572="1/2L",C573="1/2L"),"OK",IF(OR(C571="L",C572="L",C573="L"),"LOSS",IF(OR(C571="X",C572="X",C573="X"),"Anulado"," ")))</f>
        <v>OK</v>
      </c>
      <c r="C571" s="93" t="s">
        <v>55</v>
      </c>
      <c r="D571" s="468" t="str">
        <f>IF(G571="","",$D568)</f>
        <v>16</v>
      </c>
      <c r="E571" s="485" t="str">
        <f>IF(G571=""," ","– "&amp;COUNTIF(D$4:D573,$D571))</f>
        <v>– 22</v>
      </c>
      <c r="F571" s="509" t="str">
        <f ca="1">IF(G571="","",IF(OR(AND($C571&lt;&gt;" ",$C572=" "),AND($C572&lt;&gt;" ",$C571=" "),AND(L573&gt;0,OR(AND($C573&lt;&gt;" ",OR($C571=" ",$C572=" ")),AND($C573=" ",OR($C571&lt;&gt;" ",$C572&lt;&gt;" "))))),IF(SUM(F$4:F570)=0,1,LARGE(F$4:F570,1)+1),IF(MONTH(G571)=MONTH(TODAY()),IF(AND(DAY(G571)&lt;DAY(TODAY()),$B571=" "),IF(SUM(F$4:F570)=0,1,LARGE(F$4:F570,1)+1),IF($B571=" ",IF(AND(DAY(G571)=DAY(TODAY()),HOUR(G571)&lt;=HOUR(NOW())+1),IF(AND(HOUR(G571)+2&lt;=HOUR(NOW()),DAY(G571)&lt;=DAY(TODAY()),MINUTE(G571)&lt;=MINUTE(NOW())),IF(SUM(F$4:F570)=0,1,LARGE(F$4:F570,1)+1),IF(OR(MINUTE(G571)&lt;=MINUTE(NOW()),HOUR(G571)&lt;=HOUR(NOW())),"!!!","")),""),"")),"")))</f>
        <v/>
      </c>
      <c r="G571" s="482">
        <v>45001.625</v>
      </c>
      <c r="H571" s="475" t="s">
        <v>215</v>
      </c>
      <c r="I571" s="94" t="s">
        <v>63</v>
      </c>
      <c r="J571" s="176"/>
      <c r="K571" s="96" t="s">
        <v>40</v>
      </c>
      <c r="L571" s="97">
        <v>3.9</v>
      </c>
      <c r="M571" s="98"/>
      <c r="N571" s="478">
        <v>0.1</v>
      </c>
      <c r="O571" s="99">
        <f>IF(OR(AE571="",AE572=""),"",ROUND(IF(L573&gt;0,IF(M571&gt;0,M571,IF(M572&gt;0,ROUND((M572*AE571)/AE572,IF(N571=0,2,IF(N571=0.1,1,0))),ROUND((M573*AE571)/AE573,IF(N571=0,2,IF(N571=0.1,1,0))))),IF(M571&gt;0,M571,ROUND((M572*AE571)/AE572,IF(N571=0,2,IF(N571=0.1,1,0))))),2))</f>
        <v>75</v>
      </c>
      <c r="P571" s="100">
        <f>IF(OR(L571="",O571=""),"",IF($C571="1/2W",O571/2+O571/2*L571,IF($C571="1/2L",O571/2,IF(I571="Lay",(O571*(L571/(L571-1))-O571)*(1-_xlfn.XLOOKUP(K571,'Fevereiro 2023 - Valor Real'!A3:A15,'Fevereiro 2023 - Valor Real'!C3:C15,0))+O571,(O571*L571-O571)*(1-_xlfn.XLOOKUP(K571,'Fevereiro 2023 - Valor Real'!A3:A15,'Fevereiro 2023 - Valor Real'!C3:C15,0))+O571))))</f>
        <v>292.5</v>
      </c>
      <c r="Q571" s="101">
        <f>IF(K571="","",IF(_xlfn.XLOOKUP(K571,K$4:K570,$DJ$4:DJ570,0,,-1)=DJ571,_xlfn.XLOOKUP(K571,K$4:K570,Q$4:Q570,1,,-1)+1,1))</f>
        <v>10</v>
      </c>
      <c r="R571" s="102">
        <f>IF(K571="","",_xlfn.XLOOKUP(K571,K$4:K570,R$4:R570,0,,-1)+IF($C571=" ",1,0))</f>
        <v>0</v>
      </c>
      <c r="S571" s="474">
        <f>IF($B571="Anulado",0,ROUND(IF(OR($B571="LOSS",$B571="OK"),IF(OR($C571="W",$C571="1/2W",$C571="1/2L"),P571-O571,IF($C571="L",-O571,0))+IF(OR($C572="W",$C572="1/2W",$C572="1/2L"),P572-O572,IF($C572="L",-O572,0))+IF(OR($C573="W",$C573="1/2W",$C573="1/2L"),P573-O573,IF($C573="L",-O573,0)),IF(AND(OR($C571="W",$C571="1/2W",$C571="1/2L"),C572="W"),P571+P572-SUM(O571:O573)+_xlfn.XLOOKUP("X",C571:C573,O571:O573,0),IF(AND(C571=TRUE,C573="W"),P571+P573-SUM(O571:O573),IF(AND(C572="W",C573="W"),P572+P573-SUM(O571:O573)+_xlfn.XLOOKUP("X",C571:C573,O571:O573,0),IF(L573&gt;0,IF(OR($C571="W",$C571="1/2W",$C571="1/2L"),P571-SUM(O571:O573)+_xlfn.XLOOKUP("X",C571:C573,O571:O573,0),IF(OR($C571="W",$C571="1/2W",$C571="1/2L"),P572-SUM(O571:O573)+_xlfn.XLOOKUP("X",C571:C573,O571:O573,0),IF(OR($C571="W",$C571="1/2W",$C571="1/2L"),P573-SUM(O571:O573)+_xlfn.XLOOKUP("X",C571:C573,O571:O573,0),IF(SUM(P571:P573)/3-SUM(O571:O573)+_xlfn.XLOOKUP("X",C571:C573,O571:O573,0)&gt;0,SUM(P571:P573)/3-SUM(O571:O573)+_xlfn.XLOOKUP("X",C571:C573,O571:O573,0),LARGE(P571:P573,1)-SUM(O571:O573))))),IF(OR($C571="W",$C571="1/2W",$C571="1/2L"),P571-SUM(O571:O572)+_xlfn.XLOOKUP("X",C571:C573,O571:O573,0),IF(OR($C571="W",$C571="1/2W",$C571="1/2L"),P572-SUM(O571:O572)+_xlfn.XLOOKUP("X",C571:C573,O571:O573,0),SUM(P571:P572)/2-SUM(O571:O572)+_xlfn.XLOOKUP("X",C571:C573,O571:O573,0)))))))),2))</f>
        <v>13.84</v>
      </c>
      <c r="T571" s="458">
        <f>IF(S571=0,0,S571/SUM(O571:O573))</f>
        <v>4.9646662122897013E-2</v>
      </c>
      <c r="U571" s="470">
        <f>IF($D571=$D568,IF(OR($B571="LOSS",$B571="OK",$B571="Anulada"),S571,0)+U568,IF(OR($B571="LOSS",$B571="OK",$B571="Anulada"),S571,0))</f>
        <v>58.649999999999991</v>
      </c>
      <c r="V571" s="470">
        <f>IF($D571="",0,IF($D571=$D568,IF($B571=" ",IF(I573="",IF(OR(AND(I571="DNB1",I572="DNB2"),AND(OR(I571="DNB1",I571="DNB2"),J572=0),AND(OR(I572="DNB1",I572="DNB2"),J571=0),AND(I571="DNB2",I572="DNB1"),AND(IF(J571=0,(J571+1)/ROUND(J571+1,0),J571/ROUND(J571,0))=1,IF(J572=0,(J572+1)/ROUND(IF(J572="",0,J572)+1,0),IF(J572="",0,J572)/ROUND(IF(J572="",1,J572),0))=1,OR(J571&lt;&gt;""),J572&lt;&gt;"")),0,IF(S571&lt;0,IF(I573="",SMALL(P571:P572,1)-SUM(O571:O572),0),SMALL(P571:P572,1)-SUM(O571:O572))),IF(S571&lt;0,IF(I573="",SMALL(P571:P573,1)-SUM(O571:O573),0),LARGE(P571:P573,1)-SUM(O571:O573))),S571)+V568,IF(I573="",IF(OR(AND(I571="DNB1",I572="DNB2"),AND(OR(I571="DNB1",I571="DNB2"),J572=0),AND(OR(I572="DNB1",I572="DNB2"),J571=0),AND(I571="DNB2",I572="DNB1"),AND(IF(J571=0,(J571+1)/ROUND(J571+1,0),J571/ROUND(J571,0))=1,IF(J572=0,(IF(J572="",0,J572)+1)/ROUND(IF(J572="",0,J572)+1,0),IF(J572="",0,J572)/ROUND(IF(J572="",0,J572)+1,0))=1,OR(J571&lt;&gt;""),J572&lt;&gt;"")),0,IF(S571&lt;0,IF(I573="",SMALL(P571:P572,1)-SUM(O571:O572),0),SMALL(P571:P573,1)-SUM(O571:O573))),IF(S571&lt;0,IF(I573="",SMALL(P571:P573,1)-SUM(O571:O573),0),LARGE(P571:P573,1)-SUM(O571:O573)))))</f>
        <v>58.645199999999988</v>
      </c>
      <c r="W571" s="470">
        <f>IF($D571=$D568,IF(S571&lt;0,IF(I573="",S571,0),S571)+W568,S571)</f>
        <v>58.649999999999991</v>
      </c>
      <c r="X571" s="480" t="str">
        <f>IF(OR(SUM(R571:R573)=0,V571=W571),ROUND(IF(W571=0,0,W571/Y571)*100,2)&amp;"%",ROUND(IF(V571=0,0,V571/Y571)*100,2)&amp;"% a "&amp;ROUND(IF(W571=0,0,W571/Y571)*100,2)&amp;"%")</f>
        <v>6,98%</v>
      </c>
      <c r="Y571" s="471">
        <f>IF($D571=$D568,Y568+SUM(O571:O573),SUM(O571:O573))</f>
        <v>840.66</v>
      </c>
      <c r="Z571" s="470">
        <f>IF($B571=" ",SUM(O571:O573),0)+Z568</f>
        <v>0</v>
      </c>
      <c r="AA571" s="470">
        <f>IF(G571="","",IF($B571="Anulado",LARGE(P571:P573,1)-SUM(O571:O573)+AA568,AA568))</f>
        <v>12.425099999999992</v>
      </c>
      <c r="AB571" s="470">
        <f>IF($D571="","",AB568+S571)</f>
        <v>656.75000000000057</v>
      </c>
      <c r="AC571" s="472">
        <f ca="1">IF($D571="","",IF($B571=" ",IF(DAY(G571)=DAY(TODAY()),1+AC568,0+AC568),0+AC568))</f>
        <v>0</v>
      </c>
      <c r="AD571" s="103">
        <f>(((L572/(L572-1)-1)*(1-_xlfn.XLOOKUP(K572,'Fevereiro 2023 - Valor Real'!A3:A15,'Fevereiro 2023 - Valor Real'!C3:C15,0))+1))/(((L571-1)*(1-_xlfn.XLOOKUP(K571,'Fevereiro 2023 - Valor Real'!A3:A15,'Fevereiro 2023 - Valor Real'!C3:C15,0))+1)+((L572/(L572-1)-1)*(1-_xlfn.XLOOKUP(K572,'Fevereiro 2023 - Valor Real'!A3:A15,'Fevereiro 2023 - Valor Real'!C3:C15,0))+1))</f>
        <v>0.4578497640607066</v>
      </c>
      <c r="AE571" s="104">
        <f>IF(L571="","",IF(L573&gt;0,(SUM(((L571-1)*(1-_xlfn.XLOOKUP(K571,'Fevereiro 2023 - Valor Real'!A3:A15,'Fevereiro 2023 - Valor Real'!C3:C15,0))+1),((L572-1)*(1-_xlfn.XLOOKUP(K572,'Fevereiro 2023 - Valor Real'!A3:A15,'Fevereiro 2023 - Valor Real'!C3:C15,0))+1),((L573-1)*(1-_xlfn.XLOOKUP(K573,'Fevereiro 2023 - Valor Real'!A3:A15,'Fevereiro 2023 - Valor Real'!C3:C15,0))+1))/((L571-1)*(1-_xlfn.XLOOKUP(K571,'Fevereiro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Real'!C3:C15,0))+1))/((L571-1)*(1-_xlfn.XLOOKUP(K571,'Fevereiro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Real'!C3:C15,0))+1))/((L572-1)*(1-_xlfn.XLOOKUP(K572,'Fevereiro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Real'!C3:C15,0))+1))/((L573-1)*(1-_xlfn.XLOOKUP(K573,'Fevereiro 2023 - Valor Real'!A3:A15,'Fevereiro 2023 - Valor Real'!C3:C15,0))+1)),IF(I571="Lay",IF(I572="Lay",((L572/(L572-1)-1)*(1-_xlfn.XLOOKUP(K572,'Fevereiro 2023 - Valor Real'!A3:A15,'Fevereiro 2023 - Valor Real'!C3:C15,0))+1)/(((L572/(L572-1)-1)*(1-_xlfn.XLOOKUP(K572,'Fevereiro 2023 - Valor Real'!A3:A15,'Fevereiro 2023 - Valor Real'!C3:C15,0))+1)+((L571/(L571-1)-1)*(1-_xlfn.XLOOKUP(K571,'Fevereiro 2023 - Valor Real'!A3:A15,'Fevereiro 2023 - Valor Real'!C3:C15,0))+1)),((L572-1)*(1-_xlfn.XLOOKUP(K572,'Fevereiro 2023 - Valor Real'!A3:A15,'Fevereiro 2023 - Valor Real'!C3:C15,0))+1)/(((L572-1)*(1-_xlfn.XLOOKUP(K572,'Fevereiro 2023 - Valor Real'!A3:A15,'Fevereiro 2023 - Valor Real'!C3:C15,0))+1)+((L571/(L571-1)-1)*(1-_xlfn.XLOOKUP(K571,'Fevereiro 2023 - Valor Real'!A3:A15,'Fevereiro 2023 - Valor Real'!C3:C15,0))+1))),IF(I572="Lay",(((L572/(L572-1)-1)*(1-_xlfn.XLOOKUP(K572,'Fevereiro 2023 - Valor Real'!A3:A15,'Fevereiro 2023 - Valor Real'!C3:C15,0))+1))/(((L571-1)*(1-_xlfn.XLOOKUP(K571,'Fevereiro 2023 - Valor Real'!A3:A15,'Fevereiro 2023 - Valor Real'!C3:C15,0))+1)+((L572/(L572-1)-1)*(1-_xlfn.XLOOKUP(K572,'Fevereiro 2023 - Valor Real'!A3:A15,'Fevereiro 2023 - Valor Real'!C3:C15,0))+1)),((L572-1)*(1-_xlfn.XLOOKUP(K572,'Fevereiro 2023 - Valor Real'!A3:A15,'Fevereiro 2023 - Valor Real'!C3:C15,0))+1)/(((L572-1)*(1-_xlfn.XLOOKUP(K572,'Fevereiro 2023 - Valor Real'!A3:A15,'Fevereiro 2023 - Valor Real'!C3:C15,0))+1)+((L571-1)*(1-_xlfn.XLOOKUP(K571,'Fevereiro 2023 - Valor Real'!A3:A15,'Fevereiro 2023 - Valor Real'!C3:C15,0))+1))))))</f>
        <v>0.26911544227886053</v>
      </c>
      <c r="AF571" s="105">
        <f t="shared" si="1129"/>
        <v>0</v>
      </c>
      <c r="AG571" s="106">
        <f t="shared" si="1129"/>
        <v>0</v>
      </c>
      <c r="AH571" s="106">
        <f t="shared" si="1129"/>
        <v>0</v>
      </c>
      <c r="AI571" s="106">
        <f t="shared" si="1129"/>
        <v>0</v>
      </c>
      <c r="AJ571" s="106">
        <f t="shared" si="1129"/>
        <v>-75</v>
      </c>
      <c r="AK571" s="106">
        <f t="shared" si="1129"/>
        <v>0</v>
      </c>
      <c r="AL571" s="106">
        <f t="shared" si="1129"/>
        <v>0</v>
      </c>
      <c r="AM571" s="106">
        <f t="shared" si="1129"/>
        <v>0</v>
      </c>
      <c r="AN571" s="106">
        <f t="shared" si="1129"/>
        <v>0</v>
      </c>
      <c r="AO571" s="106">
        <f t="shared" si="1129"/>
        <v>0</v>
      </c>
      <c r="AP571" s="106">
        <f t="shared" si="1129"/>
        <v>0</v>
      </c>
      <c r="AQ571" s="106">
        <f t="shared" si="1129"/>
        <v>0</v>
      </c>
      <c r="AR571" s="107">
        <f t="shared" si="1129"/>
        <v>0</v>
      </c>
      <c r="AS571" s="105">
        <f t="shared" ref="AS571:BE571" si="1140">IF(AND($B571=" ",$K571=AS$3),$O571,0)</f>
        <v>0</v>
      </c>
      <c r="AT571" s="106">
        <f t="shared" si="1140"/>
        <v>0</v>
      </c>
      <c r="AU571" s="106">
        <f t="shared" si="1140"/>
        <v>0</v>
      </c>
      <c r="AV571" s="106">
        <f t="shared" si="1140"/>
        <v>0</v>
      </c>
      <c r="AW571" s="106">
        <f t="shared" si="1140"/>
        <v>0</v>
      </c>
      <c r="AX571" s="106">
        <f t="shared" si="1140"/>
        <v>0</v>
      </c>
      <c r="AY571" s="108">
        <f t="shared" si="1140"/>
        <v>0</v>
      </c>
      <c r="AZ571" s="109">
        <f t="shared" si="1140"/>
        <v>0</v>
      </c>
      <c r="BA571" s="109">
        <f t="shared" si="1140"/>
        <v>0</v>
      </c>
      <c r="BB571" s="109">
        <f t="shared" si="1140"/>
        <v>0</v>
      </c>
      <c r="BC571" s="110">
        <f t="shared" si="1140"/>
        <v>0</v>
      </c>
      <c r="BD571" s="106">
        <f t="shared" si="1140"/>
        <v>0</v>
      </c>
      <c r="BE571" s="107">
        <f t="shared" si="1140"/>
        <v>0</v>
      </c>
      <c r="BF571" s="111">
        <f t="shared" si="1131"/>
        <v>0</v>
      </c>
      <c r="BG571" s="106">
        <f t="shared" si="1131"/>
        <v>0</v>
      </c>
      <c r="BH571" s="106">
        <f t="shared" si="1131"/>
        <v>0</v>
      </c>
      <c r="BI571" s="106">
        <f t="shared" si="1131"/>
        <v>0</v>
      </c>
      <c r="BJ571" s="106">
        <f t="shared" si="1131"/>
        <v>75</v>
      </c>
      <c r="BK571" s="106">
        <f t="shared" si="1131"/>
        <v>0</v>
      </c>
      <c r="BL571" s="106">
        <f t="shared" si="1131"/>
        <v>0</v>
      </c>
      <c r="BM571" s="108">
        <f t="shared" si="1131"/>
        <v>0</v>
      </c>
      <c r="BN571" s="109">
        <f t="shared" si="1131"/>
        <v>0</v>
      </c>
      <c r="BO571" s="109">
        <f t="shared" si="1131"/>
        <v>0</v>
      </c>
      <c r="BP571" s="109">
        <f t="shared" si="1131"/>
        <v>0</v>
      </c>
      <c r="BQ571" s="110">
        <f t="shared" si="1131"/>
        <v>0</v>
      </c>
      <c r="BR571" s="107">
        <f t="shared" si="1131"/>
        <v>0</v>
      </c>
      <c r="BS571" s="463">
        <f>IF($B571="LOSS",IF(AND($K571=BS$3,$C571="L"),-$O571,0)+IF(AND($K572=BS$3,$C572="L"),-$O572,0)+IF(AND($K573=BS$3,$C573="L"),-$O573,0),IF(OR(AND($K571=BS$3,OR($C571="W",$C571="1/2W")),AND($K572=BS$3,OR($C572="W",$C572="1/2W")),AND($K573=BS$3,OR($C573="W",$C573="1/2W"))),$S571,0))</f>
        <v>0</v>
      </c>
      <c r="BT571" s="462">
        <f>IF($B571="LOSS",IF(AND($K571=BT$3,$C571="L"),-$O571,0)+IF(AND($K572=BT$3,$C572="L"),-$O572,0)+IF(AND($K572=BT$3,$C573="L"),-$O573,0),IF(OR(AND($K572=BT$3,OR($C571="W",$C571="1/2W")),AND($K572=BT$3,OR($C572="W",$C572="1/2W")),AND($K572=BT$3,OR($C573="W",$C573="1/2W"))),$S571,0))</f>
        <v>0</v>
      </c>
      <c r="BU571" s="462">
        <f>IF($B571="LOSS",IF(AND($K571=BU$3,$C571="L"),-$O571,0)+IF(AND($K572=BU$3,$C572="L"),-$O572,0)+IF(AND($K572=BU$3,$C573="L"),-$O573,0),IF(OR(AND($K572=BU$3,OR($C571="W",$C571="1/2W")),AND($K572=BU$3,OR($C572="W",$C572="1/2W")),AND($K572=BU$3,OR($C573="W",$C573="1/2W"))),$S571,0))</f>
        <v>0</v>
      </c>
      <c r="BV571" s="462">
        <f t="shared" ref="BV571:CE571" si="1141">IF($B571="LOSS",IF(AND($K571=BV$3,$C571="L"),-$O571,0)+IF(AND($K572=BV$3,$C572="L"),-$O572,0)+IF(AND($K573=BV$3,$C573="L"),-$O573,0),IF(OR(AND($K571=BV$3,OR($C571="W",$C571="1/2W")),AND($K572=BV$3,OR($C572="W",$C572="1/2W")),AND($K573=BV$3,OR($C573="W",$C573="1/2W"))),$S571,0))</f>
        <v>0</v>
      </c>
      <c r="BW571" s="462">
        <f t="shared" si="1141"/>
        <v>0</v>
      </c>
      <c r="BX571" s="462">
        <f t="shared" si="1141"/>
        <v>0</v>
      </c>
      <c r="BY571" s="462">
        <f t="shared" si="1141"/>
        <v>0</v>
      </c>
      <c r="BZ571" s="460">
        <f t="shared" si="1141"/>
        <v>13.84</v>
      </c>
      <c r="CA571" s="460">
        <f t="shared" si="1141"/>
        <v>0</v>
      </c>
      <c r="CB571" s="460">
        <f t="shared" si="1141"/>
        <v>0</v>
      </c>
      <c r="CC571" s="460">
        <f t="shared" si="1141"/>
        <v>0</v>
      </c>
      <c r="CD571" s="473">
        <f t="shared" si="1141"/>
        <v>0</v>
      </c>
      <c r="CE571" s="479">
        <f t="shared" si="1141"/>
        <v>0</v>
      </c>
      <c r="CF571" s="113">
        <f t="shared" si="1028"/>
        <v>0</v>
      </c>
      <c r="CG571" s="114">
        <f t="shared" si="1029"/>
        <v>0</v>
      </c>
      <c r="CH571" s="114">
        <f t="shared" si="1030"/>
        <v>0</v>
      </c>
      <c r="CI571" s="114">
        <f t="shared" si="1031"/>
        <v>0</v>
      </c>
      <c r="CJ571" s="114">
        <f t="shared" si="1032"/>
        <v>0</v>
      </c>
      <c r="CK571" s="114">
        <f t="shared" si="1033"/>
        <v>0</v>
      </c>
      <c r="CL571" s="114">
        <f t="shared" si="1034"/>
        <v>0</v>
      </c>
      <c r="CM571" s="114">
        <f t="shared" si="1035"/>
        <v>0</v>
      </c>
      <c r="CN571" s="114">
        <f t="shared" si="1036"/>
        <v>0</v>
      </c>
      <c r="CO571" s="114">
        <f t="shared" si="1037"/>
        <v>1</v>
      </c>
      <c r="CP571" s="114">
        <f t="shared" si="1038"/>
        <v>0</v>
      </c>
      <c r="CQ571" s="114">
        <f t="shared" si="1039"/>
        <v>0</v>
      </c>
      <c r="CR571" s="114">
        <f t="shared" si="1040"/>
        <v>0</v>
      </c>
      <c r="CS571" s="114">
        <f t="shared" si="1041"/>
        <v>0</v>
      </c>
      <c r="CT571" s="115">
        <f t="shared" si="1042"/>
        <v>0</v>
      </c>
      <c r="CU571" s="116">
        <f t="shared" si="1043"/>
        <v>0</v>
      </c>
      <c r="CV571" s="116">
        <f t="shared" si="1044"/>
        <v>0</v>
      </c>
      <c r="CW571" s="116">
        <f t="shared" si="1045"/>
        <v>0</v>
      </c>
      <c r="CX571" s="116">
        <f t="shared" si="1046"/>
        <v>0</v>
      </c>
      <c r="CY571" s="116">
        <f t="shared" si="1047"/>
        <v>0</v>
      </c>
      <c r="CZ571" s="116">
        <f t="shared" si="1048"/>
        <v>0</v>
      </c>
      <c r="DA571" s="116">
        <f t="shared" si="1049"/>
        <v>0</v>
      </c>
      <c r="DB571" s="116">
        <f t="shared" si="1050"/>
        <v>0</v>
      </c>
      <c r="DC571" s="116">
        <f t="shared" si="1051"/>
        <v>0</v>
      </c>
      <c r="DD571" s="116">
        <f t="shared" si="1052"/>
        <v>0</v>
      </c>
      <c r="DE571" s="117">
        <f t="shared" si="1053"/>
        <v>0</v>
      </c>
      <c r="DF571" s="118">
        <f t="shared" si="1056"/>
        <v>34</v>
      </c>
      <c r="DG571" s="106">
        <f t="shared" si="1057"/>
        <v>44.451999999999991</v>
      </c>
      <c r="DH571" s="116">
        <f t="shared" si="1058"/>
        <v>14</v>
      </c>
      <c r="DI571" s="106">
        <f t="shared" si="1059"/>
        <v>60.05</v>
      </c>
      <c r="DJ571" s="201" t="str">
        <f>IF($D571="","",$D571)</f>
        <v>16</v>
      </c>
      <c r="DK571" s="465">
        <f>IF(AND($B571=" ",$D571&lt;&gt;""),1,0)</f>
        <v>0</v>
      </c>
    </row>
    <row r="572" spans="1:115" ht="14.5" customHeight="1" x14ac:dyDescent="0.2">
      <c r="A572" s="389"/>
      <c r="B572" s="456"/>
      <c r="C572" s="120" t="s">
        <v>54</v>
      </c>
      <c r="D572" s="374"/>
      <c r="E572" s="386"/>
      <c r="F572" s="377"/>
      <c r="G572" s="483"/>
      <c r="H572" s="476"/>
      <c r="I572" s="121" t="s">
        <v>61</v>
      </c>
      <c r="J572" s="179" t="str">
        <f>IF(OR(I571="TO",I571="TU",I571="TO1",I571="TU1",I571="TO2",I571="TU2"),J571,IF(OR(I571="AH1",I571="AH2"),IF(OR(I572="AH1",I572="AH2"),-J571,IF(OR(I572="EH1",I572="EH2"),-J571+0.5,"")),IF(OR(I571="EH1",I571="EH2"),IF(OR(I572="AH1",I572="AH2"),-J571+0.5,IF(OR(I572="EH1",I572="EH2"),-J571+1,"")),IF(AND(OR(I571="DNB1",I571="DNB2"),OR(I572="AH1",I572="AH2")),0,IF(AND(I571="Not ScoreBoth",OR(I572="TO1",I572="TO2")),0.5,"")))))</f>
        <v/>
      </c>
      <c r="K572" s="123" t="s">
        <v>43</v>
      </c>
      <c r="L572" s="124">
        <v>1.4359999999999999</v>
      </c>
      <c r="M572" s="125">
        <v>203.77</v>
      </c>
      <c r="N572" s="406"/>
      <c r="O572" s="126">
        <f>IF(OR(AE571="",AE572=""),"",ROUND(IF(L573&gt;0,IF(M572&gt;0,M572,IF(M571&gt;0,IF(N571=TRUE,ROUND((M571*AE572)/AE571,0),(M571*AE572)/AE571),IF(M572&gt;0,ROUND(M572,IF(N571=0,2,IF(N571=0.1,1,0))),IF(M573&gt;0,ROUND(O573*AE572/AE573,IF(N571=0,2,IF(N571=0.1,1,0))),0)))),IF(M572&gt;0,M572,ROUND((M571*AE572)/AE571,IF(N571=0,2,IF(N571=0.1,1,0))))),2))</f>
        <v>203.77</v>
      </c>
      <c r="P572" s="127">
        <f>IF(OR(L572="",O572=""),"",IF($C572="1/2W",O572/2+O572/2*L572,IF($C572="1/2L",O572/2,IF(I572="Lay",((O572*(L572/(L572-1)))-O572)*(1-_xlfn.XLOOKUP(K572,'Fevereiro 2023 - Valor Real'!A3:A15,'Fevereiro 2023 - Valor Real'!C3:C15,0))+O572,(O572*L572-O572)*(1-_xlfn.XLOOKUP(K572,'Fevereiro 2023 - Valor Real'!A3:A15,'Fevereiro 2023 - Valor Real'!C3:C15,0))+O572))))</f>
        <v>292.61372</v>
      </c>
      <c r="Q572" s="128">
        <f>IF(K572="","",IF(_xlfn.XLOOKUP(K572,K$4:K571,$DJ$4:DJ571,0,,-1)=DJ572,_xlfn.XLOOKUP(K572,K$4:K571,Q$4:Q571,1,,-1)+1,1))</f>
        <v>6</v>
      </c>
      <c r="R572" s="129">
        <f>IF(K572="","",_xlfn.XLOOKUP(K572,K$4:K571,R$4:R571,0,,-1)+IF($C572=" ",1,0))</f>
        <v>0</v>
      </c>
      <c r="S572" s="403"/>
      <c r="T572" s="380"/>
      <c r="U572" s="380"/>
      <c r="V572" s="481"/>
      <c r="W572" s="380"/>
      <c r="X572" s="452"/>
      <c r="Y572" s="383"/>
      <c r="Z572" s="384"/>
      <c r="AA572" s="384"/>
      <c r="AB572" s="384"/>
      <c r="AC572" s="384"/>
      <c r="AD572" s="130">
        <f>(((L572/(L572-1)-1)*(1-_xlfn.XLOOKUP(K572,'Fevereiro 2023 - Valor Real'!A3:A15,'Fevereiro 2023 - Valor Real'!C3:C15,0))+1))</f>
        <v>3.2935779816513766</v>
      </c>
      <c r="AE572" s="131">
        <f>IF(L572="","",IF(L573&gt;0,(SUM(((L571-1)*(1-_xlfn.XLOOKUP(K571,'Fevereiro 2023 - Valor Real'!A3:A15,'Fevereiro 2023 - Valor Real'!C3:C15,0))+1),((L572-1)*(1-_xlfn.XLOOKUP(K572,'Fevereiro 2023 - Valor Real'!A3:A15,'Fevereiro 2023 - Valor Real'!C3:C15,0))+1),((L573-1)*(1-_xlfn.XLOOKUP(K573,'Fevereiro 2023 - Valor Real'!A3:A15,'Fevereiro 2023 - Valor Real'!C3:C15,0))+1))/((L572-1)*(1-_xlfn.XLOOKUP(K572,'Fevereiro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Real'!C3:C15,0))+1))/((L571-1)*(1-_xlfn.XLOOKUP(K571,'Fevereiro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Real'!C3:C15,0))+1))/((L572-1)*(1-_xlfn.XLOOKUP(K572,'Fevereiro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Real'!C3:C15,0))+1))/((L573-1)*(1-_xlfn.XLOOKUP(K573,'Fevereiro 2023 - Valor Real'!A3:A15,'Fevereiro 2023 - Valor Real'!C3:C15,0))+1)),IF(I572="Lay",IF(I571="Lay",((L571/(L571-1)-1)*(1-_xlfn.XLOOKUP(K571,'Fevereiro 2023 - Valor Real'!A3:A15,'Fevereiro 2023 - Valor Real'!C3:C15,0))+1)/(((L571/(L571-1)-1)*(1-_xlfn.XLOOKUP(K571,'Fevereiro 2023 - Valor Real'!A3:A15,'Fevereiro 2023 - Valor Real'!C3:C15,0))+1)+((L572/(L572-1)-1)*(1-_xlfn.XLOOKUP(K572,'Fevereiro 2023 - Valor Real'!A3:A15,'Fevereiro 2023 - Valor Real'!C3:C15,0))+1)),((L571-1)*(1-_xlfn.XLOOKUP(K571,'Fevereiro 2023 - Valor Real'!A3:A15,'Fevereiro 2023 - Valor Real'!C3:C15,0))+1)/(((L571-1)*(1-_xlfn.XLOOKUP(K571,'Fevereiro 2023 - Valor Real'!A3:A15,'Fevereiro 2023 - Valor Real'!C3:C15,0))+1)+((L572/(L572-1)-1)*(1-_xlfn.XLOOKUP(K572,'Fevereiro 2023 - Valor Real'!A3:A15,'Fevereiro 2023 - Valor Real'!C3:C15,0))+1))),IF(I571="Lay",((L571/(L571-1)-1)*(1-_xlfn.XLOOKUP(K571,'Fevereiro 2023 - Valor Real'!A3:A15,'Fevereiro 2023 - Valor Real'!C3:C15,0))+1)/((((L571/(L571-1)-1)*(1-_xlfn.XLOOKUP(K571,'Fevereiro 2023 - Valor Real'!A3:A15,'Fevereiro 2023 - Valor Real'!C3:C15,0))+1))+((L572-1)*(1-_xlfn.XLOOKUP(K572,'Fevereiro 2023 - Valor Real'!A3:A15,'Fevereiro 2023 - Valor Real'!C3:C15,0))+1)),((L571-1)*(1-_xlfn.XLOOKUP(K571,'Fevereiro 2023 - Valor Real'!A3:A15,'Fevereiro 2023 - Valor Real'!C3:C15,0))+1)/(((L571-1)*(1-_xlfn.XLOOKUP(K571,'Fevereiro 2023 - Valor Real'!A3:A15,'Fevereiro 2023 - Valor Real'!C3:C15,0))+1)+((L572-1)*(1-_xlfn.XLOOKUP(K572,'Fevereiro 2023 - Valor Real'!A3:A15,'Fevereiro 2023 - Valor Real'!C3:C15,0))+1))))))</f>
        <v>0.73088455772113936</v>
      </c>
      <c r="AF572" s="105">
        <f t="shared" si="1129"/>
        <v>0</v>
      </c>
      <c r="AG572" s="106">
        <f t="shared" si="1129"/>
        <v>0</v>
      </c>
      <c r="AH572" s="106">
        <f t="shared" si="1129"/>
        <v>0</v>
      </c>
      <c r="AI572" s="106">
        <f t="shared" si="1129"/>
        <v>0</v>
      </c>
      <c r="AJ572" s="106">
        <f t="shared" si="1129"/>
        <v>0</v>
      </c>
      <c r="AK572" s="106">
        <f t="shared" si="1129"/>
        <v>0</v>
      </c>
      <c r="AL572" s="106">
        <f t="shared" si="1129"/>
        <v>0</v>
      </c>
      <c r="AM572" s="106">
        <f t="shared" si="1129"/>
        <v>88.84</v>
      </c>
      <c r="AN572" s="106">
        <f t="shared" si="1129"/>
        <v>0</v>
      </c>
      <c r="AO572" s="106">
        <f t="shared" si="1129"/>
        <v>0</v>
      </c>
      <c r="AP572" s="106">
        <f t="shared" si="1129"/>
        <v>0</v>
      </c>
      <c r="AQ572" s="106">
        <f t="shared" si="1129"/>
        <v>0</v>
      </c>
      <c r="AR572" s="107">
        <f t="shared" si="1129"/>
        <v>0</v>
      </c>
      <c r="AS572" s="105">
        <f>IF(AND($B571=" ",$K572=AS$3),$O572,0)</f>
        <v>0</v>
      </c>
      <c r="AT572" s="106">
        <f>IF(AND($B571=" ",K572=AT$3),$O572,0)</f>
        <v>0</v>
      </c>
      <c r="AU572" s="106">
        <f t="shared" ref="AU572:BE572" si="1142">IF(AND($B571=" ",$K572=AU$3),$O572,0)</f>
        <v>0</v>
      </c>
      <c r="AV572" s="106">
        <f t="shared" si="1142"/>
        <v>0</v>
      </c>
      <c r="AW572" s="106">
        <f t="shared" si="1142"/>
        <v>0</v>
      </c>
      <c r="AX572" s="106">
        <f t="shared" si="1142"/>
        <v>0</v>
      </c>
      <c r="AY572" s="108">
        <f t="shared" si="1142"/>
        <v>0</v>
      </c>
      <c r="AZ572" s="109">
        <f t="shared" si="1142"/>
        <v>0</v>
      </c>
      <c r="BA572" s="109">
        <f t="shared" si="1142"/>
        <v>0</v>
      </c>
      <c r="BB572" s="109">
        <f t="shared" si="1142"/>
        <v>0</v>
      </c>
      <c r="BC572" s="110">
        <f t="shared" si="1142"/>
        <v>0</v>
      </c>
      <c r="BD572" s="106">
        <f t="shared" si="1142"/>
        <v>0</v>
      </c>
      <c r="BE572" s="107">
        <f t="shared" si="1142"/>
        <v>0</v>
      </c>
      <c r="BF572" s="105">
        <f t="shared" si="1131"/>
        <v>0</v>
      </c>
      <c r="BG572" s="106">
        <f t="shared" si="1131"/>
        <v>0</v>
      </c>
      <c r="BH572" s="106">
        <f t="shared" si="1131"/>
        <v>0</v>
      </c>
      <c r="BI572" s="106">
        <f t="shared" si="1131"/>
        <v>0</v>
      </c>
      <c r="BJ572" s="106">
        <f t="shared" si="1131"/>
        <v>0</v>
      </c>
      <c r="BK572" s="106">
        <f t="shared" si="1131"/>
        <v>0</v>
      </c>
      <c r="BL572" s="106">
        <f t="shared" si="1131"/>
        <v>0</v>
      </c>
      <c r="BM572" s="132">
        <f t="shared" si="1131"/>
        <v>203.77</v>
      </c>
      <c r="BN572" s="112">
        <f t="shared" si="1131"/>
        <v>0</v>
      </c>
      <c r="BO572" s="112">
        <f t="shared" si="1131"/>
        <v>0</v>
      </c>
      <c r="BP572" s="112">
        <f t="shared" si="1131"/>
        <v>0</v>
      </c>
      <c r="BQ572" s="110">
        <f t="shared" si="1131"/>
        <v>0</v>
      </c>
      <c r="BR572" s="107">
        <f t="shared" si="1131"/>
        <v>0</v>
      </c>
      <c r="BS572" s="464"/>
      <c r="BT572" s="461"/>
      <c r="BU572" s="392"/>
      <c r="BV572" s="461"/>
      <c r="BW572" s="392"/>
      <c r="BX572" s="392"/>
      <c r="BY572" s="392"/>
      <c r="BZ572" s="461"/>
      <c r="CA572" s="392"/>
      <c r="CB572" s="392"/>
      <c r="CC572" s="392"/>
      <c r="CD572" s="401"/>
      <c r="CE572" s="409"/>
      <c r="CF572" s="133">
        <f t="shared" si="1028"/>
        <v>0</v>
      </c>
      <c r="CG572" s="134">
        <f t="shared" si="1029"/>
        <v>0</v>
      </c>
      <c r="CH572" s="134">
        <f t="shared" si="1030"/>
        <v>0</v>
      </c>
      <c r="CI572" s="134">
        <f t="shared" si="1031"/>
        <v>0</v>
      </c>
      <c r="CJ572" s="134">
        <f t="shared" si="1032"/>
        <v>0</v>
      </c>
      <c r="CK572" s="134">
        <f t="shared" si="1033"/>
        <v>0</v>
      </c>
      <c r="CL572" s="134">
        <f t="shared" si="1034"/>
        <v>0</v>
      </c>
      <c r="CM572" s="134">
        <f t="shared" si="1035"/>
        <v>0</v>
      </c>
      <c r="CN572" s="134">
        <f t="shared" si="1036"/>
        <v>0</v>
      </c>
      <c r="CO572" s="134">
        <f t="shared" si="1037"/>
        <v>0</v>
      </c>
      <c r="CP572" s="134">
        <f t="shared" si="1038"/>
        <v>0</v>
      </c>
      <c r="CQ572" s="134">
        <f t="shared" si="1039"/>
        <v>0</v>
      </c>
      <c r="CR572" s="134">
        <f t="shared" si="1040"/>
        <v>0</v>
      </c>
      <c r="CS572" s="134">
        <f t="shared" si="1041"/>
        <v>0</v>
      </c>
      <c r="CT572" s="115">
        <f t="shared" si="1042"/>
        <v>1</v>
      </c>
      <c r="CU572" s="116">
        <f t="shared" si="1043"/>
        <v>0</v>
      </c>
      <c r="CV572" s="116">
        <f t="shared" si="1044"/>
        <v>0</v>
      </c>
      <c r="CW572" s="116">
        <f t="shared" si="1045"/>
        <v>0</v>
      </c>
      <c r="CX572" s="116">
        <f t="shared" si="1046"/>
        <v>0</v>
      </c>
      <c r="CY572" s="116">
        <f t="shared" si="1047"/>
        <v>0</v>
      </c>
      <c r="CZ572" s="116">
        <f t="shared" si="1048"/>
        <v>0</v>
      </c>
      <c r="DA572" s="116">
        <f t="shared" si="1049"/>
        <v>0</v>
      </c>
      <c r="DB572" s="116">
        <f t="shared" si="1050"/>
        <v>0</v>
      </c>
      <c r="DC572" s="116">
        <f t="shared" si="1051"/>
        <v>0</v>
      </c>
      <c r="DD572" s="116">
        <f t="shared" si="1052"/>
        <v>0</v>
      </c>
      <c r="DE572" s="117">
        <f t="shared" si="1053"/>
        <v>0</v>
      </c>
      <c r="DF572" s="118">
        <f t="shared" si="1056"/>
        <v>35</v>
      </c>
      <c r="DG572" s="106">
        <f t="shared" si="1057"/>
        <v>45.887999999999991</v>
      </c>
      <c r="DH572" s="116">
        <f t="shared" si="1058"/>
        <v>14</v>
      </c>
      <c r="DI572" s="106">
        <f t="shared" si="1059"/>
        <v>60.05</v>
      </c>
      <c r="DJ572" s="201" t="str">
        <f>IF($D571="","",$D571)</f>
        <v>16</v>
      </c>
      <c r="DK572" s="466"/>
    </row>
    <row r="573" spans="1:115" ht="14.5" customHeight="1" x14ac:dyDescent="0.2">
      <c r="A573" s="390"/>
      <c r="B573" s="457"/>
      <c r="C573" s="135" t="s">
        <v>53</v>
      </c>
      <c r="D573" s="375"/>
      <c r="E573" s="387"/>
      <c r="F573" s="378"/>
      <c r="G573" s="484"/>
      <c r="H573" s="477"/>
      <c r="I573" s="136"/>
      <c r="J573" s="137"/>
      <c r="K573" s="138"/>
      <c r="L573" s="139"/>
      <c r="M573" s="140"/>
      <c r="N573" s="407"/>
      <c r="O573" s="141" t="str">
        <f>IF(OR(AE571="",AE572=""),"",IF(L573&gt;0,ROUND(IF(M573&gt;0,M573,IF(M571&gt;0,ROUND((M571*AE573)/AE571,IF(N571=0,2,IF(N571=0.1,1,0))),IF(M572&gt;0,ROUND((M572*AE573)/AE572,IF(N571=0,2,IF(N571=0.1,1,0))),IF(M573&gt;0,M573,0)))),2),""))</f>
        <v/>
      </c>
      <c r="P573" s="142" t="str">
        <f>IF(I572="Lay",O572*(L572/(L572-1))-O572,IF(I571="Lay",O571*(L571/(L571-1))-O571,IF(OR(L573="",O573=""),"",IF($C573="1/2W",O573/2+O573/2*L573,IF($C573="1/2L",O573/2,(O573*L573-O573)*(1-_xlfn.XLOOKUP(K573,'Fevereiro 2023 - Valor Real'!A3:A15,'Fevereiro 2023 - Valor Real'!C3:C15,0))+O573)))))</f>
        <v/>
      </c>
      <c r="Q573" s="143" t="str">
        <f>IF(K573="","",IF(_xlfn.XLOOKUP(K573,K$4:K572,$DJ$4:DJ572,0,,-1)=DJ573,_xlfn.XLOOKUP(K573,K$4:K572,Q$4:Q572,1,,-1)+1,1))</f>
        <v/>
      </c>
      <c r="R573" s="144" t="str">
        <f>IF(K573="","",_xlfn.XLOOKUP(K573,K$4:K572,R$4:R572,0,,-1)+IF($C573=" ",1,0))</f>
        <v/>
      </c>
      <c r="S573" s="404"/>
      <c r="T573" s="378"/>
      <c r="U573" s="378"/>
      <c r="V573" s="404"/>
      <c r="W573" s="378"/>
      <c r="X573" s="453"/>
      <c r="Y573" s="383"/>
      <c r="Z573" s="384"/>
      <c r="AA573" s="384"/>
      <c r="AB573" s="384"/>
      <c r="AC573" s="384"/>
      <c r="AD573" s="145">
        <f>((L572/(L572-1)-1))</f>
        <v>2.2935779816513766</v>
      </c>
      <c r="AE573" s="146" t="str">
        <f>IF(L573="","",(SUM(((L571-1)*(1-_xlfn.XLOOKUP(K571,'Fevereiro 2023 - Valor Real'!A3:A15,'Fevereiro 2023 - Valor Real'!C3:C15,0))+1),((L572-1)*(1-_xlfn.XLOOKUP(K572,'Fevereiro 2023 - Valor Real'!A3:A15,'Fevereiro 2023 - Valor Real'!C3:C15,0))+1),((L573-1)*(1-_xlfn.XLOOKUP(K573,'Fevereiro 2023 - Valor Real'!A3:A15,'Fevereiro 2023 - Valor Real'!C3:C15,0))+1))/((L573-1)*(1-_xlfn.XLOOKUP(K573,'Fevereiro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Real'!C3:C15,0))+1))/((L571-1)*(1-_xlfn.XLOOKUP(K571,'Fevereiro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Real'!C3:C15,0))+1))/((L572-1)*(1-_xlfn.XLOOKUP(K572,'Fevereiro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Real'!C3:C15,0))+1))/((L573-1)*(1-_xlfn.XLOOKUP(K573,'Fevereiro 2023 - Valor Real'!A3:A15,'Fevereiro 2023 - Valor Real'!C3:C15,0))+1)))</f>
        <v/>
      </c>
      <c r="AF573" s="105">
        <f t="shared" si="1129"/>
        <v>0</v>
      </c>
      <c r="AG573" s="106">
        <f t="shared" si="1129"/>
        <v>0</v>
      </c>
      <c r="AH573" s="106">
        <f t="shared" si="1129"/>
        <v>0</v>
      </c>
      <c r="AI573" s="106">
        <f t="shared" si="1129"/>
        <v>0</v>
      </c>
      <c r="AJ573" s="106">
        <f t="shared" si="1129"/>
        <v>0</v>
      </c>
      <c r="AK573" s="106">
        <f t="shared" si="1129"/>
        <v>0</v>
      </c>
      <c r="AL573" s="106">
        <f t="shared" si="1129"/>
        <v>0</v>
      </c>
      <c r="AM573" s="106">
        <f t="shared" si="1129"/>
        <v>0</v>
      </c>
      <c r="AN573" s="106">
        <f t="shared" si="1129"/>
        <v>0</v>
      </c>
      <c r="AO573" s="106">
        <f t="shared" si="1129"/>
        <v>0</v>
      </c>
      <c r="AP573" s="106">
        <f t="shared" si="1129"/>
        <v>0</v>
      </c>
      <c r="AQ573" s="106">
        <f t="shared" si="1129"/>
        <v>0</v>
      </c>
      <c r="AR573" s="107">
        <f t="shared" si="1129"/>
        <v>0</v>
      </c>
      <c r="AS573" s="105">
        <f>IF(AND($B571=" ",$K573=AS$3),$O573,0)</f>
        <v>0</v>
      </c>
      <c r="AT573" s="106">
        <f>IF(AND($B571=" ",K573=AT$3),$O573,0)</f>
        <v>0</v>
      </c>
      <c r="AU573" s="106">
        <f t="shared" ref="AU573:BE573" si="1143">IF(AND($B571=" ",$K573=AU$3),$O573,0)</f>
        <v>0</v>
      </c>
      <c r="AV573" s="106">
        <f t="shared" si="1143"/>
        <v>0</v>
      </c>
      <c r="AW573" s="106">
        <f t="shared" si="1143"/>
        <v>0</v>
      </c>
      <c r="AX573" s="106">
        <f t="shared" si="1143"/>
        <v>0</v>
      </c>
      <c r="AY573" s="108">
        <f t="shared" si="1143"/>
        <v>0</v>
      </c>
      <c r="AZ573" s="109">
        <f t="shared" si="1143"/>
        <v>0</v>
      </c>
      <c r="BA573" s="109">
        <f t="shared" si="1143"/>
        <v>0</v>
      </c>
      <c r="BB573" s="109">
        <f t="shared" si="1143"/>
        <v>0</v>
      </c>
      <c r="BC573" s="110">
        <f t="shared" si="1143"/>
        <v>0</v>
      </c>
      <c r="BD573" s="106">
        <f t="shared" si="1143"/>
        <v>0</v>
      </c>
      <c r="BE573" s="107">
        <f t="shared" si="1143"/>
        <v>0</v>
      </c>
      <c r="BF573" s="105">
        <f t="shared" si="1131"/>
        <v>0</v>
      </c>
      <c r="BG573" s="106">
        <f t="shared" si="1131"/>
        <v>0</v>
      </c>
      <c r="BH573" s="106">
        <f t="shared" si="1131"/>
        <v>0</v>
      </c>
      <c r="BI573" s="106">
        <f t="shared" si="1131"/>
        <v>0</v>
      </c>
      <c r="BJ573" s="106">
        <f t="shared" si="1131"/>
        <v>0</v>
      </c>
      <c r="BK573" s="106">
        <f t="shared" si="1131"/>
        <v>0</v>
      </c>
      <c r="BL573" s="106">
        <f t="shared" si="1131"/>
        <v>0</v>
      </c>
      <c r="BM573" s="108">
        <f t="shared" si="1131"/>
        <v>0</v>
      </c>
      <c r="BN573" s="109">
        <f t="shared" si="1131"/>
        <v>0</v>
      </c>
      <c r="BO573" s="109">
        <f t="shared" si="1131"/>
        <v>0</v>
      </c>
      <c r="BP573" s="109">
        <f t="shared" si="1131"/>
        <v>0</v>
      </c>
      <c r="BQ573" s="110">
        <f t="shared" si="1131"/>
        <v>0</v>
      </c>
      <c r="BR573" s="107">
        <f t="shared" si="1131"/>
        <v>0</v>
      </c>
      <c r="BS573" s="464"/>
      <c r="BT573" s="461"/>
      <c r="BU573" s="392"/>
      <c r="BV573" s="461"/>
      <c r="BW573" s="392"/>
      <c r="BX573" s="392"/>
      <c r="BY573" s="392"/>
      <c r="BZ573" s="461"/>
      <c r="CA573" s="392"/>
      <c r="CB573" s="392"/>
      <c r="CC573" s="392"/>
      <c r="CD573" s="401"/>
      <c r="CE573" s="409"/>
      <c r="CF573" s="133">
        <f t="shared" si="1028"/>
        <v>0</v>
      </c>
      <c r="CG573" s="134">
        <f t="shared" si="1029"/>
        <v>0</v>
      </c>
      <c r="CH573" s="134">
        <f t="shared" si="1030"/>
        <v>0</v>
      </c>
      <c r="CI573" s="134">
        <f t="shared" si="1031"/>
        <v>0</v>
      </c>
      <c r="CJ573" s="134">
        <f t="shared" si="1032"/>
        <v>0</v>
      </c>
      <c r="CK573" s="134">
        <f t="shared" si="1033"/>
        <v>0</v>
      </c>
      <c r="CL573" s="134">
        <f t="shared" si="1034"/>
        <v>0</v>
      </c>
      <c r="CM573" s="134">
        <f t="shared" si="1035"/>
        <v>0</v>
      </c>
      <c r="CN573" s="134">
        <f t="shared" si="1036"/>
        <v>0</v>
      </c>
      <c r="CO573" s="134">
        <f t="shared" si="1037"/>
        <v>0</v>
      </c>
      <c r="CP573" s="134">
        <f t="shared" si="1038"/>
        <v>0</v>
      </c>
      <c r="CQ573" s="134">
        <f t="shared" si="1039"/>
        <v>0</v>
      </c>
      <c r="CR573" s="134">
        <f t="shared" si="1040"/>
        <v>0</v>
      </c>
      <c r="CS573" s="134">
        <f t="shared" si="1041"/>
        <v>0</v>
      </c>
      <c r="CT573" s="115">
        <f t="shared" si="1042"/>
        <v>0</v>
      </c>
      <c r="CU573" s="116">
        <f t="shared" si="1043"/>
        <v>0</v>
      </c>
      <c r="CV573" s="116">
        <f t="shared" si="1044"/>
        <v>0</v>
      </c>
      <c r="CW573" s="116">
        <f t="shared" si="1045"/>
        <v>0</v>
      </c>
      <c r="CX573" s="116">
        <f t="shared" si="1046"/>
        <v>0</v>
      </c>
      <c r="CY573" s="116">
        <f t="shared" si="1047"/>
        <v>0</v>
      </c>
      <c r="CZ573" s="116">
        <f t="shared" si="1048"/>
        <v>0</v>
      </c>
      <c r="DA573" s="116">
        <f t="shared" si="1049"/>
        <v>0</v>
      </c>
      <c r="DB573" s="116">
        <f t="shared" si="1050"/>
        <v>0</v>
      </c>
      <c r="DC573" s="116">
        <f t="shared" si="1051"/>
        <v>0</v>
      </c>
      <c r="DD573" s="116">
        <f t="shared" si="1052"/>
        <v>0</v>
      </c>
      <c r="DE573" s="117">
        <f t="shared" si="1053"/>
        <v>0</v>
      </c>
      <c r="DF573" s="118">
        <f t="shared" si="1056"/>
        <v>35</v>
      </c>
      <c r="DG573" s="106">
        <f t="shared" si="1057"/>
        <v>45.887999999999991</v>
      </c>
      <c r="DH573" s="116">
        <f t="shared" si="1058"/>
        <v>14</v>
      </c>
      <c r="DI573" s="106">
        <f t="shared" si="1059"/>
        <v>60.05</v>
      </c>
      <c r="DJ573" s="201" t="str">
        <f>IF($D571="","",$D571)</f>
        <v>16</v>
      </c>
      <c r="DK573" s="466"/>
    </row>
    <row r="574" spans="1:115" ht="14.5" customHeight="1" x14ac:dyDescent="0.2">
      <c r="A574" s="487">
        <f>$A571+1</f>
        <v>191</v>
      </c>
      <c r="B574" s="506" t="str">
        <f>IF(OR(C574="W",C575="W",C576="W",C574="1/2W",C575="1/2W",C576="1/2W",C574="1/2L",C575="1/2L",C576="1/2L"),"OK",IF(OR(C574="L",C575="L",C576="L"),"LOSS",IF(OR(C574="X",C575="X",C576="X"),"Anulado"," ")))</f>
        <v>OK</v>
      </c>
      <c r="C574" s="147" t="s">
        <v>54</v>
      </c>
      <c r="D574" s="494" t="str">
        <f>IF(G574="","",$D571)</f>
        <v>16</v>
      </c>
      <c r="E574" s="511" t="str">
        <f>IF(G574=""," ","– "&amp;COUNTIF(D$4:D576,$D574))</f>
        <v>– 23</v>
      </c>
      <c r="F574" s="510" t="str">
        <f ca="1">IF(G574="","",IF(OR(AND($C574&lt;&gt;" ",$C575=" "),AND($C575&lt;&gt;" ",$C574=" "),AND(L576&gt;0,OR(AND($C576&lt;&gt;" ",OR($C574=" ",$C575=" ")),AND($C576=" ",OR($C574&lt;&gt;" ",$C575&lt;&gt;" "))))),IF(SUM(F$4:F573)=0,1,LARGE(F$4:F573,1)+1),IF(MONTH(G574)=MONTH(TODAY()),IF(AND(DAY(G574)&lt;DAY(TODAY()),$B574=" "),IF(SUM(F$4:F573)=0,1,LARGE(F$4:F573,1)+1),IF($B574=" ",IF(AND(DAY(G574)=DAY(TODAY()),HOUR(G574)&lt;=HOUR(NOW())+1),IF(AND(HOUR(G574)+2&lt;=HOUR(NOW()),DAY(G574)&lt;=DAY(TODAY()),MINUTE(G574)&lt;=MINUTE(NOW())),IF(SUM(F$4:F573)=0,1,LARGE(F$4:F573,1)+1),IF(OR(MINUTE(G574)&lt;=MINUTE(NOW()),HOUR(G574)&lt;=HOUR(NOW())),"!!!","")),""),"")),"")))</f>
        <v/>
      </c>
      <c r="G574" s="508">
        <v>45004.3125</v>
      </c>
      <c r="H574" s="502" t="s">
        <v>216</v>
      </c>
      <c r="I574" s="180" t="s">
        <v>63</v>
      </c>
      <c r="J574" s="149"/>
      <c r="K574" s="150" t="s">
        <v>37</v>
      </c>
      <c r="L574" s="151">
        <v>1.65</v>
      </c>
      <c r="M574" s="152">
        <v>14.71</v>
      </c>
      <c r="N574" s="503">
        <v>0</v>
      </c>
      <c r="O574" s="153">
        <f>IF(OR(AE574="",AE575=""),"",ROUND(IF(L576&gt;0,IF(M574&gt;0,M574,IF(M575&gt;0,ROUND((M575*AE574)/AE575,IF(N574=0,2,IF(N574=0.1,1,0))),ROUND((M576*AE574)/AE576,IF(N574=0,2,IF(N574=0.1,1,0))))),IF(M574&gt;0,M574,ROUND((M575*AE574)/AE575,IF(N574=0,2,IF(N574=0.1,1,0))))),2))</f>
        <v>14.71</v>
      </c>
      <c r="P574" s="154">
        <f>IF(OR(L574="",O574=""),"",IF($C574="1/2W",O574/2+O574/2*L574,IF($C574="1/2L",O574/2,IF(I574="Lay",(O574*(L574/(L574-1))-O574)*(1-_xlfn.XLOOKUP(K574,'Fevereiro 2023 - Valor Real'!A3:A15,'Fevereiro 2023 - Valor Real'!C3:C15,0))+O574,(O574*L574-O574)*(1-_xlfn.XLOOKUP(K574,'Fevereiro 2023 - Valor Real'!A3:A15,'Fevereiro 2023 - Valor Real'!C3:C15,0))+O574))))</f>
        <v>24.2715</v>
      </c>
      <c r="Q574" s="155">
        <f>IF(K574="","",IF(_xlfn.XLOOKUP(K574,K$9:K566,$DJ$9:DJ566,0,,-1)=DJ574,_xlfn.XLOOKUP(K574,K$9:K566,Q$9:Q566,1,,-1)+1,1))</f>
        <v>8</v>
      </c>
      <c r="R574" s="156">
        <f>IF(K574="","",_xlfn.XLOOKUP(K574,K$9:K566,R$9:R566,0,,-1)+IF($C574=" ",1,0))</f>
        <v>0</v>
      </c>
      <c r="S574" s="501">
        <f>IF($B574="Anulado",0,ROUND(IF(OR($B574="LOSS",$B574="OK"),IF(OR($C574="W",$C574="1/2W",$C574="1/2L"),P574-O574,IF($C574="L",-O574,0))+IF(OR($C575="W",$C575="1/2W",$C575="1/2L"),P575-O575,IF($C575="L",-O575,0))+IF(OR($C576="W",$C576="1/2W",$C576="1/2L"),P576-O576,IF($C576="L",-O576,0)),IF(AND(OR($C574="W",$C574="1/2W",$C574="1/2L"),C575="W"),P574+P575-SUM(O574:O576)+_xlfn.XLOOKUP("X",C574:C576,O574:O576,0),IF(AND(C574=TRUE,C576="W"),P574+P576-SUM(O574:O576),IF(AND(C575="W",C576="W"),P575+P576-SUM(O574:O576)+_xlfn.XLOOKUP("X",C574:C576,O574:O576,0),IF(L576&gt;0,IF(OR($C574="W",$C574="1/2W",$C574="1/2L"),P574-SUM(O574:O576)+_xlfn.XLOOKUP("X",C574:C576,O574:O576,0),IF(OR($C574="W",$C574="1/2W",$C574="1/2L"),P575-SUM(O574:O576)+_xlfn.XLOOKUP("X",C574:C576,O574:O576,0),IF(OR($C574="W",$C574="1/2W",$C574="1/2L"),P576-SUM(O574:O576)+_xlfn.XLOOKUP("X",C574:C576,O574:O576,0),IF(SUM(P574:P576)/3-SUM(O574:O576)+_xlfn.XLOOKUP("X",C574:C576,O574:O576,0)&gt;0,SUM(P574:P576)/3-SUM(O574:O576)+_xlfn.XLOOKUP("X",C574:C576,O574:O576,0),LARGE(P574:P576,1)-SUM(O574:O576))))),IF(OR($C574="W",$C574="1/2W",$C574="1/2L"),P574-SUM(O574:O575)+_xlfn.XLOOKUP("X",C574:C576,O574:O576,0),IF(OR($C574="W",$C574="1/2W",$C574="1/2L"),P575-SUM(O574:O575)+_xlfn.XLOOKUP("X",C574:C576,O574:O576,0),SUM(P574:P575)/2-SUM(O574:O575)+_xlfn.XLOOKUP("X",C574:C576,O574:O576,0)))))))),2))</f>
        <v>0.95</v>
      </c>
      <c r="T574" s="486">
        <f>IF(S574=0,0,S574/SUM(O574:O576))</f>
        <v>4.0737564322469978E-2</v>
      </c>
      <c r="U574" s="496">
        <f>IF($D574=$D571,IF(OR($B574="LOSS",$B574="OK",$B574="Anulada"),S574,0)+U571,IF(OR($B574="LOSS",$B574="OK",$B574="Anulada"),S574,0))</f>
        <v>59.599999999999994</v>
      </c>
      <c r="V574" s="496">
        <f>IF($D574="",0,IF($D574=$D571,IF($B574=" ",IF(I576="",IF(OR(AND(I574="DNB1",I575="DNB2"),AND(OR(I574="DNB1",I574="DNB2"),J575=0),AND(OR(I575="DNB1",I575="DNB2"),J574=0),AND(I574="DNB2",I575="DNB1"),AND(IF(J574=0,(J574+1)/ROUND(J574+1,0),J574/ROUND(J574,0))=1,IF(J575=0,(J575+1)/ROUND(IF(J575="",0,J575)+1,0),IF(J575="",0,J575)/ROUND(IF(J575="",1,J575),0))=1,OR(J574&lt;&gt;""),J575&lt;&gt;"")),0,IF(S574&lt;0,IF(I576="",SMALL(P574:P575,1)-SUM(O574:O575),0),SMALL(P574:P575,1)-SUM(O574:O575))),IF(S574&lt;0,IF(I576="",SMALL(P574:P576,1)-SUM(O574:O576),0),LARGE(P574:P576,1)-SUM(O574:O576))),S574)+V571,IF(I576="",IF(OR(AND(I574="DNB1",I575="DNB2"),AND(OR(I574="DNB1",I574="DNB2"),J575=0),AND(OR(I575="DNB1",I575="DNB2"),J574=0),AND(I574="DNB2",I575="DNB1"),AND(IF(J574=0,(J574+1)/ROUND(J574+1,0),J574/ROUND(J574,0))=1,IF(J575=0,(IF(J575="",0,J575)+1)/ROUND(IF(J575="",0,J575)+1,0),IF(J575="",0,J575)/ROUND(IF(J575="",0,J575)+1,0))=1,OR(J574&lt;&gt;""),J575&lt;&gt;"")),0,IF(S574&lt;0,IF(I576="",SMALL(P574:P575,1)-SUM(O574:O575),0),SMALL(P574:P576,1)-SUM(O574:O576))),IF(S574&lt;0,IF(I576="",SMALL(P574:P576,1)-SUM(O574:O576),0),LARGE(P574:P576,1)-SUM(O574:O576)))))</f>
        <v>59.595199999999991</v>
      </c>
      <c r="W574" s="496">
        <f>IF($D574=$D571,IF(S574&lt;0,IF(I576="",S574,0),S574)+W571,S574)</f>
        <v>59.599999999999994</v>
      </c>
      <c r="X574" s="505" t="str">
        <f>IF(OR(SUM(R574:R576)=0,V574=W574),ROUND(IF(W574=0,0,W574/Y574)*100,2)&amp;"%",ROUND(IF(V574=0,0,V574/Y574)*100,2)&amp;"% a "&amp;ROUND(IF(W574=0,0,W574/Y574)*100,2)&amp;"%")</f>
        <v>6,9%</v>
      </c>
      <c r="Y574" s="497">
        <f>IF($D574=$D571,Y571+SUM(O574:O576),SUM(O574:O576))</f>
        <v>863.98</v>
      </c>
      <c r="Z574" s="496">
        <f>IF($B574=" ",SUM(O574:O576),0)+Z571</f>
        <v>0</v>
      </c>
      <c r="AA574" s="496">
        <f>IF(G574="","",IF($B574="Anulado",LARGE(P574:P576,1)-SUM(O574:O576)+AA571,AA571))</f>
        <v>12.425099999999992</v>
      </c>
      <c r="AB574" s="496">
        <f>IF($D574="","",AB571+S574)</f>
        <v>657.70000000000061</v>
      </c>
      <c r="AC574" s="499">
        <f ca="1">IF($D574="","",IF($B574=" ",IF(DAY(G574)=DAY(TODAY()),1+AC571,0+AC571),0+AC571))</f>
        <v>0</v>
      </c>
      <c r="AD574" s="157">
        <f>(1-_xlfn.XLOOKUP(K572,'Fevereiro 2023 - Valor Real'!A3:A15,'Fevereiro 2023 - Valor Real'!C3:C15,0))+1</f>
        <v>2</v>
      </c>
      <c r="AE574" s="158">
        <f>IF(L574="","",IF(L576&gt;0,(SUM(((L574-1)*(1-_xlfn.XLOOKUP(K574,'Fevereiro 2023 - Valor Real'!A3:A15,'Fevereiro 2023 - Valor Real'!C3:C15,0))+1),((L575-1)*(1-_xlfn.XLOOKUP(K575,'Fevereiro 2023 - Valor Real'!A3:A15,'Fevereiro 2023 - Valor Real'!C3:C15,0))+1),((L576-1)*(1-_xlfn.XLOOKUP(K576,'Fevereiro 2023 - Valor Real'!A3:A15,'Fevereiro 2023 - Valor Real'!C3:C15,0))+1))/((L574-1)*(1-_xlfn.XLOOKUP(K574,'Fevereiro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Real'!C3:C15,0))+1))/((L574-1)*(1-_xlfn.XLOOKUP(K574,'Fevereiro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Real'!C3:C15,0))+1))/((L575-1)*(1-_xlfn.XLOOKUP(K575,'Fevereiro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Real'!C3:C15,0))+1))/((L576-1)*(1-_xlfn.XLOOKUP(K576,'Fevereiro 2023 - Valor Real'!A3:A15,'Fevereiro 2023 - Valor Real'!C3:C15,0))+1)),IF(I574="Lay",IF(I575="Lay",((L575/(L575-1)-1)*(1-_xlfn.XLOOKUP(K575,'Fevereiro 2023 - Valor Real'!A3:A15,'Fevereiro 2023 - Valor Real'!C3:C15,0))+1)/(((L575/(L575-1)-1)*(1-_xlfn.XLOOKUP(K575,'Fevereiro 2023 - Valor Real'!A3:A15,'Fevereiro 2023 - Valor Real'!C3:C15,0))+1)+((L574/(L574-1)-1)*(1-_xlfn.XLOOKUP(K574,'Fevereiro 2023 - Valor Real'!A3:A15,'Fevereiro 2023 - Valor Real'!C3:C15,0))+1)),((L575-1)*(1-_xlfn.XLOOKUP(K575,'Fevereiro 2023 - Valor Real'!A3:A15,'Fevereiro 2023 - Valor Real'!C3:C15,0))+1)/(((L575-1)*(1-_xlfn.XLOOKUP(K575,'Fevereiro 2023 - Valor Real'!A3:A15,'Fevereiro 2023 - Valor Real'!C3:C15,0))+1)+((L574/(L574-1)-1)*(1-_xlfn.XLOOKUP(K574,'Fevereiro 2023 - Valor Real'!A3:A15,'Fevereiro 2023 - Valor Real'!C3:C15,0))+1))),IF(I575="Lay",(((L575/(L575-1)-1)*(1-_xlfn.XLOOKUP(K575,'Fevereiro 2023 - Valor Real'!A3:A15,'Fevereiro 2023 - Valor Real'!C3:C15,0))+1))/(((L574-1)*(1-_xlfn.XLOOKUP(K574,'Fevereiro 2023 - Valor Real'!A3:A15,'Fevereiro 2023 - Valor Real'!C3:C15,0))+1)+((L575/(L575-1)-1)*(1-_xlfn.XLOOKUP(K575,'Fevereiro 2023 - Valor Real'!A3:A15,'Fevereiro 2023 - Valor Real'!C3:C15,0))+1)),((L575-1)*(1-_xlfn.XLOOKUP(K575,'Fevereiro 2023 - Valor Real'!A3:A15,'Fevereiro 2023 - Valor Real'!C3:C15,0))+1)/(((L575-1)*(1-_xlfn.XLOOKUP(K575,'Fevereiro 2023 - Valor Real'!A3:A15,'Fevereiro 2023 - Valor Real'!C3:C15,0))+1)+((L574-1)*(1-_xlfn.XLOOKUP(K574,'Fevereiro 2023 - Valor Real'!A3:A15,'Fevereiro 2023 - Valor Real'!C3:C15,0))+1))))))</f>
        <v>0.63087248322147649</v>
      </c>
      <c r="AF574" s="66">
        <f t="shared" ref="AF574:AR583" si="1144">IF($K574=AF$3,ROUND(IF(OR($C574="W",$C574="1/2W",$C574="1/2L"),$P574-$O574,IF($C574="X",0,-$O574)),2),0)</f>
        <v>0</v>
      </c>
      <c r="AG574" s="67">
        <f t="shared" si="1144"/>
        <v>9.56</v>
      </c>
      <c r="AH574" s="67">
        <f t="shared" si="1144"/>
        <v>0</v>
      </c>
      <c r="AI574" s="67">
        <f t="shared" si="1144"/>
        <v>0</v>
      </c>
      <c r="AJ574" s="67">
        <f t="shared" si="1144"/>
        <v>0</v>
      </c>
      <c r="AK574" s="67">
        <f t="shared" si="1144"/>
        <v>0</v>
      </c>
      <c r="AL574" s="67">
        <f t="shared" si="1144"/>
        <v>0</v>
      </c>
      <c r="AM574" s="67">
        <f t="shared" si="1144"/>
        <v>0</v>
      </c>
      <c r="AN574" s="67">
        <f t="shared" si="1144"/>
        <v>0</v>
      </c>
      <c r="AO574" s="67">
        <f t="shared" si="1144"/>
        <v>0</v>
      </c>
      <c r="AP574" s="67">
        <f t="shared" si="1144"/>
        <v>0</v>
      </c>
      <c r="AQ574" s="67">
        <f t="shared" si="1144"/>
        <v>0</v>
      </c>
      <c r="AR574" s="68">
        <f t="shared" si="1144"/>
        <v>0</v>
      </c>
      <c r="AS574" s="66">
        <f t="shared" ref="AS574:BE574" si="1145">IF(AND($B574=" ",$K574=AS$3),$O574,0)</f>
        <v>0</v>
      </c>
      <c r="AT574" s="67">
        <f t="shared" si="1145"/>
        <v>0</v>
      </c>
      <c r="AU574" s="67">
        <f t="shared" si="1145"/>
        <v>0</v>
      </c>
      <c r="AV574" s="67">
        <f t="shared" si="1145"/>
        <v>0</v>
      </c>
      <c r="AW574" s="67">
        <f t="shared" si="1145"/>
        <v>0</v>
      </c>
      <c r="AX574" s="67">
        <f t="shared" si="1145"/>
        <v>0</v>
      </c>
      <c r="AY574" s="69">
        <f t="shared" si="1145"/>
        <v>0</v>
      </c>
      <c r="AZ574" s="70">
        <f t="shared" si="1145"/>
        <v>0</v>
      </c>
      <c r="BA574" s="70">
        <f t="shared" si="1145"/>
        <v>0</v>
      </c>
      <c r="BB574" s="70">
        <f t="shared" si="1145"/>
        <v>0</v>
      </c>
      <c r="BC574" s="71">
        <f t="shared" si="1145"/>
        <v>0</v>
      </c>
      <c r="BD574" s="67">
        <f t="shared" si="1145"/>
        <v>0</v>
      </c>
      <c r="BE574" s="68">
        <f t="shared" si="1145"/>
        <v>0</v>
      </c>
      <c r="BF574" s="66">
        <f t="shared" ref="BF574:BR583" si="1146">IF($K574=BF$3,IF($C574="X",0,$O574),0)</f>
        <v>0</v>
      </c>
      <c r="BG574" s="67">
        <f t="shared" si="1146"/>
        <v>14.71</v>
      </c>
      <c r="BH574" s="67">
        <f t="shared" si="1146"/>
        <v>0</v>
      </c>
      <c r="BI574" s="67">
        <f t="shared" si="1146"/>
        <v>0</v>
      </c>
      <c r="BJ574" s="67">
        <f t="shared" si="1146"/>
        <v>0</v>
      </c>
      <c r="BK574" s="67">
        <f t="shared" si="1146"/>
        <v>0</v>
      </c>
      <c r="BL574" s="67">
        <f t="shared" si="1146"/>
        <v>0</v>
      </c>
      <c r="BM574" s="69">
        <f t="shared" si="1146"/>
        <v>0</v>
      </c>
      <c r="BN574" s="70">
        <f t="shared" si="1146"/>
        <v>0</v>
      </c>
      <c r="BO574" s="70">
        <f t="shared" si="1146"/>
        <v>0</v>
      </c>
      <c r="BP574" s="70">
        <f t="shared" si="1146"/>
        <v>0</v>
      </c>
      <c r="BQ574" s="71">
        <f t="shared" si="1146"/>
        <v>0</v>
      </c>
      <c r="BR574" s="68">
        <f t="shared" si="1146"/>
        <v>0</v>
      </c>
      <c r="BS574" s="490">
        <f>IF($B574="LOSS",IF(AND($K574=BS$3,$C574="L"),-$O574,0)+IF(AND($K575=BS$3,$C575="L"),-$O575,0)+IF(AND($K576=BS$3,$C576="L"),-$O576,0),IF(OR(AND($K574=BS$3,OR($C574="W",$C574="1/2W")),AND($K575=BS$3,OR($C575="W",$C575="1/2W")),AND($K576=BS$3,OR($C576="W",$C576="1/2W"))),$S574,0))</f>
        <v>0</v>
      </c>
      <c r="BT574" s="498">
        <f>IF($B574="LOSS",IF(AND($K574=BT$3,$C574="L"),-$O574,0)+IF(AND($K575=BT$3,$C575="L"),-$O575,0)+IF(AND($K575=BT$3,$C576="L"),-$O576,0),IF(OR(AND($K575=BT$3,OR($C574="W",$C574="1/2W")),AND($K575=BT$3,OR($C575="W",$C575="1/2W")),AND($K575=BT$3,OR($C576="W",$C576="1/2W"))),$S574,0))</f>
        <v>0</v>
      </c>
      <c r="BU574" s="488">
        <f>IF($B574="LOSS",IF(AND($K574=BU$3,$C574="L"),-$O574,0)+IF(AND($K575=BU$3,$C575="L"),-$O575,0)+IF(AND($K575=BU$3,$C576="L"),-$O576,0),IF(OR(AND($K575=BU$3,OR($C574="W",$C574="1/2W")),AND($K575=BU$3,OR($C575="W",$C575="1/2W")),AND($K575=BU$3,OR($C576="W",$C576="1/2W"))),$S574,0))</f>
        <v>0</v>
      </c>
      <c r="BV574" s="488">
        <f t="shared" ref="BV574:CE574" si="1147">IF($B574="LOSS",IF(AND($K574=BV$3,$C574="L"),-$O574,0)+IF(AND($K575=BV$3,$C575="L"),-$O575,0)+IF(AND($K576=BV$3,$C576="L"),-$O576,0),IF(OR(AND($K574=BV$3,OR($C574="W",$C574="1/2W")),AND($K575=BV$3,OR($C575="W",$C575="1/2W")),AND($K576=BV$3,OR($C576="W",$C576="1/2W"))),$S574,0))</f>
        <v>0</v>
      </c>
      <c r="BW574" s="488">
        <f t="shared" si="1147"/>
        <v>0</v>
      </c>
      <c r="BX574" s="488">
        <f t="shared" si="1147"/>
        <v>0</v>
      </c>
      <c r="BY574" s="488">
        <f t="shared" si="1147"/>
        <v>0</v>
      </c>
      <c r="BZ574" s="488">
        <f t="shared" si="1147"/>
        <v>0</v>
      </c>
      <c r="CA574" s="488">
        <f t="shared" si="1147"/>
        <v>0</v>
      </c>
      <c r="CB574" s="488">
        <f t="shared" si="1147"/>
        <v>0</v>
      </c>
      <c r="CC574" s="488">
        <f t="shared" si="1147"/>
        <v>0</v>
      </c>
      <c r="CD574" s="500">
        <f t="shared" si="1147"/>
        <v>0</v>
      </c>
      <c r="CE574" s="504">
        <f t="shared" si="1147"/>
        <v>0</v>
      </c>
      <c r="CF574" s="160">
        <f t="shared" si="1028"/>
        <v>0</v>
      </c>
      <c r="CG574" s="161">
        <f t="shared" si="1029"/>
        <v>0</v>
      </c>
      <c r="CH574" s="161">
        <f t="shared" si="1030"/>
        <v>1</v>
      </c>
      <c r="CI574" s="161">
        <f t="shared" si="1031"/>
        <v>0</v>
      </c>
      <c r="CJ574" s="161">
        <f t="shared" si="1032"/>
        <v>0</v>
      </c>
      <c r="CK574" s="161">
        <f t="shared" si="1033"/>
        <v>0</v>
      </c>
      <c r="CL574" s="161">
        <f t="shared" si="1034"/>
        <v>0</v>
      </c>
      <c r="CM574" s="161">
        <f t="shared" si="1035"/>
        <v>0</v>
      </c>
      <c r="CN574" s="161">
        <f t="shared" si="1036"/>
        <v>0</v>
      </c>
      <c r="CO574" s="161">
        <f t="shared" si="1037"/>
        <v>0</v>
      </c>
      <c r="CP574" s="161">
        <f t="shared" si="1038"/>
        <v>0</v>
      </c>
      <c r="CQ574" s="161">
        <f t="shared" si="1039"/>
        <v>0</v>
      </c>
      <c r="CR574" s="161">
        <f t="shared" si="1040"/>
        <v>0</v>
      </c>
      <c r="CS574" s="161">
        <f t="shared" si="1041"/>
        <v>0</v>
      </c>
      <c r="CT574" s="75">
        <f t="shared" si="1042"/>
        <v>0</v>
      </c>
      <c r="CU574" s="76">
        <f t="shared" si="1043"/>
        <v>0</v>
      </c>
      <c r="CV574" s="76">
        <f t="shared" si="1044"/>
        <v>0</v>
      </c>
      <c r="CW574" s="76">
        <f t="shared" si="1045"/>
        <v>0</v>
      </c>
      <c r="CX574" s="76">
        <f t="shared" si="1046"/>
        <v>0</v>
      </c>
      <c r="CY574" s="76">
        <f t="shared" si="1047"/>
        <v>0</v>
      </c>
      <c r="CZ574" s="76">
        <f t="shared" si="1048"/>
        <v>0</v>
      </c>
      <c r="DA574" s="76">
        <f t="shared" si="1049"/>
        <v>0</v>
      </c>
      <c r="DB574" s="76">
        <f t="shared" si="1050"/>
        <v>0</v>
      </c>
      <c r="DC574" s="76">
        <f t="shared" si="1051"/>
        <v>0</v>
      </c>
      <c r="DD574" s="76">
        <f t="shared" si="1052"/>
        <v>0</v>
      </c>
      <c r="DE574" s="77">
        <f t="shared" si="1053"/>
        <v>0</v>
      </c>
      <c r="DF574" s="73">
        <f t="shared" si="1056"/>
        <v>35</v>
      </c>
      <c r="DG574" s="67">
        <f t="shared" si="1057"/>
        <v>45.887999999999991</v>
      </c>
      <c r="DH574" s="76">
        <f t="shared" si="1058"/>
        <v>14</v>
      </c>
      <c r="DI574" s="67">
        <f t="shared" si="1059"/>
        <v>60.05</v>
      </c>
      <c r="DJ574" s="202" t="str">
        <f>IF($D574="","",$D574)</f>
        <v>16</v>
      </c>
      <c r="DK574" s="492">
        <f>IF(AND($B574=" ",$D574&lt;&gt;""),1,0)</f>
        <v>0</v>
      </c>
    </row>
    <row r="575" spans="1:115" ht="14.5" customHeight="1" x14ac:dyDescent="0.2">
      <c r="A575" s="389"/>
      <c r="B575" s="456"/>
      <c r="C575" s="53" t="s">
        <v>55</v>
      </c>
      <c r="D575" s="374"/>
      <c r="E575" s="386"/>
      <c r="F575" s="377"/>
      <c r="G575" s="508"/>
      <c r="H575" s="476"/>
      <c r="I575" s="182" t="s">
        <v>76</v>
      </c>
      <c r="J575" s="56">
        <f>IF(OR(I574="TO",I574="TU",I574="TO1",I574="TU1",I574="TO2",I574="TU2"),J574,IF(OR(I574="AH1",I574="AH2"),IF(OR(I575="AH1",I575="AH2"),-J574,IF(OR(I575="EH1",I575="EH2"),-J574+0.5,"")),IF(OR(I574="EH1",I574="EH2"),IF(OR(I575="AH1",I575="AH2"),-J574+0.5,IF(OR(I575="EH1",I575="EH2"),-J574+1,"")),IF(AND(OR(I574="DNB1",I574="DNB2"),OR(I575="AH1",I575="AH2")),0,IF(AND(I574="Not ScoreBoth",OR(I575="TO1",I575="TO2")),0.5,"")))))</f>
        <v>0</v>
      </c>
      <c r="K575" s="57" t="s">
        <v>43</v>
      </c>
      <c r="L575" s="164">
        <v>2.82</v>
      </c>
      <c r="M575" s="165"/>
      <c r="N575" s="406"/>
      <c r="O575" s="60">
        <f>IF(OR(AE574="",AE575=""),"",ROUND(IF(L576&gt;0,IF(M575&gt;0,M575,IF(M574&gt;0,IF(N574=TRUE,ROUND((M574*AE575)/AE574,0),(M574*AE575)/AE574),IF(M575&gt;0,ROUND(M575,IF(N574=0,2,IF(N574=0.1,1,0))),IF(M576&gt;0,ROUND(O576*AE575/AE576,IF(N574=0,2,IF(N574=0.1,1,0))),0)))),IF(M575&gt;0,M575,ROUND((M574*AE575)/AE574,IF(N574=0,2,IF(N574=0.1,1,0))))),2))</f>
        <v>8.61</v>
      </c>
      <c r="P575" s="61">
        <f>IF(OR(L575="",O575=""),"",IF($C575="1/2W",O575/2+O575/2*L575,IF($C575="1/2L",O575/2,IF(I575="Lay",((O575*(L575/(L575-1)))-O575)*(1-_xlfn.XLOOKUP(K575,'Fevereiro 2023 - Valor Real'!A3:A15,'Fevereiro 2023 - Valor Real'!C3:C15,0))+O575,(O575*L575-O575)*(1-_xlfn.XLOOKUP(K575,'Fevereiro 2023 - Valor Real'!A3:A15,'Fevereiro 2023 - Valor Real'!C3:C15,0))+O575))))</f>
        <v>24.280199999999997</v>
      </c>
      <c r="Q575" s="166">
        <f>IF(K575="","",IF(_xlfn.XLOOKUP(K575,K$10:K566,$DJ$10:DJ566,0,,-1)=DJ575,_xlfn.XLOOKUP(K575,K$10:K566,Q$10:Q566,1,,-1)+1,1))</f>
        <v>5</v>
      </c>
      <c r="R575" s="167">
        <f>IF(K575="","",_xlfn.XLOOKUP(K575,K$10:K566,R$10:R566,0,,-1)+IF($C575=" ",1,0))</f>
        <v>0</v>
      </c>
      <c r="S575" s="403"/>
      <c r="T575" s="380"/>
      <c r="U575" s="380"/>
      <c r="V575" s="481"/>
      <c r="W575" s="380"/>
      <c r="X575" s="452"/>
      <c r="Y575" s="383"/>
      <c r="Z575" s="384"/>
      <c r="AA575" s="384"/>
      <c r="AB575" s="384"/>
      <c r="AC575" s="384"/>
      <c r="AD575" s="64"/>
      <c r="AE575" s="65">
        <f>IF(L575="","",IF(L576&gt;0,(SUM(((L574-1)*(1-_xlfn.XLOOKUP(K574,'Fevereiro 2023 - Valor Real'!A3:A15,'Fevereiro 2023 - Valor Real'!C3:C15,0))+1),((L575-1)*(1-_xlfn.XLOOKUP(K575,'Fevereiro 2023 - Valor Real'!A3:A15,'Fevereiro 2023 - Valor Real'!C3:C15,0))+1),((L576-1)*(1-_xlfn.XLOOKUP(K576,'Fevereiro 2023 - Valor Real'!A3:A15,'Fevereiro 2023 - Valor Real'!C3:C15,0))+1))/((L575-1)*(1-_xlfn.XLOOKUP(K575,'Fevereiro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Real'!C3:C15,0))+1))/((L574-1)*(1-_xlfn.XLOOKUP(K574,'Fevereiro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Real'!C3:C15,0))+1))/((L575-1)*(1-_xlfn.XLOOKUP(K575,'Fevereiro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Real'!C3:C15,0))+1))/((L576-1)*(1-_xlfn.XLOOKUP(K576,'Fevereiro 2023 - Valor Real'!A3:A15,'Fevereiro 2023 - Valor Real'!C3:C15,0))+1)),IF(I575="Lay",IF(I574="Lay",((L574/(L574-1)-1)*(1-_xlfn.XLOOKUP(K574,'Fevereiro 2023 - Valor Real'!A3:A15,'Fevereiro 2023 - Valor Real'!C3:C15,0))+1)/(((L574/(L574-1)-1)*(1-_xlfn.XLOOKUP(K574,'Fevereiro 2023 - Valor Real'!A3:A15,'Fevereiro 2023 - Valor Real'!C3:C15,0))+1)+((L575/(L575-1)-1)*(1-_xlfn.XLOOKUP(K575,'Fevereiro 2023 - Valor Real'!A3:A15,'Fevereiro 2023 - Valor Real'!C3:C15,0))+1)),((L574-1)*(1-_xlfn.XLOOKUP(K574,'Fevereiro 2023 - Valor Real'!A3:A15,'Fevereiro 2023 - Valor Real'!C3:C15,0))+1)/(((L574-1)*(1-_xlfn.XLOOKUP(K574,'Fevereiro 2023 - Valor Real'!A3:A15,'Fevereiro 2023 - Valor Real'!C3:C15,0))+1)+((L575/(L575-1)-1)*(1-_xlfn.XLOOKUP(K575,'Fevereiro 2023 - Valor Real'!A3:A15,'Fevereiro 2023 - Valor Real'!C3:C15,0))+1))),IF(I574="Lay",((L574/(L574-1)-1)*(1-_xlfn.XLOOKUP(K574,'Fevereiro 2023 - Valor Real'!A3:A15,'Fevereiro 2023 - Valor Real'!C3:C15,0))+1)/((((L574/(L574-1)-1)*(1-_xlfn.XLOOKUP(K574,'Fevereiro 2023 - Valor Real'!A3:A15,'Fevereiro 2023 - Valor Real'!C3:C15,0))+1))+((L575-1)*(1-_xlfn.XLOOKUP(K575,'Fevereiro 2023 - Valor Real'!A3:A15,'Fevereiro 2023 - Valor Real'!C3:C15,0))+1)),((L574-1)*(1-_xlfn.XLOOKUP(K574,'Fevereiro 2023 - Valor Real'!A3:A15,'Fevereiro 2023 - Valor Real'!C3:C15,0))+1)/(((L574-1)*(1-_xlfn.XLOOKUP(K574,'Fevereiro 2023 - Valor Real'!A3:A15,'Fevereiro 2023 - Valor Real'!C3:C15,0))+1)+((L575-1)*(1-_xlfn.XLOOKUP(K575,'Fevereiro 2023 - Valor Real'!A3:A15,'Fevereiro 2023 - Valor Real'!C3:C15,0))+1))))))</f>
        <v>0.36912751677852351</v>
      </c>
      <c r="AF575" s="66">
        <f t="shared" si="1144"/>
        <v>0</v>
      </c>
      <c r="AG575" s="67">
        <f t="shared" si="1144"/>
        <v>0</v>
      </c>
      <c r="AH575" s="67">
        <f t="shared" si="1144"/>
        <v>0</v>
      </c>
      <c r="AI575" s="67">
        <f t="shared" si="1144"/>
        <v>0</v>
      </c>
      <c r="AJ575" s="67">
        <f t="shared" si="1144"/>
        <v>0</v>
      </c>
      <c r="AK575" s="67">
        <f t="shared" si="1144"/>
        <v>0</v>
      </c>
      <c r="AL575" s="67">
        <f t="shared" si="1144"/>
        <v>0</v>
      </c>
      <c r="AM575" s="67">
        <f t="shared" si="1144"/>
        <v>-8.61</v>
      </c>
      <c r="AN575" s="67">
        <f t="shared" si="1144"/>
        <v>0</v>
      </c>
      <c r="AO575" s="67">
        <f t="shared" si="1144"/>
        <v>0</v>
      </c>
      <c r="AP575" s="67">
        <f t="shared" si="1144"/>
        <v>0</v>
      </c>
      <c r="AQ575" s="67">
        <f t="shared" si="1144"/>
        <v>0</v>
      </c>
      <c r="AR575" s="68">
        <f t="shared" si="1144"/>
        <v>0</v>
      </c>
      <c r="AS575" s="66">
        <f>IF(AND($B574=" ",$K575=AS$3),$O575,0)</f>
        <v>0</v>
      </c>
      <c r="AT575" s="67">
        <f>IF(AND($B574=" ",K575=AT$3),$O575,0)</f>
        <v>0</v>
      </c>
      <c r="AU575" s="67">
        <f t="shared" ref="AU575:BE575" si="1148">IF(AND($B574=" ",$K575=AU$3),$O575,0)</f>
        <v>0</v>
      </c>
      <c r="AV575" s="67">
        <f t="shared" si="1148"/>
        <v>0</v>
      </c>
      <c r="AW575" s="67">
        <f t="shared" si="1148"/>
        <v>0</v>
      </c>
      <c r="AX575" s="67">
        <f t="shared" si="1148"/>
        <v>0</v>
      </c>
      <c r="AY575" s="69">
        <f t="shared" si="1148"/>
        <v>0</v>
      </c>
      <c r="AZ575" s="70">
        <f t="shared" si="1148"/>
        <v>0</v>
      </c>
      <c r="BA575" s="70">
        <f t="shared" si="1148"/>
        <v>0</v>
      </c>
      <c r="BB575" s="70">
        <f t="shared" si="1148"/>
        <v>0</v>
      </c>
      <c r="BC575" s="71">
        <f t="shared" si="1148"/>
        <v>0</v>
      </c>
      <c r="BD575" s="67">
        <f t="shared" si="1148"/>
        <v>0</v>
      </c>
      <c r="BE575" s="68">
        <f t="shared" si="1148"/>
        <v>0</v>
      </c>
      <c r="BF575" s="66">
        <f t="shared" si="1146"/>
        <v>0</v>
      </c>
      <c r="BG575" s="168">
        <f t="shared" si="1146"/>
        <v>0</v>
      </c>
      <c r="BH575" s="67">
        <f t="shared" si="1146"/>
        <v>0</v>
      </c>
      <c r="BI575" s="67">
        <f t="shared" si="1146"/>
        <v>0</v>
      </c>
      <c r="BJ575" s="67">
        <f t="shared" si="1146"/>
        <v>0</v>
      </c>
      <c r="BK575" s="67">
        <f t="shared" si="1146"/>
        <v>0</v>
      </c>
      <c r="BL575" s="67">
        <f t="shared" si="1146"/>
        <v>0</v>
      </c>
      <c r="BM575" s="69">
        <f t="shared" si="1146"/>
        <v>8.61</v>
      </c>
      <c r="BN575" s="70">
        <f t="shared" si="1146"/>
        <v>0</v>
      </c>
      <c r="BO575" s="70">
        <f t="shared" si="1146"/>
        <v>0</v>
      </c>
      <c r="BP575" s="70">
        <f t="shared" si="1146"/>
        <v>0</v>
      </c>
      <c r="BQ575" s="71">
        <f t="shared" si="1146"/>
        <v>0</v>
      </c>
      <c r="BR575" s="68">
        <f t="shared" si="1146"/>
        <v>0</v>
      </c>
      <c r="BS575" s="491"/>
      <c r="BT575" s="489"/>
      <c r="BU575" s="392"/>
      <c r="BV575" s="489"/>
      <c r="BW575" s="392"/>
      <c r="BX575" s="392"/>
      <c r="BY575" s="392"/>
      <c r="BZ575" s="489"/>
      <c r="CA575" s="392"/>
      <c r="CB575" s="392"/>
      <c r="CC575" s="392"/>
      <c r="CD575" s="401"/>
      <c r="CE575" s="409"/>
      <c r="CF575" s="169">
        <f t="shared" si="1028"/>
        <v>0</v>
      </c>
      <c r="CG575" s="170">
        <f t="shared" si="1029"/>
        <v>0</v>
      </c>
      <c r="CH575" s="170">
        <f t="shared" si="1030"/>
        <v>0</v>
      </c>
      <c r="CI575" s="170">
        <f t="shared" si="1031"/>
        <v>0</v>
      </c>
      <c r="CJ575" s="170">
        <f t="shared" si="1032"/>
        <v>0</v>
      </c>
      <c r="CK575" s="170">
        <f t="shared" si="1033"/>
        <v>0</v>
      </c>
      <c r="CL575" s="170">
        <f t="shared" si="1034"/>
        <v>0</v>
      </c>
      <c r="CM575" s="170">
        <f t="shared" si="1035"/>
        <v>0</v>
      </c>
      <c r="CN575" s="170">
        <f t="shared" si="1036"/>
        <v>0</v>
      </c>
      <c r="CO575" s="170">
        <f t="shared" si="1037"/>
        <v>0</v>
      </c>
      <c r="CP575" s="170">
        <f t="shared" si="1038"/>
        <v>0</v>
      </c>
      <c r="CQ575" s="170">
        <f t="shared" si="1039"/>
        <v>0</v>
      </c>
      <c r="CR575" s="170">
        <f t="shared" si="1040"/>
        <v>0</v>
      </c>
      <c r="CS575" s="170">
        <f t="shared" si="1041"/>
        <v>0</v>
      </c>
      <c r="CT575" s="75">
        <f t="shared" si="1042"/>
        <v>0</v>
      </c>
      <c r="CU575" s="76">
        <f t="shared" si="1043"/>
        <v>1</v>
      </c>
      <c r="CV575" s="76">
        <f t="shared" si="1044"/>
        <v>0</v>
      </c>
      <c r="CW575" s="76">
        <f t="shared" si="1045"/>
        <v>0</v>
      </c>
      <c r="CX575" s="76">
        <f t="shared" si="1046"/>
        <v>0</v>
      </c>
      <c r="CY575" s="76">
        <f t="shared" si="1047"/>
        <v>0</v>
      </c>
      <c r="CZ575" s="76">
        <f t="shared" si="1048"/>
        <v>0</v>
      </c>
      <c r="DA575" s="76">
        <f t="shared" si="1049"/>
        <v>0</v>
      </c>
      <c r="DB575" s="76">
        <f t="shared" si="1050"/>
        <v>0</v>
      </c>
      <c r="DC575" s="76">
        <f t="shared" si="1051"/>
        <v>0</v>
      </c>
      <c r="DD575" s="76">
        <f t="shared" si="1052"/>
        <v>0</v>
      </c>
      <c r="DE575" s="77">
        <f t="shared" si="1053"/>
        <v>0</v>
      </c>
      <c r="DF575" s="73">
        <f t="shared" si="1056"/>
        <v>35</v>
      </c>
      <c r="DG575" s="67">
        <f t="shared" si="1057"/>
        <v>45.887999999999991</v>
      </c>
      <c r="DH575" s="76">
        <f t="shared" si="1058"/>
        <v>14</v>
      </c>
      <c r="DI575" s="67">
        <f t="shared" si="1059"/>
        <v>60.05</v>
      </c>
      <c r="DJ575" s="202" t="str">
        <f>IF($D574="","",$D574)</f>
        <v>16</v>
      </c>
      <c r="DK575" s="493"/>
    </row>
    <row r="576" spans="1:115" ht="14.5" customHeight="1" x14ac:dyDescent="0.2">
      <c r="A576" s="390"/>
      <c r="B576" s="457"/>
      <c r="C576" s="79" t="s">
        <v>53</v>
      </c>
      <c r="D576" s="375"/>
      <c r="E576" s="387"/>
      <c r="F576" s="378"/>
      <c r="G576" s="508"/>
      <c r="H576" s="477"/>
      <c r="I576" s="171"/>
      <c r="J576" s="172"/>
      <c r="K576" s="81"/>
      <c r="L576" s="173"/>
      <c r="M576" s="174"/>
      <c r="N576" s="407"/>
      <c r="O576" s="86" t="str">
        <f>IF(OR(AE574="",AE575=""),"",IF(L576&gt;0,ROUND(IF(M576&gt;0,M576,IF(M574&gt;0,ROUND((M574*AE576)/AE574,IF(N574=0,2,IF(N574=0.1,1,0))),IF(M575&gt;0,ROUND((M575*AE576)/AE575,IF(N574=0,2,IF(N574=0.1,1,0))),IF(M576&gt;0,M576,0)))),2),""))</f>
        <v/>
      </c>
      <c r="P576" s="87" t="str">
        <f>IF(I575="Lay",O575*(L575/(L575-1))-O575,IF(I574="Lay",O574*(L574/(L574-1))-O574,IF(OR(L576="",O576=""),"",IF($C576="1/2W",O576/2+O576/2*L576,IF($C576="1/2L",O576/2,(O576*L576-O576)*(1-_xlfn.XLOOKUP(K576,'Fevereiro 2023 - Valor Real'!A3:A15,'Fevereiro 2023 - Valor Real'!C3:C15,0))+O576)))))</f>
        <v/>
      </c>
      <c r="Q576" s="54" t="str">
        <f>IF(K576="","",IF(_xlfn.XLOOKUP(K576,K$11:K566,$DJ$11:DJ566,0,,-1)=DJ576,_xlfn.XLOOKUP(K576,K$11:K566,Q$11:Q566,1,,-1)+1,1))</f>
        <v/>
      </c>
      <c r="R576" s="87" t="str">
        <f>IF(K576="","",_xlfn.XLOOKUP(K576,K$11:K566,R$11:R566,0,,-1)+IF($C576=" ",1,0))</f>
        <v/>
      </c>
      <c r="S576" s="404"/>
      <c r="T576" s="378"/>
      <c r="U576" s="378"/>
      <c r="V576" s="404"/>
      <c r="W576" s="378"/>
      <c r="X576" s="453"/>
      <c r="Y576" s="383"/>
      <c r="Z576" s="384"/>
      <c r="AA576" s="384"/>
      <c r="AB576" s="384"/>
      <c r="AC576" s="384"/>
      <c r="AD576" s="90"/>
      <c r="AE576" s="91" t="str">
        <f>IF(L576="","",(SUM(((L574-1)*(1-_xlfn.XLOOKUP(K574,'Fevereiro 2023 - Valor Real'!A3:A15,'Fevereiro 2023 - Valor Real'!C3:C15,0))+1),((L575-1)*(1-_xlfn.XLOOKUP(K575,'Fevereiro 2023 - Valor Real'!A3:A15,'Fevereiro 2023 - Valor Real'!C3:C15,0))+1),((L576-1)*(1-_xlfn.XLOOKUP(K576,'Fevereiro 2023 - Valor Real'!A3:A15,'Fevereiro 2023 - Valor Real'!C3:C15,0))+1))/((L576-1)*(1-_xlfn.XLOOKUP(K576,'Fevereiro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Real'!C3:C15,0))+1))/((L574-1)*(1-_xlfn.XLOOKUP(K574,'Fevereiro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Real'!C3:C15,0))+1))/((L575-1)*(1-_xlfn.XLOOKUP(K575,'Fevereiro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Real'!C3:C15,0))+1))/((L576-1)*(1-_xlfn.XLOOKUP(K576,'Fevereiro 2023 - Valor Real'!A3:A15,'Fevereiro 2023 - Valor Real'!C3:C15,0))+1)))</f>
        <v/>
      </c>
      <c r="AF576" s="66">
        <f t="shared" si="1144"/>
        <v>0</v>
      </c>
      <c r="AG576" s="67">
        <f t="shared" si="1144"/>
        <v>0</v>
      </c>
      <c r="AH576" s="67">
        <f t="shared" si="1144"/>
        <v>0</v>
      </c>
      <c r="AI576" s="67">
        <f t="shared" si="1144"/>
        <v>0</v>
      </c>
      <c r="AJ576" s="67">
        <f t="shared" si="1144"/>
        <v>0</v>
      </c>
      <c r="AK576" s="67">
        <f t="shared" si="1144"/>
        <v>0</v>
      </c>
      <c r="AL576" s="67">
        <f t="shared" si="1144"/>
        <v>0</v>
      </c>
      <c r="AM576" s="67">
        <f t="shared" si="1144"/>
        <v>0</v>
      </c>
      <c r="AN576" s="67">
        <f t="shared" si="1144"/>
        <v>0</v>
      </c>
      <c r="AO576" s="67">
        <f t="shared" si="1144"/>
        <v>0</v>
      </c>
      <c r="AP576" s="67">
        <f t="shared" si="1144"/>
        <v>0</v>
      </c>
      <c r="AQ576" s="67">
        <f t="shared" si="1144"/>
        <v>0</v>
      </c>
      <c r="AR576" s="68">
        <f t="shared" si="1144"/>
        <v>0</v>
      </c>
      <c r="AS576" s="66">
        <f>IF(AND($B574=" ",$K576=AS$3),$O576,0)</f>
        <v>0</v>
      </c>
      <c r="AT576" s="67">
        <f>IF(AND($B574=" ",K576=AT$3),$O576,0)</f>
        <v>0</v>
      </c>
      <c r="AU576" s="67">
        <f t="shared" ref="AU576:BE576" si="1149">IF(AND($B574=" ",$K576=AU$3),$O576,0)</f>
        <v>0</v>
      </c>
      <c r="AV576" s="67">
        <f t="shared" si="1149"/>
        <v>0</v>
      </c>
      <c r="AW576" s="67">
        <f t="shared" si="1149"/>
        <v>0</v>
      </c>
      <c r="AX576" s="67">
        <f t="shared" si="1149"/>
        <v>0</v>
      </c>
      <c r="AY576" s="69">
        <f t="shared" si="1149"/>
        <v>0</v>
      </c>
      <c r="AZ576" s="70">
        <f t="shared" si="1149"/>
        <v>0</v>
      </c>
      <c r="BA576" s="70">
        <f t="shared" si="1149"/>
        <v>0</v>
      </c>
      <c r="BB576" s="70">
        <f t="shared" si="1149"/>
        <v>0</v>
      </c>
      <c r="BC576" s="71">
        <f t="shared" si="1149"/>
        <v>0</v>
      </c>
      <c r="BD576" s="67">
        <f t="shared" si="1149"/>
        <v>0</v>
      </c>
      <c r="BE576" s="68">
        <f t="shared" si="1149"/>
        <v>0</v>
      </c>
      <c r="BF576" s="66">
        <f t="shared" si="1146"/>
        <v>0</v>
      </c>
      <c r="BG576" s="168">
        <f t="shared" si="1146"/>
        <v>0</v>
      </c>
      <c r="BH576" s="67">
        <f t="shared" si="1146"/>
        <v>0</v>
      </c>
      <c r="BI576" s="67">
        <f t="shared" si="1146"/>
        <v>0</v>
      </c>
      <c r="BJ576" s="67">
        <f t="shared" si="1146"/>
        <v>0</v>
      </c>
      <c r="BK576" s="67">
        <f t="shared" si="1146"/>
        <v>0</v>
      </c>
      <c r="BL576" s="67">
        <f t="shared" si="1146"/>
        <v>0</v>
      </c>
      <c r="BM576" s="69">
        <f t="shared" si="1146"/>
        <v>0</v>
      </c>
      <c r="BN576" s="70">
        <f t="shared" si="1146"/>
        <v>0</v>
      </c>
      <c r="BO576" s="70">
        <f t="shared" si="1146"/>
        <v>0</v>
      </c>
      <c r="BP576" s="70">
        <f t="shared" si="1146"/>
        <v>0</v>
      </c>
      <c r="BQ576" s="71">
        <f t="shared" si="1146"/>
        <v>0</v>
      </c>
      <c r="BR576" s="68">
        <f t="shared" si="1146"/>
        <v>0</v>
      </c>
      <c r="BS576" s="491"/>
      <c r="BT576" s="489"/>
      <c r="BU576" s="392"/>
      <c r="BV576" s="489"/>
      <c r="BW576" s="392"/>
      <c r="BX576" s="392"/>
      <c r="BY576" s="392"/>
      <c r="BZ576" s="489"/>
      <c r="CA576" s="392"/>
      <c r="CB576" s="392"/>
      <c r="CC576" s="392"/>
      <c r="CD576" s="401"/>
      <c r="CE576" s="409"/>
      <c r="CF576" s="169">
        <f t="shared" si="1028"/>
        <v>0</v>
      </c>
      <c r="CG576" s="170">
        <f t="shared" si="1029"/>
        <v>0</v>
      </c>
      <c r="CH576" s="170">
        <f t="shared" si="1030"/>
        <v>0</v>
      </c>
      <c r="CI576" s="170">
        <f t="shared" si="1031"/>
        <v>0</v>
      </c>
      <c r="CJ576" s="170">
        <f t="shared" si="1032"/>
        <v>0</v>
      </c>
      <c r="CK576" s="170">
        <f t="shared" si="1033"/>
        <v>0</v>
      </c>
      <c r="CL576" s="170">
        <f t="shared" si="1034"/>
        <v>0</v>
      </c>
      <c r="CM576" s="170">
        <f t="shared" si="1035"/>
        <v>0</v>
      </c>
      <c r="CN576" s="170">
        <f t="shared" si="1036"/>
        <v>0</v>
      </c>
      <c r="CO576" s="170">
        <f t="shared" si="1037"/>
        <v>0</v>
      </c>
      <c r="CP576" s="170">
        <f t="shared" si="1038"/>
        <v>0</v>
      </c>
      <c r="CQ576" s="170">
        <f t="shared" si="1039"/>
        <v>0</v>
      </c>
      <c r="CR576" s="170">
        <f t="shared" si="1040"/>
        <v>0</v>
      </c>
      <c r="CS576" s="170">
        <f t="shared" si="1041"/>
        <v>0</v>
      </c>
      <c r="CT576" s="75">
        <f t="shared" si="1042"/>
        <v>0</v>
      </c>
      <c r="CU576" s="76">
        <f t="shared" si="1043"/>
        <v>0</v>
      </c>
      <c r="CV576" s="76">
        <f t="shared" si="1044"/>
        <v>0</v>
      </c>
      <c r="CW576" s="76">
        <f t="shared" si="1045"/>
        <v>0</v>
      </c>
      <c r="CX576" s="76">
        <f t="shared" si="1046"/>
        <v>0</v>
      </c>
      <c r="CY576" s="76">
        <f t="shared" si="1047"/>
        <v>0</v>
      </c>
      <c r="CZ576" s="76">
        <f t="shared" si="1048"/>
        <v>0</v>
      </c>
      <c r="DA576" s="76">
        <f t="shared" si="1049"/>
        <v>0</v>
      </c>
      <c r="DB576" s="76">
        <f t="shared" si="1050"/>
        <v>0</v>
      </c>
      <c r="DC576" s="76">
        <f t="shared" si="1051"/>
        <v>0</v>
      </c>
      <c r="DD576" s="76">
        <f t="shared" si="1052"/>
        <v>0</v>
      </c>
      <c r="DE576" s="77">
        <f t="shared" si="1053"/>
        <v>0</v>
      </c>
      <c r="DF576" s="73">
        <f t="shared" si="1056"/>
        <v>35</v>
      </c>
      <c r="DG576" s="67">
        <f t="shared" si="1057"/>
        <v>45.887999999999991</v>
      </c>
      <c r="DH576" s="76">
        <f t="shared" si="1058"/>
        <v>14</v>
      </c>
      <c r="DI576" s="67">
        <f t="shared" si="1059"/>
        <v>60.05</v>
      </c>
      <c r="DJ576" s="202" t="str">
        <f>IF($D574="","",$D574)</f>
        <v>16</v>
      </c>
      <c r="DK576" s="493"/>
    </row>
    <row r="577" spans="1:115" ht="14.5" customHeight="1" x14ac:dyDescent="0.2">
      <c r="A577" s="459">
        <f>$A574+1</f>
        <v>192</v>
      </c>
      <c r="B577" s="507" t="str">
        <f>IF(OR(C577="W",C578="W",C579="W",C577="1/2W",C578="1/2W",C579="1/2W",C577="1/2L",C578="1/2L",C579="1/2L"),"OK",IF(OR(C577="L",C578="L",C579="L"),"LOSS",IF(OR(C577="X",C578="X",C579="X"),"Anulado"," ")))</f>
        <v>OK</v>
      </c>
      <c r="C577" s="93" t="s">
        <v>54</v>
      </c>
      <c r="D577" s="468" t="str">
        <f>IF(G577="","",$D574)</f>
        <v>16</v>
      </c>
      <c r="E577" s="485" t="str">
        <f>IF(G577=""," ","– "&amp;COUNTIF(D$4:D579,$D577))</f>
        <v>– 24</v>
      </c>
      <c r="F577" s="509" t="str">
        <f ca="1">IF(G577="","",IF(OR(AND($C577&lt;&gt;" ",$C578=" "),AND($C578&lt;&gt;" ",$C577=" "),AND(L579&gt;0,OR(AND($C579&lt;&gt;" ",OR($C577=" ",$C578=" ")),AND($C579=" ",OR($C577&lt;&gt;" ",$C578&lt;&gt;" "))))),IF(SUM(F$4:F576)=0,1,LARGE(F$4:F576,1)+1),IF(MONTH(G577)=MONTH(TODAY()),IF(AND(DAY(G577)&lt;DAY(TODAY()),$B577=" "),IF(SUM(F$4:F576)=0,1,LARGE(F$4:F576,1)+1),IF($B577=" ",IF(AND(DAY(G577)=DAY(TODAY()),HOUR(G577)&lt;=HOUR(NOW())+1),IF(AND(HOUR(G577)+2&lt;=HOUR(NOW()),DAY(G577)&lt;=DAY(TODAY()),MINUTE(G577)&lt;=MINUTE(NOW())),IF(SUM(F$4:F576)=0,1,LARGE(F$4:F576,1)+1),IF(OR(MINUTE(G577)&lt;=MINUTE(NOW()),HOUR(G577)&lt;=HOUR(NOW())),"!!!","")),""),"")),"")))</f>
        <v/>
      </c>
      <c r="G577" s="482">
        <v>45001.833333333336</v>
      </c>
      <c r="H577" s="475" t="s">
        <v>217</v>
      </c>
      <c r="I577" s="94" t="s">
        <v>51</v>
      </c>
      <c r="J577" s="95">
        <v>4</v>
      </c>
      <c r="K577" s="96" t="s">
        <v>47</v>
      </c>
      <c r="L577" s="97">
        <v>2.5499999999999998</v>
      </c>
      <c r="M577" s="98">
        <v>16.87</v>
      </c>
      <c r="N577" s="478">
        <v>0</v>
      </c>
      <c r="O577" s="99">
        <f>IF(OR(AE577="",AE578=""),"",ROUND(IF(L579&gt;0,IF(M577&gt;0,M577,IF(M578&gt;0,ROUND((M578*AE577)/AE578,IF(N577=0,2,IF(N577=0.1,1,0))),ROUND((M579*AE577)/AE579,IF(N577=0,2,IF(N577=0.1,1,0))))),IF(M577&gt;0,M577,ROUND((M578*AE577)/AE578,IF(N577=0,2,IF(N577=0.1,1,0))))),2))</f>
        <v>16.87</v>
      </c>
      <c r="P577" s="100">
        <f>IF(OR(L577="",O577=""),"",IF($C577="1/2W",O577/2+O577/2*L577,IF($C577="1/2L",O577/2,IF(I577="Lay",(O577*(L577/(L577-1))-O577)*(1-_xlfn.XLOOKUP(K577,'Fevereiro 2023 - Valor Real'!A3:A15,'Fevereiro 2023 - Valor Real'!C3:C15,0))+O577,(O577*L577-O577)*(1-_xlfn.XLOOKUP(K577,'Fevereiro 2023 - Valor Real'!A3:A15,'Fevereiro 2023 - Valor Real'!C3:C15,0))+O577))))</f>
        <v>43.018500000000003</v>
      </c>
      <c r="Q577" s="101">
        <f>IF(K577="","",IF(_xlfn.XLOOKUP(K577,K$4:K576,$DJ$4:DJ576,0,,-1)=DJ577,_xlfn.XLOOKUP(K577,K$4:K576,Q$4:Q576,1,,-1)+1,1))</f>
        <v>7</v>
      </c>
      <c r="R577" s="102">
        <f>IF(K577="","",_xlfn.XLOOKUP(K577,K$4:K576,R$4:R576,0,,-1)+IF($C577=" ",1,0))</f>
        <v>0</v>
      </c>
      <c r="S577" s="474">
        <f>IF($B577="Anulado",0,ROUND(IF(OR($B577="LOSS",$B577="OK"),IF(OR($C577="W",$C577="1/2W",$C577="1/2L"),P577-O577,IF($C577="L",-O577,0))+IF(OR($C578="W",$C578="1/2W",$C578="1/2L"),P578-O578,IF($C578="L",-O578,0))+IF(OR($C579="W",$C579="1/2W",$C579="1/2L"),P579-O579,IF($C579="L",-O579,0)),IF(AND(OR($C577="W",$C577="1/2W",$C577="1/2L"),C578="W"),P577+P578-SUM(O577:O579)+_xlfn.XLOOKUP("X",C577:C579,O577:O579,0),IF(AND(C577=TRUE,C579="W"),P577+P579-SUM(O577:O579),IF(AND(C578="W",C579="W"),P578+P579-SUM(O577:O579)+_xlfn.XLOOKUP("X",C577:C579,O577:O579,0),IF(L579&gt;0,IF(OR($C577="W",$C577="1/2W",$C577="1/2L"),P577-SUM(O577:O579)+_xlfn.XLOOKUP("X",C577:C579,O577:O579,0),IF(OR($C577="W",$C577="1/2W",$C577="1/2L"),P578-SUM(O577:O579)+_xlfn.XLOOKUP("X",C577:C579,O577:O579,0),IF(OR($C577="W",$C577="1/2W",$C577="1/2L"),P579-SUM(O577:O579)+_xlfn.XLOOKUP("X",C577:C579,O577:O579,0),IF(SUM(P577:P579)/3-SUM(O577:O579)+_xlfn.XLOOKUP("X",C577:C579,O577:O579,0)&gt;0,SUM(P577:P579)/3-SUM(O577:O579)+_xlfn.XLOOKUP("X",C577:C579,O577:O579,0),LARGE(P577:P579,1)-SUM(O577:O579))))),IF(OR($C577="W",$C577="1/2W",$C577="1/2L"),P577-SUM(O577:O578)+_xlfn.XLOOKUP("X",C577:C579,O577:O579,0),IF(OR($C577="W",$C577="1/2W",$C577="1/2L"),P578-SUM(O577:O578)+_xlfn.XLOOKUP("X",C577:C579,O577:O579,0),SUM(P577:P578)/2-SUM(O577:O578)+_xlfn.XLOOKUP("X",C577:C579,O577:O579,0)))))))),2))</f>
        <v>4.53</v>
      </c>
      <c r="T577" s="458">
        <f>IF(S577=0,0,S577/SUM(O577:O579))</f>
        <v>0.11769290724863601</v>
      </c>
      <c r="U577" s="470">
        <f>IF($D577=$D574,IF(OR($B577="LOSS",$B577="OK",$B577="Anulada"),S577,0)+U574,IF(OR($B577="LOSS",$B577="OK",$B577="Anulada"),S577,0))</f>
        <v>64.13</v>
      </c>
      <c r="V577" s="470">
        <f>IF($D577="",0,IF($D577=$D574,IF($B577=" ",IF(I579="",IF(OR(AND(I577="DNB1",I578="DNB2"),AND(OR(I577="DNB1",I577="DNB2"),J578=0),AND(OR(I578="DNB1",I578="DNB2"),J577=0),AND(I577="DNB2",I578="DNB1"),AND(IF(J577=0,(J577+1)/ROUND(J577+1,0),J577/ROUND(J577,0))=1,IF(J578=0,(J578+1)/ROUND(IF(J578="",0,J578)+1,0),IF(J578="",0,J578)/ROUND(IF(J578="",1,J578),0))=1,OR(J577&lt;&gt;""),J578&lt;&gt;"")),0,IF(S577&lt;0,IF(I579="",SMALL(P577:P578,1)-SUM(O577:O578),0),SMALL(P577:P578,1)-SUM(O577:O578))),IF(S577&lt;0,IF(I579="",SMALL(P577:P579,1)-SUM(O577:O579),0),LARGE(P577:P579,1)-SUM(O577:O579))),S577)+V574,IF(I579="",IF(OR(AND(I577="DNB1",I578="DNB2"),AND(OR(I577="DNB1",I577="DNB2"),J578=0),AND(OR(I578="DNB1",I578="DNB2"),J577=0),AND(I577="DNB2",I578="DNB1"),AND(IF(J577=0,(J577+1)/ROUND(J577+1,0),J577/ROUND(J577,0))=1,IF(J578=0,(IF(J578="",0,J578)+1)/ROUND(IF(J578="",0,J578)+1,0),IF(J578="",0,J578)/ROUND(IF(J578="",0,J578)+1,0))=1,OR(J577&lt;&gt;""),J578&lt;&gt;"")),0,IF(S577&lt;0,IF(I579="",SMALL(P577:P578,1)-SUM(O577:O578),0),SMALL(P577:P579,1)-SUM(O577:O579))),IF(S577&lt;0,IF(I579="",SMALL(P577:P579,1)-SUM(O577:O579),0),LARGE(P577:P579,1)-SUM(O577:O579)))))</f>
        <v>64.125199999999992</v>
      </c>
      <c r="W577" s="470">
        <f>IF($D577=$D574,IF(S577&lt;0,IF(I579="",S577,0),S577)+W574,S577)</f>
        <v>64.13</v>
      </c>
      <c r="X577" s="480" t="str">
        <f>IF(OR(SUM(R577:R579)=0,V577=W577),ROUND(IF(W577=0,0,W577/Y577)*100,2)&amp;"%",ROUND(IF(V577=0,0,V577/Y577)*100,2)&amp;"% a "&amp;ROUND(IF(W577=0,0,W577/Y577)*100,2)&amp;"%")</f>
        <v>7,11%</v>
      </c>
      <c r="Y577" s="471">
        <f>IF($D577=$D574,Y574+SUM(O577:O579),SUM(O577:O579))</f>
        <v>902.47</v>
      </c>
      <c r="Z577" s="470">
        <f>IF($B577=" ",SUM(O577:O579),0)+Z574</f>
        <v>0</v>
      </c>
      <c r="AA577" s="470">
        <f>IF(G577="","",IF($B577="Anulado",LARGE(P577:P579,1)-SUM(O577:O579)+AA574,AA574))</f>
        <v>12.425099999999992</v>
      </c>
      <c r="AB577" s="470">
        <f>IF($D577="","",AB574+S577)</f>
        <v>662.23000000000059</v>
      </c>
      <c r="AC577" s="472">
        <f ca="1">IF($D577="","",IF($B577=" ",IF(DAY(G577)=DAY(TODAY()),1+AC574,0+AC574),0+AC574))</f>
        <v>0</v>
      </c>
      <c r="AD577" s="103">
        <f>(((L578/(L578-1)-1)*(1-_xlfn.XLOOKUP(K578,'Fevereiro 2023 - Valor Real'!A3:A15,'Fevereiro 2023 - Valor Real'!C3:C15,0))+1))/(((L577-1)*(1-_xlfn.XLOOKUP(K577,'Fevereiro 2023 - Valor Real'!A3:A15,'Fevereiro 2023 - Valor Real'!C3:C15,0))+1)+((L578/(L578-1)-1)*(1-_xlfn.XLOOKUP(K578,'Fevereiro 2023 - Valor Real'!A3:A15,'Fevereiro 2023 - Valor Real'!C3:C15,0))+1))</f>
        <v>0.44080186067117072</v>
      </c>
      <c r="AE577" s="104">
        <f>IF(L577="","",IF(L579&gt;0,(SUM(((L577-1)*(1-_xlfn.XLOOKUP(K577,'Fevereiro 2023 - Valor Real'!A3:A15,'Fevereiro 2023 - Valor Real'!C3:C15,0))+1),((L578-1)*(1-_xlfn.XLOOKUP(K578,'Fevereiro 2023 - Valor Real'!A3:A15,'Fevereiro 2023 - Valor Real'!C3:C15,0))+1),((L579-1)*(1-_xlfn.XLOOKUP(K579,'Fevereiro 2023 - Valor Real'!A3:A15,'Fevereiro 2023 - Valor Real'!C3:C15,0))+1))/((L577-1)*(1-_xlfn.XLOOKUP(K577,'Fevereiro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Real'!C3:C15,0))+1))/((L577-1)*(1-_xlfn.XLOOKUP(K577,'Fevereiro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Real'!C3:C15,0))+1))/((L578-1)*(1-_xlfn.XLOOKUP(K578,'Fevereiro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Real'!C3:C15,0))+1))/((L579-1)*(1-_xlfn.XLOOKUP(K579,'Fevereiro 2023 - Valor Real'!A3:A15,'Fevereiro 2023 - Valor Real'!C3:C15,0))+1)),IF(I577="Lay",IF(I578="Lay",((L578/(L578-1)-1)*(1-_xlfn.XLOOKUP(K578,'Fevereiro 2023 - Valor Real'!A3:A15,'Fevereiro 2023 - Valor Real'!C3:C15,0))+1)/(((L578/(L578-1)-1)*(1-_xlfn.XLOOKUP(K578,'Fevereiro 2023 - Valor Real'!A3:A15,'Fevereiro 2023 - Valor Real'!C3:C15,0))+1)+((L577/(L577-1)-1)*(1-_xlfn.XLOOKUP(K577,'Fevereiro 2023 - Valor Real'!A3:A15,'Fevereiro 2023 - Valor Real'!C3:C15,0))+1)),((L578-1)*(1-_xlfn.XLOOKUP(K578,'Fevereiro 2023 - Valor Real'!A3:A15,'Fevereiro 2023 - Valor Real'!C3:C15,0))+1)/(((L578-1)*(1-_xlfn.XLOOKUP(K578,'Fevereiro 2023 - Valor Real'!A3:A15,'Fevereiro 2023 - Valor Real'!C3:C15,0))+1)+((L577/(L577-1)-1)*(1-_xlfn.XLOOKUP(K577,'Fevereiro 2023 - Valor Real'!A3:A15,'Fevereiro 2023 - Valor Real'!C3:C15,0))+1))),IF(I578="Lay",(((L578/(L578-1)-1)*(1-_xlfn.XLOOKUP(K578,'Fevereiro 2023 - Valor Real'!A3:A15,'Fevereiro 2023 - Valor Real'!C3:C15,0))+1))/(((L577-1)*(1-_xlfn.XLOOKUP(K577,'Fevereiro 2023 - Valor Real'!A3:A15,'Fevereiro 2023 - Valor Real'!C3:C15,0))+1)+((L578/(L578-1)-1)*(1-_xlfn.XLOOKUP(K578,'Fevereiro 2023 - Valor Real'!A3:A15,'Fevereiro 2023 - Valor Real'!C3:C15,0))+1)),((L578-1)*(1-_xlfn.XLOOKUP(K578,'Fevereiro 2023 - Valor Real'!A3:A15,'Fevereiro 2023 - Valor Real'!C3:C15,0))+1)/(((L578-1)*(1-_xlfn.XLOOKUP(K578,'Fevereiro 2023 - Valor Real'!A3:A15,'Fevereiro 2023 - Valor Real'!C3:C15,0))+1)+((L577-1)*(1-_xlfn.XLOOKUP(K577,'Fevereiro 2023 - Valor Real'!A3:A15,'Fevereiro 2023 - Valor Real'!C3:C15,0))+1))))))</f>
        <v>0.43832599118942733</v>
      </c>
      <c r="AF577" s="105">
        <f t="shared" si="1144"/>
        <v>0</v>
      </c>
      <c r="AG577" s="106">
        <f t="shared" si="1144"/>
        <v>0</v>
      </c>
      <c r="AH577" s="106">
        <f t="shared" si="1144"/>
        <v>0</v>
      </c>
      <c r="AI577" s="106">
        <f t="shared" si="1144"/>
        <v>0</v>
      </c>
      <c r="AJ577" s="106">
        <f t="shared" si="1144"/>
        <v>0</v>
      </c>
      <c r="AK577" s="106">
        <f t="shared" si="1144"/>
        <v>0</v>
      </c>
      <c r="AL577" s="106">
        <f t="shared" si="1144"/>
        <v>0</v>
      </c>
      <c r="AM577" s="106">
        <f t="shared" si="1144"/>
        <v>0</v>
      </c>
      <c r="AN577" s="106">
        <f t="shared" si="1144"/>
        <v>0</v>
      </c>
      <c r="AO577" s="106">
        <f t="shared" si="1144"/>
        <v>0</v>
      </c>
      <c r="AP577" s="106">
        <f t="shared" si="1144"/>
        <v>0</v>
      </c>
      <c r="AQ577" s="106">
        <f t="shared" si="1144"/>
        <v>26.15</v>
      </c>
      <c r="AR577" s="107">
        <f t="shared" si="1144"/>
        <v>0</v>
      </c>
      <c r="AS577" s="105">
        <f t="shared" ref="AS577:BE577" si="1150">IF(AND($B577=" ",$K577=AS$3),$O577,0)</f>
        <v>0</v>
      </c>
      <c r="AT577" s="106">
        <f t="shared" si="1150"/>
        <v>0</v>
      </c>
      <c r="AU577" s="106">
        <f t="shared" si="1150"/>
        <v>0</v>
      </c>
      <c r="AV577" s="106">
        <f t="shared" si="1150"/>
        <v>0</v>
      </c>
      <c r="AW577" s="106">
        <f t="shared" si="1150"/>
        <v>0</v>
      </c>
      <c r="AX577" s="106">
        <f t="shared" si="1150"/>
        <v>0</v>
      </c>
      <c r="AY577" s="108">
        <f t="shared" si="1150"/>
        <v>0</v>
      </c>
      <c r="AZ577" s="109">
        <f t="shared" si="1150"/>
        <v>0</v>
      </c>
      <c r="BA577" s="109">
        <f t="shared" si="1150"/>
        <v>0</v>
      </c>
      <c r="BB577" s="109">
        <f t="shared" si="1150"/>
        <v>0</v>
      </c>
      <c r="BC577" s="110">
        <f t="shared" si="1150"/>
        <v>0</v>
      </c>
      <c r="BD577" s="106">
        <f t="shared" si="1150"/>
        <v>0</v>
      </c>
      <c r="BE577" s="107">
        <f t="shared" si="1150"/>
        <v>0</v>
      </c>
      <c r="BF577" s="111">
        <f t="shared" si="1146"/>
        <v>0</v>
      </c>
      <c r="BG577" s="106">
        <f t="shared" si="1146"/>
        <v>0</v>
      </c>
      <c r="BH577" s="106">
        <f t="shared" si="1146"/>
        <v>0</v>
      </c>
      <c r="BI577" s="106">
        <f t="shared" si="1146"/>
        <v>0</v>
      </c>
      <c r="BJ577" s="106">
        <f t="shared" si="1146"/>
        <v>0</v>
      </c>
      <c r="BK577" s="106">
        <f t="shared" si="1146"/>
        <v>0</v>
      </c>
      <c r="BL577" s="106">
        <f t="shared" si="1146"/>
        <v>0</v>
      </c>
      <c r="BM577" s="108">
        <f t="shared" si="1146"/>
        <v>0</v>
      </c>
      <c r="BN577" s="109">
        <f t="shared" si="1146"/>
        <v>0</v>
      </c>
      <c r="BO577" s="109">
        <f t="shared" si="1146"/>
        <v>0</v>
      </c>
      <c r="BP577" s="109">
        <f t="shared" si="1146"/>
        <v>0</v>
      </c>
      <c r="BQ577" s="110">
        <f t="shared" si="1146"/>
        <v>16.87</v>
      </c>
      <c r="BR577" s="107">
        <f t="shared" si="1146"/>
        <v>0</v>
      </c>
      <c r="BS577" s="463">
        <f>IF($B577="LOSS",IF(AND($K577=BS$3,$C577="L"),-$O577,0)+IF(AND($K578=BS$3,$C578="L"),-$O578,0)+IF(AND($K579=BS$3,$C579="L"),-$O579,0),IF(OR(AND($K577=BS$3,OR($C577="W",$C577="1/2W")),AND($K578=BS$3,OR($C578="W",$C578="1/2W")),AND($K579=BS$3,OR($C579="W",$C579="1/2W"))),$S577,0))</f>
        <v>0</v>
      </c>
      <c r="BT577" s="462">
        <f>IF($B577="LOSS",IF(AND($K577=BT$3,$C577="L"),-$O577,0)+IF(AND($K578=BT$3,$C578="L"),-$O578,0)+IF(AND($K578=BT$3,$C579="L"),-$O579,0),IF(OR(AND($K578=BT$3,OR($C577="W",$C577="1/2W")),AND($K578=BT$3,OR($C578="W",$C578="1/2W")),AND($K578=BT$3,OR($C579="W",$C579="1/2W"))),$S577,0))</f>
        <v>0</v>
      </c>
      <c r="BU577" s="462">
        <f>IF($B577="LOSS",IF(AND($K577=BU$3,$C577="L"),-$O577,0)+IF(AND($K578=BU$3,$C578="L"),-$O578,0)+IF(AND($K578=BU$3,$C579="L"),-$O579,0),IF(OR(AND($K578=BU$3,OR($C577="W",$C577="1/2W")),AND($K578=BU$3,OR($C578="W",$C578="1/2W")),AND($K578=BU$3,OR($C579="W",$C579="1/2W"))),$S577,0))</f>
        <v>0</v>
      </c>
      <c r="BV577" s="462">
        <f t="shared" ref="BV577:CE577" si="1151">IF($B577="LOSS",IF(AND($K577=BV$3,$C577="L"),-$O577,0)+IF(AND($K578=BV$3,$C578="L"),-$O578,0)+IF(AND($K579=BV$3,$C579="L"),-$O579,0),IF(OR(AND($K577=BV$3,OR($C577="W",$C577="1/2W")),AND($K578=BV$3,OR($C578="W",$C578="1/2W")),AND($K579=BV$3,OR($C579="W",$C579="1/2W"))),$S577,0))</f>
        <v>0</v>
      </c>
      <c r="BW577" s="462">
        <f t="shared" si="1151"/>
        <v>0</v>
      </c>
      <c r="BX577" s="462">
        <f t="shared" si="1151"/>
        <v>0</v>
      </c>
      <c r="BY577" s="462">
        <f t="shared" si="1151"/>
        <v>0</v>
      </c>
      <c r="BZ577" s="460">
        <f t="shared" si="1151"/>
        <v>0</v>
      </c>
      <c r="CA577" s="460">
        <f t="shared" si="1151"/>
        <v>0</v>
      </c>
      <c r="CB577" s="460">
        <f t="shared" si="1151"/>
        <v>0</v>
      </c>
      <c r="CC577" s="460">
        <f t="shared" si="1151"/>
        <v>0</v>
      </c>
      <c r="CD577" s="473">
        <f t="shared" si="1151"/>
        <v>4.53</v>
      </c>
      <c r="CE577" s="479">
        <f t="shared" si="1151"/>
        <v>0</v>
      </c>
      <c r="CF577" s="113">
        <f t="shared" si="1028"/>
        <v>0</v>
      </c>
      <c r="CG577" s="114">
        <f t="shared" si="1029"/>
        <v>0</v>
      </c>
      <c r="CH577" s="114">
        <f t="shared" si="1030"/>
        <v>0</v>
      </c>
      <c r="CI577" s="114">
        <f t="shared" si="1031"/>
        <v>0</v>
      </c>
      <c r="CJ577" s="114">
        <f t="shared" si="1032"/>
        <v>0</v>
      </c>
      <c r="CK577" s="114">
        <f t="shared" si="1033"/>
        <v>0</v>
      </c>
      <c r="CL577" s="114">
        <f t="shared" si="1034"/>
        <v>0</v>
      </c>
      <c r="CM577" s="114">
        <f t="shared" si="1035"/>
        <v>0</v>
      </c>
      <c r="CN577" s="114">
        <f t="shared" si="1036"/>
        <v>0</v>
      </c>
      <c r="CO577" s="114">
        <f t="shared" si="1037"/>
        <v>0</v>
      </c>
      <c r="CP577" s="114">
        <f t="shared" si="1038"/>
        <v>0</v>
      </c>
      <c r="CQ577" s="114">
        <f t="shared" si="1039"/>
        <v>0</v>
      </c>
      <c r="CR577" s="114">
        <f t="shared" si="1040"/>
        <v>0</v>
      </c>
      <c r="CS577" s="114">
        <f t="shared" si="1041"/>
        <v>0</v>
      </c>
      <c r="CT577" s="115">
        <f t="shared" si="1042"/>
        <v>0</v>
      </c>
      <c r="CU577" s="116">
        <f t="shared" si="1043"/>
        <v>0</v>
      </c>
      <c r="CV577" s="116">
        <f t="shared" si="1044"/>
        <v>0</v>
      </c>
      <c r="CW577" s="116">
        <f t="shared" si="1045"/>
        <v>0</v>
      </c>
      <c r="CX577" s="116">
        <f t="shared" si="1046"/>
        <v>0</v>
      </c>
      <c r="CY577" s="116">
        <f t="shared" si="1047"/>
        <v>0</v>
      </c>
      <c r="CZ577" s="116">
        <f t="shared" si="1048"/>
        <v>0</v>
      </c>
      <c r="DA577" s="116">
        <f t="shared" si="1049"/>
        <v>0</v>
      </c>
      <c r="DB577" s="116">
        <f t="shared" si="1050"/>
        <v>1</v>
      </c>
      <c r="DC577" s="116">
        <f t="shared" si="1051"/>
        <v>0</v>
      </c>
      <c r="DD577" s="116">
        <f t="shared" si="1052"/>
        <v>0</v>
      </c>
      <c r="DE577" s="117">
        <f t="shared" si="1053"/>
        <v>0</v>
      </c>
      <c r="DF577" s="118">
        <f t="shared" si="1056"/>
        <v>35</v>
      </c>
      <c r="DG577" s="106">
        <f t="shared" si="1057"/>
        <v>45.887999999999991</v>
      </c>
      <c r="DH577" s="116">
        <f t="shared" si="1058"/>
        <v>14</v>
      </c>
      <c r="DI577" s="106">
        <f t="shared" si="1059"/>
        <v>60.05</v>
      </c>
      <c r="DJ577" s="201" t="str">
        <f>IF($D577="","",$D577)</f>
        <v>16</v>
      </c>
      <c r="DK577" s="465">
        <f>IF(AND($B577=" ",$D577&lt;&gt;""),1,0)</f>
        <v>0</v>
      </c>
    </row>
    <row r="578" spans="1:115" ht="14.5" customHeight="1" x14ac:dyDescent="0.2">
      <c r="A578" s="389"/>
      <c r="B578" s="456"/>
      <c r="C578" s="120" t="s">
        <v>55</v>
      </c>
      <c r="D578" s="374"/>
      <c r="E578" s="386"/>
      <c r="F578" s="377"/>
      <c r="G578" s="483"/>
      <c r="H578" s="476"/>
      <c r="I578" s="121" t="s">
        <v>52</v>
      </c>
      <c r="J578" s="122">
        <f>IF(OR(I577="TO",I577="TU",I577="TO1",I577="TU1",I577="TO2",I577="TU2"),J577,IF(OR(I577="AH1",I577="AH2"),IF(OR(I578="AH1",I578="AH2"),-J577,IF(OR(I578="EH1",I578="EH2"),-J577+0.5,"")),IF(OR(I577="EH1",I577="EH2"),IF(OR(I578="AH1",I578="AH2"),-J577+0.5,IF(OR(I578="EH1",I578="EH2"),-J577+1,"")),IF(AND(OR(I577="DNB1",I577="DNB2"),OR(I578="AH1",I578="AH2")),0,IF(AND(I577="Not ScoreBoth",OR(I578="TO1",I578="TO2")),0.5,"")))))</f>
        <v>4</v>
      </c>
      <c r="K578" s="123" t="s">
        <v>43</v>
      </c>
      <c r="L578" s="124">
        <v>1.99</v>
      </c>
      <c r="M578" s="125"/>
      <c r="N578" s="406"/>
      <c r="O578" s="126">
        <f>IF(OR(AE577="",AE578=""),"",ROUND(IF(L579&gt;0,IF(M578&gt;0,M578,IF(M577&gt;0,IF(N577=TRUE,ROUND((M577*AE578)/AE577,0),(M577*AE578)/AE577),IF(M578&gt;0,ROUND(M578,IF(N577=0,2,IF(N577=0.1,1,0))),IF(M579&gt;0,ROUND(O579*AE578/AE579,IF(N577=0,2,IF(N577=0.1,1,0))),0)))),IF(M578&gt;0,M578,ROUND((M577*AE578)/AE577,IF(N577=0,2,IF(N577=0.1,1,0))))),2))</f>
        <v>21.62</v>
      </c>
      <c r="P578" s="127">
        <f>IF(OR(L578="",O578=""),"",IF($C578="1/2W",O578/2+O578/2*L578,IF($C578="1/2L",O578/2,IF(I578="Lay",((O578*(L578/(L578-1)))-O578)*(1-_xlfn.XLOOKUP(K578,'Fevereiro 2023 - Valor Real'!A3:A15,'Fevereiro 2023 - Valor Real'!C3:C15,0))+O578,(O578*L578-O578)*(1-_xlfn.XLOOKUP(K578,'Fevereiro 2023 - Valor Real'!A3:A15,'Fevereiro 2023 - Valor Real'!C3:C15,0))+O578))))</f>
        <v>43.023800000000001</v>
      </c>
      <c r="Q578" s="128">
        <f>IF(K578="","",IF(_xlfn.XLOOKUP(K578,K$4:K577,$DJ$4:DJ577,0,,-1)=DJ578,_xlfn.XLOOKUP(K578,K$4:K577,Q$4:Q577,1,,-1)+1,1))</f>
        <v>6</v>
      </c>
      <c r="R578" s="129">
        <f>IF(K578="","",_xlfn.XLOOKUP(K578,K$4:K577,R$4:R577,0,,-1)+IF($C578=" ",1,0))</f>
        <v>0</v>
      </c>
      <c r="S578" s="403"/>
      <c r="T578" s="380"/>
      <c r="U578" s="380"/>
      <c r="V578" s="481"/>
      <c r="W578" s="380"/>
      <c r="X578" s="452"/>
      <c r="Y578" s="383"/>
      <c r="Z578" s="384"/>
      <c r="AA578" s="384"/>
      <c r="AB578" s="384"/>
      <c r="AC578" s="384"/>
      <c r="AD578" s="130">
        <f>(((L578/(L578-1)-1)*(1-_xlfn.XLOOKUP(K578,'Fevereiro 2023 - Valor Real'!A3:A15,'Fevereiro 2023 - Valor Real'!C3:C15,0))+1))</f>
        <v>2.0101010101010099</v>
      </c>
      <c r="AE578" s="131">
        <f>IF(L578="","",IF(L579&gt;0,(SUM(((L577-1)*(1-_xlfn.XLOOKUP(K577,'Fevereiro 2023 - Valor Real'!A3:A15,'Fevereiro 2023 - Valor Real'!C3:C15,0))+1),((L578-1)*(1-_xlfn.XLOOKUP(K578,'Fevereiro 2023 - Valor Real'!A3:A15,'Fevereiro 2023 - Valor Real'!C3:C15,0))+1),((L579-1)*(1-_xlfn.XLOOKUP(K579,'Fevereiro 2023 - Valor Real'!A3:A15,'Fevereiro 2023 - Valor Real'!C3:C15,0))+1))/((L578-1)*(1-_xlfn.XLOOKUP(K578,'Fevereiro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Real'!C3:C15,0))+1))/((L577-1)*(1-_xlfn.XLOOKUP(K577,'Fevereiro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Real'!C3:C15,0))+1))/((L578-1)*(1-_xlfn.XLOOKUP(K578,'Fevereiro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Real'!C3:C15,0))+1))/((L579-1)*(1-_xlfn.XLOOKUP(K579,'Fevereiro 2023 - Valor Real'!A3:A15,'Fevereiro 2023 - Valor Real'!C3:C15,0))+1)),IF(I578="Lay",IF(I577="Lay",((L577/(L577-1)-1)*(1-_xlfn.XLOOKUP(K577,'Fevereiro 2023 - Valor Real'!A3:A15,'Fevereiro 2023 - Valor Real'!C3:C15,0))+1)/(((L577/(L577-1)-1)*(1-_xlfn.XLOOKUP(K577,'Fevereiro 2023 - Valor Real'!A3:A15,'Fevereiro 2023 - Valor Real'!C3:C15,0))+1)+((L578/(L578-1)-1)*(1-_xlfn.XLOOKUP(K578,'Fevereiro 2023 - Valor Real'!A3:A15,'Fevereiro 2023 - Valor Real'!C3:C15,0))+1)),((L577-1)*(1-_xlfn.XLOOKUP(K577,'Fevereiro 2023 - Valor Real'!A3:A15,'Fevereiro 2023 - Valor Real'!C3:C15,0))+1)/(((L577-1)*(1-_xlfn.XLOOKUP(K577,'Fevereiro 2023 - Valor Real'!A3:A15,'Fevereiro 2023 - Valor Real'!C3:C15,0))+1)+((L578/(L578-1)-1)*(1-_xlfn.XLOOKUP(K578,'Fevereiro 2023 - Valor Real'!A3:A15,'Fevereiro 2023 - Valor Real'!C3:C15,0))+1))),IF(I577="Lay",((L577/(L577-1)-1)*(1-_xlfn.XLOOKUP(K577,'Fevereiro 2023 - Valor Real'!A3:A15,'Fevereiro 2023 - Valor Real'!C3:C15,0))+1)/((((L577/(L577-1)-1)*(1-_xlfn.XLOOKUP(K577,'Fevereiro 2023 - Valor Real'!A3:A15,'Fevereiro 2023 - Valor Real'!C3:C15,0))+1))+((L578-1)*(1-_xlfn.XLOOKUP(K578,'Fevereiro 2023 - Valor Real'!A3:A15,'Fevereiro 2023 - Valor Real'!C3:C15,0))+1)),((L577-1)*(1-_xlfn.XLOOKUP(K577,'Fevereiro 2023 - Valor Real'!A3:A15,'Fevereiro 2023 - Valor Real'!C3:C15,0))+1)/(((L577-1)*(1-_xlfn.XLOOKUP(K577,'Fevereiro 2023 - Valor Real'!A3:A15,'Fevereiro 2023 - Valor Real'!C3:C15,0))+1)+((L578-1)*(1-_xlfn.XLOOKUP(K578,'Fevereiro 2023 - Valor Real'!A3:A15,'Fevereiro 2023 - Valor Real'!C3:C15,0))+1))))))</f>
        <v>0.56167400881057261</v>
      </c>
      <c r="AF578" s="105">
        <f t="shared" si="1144"/>
        <v>0</v>
      </c>
      <c r="AG578" s="106">
        <f t="shared" si="1144"/>
        <v>0</v>
      </c>
      <c r="AH578" s="106">
        <f t="shared" si="1144"/>
        <v>0</v>
      </c>
      <c r="AI578" s="106">
        <f t="shared" si="1144"/>
        <v>0</v>
      </c>
      <c r="AJ578" s="106">
        <f t="shared" si="1144"/>
        <v>0</v>
      </c>
      <c r="AK578" s="106">
        <f t="shared" si="1144"/>
        <v>0</v>
      </c>
      <c r="AL578" s="106">
        <f t="shared" si="1144"/>
        <v>0</v>
      </c>
      <c r="AM578" s="106">
        <f t="shared" si="1144"/>
        <v>-21.62</v>
      </c>
      <c r="AN578" s="106">
        <f t="shared" si="1144"/>
        <v>0</v>
      </c>
      <c r="AO578" s="106">
        <f t="shared" si="1144"/>
        <v>0</v>
      </c>
      <c r="AP578" s="106">
        <f t="shared" si="1144"/>
        <v>0</v>
      </c>
      <c r="AQ578" s="106">
        <f t="shared" si="1144"/>
        <v>0</v>
      </c>
      <c r="AR578" s="107">
        <f t="shared" si="1144"/>
        <v>0</v>
      </c>
      <c r="AS578" s="105">
        <f>IF(AND($B577=" ",$K578=AS$3),$O578,0)</f>
        <v>0</v>
      </c>
      <c r="AT578" s="106">
        <f>IF(AND($B577=" ",K578=AT$3),$O578,0)</f>
        <v>0</v>
      </c>
      <c r="AU578" s="106">
        <f t="shared" ref="AU578:BE578" si="1152">IF(AND($B577=" ",$K578=AU$3),$O578,0)</f>
        <v>0</v>
      </c>
      <c r="AV578" s="106">
        <f t="shared" si="1152"/>
        <v>0</v>
      </c>
      <c r="AW578" s="106">
        <f t="shared" si="1152"/>
        <v>0</v>
      </c>
      <c r="AX578" s="106">
        <f t="shared" si="1152"/>
        <v>0</v>
      </c>
      <c r="AY578" s="108">
        <f t="shared" si="1152"/>
        <v>0</v>
      </c>
      <c r="AZ578" s="109">
        <f t="shared" si="1152"/>
        <v>0</v>
      </c>
      <c r="BA578" s="109">
        <f t="shared" si="1152"/>
        <v>0</v>
      </c>
      <c r="BB578" s="109">
        <f t="shared" si="1152"/>
        <v>0</v>
      </c>
      <c r="BC578" s="110">
        <f t="shared" si="1152"/>
        <v>0</v>
      </c>
      <c r="BD578" s="106">
        <f t="shared" si="1152"/>
        <v>0</v>
      </c>
      <c r="BE578" s="107">
        <f t="shared" si="1152"/>
        <v>0</v>
      </c>
      <c r="BF578" s="105">
        <f t="shared" si="1146"/>
        <v>0</v>
      </c>
      <c r="BG578" s="106">
        <f t="shared" si="1146"/>
        <v>0</v>
      </c>
      <c r="BH578" s="106">
        <f t="shared" si="1146"/>
        <v>0</v>
      </c>
      <c r="BI578" s="106">
        <f t="shared" si="1146"/>
        <v>0</v>
      </c>
      <c r="BJ578" s="106">
        <f t="shared" si="1146"/>
        <v>0</v>
      </c>
      <c r="BK578" s="106">
        <f t="shared" si="1146"/>
        <v>0</v>
      </c>
      <c r="BL578" s="106">
        <f t="shared" si="1146"/>
        <v>0</v>
      </c>
      <c r="BM578" s="132">
        <f t="shared" si="1146"/>
        <v>21.62</v>
      </c>
      <c r="BN578" s="112">
        <f t="shared" si="1146"/>
        <v>0</v>
      </c>
      <c r="BO578" s="112">
        <f t="shared" si="1146"/>
        <v>0</v>
      </c>
      <c r="BP578" s="112">
        <f t="shared" si="1146"/>
        <v>0</v>
      </c>
      <c r="BQ578" s="110">
        <f t="shared" si="1146"/>
        <v>0</v>
      </c>
      <c r="BR578" s="107">
        <f t="shared" si="1146"/>
        <v>0</v>
      </c>
      <c r="BS578" s="464"/>
      <c r="BT578" s="461"/>
      <c r="BU578" s="392"/>
      <c r="BV578" s="461"/>
      <c r="BW578" s="392"/>
      <c r="BX578" s="392"/>
      <c r="BY578" s="392"/>
      <c r="BZ578" s="461"/>
      <c r="CA578" s="392"/>
      <c r="CB578" s="392"/>
      <c r="CC578" s="392"/>
      <c r="CD578" s="401"/>
      <c r="CE578" s="409"/>
      <c r="CF578" s="133">
        <f t="shared" si="1028"/>
        <v>0</v>
      </c>
      <c r="CG578" s="134">
        <f t="shared" si="1029"/>
        <v>0</v>
      </c>
      <c r="CH578" s="134">
        <f t="shared" si="1030"/>
        <v>0</v>
      </c>
      <c r="CI578" s="134">
        <f t="shared" si="1031"/>
        <v>0</v>
      </c>
      <c r="CJ578" s="134">
        <f t="shared" si="1032"/>
        <v>0</v>
      </c>
      <c r="CK578" s="134">
        <f t="shared" si="1033"/>
        <v>0</v>
      </c>
      <c r="CL578" s="134">
        <f t="shared" si="1034"/>
        <v>0</v>
      </c>
      <c r="CM578" s="134">
        <f t="shared" si="1035"/>
        <v>0</v>
      </c>
      <c r="CN578" s="134">
        <f t="shared" si="1036"/>
        <v>0</v>
      </c>
      <c r="CO578" s="134">
        <f t="shared" si="1037"/>
        <v>0</v>
      </c>
      <c r="CP578" s="134">
        <f t="shared" si="1038"/>
        <v>0</v>
      </c>
      <c r="CQ578" s="134">
        <f t="shared" si="1039"/>
        <v>0</v>
      </c>
      <c r="CR578" s="134">
        <f t="shared" si="1040"/>
        <v>0</v>
      </c>
      <c r="CS578" s="134">
        <f t="shared" si="1041"/>
        <v>0</v>
      </c>
      <c r="CT578" s="115">
        <f t="shared" si="1042"/>
        <v>0</v>
      </c>
      <c r="CU578" s="116">
        <f t="shared" si="1043"/>
        <v>1</v>
      </c>
      <c r="CV578" s="116">
        <f t="shared" si="1044"/>
        <v>0</v>
      </c>
      <c r="CW578" s="116">
        <f t="shared" si="1045"/>
        <v>0</v>
      </c>
      <c r="CX578" s="116">
        <f t="shared" si="1046"/>
        <v>0</v>
      </c>
      <c r="CY578" s="116">
        <f t="shared" si="1047"/>
        <v>0</v>
      </c>
      <c r="CZ578" s="116">
        <f t="shared" si="1048"/>
        <v>0</v>
      </c>
      <c r="DA578" s="116">
        <f t="shared" si="1049"/>
        <v>0</v>
      </c>
      <c r="DB578" s="116">
        <f t="shared" si="1050"/>
        <v>0</v>
      </c>
      <c r="DC578" s="116">
        <f t="shared" si="1051"/>
        <v>0</v>
      </c>
      <c r="DD578" s="116">
        <f t="shared" si="1052"/>
        <v>0</v>
      </c>
      <c r="DE578" s="117">
        <f t="shared" si="1053"/>
        <v>0</v>
      </c>
      <c r="DF578" s="118">
        <f t="shared" si="1056"/>
        <v>35</v>
      </c>
      <c r="DG578" s="106">
        <f t="shared" si="1057"/>
        <v>45.887999999999991</v>
      </c>
      <c r="DH578" s="116">
        <f t="shared" si="1058"/>
        <v>14</v>
      </c>
      <c r="DI578" s="106">
        <f t="shared" si="1059"/>
        <v>60.05</v>
      </c>
      <c r="DJ578" s="201" t="str">
        <f>IF($D577="","",$D577)</f>
        <v>16</v>
      </c>
      <c r="DK578" s="466"/>
    </row>
    <row r="579" spans="1:115" ht="14.5" customHeight="1" x14ac:dyDescent="0.2">
      <c r="A579" s="390"/>
      <c r="B579" s="457"/>
      <c r="C579" s="135" t="s">
        <v>53</v>
      </c>
      <c r="D579" s="375"/>
      <c r="E579" s="387"/>
      <c r="F579" s="378"/>
      <c r="G579" s="484"/>
      <c r="H579" s="477"/>
      <c r="I579" s="136"/>
      <c r="J579" s="137"/>
      <c r="K579" s="138"/>
      <c r="L579" s="139"/>
      <c r="M579" s="140"/>
      <c r="N579" s="407"/>
      <c r="O579" s="141" t="str">
        <f>IF(OR(AE577="",AE578=""),"",IF(L579&gt;0,ROUND(IF(M579&gt;0,M579,IF(M577&gt;0,ROUND((M577*AE579)/AE577,IF(N577=0,2,IF(N577=0.1,1,0))),IF(M578&gt;0,ROUND((M578*AE579)/AE578,IF(N577=0,2,IF(N577=0.1,1,0))),IF(M579&gt;0,M579,0)))),2),""))</f>
        <v/>
      </c>
      <c r="P579" s="142" t="str">
        <f>IF(I578="Lay",O578*(L578/(L578-1))-O578,IF(I577="Lay",O577*(L577/(L577-1))-O577,IF(OR(L579="",O579=""),"",IF($C579="1/2W",O579/2+O579/2*L579,IF($C579="1/2L",O579/2,(O579*L579-O579)*(1-_xlfn.XLOOKUP(K579,'Fevereiro 2023 - Valor Real'!A3:A15,'Fevereiro 2023 - Valor Real'!C3:C15,0))+O579)))))</f>
        <v/>
      </c>
      <c r="Q579" s="143" t="str">
        <f>IF(K579="","",IF(_xlfn.XLOOKUP(K579,K$4:K578,$DJ$4:DJ578,0,,-1)=DJ579,_xlfn.XLOOKUP(K579,K$4:K578,Q$4:Q578,1,,-1)+1,1))</f>
        <v/>
      </c>
      <c r="R579" s="144" t="str">
        <f>IF(K579="","",_xlfn.XLOOKUP(K579,K$4:K578,R$4:R578,0,,-1)+IF($C579=" ",1,0))</f>
        <v/>
      </c>
      <c r="S579" s="404"/>
      <c r="T579" s="378"/>
      <c r="U579" s="378"/>
      <c r="V579" s="404"/>
      <c r="W579" s="378"/>
      <c r="X579" s="453"/>
      <c r="Y579" s="383"/>
      <c r="Z579" s="384"/>
      <c r="AA579" s="384"/>
      <c r="AB579" s="384"/>
      <c r="AC579" s="384"/>
      <c r="AD579" s="145">
        <f>((L578/(L578-1)-1))</f>
        <v>1.0101010101010099</v>
      </c>
      <c r="AE579" s="146" t="str">
        <f>IF(L579="","",(SUM(((L577-1)*(1-_xlfn.XLOOKUP(K577,'Fevereiro 2023 - Valor Real'!A3:A15,'Fevereiro 2023 - Valor Real'!C3:C15,0))+1),((L578-1)*(1-_xlfn.XLOOKUP(K578,'Fevereiro 2023 - Valor Real'!A3:A15,'Fevereiro 2023 - Valor Real'!C3:C15,0))+1),((L579-1)*(1-_xlfn.XLOOKUP(K579,'Fevereiro 2023 - Valor Real'!A3:A15,'Fevereiro 2023 - Valor Real'!C3:C15,0))+1))/((L579-1)*(1-_xlfn.XLOOKUP(K579,'Fevereiro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Real'!C3:C15,0))+1))/((L577-1)*(1-_xlfn.XLOOKUP(K577,'Fevereiro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Real'!C3:C15,0))+1))/((L578-1)*(1-_xlfn.XLOOKUP(K578,'Fevereiro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Real'!C3:C15,0))+1))/((L579-1)*(1-_xlfn.XLOOKUP(K579,'Fevereiro 2023 - Valor Real'!A3:A15,'Fevereiro 2023 - Valor Real'!C3:C15,0))+1)))</f>
        <v/>
      </c>
      <c r="AF579" s="105">
        <f t="shared" si="1144"/>
        <v>0</v>
      </c>
      <c r="AG579" s="106">
        <f t="shared" si="1144"/>
        <v>0</v>
      </c>
      <c r="AH579" s="106">
        <f t="shared" si="1144"/>
        <v>0</v>
      </c>
      <c r="AI579" s="106">
        <f t="shared" si="1144"/>
        <v>0</v>
      </c>
      <c r="AJ579" s="106">
        <f t="shared" si="1144"/>
        <v>0</v>
      </c>
      <c r="AK579" s="106">
        <f t="shared" si="1144"/>
        <v>0</v>
      </c>
      <c r="AL579" s="106">
        <f t="shared" si="1144"/>
        <v>0</v>
      </c>
      <c r="AM579" s="106">
        <f t="shared" si="1144"/>
        <v>0</v>
      </c>
      <c r="AN579" s="106">
        <f t="shared" si="1144"/>
        <v>0</v>
      </c>
      <c r="AO579" s="106">
        <f t="shared" si="1144"/>
        <v>0</v>
      </c>
      <c r="AP579" s="106">
        <f t="shared" si="1144"/>
        <v>0</v>
      </c>
      <c r="AQ579" s="106">
        <f t="shared" si="1144"/>
        <v>0</v>
      </c>
      <c r="AR579" s="107">
        <f t="shared" si="1144"/>
        <v>0</v>
      </c>
      <c r="AS579" s="105">
        <f>IF(AND($B577=" ",$K579=AS$3),$O579,0)</f>
        <v>0</v>
      </c>
      <c r="AT579" s="106">
        <f>IF(AND($B577=" ",K579=AT$3),$O579,0)</f>
        <v>0</v>
      </c>
      <c r="AU579" s="106">
        <f t="shared" ref="AU579:BE579" si="1153">IF(AND($B577=" ",$K579=AU$3),$O579,0)</f>
        <v>0</v>
      </c>
      <c r="AV579" s="106">
        <f t="shared" si="1153"/>
        <v>0</v>
      </c>
      <c r="AW579" s="106">
        <f t="shared" si="1153"/>
        <v>0</v>
      </c>
      <c r="AX579" s="106">
        <f t="shared" si="1153"/>
        <v>0</v>
      </c>
      <c r="AY579" s="108">
        <f t="shared" si="1153"/>
        <v>0</v>
      </c>
      <c r="AZ579" s="109">
        <f t="shared" si="1153"/>
        <v>0</v>
      </c>
      <c r="BA579" s="109">
        <f t="shared" si="1153"/>
        <v>0</v>
      </c>
      <c r="BB579" s="109">
        <f t="shared" si="1153"/>
        <v>0</v>
      </c>
      <c r="BC579" s="110">
        <f t="shared" si="1153"/>
        <v>0</v>
      </c>
      <c r="BD579" s="106">
        <f t="shared" si="1153"/>
        <v>0</v>
      </c>
      <c r="BE579" s="107">
        <f t="shared" si="1153"/>
        <v>0</v>
      </c>
      <c r="BF579" s="105">
        <f t="shared" si="1146"/>
        <v>0</v>
      </c>
      <c r="BG579" s="106">
        <f t="shared" si="1146"/>
        <v>0</v>
      </c>
      <c r="BH579" s="106">
        <f t="shared" si="1146"/>
        <v>0</v>
      </c>
      <c r="BI579" s="106">
        <f t="shared" si="1146"/>
        <v>0</v>
      </c>
      <c r="BJ579" s="106">
        <f t="shared" si="1146"/>
        <v>0</v>
      </c>
      <c r="BK579" s="106">
        <f t="shared" si="1146"/>
        <v>0</v>
      </c>
      <c r="BL579" s="106">
        <f t="shared" si="1146"/>
        <v>0</v>
      </c>
      <c r="BM579" s="108">
        <f t="shared" si="1146"/>
        <v>0</v>
      </c>
      <c r="BN579" s="109">
        <f t="shared" si="1146"/>
        <v>0</v>
      </c>
      <c r="BO579" s="109">
        <f t="shared" si="1146"/>
        <v>0</v>
      </c>
      <c r="BP579" s="109">
        <f t="shared" si="1146"/>
        <v>0</v>
      </c>
      <c r="BQ579" s="110">
        <f t="shared" si="1146"/>
        <v>0</v>
      </c>
      <c r="BR579" s="107">
        <f t="shared" si="1146"/>
        <v>0</v>
      </c>
      <c r="BS579" s="464"/>
      <c r="BT579" s="461"/>
      <c r="BU579" s="392"/>
      <c r="BV579" s="461"/>
      <c r="BW579" s="392"/>
      <c r="BX579" s="392"/>
      <c r="BY579" s="392"/>
      <c r="BZ579" s="461"/>
      <c r="CA579" s="392"/>
      <c r="CB579" s="392"/>
      <c r="CC579" s="392"/>
      <c r="CD579" s="401"/>
      <c r="CE579" s="409"/>
      <c r="CF579" s="133">
        <f t="shared" si="1028"/>
        <v>0</v>
      </c>
      <c r="CG579" s="134">
        <f t="shared" si="1029"/>
        <v>0</v>
      </c>
      <c r="CH579" s="134">
        <f t="shared" si="1030"/>
        <v>0</v>
      </c>
      <c r="CI579" s="134">
        <f t="shared" si="1031"/>
        <v>0</v>
      </c>
      <c r="CJ579" s="134">
        <f t="shared" si="1032"/>
        <v>0</v>
      </c>
      <c r="CK579" s="134">
        <f t="shared" si="1033"/>
        <v>0</v>
      </c>
      <c r="CL579" s="134">
        <f t="shared" si="1034"/>
        <v>0</v>
      </c>
      <c r="CM579" s="134">
        <f t="shared" si="1035"/>
        <v>0</v>
      </c>
      <c r="CN579" s="134">
        <f t="shared" si="1036"/>
        <v>0</v>
      </c>
      <c r="CO579" s="134">
        <f t="shared" si="1037"/>
        <v>0</v>
      </c>
      <c r="CP579" s="134">
        <f t="shared" si="1038"/>
        <v>0</v>
      </c>
      <c r="CQ579" s="134">
        <f t="shared" si="1039"/>
        <v>0</v>
      </c>
      <c r="CR579" s="134">
        <f t="shared" si="1040"/>
        <v>0</v>
      </c>
      <c r="CS579" s="134">
        <f t="shared" si="1041"/>
        <v>0</v>
      </c>
      <c r="CT579" s="115">
        <f t="shared" si="1042"/>
        <v>0</v>
      </c>
      <c r="CU579" s="116">
        <f t="shared" si="1043"/>
        <v>0</v>
      </c>
      <c r="CV579" s="116">
        <f t="shared" si="1044"/>
        <v>0</v>
      </c>
      <c r="CW579" s="116">
        <f t="shared" si="1045"/>
        <v>0</v>
      </c>
      <c r="CX579" s="116">
        <f t="shared" si="1046"/>
        <v>0</v>
      </c>
      <c r="CY579" s="116">
        <f t="shared" si="1047"/>
        <v>0</v>
      </c>
      <c r="CZ579" s="116">
        <f t="shared" si="1048"/>
        <v>0</v>
      </c>
      <c r="DA579" s="116">
        <f t="shared" si="1049"/>
        <v>0</v>
      </c>
      <c r="DB579" s="116">
        <f t="shared" si="1050"/>
        <v>0</v>
      </c>
      <c r="DC579" s="116">
        <f t="shared" si="1051"/>
        <v>0</v>
      </c>
      <c r="DD579" s="116">
        <f t="shared" si="1052"/>
        <v>0</v>
      </c>
      <c r="DE579" s="117">
        <f t="shared" si="1053"/>
        <v>0</v>
      </c>
      <c r="DF579" s="118">
        <f t="shared" si="1056"/>
        <v>35</v>
      </c>
      <c r="DG579" s="106">
        <f t="shared" si="1057"/>
        <v>45.887999999999991</v>
      </c>
      <c r="DH579" s="116">
        <f t="shared" si="1058"/>
        <v>14</v>
      </c>
      <c r="DI579" s="106">
        <f t="shared" si="1059"/>
        <v>60.05</v>
      </c>
      <c r="DJ579" s="201" t="str">
        <f>IF($D577="","",$D577)</f>
        <v>16</v>
      </c>
      <c r="DK579" s="466"/>
    </row>
    <row r="580" spans="1:115" ht="14.5" customHeight="1" x14ac:dyDescent="0.2">
      <c r="A580" s="487">
        <f>$A577+1</f>
        <v>193</v>
      </c>
      <c r="B580" s="506" t="str">
        <f>IF(OR(C580="W",C581="W",C582="W",C580="1/2W",C581="1/2W",C582="1/2W",C580="1/2L",C581="1/2L",C582="1/2L"),"OK",IF(OR(C580="L",C581="L",C582="L"),"LOSS",IF(OR(C580="X",C581="X",C582="X"),"Anulado"," ")))</f>
        <v>OK</v>
      </c>
      <c r="C580" s="147" t="s">
        <v>55</v>
      </c>
      <c r="D580" s="494" t="str">
        <f>IF(G580="","",$D577)</f>
        <v>16</v>
      </c>
      <c r="E580" s="511" t="str">
        <f>IF(G580=""," ","– "&amp;COUNTIF(D$4:D582,$D580))</f>
        <v>– 25</v>
      </c>
      <c r="F580" s="510" t="str">
        <f ca="1">IF(G580="","",IF(OR(AND($C580&lt;&gt;" ",$C581=" "),AND($C581&lt;&gt;" ",$C580=" "),AND(L582&gt;0,OR(AND($C582&lt;&gt;" ",OR($C580=" ",$C581=" ")),AND($C582=" ",OR($C580&lt;&gt;" ",$C581&lt;&gt;" "))))),IF(SUM(F$4:F579)=0,1,LARGE(F$4:F579,1)+1),IF(MONTH(G580)=MONTH(TODAY()),IF(AND(DAY(G580)&lt;DAY(TODAY()),$B580=" "),IF(SUM(F$4:F579)=0,1,LARGE(F$4:F579,1)+1),IF($B580=" ",IF(AND(DAY(G580)=DAY(TODAY()),HOUR(G580)&lt;=HOUR(NOW())+1),IF(AND(HOUR(G580)+2&lt;=HOUR(NOW()),DAY(G580)&lt;=DAY(TODAY()),MINUTE(G580)&lt;=MINUTE(NOW())),IF(SUM(F$4:F579)=0,1,LARGE(F$4:F579,1)+1),IF(OR(MINUTE(G580)&lt;=MINUTE(NOW()),HOUR(G580)&lt;=HOUR(NOW())),"!!!","")),""),"")),"")))</f>
        <v/>
      </c>
      <c r="G580" s="508">
        <f>IF(H580="","",_xlfn.XLOOKUP(H580,$H$4:H579,$G$4:G579,""))</f>
        <v>45001.833333333336</v>
      </c>
      <c r="H580" s="502" t="s">
        <v>217</v>
      </c>
      <c r="I580" s="180" t="s">
        <v>76</v>
      </c>
      <c r="J580" s="181">
        <v>1</v>
      </c>
      <c r="K580" s="150" t="s">
        <v>43</v>
      </c>
      <c r="L580" s="151">
        <v>2.0499999999999998</v>
      </c>
      <c r="M580" s="152"/>
      <c r="N580" s="503">
        <v>0</v>
      </c>
      <c r="O580" s="153">
        <f>IF(OR(AE580="",AE581=""),"",ROUND(IF(L582&gt;0,IF(M580&gt;0,M580,IF(M581&gt;0,ROUND((M581*AE580)/AE581,IF(N580=0,2,IF(N580=0.1,1,0))),ROUND((M582*AE580)/AE582,IF(N580=0,2,IF(N580=0.1,1,0))))),IF(M580&gt;0,M580,ROUND((M581*AE580)/AE581,IF(N580=0,2,IF(N580=0.1,1,0))))),2))</f>
        <v>23.84</v>
      </c>
      <c r="P580" s="154">
        <f>IF(OR(L580="",O580=""),"",IF($C580="1/2W",O580/2+O580/2*L580,IF($C580="1/2L",O580/2,IF(I580="Lay",(O580*(L580/(L580-1))-O580)*(1-_xlfn.XLOOKUP(K580,'Fevereiro 2023 - Valor Real'!A3:A15,'Fevereiro 2023 - Valor Real'!C3:C15,0))+O580,(O580*L580-O580)*(1-_xlfn.XLOOKUP(K580,'Fevereiro 2023 - Valor Real'!A3:A15,'Fevereiro 2023 - Valor Real'!C3:C15,0))+O580))))</f>
        <v>48.871999999999993</v>
      </c>
      <c r="Q580" s="155">
        <f>IF(K580="","",IF(_xlfn.XLOOKUP(K580,K$9:K572,$DJ$9:DJ572,0,,-1)=DJ580,_xlfn.XLOOKUP(K580,K$9:K572,Q$9:Q572,1,,-1)+1,1))</f>
        <v>7</v>
      </c>
      <c r="R580" s="156">
        <f>IF(K580="","",_xlfn.XLOOKUP(K580,K$9:K572,R$9:R572,0,,-1)+IF($C580=" ",1,0))</f>
        <v>0</v>
      </c>
      <c r="S580" s="501">
        <f>IF($B580="Anulado",0,ROUND(IF(OR($B580="LOSS",$B580="OK"),IF(OR($C580="W",$C580="1/2W",$C580="1/2L"),P580-O580,IF($C580="L",-O580,0))+IF(OR($C581="W",$C581="1/2W",$C581="1/2L"),P581-O581,IF($C581="L",-O581,0))+IF(OR($C582="W",$C582="1/2W",$C582="1/2L"),P582-O582,IF($C582="L",-O582,0)),IF(AND(OR($C580="W",$C580="1/2W",$C580="1/2L"),C581="W"),P580+P581-SUM(O580:O582)+_xlfn.XLOOKUP("X",C580:C582,O580:O582,0),IF(AND(C580=TRUE,C582="W"),P580+P582-SUM(O580:O582),IF(AND(C581="W",C582="W"),P581+P582-SUM(O580:O582)+_xlfn.XLOOKUP("X",C580:C582,O580:O582,0),IF(L582&gt;0,IF(OR($C580="W",$C580="1/2W",$C580="1/2L"),P580-SUM(O580:O582)+_xlfn.XLOOKUP("X",C580:C582,O580:O582,0),IF(OR($C580="W",$C580="1/2W",$C580="1/2L"),P581-SUM(O580:O582)+_xlfn.XLOOKUP("X",C580:C582,O580:O582,0),IF(OR($C580="W",$C580="1/2W",$C580="1/2L"),P582-SUM(O580:O582)+_xlfn.XLOOKUP("X",C580:C582,O580:O582,0),IF(SUM(P580:P582)/3-SUM(O580:O582)+_xlfn.XLOOKUP("X",C580:C582,O580:O582,0)&gt;0,SUM(P580:P582)/3-SUM(O580:O582)+_xlfn.XLOOKUP("X",C580:C582,O580:O582,0),LARGE(P580:P582,1)-SUM(O580:O582))))),IF(OR($C580="W",$C580="1/2W",$C580="1/2L"),P580-SUM(O580:O581)+_xlfn.XLOOKUP("X",C580:C582,O580:O582,0),IF(OR($C580="W",$C580="1/2W",$C580="1/2L"),P581-SUM(O580:O581)+_xlfn.XLOOKUP("X",C580:C582,O580:O582,0),SUM(P580:P581)/2-SUM(O580:O581)+_xlfn.XLOOKUP("X",C580:C582,O580:O582,0)))))))),2))</f>
        <v>2.2999999999999998</v>
      </c>
      <c r="T580" s="486">
        <f>IF(S580=0,0,S580/SUM(O580:O582))</f>
        <v>4.9388018037363104E-2</v>
      </c>
      <c r="U580" s="496">
        <f>IF($D580=$D577,IF(OR($B580="LOSS",$B580="OK",$B580="Anulada"),S580,0)+U577,IF(OR($B580="LOSS",$B580="OK",$B580="Anulada"),S580,0))</f>
        <v>66.429999999999993</v>
      </c>
      <c r="V580" s="496">
        <f>IF($D580="",0,IF($D580=$D577,IF($B580=" ",IF(I582="",IF(OR(AND(I580="DNB1",I581="DNB2"),AND(OR(I580="DNB1",I580="DNB2"),J581=0),AND(OR(I581="DNB1",I581="DNB2"),J580=0),AND(I580="DNB2",I581="DNB1"),AND(IF(J580=0,(J580+1)/ROUND(J580+1,0),J580/ROUND(J580,0))=1,IF(J581=0,(J581+1)/ROUND(IF(J581="",0,J581)+1,0),IF(J581="",0,J581)/ROUND(IF(J581="",1,J581),0))=1,OR(J580&lt;&gt;""),J581&lt;&gt;"")),0,IF(S580&lt;0,IF(I582="",SMALL(P580:P581,1)-SUM(O580:O581),0),SMALL(P580:P581,1)-SUM(O580:O581))),IF(S580&lt;0,IF(I582="",SMALL(P580:P582,1)-SUM(O580:O582),0),LARGE(P580:P582,1)-SUM(O580:O582))),S580)+V577,IF(I582="",IF(OR(AND(I580="DNB1",I581="DNB2"),AND(OR(I580="DNB1",I580="DNB2"),J581=0),AND(OR(I581="DNB1",I581="DNB2"),J580=0),AND(I580="DNB2",I581="DNB1"),AND(IF(J580=0,(J580+1)/ROUND(J580+1,0),J580/ROUND(J580,0))=1,IF(J581=0,(IF(J581="",0,J581)+1)/ROUND(IF(J581="",0,J581)+1,0),IF(J581="",0,J581)/ROUND(IF(J581="",0,J581)+1,0))=1,OR(J580&lt;&gt;""),J581&lt;&gt;"")),0,IF(S580&lt;0,IF(I582="",SMALL(P580:P581,1)-SUM(O580:O581),0),SMALL(P580:P582,1)-SUM(O580:O582))),IF(S580&lt;0,IF(I582="",SMALL(P580:P582,1)-SUM(O580:O582),0),LARGE(P580:P582,1)-SUM(O580:O582)))))</f>
        <v>66.42519999999999</v>
      </c>
      <c r="W580" s="496">
        <f>IF($D580=$D577,IF(S580&lt;0,IF(I582="",S580,0),S580)+W577,S580)</f>
        <v>66.429999999999993</v>
      </c>
      <c r="X580" s="505" t="str">
        <f>IF(OR(SUM(R580:R582)=0,V580=W580),ROUND(IF(W580=0,0,W580/Y580)*100,2)&amp;"%",ROUND(IF(V580=0,0,V580/Y580)*100,2)&amp;"% a "&amp;ROUND(IF(W580=0,0,W580/Y580)*100,2)&amp;"%")</f>
        <v>7%</v>
      </c>
      <c r="Y580" s="497">
        <f>IF($D580=$D577,Y577+SUM(O580:O582),SUM(O580:O582))</f>
        <v>949.04000000000008</v>
      </c>
      <c r="Z580" s="496">
        <f>IF($B580=" ",SUM(O580:O582),0)+Z577</f>
        <v>0</v>
      </c>
      <c r="AA580" s="496">
        <f>IF(G580="","",IF($B580="Anulado",LARGE(P580:P582,1)-SUM(O580:O582)+AA577,AA577))</f>
        <v>12.425099999999992</v>
      </c>
      <c r="AB580" s="496">
        <f>IF($D580="","",AB577+S580)</f>
        <v>664.53000000000054</v>
      </c>
      <c r="AC580" s="499">
        <f ca="1">IF($D580="","",IF($B580=" ",IF(DAY(G580)=DAY(TODAY()),1+AC577,0+AC577),0+AC577))</f>
        <v>0</v>
      </c>
      <c r="AD580" s="157">
        <f>(1-_xlfn.XLOOKUP(K578,'Fevereiro 2023 - Valor Real'!A3:A15,'Fevereiro 2023 - Valor Real'!C3:C15,0))+1</f>
        <v>2</v>
      </c>
      <c r="AE580" s="158">
        <f>IF(L580="","",IF(L582&gt;0,(SUM(((L580-1)*(1-_xlfn.XLOOKUP(K580,'Fevereiro 2023 - Valor Real'!A3:A15,'Fevereiro 2023 - Valor Real'!C3:C15,0))+1),((L581-1)*(1-_xlfn.XLOOKUP(K581,'Fevereiro 2023 - Valor Real'!A3:A15,'Fevereiro 2023 - Valor Real'!C3:C15,0))+1),((L582-1)*(1-_xlfn.XLOOKUP(K582,'Fevereiro 2023 - Valor Real'!A3:A15,'Fevereiro 2023 - Valor Real'!C3:C15,0))+1))/((L580-1)*(1-_xlfn.XLOOKUP(K580,'Fevereiro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Real'!C3:C15,0))+1))/((L580-1)*(1-_xlfn.XLOOKUP(K580,'Fevereiro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Real'!C3:C15,0))+1))/((L581-1)*(1-_xlfn.XLOOKUP(K581,'Fevereiro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Real'!C3:C15,0))+1))/((L582-1)*(1-_xlfn.XLOOKUP(K582,'Fevereiro 2023 - Valor Real'!A3:A15,'Fevereiro 2023 - Valor Real'!C3:C15,0))+1)),IF(I580="Lay",IF(I581="Lay",((L581/(L581-1)-1)*(1-_xlfn.XLOOKUP(K581,'Fevereiro 2023 - Valor Real'!A3:A15,'Fevereiro 2023 - Valor Real'!C3:C15,0))+1)/(((L581/(L581-1)-1)*(1-_xlfn.XLOOKUP(K581,'Fevereiro 2023 - Valor Real'!A3:A15,'Fevereiro 2023 - Valor Real'!C3:C15,0))+1)+((L580/(L580-1)-1)*(1-_xlfn.XLOOKUP(K580,'Fevereiro 2023 - Valor Real'!A3:A15,'Fevereiro 2023 - Valor Real'!C3:C15,0))+1)),((L581-1)*(1-_xlfn.XLOOKUP(K581,'Fevereiro 2023 - Valor Real'!A3:A15,'Fevereiro 2023 - Valor Real'!C3:C15,0))+1)/(((L581-1)*(1-_xlfn.XLOOKUP(K581,'Fevereiro 2023 - Valor Real'!A3:A15,'Fevereiro 2023 - Valor Real'!C3:C15,0))+1)+((L580/(L580-1)-1)*(1-_xlfn.XLOOKUP(K580,'Fevereiro 2023 - Valor Real'!A3:A15,'Fevereiro 2023 - Valor Real'!C3:C15,0))+1))),IF(I581="Lay",(((L581/(L581-1)-1)*(1-_xlfn.XLOOKUP(K581,'Fevereiro 2023 - Valor Real'!A3:A15,'Fevereiro 2023 - Valor Real'!C3:C15,0))+1))/(((L580-1)*(1-_xlfn.XLOOKUP(K580,'Fevereiro 2023 - Valor Real'!A3:A15,'Fevereiro 2023 - Valor Real'!C3:C15,0))+1)+((L581/(L581-1)-1)*(1-_xlfn.XLOOKUP(K581,'Fevereiro 2023 - Valor Real'!A3:A15,'Fevereiro 2023 - Valor Real'!C3:C15,0))+1)),((L581-1)*(1-_xlfn.XLOOKUP(K581,'Fevereiro 2023 - Valor Real'!A3:A15,'Fevereiro 2023 - Valor Real'!C3:C15,0))+1)/(((L581-1)*(1-_xlfn.XLOOKUP(K581,'Fevereiro 2023 - Valor Real'!A3:A15,'Fevereiro 2023 - Valor Real'!C3:C15,0))+1)+((L580-1)*(1-_xlfn.XLOOKUP(K580,'Fevereiro 2023 - Valor Real'!A3:A15,'Fevereiro 2023 - Valor Real'!C3:C15,0))+1))))))</f>
        <v>0.51190476190476197</v>
      </c>
      <c r="AF580" s="66">
        <f t="shared" si="1144"/>
        <v>0</v>
      </c>
      <c r="AG580" s="67">
        <f t="shared" si="1144"/>
        <v>0</v>
      </c>
      <c r="AH580" s="67">
        <f t="shared" si="1144"/>
        <v>0</v>
      </c>
      <c r="AI580" s="67">
        <f t="shared" si="1144"/>
        <v>0</v>
      </c>
      <c r="AJ580" s="67">
        <f t="shared" si="1144"/>
        <v>0</v>
      </c>
      <c r="AK580" s="67">
        <f t="shared" si="1144"/>
        <v>0</v>
      </c>
      <c r="AL580" s="67">
        <f t="shared" si="1144"/>
        <v>0</v>
      </c>
      <c r="AM580" s="67">
        <f t="shared" si="1144"/>
        <v>-23.84</v>
      </c>
      <c r="AN580" s="67">
        <f t="shared" si="1144"/>
        <v>0</v>
      </c>
      <c r="AO580" s="67">
        <f t="shared" si="1144"/>
        <v>0</v>
      </c>
      <c r="AP580" s="67">
        <f t="shared" si="1144"/>
        <v>0</v>
      </c>
      <c r="AQ580" s="67">
        <f t="shared" si="1144"/>
        <v>0</v>
      </c>
      <c r="AR580" s="68">
        <f t="shared" si="1144"/>
        <v>0</v>
      </c>
      <c r="AS580" s="66">
        <f t="shared" ref="AS580:BE580" si="1154">IF(AND($B580=" ",$K580=AS$3),$O580,0)</f>
        <v>0</v>
      </c>
      <c r="AT580" s="67">
        <f t="shared" si="1154"/>
        <v>0</v>
      </c>
      <c r="AU580" s="67">
        <f t="shared" si="1154"/>
        <v>0</v>
      </c>
      <c r="AV580" s="67">
        <f t="shared" si="1154"/>
        <v>0</v>
      </c>
      <c r="AW580" s="67">
        <f t="shared" si="1154"/>
        <v>0</v>
      </c>
      <c r="AX580" s="67">
        <f t="shared" si="1154"/>
        <v>0</v>
      </c>
      <c r="AY580" s="69">
        <f t="shared" si="1154"/>
        <v>0</v>
      </c>
      <c r="AZ580" s="70">
        <f t="shared" si="1154"/>
        <v>0</v>
      </c>
      <c r="BA580" s="70">
        <f t="shared" si="1154"/>
        <v>0</v>
      </c>
      <c r="BB580" s="70">
        <f t="shared" si="1154"/>
        <v>0</v>
      </c>
      <c r="BC580" s="71">
        <f t="shared" si="1154"/>
        <v>0</v>
      </c>
      <c r="BD580" s="67">
        <f t="shared" si="1154"/>
        <v>0</v>
      </c>
      <c r="BE580" s="68">
        <f t="shared" si="1154"/>
        <v>0</v>
      </c>
      <c r="BF580" s="66">
        <f t="shared" si="1146"/>
        <v>0</v>
      </c>
      <c r="BG580" s="67">
        <f t="shared" si="1146"/>
        <v>0</v>
      </c>
      <c r="BH580" s="67">
        <f t="shared" si="1146"/>
        <v>0</v>
      </c>
      <c r="BI580" s="67">
        <f t="shared" si="1146"/>
        <v>0</v>
      </c>
      <c r="BJ580" s="67">
        <f t="shared" si="1146"/>
        <v>0</v>
      </c>
      <c r="BK580" s="67">
        <f t="shared" si="1146"/>
        <v>0</v>
      </c>
      <c r="BL580" s="67">
        <f t="shared" si="1146"/>
        <v>0</v>
      </c>
      <c r="BM580" s="69">
        <f t="shared" si="1146"/>
        <v>23.84</v>
      </c>
      <c r="BN580" s="70">
        <f t="shared" si="1146"/>
        <v>0</v>
      </c>
      <c r="BO580" s="70">
        <f t="shared" si="1146"/>
        <v>0</v>
      </c>
      <c r="BP580" s="70">
        <f t="shared" si="1146"/>
        <v>0</v>
      </c>
      <c r="BQ580" s="71">
        <f t="shared" si="1146"/>
        <v>0</v>
      </c>
      <c r="BR580" s="68">
        <f t="shared" si="1146"/>
        <v>0</v>
      </c>
      <c r="BS580" s="490">
        <f>IF($B580="LOSS",IF(AND($K580=BS$3,$C580="L"),-$O580,0)+IF(AND($K581=BS$3,$C581="L"),-$O581,0)+IF(AND($K582=BS$3,$C582="L"),-$O582,0),IF(OR(AND($K580=BS$3,OR($C580="W",$C580="1/2W")),AND($K581=BS$3,OR($C581="W",$C581="1/2W")),AND($K582=BS$3,OR($C582="W",$C582="1/2W"))),$S580,0))</f>
        <v>0</v>
      </c>
      <c r="BT580" s="498">
        <f>IF($B580="LOSS",IF(AND($K580=BT$3,$C580="L"),-$O580,0)+IF(AND($K581=BT$3,$C581="L"),-$O581,0)+IF(AND($K581=BT$3,$C582="L"),-$O582,0),IF(OR(AND($K581=BT$3,OR($C580="W",$C580="1/2W")),AND($K581=BT$3,OR($C581="W",$C581="1/2W")),AND($K581=BT$3,OR($C582="W",$C582="1/2W"))),$S580,0))</f>
        <v>0</v>
      </c>
      <c r="BU580" s="488">
        <f>IF($B580="LOSS",IF(AND($K580=BU$3,$C580="L"),-$O580,0)+IF(AND($K581=BU$3,$C581="L"),-$O581,0)+IF(AND($K581=BU$3,$C582="L"),-$O582,0),IF(OR(AND($K581=BU$3,OR($C580="W",$C580="1/2W")),AND($K581=BU$3,OR($C581="W",$C581="1/2W")),AND($K581=BU$3,OR($C582="W",$C582="1/2W"))),$S580,0))</f>
        <v>0</v>
      </c>
      <c r="BV580" s="488">
        <f t="shared" ref="BV580:CE580" si="1155">IF($B580="LOSS",IF(AND($K580=BV$3,$C580="L"),-$O580,0)+IF(AND($K581=BV$3,$C581="L"),-$O581,0)+IF(AND($K582=BV$3,$C582="L"),-$O582,0),IF(OR(AND($K580=BV$3,OR($C580="W",$C580="1/2W")),AND($K581=BV$3,OR($C581="W",$C581="1/2W")),AND($K582=BV$3,OR($C582="W",$C582="1/2W"))),$S580,0))</f>
        <v>0</v>
      </c>
      <c r="BW580" s="488">
        <f t="shared" si="1155"/>
        <v>0</v>
      </c>
      <c r="BX580" s="488">
        <f t="shared" si="1155"/>
        <v>0</v>
      </c>
      <c r="BY580" s="488">
        <f t="shared" si="1155"/>
        <v>0</v>
      </c>
      <c r="BZ580" s="488">
        <f t="shared" si="1155"/>
        <v>0</v>
      </c>
      <c r="CA580" s="488">
        <f t="shared" si="1155"/>
        <v>0</v>
      </c>
      <c r="CB580" s="488">
        <f t="shared" si="1155"/>
        <v>0</v>
      </c>
      <c r="CC580" s="488">
        <f t="shared" si="1155"/>
        <v>0</v>
      </c>
      <c r="CD580" s="500">
        <f t="shared" si="1155"/>
        <v>2.2999999999999998</v>
      </c>
      <c r="CE580" s="504">
        <f t="shared" si="1155"/>
        <v>0</v>
      </c>
      <c r="CF580" s="160">
        <f t="shared" ref="CF580:CF643" si="1156">IF(CF$3=$K580,IF($C580="W",1,IF($C580="1/2W",0.5,0)),0)</f>
        <v>0</v>
      </c>
      <c r="CG580" s="161">
        <f t="shared" ref="CG580:CG643" si="1157">IF(CF$3=$K580,IF($C580="L",1,IF($C580="1/2L",0.5,0)),0)</f>
        <v>0</v>
      </c>
      <c r="CH580" s="161">
        <f t="shared" ref="CH580:CH643" si="1158">IF(CH$3=$K580,IF($C580="W",1,IF($C580="1/2W",0.5,0)),0)</f>
        <v>0</v>
      </c>
      <c r="CI580" s="161">
        <f t="shared" ref="CI580:CI643" si="1159">IF(CH$3=$K580,IF($C580="L",1,IF($C580="1/2L",0.5,0)),0)</f>
        <v>0</v>
      </c>
      <c r="CJ580" s="161">
        <f t="shared" ref="CJ580:CJ643" si="1160">IF(CJ$3=$K580,IF($C580="W",1,IF($C580="1/2W",0.5,0)),0)</f>
        <v>0</v>
      </c>
      <c r="CK580" s="161">
        <f t="shared" ref="CK580:CK643" si="1161">IF(CJ$3=$K580,IF($C580="L",1,IF($C580="1/2L",0.5,0)),0)</f>
        <v>0</v>
      </c>
      <c r="CL580" s="161">
        <f t="shared" ref="CL580:CL643" si="1162">IF(CL$3=$K580,IF($C580="W",1,IF($C580="1/2W",0.5,0)),0)</f>
        <v>0</v>
      </c>
      <c r="CM580" s="161">
        <f t="shared" ref="CM580:CM643" si="1163">IF(CL$3=$K580,IF($C580="L",1,IF($C580="1/2L",0.5,0)),0)</f>
        <v>0</v>
      </c>
      <c r="CN580" s="161">
        <f t="shared" ref="CN580:CN643" si="1164">IF(CN$3=$K580,IF($C580="W",1,IF($C580="1/2W",0.5,0)),0)</f>
        <v>0</v>
      </c>
      <c r="CO580" s="161">
        <f t="shared" ref="CO580:CO643" si="1165">IF(CN$3=$K580,IF($C580="L",1,IF($C580="1/2L",0.5,0)),0)</f>
        <v>0</v>
      </c>
      <c r="CP580" s="161">
        <f t="shared" ref="CP580:CP643" si="1166">IF(CP$3=$K580,IF($C580="W",1,IF($C580="1/2W",0.5,0)),0)</f>
        <v>0</v>
      </c>
      <c r="CQ580" s="161">
        <f t="shared" ref="CQ580:CQ643" si="1167">IF(CP$3=$K580,IF($C580="L",1,IF($C580="1/2L",0.5,0)),0)</f>
        <v>0</v>
      </c>
      <c r="CR580" s="161">
        <f t="shared" ref="CR580:CR643" si="1168">IF(CR$3=$K580,IF($C580="W",1,IF($C580="1/2W",0.5,0)),0)</f>
        <v>0</v>
      </c>
      <c r="CS580" s="161">
        <f t="shared" ref="CS580:CS643" si="1169">IF(CR$3=$K580,IF($C580="L",1,IF($C580="1/2L",0.5,0)),0)</f>
        <v>0</v>
      </c>
      <c r="CT580" s="75">
        <f t="shared" ref="CT580:CT643" si="1170">IF(CT$3=$K580,IF($C580="W",1,IF($C580="1/2W",0.5,0)),0)</f>
        <v>0</v>
      </c>
      <c r="CU580" s="76">
        <f t="shared" ref="CU580:CU643" si="1171">IF(CT$3=$K580,IF($C580="L",1,IF($C580="1/2L",0.5,0)),0)</f>
        <v>1</v>
      </c>
      <c r="CV580" s="76">
        <f t="shared" ref="CV580:CV643" si="1172">IF(CV$3=$K580,IF($C580="W",1,IF($C580="1/2W",0.5,0)),0)</f>
        <v>0</v>
      </c>
      <c r="CW580" s="76">
        <f t="shared" ref="CW580:CW643" si="1173">IF(CV$3=$K580,IF($C580="L",1,IF($C580="1/2L",0.5,0)),0)</f>
        <v>0</v>
      </c>
      <c r="CX580" s="76">
        <f t="shared" ref="CX580:CX643" si="1174">IF(CX$3=$K580,IF($C580="W",1,IF($C580="1/2W",0.5,0)),0)</f>
        <v>0</v>
      </c>
      <c r="CY580" s="76">
        <f t="shared" ref="CY580:CY643" si="1175">IF(CX$3=$K580,IF($C580="L",1,IF($C580="1/2L",0.5,0)),0)</f>
        <v>0</v>
      </c>
      <c r="CZ580" s="76">
        <f t="shared" ref="CZ580:CZ643" si="1176">IF(CZ$3=$K580,IF($C580="W",1,IF($C580="1/2W",0.5,0)),0)</f>
        <v>0</v>
      </c>
      <c r="DA580" s="76">
        <f t="shared" ref="DA580:DA643" si="1177">IF(CZ$3=$K580,IF($C580="L",1,IF($C580="1/2L",0.5,0)),0)</f>
        <v>0</v>
      </c>
      <c r="DB580" s="76">
        <f t="shared" ref="DB580:DB643" si="1178">IF(DB$3=$K580,IF($C580="W",1,IF($C580="1/2W",0.5,0)),0)</f>
        <v>0</v>
      </c>
      <c r="DC580" s="76">
        <f t="shared" ref="DC580:DC643" si="1179">IF(DB$3=$K580,IF($C580="L",1,IF($C580="1/2L",0.5,0)),0)</f>
        <v>0</v>
      </c>
      <c r="DD580" s="76">
        <f t="shared" ref="DD580:DD643" si="1180">IF(DD$3=$K580,IF($C580="W",1,IF($C580="1/2W",0.5,0)),0)</f>
        <v>0</v>
      </c>
      <c r="DE580" s="77">
        <f t="shared" ref="DE580:DE643" si="1181">IF(DD$3=$K580,IF($C580="L",1,IF($C580="1/2L",0.5,0)),0)</f>
        <v>0</v>
      </c>
      <c r="DF580" s="73">
        <f t="shared" si="1056"/>
        <v>35</v>
      </c>
      <c r="DG580" s="67">
        <f t="shared" si="1057"/>
        <v>45.887999999999991</v>
      </c>
      <c r="DH580" s="76">
        <f t="shared" si="1058"/>
        <v>14</v>
      </c>
      <c r="DI580" s="67">
        <f t="shared" si="1059"/>
        <v>60.05</v>
      </c>
      <c r="DJ580" s="202" t="str">
        <f>IF($D580="","",$D580)</f>
        <v>16</v>
      </c>
      <c r="DK580" s="492">
        <f>IF(AND($B580=" ",$D580&lt;&gt;""),1,0)</f>
        <v>0</v>
      </c>
    </row>
    <row r="581" spans="1:115" ht="14.5" customHeight="1" x14ac:dyDescent="0.2">
      <c r="A581" s="389"/>
      <c r="B581" s="456"/>
      <c r="C581" s="53" t="s">
        <v>54</v>
      </c>
      <c r="D581" s="374"/>
      <c r="E581" s="386"/>
      <c r="F581" s="377"/>
      <c r="G581" s="508"/>
      <c r="H581" s="476"/>
      <c r="I581" s="182" t="s">
        <v>66</v>
      </c>
      <c r="J581" s="56">
        <f>IF(OR(I580="TO",I580="TU",I580="TO1",I580="TU1",I580="TO2",I580="TU2"),J580,IF(OR(I580="AH1",I580="AH2"),IF(OR(I581="AH1",I581="AH2"),-J580,IF(OR(I581="EH1",I581="EH2"),-J580+0.5,"")),IF(OR(I580="EH1",I580="EH2"),IF(OR(I581="AH1",I581="AH2"),-J580+0.5,IF(OR(I581="EH1",I581="EH2"),-J580+1,"")),IF(AND(OR(I580="DNB1",I580="DNB2"),OR(I581="AH1",I581="AH2")),0,IF(AND(I580="Not ScoreBoth",OR(I581="TO1",I581="TO2")),0.5,"")))))</f>
        <v>-1</v>
      </c>
      <c r="K581" s="57" t="s">
        <v>47</v>
      </c>
      <c r="L581" s="164">
        <v>2.15</v>
      </c>
      <c r="M581" s="165">
        <v>22.73</v>
      </c>
      <c r="N581" s="406"/>
      <c r="O581" s="60">
        <f>IF(OR(AE580="",AE581=""),"",ROUND(IF(L582&gt;0,IF(M581&gt;0,M581,IF(M580&gt;0,IF(N580=TRUE,ROUND((M580*AE581)/AE580,0),(M580*AE581)/AE580),IF(M581&gt;0,ROUND(M581,IF(N580=0,2,IF(N580=0.1,1,0))),IF(M582&gt;0,ROUND(O582*AE581/AE582,IF(N580=0,2,IF(N580=0.1,1,0))),0)))),IF(M581&gt;0,M581,ROUND((M580*AE581)/AE580,IF(N580=0,2,IF(N580=0.1,1,0))))),2))</f>
        <v>22.73</v>
      </c>
      <c r="P581" s="61">
        <f>IF(OR(L581="",O581=""),"",IF($C581="1/2W",O581/2+O581/2*L581,IF($C581="1/2L",O581/2,IF(I581="Lay",((O581*(L581/(L581-1)))-O581)*(1-_xlfn.XLOOKUP(K581,'Fevereiro 2023 - Valor Real'!A3:A15,'Fevereiro 2023 - Valor Real'!C3:C15,0))+O581,(O581*L581-O581)*(1-_xlfn.XLOOKUP(K581,'Fevereiro 2023 - Valor Real'!A3:A15,'Fevereiro 2023 - Valor Real'!C3:C15,0))+O581))))</f>
        <v>48.869500000000002</v>
      </c>
      <c r="Q581" s="166">
        <f>IF(K581="","",IF(_xlfn.XLOOKUP(K581,K$10:K572,$DJ$10:DJ572,0,,-1)=DJ581,_xlfn.XLOOKUP(K581,K$10:K572,Q$10:Q572,1,,-1)+1,1))</f>
        <v>7</v>
      </c>
      <c r="R581" s="167">
        <f>IF(K581="","",_xlfn.XLOOKUP(K581,K$10:K572,R$10:R572,0,,-1)+IF($C581=" ",1,0))</f>
        <v>0</v>
      </c>
      <c r="S581" s="403"/>
      <c r="T581" s="380"/>
      <c r="U581" s="380"/>
      <c r="V581" s="481"/>
      <c r="W581" s="380"/>
      <c r="X581" s="452"/>
      <c r="Y581" s="383"/>
      <c r="Z581" s="384"/>
      <c r="AA581" s="384"/>
      <c r="AB581" s="384"/>
      <c r="AC581" s="384"/>
      <c r="AD581" s="64"/>
      <c r="AE581" s="65">
        <f>IF(L581="","",IF(L582&gt;0,(SUM(((L580-1)*(1-_xlfn.XLOOKUP(K580,'Fevereiro 2023 - Valor Real'!A3:A15,'Fevereiro 2023 - Valor Real'!C3:C15,0))+1),((L581-1)*(1-_xlfn.XLOOKUP(K581,'Fevereiro 2023 - Valor Real'!A3:A15,'Fevereiro 2023 - Valor Real'!C3:C15,0))+1),((L582-1)*(1-_xlfn.XLOOKUP(K582,'Fevereiro 2023 - Valor Real'!A3:A15,'Fevereiro 2023 - Valor Real'!C3:C15,0))+1))/((L581-1)*(1-_xlfn.XLOOKUP(K581,'Fevereiro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Real'!C3:C15,0))+1))/((L580-1)*(1-_xlfn.XLOOKUP(K580,'Fevereiro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Real'!C3:C15,0))+1))/((L581-1)*(1-_xlfn.XLOOKUP(K581,'Fevereiro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Real'!C3:C15,0))+1))/((L582-1)*(1-_xlfn.XLOOKUP(K582,'Fevereiro 2023 - Valor Real'!A3:A15,'Fevereiro 2023 - Valor Real'!C3:C15,0))+1)),IF(I581="Lay",IF(I580="Lay",((L580/(L580-1)-1)*(1-_xlfn.XLOOKUP(K580,'Fevereiro 2023 - Valor Real'!A3:A15,'Fevereiro 2023 - Valor Real'!C3:C15,0))+1)/(((L580/(L580-1)-1)*(1-_xlfn.XLOOKUP(K580,'Fevereiro 2023 - Valor Real'!A3:A15,'Fevereiro 2023 - Valor Real'!C3:C15,0))+1)+((L581/(L581-1)-1)*(1-_xlfn.XLOOKUP(K581,'Fevereiro 2023 - Valor Real'!A3:A15,'Fevereiro 2023 - Valor Real'!C3:C15,0))+1)),((L580-1)*(1-_xlfn.XLOOKUP(K580,'Fevereiro 2023 - Valor Real'!A3:A15,'Fevereiro 2023 - Valor Real'!C3:C15,0))+1)/(((L580-1)*(1-_xlfn.XLOOKUP(K580,'Fevereiro 2023 - Valor Real'!A3:A15,'Fevereiro 2023 - Valor Real'!C3:C15,0))+1)+((L581/(L581-1)-1)*(1-_xlfn.XLOOKUP(K581,'Fevereiro 2023 - Valor Real'!A3:A15,'Fevereiro 2023 - Valor Real'!C3:C15,0))+1))),IF(I580="Lay",((L580/(L580-1)-1)*(1-_xlfn.XLOOKUP(K580,'Fevereiro 2023 - Valor Real'!A3:A15,'Fevereiro 2023 - Valor Real'!C3:C15,0))+1)/((((L580/(L580-1)-1)*(1-_xlfn.XLOOKUP(K580,'Fevereiro 2023 - Valor Real'!A3:A15,'Fevereiro 2023 - Valor Real'!C3:C15,0))+1))+((L581-1)*(1-_xlfn.XLOOKUP(K581,'Fevereiro 2023 - Valor Real'!A3:A15,'Fevereiro 2023 - Valor Real'!C3:C15,0))+1)),((L580-1)*(1-_xlfn.XLOOKUP(K580,'Fevereiro 2023 - Valor Real'!A3:A15,'Fevereiro 2023 - Valor Real'!C3:C15,0))+1)/(((L580-1)*(1-_xlfn.XLOOKUP(K580,'Fevereiro 2023 - Valor Real'!A3:A15,'Fevereiro 2023 - Valor Real'!C3:C15,0))+1)+((L581-1)*(1-_xlfn.XLOOKUP(K581,'Fevereiro 2023 - Valor Real'!A3:A15,'Fevereiro 2023 - Valor Real'!C3:C15,0))+1))))))</f>
        <v>0.48809523809523814</v>
      </c>
      <c r="AF581" s="66">
        <f t="shared" si="1144"/>
        <v>0</v>
      </c>
      <c r="AG581" s="67">
        <f t="shared" si="1144"/>
        <v>0</v>
      </c>
      <c r="AH581" s="67">
        <f t="shared" si="1144"/>
        <v>0</v>
      </c>
      <c r="AI581" s="67">
        <f t="shared" si="1144"/>
        <v>0</v>
      </c>
      <c r="AJ581" s="67">
        <f t="shared" si="1144"/>
        <v>0</v>
      </c>
      <c r="AK581" s="67">
        <f t="shared" si="1144"/>
        <v>0</v>
      </c>
      <c r="AL581" s="67">
        <f t="shared" si="1144"/>
        <v>0</v>
      </c>
      <c r="AM581" s="67">
        <f t="shared" si="1144"/>
        <v>0</v>
      </c>
      <c r="AN581" s="67">
        <f t="shared" si="1144"/>
        <v>0</v>
      </c>
      <c r="AO581" s="67">
        <f t="shared" si="1144"/>
        <v>0</v>
      </c>
      <c r="AP581" s="67">
        <f t="shared" si="1144"/>
        <v>0</v>
      </c>
      <c r="AQ581" s="67">
        <f t="shared" si="1144"/>
        <v>26.14</v>
      </c>
      <c r="AR581" s="68">
        <f t="shared" si="1144"/>
        <v>0</v>
      </c>
      <c r="AS581" s="66">
        <f>IF(AND($B580=" ",$K581=AS$3),$O581,0)</f>
        <v>0</v>
      </c>
      <c r="AT581" s="67">
        <f>IF(AND($B580=" ",K581=AT$3),$O581,0)</f>
        <v>0</v>
      </c>
      <c r="AU581" s="67">
        <f t="shared" ref="AU581:BE581" si="1182">IF(AND($B580=" ",$K581=AU$3),$O581,0)</f>
        <v>0</v>
      </c>
      <c r="AV581" s="67">
        <f t="shared" si="1182"/>
        <v>0</v>
      </c>
      <c r="AW581" s="67">
        <f t="shared" si="1182"/>
        <v>0</v>
      </c>
      <c r="AX581" s="67">
        <f t="shared" si="1182"/>
        <v>0</v>
      </c>
      <c r="AY581" s="69">
        <f t="shared" si="1182"/>
        <v>0</v>
      </c>
      <c r="AZ581" s="70">
        <f t="shared" si="1182"/>
        <v>0</v>
      </c>
      <c r="BA581" s="70">
        <f t="shared" si="1182"/>
        <v>0</v>
      </c>
      <c r="BB581" s="70">
        <f t="shared" si="1182"/>
        <v>0</v>
      </c>
      <c r="BC581" s="71">
        <f t="shared" si="1182"/>
        <v>0</v>
      </c>
      <c r="BD581" s="67">
        <f t="shared" si="1182"/>
        <v>0</v>
      </c>
      <c r="BE581" s="68">
        <f t="shared" si="1182"/>
        <v>0</v>
      </c>
      <c r="BF581" s="66">
        <f t="shared" si="1146"/>
        <v>0</v>
      </c>
      <c r="BG581" s="168">
        <f t="shared" si="1146"/>
        <v>0</v>
      </c>
      <c r="BH581" s="67">
        <f t="shared" si="1146"/>
        <v>0</v>
      </c>
      <c r="BI581" s="67">
        <f t="shared" si="1146"/>
        <v>0</v>
      </c>
      <c r="BJ581" s="67">
        <f t="shared" si="1146"/>
        <v>0</v>
      </c>
      <c r="BK581" s="67">
        <f t="shared" si="1146"/>
        <v>0</v>
      </c>
      <c r="BL581" s="67">
        <f t="shared" si="1146"/>
        <v>0</v>
      </c>
      <c r="BM581" s="69">
        <f t="shared" si="1146"/>
        <v>0</v>
      </c>
      <c r="BN581" s="70">
        <f t="shared" si="1146"/>
        <v>0</v>
      </c>
      <c r="BO581" s="70">
        <f t="shared" si="1146"/>
        <v>0</v>
      </c>
      <c r="BP581" s="70">
        <f t="shared" si="1146"/>
        <v>0</v>
      </c>
      <c r="BQ581" s="71">
        <f t="shared" si="1146"/>
        <v>22.73</v>
      </c>
      <c r="BR581" s="68">
        <f t="shared" si="1146"/>
        <v>0</v>
      </c>
      <c r="BS581" s="491"/>
      <c r="BT581" s="489"/>
      <c r="BU581" s="392"/>
      <c r="BV581" s="489"/>
      <c r="BW581" s="392"/>
      <c r="BX581" s="392"/>
      <c r="BY581" s="392"/>
      <c r="BZ581" s="489"/>
      <c r="CA581" s="392"/>
      <c r="CB581" s="392"/>
      <c r="CC581" s="392"/>
      <c r="CD581" s="401"/>
      <c r="CE581" s="409"/>
      <c r="CF581" s="169">
        <f t="shared" si="1156"/>
        <v>0</v>
      </c>
      <c r="CG581" s="170">
        <f t="shared" si="1157"/>
        <v>0</v>
      </c>
      <c r="CH581" s="170">
        <f t="shared" si="1158"/>
        <v>0</v>
      </c>
      <c r="CI581" s="170">
        <f t="shared" si="1159"/>
        <v>0</v>
      </c>
      <c r="CJ581" s="170">
        <f t="shared" si="1160"/>
        <v>0</v>
      </c>
      <c r="CK581" s="170">
        <f t="shared" si="1161"/>
        <v>0</v>
      </c>
      <c r="CL581" s="170">
        <f t="shared" si="1162"/>
        <v>0</v>
      </c>
      <c r="CM581" s="170">
        <f t="shared" si="1163"/>
        <v>0</v>
      </c>
      <c r="CN581" s="170">
        <f t="shared" si="1164"/>
        <v>0</v>
      </c>
      <c r="CO581" s="170">
        <f t="shared" si="1165"/>
        <v>0</v>
      </c>
      <c r="CP581" s="170">
        <f t="shared" si="1166"/>
        <v>0</v>
      </c>
      <c r="CQ581" s="170">
        <f t="shared" si="1167"/>
        <v>0</v>
      </c>
      <c r="CR581" s="170">
        <f t="shared" si="1168"/>
        <v>0</v>
      </c>
      <c r="CS581" s="170">
        <f t="shared" si="1169"/>
        <v>0</v>
      </c>
      <c r="CT581" s="75">
        <f t="shared" si="1170"/>
        <v>0</v>
      </c>
      <c r="CU581" s="76">
        <f t="shared" si="1171"/>
        <v>0</v>
      </c>
      <c r="CV581" s="76">
        <f t="shared" si="1172"/>
        <v>0</v>
      </c>
      <c r="CW581" s="76">
        <f t="shared" si="1173"/>
        <v>0</v>
      </c>
      <c r="CX581" s="76">
        <f t="shared" si="1174"/>
        <v>0</v>
      </c>
      <c r="CY581" s="76">
        <f t="shared" si="1175"/>
        <v>0</v>
      </c>
      <c r="CZ581" s="76">
        <f t="shared" si="1176"/>
        <v>0</v>
      </c>
      <c r="DA581" s="76">
        <f t="shared" si="1177"/>
        <v>0</v>
      </c>
      <c r="DB581" s="76">
        <f t="shared" si="1178"/>
        <v>1</v>
      </c>
      <c r="DC581" s="76">
        <f t="shared" si="1179"/>
        <v>0</v>
      </c>
      <c r="DD581" s="76">
        <f t="shared" si="1180"/>
        <v>0</v>
      </c>
      <c r="DE581" s="77">
        <f t="shared" si="1181"/>
        <v>0</v>
      </c>
      <c r="DF581" s="73">
        <f t="shared" ref="DF581:DF644" si="1183">IF(AND(L581&lt;DF$3,$C581="W"),1+DF580,DF580)</f>
        <v>35</v>
      </c>
      <c r="DG581" s="67">
        <f t="shared" ref="DG581:DG644" si="1184">IF(DF581&gt;DF580,L581+DG580,DG580)</f>
        <v>45.887999999999991</v>
      </c>
      <c r="DH581" s="76">
        <f t="shared" ref="DH581:DH644" si="1185">IF(AND(L581&gt;DH$3,$C581="W"),1+DH580,0+DH580)</f>
        <v>14</v>
      </c>
      <c r="DI581" s="67">
        <f t="shared" ref="DI581:DI644" si="1186">IF(DH581&gt;DH580,L581+DI580,DI580)</f>
        <v>60.05</v>
      </c>
      <c r="DJ581" s="202" t="str">
        <f>IF($D580="","",$D580)</f>
        <v>16</v>
      </c>
      <c r="DK581" s="493"/>
    </row>
    <row r="582" spans="1:115" ht="14.5" customHeight="1" x14ac:dyDescent="0.2">
      <c r="A582" s="390"/>
      <c r="B582" s="457"/>
      <c r="C582" s="79" t="s">
        <v>53</v>
      </c>
      <c r="D582" s="375"/>
      <c r="E582" s="387"/>
      <c r="F582" s="378"/>
      <c r="G582" s="508"/>
      <c r="H582" s="477"/>
      <c r="I582" s="171"/>
      <c r="J582" s="172"/>
      <c r="K582" s="81"/>
      <c r="L582" s="173"/>
      <c r="M582" s="174"/>
      <c r="N582" s="407"/>
      <c r="O582" s="86" t="str">
        <f>IF(OR(AE580="",AE581=""),"",IF(L582&gt;0,ROUND(IF(M582&gt;0,M582,IF(M580&gt;0,ROUND((M580*AE582)/AE580,IF(N580=0,2,IF(N580=0.1,1,0))),IF(M581&gt;0,ROUND((M581*AE582)/AE581,IF(N580=0,2,IF(N580=0.1,1,0))),IF(M582&gt;0,M582,0)))),2),""))</f>
        <v/>
      </c>
      <c r="P582" s="87" t="str">
        <f>IF(I581="Lay",O581*(L581/(L581-1))-O581,IF(I580="Lay",O580*(L580/(L580-1))-O580,IF(OR(L582="",O582=""),"",IF($C582="1/2W",O582/2+O582/2*L582,IF($C582="1/2L",O582/2,(O582*L582-O582)*(1-_xlfn.XLOOKUP(K582,'Fevereiro 2023 - Valor Real'!A3:A15,'Fevereiro 2023 - Valor Real'!C3:C15,0))+O582)))))</f>
        <v/>
      </c>
      <c r="Q582" s="54" t="str">
        <f>IF(K582="","",IF(_xlfn.XLOOKUP(K582,K$11:K572,$DJ$11:DJ572,0,,-1)=DJ582,_xlfn.XLOOKUP(K582,K$11:K572,Q$11:Q572,1,,-1)+1,1))</f>
        <v/>
      </c>
      <c r="R582" s="87" t="str">
        <f>IF(K582="","",_xlfn.XLOOKUP(K582,K$11:K572,R$11:R572,0,,-1)+IF($C582=" ",1,0))</f>
        <v/>
      </c>
      <c r="S582" s="404"/>
      <c r="T582" s="378"/>
      <c r="U582" s="378"/>
      <c r="V582" s="404"/>
      <c r="W582" s="378"/>
      <c r="X582" s="453"/>
      <c r="Y582" s="383"/>
      <c r="Z582" s="384"/>
      <c r="AA582" s="384"/>
      <c r="AB582" s="384"/>
      <c r="AC582" s="384"/>
      <c r="AD582" s="90"/>
      <c r="AE582" s="91" t="str">
        <f>IF(L582="","",(SUM(((L580-1)*(1-_xlfn.XLOOKUP(K580,'Fevereiro 2023 - Valor Real'!A3:A15,'Fevereiro 2023 - Valor Real'!C3:C15,0))+1),((L581-1)*(1-_xlfn.XLOOKUP(K581,'Fevereiro 2023 - Valor Real'!A3:A15,'Fevereiro 2023 - Valor Real'!C3:C15,0))+1),((L582-1)*(1-_xlfn.XLOOKUP(K582,'Fevereiro 2023 - Valor Real'!A3:A15,'Fevereiro 2023 - Valor Real'!C3:C15,0))+1))/((L582-1)*(1-_xlfn.XLOOKUP(K582,'Fevereiro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Real'!C3:C15,0))+1))/((L580-1)*(1-_xlfn.XLOOKUP(K580,'Fevereiro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Real'!C3:C15,0))+1))/((L581-1)*(1-_xlfn.XLOOKUP(K581,'Fevereiro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Real'!C3:C15,0))+1))/((L582-1)*(1-_xlfn.XLOOKUP(K582,'Fevereiro 2023 - Valor Real'!A3:A15,'Fevereiro 2023 - Valor Real'!C3:C15,0))+1)))</f>
        <v/>
      </c>
      <c r="AF582" s="66">
        <f t="shared" si="1144"/>
        <v>0</v>
      </c>
      <c r="AG582" s="67">
        <f t="shared" si="1144"/>
        <v>0</v>
      </c>
      <c r="AH582" s="67">
        <f t="shared" si="1144"/>
        <v>0</v>
      </c>
      <c r="AI582" s="67">
        <f t="shared" si="1144"/>
        <v>0</v>
      </c>
      <c r="AJ582" s="67">
        <f t="shared" si="1144"/>
        <v>0</v>
      </c>
      <c r="AK582" s="67">
        <f t="shared" si="1144"/>
        <v>0</v>
      </c>
      <c r="AL582" s="67">
        <f t="shared" si="1144"/>
        <v>0</v>
      </c>
      <c r="AM582" s="67">
        <f t="shared" si="1144"/>
        <v>0</v>
      </c>
      <c r="AN582" s="67">
        <f t="shared" si="1144"/>
        <v>0</v>
      </c>
      <c r="AO582" s="67">
        <f t="shared" si="1144"/>
        <v>0</v>
      </c>
      <c r="AP582" s="67">
        <f t="shared" si="1144"/>
        <v>0</v>
      </c>
      <c r="AQ582" s="67">
        <f t="shared" si="1144"/>
        <v>0</v>
      </c>
      <c r="AR582" s="68">
        <f t="shared" si="1144"/>
        <v>0</v>
      </c>
      <c r="AS582" s="66">
        <f>IF(AND($B580=" ",$K582=AS$3),$O582,0)</f>
        <v>0</v>
      </c>
      <c r="AT582" s="67">
        <f>IF(AND($B580=" ",K582=AT$3),$O582,0)</f>
        <v>0</v>
      </c>
      <c r="AU582" s="67">
        <f t="shared" ref="AU582:BE582" si="1187">IF(AND($B580=" ",$K582=AU$3),$O582,0)</f>
        <v>0</v>
      </c>
      <c r="AV582" s="67">
        <f t="shared" si="1187"/>
        <v>0</v>
      </c>
      <c r="AW582" s="67">
        <f t="shared" si="1187"/>
        <v>0</v>
      </c>
      <c r="AX582" s="67">
        <f t="shared" si="1187"/>
        <v>0</v>
      </c>
      <c r="AY582" s="69">
        <f t="shared" si="1187"/>
        <v>0</v>
      </c>
      <c r="AZ582" s="70">
        <f t="shared" si="1187"/>
        <v>0</v>
      </c>
      <c r="BA582" s="70">
        <f t="shared" si="1187"/>
        <v>0</v>
      </c>
      <c r="BB582" s="70">
        <f t="shared" si="1187"/>
        <v>0</v>
      </c>
      <c r="BC582" s="71">
        <f t="shared" si="1187"/>
        <v>0</v>
      </c>
      <c r="BD582" s="67">
        <f t="shared" si="1187"/>
        <v>0</v>
      </c>
      <c r="BE582" s="68">
        <f t="shared" si="1187"/>
        <v>0</v>
      </c>
      <c r="BF582" s="66">
        <f t="shared" si="1146"/>
        <v>0</v>
      </c>
      <c r="BG582" s="168">
        <f t="shared" si="1146"/>
        <v>0</v>
      </c>
      <c r="BH582" s="67">
        <f t="shared" si="1146"/>
        <v>0</v>
      </c>
      <c r="BI582" s="67">
        <f t="shared" si="1146"/>
        <v>0</v>
      </c>
      <c r="BJ582" s="67">
        <f t="shared" si="1146"/>
        <v>0</v>
      </c>
      <c r="BK582" s="67">
        <f t="shared" si="1146"/>
        <v>0</v>
      </c>
      <c r="BL582" s="67">
        <f t="shared" si="1146"/>
        <v>0</v>
      </c>
      <c r="BM582" s="69">
        <f t="shared" si="1146"/>
        <v>0</v>
      </c>
      <c r="BN582" s="70">
        <f t="shared" si="1146"/>
        <v>0</v>
      </c>
      <c r="BO582" s="70">
        <f t="shared" si="1146"/>
        <v>0</v>
      </c>
      <c r="BP582" s="70">
        <f t="shared" si="1146"/>
        <v>0</v>
      </c>
      <c r="BQ582" s="71">
        <f t="shared" si="1146"/>
        <v>0</v>
      </c>
      <c r="BR582" s="68">
        <f t="shared" si="1146"/>
        <v>0</v>
      </c>
      <c r="BS582" s="491"/>
      <c r="BT582" s="489"/>
      <c r="BU582" s="392"/>
      <c r="BV582" s="489"/>
      <c r="BW582" s="392"/>
      <c r="BX582" s="392"/>
      <c r="BY582" s="392"/>
      <c r="BZ582" s="489"/>
      <c r="CA582" s="392"/>
      <c r="CB582" s="392"/>
      <c r="CC582" s="392"/>
      <c r="CD582" s="401"/>
      <c r="CE582" s="409"/>
      <c r="CF582" s="169">
        <f t="shared" si="1156"/>
        <v>0</v>
      </c>
      <c r="CG582" s="170">
        <f t="shared" si="1157"/>
        <v>0</v>
      </c>
      <c r="CH582" s="170">
        <f t="shared" si="1158"/>
        <v>0</v>
      </c>
      <c r="CI582" s="170">
        <f t="shared" si="1159"/>
        <v>0</v>
      </c>
      <c r="CJ582" s="170">
        <f t="shared" si="1160"/>
        <v>0</v>
      </c>
      <c r="CK582" s="170">
        <f t="shared" si="1161"/>
        <v>0</v>
      </c>
      <c r="CL582" s="170">
        <f t="shared" si="1162"/>
        <v>0</v>
      </c>
      <c r="CM582" s="170">
        <f t="shared" si="1163"/>
        <v>0</v>
      </c>
      <c r="CN582" s="170">
        <f t="shared" si="1164"/>
        <v>0</v>
      </c>
      <c r="CO582" s="170">
        <f t="shared" si="1165"/>
        <v>0</v>
      </c>
      <c r="CP582" s="170">
        <f t="shared" si="1166"/>
        <v>0</v>
      </c>
      <c r="CQ582" s="170">
        <f t="shared" si="1167"/>
        <v>0</v>
      </c>
      <c r="CR582" s="170">
        <f t="shared" si="1168"/>
        <v>0</v>
      </c>
      <c r="CS582" s="170">
        <f t="shared" si="1169"/>
        <v>0</v>
      </c>
      <c r="CT582" s="75">
        <f t="shared" si="1170"/>
        <v>0</v>
      </c>
      <c r="CU582" s="76">
        <f t="shared" si="1171"/>
        <v>0</v>
      </c>
      <c r="CV582" s="76">
        <f t="shared" si="1172"/>
        <v>0</v>
      </c>
      <c r="CW582" s="76">
        <f t="shared" si="1173"/>
        <v>0</v>
      </c>
      <c r="CX582" s="76">
        <f t="shared" si="1174"/>
        <v>0</v>
      </c>
      <c r="CY582" s="76">
        <f t="shared" si="1175"/>
        <v>0</v>
      </c>
      <c r="CZ582" s="76">
        <f t="shared" si="1176"/>
        <v>0</v>
      </c>
      <c r="DA582" s="76">
        <f t="shared" si="1177"/>
        <v>0</v>
      </c>
      <c r="DB582" s="76">
        <f t="shared" si="1178"/>
        <v>0</v>
      </c>
      <c r="DC582" s="76">
        <f t="shared" si="1179"/>
        <v>0</v>
      </c>
      <c r="DD582" s="76">
        <f t="shared" si="1180"/>
        <v>0</v>
      </c>
      <c r="DE582" s="77">
        <f t="shared" si="1181"/>
        <v>0</v>
      </c>
      <c r="DF582" s="73">
        <f t="shared" si="1183"/>
        <v>35</v>
      </c>
      <c r="DG582" s="67">
        <f t="shared" si="1184"/>
        <v>45.887999999999991</v>
      </c>
      <c r="DH582" s="76">
        <f t="shared" si="1185"/>
        <v>14</v>
      </c>
      <c r="DI582" s="67">
        <f t="shared" si="1186"/>
        <v>60.05</v>
      </c>
      <c r="DJ582" s="202" t="str">
        <f>IF($D580="","",$D580)</f>
        <v>16</v>
      </c>
      <c r="DK582" s="493"/>
    </row>
    <row r="583" spans="1:115" ht="14.5" customHeight="1" x14ac:dyDescent="0.2">
      <c r="A583" s="459">
        <f>$A580+1</f>
        <v>194</v>
      </c>
      <c r="B583" s="507" t="str">
        <f>IF(OR(C583="W",C584="W",C585="W",C583="1/2W",C584="1/2W",C585="1/2W",C583="1/2L",C584="1/2L",C585="1/2L"),"OK",IF(OR(C583="L",C584="L",C585="L"),"LOSS",IF(OR(C583="X",C584="X",C585="X"),"Anulado"," ")))</f>
        <v>OK</v>
      </c>
      <c r="C583" s="93" t="s">
        <v>54</v>
      </c>
      <c r="D583" s="468" t="str">
        <f>IF(G583="","",$D580)</f>
        <v>16</v>
      </c>
      <c r="E583" s="485" t="str">
        <f>IF(G583=""," ","– "&amp;COUNTIF(D$4:D585,$D583))</f>
        <v>– 26</v>
      </c>
      <c r="F583" s="509" t="str">
        <f ca="1">IF(G583="","",IF(OR(AND($C583&lt;&gt;" ",$C584=" "),AND($C584&lt;&gt;" ",$C583=" "),AND(L585&gt;0,OR(AND($C585&lt;&gt;" ",OR($C583=" ",$C584=" ")),AND($C585=" ",OR($C583&lt;&gt;" ",$C584&lt;&gt;" "))))),IF(SUM(F$4:F582)=0,1,LARGE(F$4:F582,1)+1),IF(MONTH(G583)=MONTH(TODAY()),IF(AND(DAY(G583)&lt;DAY(TODAY()),$B583=" "),IF(SUM(F$4:F582)=0,1,LARGE(F$4:F582,1)+1),IF($B583=" ",IF(AND(DAY(G583)=DAY(TODAY()),HOUR(G583)&lt;=HOUR(NOW())+1),IF(AND(HOUR(G583)+2&lt;=HOUR(NOW()),DAY(G583)&lt;=DAY(TODAY()),MINUTE(G583)&lt;=MINUTE(NOW())),IF(SUM(F$4:F582)=0,1,LARGE(F$4:F582,1)+1),IF(OR(MINUTE(G583)&lt;=MINUTE(NOW()),HOUR(G583)&lt;=HOUR(NOW())),"!!!","")),""),"")),"")))</f>
        <v/>
      </c>
      <c r="G583" s="482">
        <f>IF(H583="","",_xlfn.XLOOKUP(H583,$H$4:H582,$G$4:G582,""))</f>
        <v>45003.020833333336</v>
      </c>
      <c r="H583" s="475" t="s">
        <v>206</v>
      </c>
      <c r="I583" s="94" t="s">
        <v>71</v>
      </c>
      <c r="J583" s="176"/>
      <c r="K583" s="96" t="s">
        <v>39</v>
      </c>
      <c r="L583" s="97">
        <v>2.6</v>
      </c>
      <c r="M583" s="98">
        <v>5.63</v>
      </c>
      <c r="N583" s="478">
        <v>0.1</v>
      </c>
      <c r="O583" s="99">
        <f>IF(OR(AE583="",AE584=""),"",ROUND(IF(L585&gt;0,IF(M583&gt;0,M583,IF(M584&gt;0,ROUND((M584*AE583)/AE584,IF(N583=0,2,IF(N583=0.1,1,0))),ROUND((M585*AE583)/AE585,IF(N583=0,2,IF(N583=0.1,1,0))))),IF(M583&gt;0,M583,ROUND((M584*AE583)/AE584,IF(N583=0,2,IF(N583=0.1,1,0))))),2))</f>
        <v>5.63</v>
      </c>
      <c r="P583" s="100">
        <f>IF(OR(L583="",O583=""),"",IF($C583="1/2W",O583/2+O583/2*L583,IF($C583="1/2L",O583/2,IF(I583="Lay",(O583*(L583/(L583-1))-O583)*(1-_xlfn.XLOOKUP(K583,'Fevereiro 2023 - Valor Real'!A3:A15,'Fevereiro 2023 - Valor Real'!C3:C15,0))+O583,(O583*L583-O583)*(1-_xlfn.XLOOKUP(K583,'Fevereiro 2023 - Valor Real'!A3:A15,'Fevereiro 2023 - Valor Real'!C3:C15,0))+O583))))</f>
        <v>14.637999999999998</v>
      </c>
      <c r="Q583" s="101">
        <f>IF(K583="","",IF(_xlfn.XLOOKUP(K583,K$4:K582,$DJ$4:DJ582,0,,-1)=DJ583,_xlfn.XLOOKUP(K583,K$4:K582,Q$4:Q582,1,,-1)+1,1))</f>
        <v>1</v>
      </c>
      <c r="R583" s="102">
        <f>IF(K583="","",_xlfn.XLOOKUP(K583,K$4:K582,R$4:R582,0,,-1)+IF($C583=" ",1,0))</f>
        <v>0</v>
      </c>
      <c r="S583" s="474">
        <f>IF($B583="Anulado",0,ROUND(IF(OR($B583="LOSS",$B583="OK"),IF(OR($C583="W",$C583="1/2W",$C583="1/2L"),P583-O583,IF($C583="L",-O583,0))+IF(OR($C584="W",$C584="1/2W",$C584="1/2L"),P584-O584,IF($C584="L",-O584,0))+IF(OR($C585="W",$C585="1/2W",$C585="1/2L"),P585-O585,IF($C585="L",-O585,0)),IF(AND(OR($C583="W",$C583="1/2W",$C583="1/2L"),C584="W"),P583+P584-SUM(O583:O585)+_xlfn.XLOOKUP("X",C583:C585,O583:O585,0),IF(AND(C583=TRUE,C585="W"),P583+P585-SUM(O583:O585),IF(AND(C584="W",C585="W"),P584+P585-SUM(O583:O585)+_xlfn.XLOOKUP("X",C583:C585,O583:O585,0),IF(L585&gt;0,IF(OR($C583="W",$C583="1/2W",$C583="1/2L"),P583-SUM(O583:O585)+_xlfn.XLOOKUP("X",C583:C585,O583:O585,0),IF(OR($C583="W",$C583="1/2W",$C583="1/2L"),P584-SUM(O583:O585)+_xlfn.XLOOKUP("X",C583:C585,O583:O585,0),IF(OR($C583="W",$C583="1/2W",$C583="1/2L"),P585-SUM(O583:O585)+_xlfn.XLOOKUP("X",C583:C585,O583:O585,0),IF(SUM(P583:P585)/3-SUM(O583:O585)+_xlfn.XLOOKUP("X",C583:C585,O583:O585,0)&gt;0,SUM(P583:P585)/3-SUM(O583:O585)+_xlfn.XLOOKUP("X",C583:C585,O583:O585,0),LARGE(P583:P585,1)-SUM(O583:O585))))),IF(OR($C583="W",$C583="1/2W",$C583="1/2L"),P583-SUM(O583:O584)+_xlfn.XLOOKUP("X",C583:C585,O583:O585,0),IF(OR($C583="W",$C583="1/2W",$C583="1/2L"),P584-SUM(O583:O584)+_xlfn.XLOOKUP("X",C583:C585,O583:O585,0),SUM(P583:P584)/2-SUM(O583:O584)+_xlfn.XLOOKUP("X",C583:C585,O583:O585,0)))))))),2))</f>
        <v>0.71</v>
      </c>
      <c r="T583" s="458">
        <f>IF(S583=0,0,S583/SUM(O583:O585))</f>
        <v>5.0969131371141417E-2</v>
      </c>
      <c r="U583" s="470">
        <f>IF($D583=$D580,IF(OR($B583="LOSS",$B583="OK",$B583="Anulada"),S583,0)+U580,IF(OR($B583="LOSS",$B583="OK",$B583="Anulada"),S583,0))</f>
        <v>67.139999999999986</v>
      </c>
      <c r="V583" s="470">
        <f>IF($D583="",0,IF($D583=$D580,IF($B583=" ",IF(I585="",IF(OR(AND(I583="DNB1",I584="DNB2"),AND(OR(I583="DNB1",I583="DNB2"),J584=0),AND(OR(I584="DNB1",I584="DNB2"),J583=0),AND(I583="DNB2",I584="DNB1"),AND(IF(J583=0,(J583+1)/ROUND(J583+1,0),J583/ROUND(J583,0))=1,IF(J584=0,(J584+1)/ROUND(IF(J584="",0,J584)+1,0),IF(J584="",0,J584)/ROUND(IF(J584="",1,J584),0))=1,OR(J583&lt;&gt;""),J584&lt;&gt;"")),0,IF(S583&lt;0,IF(I585="",SMALL(P583:P584,1)-SUM(O583:O584),0),SMALL(P583:P584,1)-SUM(O583:O584))),IF(S583&lt;0,IF(I585="",SMALL(P583:P585,1)-SUM(O583:O585),0),LARGE(P583:P585,1)-SUM(O583:O585))),S583)+V580,IF(I585="",IF(OR(AND(I583="DNB1",I584="DNB2"),AND(OR(I583="DNB1",I583="DNB2"),J584=0),AND(OR(I584="DNB1",I584="DNB2"),J583=0),AND(I583="DNB2",I584="DNB1"),AND(IF(J583=0,(J583+1)/ROUND(J583+1,0),J583/ROUND(J583,0))=1,IF(J584=0,(IF(J584="",0,J584)+1)/ROUND(IF(J584="",0,J584)+1,0),IF(J584="",0,J584)/ROUND(IF(J584="",0,J584)+1,0))=1,OR(J583&lt;&gt;""),J584&lt;&gt;"")),0,IF(S583&lt;0,IF(I585="",SMALL(P583:P584,1)-SUM(O583:O584),0),SMALL(P583:P585,1)-SUM(O583:O585))),IF(S583&lt;0,IF(I585="",SMALL(P583:P585,1)-SUM(O583:O585),0),LARGE(P583:P585,1)-SUM(O583:O585)))))</f>
        <v>67.135199999999983</v>
      </c>
      <c r="W583" s="470">
        <f>IF($D583=$D580,IF(S583&lt;0,IF(I585="",S583,0),S583)+W580,S583)</f>
        <v>67.139999999999986</v>
      </c>
      <c r="X583" s="480" t="str">
        <f>IF(OR(SUM(R583:R585)=0,V583=W583),ROUND(IF(W583=0,0,W583/Y583)*100,2)&amp;"%",ROUND(IF(V583=0,0,V583/Y583)*100,2)&amp;"% a "&amp;ROUND(IF(W583=0,0,W583/Y583)*100,2)&amp;"%")</f>
        <v>6,97%</v>
      </c>
      <c r="Y583" s="471">
        <f>IF($D583=$D580,Y580+SUM(O583:O585),SUM(O583:O585))</f>
        <v>962.97</v>
      </c>
      <c r="Z583" s="470">
        <f>IF($B583=" ",SUM(O583:O585),0)+Z580</f>
        <v>0</v>
      </c>
      <c r="AA583" s="470">
        <f>IF(G583="","",IF($B583="Anulado",LARGE(P583:P585,1)-SUM(O583:O585)+AA580,AA580))</f>
        <v>12.425099999999992</v>
      </c>
      <c r="AB583" s="470">
        <f>IF($D583="","",AB580+S583)</f>
        <v>665.24000000000058</v>
      </c>
      <c r="AC583" s="472">
        <f ca="1">IF($D583="","",IF($B583=" ",IF(DAY(G583)=DAY(TODAY()),1+AC580,0+AC580),0+AC580))</f>
        <v>0</v>
      </c>
      <c r="AD583" s="103">
        <f>(((L584/(L584-1)-1)*(1-_xlfn.XLOOKUP(K584,'Fevereiro 2023 - Valor Real'!A3:A15,'Fevereiro 2023 - Valor Real'!C3:C15,0))+1))/(((L583-1)*(1-_xlfn.XLOOKUP(K583,'Fevereiro 2023 - Valor Real'!A3:A15,'Fevereiro 2023 - Valor Real'!C3:C15,0))+1)+((L584/(L584-1)-1)*(1-_xlfn.XLOOKUP(K584,'Fevereiro 2023 - Valor Real'!A3:A15,'Fevereiro 2023 - Valor Real'!C3:C15,0))+1))</f>
        <v>0.46924708377518554</v>
      </c>
      <c r="AE583" s="104">
        <f>IF(L583="","",IF(L585&gt;0,(SUM(((L583-1)*(1-_xlfn.XLOOKUP(K583,'Fevereiro 2023 - Valor Real'!A3:A15,'Fevereiro 2023 - Valor Real'!C3:C15,0))+1),((L584-1)*(1-_xlfn.XLOOKUP(K584,'Fevereiro 2023 - Valor Real'!A3:A15,'Fevereiro 2023 - Valor Real'!C3:C15,0))+1),((L585-1)*(1-_xlfn.XLOOKUP(K585,'Fevereiro 2023 - Valor Real'!A3:A15,'Fevereiro 2023 - Valor Real'!C3:C15,0))+1))/((L583-1)*(1-_xlfn.XLOOKUP(K583,'Fevereiro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Real'!C3:C15,0))+1))/((L583-1)*(1-_xlfn.XLOOKUP(K583,'Fevereiro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Real'!C3:C15,0))+1))/((L584-1)*(1-_xlfn.XLOOKUP(K584,'Fevereiro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Real'!C3:C15,0))+1))/((L585-1)*(1-_xlfn.XLOOKUP(K585,'Fevereiro 2023 - Valor Real'!A3:A15,'Fevereiro 2023 - Valor Real'!C3:C15,0))+1)),IF(I583="Lay",IF(I584="Lay",((L584/(L584-1)-1)*(1-_xlfn.XLOOKUP(K584,'Fevereiro 2023 - Valor Real'!A3:A15,'Fevereiro 2023 - Valor Real'!C3:C15,0))+1)/(((L584/(L584-1)-1)*(1-_xlfn.XLOOKUP(K584,'Fevereiro 2023 - Valor Real'!A3:A15,'Fevereiro 2023 - Valor Real'!C3:C15,0))+1)+((L583/(L583-1)-1)*(1-_xlfn.XLOOKUP(K583,'Fevereiro 2023 - Valor Real'!A3:A15,'Fevereiro 2023 - Valor Real'!C3:C15,0))+1)),((L584-1)*(1-_xlfn.XLOOKUP(K584,'Fevereiro 2023 - Valor Real'!A3:A15,'Fevereiro 2023 - Valor Real'!C3:C15,0))+1)/(((L584-1)*(1-_xlfn.XLOOKUP(K584,'Fevereiro 2023 - Valor Real'!A3:A15,'Fevereiro 2023 - Valor Real'!C3:C15,0))+1)+((L583/(L583-1)-1)*(1-_xlfn.XLOOKUP(K583,'Fevereiro 2023 - Valor Real'!A3:A15,'Fevereiro 2023 - Valor Real'!C3:C15,0))+1))),IF(I584="Lay",(((L584/(L584-1)-1)*(1-_xlfn.XLOOKUP(K584,'Fevereiro 2023 - Valor Real'!A3:A15,'Fevereiro 2023 - Valor Real'!C3:C15,0))+1))/(((L583-1)*(1-_xlfn.XLOOKUP(K583,'Fevereiro 2023 - Valor Real'!A3:A15,'Fevereiro 2023 - Valor Real'!C3:C15,0))+1)+((L584/(L584-1)-1)*(1-_xlfn.XLOOKUP(K584,'Fevereiro 2023 - Valor Real'!A3:A15,'Fevereiro 2023 - Valor Real'!C3:C15,0))+1)),((L584-1)*(1-_xlfn.XLOOKUP(K584,'Fevereiro 2023 - Valor Real'!A3:A15,'Fevereiro 2023 - Valor Real'!C3:C15,0))+1)/(((L584-1)*(1-_xlfn.XLOOKUP(K584,'Fevereiro 2023 - Valor Real'!A3:A15,'Fevereiro 2023 - Valor Real'!C3:C15,0))+1)+((L583-1)*(1-_xlfn.XLOOKUP(K583,'Fevereiro 2023 - Valor Real'!A3:A15,'Fevereiro 2023 - Valor Real'!C3:C15,0))+1))))))</f>
        <v>0.40503432494279173</v>
      </c>
      <c r="AF583" s="105">
        <f t="shared" si="1144"/>
        <v>0</v>
      </c>
      <c r="AG583" s="106">
        <f t="shared" si="1144"/>
        <v>0</v>
      </c>
      <c r="AH583" s="106">
        <f t="shared" si="1144"/>
        <v>0</v>
      </c>
      <c r="AI583" s="106">
        <f t="shared" si="1144"/>
        <v>9.01</v>
      </c>
      <c r="AJ583" s="106">
        <f t="shared" si="1144"/>
        <v>0</v>
      </c>
      <c r="AK583" s="106">
        <f t="shared" si="1144"/>
        <v>0</v>
      </c>
      <c r="AL583" s="106">
        <f t="shared" si="1144"/>
        <v>0</v>
      </c>
      <c r="AM583" s="106">
        <f t="shared" si="1144"/>
        <v>0</v>
      </c>
      <c r="AN583" s="106">
        <f t="shared" si="1144"/>
        <v>0</v>
      </c>
      <c r="AO583" s="106">
        <f t="shared" si="1144"/>
        <v>0</v>
      </c>
      <c r="AP583" s="106">
        <f t="shared" si="1144"/>
        <v>0</v>
      </c>
      <c r="AQ583" s="106">
        <f t="shared" si="1144"/>
        <v>0</v>
      </c>
      <c r="AR583" s="107">
        <f t="shared" si="1144"/>
        <v>0</v>
      </c>
      <c r="AS583" s="105">
        <f t="shared" ref="AS583:BE583" si="1188">IF(AND($B583=" ",$K583=AS$3),$O583,0)</f>
        <v>0</v>
      </c>
      <c r="AT583" s="106">
        <f t="shared" si="1188"/>
        <v>0</v>
      </c>
      <c r="AU583" s="106">
        <f t="shared" si="1188"/>
        <v>0</v>
      </c>
      <c r="AV583" s="106">
        <f t="shared" si="1188"/>
        <v>0</v>
      </c>
      <c r="AW583" s="106">
        <f t="shared" si="1188"/>
        <v>0</v>
      </c>
      <c r="AX583" s="106">
        <f t="shared" si="1188"/>
        <v>0</v>
      </c>
      <c r="AY583" s="108">
        <f t="shared" si="1188"/>
        <v>0</v>
      </c>
      <c r="AZ583" s="109">
        <f t="shared" si="1188"/>
        <v>0</v>
      </c>
      <c r="BA583" s="109">
        <f t="shared" si="1188"/>
        <v>0</v>
      </c>
      <c r="BB583" s="109">
        <f t="shared" si="1188"/>
        <v>0</v>
      </c>
      <c r="BC583" s="110">
        <f t="shared" si="1188"/>
        <v>0</v>
      </c>
      <c r="BD583" s="106">
        <f t="shared" si="1188"/>
        <v>0</v>
      </c>
      <c r="BE583" s="107">
        <f t="shared" si="1188"/>
        <v>0</v>
      </c>
      <c r="BF583" s="111">
        <f t="shared" si="1146"/>
        <v>0</v>
      </c>
      <c r="BG583" s="106">
        <f t="shared" si="1146"/>
        <v>0</v>
      </c>
      <c r="BH583" s="106">
        <f t="shared" si="1146"/>
        <v>0</v>
      </c>
      <c r="BI583" s="106">
        <f t="shared" si="1146"/>
        <v>5.63</v>
      </c>
      <c r="BJ583" s="106">
        <f t="shared" si="1146"/>
        <v>0</v>
      </c>
      <c r="BK583" s="106">
        <f t="shared" si="1146"/>
        <v>0</v>
      </c>
      <c r="BL583" s="106">
        <f t="shared" si="1146"/>
        <v>0</v>
      </c>
      <c r="BM583" s="108">
        <f t="shared" si="1146"/>
        <v>0</v>
      </c>
      <c r="BN583" s="109">
        <f t="shared" si="1146"/>
        <v>0</v>
      </c>
      <c r="BO583" s="109">
        <f t="shared" si="1146"/>
        <v>0</v>
      </c>
      <c r="BP583" s="109">
        <f t="shared" si="1146"/>
        <v>0</v>
      </c>
      <c r="BQ583" s="110">
        <f t="shared" si="1146"/>
        <v>0</v>
      </c>
      <c r="BR583" s="107">
        <f t="shared" si="1146"/>
        <v>0</v>
      </c>
      <c r="BS583" s="463">
        <f>IF($B583="LOSS",IF(AND($K583=BS$3,$C583="L"),-$O583,0)+IF(AND($K584=BS$3,$C584="L"),-$O584,0)+IF(AND($K585=BS$3,$C585="L"),-$O585,0),IF(OR(AND($K583=BS$3,OR($C583="W",$C583="1/2W")),AND($K584=BS$3,OR($C584="W",$C584="1/2W")),AND($K585=BS$3,OR($C585="W",$C585="1/2W"))),$S583,0))</f>
        <v>0</v>
      </c>
      <c r="BT583" s="462">
        <f>IF($B583="LOSS",IF(AND($K583=BT$3,$C583="L"),-$O583,0)+IF(AND($K584=BT$3,$C584="L"),-$O584,0)+IF(AND($K584=BT$3,$C585="L"),-$O585,0),IF(OR(AND($K584=BT$3,OR($C583="W",$C583="1/2W")),AND($K584=BT$3,OR($C584="W",$C584="1/2W")),AND($K584=BT$3,OR($C585="W",$C585="1/2W"))),$S583,0))</f>
        <v>0</v>
      </c>
      <c r="BU583" s="462">
        <f>IF($B583="LOSS",IF(AND($K583=BU$3,$C583="L"),-$O583,0)+IF(AND($K584=BU$3,$C584="L"),-$O584,0)+IF(AND($K584=BU$3,$C585="L"),-$O585,0),IF(OR(AND($K584=BU$3,OR($C583="W",$C583="1/2W")),AND($K584=BU$3,OR($C584="W",$C584="1/2W")),AND($K584=BU$3,OR($C585="W",$C585="1/2W"))),$S583,0))</f>
        <v>0</v>
      </c>
      <c r="BV583" s="462">
        <f t="shared" ref="BV583:CE583" si="1189">IF($B583="LOSS",IF(AND($K583=BV$3,$C583="L"),-$O583,0)+IF(AND($K584=BV$3,$C584="L"),-$O584,0)+IF(AND($K585=BV$3,$C585="L"),-$O585,0),IF(OR(AND($K583=BV$3,OR($C583="W",$C583="1/2W")),AND($K584=BV$3,OR($C584="W",$C584="1/2W")),AND($K585=BV$3,OR($C585="W",$C585="1/2W"))),$S583,0))</f>
        <v>0.71</v>
      </c>
      <c r="BW583" s="462">
        <f t="shared" si="1189"/>
        <v>0</v>
      </c>
      <c r="BX583" s="462">
        <f t="shared" si="1189"/>
        <v>0</v>
      </c>
      <c r="BY583" s="462">
        <f t="shared" si="1189"/>
        <v>0</v>
      </c>
      <c r="BZ583" s="460">
        <f t="shared" si="1189"/>
        <v>0</v>
      </c>
      <c r="CA583" s="460">
        <f t="shared" si="1189"/>
        <v>0</v>
      </c>
      <c r="CB583" s="460">
        <f t="shared" si="1189"/>
        <v>0</v>
      </c>
      <c r="CC583" s="460">
        <f t="shared" si="1189"/>
        <v>0</v>
      </c>
      <c r="CD583" s="473">
        <f t="shared" si="1189"/>
        <v>0</v>
      </c>
      <c r="CE583" s="479">
        <f t="shared" si="1189"/>
        <v>0</v>
      </c>
      <c r="CF583" s="113">
        <f t="shared" si="1156"/>
        <v>0</v>
      </c>
      <c r="CG583" s="114">
        <f t="shared" si="1157"/>
        <v>0</v>
      </c>
      <c r="CH583" s="114">
        <f t="shared" si="1158"/>
        <v>0</v>
      </c>
      <c r="CI583" s="114">
        <f t="shared" si="1159"/>
        <v>0</v>
      </c>
      <c r="CJ583" s="114">
        <f t="shared" si="1160"/>
        <v>0</v>
      </c>
      <c r="CK583" s="114">
        <f t="shared" si="1161"/>
        <v>0</v>
      </c>
      <c r="CL583" s="114">
        <f t="shared" si="1162"/>
        <v>1</v>
      </c>
      <c r="CM583" s="114">
        <f t="shared" si="1163"/>
        <v>0</v>
      </c>
      <c r="CN583" s="114">
        <f t="shared" si="1164"/>
        <v>0</v>
      </c>
      <c r="CO583" s="114">
        <f t="shared" si="1165"/>
        <v>0</v>
      </c>
      <c r="CP583" s="114">
        <f t="shared" si="1166"/>
        <v>0</v>
      </c>
      <c r="CQ583" s="114">
        <f t="shared" si="1167"/>
        <v>0</v>
      </c>
      <c r="CR583" s="114">
        <f t="shared" si="1168"/>
        <v>0</v>
      </c>
      <c r="CS583" s="114">
        <f t="shared" si="1169"/>
        <v>0</v>
      </c>
      <c r="CT583" s="115">
        <f t="shared" si="1170"/>
        <v>0</v>
      </c>
      <c r="CU583" s="116">
        <f t="shared" si="1171"/>
        <v>0</v>
      </c>
      <c r="CV583" s="116">
        <f t="shared" si="1172"/>
        <v>0</v>
      </c>
      <c r="CW583" s="116">
        <f t="shared" si="1173"/>
        <v>0</v>
      </c>
      <c r="CX583" s="116">
        <f t="shared" si="1174"/>
        <v>0</v>
      </c>
      <c r="CY583" s="116">
        <f t="shared" si="1175"/>
        <v>0</v>
      </c>
      <c r="CZ583" s="116">
        <f t="shared" si="1176"/>
        <v>0</v>
      </c>
      <c r="DA583" s="116">
        <f t="shared" si="1177"/>
        <v>0</v>
      </c>
      <c r="DB583" s="116">
        <f t="shared" si="1178"/>
        <v>0</v>
      </c>
      <c r="DC583" s="116">
        <f t="shared" si="1179"/>
        <v>0</v>
      </c>
      <c r="DD583" s="116">
        <f t="shared" si="1180"/>
        <v>0</v>
      </c>
      <c r="DE583" s="117">
        <f t="shared" si="1181"/>
        <v>0</v>
      </c>
      <c r="DF583" s="118">
        <f t="shared" si="1183"/>
        <v>35</v>
      </c>
      <c r="DG583" s="106">
        <f t="shared" si="1184"/>
        <v>45.887999999999991</v>
      </c>
      <c r="DH583" s="116">
        <f t="shared" si="1185"/>
        <v>14</v>
      </c>
      <c r="DI583" s="106">
        <f t="shared" si="1186"/>
        <v>60.05</v>
      </c>
      <c r="DJ583" s="201" t="str">
        <f>IF($D583="","",$D583)</f>
        <v>16</v>
      </c>
      <c r="DK583" s="465">
        <f>IF(AND($B583=" ",$D583&lt;&gt;""),1,0)</f>
        <v>0</v>
      </c>
    </row>
    <row r="584" spans="1:115" ht="14.5" customHeight="1" x14ac:dyDescent="0.2">
      <c r="A584" s="389"/>
      <c r="B584" s="456"/>
      <c r="C584" s="120" t="s">
        <v>55</v>
      </c>
      <c r="D584" s="374"/>
      <c r="E584" s="386"/>
      <c r="F584" s="377"/>
      <c r="G584" s="483"/>
      <c r="H584" s="476"/>
      <c r="I584" s="121" t="s">
        <v>72</v>
      </c>
      <c r="J584" s="179" t="str">
        <f>IF(OR(I583="TO",I583="TU",I583="TO1",I583="TU1",I583="TO2",I583="TU2"),J583,IF(OR(I583="AH1",I583="AH2"),IF(OR(I584="AH1",I584="AH2"),-J583,IF(OR(I584="EH1",I584="EH2"),-J583+0.5,"")),IF(OR(I583="EH1",I583="EH2"),IF(OR(I584="AH1",I584="AH2"),-J583+0.5,IF(OR(I584="EH1",I584="EH2"),-J583+1,"")),IF(AND(OR(I583="DNB1",I583="DNB2"),OR(I584="AH1",I584="AH2")),0,IF(AND(I583="Not ScoreBoth",OR(I584="TO1",I584="TO2")),0.5,"")))))</f>
        <v/>
      </c>
      <c r="K584" s="123" t="s">
        <v>40</v>
      </c>
      <c r="L584" s="124">
        <v>1.77</v>
      </c>
      <c r="M584" s="125"/>
      <c r="N584" s="406"/>
      <c r="O584" s="126">
        <f>IF(OR(AE583="",AE584=""),"",ROUND(IF(L585&gt;0,IF(M584&gt;0,M584,IF(M583&gt;0,IF(N583=TRUE,ROUND((M583*AE584)/AE583,0),(M583*AE584)/AE583),IF(M584&gt;0,ROUND(M584,IF(N583=0,2,IF(N583=0.1,1,0))),IF(M585&gt;0,ROUND(O585*AE584/AE585,IF(N583=0,2,IF(N583=0.1,1,0))),0)))),IF(M584&gt;0,M584,ROUND((M583*AE584)/AE583,IF(N583=0,2,IF(N583=0.1,1,0))))),2))</f>
        <v>8.3000000000000007</v>
      </c>
      <c r="P584" s="127">
        <f>IF(OR(L584="",O584=""),"",IF($C584="1/2W",O584/2+O584/2*L584,IF($C584="1/2L",O584/2,IF(I584="Lay",((O584*(L584/(L584-1)))-O584)*(1-_xlfn.XLOOKUP(K584,'Fevereiro 2023 - Valor Real'!A3:A15,'Fevereiro 2023 - Valor Real'!C3:C15,0))+O584,(O584*L584-O584)*(1-_xlfn.XLOOKUP(K584,'Fevereiro 2023 - Valor Real'!A3:A15,'Fevereiro 2023 - Valor Real'!C3:C15,0))+O584))))</f>
        <v>14.691000000000001</v>
      </c>
      <c r="Q584" s="128">
        <f>IF(K584="","",IF(_xlfn.XLOOKUP(K584,K$4:K583,$DJ$4:DJ583,0,,-1)=DJ584,_xlfn.XLOOKUP(K584,K$4:K583,Q$4:Q583,1,,-1)+1,1))</f>
        <v>11</v>
      </c>
      <c r="R584" s="129">
        <f>IF(K584="","",_xlfn.XLOOKUP(K584,K$4:K583,R$4:R583,0,,-1)+IF($C584=" ",1,0))</f>
        <v>0</v>
      </c>
      <c r="S584" s="403"/>
      <c r="T584" s="380"/>
      <c r="U584" s="380"/>
      <c r="V584" s="481"/>
      <c r="W584" s="380"/>
      <c r="X584" s="452"/>
      <c r="Y584" s="383"/>
      <c r="Z584" s="384"/>
      <c r="AA584" s="384"/>
      <c r="AB584" s="384"/>
      <c r="AC584" s="384"/>
      <c r="AD584" s="130">
        <f>(((L584/(L584-1)-1)*(1-_xlfn.XLOOKUP(K584,'Fevereiro 2023 - Valor Real'!A3:A15,'Fevereiro 2023 - Valor Real'!C3:C15,0))+1))</f>
        <v>2.2987012987012987</v>
      </c>
      <c r="AE584" s="131">
        <f>IF(L584="","",IF(L585&gt;0,(SUM(((L583-1)*(1-_xlfn.XLOOKUP(K583,'Fevereiro 2023 - Valor Real'!A3:A15,'Fevereiro 2023 - Valor Real'!C3:C15,0))+1),((L584-1)*(1-_xlfn.XLOOKUP(K584,'Fevereiro 2023 - Valor Real'!A3:A15,'Fevereiro 2023 - Valor Real'!C3:C15,0))+1),((L585-1)*(1-_xlfn.XLOOKUP(K585,'Fevereiro 2023 - Valor Real'!A3:A15,'Fevereiro 2023 - Valor Real'!C3:C15,0))+1))/((L584-1)*(1-_xlfn.XLOOKUP(K584,'Fevereiro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Real'!C3:C15,0))+1))/((L583-1)*(1-_xlfn.XLOOKUP(K583,'Fevereiro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Real'!C3:C15,0))+1))/((L584-1)*(1-_xlfn.XLOOKUP(K584,'Fevereiro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Real'!C3:C15,0))+1))/((L585-1)*(1-_xlfn.XLOOKUP(K585,'Fevereiro 2023 - Valor Real'!A3:A15,'Fevereiro 2023 - Valor Real'!C3:C15,0))+1)),IF(I584="Lay",IF(I583="Lay",((L583/(L583-1)-1)*(1-_xlfn.XLOOKUP(K583,'Fevereiro 2023 - Valor Real'!A3:A15,'Fevereiro 2023 - Valor Real'!C3:C15,0))+1)/(((L583/(L583-1)-1)*(1-_xlfn.XLOOKUP(K583,'Fevereiro 2023 - Valor Real'!A3:A15,'Fevereiro 2023 - Valor Real'!C3:C15,0))+1)+((L584/(L584-1)-1)*(1-_xlfn.XLOOKUP(K584,'Fevereiro 2023 - Valor Real'!A3:A15,'Fevereiro 2023 - Valor Real'!C3:C15,0))+1)),((L583-1)*(1-_xlfn.XLOOKUP(K583,'Fevereiro 2023 - Valor Real'!A3:A15,'Fevereiro 2023 - Valor Real'!C3:C15,0))+1)/(((L583-1)*(1-_xlfn.XLOOKUP(K583,'Fevereiro 2023 - Valor Real'!A3:A15,'Fevereiro 2023 - Valor Real'!C3:C15,0))+1)+((L584/(L584-1)-1)*(1-_xlfn.XLOOKUP(K584,'Fevereiro 2023 - Valor Real'!A3:A15,'Fevereiro 2023 - Valor Real'!C3:C15,0))+1))),IF(I583="Lay",((L583/(L583-1)-1)*(1-_xlfn.XLOOKUP(K583,'Fevereiro 2023 - Valor Real'!A3:A15,'Fevereiro 2023 - Valor Real'!C3:C15,0))+1)/((((L583/(L583-1)-1)*(1-_xlfn.XLOOKUP(K583,'Fevereiro 2023 - Valor Real'!A3:A15,'Fevereiro 2023 - Valor Real'!C3:C15,0))+1))+((L584-1)*(1-_xlfn.XLOOKUP(K584,'Fevereiro 2023 - Valor Real'!A3:A15,'Fevereiro 2023 - Valor Real'!C3:C15,0))+1)),((L583-1)*(1-_xlfn.XLOOKUP(K583,'Fevereiro 2023 - Valor Real'!A3:A15,'Fevereiro 2023 - Valor Real'!C3:C15,0))+1)/(((L583-1)*(1-_xlfn.XLOOKUP(K583,'Fevereiro 2023 - Valor Real'!A3:A15,'Fevereiro 2023 - Valor Real'!C3:C15,0))+1)+((L584-1)*(1-_xlfn.XLOOKUP(K584,'Fevereiro 2023 - Valor Real'!A3:A15,'Fevereiro 2023 - Valor Real'!C3:C15,0))+1))))))</f>
        <v>0.59496567505720821</v>
      </c>
      <c r="AF584" s="105">
        <f t="shared" ref="AF584:AR593" si="1190">IF($K584=AF$3,ROUND(IF(OR($C584="W",$C584="1/2W",$C584="1/2L"),$P584-$O584,IF($C584="X",0,-$O584)),2),0)</f>
        <v>0</v>
      </c>
      <c r="AG584" s="106">
        <f t="shared" si="1190"/>
        <v>0</v>
      </c>
      <c r="AH584" s="106">
        <f t="shared" si="1190"/>
        <v>0</v>
      </c>
      <c r="AI584" s="106">
        <f t="shared" si="1190"/>
        <v>0</v>
      </c>
      <c r="AJ584" s="106">
        <f t="shared" si="1190"/>
        <v>-8.3000000000000007</v>
      </c>
      <c r="AK584" s="106">
        <f t="shared" si="1190"/>
        <v>0</v>
      </c>
      <c r="AL584" s="106">
        <f t="shared" si="1190"/>
        <v>0</v>
      </c>
      <c r="AM584" s="106">
        <f t="shared" si="1190"/>
        <v>0</v>
      </c>
      <c r="AN584" s="106">
        <f t="shared" si="1190"/>
        <v>0</v>
      </c>
      <c r="AO584" s="106">
        <f t="shared" si="1190"/>
        <v>0</v>
      </c>
      <c r="AP584" s="106">
        <f t="shared" si="1190"/>
        <v>0</v>
      </c>
      <c r="AQ584" s="106">
        <f t="shared" si="1190"/>
        <v>0</v>
      </c>
      <c r="AR584" s="107">
        <f t="shared" si="1190"/>
        <v>0</v>
      </c>
      <c r="AS584" s="105">
        <f>IF(AND($B583=" ",$K584=AS$3),$O584,0)</f>
        <v>0</v>
      </c>
      <c r="AT584" s="106">
        <f>IF(AND($B583=" ",K584=AT$3),$O584,0)</f>
        <v>0</v>
      </c>
      <c r="AU584" s="106">
        <f t="shared" ref="AU584:BE584" si="1191">IF(AND($B583=" ",$K584=AU$3),$O584,0)</f>
        <v>0</v>
      </c>
      <c r="AV584" s="106">
        <f t="shared" si="1191"/>
        <v>0</v>
      </c>
      <c r="AW584" s="106">
        <f t="shared" si="1191"/>
        <v>0</v>
      </c>
      <c r="AX584" s="106">
        <f t="shared" si="1191"/>
        <v>0</v>
      </c>
      <c r="AY584" s="108">
        <f t="shared" si="1191"/>
        <v>0</v>
      </c>
      <c r="AZ584" s="109">
        <f t="shared" si="1191"/>
        <v>0</v>
      </c>
      <c r="BA584" s="109">
        <f t="shared" si="1191"/>
        <v>0</v>
      </c>
      <c r="BB584" s="109">
        <f t="shared" si="1191"/>
        <v>0</v>
      </c>
      <c r="BC584" s="110">
        <f t="shared" si="1191"/>
        <v>0</v>
      </c>
      <c r="BD584" s="106">
        <f t="shared" si="1191"/>
        <v>0</v>
      </c>
      <c r="BE584" s="107">
        <f t="shared" si="1191"/>
        <v>0</v>
      </c>
      <c r="BF584" s="105">
        <f t="shared" ref="BF584:BR593" si="1192">IF($K584=BF$3,IF($C584="X",0,$O584),0)</f>
        <v>0</v>
      </c>
      <c r="BG584" s="106">
        <f t="shared" si="1192"/>
        <v>0</v>
      </c>
      <c r="BH584" s="106">
        <f t="shared" si="1192"/>
        <v>0</v>
      </c>
      <c r="BI584" s="106">
        <f t="shared" si="1192"/>
        <v>0</v>
      </c>
      <c r="BJ584" s="106">
        <f t="shared" si="1192"/>
        <v>8.3000000000000007</v>
      </c>
      <c r="BK584" s="106">
        <f t="shared" si="1192"/>
        <v>0</v>
      </c>
      <c r="BL584" s="106">
        <f t="shared" si="1192"/>
        <v>0</v>
      </c>
      <c r="BM584" s="132">
        <f t="shared" si="1192"/>
        <v>0</v>
      </c>
      <c r="BN584" s="112">
        <f t="shared" si="1192"/>
        <v>0</v>
      </c>
      <c r="BO584" s="112">
        <f t="shared" si="1192"/>
        <v>0</v>
      </c>
      <c r="BP584" s="112">
        <f t="shared" si="1192"/>
        <v>0</v>
      </c>
      <c r="BQ584" s="110">
        <f t="shared" si="1192"/>
        <v>0</v>
      </c>
      <c r="BR584" s="107">
        <f t="shared" si="1192"/>
        <v>0</v>
      </c>
      <c r="BS584" s="464"/>
      <c r="BT584" s="461"/>
      <c r="BU584" s="392"/>
      <c r="BV584" s="461"/>
      <c r="BW584" s="392"/>
      <c r="BX584" s="392"/>
      <c r="BY584" s="392"/>
      <c r="BZ584" s="461"/>
      <c r="CA584" s="392"/>
      <c r="CB584" s="392"/>
      <c r="CC584" s="392"/>
      <c r="CD584" s="401"/>
      <c r="CE584" s="409"/>
      <c r="CF584" s="133">
        <f t="shared" si="1156"/>
        <v>0</v>
      </c>
      <c r="CG584" s="134">
        <f t="shared" si="1157"/>
        <v>0</v>
      </c>
      <c r="CH584" s="134">
        <f t="shared" si="1158"/>
        <v>0</v>
      </c>
      <c r="CI584" s="134">
        <f t="shared" si="1159"/>
        <v>0</v>
      </c>
      <c r="CJ584" s="134">
        <f t="shared" si="1160"/>
        <v>0</v>
      </c>
      <c r="CK584" s="134">
        <f t="shared" si="1161"/>
        <v>0</v>
      </c>
      <c r="CL584" s="134">
        <f t="shared" si="1162"/>
        <v>0</v>
      </c>
      <c r="CM584" s="134">
        <f t="shared" si="1163"/>
        <v>0</v>
      </c>
      <c r="CN584" s="134">
        <f t="shared" si="1164"/>
        <v>0</v>
      </c>
      <c r="CO584" s="134">
        <f t="shared" si="1165"/>
        <v>1</v>
      </c>
      <c r="CP584" s="134">
        <f t="shared" si="1166"/>
        <v>0</v>
      </c>
      <c r="CQ584" s="134">
        <f t="shared" si="1167"/>
        <v>0</v>
      </c>
      <c r="CR584" s="134">
        <f t="shared" si="1168"/>
        <v>0</v>
      </c>
      <c r="CS584" s="134">
        <f t="shared" si="1169"/>
        <v>0</v>
      </c>
      <c r="CT584" s="115">
        <f t="shared" si="1170"/>
        <v>0</v>
      </c>
      <c r="CU584" s="116">
        <f t="shared" si="1171"/>
        <v>0</v>
      </c>
      <c r="CV584" s="116">
        <f t="shared" si="1172"/>
        <v>0</v>
      </c>
      <c r="CW584" s="116">
        <f t="shared" si="1173"/>
        <v>0</v>
      </c>
      <c r="CX584" s="116">
        <f t="shared" si="1174"/>
        <v>0</v>
      </c>
      <c r="CY584" s="116">
        <f t="shared" si="1175"/>
        <v>0</v>
      </c>
      <c r="CZ584" s="116">
        <f t="shared" si="1176"/>
        <v>0</v>
      </c>
      <c r="DA584" s="116">
        <f t="shared" si="1177"/>
        <v>0</v>
      </c>
      <c r="DB584" s="116">
        <f t="shared" si="1178"/>
        <v>0</v>
      </c>
      <c r="DC584" s="116">
        <f t="shared" si="1179"/>
        <v>0</v>
      </c>
      <c r="DD584" s="116">
        <f t="shared" si="1180"/>
        <v>0</v>
      </c>
      <c r="DE584" s="117">
        <f t="shared" si="1181"/>
        <v>0</v>
      </c>
      <c r="DF584" s="118">
        <f t="shared" si="1183"/>
        <v>35</v>
      </c>
      <c r="DG584" s="106">
        <f t="shared" si="1184"/>
        <v>45.887999999999991</v>
      </c>
      <c r="DH584" s="116">
        <f t="shared" si="1185"/>
        <v>14</v>
      </c>
      <c r="DI584" s="106">
        <f t="shared" si="1186"/>
        <v>60.05</v>
      </c>
      <c r="DJ584" s="201" t="str">
        <f>IF($D583="","",$D583)</f>
        <v>16</v>
      </c>
      <c r="DK584" s="466"/>
    </row>
    <row r="585" spans="1:115" ht="14.5" customHeight="1" x14ac:dyDescent="0.2">
      <c r="A585" s="390"/>
      <c r="B585" s="457"/>
      <c r="C585" s="135" t="s">
        <v>53</v>
      </c>
      <c r="D585" s="375"/>
      <c r="E585" s="387"/>
      <c r="F585" s="378"/>
      <c r="G585" s="484"/>
      <c r="H585" s="477"/>
      <c r="I585" s="136"/>
      <c r="J585" s="137"/>
      <c r="K585" s="138"/>
      <c r="L585" s="139"/>
      <c r="M585" s="140"/>
      <c r="N585" s="407"/>
      <c r="O585" s="141" t="str">
        <f>IF(OR(AE583="",AE584=""),"",IF(L585&gt;0,ROUND(IF(M585&gt;0,M585,IF(M583&gt;0,ROUND((M583*AE585)/AE583,IF(N583=0,2,IF(N583=0.1,1,0))),IF(M584&gt;0,ROUND((M584*AE585)/AE584,IF(N583=0,2,IF(N583=0.1,1,0))),IF(M585&gt;0,M585,0)))),2),""))</f>
        <v/>
      </c>
      <c r="P585" s="142" t="str">
        <f>IF(I584="Lay",O584*(L584/(L584-1))-O584,IF(I583="Lay",O583*(L583/(L583-1))-O583,IF(OR(L585="",O585=""),"",IF($C585="1/2W",O585/2+O585/2*L585,IF($C585="1/2L",O585/2,(O585*L585-O585)*(1-_xlfn.XLOOKUP(K585,'Fevereiro 2023 - Valor Real'!A3:A15,'Fevereiro 2023 - Valor Real'!C3:C15,0))+O585)))))</f>
        <v/>
      </c>
      <c r="Q585" s="143" t="str">
        <f>IF(K585="","",IF(_xlfn.XLOOKUP(K585,K$4:K584,$DJ$4:DJ584,0,,-1)=DJ585,_xlfn.XLOOKUP(K585,K$4:K584,Q$4:Q584,1,,-1)+1,1))</f>
        <v/>
      </c>
      <c r="R585" s="144" t="str">
        <f>IF(K585="","",_xlfn.XLOOKUP(K585,K$4:K584,R$4:R584,0,,-1)+IF($C585=" ",1,0))</f>
        <v/>
      </c>
      <c r="S585" s="404"/>
      <c r="T585" s="378"/>
      <c r="U585" s="378"/>
      <c r="V585" s="404"/>
      <c r="W585" s="378"/>
      <c r="X585" s="453"/>
      <c r="Y585" s="383"/>
      <c r="Z585" s="384"/>
      <c r="AA585" s="384"/>
      <c r="AB585" s="384"/>
      <c r="AC585" s="384"/>
      <c r="AD585" s="145">
        <f>((L584/(L584-1)-1))</f>
        <v>1.2987012987012987</v>
      </c>
      <c r="AE585" s="146" t="str">
        <f>IF(L585="","",(SUM(((L583-1)*(1-_xlfn.XLOOKUP(K583,'Fevereiro 2023 - Valor Real'!A3:A15,'Fevereiro 2023 - Valor Real'!C3:C15,0))+1),((L584-1)*(1-_xlfn.XLOOKUP(K584,'Fevereiro 2023 - Valor Real'!A3:A15,'Fevereiro 2023 - Valor Real'!C3:C15,0))+1),((L585-1)*(1-_xlfn.XLOOKUP(K585,'Fevereiro 2023 - Valor Real'!A3:A15,'Fevereiro 2023 - Valor Real'!C3:C15,0))+1))/((L585-1)*(1-_xlfn.XLOOKUP(K585,'Fevereiro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Real'!C3:C15,0))+1))/((L583-1)*(1-_xlfn.XLOOKUP(K583,'Fevereiro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Real'!C3:C15,0))+1))/((L584-1)*(1-_xlfn.XLOOKUP(K584,'Fevereiro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Real'!C3:C15,0))+1))/((L585-1)*(1-_xlfn.XLOOKUP(K585,'Fevereiro 2023 - Valor Real'!A3:A15,'Fevereiro 2023 - Valor Real'!C3:C15,0))+1)))</f>
        <v/>
      </c>
      <c r="AF585" s="105">
        <f t="shared" si="1190"/>
        <v>0</v>
      </c>
      <c r="AG585" s="106">
        <f t="shared" si="1190"/>
        <v>0</v>
      </c>
      <c r="AH585" s="106">
        <f t="shared" si="1190"/>
        <v>0</v>
      </c>
      <c r="AI585" s="106">
        <f t="shared" si="1190"/>
        <v>0</v>
      </c>
      <c r="AJ585" s="106">
        <f t="shared" si="1190"/>
        <v>0</v>
      </c>
      <c r="AK585" s="106">
        <f t="shared" si="1190"/>
        <v>0</v>
      </c>
      <c r="AL585" s="106">
        <f t="shared" si="1190"/>
        <v>0</v>
      </c>
      <c r="AM585" s="106">
        <f t="shared" si="1190"/>
        <v>0</v>
      </c>
      <c r="AN585" s="106">
        <f t="shared" si="1190"/>
        <v>0</v>
      </c>
      <c r="AO585" s="106">
        <f t="shared" si="1190"/>
        <v>0</v>
      </c>
      <c r="AP585" s="106">
        <f t="shared" si="1190"/>
        <v>0</v>
      </c>
      <c r="AQ585" s="106">
        <f t="shared" si="1190"/>
        <v>0</v>
      </c>
      <c r="AR585" s="107">
        <f t="shared" si="1190"/>
        <v>0</v>
      </c>
      <c r="AS585" s="105">
        <f>IF(AND($B583=" ",$K585=AS$3),$O585,0)</f>
        <v>0</v>
      </c>
      <c r="AT585" s="106">
        <f>IF(AND($B583=" ",K585=AT$3),$O585,0)</f>
        <v>0</v>
      </c>
      <c r="AU585" s="106">
        <f t="shared" ref="AU585:BE585" si="1193">IF(AND($B583=" ",$K585=AU$3),$O585,0)</f>
        <v>0</v>
      </c>
      <c r="AV585" s="106">
        <f t="shared" si="1193"/>
        <v>0</v>
      </c>
      <c r="AW585" s="106">
        <f t="shared" si="1193"/>
        <v>0</v>
      </c>
      <c r="AX585" s="106">
        <f t="shared" si="1193"/>
        <v>0</v>
      </c>
      <c r="AY585" s="108">
        <f t="shared" si="1193"/>
        <v>0</v>
      </c>
      <c r="AZ585" s="109">
        <f t="shared" si="1193"/>
        <v>0</v>
      </c>
      <c r="BA585" s="109">
        <f t="shared" si="1193"/>
        <v>0</v>
      </c>
      <c r="BB585" s="109">
        <f t="shared" si="1193"/>
        <v>0</v>
      </c>
      <c r="BC585" s="110">
        <f t="shared" si="1193"/>
        <v>0</v>
      </c>
      <c r="BD585" s="106">
        <f t="shared" si="1193"/>
        <v>0</v>
      </c>
      <c r="BE585" s="107">
        <f t="shared" si="1193"/>
        <v>0</v>
      </c>
      <c r="BF585" s="105">
        <f t="shared" si="1192"/>
        <v>0</v>
      </c>
      <c r="BG585" s="106">
        <f t="shared" si="1192"/>
        <v>0</v>
      </c>
      <c r="BH585" s="106">
        <f t="shared" si="1192"/>
        <v>0</v>
      </c>
      <c r="BI585" s="106">
        <f t="shared" si="1192"/>
        <v>0</v>
      </c>
      <c r="BJ585" s="106">
        <f t="shared" si="1192"/>
        <v>0</v>
      </c>
      <c r="BK585" s="106">
        <f t="shared" si="1192"/>
        <v>0</v>
      </c>
      <c r="BL585" s="106">
        <f t="shared" si="1192"/>
        <v>0</v>
      </c>
      <c r="BM585" s="108">
        <f t="shared" si="1192"/>
        <v>0</v>
      </c>
      <c r="BN585" s="109">
        <f t="shared" si="1192"/>
        <v>0</v>
      </c>
      <c r="BO585" s="109">
        <f t="shared" si="1192"/>
        <v>0</v>
      </c>
      <c r="BP585" s="109">
        <f t="shared" si="1192"/>
        <v>0</v>
      </c>
      <c r="BQ585" s="110">
        <f t="shared" si="1192"/>
        <v>0</v>
      </c>
      <c r="BR585" s="107">
        <f t="shared" si="1192"/>
        <v>0</v>
      </c>
      <c r="BS585" s="464"/>
      <c r="BT585" s="461"/>
      <c r="BU585" s="392"/>
      <c r="BV585" s="461"/>
      <c r="BW585" s="392"/>
      <c r="BX585" s="392"/>
      <c r="BY585" s="392"/>
      <c r="BZ585" s="461"/>
      <c r="CA585" s="392"/>
      <c r="CB585" s="392"/>
      <c r="CC585" s="392"/>
      <c r="CD585" s="401"/>
      <c r="CE585" s="409"/>
      <c r="CF585" s="133">
        <f t="shared" si="1156"/>
        <v>0</v>
      </c>
      <c r="CG585" s="134">
        <f t="shared" si="1157"/>
        <v>0</v>
      </c>
      <c r="CH585" s="134">
        <f t="shared" si="1158"/>
        <v>0</v>
      </c>
      <c r="CI585" s="134">
        <f t="shared" si="1159"/>
        <v>0</v>
      </c>
      <c r="CJ585" s="134">
        <f t="shared" si="1160"/>
        <v>0</v>
      </c>
      <c r="CK585" s="134">
        <f t="shared" si="1161"/>
        <v>0</v>
      </c>
      <c r="CL585" s="134">
        <f t="shared" si="1162"/>
        <v>0</v>
      </c>
      <c r="CM585" s="134">
        <f t="shared" si="1163"/>
        <v>0</v>
      </c>
      <c r="CN585" s="134">
        <f t="shared" si="1164"/>
        <v>0</v>
      </c>
      <c r="CO585" s="134">
        <f t="shared" si="1165"/>
        <v>0</v>
      </c>
      <c r="CP585" s="134">
        <f t="shared" si="1166"/>
        <v>0</v>
      </c>
      <c r="CQ585" s="134">
        <f t="shared" si="1167"/>
        <v>0</v>
      </c>
      <c r="CR585" s="134">
        <f t="shared" si="1168"/>
        <v>0</v>
      </c>
      <c r="CS585" s="134">
        <f t="shared" si="1169"/>
        <v>0</v>
      </c>
      <c r="CT585" s="115">
        <f t="shared" si="1170"/>
        <v>0</v>
      </c>
      <c r="CU585" s="116">
        <f t="shared" si="1171"/>
        <v>0</v>
      </c>
      <c r="CV585" s="116">
        <f t="shared" si="1172"/>
        <v>0</v>
      </c>
      <c r="CW585" s="116">
        <f t="shared" si="1173"/>
        <v>0</v>
      </c>
      <c r="CX585" s="116">
        <f t="shared" si="1174"/>
        <v>0</v>
      </c>
      <c r="CY585" s="116">
        <f t="shared" si="1175"/>
        <v>0</v>
      </c>
      <c r="CZ585" s="116">
        <f t="shared" si="1176"/>
        <v>0</v>
      </c>
      <c r="DA585" s="116">
        <f t="shared" si="1177"/>
        <v>0</v>
      </c>
      <c r="DB585" s="116">
        <f t="shared" si="1178"/>
        <v>0</v>
      </c>
      <c r="DC585" s="116">
        <f t="shared" si="1179"/>
        <v>0</v>
      </c>
      <c r="DD585" s="116">
        <f t="shared" si="1180"/>
        <v>0</v>
      </c>
      <c r="DE585" s="117">
        <f t="shared" si="1181"/>
        <v>0</v>
      </c>
      <c r="DF585" s="118">
        <f t="shared" si="1183"/>
        <v>35</v>
      </c>
      <c r="DG585" s="106">
        <f t="shared" si="1184"/>
        <v>45.887999999999991</v>
      </c>
      <c r="DH585" s="116">
        <f t="shared" si="1185"/>
        <v>14</v>
      </c>
      <c r="DI585" s="106">
        <f t="shared" si="1186"/>
        <v>60.05</v>
      </c>
      <c r="DJ585" s="201" t="str">
        <f>IF($D583="","",$D583)</f>
        <v>16</v>
      </c>
      <c r="DK585" s="466"/>
    </row>
    <row r="586" spans="1:115" ht="14.5" customHeight="1" x14ac:dyDescent="0.2">
      <c r="A586" s="487">
        <f>$A583+1</f>
        <v>195</v>
      </c>
      <c r="B586" s="506" t="str">
        <f>IF(OR(C586="W",C587="W",C588="W",C586="1/2W",C587="1/2W",C588="1/2W",C586="1/2L",C587="1/2L",C588="1/2L"),"OK",IF(OR(C586="L",C587="L",C588="L"),"LOSS",IF(OR(C586="X",C587="X",C588="X"),"Anulado"," ")))</f>
        <v>OK</v>
      </c>
      <c r="C586" s="147" t="s">
        <v>55</v>
      </c>
      <c r="D586" s="494" t="s">
        <v>218</v>
      </c>
      <c r="E586" s="511" t="str">
        <f>IF(G586=""," ","– "&amp;COUNTIF(D$4:D588,$D586))</f>
        <v>– 1</v>
      </c>
      <c r="F586" s="510" t="str">
        <f ca="1">IF(G586="","",IF(OR(AND($C586&lt;&gt;" ",$C587=" "),AND($C587&lt;&gt;" ",$C586=" "),AND(L588&gt;0,OR(AND($C588&lt;&gt;" ",OR($C586=" ",$C587=" ")),AND($C588=" ",OR($C586&lt;&gt;" ",$C587&lt;&gt;" "))))),IF(SUM(F$4:F585)=0,1,LARGE(F$4:F585,1)+1),IF(MONTH(G586)=MONTH(TODAY()),IF(AND(DAY(G586)&lt;DAY(TODAY()),$B586=" "),IF(SUM(F$4:F585)=0,1,LARGE(F$4:F585,1)+1),IF($B586=" ",IF(AND(DAY(G586)=DAY(TODAY()),HOUR(G586)&lt;=HOUR(NOW())+1),IF(AND(HOUR(G586)+2&lt;=HOUR(NOW()),DAY(G586)&lt;=DAY(TODAY()),MINUTE(G586)&lt;=MINUTE(NOW())),IF(SUM(F$4:F585)=0,1,LARGE(F$4:F585,1)+1),IF(OR(MINUTE(G586)&lt;=MINUTE(NOW()),HOUR(G586)&lt;=HOUR(NOW())),"!!!","")),""),"")),"")))</f>
        <v/>
      </c>
      <c r="G586" s="508">
        <v>45002.666666666664</v>
      </c>
      <c r="H586" s="502" t="s">
        <v>219</v>
      </c>
      <c r="I586" s="180" t="s">
        <v>63</v>
      </c>
      <c r="J586" s="149"/>
      <c r="K586" s="150" t="s">
        <v>47</v>
      </c>
      <c r="L586" s="151">
        <v>4.05</v>
      </c>
      <c r="M586" s="152">
        <v>8.57</v>
      </c>
      <c r="N586" s="503">
        <v>0</v>
      </c>
      <c r="O586" s="153">
        <f>IF(OR(AE586="",AE587=""),"",ROUND(IF(L588&gt;0,IF(M586&gt;0,M586,IF(M587&gt;0,ROUND((M587*AE586)/AE587,IF(N586=0,2,IF(N586=0.1,1,0))),ROUND((M588*AE586)/AE588,IF(N586=0,2,IF(N586=0.1,1,0))))),IF(M586&gt;0,M586,ROUND((M587*AE586)/AE587,IF(N586=0,2,IF(N586=0.1,1,0))))),2))</f>
        <v>8.57</v>
      </c>
      <c r="P586" s="154">
        <f>IF(OR(L586="",O586=""),"",IF($C586="1/2W",O586/2+O586/2*L586,IF($C586="1/2L",O586/2,IF(I586="Lay",(O586*(L586/(L586-1))-O586)*(1-_xlfn.XLOOKUP(K586,'Fevereiro 2023 - Valor Real'!A3:A15,'Fevereiro 2023 - Valor Real'!C3:C15,0))+O586,(O586*L586-O586)*(1-_xlfn.XLOOKUP(K586,'Fevereiro 2023 - Valor Real'!A3:A15,'Fevereiro 2023 - Valor Real'!C3:C15,0))+O586))))</f>
        <v>34.708500000000001</v>
      </c>
      <c r="Q586" s="155">
        <f>IF(K586="","",IF(_xlfn.XLOOKUP(K586,K$9:K578,$DJ$9:DJ578,0,,-1)=DJ586,_xlfn.XLOOKUP(K586,K$9:K578,Q$9:Q578,1,,-1)+1,1))</f>
        <v>1</v>
      </c>
      <c r="R586" s="156">
        <f>IF(K586="","",_xlfn.XLOOKUP(K586,K$9:K578,R$9:R578,0,,-1)+IF($C586=" ",1,0))</f>
        <v>0</v>
      </c>
      <c r="S586" s="501">
        <f>IF($B586="Anulado",0,ROUND(IF(OR($B586="LOSS",$B586="OK"),IF(OR($C586="W",$C586="1/2W",$C586="1/2L"),P586-O586,IF($C586="L",-O586,0))+IF(OR($C587="W",$C587="1/2W",$C587="1/2L"),P587-O587,IF($C587="L",-O587,0))+IF(OR($C588="W",$C588="1/2W",$C588="1/2L"),P588-O588,IF($C588="L",-O588,0)),IF(AND(OR($C586="W",$C586="1/2W",$C586="1/2L"),C587="W"),P586+P587-SUM(O586:O588)+_xlfn.XLOOKUP("X",C586:C588,O586:O588,0),IF(AND(C586=TRUE,C588="W"),P586+P588-SUM(O586:O588),IF(AND(C587="W",C588="W"),P587+P588-SUM(O586:O588)+_xlfn.XLOOKUP("X",C586:C588,O586:O588,0),IF(L588&gt;0,IF(OR($C586="W",$C586="1/2W",$C586="1/2L"),P586-SUM(O586:O588)+_xlfn.XLOOKUP("X",C586:C588,O586:O588,0),IF(OR($C586="W",$C586="1/2W",$C586="1/2L"),P587-SUM(O586:O588)+_xlfn.XLOOKUP("X",C586:C588,O586:O588,0),IF(OR($C586="W",$C586="1/2W",$C586="1/2L"),P588-SUM(O586:O588)+_xlfn.XLOOKUP("X",C586:C588,O586:O588,0),IF(SUM(P586:P588)/3-SUM(O586:O588)+_xlfn.XLOOKUP("X",C586:C588,O586:O588,0)&gt;0,SUM(P586:P588)/3-SUM(O586:O588)+_xlfn.XLOOKUP("X",C586:C588,O586:O588,0),LARGE(P586:P588,1)-SUM(O586:O588))))),IF(OR($C586="W",$C586="1/2W",$C586="1/2L"),P586-SUM(O586:O587)+_xlfn.XLOOKUP("X",C586:C588,O586:O588,0),IF(OR($C586="W",$C586="1/2W",$C586="1/2L"),P587-SUM(O586:O587)+_xlfn.XLOOKUP("X",C586:C588,O586:O588,0),SUM(P586:P587)/2-SUM(O586:O587)+_xlfn.XLOOKUP("X",C586:C588,O586:O588,0)))))))),2))</f>
        <v>1.25</v>
      </c>
      <c r="T586" s="486">
        <f>IF(S586=0,0,S586/SUM(O586:O588))</f>
        <v>3.7235627047959484E-2</v>
      </c>
      <c r="U586" s="496">
        <f>IF($D586=$D583,IF(OR($B586="LOSS",$B586="OK",$B586="Anulada"),S586,0)+U583,IF(OR($B586="LOSS",$B586="OK",$B586="Anulada"),S586,0))</f>
        <v>1.25</v>
      </c>
      <c r="V586" s="496">
        <f>IF($D586="",0,IF($D586=$D583,IF($B586=" ",IF(I588="",IF(OR(AND(I586="DNB1",I587="DNB2"),AND(OR(I586="DNB1",I586="DNB2"),J587=0),AND(OR(I587="DNB1",I587="DNB2"),J586=0),AND(I586="DNB2",I587="DNB1"),AND(IF(J586=0,(J586+1)/ROUND(J586+1,0),J586/ROUND(J586,0))=1,IF(J587=0,(J587+1)/ROUND(IF(J587="",0,J587)+1,0),IF(J587="",0,J587)/ROUND(IF(J587="",1,J587),0))=1,OR(J586&lt;&gt;""),J587&lt;&gt;"")),0,IF(S586&lt;0,IF(I588="",SMALL(P586:P587,1)-SUM(O586:O587),0),SMALL(P586:P587,1)-SUM(O586:O587))),IF(S586&lt;0,IF(I588="",SMALL(P586:P588,1)-SUM(O586:O588),0),LARGE(P586:P588,1)-SUM(O586:O588))),S586)+V583,IF(I588="",IF(OR(AND(I586="DNB1",I587="DNB2"),AND(OR(I586="DNB1",I586="DNB2"),J587=0),AND(OR(I587="DNB1",I587="DNB2"),J586=0),AND(I586="DNB2",I587="DNB1"),AND(IF(J586=0,(J586+1)/ROUND(J586+1,0),J586/ROUND(J586,0))=1,IF(J587=0,(IF(J587="",0,J587)+1)/ROUND(IF(J587="",0,J587)+1,0),IF(J587="",0,J587)/ROUND(IF(J587="",0,J587)+1,0))=1,OR(J586&lt;&gt;""),J587&lt;&gt;"")),0,IF(S586&lt;0,IF(I588="",SMALL(P586:P587,1)-SUM(O586:O587),0),SMALL(P586:P588,1)-SUM(O586:O588))),IF(S586&lt;0,IF(I588="",SMALL(P586:P588,1)-SUM(O586:O588),0),LARGE(P586:P588,1)-SUM(O586:O588)))))</f>
        <v>1.1385000000000005</v>
      </c>
      <c r="W586" s="496">
        <f>IF($D586=$D583,IF(S586&lt;0,IF(I588="",S586,0),S586)+W583,S586)</f>
        <v>1.25</v>
      </c>
      <c r="X586" s="505" t="str">
        <f>IF(OR(SUM(R586:R588)=0,V586=W586),ROUND(IF(W586=0,0,W586/Y586)*100,2)&amp;"%",ROUND(IF(V586=0,0,V586/Y586)*100,2)&amp;"% a "&amp;ROUND(IF(W586=0,0,W586/Y586)*100,2)&amp;"%")</f>
        <v>3,72%</v>
      </c>
      <c r="Y586" s="497">
        <f>IF($D586=$D583,Y583+SUM(O586:O588),SUM(O586:O588))</f>
        <v>33.57</v>
      </c>
      <c r="Z586" s="496">
        <f>IF($B586=" ",SUM(O586:O588),0)+Z583</f>
        <v>0</v>
      </c>
      <c r="AA586" s="496">
        <f>IF(G586="","",IF($B586="Anulado",LARGE(P586:P588,1)-SUM(O586:O588)+AA583,AA583))</f>
        <v>12.425099999999992</v>
      </c>
      <c r="AB586" s="496">
        <f>IF($D586="","",AB583+S586)</f>
        <v>666.49000000000058</v>
      </c>
      <c r="AC586" s="499">
        <f ca="1">IF($D586="","",IF($B586=" ",IF(DAY(G586)=DAY(TODAY()),1+AC583,0+AC583),0+AC583))</f>
        <v>0</v>
      </c>
      <c r="AD586" s="157">
        <f>(1-_xlfn.XLOOKUP(K584,'Fevereiro 2023 - Valor Real'!A3:A15,'Fevereiro 2023 - Valor Real'!C3:C15,0))+1</f>
        <v>2</v>
      </c>
      <c r="AE586" s="158">
        <f>IF(L586="","",IF(L588&gt;0,(SUM(((L586-1)*(1-_xlfn.XLOOKUP(K586,'Fevereiro 2023 - Valor Real'!A3:A15,'Fevereiro 2023 - Valor Real'!C3:C15,0))+1),((L587-1)*(1-_xlfn.XLOOKUP(K587,'Fevereiro 2023 - Valor Real'!A3:A15,'Fevereiro 2023 - Valor Real'!C3:C15,0))+1),((L588-1)*(1-_xlfn.XLOOKUP(K588,'Fevereiro 2023 - Valor Real'!A3:A15,'Fevereiro 2023 - Valor Real'!C3:C15,0))+1))/((L586-1)*(1-_xlfn.XLOOKUP(K586,'Fevereiro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Real'!C3:C15,0))+1))/((L586-1)*(1-_xlfn.XLOOKUP(K586,'Fevereiro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Real'!C3:C15,0))+1))/((L587-1)*(1-_xlfn.XLOOKUP(K587,'Fevereiro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Real'!C3:C15,0))+1))/((L588-1)*(1-_xlfn.XLOOKUP(K588,'Fevereiro 2023 - Valor Real'!A3:A15,'Fevereiro 2023 - Valor Real'!C3:C15,0))+1)),IF(I586="Lay",IF(I587="Lay",((L587/(L587-1)-1)*(1-_xlfn.XLOOKUP(K587,'Fevereiro 2023 - Valor Real'!A3:A15,'Fevereiro 2023 - Valor Real'!C3:C15,0))+1)/(((L587/(L587-1)-1)*(1-_xlfn.XLOOKUP(K587,'Fevereiro 2023 - Valor Real'!A3:A15,'Fevereiro 2023 - Valor Real'!C3:C15,0))+1)+((L586/(L586-1)-1)*(1-_xlfn.XLOOKUP(K586,'Fevereiro 2023 - Valor Real'!A3:A15,'Fevereiro 2023 - Valor Real'!C3:C15,0))+1)),((L587-1)*(1-_xlfn.XLOOKUP(K587,'Fevereiro 2023 - Valor Real'!A3:A15,'Fevereiro 2023 - Valor Real'!C3:C15,0))+1)/(((L587-1)*(1-_xlfn.XLOOKUP(K587,'Fevereiro 2023 - Valor Real'!A3:A15,'Fevereiro 2023 - Valor Real'!C3:C15,0))+1)+((L586/(L586-1)-1)*(1-_xlfn.XLOOKUP(K586,'Fevereiro 2023 - Valor Real'!A3:A15,'Fevereiro 2023 - Valor Real'!C3:C15,0))+1))),IF(I587="Lay",(((L587/(L587-1)-1)*(1-_xlfn.XLOOKUP(K587,'Fevereiro 2023 - Valor Real'!A3:A15,'Fevereiro 2023 - Valor Real'!C3:C15,0))+1))/(((L586-1)*(1-_xlfn.XLOOKUP(K586,'Fevereiro 2023 - Valor Real'!A3:A15,'Fevereiro 2023 - Valor Real'!C3:C15,0))+1)+((L587/(L587-1)-1)*(1-_xlfn.XLOOKUP(K587,'Fevereiro 2023 - Valor Real'!A3:A15,'Fevereiro 2023 - Valor Real'!C3:C15,0))+1)),((L587-1)*(1-_xlfn.XLOOKUP(K587,'Fevereiro 2023 - Valor Real'!A3:A15,'Fevereiro 2023 - Valor Real'!C3:C15,0))+1)/(((L587-1)*(1-_xlfn.XLOOKUP(K587,'Fevereiro 2023 - Valor Real'!A3:A15,'Fevereiro 2023 - Valor Real'!C3:C15,0))+1)+((L586-1)*(1-_xlfn.XLOOKUP(K586,'Fevereiro 2023 - Valor Real'!A3:A15,'Fevereiro 2023 - Valor Real'!C3:C15,0))+1))))))</f>
        <v>0.15184462677147287</v>
      </c>
      <c r="AF586" s="66">
        <f t="shared" si="1190"/>
        <v>0</v>
      </c>
      <c r="AG586" s="67">
        <f t="shared" si="1190"/>
        <v>0</v>
      </c>
      <c r="AH586" s="67">
        <f t="shared" si="1190"/>
        <v>0</v>
      </c>
      <c r="AI586" s="67">
        <f t="shared" si="1190"/>
        <v>0</v>
      </c>
      <c r="AJ586" s="67">
        <f t="shared" si="1190"/>
        <v>0</v>
      </c>
      <c r="AK586" s="67">
        <f t="shared" si="1190"/>
        <v>0</v>
      </c>
      <c r="AL586" s="67">
        <f t="shared" si="1190"/>
        <v>0</v>
      </c>
      <c r="AM586" s="67">
        <f t="shared" si="1190"/>
        <v>0</v>
      </c>
      <c r="AN586" s="67">
        <f t="shared" si="1190"/>
        <v>0</v>
      </c>
      <c r="AO586" s="67">
        <f t="shared" si="1190"/>
        <v>0</v>
      </c>
      <c r="AP586" s="67">
        <f t="shared" si="1190"/>
        <v>0</v>
      </c>
      <c r="AQ586" s="67">
        <f t="shared" si="1190"/>
        <v>-8.57</v>
      </c>
      <c r="AR586" s="68">
        <f t="shared" si="1190"/>
        <v>0</v>
      </c>
      <c r="AS586" s="66">
        <f t="shared" ref="AS586:BE586" si="1194">IF(AND($B586=" ",$K586=AS$3),$O586,0)</f>
        <v>0</v>
      </c>
      <c r="AT586" s="67">
        <f t="shared" si="1194"/>
        <v>0</v>
      </c>
      <c r="AU586" s="67">
        <f t="shared" si="1194"/>
        <v>0</v>
      </c>
      <c r="AV586" s="67">
        <f t="shared" si="1194"/>
        <v>0</v>
      </c>
      <c r="AW586" s="67">
        <f t="shared" si="1194"/>
        <v>0</v>
      </c>
      <c r="AX586" s="67">
        <f t="shared" si="1194"/>
        <v>0</v>
      </c>
      <c r="AY586" s="69">
        <f t="shared" si="1194"/>
        <v>0</v>
      </c>
      <c r="AZ586" s="70">
        <f t="shared" si="1194"/>
        <v>0</v>
      </c>
      <c r="BA586" s="70">
        <f t="shared" si="1194"/>
        <v>0</v>
      </c>
      <c r="BB586" s="70">
        <f t="shared" si="1194"/>
        <v>0</v>
      </c>
      <c r="BC586" s="71">
        <f t="shared" si="1194"/>
        <v>0</v>
      </c>
      <c r="BD586" s="67">
        <f t="shared" si="1194"/>
        <v>0</v>
      </c>
      <c r="BE586" s="68">
        <f t="shared" si="1194"/>
        <v>0</v>
      </c>
      <c r="BF586" s="66">
        <f t="shared" si="1192"/>
        <v>0</v>
      </c>
      <c r="BG586" s="67">
        <f t="shared" si="1192"/>
        <v>0</v>
      </c>
      <c r="BH586" s="67">
        <f t="shared" si="1192"/>
        <v>0</v>
      </c>
      <c r="BI586" s="67">
        <f t="shared" si="1192"/>
        <v>0</v>
      </c>
      <c r="BJ586" s="67">
        <f t="shared" si="1192"/>
        <v>0</v>
      </c>
      <c r="BK586" s="67">
        <f t="shared" si="1192"/>
        <v>0</v>
      </c>
      <c r="BL586" s="67">
        <f t="shared" si="1192"/>
        <v>0</v>
      </c>
      <c r="BM586" s="69">
        <f t="shared" si="1192"/>
        <v>0</v>
      </c>
      <c r="BN586" s="70">
        <f t="shared" si="1192"/>
        <v>0</v>
      </c>
      <c r="BO586" s="70">
        <f t="shared" si="1192"/>
        <v>0</v>
      </c>
      <c r="BP586" s="70">
        <f t="shared" si="1192"/>
        <v>0</v>
      </c>
      <c r="BQ586" s="71">
        <f t="shared" si="1192"/>
        <v>8.57</v>
      </c>
      <c r="BR586" s="68">
        <f t="shared" si="1192"/>
        <v>0</v>
      </c>
      <c r="BS586" s="490">
        <f>IF($B586="LOSS",IF(AND($K586=BS$3,$C586="L"),-$O586,0)+IF(AND($K587=BS$3,$C587="L"),-$O587,0)+IF(AND($K588=BS$3,$C588="L"),-$O588,0),IF(OR(AND($K586=BS$3,OR($C586="W",$C586="1/2W")),AND($K587=BS$3,OR($C587="W",$C587="1/2W")),AND($K588=BS$3,OR($C588="W",$C588="1/2W"))),$S586,0))</f>
        <v>0</v>
      </c>
      <c r="BT586" s="498">
        <f>IF($B586="LOSS",IF(AND($K586=BT$3,$C586="L"),-$O586,0)+IF(AND($K587=BT$3,$C587="L"),-$O587,0)+IF(AND($K587=BT$3,$C588="L"),-$O588,0),IF(OR(AND($K587=BT$3,OR($C586="W",$C586="1/2W")),AND($K587=BT$3,OR($C587="W",$C587="1/2W")),AND($K587=BT$3,OR($C588="W",$C588="1/2W"))),$S586,0))</f>
        <v>0</v>
      </c>
      <c r="BU586" s="488">
        <f>IF($B586="LOSS",IF(AND($K586=BU$3,$C586="L"),-$O586,0)+IF(AND($K587=BU$3,$C587="L"),-$O587,0)+IF(AND($K587=BU$3,$C588="L"),-$O588,0),IF(OR(AND($K587=BU$3,OR($C586="W",$C586="1/2W")),AND($K587=BU$3,OR($C587="W",$C587="1/2W")),AND($K587=BU$3,OR($C588="W",$C588="1/2W"))),$S586,0))</f>
        <v>0</v>
      </c>
      <c r="BV586" s="488">
        <f t="shared" ref="BV586:CE586" si="1195">IF($B586="LOSS",IF(AND($K586=BV$3,$C586="L"),-$O586,0)+IF(AND($K587=BV$3,$C587="L"),-$O587,0)+IF(AND($K588=BV$3,$C588="L"),-$O588,0),IF(OR(AND($K586=BV$3,OR($C586="W",$C586="1/2W")),AND($K587=BV$3,OR($C587="W",$C587="1/2W")),AND($K588=BV$3,OR($C588="W",$C588="1/2W"))),$S586,0))</f>
        <v>0</v>
      </c>
      <c r="BW586" s="488">
        <f t="shared" si="1195"/>
        <v>1.25</v>
      </c>
      <c r="BX586" s="488">
        <f t="shared" si="1195"/>
        <v>0</v>
      </c>
      <c r="BY586" s="488">
        <f t="shared" si="1195"/>
        <v>0</v>
      </c>
      <c r="BZ586" s="488">
        <f t="shared" si="1195"/>
        <v>0</v>
      </c>
      <c r="CA586" s="488">
        <f t="shared" si="1195"/>
        <v>0</v>
      </c>
      <c r="CB586" s="488">
        <f t="shared" si="1195"/>
        <v>0</v>
      </c>
      <c r="CC586" s="488">
        <f t="shared" si="1195"/>
        <v>0</v>
      </c>
      <c r="CD586" s="500">
        <f t="shared" si="1195"/>
        <v>0</v>
      </c>
      <c r="CE586" s="504">
        <f t="shared" si="1195"/>
        <v>0</v>
      </c>
      <c r="CF586" s="160">
        <f t="shared" si="1156"/>
        <v>0</v>
      </c>
      <c r="CG586" s="161">
        <f t="shared" si="1157"/>
        <v>0</v>
      </c>
      <c r="CH586" s="161">
        <f t="shared" si="1158"/>
        <v>0</v>
      </c>
      <c r="CI586" s="161">
        <f t="shared" si="1159"/>
        <v>0</v>
      </c>
      <c r="CJ586" s="161">
        <f t="shared" si="1160"/>
        <v>0</v>
      </c>
      <c r="CK586" s="161">
        <f t="shared" si="1161"/>
        <v>0</v>
      </c>
      <c r="CL586" s="161">
        <f t="shared" si="1162"/>
        <v>0</v>
      </c>
      <c r="CM586" s="161">
        <f t="shared" si="1163"/>
        <v>0</v>
      </c>
      <c r="CN586" s="161">
        <f t="shared" si="1164"/>
        <v>0</v>
      </c>
      <c r="CO586" s="161">
        <f t="shared" si="1165"/>
        <v>0</v>
      </c>
      <c r="CP586" s="161">
        <f t="shared" si="1166"/>
        <v>0</v>
      </c>
      <c r="CQ586" s="161">
        <f t="shared" si="1167"/>
        <v>0</v>
      </c>
      <c r="CR586" s="161">
        <f t="shared" si="1168"/>
        <v>0</v>
      </c>
      <c r="CS586" s="161">
        <f t="shared" si="1169"/>
        <v>0</v>
      </c>
      <c r="CT586" s="75">
        <f t="shared" si="1170"/>
        <v>0</v>
      </c>
      <c r="CU586" s="76">
        <f t="shared" si="1171"/>
        <v>0</v>
      </c>
      <c r="CV586" s="76">
        <f t="shared" si="1172"/>
        <v>0</v>
      </c>
      <c r="CW586" s="76">
        <f t="shared" si="1173"/>
        <v>0</v>
      </c>
      <c r="CX586" s="76">
        <f t="shared" si="1174"/>
        <v>0</v>
      </c>
      <c r="CY586" s="76">
        <f t="shared" si="1175"/>
        <v>0</v>
      </c>
      <c r="CZ586" s="76">
        <f t="shared" si="1176"/>
        <v>0</v>
      </c>
      <c r="DA586" s="76">
        <f t="shared" si="1177"/>
        <v>0</v>
      </c>
      <c r="DB586" s="76">
        <f t="shared" si="1178"/>
        <v>0</v>
      </c>
      <c r="DC586" s="76">
        <f t="shared" si="1179"/>
        <v>1</v>
      </c>
      <c r="DD586" s="76">
        <f t="shared" si="1180"/>
        <v>0</v>
      </c>
      <c r="DE586" s="77">
        <f t="shared" si="1181"/>
        <v>0</v>
      </c>
      <c r="DF586" s="73">
        <f t="shared" si="1183"/>
        <v>35</v>
      </c>
      <c r="DG586" s="67">
        <f t="shared" si="1184"/>
        <v>45.887999999999991</v>
      </c>
      <c r="DH586" s="76">
        <f t="shared" si="1185"/>
        <v>14</v>
      </c>
      <c r="DI586" s="67">
        <f t="shared" si="1186"/>
        <v>60.05</v>
      </c>
      <c r="DJ586" s="202" t="str">
        <f>IF($D586="","",$D586)</f>
        <v>17</v>
      </c>
      <c r="DK586" s="492">
        <f>IF(AND($B586=" ",$D586&lt;&gt;""),1,0)</f>
        <v>0</v>
      </c>
    </row>
    <row r="587" spans="1:115" ht="14.5" customHeight="1" x14ac:dyDescent="0.2">
      <c r="A587" s="389"/>
      <c r="B587" s="456"/>
      <c r="C587" s="53" t="s">
        <v>54</v>
      </c>
      <c r="D587" s="374"/>
      <c r="E587" s="386"/>
      <c r="F587" s="377"/>
      <c r="G587" s="508"/>
      <c r="H587" s="476"/>
      <c r="I587" s="182" t="s">
        <v>64</v>
      </c>
      <c r="J587" s="163" t="str">
        <f>IF(OR(I586="TO",I586="TU",I586="TO1",I586="TU1",I586="TO2",I586="TU2"),J586,IF(OR(I586="AH1",I586="AH2"),IF(OR(I587="AH1",I587="AH2"),-J586,IF(OR(I587="EH1",I587="EH2"),-J586+0.5,"")),IF(OR(I586="EH1",I586="EH2"),IF(OR(I587="AH1",I587="AH2"),-J586+0.5,IF(OR(I587="EH1",I587="EH2"),-J586+1,"")),IF(AND(OR(I586="DNB1",I586="DNB2"),OR(I587="AH1",I587="AH2")),0,IF(AND(I586="Not ScoreBoth",OR(I587="TO1",I587="TO2")),0.5,"")))))</f>
        <v/>
      </c>
      <c r="K587" s="57" t="s">
        <v>40</v>
      </c>
      <c r="L587" s="164">
        <v>1.34</v>
      </c>
      <c r="M587" s="165">
        <v>19.5</v>
      </c>
      <c r="N587" s="406"/>
      <c r="O587" s="60">
        <f>IF(OR(AE586="",AE587=""),"",ROUND(IF(L588&gt;0,IF(M587&gt;0,M587,IF(M586&gt;0,IF(N586=TRUE,ROUND((M586*AE587)/AE586,0),(M586*AE587)/AE586),IF(M587&gt;0,ROUND(M587,IF(N586=0,2,IF(N586=0.1,1,0))),IF(M588&gt;0,ROUND(O588*AE587/AE588,IF(N586=0,2,IF(N586=0.1,1,0))),0)))),IF(M587&gt;0,M587,ROUND((M586*AE587)/AE586,IF(N586=0,2,IF(N586=0.1,1,0))))),2))</f>
        <v>19.5</v>
      </c>
      <c r="P587" s="61">
        <f>IF(OR(L587="",O587=""),"",IF($C587="1/2W",O587/2+O587/2*L587,IF($C587="1/2L",O587/2,IF(I587="Lay",((O587*(L587/(L587-1)))-O587)*(1-_xlfn.XLOOKUP(K587,'Fevereiro 2023 - Valor Real'!A3:A15,'Fevereiro 2023 - Valor Real'!C3:C15,0))+O587,(O587*L587-O587)*(1-_xlfn.XLOOKUP(K587,'Fevereiro 2023 - Valor Real'!A3:A15,'Fevereiro 2023 - Valor Real'!C3:C15,0))+O587))))</f>
        <v>26.130000000000003</v>
      </c>
      <c r="Q587" s="166">
        <f>IF(K587="","",IF(_xlfn.XLOOKUP(K587,K$10:K578,$DJ$10:DJ578,0,,-1)=DJ587,_xlfn.XLOOKUP(K587,K$10:K578,Q$10:Q578,1,,-1)+1,1))</f>
        <v>1</v>
      </c>
      <c r="R587" s="167">
        <f>IF(K587="","",_xlfn.XLOOKUP(K587,K$10:K578,R$10:R578,0,,-1)+IF($C587=" ",1,0))</f>
        <v>0</v>
      </c>
      <c r="S587" s="403"/>
      <c r="T587" s="380"/>
      <c r="U587" s="380"/>
      <c r="V587" s="481"/>
      <c r="W587" s="380"/>
      <c r="X587" s="452"/>
      <c r="Y587" s="383"/>
      <c r="Z587" s="384"/>
      <c r="AA587" s="384"/>
      <c r="AB587" s="384"/>
      <c r="AC587" s="384"/>
      <c r="AD587" s="64"/>
      <c r="AE587" s="65">
        <f>IF(L587="","",IF(L588&gt;0,(SUM(((L586-1)*(1-_xlfn.XLOOKUP(K586,'Fevereiro 2023 - Valor Real'!A3:A15,'Fevereiro 2023 - Valor Real'!C3:C15,0))+1),((L587-1)*(1-_xlfn.XLOOKUP(K587,'Fevereiro 2023 - Valor Real'!A3:A15,'Fevereiro 2023 - Valor Real'!C3:C15,0))+1),((L588-1)*(1-_xlfn.XLOOKUP(K588,'Fevereiro 2023 - Valor Real'!A3:A15,'Fevereiro 2023 - Valor Real'!C3:C15,0))+1))/((L587-1)*(1-_xlfn.XLOOKUP(K587,'Fevereiro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Real'!C3:C15,0))+1))/((L586-1)*(1-_xlfn.XLOOKUP(K586,'Fevereiro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Real'!C3:C15,0))+1))/((L587-1)*(1-_xlfn.XLOOKUP(K587,'Fevereiro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Real'!C3:C15,0))+1))/((L588-1)*(1-_xlfn.XLOOKUP(K588,'Fevereiro 2023 - Valor Real'!A3:A15,'Fevereiro 2023 - Valor Real'!C3:C15,0))+1)),IF(I587="Lay",IF(I586="Lay",((L586/(L586-1)-1)*(1-_xlfn.XLOOKUP(K586,'Fevereiro 2023 - Valor Real'!A3:A15,'Fevereiro 2023 - Valor Real'!C3:C15,0))+1)/(((L586/(L586-1)-1)*(1-_xlfn.XLOOKUP(K586,'Fevereiro 2023 - Valor Real'!A3:A15,'Fevereiro 2023 - Valor Real'!C3:C15,0))+1)+((L587/(L587-1)-1)*(1-_xlfn.XLOOKUP(K587,'Fevereiro 2023 - Valor Real'!A3:A15,'Fevereiro 2023 - Valor Real'!C3:C15,0))+1)),((L586-1)*(1-_xlfn.XLOOKUP(K586,'Fevereiro 2023 - Valor Real'!A3:A15,'Fevereiro 2023 - Valor Real'!C3:C15,0))+1)/(((L586-1)*(1-_xlfn.XLOOKUP(K586,'Fevereiro 2023 - Valor Real'!A3:A15,'Fevereiro 2023 - Valor Real'!C3:C15,0))+1)+((L587/(L587-1)-1)*(1-_xlfn.XLOOKUP(K587,'Fevereiro 2023 - Valor Real'!A3:A15,'Fevereiro 2023 - Valor Real'!C3:C15,0))+1))),IF(I586="Lay",((L586/(L586-1)-1)*(1-_xlfn.XLOOKUP(K586,'Fevereiro 2023 - Valor Real'!A3:A15,'Fevereiro 2023 - Valor Real'!C3:C15,0))+1)/((((L586/(L586-1)-1)*(1-_xlfn.XLOOKUP(K586,'Fevereiro 2023 - Valor Real'!A3:A15,'Fevereiro 2023 - Valor Real'!C3:C15,0))+1))+((L587-1)*(1-_xlfn.XLOOKUP(K587,'Fevereiro 2023 - Valor Real'!A3:A15,'Fevereiro 2023 - Valor Real'!C3:C15,0))+1)),((L586-1)*(1-_xlfn.XLOOKUP(K586,'Fevereiro 2023 - Valor Real'!A3:A15,'Fevereiro 2023 - Valor Real'!C3:C15,0))+1)/(((L586-1)*(1-_xlfn.XLOOKUP(K586,'Fevereiro 2023 - Valor Real'!A3:A15,'Fevereiro 2023 - Valor Real'!C3:C15,0))+1)+((L587-1)*(1-_xlfn.XLOOKUP(K587,'Fevereiro 2023 - Valor Real'!A3:A15,'Fevereiro 2023 - Valor Real'!C3:C15,0))+1))))))</f>
        <v>0.4589333868839291</v>
      </c>
      <c r="AF587" s="66">
        <f t="shared" si="1190"/>
        <v>0</v>
      </c>
      <c r="AG587" s="67">
        <f t="shared" si="1190"/>
        <v>0</v>
      </c>
      <c r="AH587" s="67">
        <f t="shared" si="1190"/>
        <v>0</v>
      </c>
      <c r="AI587" s="67">
        <f t="shared" si="1190"/>
        <v>0</v>
      </c>
      <c r="AJ587" s="67">
        <f t="shared" si="1190"/>
        <v>6.63</v>
      </c>
      <c r="AK587" s="67">
        <f t="shared" si="1190"/>
        <v>0</v>
      </c>
      <c r="AL587" s="67">
        <f t="shared" si="1190"/>
        <v>0</v>
      </c>
      <c r="AM587" s="67">
        <f t="shared" si="1190"/>
        <v>0</v>
      </c>
      <c r="AN587" s="67">
        <f t="shared" si="1190"/>
        <v>0</v>
      </c>
      <c r="AO587" s="67">
        <f t="shared" si="1190"/>
        <v>0</v>
      </c>
      <c r="AP587" s="67">
        <f t="shared" si="1190"/>
        <v>0</v>
      </c>
      <c r="AQ587" s="67">
        <f t="shared" si="1190"/>
        <v>0</v>
      </c>
      <c r="AR587" s="68">
        <f t="shared" si="1190"/>
        <v>0</v>
      </c>
      <c r="AS587" s="66">
        <f>IF(AND($B586=" ",$K587=AS$3),$O587,0)</f>
        <v>0</v>
      </c>
      <c r="AT587" s="67">
        <f>IF(AND($B586=" ",K587=AT$3),$O587,0)</f>
        <v>0</v>
      </c>
      <c r="AU587" s="67">
        <f t="shared" ref="AU587:BE587" si="1196">IF(AND($B586=" ",$K587=AU$3),$O587,0)</f>
        <v>0</v>
      </c>
      <c r="AV587" s="67">
        <f t="shared" si="1196"/>
        <v>0</v>
      </c>
      <c r="AW587" s="67">
        <f t="shared" si="1196"/>
        <v>0</v>
      </c>
      <c r="AX587" s="67">
        <f t="shared" si="1196"/>
        <v>0</v>
      </c>
      <c r="AY587" s="69">
        <f t="shared" si="1196"/>
        <v>0</v>
      </c>
      <c r="AZ587" s="70">
        <f t="shared" si="1196"/>
        <v>0</v>
      </c>
      <c r="BA587" s="70">
        <f t="shared" si="1196"/>
        <v>0</v>
      </c>
      <c r="BB587" s="70">
        <f t="shared" si="1196"/>
        <v>0</v>
      </c>
      <c r="BC587" s="71">
        <f t="shared" si="1196"/>
        <v>0</v>
      </c>
      <c r="BD587" s="67">
        <f t="shared" si="1196"/>
        <v>0</v>
      </c>
      <c r="BE587" s="68">
        <f t="shared" si="1196"/>
        <v>0</v>
      </c>
      <c r="BF587" s="66">
        <f t="shared" si="1192"/>
        <v>0</v>
      </c>
      <c r="BG587" s="168">
        <f t="shared" si="1192"/>
        <v>0</v>
      </c>
      <c r="BH587" s="67">
        <f t="shared" si="1192"/>
        <v>0</v>
      </c>
      <c r="BI587" s="67">
        <f t="shared" si="1192"/>
        <v>0</v>
      </c>
      <c r="BJ587" s="67">
        <f t="shared" si="1192"/>
        <v>19.5</v>
      </c>
      <c r="BK587" s="67">
        <f t="shared" si="1192"/>
        <v>0</v>
      </c>
      <c r="BL587" s="67">
        <f t="shared" si="1192"/>
        <v>0</v>
      </c>
      <c r="BM587" s="69">
        <f t="shared" si="1192"/>
        <v>0</v>
      </c>
      <c r="BN587" s="70">
        <f t="shared" si="1192"/>
        <v>0</v>
      </c>
      <c r="BO587" s="70">
        <f t="shared" si="1192"/>
        <v>0</v>
      </c>
      <c r="BP587" s="70">
        <f t="shared" si="1192"/>
        <v>0</v>
      </c>
      <c r="BQ587" s="71">
        <f t="shared" si="1192"/>
        <v>0</v>
      </c>
      <c r="BR587" s="68">
        <f t="shared" si="1192"/>
        <v>0</v>
      </c>
      <c r="BS587" s="491"/>
      <c r="BT587" s="489"/>
      <c r="BU587" s="392"/>
      <c r="BV587" s="489"/>
      <c r="BW587" s="392"/>
      <c r="BX587" s="392"/>
      <c r="BY587" s="392"/>
      <c r="BZ587" s="489"/>
      <c r="CA587" s="392"/>
      <c r="CB587" s="392"/>
      <c r="CC587" s="392"/>
      <c r="CD587" s="401"/>
      <c r="CE587" s="409"/>
      <c r="CF587" s="169">
        <f t="shared" si="1156"/>
        <v>0</v>
      </c>
      <c r="CG587" s="170">
        <f t="shared" si="1157"/>
        <v>0</v>
      </c>
      <c r="CH587" s="170">
        <f t="shared" si="1158"/>
        <v>0</v>
      </c>
      <c r="CI587" s="170">
        <f t="shared" si="1159"/>
        <v>0</v>
      </c>
      <c r="CJ587" s="170">
        <f t="shared" si="1160"/>
        <v>0</v>
      </c>
      <c r="CK587" s="170">
        <f t="shared" si="1161"/>
        <v>0</v>
      </c>
      <c r="CL587" s="170">
        <f t="shared" si="1162"/>
        <v>0</v>
      </c>
      <c r="CM587" s="170">
        <f t="shared" si="1163"/>
        <v>0</v>
      </c>
      <c r="CN587" s="170">
        <f t="shared" si="1164"/>
        <v>1</v>
      </c>
      <c r="CO587" s="170">
        <f t="shared" si="1165"/>
        <v>0</v>
      </c>
      <c r="CP587" s="170">
        <f t="shared" si="1166"/>
        <v>0</v>
      </c>
      <c r="CQ587" s="170">
        <f t="shared" si="1167"/>
        <v>0</v>
      </c>
      <c r="CR587" s="170">
        <f t="shared" si="1168"/>
        <v>0</v>
      </c>
      <c r="CS587" s="170">
        <f t="shared" si="1169"/>
        <v>0</v>
      </c>
      <c r="CT587" s="75">
        <f t="shared" si="1170"/>
        <v>0</v>
      </c>
      <c r="CU587" s="76">
        <f t="shared" si="1171"/>
        <v>0</v>
      </c>
      <c r="CV587" s="76">
        <f t="shared" si="1172"/>
        <v>0</v>
      </c>
      <c r="CW587" s="76">
        <f t="shared" si="1173"/>
        <v>0</v>
      </c>
      <c r="CX587" s="76">
        <f t="shared" si="1174"/>
        <v>0</v>
      </c>
      <c r="CY587" s="76">
        <f t="shared" si="1175"/>
        <v>0</v>
      </c>
      <c r="CZ587" s="76">
        <f t="shared" si="1176"/>
        <v>0</v>
      </c>
      <c r="DA587" s="76">
        <f t="shared" si="1177"/>
        <v>0</v>
      </c>
      <c r="DB587" s="76">
        <f t="shared" si="1178"/>
        <v>0</v>
      </c>
      <c r="DC587" s="76">
        <f t="shared" si="1179"/>
        <v>0</v>
      </c>
      <c r="DD587" s="76">
        <f t="shared" si="1180"/>
        <v>0</v>
      </c>
      <c r="DE587" s="77">
        <f t="shared" si="1181"/>
        <v>0</v>
      </c>
      <c r="DF587" s="73">
        <f t="shared" si="1183"/>
        <v>36</v>
      </c>
      <c r="DG587" s="67">
        <f t="shared" si="1184"/>
        <v>47.227999999999994</v>
      </c>
      <c r="DH587" s="76">
        <f t="shared" si="1185"/>
        <v>14</v>
      </c>
      <c r="DI587" s="67">
        <f t="shared" si="1186"/>
        <v>60.05</v>
      </c>
      <c r="DJ587" s="202" t="str">
        <f>IF($D586="","",$D586)</f>
        <v>17</v>
      </c>
      <c r="DK587" s="493"/>
    </row>
    <row r="588" spans="1:115" ht="14.5" customHeight="1" x14ac:dyDescent="0.2">
      <c r="A588" s="390"/>
      <c r="B588" s="457"/>
      <c r="C588" s="79" t="s">
        <v>54</v>
      </c>
      <c r="D588" s="375"/>
      <c r="E588" s="387"/>
      <c r="F588" s="378"/>
      <c r="G588" s="508"/>
      <c r="H588" s="477"/>
      <c r="I588" s="191">
        <v>2</v>
      </c>
      <c r="J588" s="172"/>
      <c r="K588" s="185" t="s">
        <v>40</v>
      </c>
      <c r="L588" s="186">
        <v>1.58</v>
      </c>
      <c r="M588" s="174">
        <v>5.5</v>
      </c>
      <c r="N588" s="407"/>
      <c r="O588" s="187">
        <f>IF(OR(AE586="",AE587=""),"",IF(L588&gt;0,ROUND(IF(M588&gt;0,M588,IF(M586&gt;0,ROUND((M586*AE588)/AE586,IF(N586=0,2,IF(N586=0.1,1,0))),IF(M587&gt;0,ROUND((M587*AE588)/AE587,IF(N586=0,2,IF(N586=0.1,1,0))),IF(M588&gt;0,M588,0)))),2),""))</f>
        <v>5.5</v>
      </c>
      <c r="P588" s="188">
        <f>IF(I587="Lay",O587*(L587/(L587-1))-O587,IF(I586="Lay",O586*(L586/(L586-1))-O586,IF(OR(L588="",O588=""),"",IF($C588="1/2W",O588/2+O588/2*L588,IF($C588="1/2L",O588/2,(O588*L588-O588)*(1-_xlfn.XLOOKUP(K588,'Fevereiro 2023 - Valor Real'!A3:A15,'Fevereiro 2023 - Valor Real'!C3:C15,0))+O588)))))</f>
        <v>8.6900000000000013</v>
      </c>
      <c r="Q588" s="166">
        <f>IF(K588="","",IF(_xlfn.XLOOKUP(K588,K$11:K578,$DJ$11:DJ578,0,,-1)=DJ588,_xlfn.XLOOKUP(K588,K$11:K578,Q$11:Q578,1,,-1)+1,1))</f>
        <v>1</v>
      </c>
      <c r="R588" s="189">
        <f>IF(K588="","",_xlfn.XLOOKUP(K588,K$11:K578,R$11:R578,0,,-1)+IF($C588=" ",1,0))</f>
        <v>0</v>
      </c>
      <c r="S588" s="404"/>
      <c r="T588" s="378"/>
      <c r="U588" s="378"/>
      <c r="V588" s="404"/>
      <c r="W588" s="378"/>
      <c r="X588" s="453"/>
      <c r="Y588" s="383"/>
      <c r="Z588" s="384"/>
      <c r="AA588" s="384"/>
      <c r="AB588" s="384"/>
      <c r="AC588" s="384"/>
      <c r="AD588" s="90"/>
      <c r="AE588" s="190">
        <f>IF(L588="","",(SUM(((L586-1)*(1-_xlfn.XLOOKUP(K586,'Fevereiro 2023 - Valor Real'!A3:A15,'Fevereiro 2023 - Valor Real'!C3:C15,0))+1),((L587-1)*(1-_xlfn.XLOOKUP(K587,'Fevereiro 2023 - Valor Real'!A3:A15,'Fevereiro 2023 - Valor Real'!C3:C15,0))+1),((L588-1)*(1-_xlfn.XLOOKUP(K588,'Fevereiro 2023 - Valor Real'!A3:A15,'Fevereiro 2023 - Valor Real'!C3:C15,0))+1))/((L588-1)*(1-_xlfn.XLOOKUP(K588,'Fevereiro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Real'!C3:C15,0))+1))/((L586-1)*(1-_xlfn.XLOOKUP(K586,'Fevereiro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Real'!C3:C15,0))+1))/((L587-1)*(1-_xlfn.XLOOKUP(K587,'Fevereiro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Real'!C3:C15,0))+1))/((L588-1)*(1-_xlfn.XLOOKUP(K588,'Fevereiro 2023 - Valor Real'!A3:A15,'Fevereiro 2023 - Valor Real'!C3:C15,0))+1)))</f>
        <v>0.38922198634459809</v>
      </c>
      <c r="AF588" s="66">
        <f t="shared" si="1190"/>
        <v>0</v>
      </c>
      <c r="AG588" s="67">
        <f t="shared" si="1190"/>
        <v>0</v>
      </c>
      <c r="AH588" s="67">
        <f t="shared" si="1190"/>
        <v>0</v>
      </c>
      <c r="AI588" s="67">
        <f t="shared" si="1190"/>
        <v>0</v>
      </c>
      <c r="AJ588" s="67">
        <f t="shared" si="1190"/>
        <v>3.19</v>
      </c>
      <c r="AK588" s="67">
        <f t="shared" si="1190"/>
        <v>0</v>
      </c>
      <c r="AL588" s="67">
        <f t="shared" si="1190"/>
        <v>0</v>
      </c>
      <c r="AM588" s="67">
        <f t="shared" si="1190"/>
        <v>0</v>
      </c>
      <c r="AN588" s="67">
        <f t="shared" si="1190"/>
        <v>0</v>
      </c>
      <c r="AO588" s="67">
        <f t="shared" si="1190"/>
        <v>0</v>
      </c>
      <c r="AP588" s="67">
        <f t="shared" si="1190"/>
        <v>0</v>
      </c>
      <c r="AQ588" s="67">
        <f t="shared" si="1190"/>
        <v>0</v>
      </c>
      <c r="AR588" s="68">
        <f t="shared" si="1190"/>
        <v>0</v>
      </c>
      <c r="AS588" s="66">
        <f>IF(AND($B586=" ",$K588=AS$3),$O588,0)</f>
        <v>0</v>
      </c>
      <c r="AT588" s="67">
        <f>IF(AND($B586=" ",K588=AT$3),$O588,0)</f>
        <v>0</v>
      </c>
      <c r="AU588" s="67">
        <f t="shared" ref="AU588:BE588" si="1197">IF(AND($B586=" ",$K588=AU$3),$O588,0)</f>
        <v>0</v>
      </c>
      <c r="AV588" s="67">
        <f t="shared" si="1197"/>
        <v>0</v>
      </c>
      <c r="AW588" s="67">
        <f t="shared" si="1197"/>
        <v>0</v>
      </c>
      <c r="AX588" s="67">
        <f t="shared" si="1197"/>
        <v>0</v>
      </c>
      <c r="AY588" s="69">
        <f t="shared" si="1197"/>
        <v>0</v>
      </c>
      <c r="AZ588" s="70">
        <f t="shared" si="1197"/>
        <v>0</v>
      </c>
      <c r="BA588" s="70">
        <f t="shared" si="1197"/>
        <v>0</v>
      </c>
      <c r="BB588" s="70">
        <f t="shared" si="1197"/>
        <v>0</v>
      </c>
      <c r="BC588" s="71">
        <f t="shared" si="1197"/>
        <v>0</v>
      </c>
      <c r="BD588" s="67">
        <f t="shared" si="1197"/>
        <v>0</v>
      </c>
      <c r="BE588" s="68">
        <f t="shared" si="1197"/>
        <v>0</v>
      </c>
      <c r="BF588" s="66">
        <f t="shared" si="1192"/>
        <v>0</v>
      </c>
      <c r="BG588" s="168">
        <f t="shared" si="1192"/>
        <v>0</v>
      </c>
      <c r="BH588" s="67">
        <f t="shared" si="1192"/>
        <v>0</v>
      </c>
      <c r="BI588" s="67">
        <f t="shared" si="1192"/>
        <v>0</v>
      </c>
      <c r="BJ588" s="67">
        <f t="shared" si="1192"/>
        <v>5.5</v>
      </c>
      <c r="BK588" s="67">
        <f t="shared" si="1192"/>
        <v>0</v>
      </c>
      <c r="BL588" s="67">
        <f t="shared" si="1192"/>
        <v>0</v>
      </c>
      <c r="BM588" s="69">
        <f t="shared" si="1192"/>
        <v>0</v>
      </c>
      <c r="BN588" s="70">
        <f t="shared" si="1192"/>
        <v>0</v>
      </c>
      <c r="BO588" s="70">
        <f t="shared" si="1192"/>
        <v>0</v>
      </c>
      <c r="BP588" s="70">
        <f t="shared" si="1192"/>
        <v>0</v>
      </c>
      <c r="BQ588" s="71">
        <f t="shared" si="1192"/>
        <v>0</v>
      </c>
      <c r="BR588" s="68">
        <f t="shared" si="1192"/>
        <v>0</v>
      </c>
      <c r="BS588" s="491"/>
      <c r="BT588" s="489"/>
      <c r="BU588" s="392"/>
      <c r="BV588" s="489"/>
      <c r="BW588" s="392"/>
      <c r="BX588" s="392"/>
      <c r="BY588" s="392"/>
      <c r="BZ588" s="489"/>
      <c r="CA588" s="392"/>
      <c r="CB588" s="392"/>
      <c r="CC588" s="392"/>
      <c r="CD588" s="401"/>
      <c r="CE588" s="409"/>
      <c r="CF588" s="169">
        <f t="shared" si="1156"/>
        <v>0</v>
      </c>
      <c r="CG588" s="170">
        <f t="shared" si="1157"/>
        <v>0</v>
      </c>
      <c r="CH588" s="170">
        <f t="shared" si="1158"/>
        <v>0</v>
      </c>
      <c r="CI588" s="170">
        <f t="shared" si="1159"/>
        <v>0</v>
      </c>
      <c r="CJ588" s="170">
        <f t="shared" si="1160"/>
        <v>0</v>
      </c>
      <c r="CK588" s="170">
        <f t="shared" si="1161"/>
        <v>0</v>
      </c>
      <c r="CL588" s="170">
        <f t="shared" si="1162"/>
        <v>0</v>
      </c>
      <c r="CM588" s="170">
        <f t="shared" si="1163"/>
        <v>0</v>
      </c>
      <c r="CN588" s="170">
        <f t="shared" si="1164"/>
        <v>1</v>
      </c>
      <c r="CO588" s="170">
        <f t="shared" si="1165"/>
        <v>0</v>
      </c>
      <c r="CP588" s="170">
        <f t="shared" si="1166"/>
        <v>0</v>
      </c>
      <c r="CQ588" s="170">
        <f t="shared" si="1167"/>
        <v>0</v>
      </c>
      <c r="CR588" s="170">
        <f t="shared" si="1168"/>
        <v>0</v>
      </c>
      <c r="CS588" s="170">
        <f t="shared" si="1169"/>
        <v>0</v>
      </c>
      <c r="CT588" s="75">
        <f t="shared" si="1170"/>
        <v>0</v>
      </c>
      <c r="CU588" s="76">
        <f t="shared" si="1171"/>
        <v>0</v>
      </c>
      <c r="CV588" s="76">
        <f t="shared" si="1172"/>
        <v>0</v>
      </c>
      <c r="CW588" s="76">
        <f t="shared" si="1173"/>
        <v>0</v>
      </c>
      <c r="CX588" s="76">
        <f t="shared" si="1174"/>
        <v>0</v>
      </c>
      <c r="CY588" s="76">
        <f t="shared" si="1175"/>
        <v>0</v>
      </c>
      <c r="CZ588" s="76">
        <f t="shared" si="1176"/>
        <v>0</v>
      </c>
      <c r="DA588" s="76">
        <f t="shared" si="1177"/>
        <v>0</v>
      </c>
      <c r="DB588" s="76">
        <f t="shared" si="1178"/>
        <v>0</v>
      </c>
      <c r="DC588" s="76">
        <f t="shared" si="1179"/>
        <v>0</v>
      </c>
      <c r="DD588" s="76">
        <f t="shared" si="1180"/>
        <v>0</v>
      </c>
      <c r="DE588" s="77">
        <f t="shared" si="1181"/>
        <v>0</v>
      </c>
      <c r="DF588" s="73">
        <f t="shared" si="1183"/>
        <v>36</v>
      </c>
      <c r="DG588" s="67">
        <f t="shared" si="1184"/>
        <v>47.227999999999994</v>
      </c>
      <c r="DH588" s="76">
        <f t="shared" si="1185"/>
        <v>14</v>
      </c>
      <c r="DI588" s="67">
        <f t="shared" si="1186"/>
        <v>60.05</v>
      </c>
      <c r="DJ588" s="202" t="str">
        <f>IF($D586="","",$D586)</f>
        <v>17</v>
      </c>
      <c r="DK588" s="493"/>
    </row>
    <row r="589" spans="1:115" ht="14.5" customHeight="1" x14ac:dyDescent="0.2">
      <c r="A589" s="459">
        <f>$A586+1</f>
        <v>196</v>
      </c>
      <c r="B589" s="507" t="str">
        <f>IF(OR(C589="W",C590="W",C591="W",C589="1/2W",C590="1/2W",C591="1/2W",C589="1/2L",C590="1/2L",C591="1/2L"),"OK",IF(OR(C589="L",C590="L",C591="L"),"LOSS",IF(OR(C589="X",C590="X",C591="X"),"Anulado"," ")))</f>
        <v>OK</v>
      </c>
      <c r="C589" s="93" t="s">
        <v>55</v>
      </c>
      <c r="D589" s="468" t="str">
        <f>IF(G589="","",$D586)</f>
        <v>17</v>
      </c>
      <c r="E589" s="485" t="str">
        <f>IF(G589=""," ","– "&amp;COUNTIF(D$4:D591,$D589))</f>
        <v>– 2</v>
      </c>
      <c r="F589" s="509" t="str">
        <f ca="1">IF(G589="","",IF(OR(AND($C589&lt;&gt;" ",$C590=" "),AND($C590&lt;&gt;" ",$C589=" "),AND(L591&gt;0,OR(AND($C591&lt;&gt;" ",OR($C589=" ",$C590=" ")),AND($C591=" ",OR($C589&lt;&gt;" ",$C590&lt;&gt;" "))))),IF(SUM(F$4:F588)=0,1,LARGE(F$4:F588,1)+1),IF(MONTH(G589)=MONTH(TODAY()),IF(AND(DAY(G589)&lt;DAY(TODAY()),$B589=" "),IF(SUM(F$4:F588)=0,1,LARGE(F$4:F588,1)+1),IF($B589=" ",IF(AND(DAY(G589)=DAY(TODAY()),HOUR(G589)&lt;=HOUR(NOW())+1),IF(AND(HOUR(G589)+2&lt;=HOUR(NOW()),DAY(G589)&lt;=DAY(TODAY()),MINUTE(G589)&lt;=MINUTE(NOW())),IF(SUM(F$4:F588)=0,1,LARGE(F$4:F588,1)+1),IF(OR(MINUTE(G589)&lt;=MINUTE(NOW()),HOUR(G589)&lt;=HOUR(NOW())),"!!!","")),""),"")),"")))</f>
        <v/>
      </c>
      <c r="G589" s="482">
        <v>45002.375</v>
      </c>
      <c r="H589" s="475" t="s">
        <v>220</v>
      </c>
      <c r="I589" s="175">
        <v>2</v>
      </c>
      <c r="J589" s="176"/>
      <c r="K589" s="96" t="s">
        <v>37</v>
      </c>
      <c r="L589" s="97">
        <v>3.75</v>
      </c>
      <c r="M589" s="98">
        <v>8.4</v>
      </c>
      <c r="N589" s="478">
        <v>0</v>
      </c>
      <c r="O589" s="99">
        <f>IF(OR(AE589="",AE590=""),"",ROUND(IF(L591&gt;0,IF(M589&gt;0,M589,IF(M590&gt;0,ROUND((M590*AE589)/AE590,IF(N589=0,2,IF(N589=0.1,1,0))),ROUND((M591*AE589)/AE591,IF(N589=0,2,IF(N589=0.1,1,0))))),IF(M589&gt;0,M589,ROUND((M590*AE589)/AE590,IF(N589=0,2,IF(N589=0.1,1,0))))),2))</f>
        <v>8.4</v>
      </c>
      <c r="P589" s="100">
        <f>IF(OR(L589="",O589=""),"",IF($C589="1/2W",O589/2+O589/2*L589,IF($C589="1/2L",O589/2,IF(I589="Lay",(O589*(L589/(L589-1))-O589)*(1-_xlfn.XLOOKUP(K589,'Fevereiro 2023 - Valor Real'!A3:A15,'Fevereiro 2023 - Valor Real'!C3:C15,0))+O589,(O589*L589-O589)*(1-_xlfn.XLOOKUP(K589,'Fevereiro 2023 - Valor Real'!A3:A15,'Fevereiro 2023 - Valor Real'!C3:C15,0))+O589))))</f>
        <v>31.5</v>
      </c>
      <c r="Q589" s="101">
        <f>IF(K589="","",IF(_xlfn.XLOOKUP(K589,K$4:K588,$DJ$4:DJ588,0,,-1)=DJ589,_xlfn.XLOOKUP(K589,K$4:K588,Q$4:Q588,1,,-1)+1,1))</f>
        <v>1</v>
      </c>
      <c r="R589" s="102">
        <f>IF(K589="","",_xlfn.XLOOKUP(K589,K$4:K588,R$4:R588,0,,-1)+IF($C589=" ",1,0))</f>
        <v>0</v>
      </c>
      <c r="S589" s="474">
        <f>IF($B589="Anulado",0,ROUND(IF(OR($B589="LOSS",$B589="OK"),IF(OR($C589="W",$C589="1/2W",$C589="1/2L"),P589-O589,IF($C589="L",-O589,0))+IF(OR($C590="W",$C590="1/2W",$C590="1/2L"),P590-O590,IF($C590="L",-O590,0))+IF(OR($C591="W",$C591="1/2W",$C591="1/2L"),P591-O591,IF($C591="L",-O591,0)),IF(AND(OR($C589="W",$C589="1/2W",$C589="1/2L"),C590="W"),P589+P590-SUM(O589:O591)+_xlfn.XLOOKUP("X",C589:C591,O589:O591,0),IF(AND(C589=TRUE,C591="W"),P589+P591-SUM(O589:O591),IF(AND(C590="W",C591="W"),P590+P591-SUM(O589:O591)+_xlfn.XLOOKUP("X",C589:C591,O589:O591,0),IF(L591&gt;0,IF(OR($C589="W",$C589="1/2W",$C589="1/2L"),P589-SUM(O589:O591)+_xlfn.XLOOKUP("X",C589:C591,O589:O591,0),IF(OR($C589="W",$C589="1/2W",$C589="1/2L"),P590-SUM(O589:O591)+_xlfn.XLOOKUP("X",C589:C591,O589:O591,0),IF(OR($C589="W",$C589="1/2W",$C589="1/2L"),P591-SUM(O589:O591)+_xlfn.XLOOKUP("X",C589:C591,O589:O591,0),IF(SUM(P589:P591)/3-SUM(O589:O591)+_xlfn.XLOOKUP("X",C589:C591,O589:O591,0)&gt;0,SUM(P589:P591)/3-SUM(O589:O591)+_xlfn.XLOOKUP("X",C589:C591,O589:O591,0),LARGE(P589:P591,1)-SUM(O589:O591))))),IF(OR($C589="W",$C589="1/2W",$C589="1/2L"),P589-SUM(O589:O590)+_xlfn.XLOOKUP("X",C589:C591,O589:O591,0),IF(OR($C589="W",$C589="1/2W",$C589="1/2L"),P590-SUM(O589:O590)+_xlfn.XLOOKUP("X",C589:C591,O589:O591,0),SUM(P589:P590)/2-SUM(O589:O590)+_xlfn.XLOOKUP("X",C589:C591,O589:O591,0)))))))),2))</f>
        <v>1.31</v>
      </c>
      <c r="T589" s="458">
        <f>IF(S589=0,0,S589/SUM(O589:O591))</f>
        <v>4.3305785123966947E-2</v>
      </c>
      <c r="U589" s="470">
        <f>IF($D589=$D586,IF(OR($B589="LOSS",$B589="OK",$B589="Anulada"),S589,0)+U586,IF(OR($B589="LOSS",$B589="OK",$B589="Anulada"),S589,0))</f>
        <v>2.56</v>
      </c>
      <c r="V589" s="470">
        <f>IF($D589="",0,IF($D589=$D586,IF($B589=" ",IF(I591="",IF(OR(AND(I589="DNB1",I590="DNB2"),AND(OR(I589="DNB1",I589="DNB2"),J590=0),AND(OR(I590="DNB1",I590="DNB2"),J589=0),AND(I589="DNB2",I590="DNB1"),AND(IF(J589=0,(J589+1)/ROUND(J589+1,0),J589/ROUND(J589,0))=1,IF(J590=0,(J590+1)/ROUND(IF(J590="",0,J590)+1,0),IF(J590="",0,J590)/ROUND(IF(J590="",1,J590),0))=1,OR(J589&lt;&gt;""),J590&lt;&gt;"")),0,IF(S589&lt;0,IF(I591="",SMALL(P589:P590,1)-SUM(O589:O590),0),SMALL(P589:P590,1)-SUM(O589:O590))),IF(S589&lt;0,IF(I591="",SMALL(P589:P591,1)-SUM(O589:O591),0),LARGE(P589:P591,1)-SUM(O589:O591))),S589)+V586,IF(I591="",IF(OR(AND(I589="DNB1",I590="DNB2"),AND(OR(I589="DNB1",I589="DNB2"),J590=0),AND(OR(I590="DNB1",I590="DNB2"),J589=0),AND(I589="DNB2",I590="DNB1"),AND(IF(J589=0,(J589+1)/ROUND(J589+1,0),J589/ROUND(J589,0))=1,IF(J590=0,(IF(J590="",0,J590)+1)/ROUND(IF(J590="",0,J590)+1,0),IF(J590="",0,J590)/ROUND(IF(J590="",0,J590)+1,0))=1,OR(J589&lt;&gt;""),J590&lt;&gt;"")),0,IF(S589&lt;0,IF(I591="",SMALL(P589:P590,1)-SUM(O589:O590),0),SMALL(P589:P591,1)-SUM(O589:O591))),IF(S589&lt;0,IF(I591="",SMALL(P589:P591,1)-SUM(O589:O591),0),LARGE(P589:P591,1)-SUM(O589:O591)))))</f>
        <v>2.4485000000000006</v>
      </c>
      <c r="W589" s="470">
        <f>IF($D589=$D586,IF(S589&lt;0,IF(I591="",S589,0),S589)+W586,S589)</f>
        <v>2.56</v>
      </c>
      <c r="X589" s="480" t="str">
        <f>IF(OR(SUM(R589:R591)=0,V589=W589),ROUND(IF(W589=0,0,W589/Y589)*100,2)&amp;"%",ROUND(IF(V589=0,0,V589/Y589)*100,2)&amp;"% a "&amp;ROUND(IF(W589=0,0,W589/Y589)*100,2)&amp;"%")</f>
        <v>4,01%</v>
      </c>
      <c r="Y589" s="471">
        <f>IF($D589=$D586,Y586+SUM(O589:O591),SUM(O589:O591))</f>
        <v>63.82</v>
      </c>
      <c r="Z589" s="470">
        <f>IF($B589=" ",SUM(O589:O591),0)+Z586</f>
        <v>0</v>
      </c>
      <c r="AA589" s="470">
        <f>IF(G589="","",IF($B589="Anulado",LARGE(P589:P591,1)-SUM(O589:O591)+AA586,AA586))</f>
        <v>12.425099999999992</v>
      </c>
      <c r="AB589" s="470">
        <f>IF($D589="","",AB586+S589)</f>
        <v>667.80000000000052</v>
      </c>
      <c r="AC589" s="472">
        <f ca="1">IF($D589="","",IF($B589=" ",IF(DAY(G589)=DAY(TODAY()),1+AC586,0+AC586),0+AC586))</f>
        <v>0</v>
      </c>
      <c r="AD589" s="103">
        <f>(((L590/(L590-1)-1)*(1-_xlfn.XLOOKUP(K590,'Fevereiro 2023 - Valor Real'!A3:A15,'Fevereiro 2023 - Valor Real'!C3:C15,0))+1))/(((L589-1)*(1-_xlfn.XLOOKUP(K589,'Fevereiro 2023 - Valor Real'!A3:A15,'Fevereiro 2023 - Valor Real'!C3:C15,0))+1)+((L590/(L590-1)-1)*(1-_xlfn.XLOOKUP(K590,'Fevereiro 2023 - Valor Real'!A3:A15,'Fevereiro 2023 - Valor Real'!C3:C15,0))+1))</f>
        <v>0.27753023551877787</v>
      </c>
      <c r="AE589" s="104">
        <f>IF(L589="","",IF(L591&gt;0,(SUM(((L589-1)*(1-_xlfn.XLOOKUP(K589,'Fevereiro 2023 - Valor Real'!A3:A15,'Fevereiro 2023 - Valor Real'!C3:C15,0))+1),((L590-1)*(1-_xlfn.XLOOKUP(K590,'Fevereiro 2023 - Valor Real'!A3:A15,'Fevereiro 2023 - Valor Real'!C3:C15,0))+1),((L591-1)*(1-_xlfn.XLOOKUP(K591,'Fevereiro 2023 - Valor Real'!A3:A15,'Fevereiro 2023 - Valor Real'!C3:C15,0))+1))/((L589-1)*(1-_xlfn.XLOOKUP(K589,'Fevereiro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Real'!C3:C15,0))+1))/((L589-1)*(1-_xlfn.XLOOKUP(K589,'Fevereiro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Real'!C3:C15,0))+1))/((L590-1)*(1-_xlfn.XLOOKUP(K590,'Fevereiro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Real'!C3:C15,0))+1))/((L591-1)*(1-_xlfn.XLOOKUP(K591,'Fevereiro 2023 - Valor Real'!A3:A15,'Fevereiro 2023 - Valor Real'!C3:C15,0))+1)),IF(I589="Lay",IF(I590="Lay",((L590/(L590-1)-1)*(1-_xlfn.XLOOKUP(K590,'Fevereiro 2023 - Valor Real'!A3:A15,'Fevereiro 2023 - Valor Real'!C3:C15,0))+1)/(((L590/(L590-1)-1)*(1-_xlfn.XLOOKUP(K590,'Fevereiro 2023 - Valor Real'!A3:A15,'Fevereiro 2023 - Valor Real'!C3:C15,0))+1)+((L589/(L589-1)-1)*(1-_xlfn.XLOOKUP(K589,'Fevereiro 2023 - Valor Real'!A3:A15,'Fevereiro 2023 - Valor Real'!C3:C15,0))+1)),((L590-1)*(1-_xlfn.XLOOKUP(K590,'Fevereiro 2023 - Valor Real'!A3:A15,'Fevereiro 2023 - Valor Real'!C3:C15,0))+1)/(((L590-1)*(1-_xlfn.XLOOKUP(K590,'Fevereiro 2023 - Valor Real'!A3:A15,'Fevereiro 2023 - Valor Real'!C3:C15,0))+1)+((L589/(L589-1)-1)*(1-_xlfn.XLOOKUP(K589,'Fevereiro 2023 - Valor Real'!A3:A15,'Fevereiro 2023 - Valor Real'!C3:C15,0))+1))),IF(I590="Lay",(((L590/(L590-1)-1)*(1-_xlfn.XLOOKUP(K590,'Fevereiro 2023 - Valor Real'!A3:A15,'Fevereiro 2023 - Valor Real'!C3:C15,0))+1))/(((L589-1)*(1-_xlfn.XLOOKUP(K589,'Fevereiro 2023 - Valor Real'!A3:A15,'Fevereiro 2023 - Valor Real'!C3:C15,0))+1)+((L590/(L590-1)-1)*(1-_xlfn.XLOOKUP(K590,'Fevereiro 2023 - Valor Real'!A3:A15,'Fevereiro 2023 - Valor Real'!C3:C15,0))+1)),((L590-1)*(1-_xlfn.XLOOKUP(K590,'Fevereiro 2023 - Valor Real'!A3:A15,'Fevereiro 2023 - Valor Real'!C3:C15,0))+1)/(((L590-1)*(1-_xlfn.XLOOKUP(K590,'Fevereiro 2023 - Valor Real'!A3:A15,'Fevereiro 2023 - Valor Real'!C3:C15,0))+1)+((L589-1)*(1-_xlfn.XLOOKUP(K589,'Fevereiro 2023 - Valor Real'!A3:A15,'Fevereiro 2023 - Valor Real'!C3:C15,0))+1))))))</f>
        <v>0.22049141252109827</v>
      </c>
      <c r="AF589" s="105">
        <f t="shared" si="1190"/>
        <v>0</v>
      </c>
      <c r="AG589" s="106">
        <f t="shared" si="1190"/>
        <v>-8.4</v>
      </c>
      <c r="AH589" s="106">
        <f t="shared" si="1190"/>
        <v>0</v>
      </c>
      <c r="AI589" s="106">
        <f t="shared" si="1190"/>
        <v>0</v>
      </c>
      <c r="AJ589" s="106">
        <f t="shared" si="1190"/>
        <v>0</v>
      </c>
      <c r="AK589" s="106">
        <f t="shared" si="1190"/>
        <v>0</v>
      </c>
      <c r="AL589" s="106">
        <f t="shared" si="1190"/>
        <v>0</v>
      </c>
      <c r="AM589" s="106">
        <f t="shared" si="1190"/>
        <v>0</v>
      </c>
      <c r="AN589" s="106">
        <f t="shared" si="1190"/>
        <v>0</v>
      </c>
      <c r="AO589" s="106">
        <f t="shared" si="1190"/>
        <v>0</v>
      </c>
      <c r="AP589" s="106">
        <f t="shared" si="1190"/>
        <v>0</v>
      </c>
      <c r="AQ589" s="106">
        <f t="shared" si="1190"/>
        <v>0</v>
      </c>
      <c r="AR589" s="107">
        <f t="shared" si="1190"/>
        <v>0</v>
      </c>
      <c r="AS589" s="105">
        <f t="shared" ref="AS589:BE589" si="1198">IF(AND($B589=" ",$K589=AS$3),$O589,0)</f>
        <v>0</v>
      </c>
      <c r="AT589" s="106">
        <f t="shared" si="1198"/>
        <v>0</v>
      </c>
      <c r="AU589" s="106">
        <f t="shared" si="1198"/>
        <v>0</v>
      </c>
      <c r="AV589" s="106">
        <f t="shared" si="1198"/>
        <v>0</v>
      </c>
      <c r="AW589" s="106">
        <f t="shared" si="1198"/>
        <v>0</v>
      </c>
      <c r="AX589" s="106">
        <f t="shared" si="1198"/>
        <v>0</v>
      </c>
      <c r="AY589" s="108">
        <f t="shared" si="1198"/>
        <v>0</v>
      </c>
      <c r="AZ589" s="109">
        <f t="shared" si="1198"/>
        <v>0</v>
      </c>
      <c r="BA589" s="109">
        <f t="shared" si="1198"/>
        <v>0</v>
      </c>
      <c r="BB589" s="109">
        <f t="shared" si="1198"/>
        <v>0</v>
      </c>
      <c r="BC589" s="110">
        <f t="shared" si="1198"/>
        <v>0</v>
      </c>
      <c r="BD589" s="106">
        <f t="shared" si="1198"/>
        <v>0</v>
      </c>
      <c r="BE589" s="107">
        <f t="shared" si="1198"/>
        <v>0</v>
      </c>
      <c r="BF589" s="111">
        <f t="shared" si="1192"/>
        <v>0</v>
      </c>
      <c r="BG589" s="106">
        <f t="shared" si="1192"/>
        <v>8.4</v>
      </c>
      <c r="BH589" s="106">
        <f t="shared" si="1192"/>
        <v>0</v>
      </c>
      <c r="BI589" s="106">
        <f t="shared" si="1192"/>
        <v>0</v>
      </c>
      <c r="BJ589" s="106">
        <f t="shared" si="1192"/>
        <v>0</v>
      </c>
      <c r="BK589" s="106">
        <f t="shared" si="1192"/>
        <v>0</v>
      </c>
      <c r="BL589" s="106">
        <f t="shared" si="1192"/>
        <v>0</v>
      </c>
      <c r="BM589" s="108">
        <f t="shared" si="1192"/>
        <v>0</v>
      </c>
      <c r="BN589" s="109">
        <f t="shared" si="1192"/>
        <v>0</v>
      </c>
      <c r="BO589" s="109">
        <f t="shared" si="1192"/>
        <v>0</v>
      </c>
      <c r="BP589" s="109">
        <f t="shared" si="1192"/>
        <v>0</v>
      </c>
      <c r="BQ589" s="110">
        <f t="shared" si="1192"/>
        <v>0</v>
      </c>
      <c r="BR589" s="107">
        <f t="shared" si="1192"/>
        <v>0</v>
      </c>
      <c r="BS589" s="463">
        <f>IF($B589="LOSS",IF(AND($K589=BS$3,$C589="L"),-$O589,0)+IF(AND($K590=BS$3,$C590="L"),-$O590,0)+IF(AND($K591=BS$3,$C591="L"),-$O591,0),IF(OR(AND($K589=BS$3,OR($C589="W",$C589="1/2W")),AND($K590=BS$3,OR($C590="W",$C590="1/2W")),AND($K591=BS$3,OR($C591="W",$C591="1/2W"))),$S589,0))</f>
        <v>0</v>
      </c>
      <c r="BT589" s="462">
        <f>IF($B589="LOSS",IF(AND($K589=BT$3,$C589="L"),-$O589,0)+IF(AND($K590=BT$3,$C590="L"),-$O590,0)+IF(AND($K590=BT$3,$C591="L"),-$O591,0),IF(OR(AND($K590=BT$3,OR($C589="W",$C589="1/2W")),AND($K590=BT$3,OR($C590="W",$C590="1/2W")),AND($K590=BT$3,OR($C591="W",$C591="1/2W"))),$S589,0))</f>
        <v>0</v>
      </c>
      <c r="BU589" s="462">
        <f>IF($B589="LOSS",IF(AND($K589=BU$3,$C589="L"),-$O589,0)+IF(AND($K590=BU$3,$C590="L"),-$O590,0)+IF(AND($K590=BU$3,$C591="L"),-$O591,0),IF(OR(AND($K590=BU$3,OR($C589="W",$C589="1/2W")),AND($K590=BU$3,OR($C590="W",$C590="1/2W")),AND($K590=BU$3,OR($C591="W",$C591="1/2W"))),$S589,0))</f>
        <v>0</v>
      </c>
      <c r="BV589" s="462">
        <f t="shared" ref="BV589:CE589" si="1199">IF($B589="LOSS",IF(AND($K589=BV$3,$C589="L"),-$O589,0)+IF(AND($K590=BV$3,$C590="L"),-$O590,0)+IF(AND($K591=BV$3,$C591="L"),-$O591,0),IF(OR(AND($K589=BV$3,OR($C589="W",$C589="1/2W")),AND($K590=BV$3,OR($C590="W",$C590="1/2W")),AND($K591=BV$3,OR($C591="W",$C591="1/2W"))),$S589,0))</f>
        <v>0</v>
      </c>
      <c r="BW589" s="462">
        <f t="shared" si="1199"/>
        <v>0</v>
      </c>
      <c r="BX589" s="462">
        <f t="shared" si="1199"/>
        <v>0</v>
      </c>
      <c r="BY589" s="462">
        <f t="shared" si="1199"/>
        <v>0</v>
      </c>
      <c r="BZ589" s="460">
        <f t="shared" si="1199"/>
        <v>0</v>
      </c>
      <c r="CA589" s="460">
        <f t="shared" si="1199"/>
        <v>0</v>
      </c>
      <c r="CB589" s="460">
        <f t="shared" si="1199"/>
        <v>0</v>
      </c>
      <c r="CC589" s="460">
        <f t="shared" si="1199"/>
        <v>0</v>
      </c>
      <c r="CD589" s="473">
        <f t="shared" si="1199"/>
        <v>1.31</v>
      </c>
      <c r="CE589" s="479">
        <f t="shared" si="1199"/>
        <v>0</v>
      </c>
      <c r="CF589" s="113">
        <f t="shared" si="1156"/>
        <v>0</v>
      </c>
      <c r="CG589" s="114">
        <f t="shared" si="1157"/>
        <v>0</v>
      </c>
      <c r="CH589" s="114">
        <f t="shared" si="1158"/>
        <v>0</v>
      </c>
      <c r="CI589" s="114">
        <f t="shared" si="1159"/>
        <v>1</v>
      </c>
      <c r="CJ589" s="114">
        <f t="shared" si="1160"/>
        <v>0</v>
      </c>
      <c r="CK589" s="114">
        <f t="shared" si="1161"/>
        <v>0</v>
      </c>
      <c r="CL589" s="114">
        <f t="shared" si="1162"/>
        <v>0</v>
      </c>
      <c r="CM589" s="114">
        <f t="shared" si="1163"/>
        <v>0</v>
      </c>
      <c r="CN589" s="114">
        <f t="shared" si="1164"/>
        <v>0</v>
      </c>
      <c r="CO589" s="114">
        <f t="shared" si="1165"/>
        <v>0</v>
      </c>
      <c r="CP589" s="114">
        <f t="shared" si="1166"/>
        <v>0</v>
      </c>
      <c r="CQ589" s="114">
        <f t="shared" si="1167"/>
        <v>0</v>
      </c>
      <c r="CR589" s="114">
        <f t="shared" si="1168"/>
        <v>0</v>
      </c>
      <c r="CS589" s="114">
        <f t="shared" si="1169"/>
        <v>0</v>
      </c>
      <c r="CT589" s="115">
        <f t="shared" si="1170"/>
        <v>0</v>
      </c>
      <c r="CU589" s="116">
        <f t="shared" si="1171"/>
        <v>0</v>
      </c>
      <c r="CV589" s="116">
        <f t="shared" si="1172"/>
        <v>0</v>
      </c>
      <c r="CW589" s="116">
        <f t="shared" si="1173"/>
        <v>0</v>
      </c>
      <c r="CX589" s="116">
        <f t="shared" si="1174"/>
        <v>0</v>
      </c>
      <c r="CY589" s="116">
        <f t="shared" si="1175"/>
        <v>0</v>
      </c>
      <c r="CZ589" s="116">
        <f t="shared" si="1176"/>
        <v>0</v>
      </c>
      <c r="DA589" s="116">
        <f t="shared" si="1177"/>
        <v>0</v>
      </c>
      <c r="DB589" s="116">
        <f t="shared" si="1178"/>
        <v>0</v>
      </c>
      <c r="DC589" s="116">
        <f t="shared" si="1179"/>
        <v>0</v>
      </c>
      <c r="DD589" s="116">
        <f t="shared" si="1180"/>
        <v>0</v>
      </c>
      <c r="DE589" s="117">
        <f t="shared" si="1181"/>
        <v>0</v>
      </c>
      <c r="DF589" s="118">
        <f t="shared" si="1183"/>
        <v>36</v>
      </c>
      <c r="DG589" s="106">
        <f t="shared" si="1184"/>
        <v>47.227999999999994</v>
      </c>
      <c r="DH589" s="116">
        <f t="shared" si="1185"/>
        <v>14</v>
      </c>
      <c r="DI589" s="106">
        <f t="shared" si="1186"/>
        <v>60.05</v>
      </c>
      <c r="DJ589" s="201" t="str">
        <f>IF($D589="","",$D589)</f>
        <v>17</v>
      </c>
      <c r="DK589" s="465">
        <f>IF(AND($B589=" ",$D589&lt;&gt;""),1,0)</f>
        <v>0</v>
      </c>
    </row>
    <row r="590" spans="1:115" ht="14.5" customHeight="1" x14ac:dyDescent="0.2">
      <c r="A590" s="389"/>
      <c r="B590" s="456"/>
      <c r="C590" s="120" t="s">
        <v>55</v>
      </c>
      <c r="D590" s="374"/>
      <c r="E590" s="386"/>
      <c r="F590" s="377"/>
      <c r="G590" s="483"/>
      <c r="H590" s="476"/>
      <c r="I590" s="121" t="s">
        <v>49</v>
      </c>
      <c r="J590" s="179" t="str">
        <f>IF(OR(I589="TO",I589="TU",I589="TO1",I589="TU1",I589="TO2",I589="TU2"),J589,IF(OR(I589="AH1",I589="AH2"),IF(OR(I590="AH1",I590="AH2"),-J589,IF(OR(I590="EH1",I590="EH2"),-J589+0.5,"")),IF(OR(I589="EH1",I589="EH2"),IF(OR(I590="AH1",I590="AH2"),-J589+0.5,IF(OR(I590="EH1",I590="EH2"),-J589+1,"")),IF(AND(OR(I589="DNB1",I589="DNB2"),OR(I590="AH1",I590="AH2")),0,IF(AND(I589="Not ScoreBoth",OR(I590="TO1",I590="TO2")),0.5,"")))))</f>
        <v/>
      </c>
      <c r="K590" s="123" t="s">
        <v>47</v>
      </c>
      <c r="L590" s="124">
        <v>3.27</v>
      </c>
      <c r="M590" s="125">
        <v>1.75</v>
      </c>
      <c r="N590" s="406"/>
      <c r="O590" s="126">
        <f>IF(OR(AE589="",AE590=""),"",ROUND(IF(L591&gt;0,IF(M590&gt;0,M590,IF(M589&gt;0,IF(N589=TRUE,ROUND((M589*AE590)/AE589,0),(M589*AE590)/AE589),IF(M590&gt;0,ROUND(M590,IF(N589=0,2,IF(N589=0.1,1,0))),IF(M591&gt;0,ROUND(O591*AE590/AE591,IF(N589=0,2,IF(N589=0.1,1,0))),0)))),IF(M590&gt;0,M590,ROUND((M589*AE590)/AE589,IF(N589=0,2,IF(N589=0.1,1,0))))),2))</f>
        <v>1.75</v>
      </c>
      <c r="P590" s="127">
        <f>IF(OR(L590="",O590=""),"",IF($C590="1/2W",O590/2+O590/2*L590,IF($C590="1/2L",O590/2,IF(I590="Lay",((O590*(L590/(L590-1)))-O590)*(1-_xlfn.XLOOKUP(K590,'Fevereiro 2023 - Valor Real'!A3:A15,'Fevereiro 2023 - Valor Real'!C3:C15,0))+O590,(O590*L590-O590)*(1-_xlfn.XLOOKUP(K590,'Fevereiro 2023 - Valor Real'!A3:A15,'Fevereiro 2023 - Valor Real'!C3:C15,0))+O590))))</f>
        <v>5.7225000000000001</v>
      </c>
      <c r="Q590" s="128">
        <f>IF(K590="","",IF(_xlfn.XLOOKUP(K590,K$4:K589,$DJ$4:DJ589,0,,-1)=DJ590,_xlfn.XLOOKUP(K590,K$4:K589,Q$4:Q589,1,,-1)+1,1))</f>
        <v>2</v>
      </c>
      <c r="R590" s="129">
        <f>IF(K590="","",_xlfn.XLOOKUP(K590,K$4:K589,R$4:R589,0,,-1)+IF($C590=" ",1,0))</f>
        <v>0</v>
      </c>
      <c r="S590" s="403"/>
      <c r="T590" s="380"/>
      <c r="U590" s="380"/>
      <c r="V590" s="481"/>
      <c r="W590" s="380"/>
      <c r="X590" s="452"/>
      <c r="Y590" s="383"/>
      <c r="Z590" s="384"/>
      <c r="AA590" s="384"/>
      <c r="AB590" s="384"/>
      <c r="AC590" s="384"/>
      <c r="AD590" s="130">
        <f>(((L590/(L590-1)-1)*(1-_xlfn.XLOOKUP(K590,'Fevereiro 2023 - Valor Real'!A3:A15,'Fevereiro 2023 - Valor Real'!C3:C15,0))+1))</f>
        <v>1.4405286343612336</v>
      </c>
      <c r="AE590" s="131">
        <f>IF(L590="","",IF(L591&gt;0,(SUM(((L589-1)*(1-_xlfn.XLOOKUP(K589,'Fevereiro 2023 - Valor Real'!A3:A15,'Fevereiro 2023 - Valor Real'!C3:C15,0))+1),((L590-1)*(1-_xlfn.XLOOKUP(K590,'Fevereiro 2023 - Valor Real'!A3:A15,'Fevereiro 2023 - Valor Real'!C3:C15,0))+1),((L591-1)*(1-_xlfn.XLOOKUP(K591,'Fevereiro 2023 - Valor Real'!A3:A15,'Fevereiro 2023 - Valor Real'!C3:C15,0))+1))/((L590-1)*(1-_xlfn.XLOOKUP(K590,'Fevereiro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Real'!C3:C15,0))+1))/((L589-1)*(1-_xlfn.XLOOKUP(K589,'Fevereiro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Real'!C3:C15,0))+1))/((L590-1)*(1-_xlfn.XLOOKUP(K590,'Fevereiro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Real'!C3:C15,0))+1))/((L591-1)*(1-_xlfn.XLOOKUP(K591,'Fevereiro 2023 - Valor Real'!A3:A15,'Fevereiro 2023 - Valor Real'!C3:C15,0))+1)),IF(I590="Lay",IF(I589="Lay",((L589/(L589-1)-1)*(1-_xlfn.XLOOKUP(K589,'Fevereiro 2023 - Valor Real'!A3:A15,'Fevereiro 2023 - Valor Real'!C3:C15,0))+1)/(((L589/(L589-1)-1)*(1-_xlfn.XLOOKUP(K589,'Fevereiro 2023 - Valor Real'!A3:A15,'Fevereiro 2023 - Valor Real'!C3:C15,0))+1)+((L590/(L590-1)-1)*(1-_xlfn.XLOOKUP(K590,'Fevereiro 2023 - Valor Real'!A3:A15,'Fevereiro 2023 - Valor Real'!C3:C15,0))+1)),((L589-1)*(1-_xlfn.XLOOKUP(K589,'Fevereiro 2023 - Valor Real'!A3:A15,'Fevereiro 2023 - Valor Real'!C3:C15,0))+1)/(((L589-1)*(1-_xlfn.XLOOKUP(K589,'Fevereiro 2023 - Valor Real'!A3:A15,'Fevereiro 2023 - Valor Real'!C3:C15,0))+1)+((L590/(L590-1)-1)*(1-_xlfn.XLOOKUP(K590,'Fevereiro 2023 - Valor Real'!A3:A15,'Fevereiro 2023 - Valor Real'!C3:C15,0))+1))),IF(I589="Lay",((L589/(L589-1)-1)*(1-_xlfn.XLOOKUP(K589,'Fevereiro 2023 - Valor Real'!A3:A15,'Fevereiro 2023 - Valor Real'!C3:C15,0))+1)/((((L589/(L589-1)-1)*(1-_xlfn.XLOOKUP(K589,'Fevereiro 2023 - Valor Real'!A3:A15,'Fevereiro 2023 - Valor Real'!C3:C15,0))+1))+((L590-1)*(1-_xlfn.XLOOKUP(K590,'Fevereiro 2023 - Valor Real'!A3:A15,'Fevereiro 2023 - Valor Real'!C3:C15,0))+1)),((L589-1)*(1-_xlfn.XLOOKUP(K589,'Fevereiro 2023 - Valor Real'!A3:A15,'Fevereiro 2023 - Valor Real'!C3:C15,0))+1)/(((L589-1)*(1-_xlfn.XLOOKUP(K589,'Fevereiro 2023 - Valor Real'!A3:A15,'Fevereiro 2023 - Valor Real'!C3:C15,0))+1)+((L590-1)*(1-_xlfn.XLOOKUP(K590,'Fevereiro 2023 - Valor Real'!A3:A15,'Fevereiro 2023 - Valor Real'!C3:C15,0))+1))))))</f>
        <v>0.25285712445080077</v>
      </c>
      <c r="AF590" s="105">
        <f t="shared" si="1190"/>
        <v>0</v>
      </c>
      <c r="AG590" s="106">
        <f t="shared" si="1190"/>
        <v>0</v>
      </c>
      <c r="AH590" s="106">
        <f t="shared" si="1190"/>
        <v>0</v>
      </c>
      <c r="AI590" s="106">
        <f t="shared" si="1190"/>
        <v>0</v>
      </c>
      <c r="AJ590" s="106">
        <f t="shared" si="1190"/>
        <v>0</v>
      </c>
      <c r="AK590" s="106">
        <f t="shared" si="1190"/>
        <v>0</v>
      </c>
      <c r="AL590" s="106">
        <f t="shared" si="1190"/>
        <v>0</v>
      </c>
      <c r="AM590" s="106">
        <f t="shared" si="1190"/>
        <v>0</v>
      </c>
      <c r="AN590" s="106">
        <f t="shared" si="1190"/>
        <v>0</v>
      </c>
      <c r="AO590" s="106">
        <f t="shared" si="1190"/>
        <v>0</v>
      </c>
      <c r="AP590" s="106">
        <f t="shared" si="1190"/>
        <v>0</v>
      </c>
      <c r="AQ590" s="106">
        <f t="shared" si="1190"/>
        <v>-1.75</v>
      </c>
      <c r="AR590" s="107">
        <f t="shared" si="1190"/>
        <v>0</v>
      </c>
      <c r="AS590" s="105">
        <f>IF(AND($B589=" ",$K590=AS$3),$O590,0)</f>
        <v>0</v>
      </c>
      <c r="AT590" s="106">
        <f>IF(AND($B589=" ",K590=AT$3),$O590,0)</f>
        <v>0</v>
      </c>
      <c r="AU590" s="106">
        <f t="shared" ref="AU590:BE590" si="1200">IF(AND($B589=" ",$K590=AU$3),$O590,0)</f>
        <v>0</v>
      </c>
      <c r="AV590" s="106">
        <f t="shared" si="1200"/>
        <v>0</v>
      </c>
      <c r="AW590" s="106">
        <f t="shared" si="1200"/>
        <v>0</v>
      </c>
      <c r="AX590" s="106">
        <f t="shared" si="1200"/>
        <v>0</v>
      </c>
      <c r="AY590" s="108">
        <f t="shared" si="1200"/>
        <v>0</v>
      </c>
      <c r="AZ590" s="109">
        <f t="shared" si="1200"/>
        <v>0</v>
      </c>
      <c r="BA590" s="109">
        <f t="shared" si="1200"/>
        <v>0</v>
      </c>
      <c r="BB590" s="109">
        <f t="shared" si="1200"/>
        <v>0</v>
      </c>
      <c r="BC590" s="110">
        <f t="shared" si="1200"/>
        <v>0</v>
      </c>
      <c r="BD590" s="106">
        <f t="shared" si="1200"/>
        <v>0</v>
      </c>
      <c r="BE590" s="107">
        <f t="shared" si="1200"/>
        <v>0</v>
      </c>
      <c r="BF590" s="105">
        <f t="shared" si="1192"/>
        <v>0</v>
      </c>
      <c r="BG590" s="106">
        <f t="shared" si="1192"/>
        <v>0</v>
      </c>
      <c r="BH590" s="106">
        <f t="shared" si="1192"/>
        <v>0</v>
      </c>
      <c r="BI590" s="106">
        <f t="shared" si="1192"/>
        <v>0</v>
      </c>
      <c r="BJ590" s="106">
        <f t="shared" si="1192"/>
        <v>0</v>
      </c>
      <c r="BK590" s="106">
        <f t="shared" si="1192"/>
        <v>0</v>
      </c>
      <c r="BL590" s="106">
        <f t="shared" si="1192"/>
        <v>0</v>
      </c>
      <c r="BM590" s="132">
        <f t="shared" si="1192"/>
        <v>0</v>
      </c>
      <c r="BN590" s="112">
        <f t="shared" si="1192"/>
        <v>0</v>
      </c>
      <c r="BO590" s="112">
        <f t="shared" si="1192"/>
        <v>0</v>
      </c>
      <c r="BP590" s="112">
        <f t="shared" si="1192"/>
        <v>0</v>
      </c>
      <c r="BQ590" s="110">
        <f t="shared" si="1192"/>
        <v>1.75</v>
      </c>
      <c r="BR590" s="107">
        <f t="shared" si="1192"/>
        <v>0</v>
      </c>
      <c r="BS590" s="464"/>
      <c r="BT590" s="461"/>
      <c r="BU590" s="392"/>
      <c r="BV590" s="461"/>
      <c r="BW590" s="392"/>
      <c r="BX590" s="392"/>
      <c r="BY590" s="392"/>
      <c r="BZ590" s="461"/>
      <c r="CA590" s="392"/>
      <c r="CB590" s="392"/>
      <c r="CC590" s="392"/>
      <c r="CD590" s="401"/>
      <c r="CE590" s="409"/>
      <c r="CF590" s="133">
        <f t="shared" si="1156"/>
        <v>0</v>
      </c>
      <c r="CG590" s="134">
        <f t="shared" si="1157"/>
        <v>0</v>
      </c>
      <c r="CH590" s="134">
        <f t="shared" si="1158"/>
        <v>0</v>
      </c>
      <c r="CI590" s="134">
        <f t="shared" si="1159"/>
        <v>0</v>
      </c>
      <c r="CJ590" s="134">
        <f t="shared" si="1160"/>
        <v>0</v>
      </c>
      <c r="CK590" s="134">
        <f t="shared" si="1161"/>
        <v>0</v>
      </c>
      <c r="CL590" s="134">
        <f t="shared" si="1162"/>
        <v>0</v>
      </c>
      <c r="CM590" s="134">
        <f t="shared" si="1163"/>
        <v>0</v>
      </c>
      <c r="CN590" s="134">
        <f t="shared" si="1164"/>
        <v>0</v>
      </c>
      <c r="CO590" s="134">
        <f t="shared" si="1165"/>
        <v>0</v>
      </c>
      <c r="CP590" s="134">
        <f t="shared" si="1166"/>
        <v>0</v>
      </c>
      <c r="CQ590" s="134">
        <f t="shared" si="1167"/>
        <v>0</v>
      </c>
      <c r="CR590" s="134">
        <f t="shared" si="1168"/>
        <v>0</v>
      </c>
      <c r="CS590" s="134">
        <f t="shared" si="1169"/>
        <v>0</v>
      </c>
      <c r="CT590" s="115">
        <f t="shared" si="1170"/>
        <v>0</v>
      </c>
      <c r="CU590" s="116">
        <f t="shared" si="1171"/>
        <v>0</v>
      </c>
      <c r="CV590" s="116">
        <f t="shared" si="1172"/>
        <v>0</v>
      </c>
      <c r="CW590" s="116">
        <f t="shared" si="1173"/>
        <v>0</v>
      </c>
      <c r="CX590" s="116">
        <f t="shared" si="1174"/>
        <v>0</v>
      </c>
      <c r="CY590" s="116">
        <f t="shared" si="1175"/>
        <v>0</v>
      </c>
      <c r="CZ590" s="116">
        <f t="shared" si="1176"/>
        <v>0</v>
      </c>
      <c r="DA590" s="116">
        <f t="shared" si="1177"/>
        <v>0</v>
      </c>
      <c r="DB590" s="116">
        <f t="shared" si="1178"/>
        <v>0</v>
      </c>
      <c r="DC590" s="116">
        <f t="shared" si="1179"/>
        <v>1</v>
      </c>
      <c r="DD590" s="116">
        <f t="shared" si="1180"/>
        <v>0</v>
      </c>
      <c r="DE590" s="117">
        <f t="shared" si="1181"/>
        <v>0</v>
      </c>
      <c r="DF590" s="118">
        <f t="shared" si="1183"/>
        <v>36</v>
      </c>
      <c r="DG590" s="106">
        <f t="shared" si="1184"/>
        <v>47.227999999999994</v>
      </c>
      <c r="DH590" s="116">
        <f t="shared" si="1185"/>
        <v>14</v>
      </c>
      <c r="DI590" s="106">
        <f t="shared" si="1186"/>
        <v>60.05</v>
      </c>
      <c r="DJ590" s="201" t="str">
        <f>IF($D589="","",$D589)</f>
        <v>17</v>
      </c>
      <c r="DK590" s="466"/>
    </row>
    <row r="591" spans="1:115" ht="14.5" customHeight="1" x14ac:dyDescent="0.2">
      <c r="A591" s="390"/>
      <c r="B591" s="457"/>
      <c r="C591" s="135" t="s">
        <v>54</v>
      </c>
      <c r="D591" s="375"/>
      <c r="E591" s="387"/>
      <c r="F591" s="378"/>
      <c r="G591" s="484"/>
      <c r="H591" s="477"/>
      <c r="I591" s="203" t="s">
        <v>66</v>
      </c>
      <c r="J591" s="204">
        <v>0.25</v>
      </c>
      <c r="K591" s="193" t="s">
        <v>47</v>
      </c>
      <c r="L591" s="194">
        <v>1.57</v>
      </c>
      <c r="M591" s="140">
        <v>20.100000000000001</v>
      </c>
      <c r="N591" s="407"/>
      <c r="O591" s="195">
        <f>IF(OR(AE589="",AE590=""),"",IF(L591&gt;0,ROUND(IF(M591&gt;0,M591,IF(M589&gt;0,ROUND((M589*AE591)/AE589,IF(N589=0,2,IF(N589=0.1,1,0))),IF(M590&gt;0,ROUND((M590*AE591)/AE590,IF(N589=0,2,IF(N589=0.1,1,0))),IF(M591&gt;0,M591,0)))),2),""))</f>
        <v>20.100000000000001</v>
      </c>
      <c r="P591" s="196">
        <f>IF(I590="Lay",O590*(L590/(L590-1))-O590,IF(I589="Lay",O589*(L589/(L589-1))-O589,IF(OR(L591="",O591=""),"",IF($C591="1/2W",O591/2+O591/2*L591,IF($C591="1/2L",O591/2,(O591*L591-O591)*(1-_xlfn.XLOOKUP(K591,'Fevereiro 2023 - Valor Real'!A3:A15,'Fevereiro 2023 - Valor Real'!C3:C15,0))+O591)))))</f>
        <v>31.557000000000002</v>
      </c>
      <c r="Q591" s="197">
        <f>IF(K591="","",IF(_xlfn.XLOOKUP(K591,K$4:K590,$DJ$4:DJ590,0,,-1)=DJ591,_xlfn.XLOOKUP(K591,K$4:K590,Q$4:Q590,1,,-1)+1,1))</f>
        <v>3</v>
      </c>
      <c r="R591" s="198">
        <f>IF(K591="","",_xlfn.XLOOKUP(K591,K$4:K590,R$4:R590,0,,-1)+IF($C591=" ",1,0))</f>
        <v>0</v>
      </c>
      <c r="S591" s="404"/>
      <c r="T591" s="378"/>
      <c r="U591" s="378"/>
      <c r="V591" s="404"/>
      <c r="W591" s="378"/>
      <c r="X591" s="453"/>
      <c r="Y591" s="383"/>
      <c r="Z591" s="384"/>
      <c r="AA591" s="384"/>
      <c r="AB591" s="384"/>
      <c r="AC591" s="384"/>
      <c r="AD591" s="145">
        <f>((L590/(L590-1)-1))</f>
        <v>0.44052863436123357</v>
      </c>
      <c r="AE591" s="199">
        <f>IF(L591="","",(SUM(((L589-1)*(1-_xlfn.XLOOKUP(K589,'Fevereiro 2023 - Valor Real'!A3:A15,'Fevereiro 2023 - Valor Real'!C3:C15,0))+1),((L590-1)*(1-_xlfn.XLOOKUP(K590,'Fevereiro 2023 - Valor Real'!A3:A15,'Fevereiro 2023 - Valor Real'!C3:C15,0))+1),((L591-1)*(1-_xlfn.XLOOKUP(K591,'Fevereiro 2023 - Valor Real'!A3:A15,'Fevereiro 2023 - Valor Real'!C3:C15,0))+1))/((L591-1)*(1-_xlfn.XLOOKUP(K591,'Fevereiro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Real'!C3:C15,0))+1))/((L589-1)*(1-_xlfn.XLOOKUP(K589,'Fevereiro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Real'!C3:C15,0))+1))/((L590-1)*(1-_xlfn.XLOOKUP(K590,'Fevereiro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Real'!C3:C15,0))+1))/((L591-1)*(1-_xlfn.XLOOKUP(K591,'Fevereiro 2023 - Valor Real'!A3:A15,'Fevereiro 2023 - Valor Real'!C3:C15,0))+1)))</f>
        <v>0.52665146302810095</v>
      </c>
      <c r="AF591" s="105">
        <f t="shared" si="1190"/>
        <v>0</v>
      </c>
      <c r="AG591" s="106">
        <f t="shared" si="1190"/>
        <v>0</v>
      </c>
      <c r="AH591" s="106">
        <f t="shared" si="1190"/>
        <v>0</v>
      </c>
      <c r="AI591" s="106">
        <f t="shared" si="1190"/>
        <v>0</v>
      </c>
      <c r="AJ591" s="106">
        <f t="shared" si="1190"/>
        <v>0</v>
      </c>
      <c r="AK591" s="106">
        <f t="shared" si="1190"/>
        <v>0</v>
      </c>
      <c r="AL591" s="106">
        <f t="shared" si="1190"/>
        <v>0</v>
      </c>
      <c r="AM591" s="106">
        <f t="shared" si="1190"/>
        <v>0</v>
      </c>
      <c r="AN591" s="106">
        <f t="shared" si="1190"/>
        <v>0</v>
      </c>
      <c r="AO591" s="106">
        <f t="shared" si="1190"/>
        <v>0</v>
      </c>
      <c r="AP591" s="106">
        <f t="shared" si="1190"/>
        <v>0</v>
      </c>
      <c r="AQ591" s="106">
        <f t="shared" si="1190"/>
        <v>11.46</v>
      </c>
      <c r="AR591" s="107">
        <f t="shared" si="1190"/>
        <v>0</v>
      </c>
      <c r="AS591" s="105">
        <f>IF(AND($B589=" ",$K591=AS$3),$O591,0)</f>
        <v>0</v>
      </c>
      <c r="AT591" s="106">
        <f>IF(AND($B589=" ",K591=AT$3),$O591,0)</f>
        <v>0</v>
      </c>
      <c r="AU591" s="106">
        <f t="shared" ref="AU591:BE591" si="1201">IF(AND($B589=" ",$K591=AU$3),$O591,0)</f>
        <v>0</v>
      </c>
      <c r="AV591" s="106">
        <f t="shared" si="1201"/>
        <v>0</v>
      </c>
      <c r="AW591" s="106">
        <f t="shared" si="1201"/>
        <v>0</v>
      </c>
      <c r="AX591" s="106">
        <f t="shared" si="1201"/>
        <v>0</v>
      </c>
      <c r="AY591" s="108">
        <f t="shared" si="1201"/>
        <v>0</v>
      </c>
      <c r="AZ591" s="109">
        <f t="shared" si="1201"/>
        <v>0</v>
      </c>
      <c r="BA591" s="109">
        <f t="shared" si="1201"/>
        <v>0</v>
      </c>
      <c r="BB591" s="109">
        <f t="shared" si="1201"/>
        <v>0</v>
      </c>
      <c r="BC591" s="110">
        <f t="shared" si="1201"/>
        <v>0</v>
      </c>
      <c r="BD591" s="106">
        <f t="shared" si="1201"/>
        <v>0</v>
      </c>
      <c r="BE591" s="107">
        <f t="shared" si="1201"/>
        <v>0</v>
      </c>
      <c r="BF591" s="105">
        <f t="shared" si="1192"/>
        <v>0</v>
      </c>
      <c r="BG591" s="106">
        <f t="shared" si="1192"/>
        <v>0</v>
      </c>
      <c r="BH591" s="106">
        <f t="shared" si="1192"/>
        <v>0</v>
      </c>
      <c r="BI591" s="106">
        <f t="shared" si="1192"/>
        <v>0</v>
      </c>
      <c r="BJ591" s="106">
        <f t="shared" si="1192"/>
        <v>0</v>
      </c>
      <c r="BK591" s="106">
        <f t="shared" si="1192"/>
        <v>0</v>
      </c>
      <c r="BL591" s="106">
        <f t="shared" si="1192"/>
        <v>0</v>
      </c>
      <c r="BM591" s="108">
        <f t="shared" si="1192"/>
        <v>0</v>
      </c>
      <c r="BN591" s="109">
        <f t="shared" si="1192"/>
        <v>0</v>
      </c>
      <c r="BO591" s="109">
        <f t="shared" si="1192"/>
        <v>0</v>
      </c>
      <c r="BP591" s="109">
        <f t="shared" si="1192"/>
        <v>0</v>
      </c>
      <c r="BQ591" s="110">
        <f t="shared" si="1192"/>
        <v>20.100000000000001</v>
      </c>
      <c r="BR591" s="107">
        <f t="shared" si="1192"/>
        <v>0</v>
      </c>
      <c r="BS591" s="464"/>
      <c r="BT591" s="461"/>
      <c r="BU591" s="392"/>
      <c r="BV591" s="461"/>
      <c r="BW591" s="392"/>
      <c r="BX591" s="392"/>
      <c r="BY591" s="392"/>
      <c r="BZ591" s="461"/>
      <c r="CA591" s="392"/>
      <c r="CB591" s="392"/>
      <c r="CC591" s="392"/>
      <c r="CD591" s="401"/>
      <c r="CE591" s="409"/>
      <c r="CF591" s="133">
        <f t="shared" si="1156"/>
        <v>0</v>
      </c>
      <c r="CG591" s="134">
        <f t="shared" si="1157"/>
        <v>0</v>
      </c>
      <c r="CH591" s="134">
        <f t="shared" si="1158"/>
        <v>0</v>
      </c>
      <c r="CI591" s="134">
        <f t="shared" si="1159"/>
        <v>0</v>
      </c>
      <c r="CJ591" s="134">
        <f t="shared" si="1160"/>
        <v>0</v>
      </c>
      <c r="CK591" s="134">
        <f t="shared" si="1161"/>
        <v>0</v>
      </c>
      <c r="CL591" s="134">
        <f t="shared" si="1162"/>
        <v>0</v>
      </c>
      <c r="CM591" s="134">
        <f t="shared" si="1163"/>
        <v>0</v>
      </c>
      <c r="CN591" s="134">
        <f t="shared" si="1164"/>
        <v>0</v>
      </c>
      <c r="CO591" s="134">
        <f t="shared" si="1165"/>
        <v>0</v>
      </c>
      <c r="CP591" s="134">
        <f t="shared" si="1166"/>
        <v>0</v>
      </c>
      <c r="CQ591" s="134">
        <f t="shared" si="1167"/>
        <v>0</v>
      </c>
      <c r="CR591" s="134">
        <f t="shared" si="1168"/>
        <v>0</v>
      </c>
      <c r="CS591" s="134">
        <f t="shared" si="1169"/>
        <v>0</v>
      </c>
      <c r="CT591" s="115">
        <f t="shared" si="1170"/>
        <v>0</v>
      </c>
      <c r="CU591" s="116">
        <f t="shared" si="1171"/>
        <v>0</v>
      </c>
      <c r="CV591" s="116">
        <f t="shared" si="1172"/>
        <v>0</v>
      </c>
      <c r="CW591" s="116">
        <f t="shared" si="1173"/>
        <v>0</v>
      </c>
      <c r="CX591" s="116">
        <f t="shared" si="1174"/>
        <v>0</v>
      </c>
      <c r="CY591" s="116">
        <f t="shared" si="1175"/>
        <v>0</v>
      </c>
      <c r="CZ591" s="116">
        <f t="shared" si="1176"/>
        <v>0</v>
      </c>
      <c r="DA591" s="116">
        <f t="shared" si="1177"/>
        <v>0</v>
      </c>
      <c r="DB591" s="116">
        <f t="shared" si="1178"/>
        <v>1</v>
      </c>
      <c r="DC591" s="116">
        <f t="shared" si="1179"/>
        <v>0</v>
      </c>
      <c r="DD591" s="116">
        <f t="shared" si="1180"/>
        <v>0</v>
      </c>
      <c r="DE591" s="117">
        <f t="shared" si="1181"/>
        <v>0</v>
      </c>
      <c r="DF591" s="118">
        <f t="shared" si="1183"/>
        <v>36</v>
      </c>
      <c r="DG591" s="106">
        <f t="shared" si="1184"/>
        <v>47.227999999999994</v>
      </c>
      <c r="DH591" s="116">
        <f t="shared" si="1185"/>
        <v>14</v>
      </c>
      <c r="DI591" s="106">
        <f t="shared" si="1186"/>
        <v>60.05</v>
      </c>
      <c r="DJ591" s="201" t="str">
        <f>IF($D589="","",$D589)</f>
        <v>17</v>
      </c>
      <c r="DK591" s="466"/>
    </row>
    <row r="592" spans="1:115" ht="14.5" customHeight="1" x14ac:dyDescent="0.2">
      <c r="A592" s="487">
        <f>$A589+1</f>
        <v>197</v>
      </c>
      <c r="B592" s="506" t="str">
        <f>IF(OR(C592="W",C593="W",C594="W",C592="1/2W",C593="1/2W",C594="1/2W",C592="1/2L",C593="1/2L",C594="1/2L"),"OK",IF(OR(C592="L",C593="L",C594="L"),"LOSS",IF(OR(C592="X",C593="X",C594="X"),"Anulado"," ")))</f>
        <v>OK</v>
      </c>
      <c r="C592" s="147" t="s">
        <v>55</v>
      </c>
      <c r="D592" s="494" t="str">
        <f>IF(G592="","",$D589)</f>
        <v>17</v>
      </c>
      <c r="E592" s="511" t="str">
        <f>IF(G592=""," ","– "&amp;COUNTIF(D$4:D594,$D592))</f>
        <v>– 3</v>
      </c>
      <c r="F592" s="510" t="str">
        <f ca="1">IF(G592="","",IF(OR(AND($C592&lt;&gt;" ",$C593=" "),AND($C593&lt;&gt;" ",$C592=" "),AND(L594&gt;0,OR(AND($C594&lt;&gt;" ",OR($C592=" ",$C593=" ")),AND($C594=" ",OR($C592&lt;&gt;" ",$C593&lt;&gt;" "))))),IF(SUM(F$4:F591)=0,1,LARGE(F$4:F591,1)+1),IF(MONTH(G592)=MONTH(TODAY()),IF(AND(DAY(G592)&lt;DAY(TODAY()),$B592=" "),IF(SUM(F$4:F591)=0,1,LARGE(F$4:F591,1)+1),IF($B592=" ",IF(AND(DAY(G592)=DAY(TODAY()),HOUR(G592)&lt;=HOUR(NOW())+1),IF(AND(HOUR(G592)+2&lt;=HOUR(NOW()),DAY(G592)&lt;=DAY(TODAY()),MINUTE(G592)&lt;=MINUTE(NOW())),IF(SUM(F$4:F591)=0,1,LARGE(F$4:F591,1)+1),IF(OR(MINUTE(G592)&lt;=MINUTE(NOW()),HOUR(G592)&lt;=HOUR(NOW())),"!!!","")),""),"")),"")))</f>
        <v/>
      </c>
      <c r="G592" s="508">
        <v>45002.666666666664</v>
      </c>
      <c r="H592" s="502" t="s">
        <v>221</v>
      </c>
      <c r="I592" s="180" t="s">
        <v>52</v>
      </c>
      <c r="J592" s="181">
        <v>5</v>
      </c>
      <c r="K592" s="150" t="s">
        <v>40</v>
      </c>
      <c r="L592" s="151">
        <v>2.0299999999999998</v>
      </c>
      <c r="M592" s="152">
        <v>10.92</v>
      </c>
      <c r="N592" s="503">
        <v>0</v>
      </c>
      <c r="O592" s="153">
        <f>IF(OR(AE592="",AE593=""),"",ROUND(IF(L594&gt;0,IF(M592&gt;0,M592,IF(M593&gt;0,ROUND((M593*AE592)/AE593,IF(N592=0,2,IF(N592=0.1,1,0))),ROUND((M594*AE592)/AE594,IF(N592=0,2,IF(N592=0.1,1,0))))),IF(M592&gt;0,M592,ROUND((M593*AE592)/AE593,IF(N592=0,2,IF(N592=0.1,1,0))))),2))</f>
        <v>10.92</v>
      </c>
      <c r="P592" s="154">
        <f>IF(OR(L592="",O592=""),"",IF($C592="1/2W",O592/2+O592/2*L592,IF($C592="1/2L",O592/2,IF(I592="Lay",(O592*(L592/(L592-1))-O592)*(1-_xlfn.XLOOKUP(K592,'Fevereiro 2023 - Valor Real'!A3:A15,'Fevereiro 2023 - Valor Real'!C3:C15,0))+O592,(O592*L592-O592)*(1-_xlfn.XLOOKUP(K592,'Fevereiro 2023 - Valor Real'!A3:A15,'Fevereiro 2023 - Valor Real'!C3:C15,0))+O592))))</f>
        <v>22.167599999999997</v>
      </c>
      <c r="Q592" s="155">
        <f>IF(K592="","",IF(_xlfn.XLOOKUP(K592,K$9:K584,$DJ$9:DJ584,0,,-1)=DJ592,_xlfn.XLOOKUP(K592,K$9:K584,Q$9:Q584,1,,-1)+1,1))</f>
        <v>1</v>
      </c>
      <c r="R592" s="156">
        <f>IF(K592="","",_xlfn.XLOOKUP(K592,K$9:K584,R$9:R584,0,,-1)+IF($C592=" ",1,0))</f>
        <v>0</v>
      </c>
      <c r="S592" s="501">
        <f>IF($B592="Anulado",0,ROUND(IF(OR($B592="LOSS",$B592="OK"),IF(OR($C592="W",$C592="1/2W",$C592="1/2L"),P592-O592,IF($C592="L",-O592,0))+IF(OR($C593="W",$C593="1/2W",$C593="1/2L"),P593-O593,IF($C593="L",-O593,0))+IF(OR($C594="W",$C594="1/2W",$C594="1/2L"),P594-O594,IF($C594="L",-O594,0)),IF(AND(OR($C592="W",$C592="1/2W",$C592="1/2L"),C593="W"),P592+P593-SUM(O592:O594)+_xlfn.XLOOKUP("X",C592:C594,O592:O594,0),IF(AND(C592=TRUE,C594="W"),P592+P594-SUM(O592:O594),IF(AND(C593="W",C594="W"),P593+P594-SUM(O592:O594)+_xlfn.XLOOKUP("X",C592:C594,O592:O594,0),IF(L594&gt;0,IF(OR($C592="W",$C592="1/2W",$C592="1/2L"),P592-SUM(O592:O594)+_xlfn.XLOOKUP("X",C592:C594,O592:O594,0),IF(OR($C592="W",$C592="1/2W",$C592="1/2L"),P593-SUM(O592:O594)+_xlfn.XLOOKUP("X",C592:C594,O592:O594,0),IF(OR($C592="W",$C592="1/2W",$C592="1/2L"),P594-SUM(O592:O594)+_xlfn.XLOOKUP("X",C592:C594,O592:O594,0),IF(SUM(P592:P594)/3-SUM(O592:O594)+_xlfn.XLOOKUP("X",C592:C594,O592:O594,0)&gt;0,SUM(P592:P594)/3-SUM(O592:O594)+_xlfn.XLOOKUP("X",C592:C594,O592:O594,0),LARGE(P592:P594,1)-SUM(O592:O594))))),IF(OR($C592="W",$C592="1/2W",$C592="1/2L"),P592-SUM(O592:O593)+_xlfn.XLOOKUP("X",C592:C594,O592:O594,0),IF(OR($C592="W",$C592="1/2W",$C592="1/2L"),P593-SUM(O592:O593)+_xlfn.XLOOKUP("X",C592:C594,O592:O594,0),SUM(P592:P593)/2-SUM(O592:O593)+_xlfn.XLOOKUP("X",C592:C594,O592:O594,0)))))))),2))</f>
        <v>1.27</v>
      </c>
      <c r="T592" s="486">
        <f>IF(S592=0,0,S592/SUM(O592:O594))</f>
        <v>6.0765550239234453E-2</v>
      </c>
      <c r="U592" s="496">
        <f>IF($D592=$D589,IF(OR($B592="LOSS",$B592="OK",$B592="Anulada"),S592,0)+U589,IF(OR($B592="LOSS",$B592="OK",$B592="Anulada"),S592,0))</f>
        <v>3.83</v>
      </c>
      <c r="V592" s="496">
        <f>IF($D592="",0,IF($D592=$D589,IF($B592=" ",IF(I594="",IF(OR(AND(I592="DNB1",I593="DNB2"),AND(OR(I592="DNB1",I592="DNB2"),J593=0),AND(OR(I593="DNB1",I593="DNB2"),J592=0),AND(I592="DNB2",I593="DNB1"),AND(IF(J592=0,(J592+1)/ROUND(J592+1,0),J592/ROUND(J592,0))=1,IF(J593=0,(J593+1)/ROUND(IF(J593="",0,J593)+1,0),IF(J593="",0,J593)/ROUND(IF(J593="",1,J593),0))=1,OR(J592&lt;&gt;""),J593&lt;&gt;"")),0,IF(S592&lt;0,IF(I594="",SMALL(P592:P593,1)-SUM(O592:O593),0),SMALL(P592:P593,1)-SUM(O592:O593))),IF(S592&lt;0,IF(I594="",SMALL(P592:P594,1)-SUM(O592:O594),0),LARGE(P592:P594,1)-SUM(O592:O594))),S592)+V589,IF(I594="",IF(OR(AND(I592="DNB1",I593="DNB2"),AND(OR(I592="DNB1",I592="DNB2"),J593=0),AND(OR(I593="DNB1",I593="DNB2"),J592=0),AND(I592="DNB2",I593="DNB1"),AND(IF(J592=0,(J592+1)/ROUND(J592+1,0),J592/ROUND(J592,0))=1,IF(J593=0,(IF(J593="",0,J593)+1)/ROUND(IF(J593="",0,J593)+1,0),IF(J593="",0,J593)/ROUND(IF(J593="",0,J593)+1,0))=1,OR(J592&lt;&gt;""),J593&lt;&gt;"")),0,IF(S592&lt;0,IF(I594="",SMALL(P592:P593,1)-SUM(O592:O593),0),SMALL(P592:P594,1)-SUM(O592:O594))),IF(S592&lt;0,IF(I594="",SMALL(P592:P594,1)-SUM(O592:O594),0),LARGE(P592:P594,1)-SUM(O592:O594)))))</f>
        <v>3.7185000000000006</v>
      </c>
      <c r="W592" s="496">
        <f>IF($D592=$D589,IF(S592&lt;0,IF(I594="",S592,0),S592)+W589,S592)</f>
        <v>3.83</v>
      </c>
      <c r="X592" s="505" t="str">
        <f>IF(OR(SUM(R592:R594)=0,V592=W592),ROUND(IF(W592=0,0,W592/Y592)*100,2)&amp;"%",ROUND(IF(V592=0,0,V592/Y592)*100,2)&amp;"% a "&amp;ROUND(IF(W592=0,0,W592/Y592)*100,2)&amp;"%")</f>
        <v>4,52%</v>
      </c>
      <c r="Y592" s="497">
        <f>IF($D592=$D589,Y589+SUM(O592:O594),SUM(O592:O594))</f>
        <v>84.72</v>
      </c>
      <c r="Z592" s="496">
        <f>IF($B592=" ",SUM(O592:O594),0)+Z589</f>
        <v>0</v>
      </c>
      <c r="AA592" s="496">
        <f>IF(G592="","",IF($B592="Anulado",LARGE(P592:P594,1)-SUM(O592:O594)+AA589,AA589))</f>
        <v>12.425099999999992</v>
      </c>
      <c r="AB592" s="496">
        <f>IF($D592="","",AB589+S592)</f>
        <v>669.0700000000005</v>
      </c>
      <c r="AC592" s="499">
        <f ca="1">IF($D592="","",IF($B592=" ",IF(DAY(G592)=DAY(TODAY()),1+AC589,0+AC589),0+AC589))</f>
        <v>0</v>
      </c>
      <c r="AD592" s="157">
        <f>(1-_xlfn.XLOOKUP(K590,'Fevereiro 2023 - Valor Real'!A3:A15,'Fevereiro 2023 - Valor Real'!C3:C15,0))+1</f>
        <v>2</v>
      </c>
      <c r="AE592" s="158">
        <f>IF(L592="","",IF(L594&gt;0,(SUM(((L592-1)*(1-_xlfn.XLOOKUP(K592,'Fevereiro 2023 - Valor Real'!A3:A15,'Fevereiro 2023 - Valor Real'!C3:C15,0))+1),((L593-1)*(1-_xlfn.XLOOKUP(K593,'Fevereiro 2023 - Valor Real'!A3:A15,'Fevereiro 2023 - Valor Real'!C3:C15,0))+1),((L594-1)*(1-_xlfn.XLOOKUP(K594,'Fevereiro 2023 - Valor Real'!A3:A15,'Fevereiro 2023 - Valor Real'!C3:C15,0))+1))/((L592-1)*(1-_xlfn.XLOOKUP(K592,'Fevereiro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Real'!C3:C15,0))+1))/((L592-1)*(1-_xlfn.XLOOKUP(K592,'Fevereiro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Real'!C3:C15,0))+1))/((L593-1)*(1-_xlfn.XLOOKUP(K593,'Fevereiro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Real'!C3:C15,0))+1))/((L594-1)*(1-_xlfn.XLOOKUP(K594,'Fevereiro 2023 - Valor Real'!A3:A15,'Fevereiro 2023 - Valor Real'!C3:C15,0))+1)),IF(I592="Lay",IF(I593="Lay",((L593/(L593-1)-1)*(1-_xlfn.XLOOKUP(K593,'Fevereiro 2023 - Valor Real'!A3:A15,'Fevereiro 2023 - Valor Real'!C3:C15,0))+1)/(((L593/(L593-1)-1)*(1-_xlfn.XLOOKUP(K593,'Fevereiro 2023 - Valor Real'!A3:A15,'Fevereiro 2023 - Valor Real'!C3:C15,0))+1)+((L592/(L592-1)-1)*(1-_xlfn.XLOOKUP(K592,'Fevereiro 2023 - Valor Real'!A3:A15,'Fevereiro 2023 - Valor Real'!C3:C15,0))+1)),((L593-1)*(1-_xlfn.XLOOKUP(K593,'Fevereiro 2023 - Valor Real'!A3:A15,'Fevereiro 2023 - Valor Real'!C3:C15,0))+1)/(((L593-1)*(1-_xlfn.XLOOKUP(K593,'Fevereiro 2023 - Valor Real'!A3:A15,'Fevereiro 2023 - Valor Real'!C3:C15,0))+1)+((L592/(L592-1)-1)*(1-_xlfn.XLOOKUP(K592,'Fevereiro 2023 - Valor Real'!A3:A15,'Fevereiro 2023 - Valor Real'!C3:C15,0))+1))),IF(I593="Lay",(((L593/(L593-1)-1)*(1-_xlfn.XLOOKUP(K593,'Fevereiro 2023 - Valor Real'!A3:A15,'Fevereiro 2023 - Valor Real'!C3:C15,0))+1))/(((L592-1)*(1-_xlfn.XLOOKUP(K592,'Fevereiro 2023 - Valor Real'!A3:A15,'Fevereiro 2023 - Valor Real'!C3:C15,0))+1)+((L593/(L593-1)-1)*(1-_xlfn.XLOOKUP(K593,'Fevereiro 2023 - Valor Real'!A3:A15,'Fevereiro 2023 - Valor Real'!C3:C15,0))+1)),((L593-1)*(1-_xlfn.XLOOKUP(K593,'Fevereiro 2023 - Valor Real'!A3:A15,'Fevereiro 2023 - Valor Real'!C3:C15,0))+1)/(((L593-1)*(1-_xlfn.XLOOKUP(K593,'Fevereiro 2023 - Valor Real'!A3:A15,'Fevereiro 2023 - Valor Real'!C3:C15,0))+1)+((L592-1)*(1-_xlfn.XLOOKUP(K592,'Fevereiro 2023 - Valor Real'!A3:A15,'Fevereiro 2023 - Valor Real'!C3:C15,0))+1))))))</f>
        <v>0.3543212832176203</v>
      </c>
      <c r="AF592" s="66">
        <f t="shared" si="1190"/>
        <v>0</v>
      </c>
      <c r="AG592" s="67">
        <f t="shared" si="1190"/>
        <v>0</v>
      </c>
      <c r="AH592" s="67">
        <f t="shared" si="1190"/>
        <v>0</v>
      </c>
      <c r="AI592" s="67">
        <f t="shared" si="1190"/>
        <v>0</v>
      </c>
      <c r="AJ592" s="67">
        <f t="shared" si="1190"/>
        <v>-10.92</v>
      </c>
      <c r="AK592" s="67">
        <f t="shared" si="1190"/>
        <v>0</v>
      </c>
      <c r="AL592" s="67">
        <f t="shared" si="1190"/>
        <v>0</v>
      </c>
      <c r="AM592" s="67">
        <f t="shared" si="1190"/>
        <v>0</v>
      </c>
      <c r="AN592" s="67">
        <f t="shared" si="1190"/>
        <v>0</v>
      </c>
      <c r="AO592" s="67">
        <f t="shared" si="1190"/>
        <v>0</v>
      </c>
      <c r="AP592" s="67">
        <f t="shared" si="1190"/>
        <v>0</v>
      </c>
      <c r="AQ592" s="67">
        <f t="shared" si="1190"/>
        <v>0</v>
      </c>
      <c r="AR592" s="68">
        <f t="shared" si="1190"/>
        <v>0</v>
      </c>
      <c r="AS592" s="66">
        <f t="shared" ref="AS592:BE592" si="1202">IF(AND($B592=" ",$K592=AS$3),$O592,0)</f>
        <v>0</v>
      </c>
      <c r="AT592" s="67">
        <f t="shared" si="1202"/>
        <v>0</v>
      </c>
      <c r="AU592" s="67">
        <f t="shared" si="1202"/>
        <v>0</v>
      </c>
      <c r="AV592" s="67">
        <f t="shared" si="1202"/>
        <v>0</v>
      </c>
      <c r="AW592" s="67">
        <f t="shared" si="1202"/>
        <v>0</v>
      </c>
      <c r="AX592" s="67">
        <f t="shared" si="1202"/>
        <v>0</v>
      </c>
      <c r="AY592" s="69">
        <f t="shared" si="1202"/>
        <v>0</v>
      </c>
      <c r="AZ592" s="70">
        <f t="shared" si="1202"/>
        <v>0</v>
      </c>
      <c r="BA592" s="70">
        <f t="shared" si="1202"/>
        <v>0</v>
      </c>
      <c r="BB592" s="70">
        <f t="shared" si="1202"/>
        <v>0</v>
      </c>
      <c r="BC592" s="71">
        <f t="shared" si="1202"/>
        <v>0</v>
      </c>
      <c r="BD592" s="67">
        <f t="shared" si="1202"/>
        <v>0</v>
      </c>
      <c r="BE592" s="68">
        <f t="shared" si="1202"/>
        <v>0</v>
      </c>
      <c r="BF592" s="66">
        <f t="shared" si="1192"/>
        <v>0</v>
      </c>
      <c r="BG592" s="67">
        <f t="shared" si="1192"/>
        <v>0</v>
      </c>
      <c r="BH592" s="67">
        <f t="shared" si="1192"/>
        <v>0</v>
      </c>
      <c r="BI592" s="67">
        <f t="shared" si="1192"/>
        <v>0</v>
      </c>
      <c r="BJ592" s="67">
        <f t="shared" si="1192"/>
        <v>10.92</v>
      </c>
      <c r="BK592" s="67">
        <f t="shared" si="1192"/>
        <v>0</v>
      </c>
      <c r="BL592" s="67">
        <f t="shared" si="1192"/>
        <v>0</v>
      </c>
      <c r="BM592" s="69">
        <f t="shared" si="1192"/>
        <v>0</v>
      </c>
      <c r="BN592" s="70">
        <f t="shared" si="1192"/>
        <v>0</v>
      </c>
      <c r="BO592" s="70">
        <f t="shared" si="1192"/>
        <v>0</v>
      </c>
      <c r="BP592" s="70">
        <f t="shared" si="1192"/>
        <v>0</v>
      </c>
      <c r="BQ592" s="71">
        <f t="shared" si="1192"/>
        <v>0</v>
      </c>
      <c r="BR592" s="68">
        <f t="shared" si="1192"/>
        <v>0</v>
      </c>
      <c r="BS592" s="490">
        <f>IF($B592="LOSS",IF(AND($K592=BS$3,$C592="L"),-$O592,0)+IF(AND($K593=BS$3,$C593="L"),-$O593,0)+IF(AND($K594=BS$3,$C594="L"),-$O594,0),IF(OR(AND($K592=BS$3,OR($C592="W",$C592="1/2W")),AND($K593=BS$3,OR($C593="W",$C593="1/2W")),AND($K594=BS$3,OR($C594="W",$C594="1/2W"))),$S592,0))</f>
        <v>0</v>
      </c>
      <c r="BT592" s="498">
        <f>IF($B592="LOSS",IF(AND($K592=BT$3,$C592="L"),-$O592,0)+IF(AND($K593=BT$3,$C593="L"),-$O593,0)+IF(AND($K593=BT$3,$C594="L"),-$O594,0),IF(OR(AND($K593=BT$3,OR($C592="W",$C592="1/2W")),AND($K593=BT$3,OR($C593="W",$C593="1/2W")),AND($K593=BT$3,OR($C594="W",$C594="1/2W"))),$S592,0))</f>
        <v>1.27</v>
      </c>
      <c r="BU592" s="488">
        <f>IF($B592="LOSS",IF(AND($K592=BU$3,$C592="L"),-$O592,0)+IF(AND($K593=BU$3,$C593="L"),-$O593,0)+IF(AND($K593=BU$3,$C594="L"),-$O594,0),IF(OR(AND($K593=BU$3,OR($C592="W",$C592="1/2W")),AND($K593=BU$3,OR($C593="W",$C593="1/2W")),AND($K593=BU$3,OR($C594="W",$C594="1/2W"))),$S592,0))</f>
        <v>0</v>
      </c>
      <c r="BV592" s="488">
        <f t="shared" ref="BV592:CE592" si="1203">IF($B592="LOSS",IF(AND($K592=BV$3,$C592="L"),-$O592,0)+IF(AND($K593=BV$3,$C593="L"),-$O593,0)+IF(AND($K594=BV$3,$C594="L"),-$O594,0),IF(OR(AND($K592=BV$3,OR($C592="W",$C592="1/2W")),AND($K593=BV$3,OR($C593="W",$C593="1/2W")),AND($K594=BV$3,OR($C594="W",$C594="1/2W"))),$S592,0))</f>
        <v>0</v>
      </c>
      <c r="BW592" s="488">
        <f t="shared" si="1203"/>
        <v>0</v>
      </c>
      <c r="BX592" s="488">
        <f t="shared" si="1203"/>
        <v>0</v>
      </c>
      <c r="BY592" s="488">
        <f t="shared" si="1203"/>
        <v>0</v>
      </c>
      <c r="BZ592" s="488">
        <f t="shared" si="1203"/>
        <v>0</v>
      </c>
      <c r="CA592" s="488">
        <f t="shared" si="1203"/>
        <v>0</v>
      </c>
      <c r="CB592" s="488">
        <f t="shared" si="1203"/>
        <v>0</v>
      </c>
      <c r="CC592" s="488">
        <f t="shared" si="1203"/>
        <v>0</v>
      </c>
      <c r="CD592" s="500">
        <f t="shared" si="1203"/>
        <v>0</v>
      </c>
      <c r="CE592" s="504">
        <f t="shared" si="1203"/>
        <v>0</v>
      </c>
      <c r="CF592" s="160">
        <f t="shared" si="1156"/>
        <v>0</v>
      </c>
      <c r="CG592" s="161">
        <f t="shared" si="1157"/>
        <v>0</v>
      </c>
      <c r="CH592" s="161">
        <f t="shared" si="1158"/>
        <v>0</v>
      </c>
      <c r="CI592" s="161">
        <f t="shared" si="1159"/>
        <v>0</v>
      </c>
      <c r="CJ592" s="161">
        <f t="shared" si="1160"/>
        <v>0</v>
      </c>
      <c r="CK592" s="161">
        <f t="shared" si="1161"/>
        <v>0</v>
      </c>
      <c r="CL592" s="161">
        <f t="shared" si="1162"/>
        <v>0</v>
      </c>
      <c r="CM592" s="161">
        <f t="shared" si="1163"/>
        <v>0</v>
      </c>
      <c r="CN592" s="161">
        <f t="shared" si="1164"/>
        <v>0</v>
      </c>
      <c r="CO592" s="161">
        <f t="shared" si="1165"/>
        <v>1</v>
      </c>
      <c r="CP592" s="161">
        <f t="shared" si="1166"/>
        <v>0</v>
      </c>
      <c r="CQ592" s="161">
        <f t="shared" si="1167"/>
        <v>0</v>
      </c>
      <c r="CR592" s="161">
        <f t="shared" si="1168"/>
        <v>0</v>
      </c>
      <c r="CS592" s="161">
        <f t="shared" si="1169"/>
        <v>0</v>
      </c>
      <c r="CT592" s="75">
        <f t="shared" si="1170"/>
        <v>0</v>
      </c>
      <c r="CU592" s="76">
        <f t="shared" si="1171"/>
        <v>0</v>
      </c>
      <c r="CV592" s="76">
        <f t="shared" si="1172"/>
        <v>0</v>
      </c>
      <c r="CW592" s="76">
        <f t="shared" si="1173"/>
        <v>0</v>
      </c>
      <c r="CX592" s="76">
        <f t="shared" si="1174"/>
        <v>0</v>
      </c>
      <c r="CY592" s="76">
        <f t="shared" si="1175"/>
        <v>0</v>
      </c>
      <c r="CZ592" s="76">
        <f t="shared" si="1176"/>
        <v>0</v>
      </c>
      <c r="DA592" s="76">
        <f t="shared" si="1177"/>
        <v>0</v>
      </c>
      <c r="DB592" s="76">
        <f t="shared" si="1178"/>
        <v>0</v>
      </c>
      <c r="DC592" s="76">
        <f t="shared" si="1179"/>
        <v>0</v>
      </c>
      <c r="DD592" s="76">
        <f t="shared" si="1180"/>
        <v>0</v>
      </c>
      <c r="DE592" s="77">
        <f t="shared" si="1181"/>
        <v>0</v>
      </c>
      <c r="DF592" s="73">
        <f t="shared" si="1183"/>
        <v>36</v>
      </c>
      <c r="DG592" s="67">
        <f t="shared" si="1184"/>
        <v>47.227999999999994</v>
      </c>
      <c r="DH592" s="76">
        <f t="shared" si="1185"/>
        <v>14</v>
      </c>
      <c r="DI592" s="67">
        <f t="shared" si="1186"/>
        <v>60.05</v>
      </c>
      <c r="DJ592" s="202" t="str">
        <f>IF($D592="","",$D592)</f>
        <v>17</v>
      </c>
      <c r="DK592" s="492">
        <f>IF(AND($B592=" ",$D592&lt;&gt;""),1,0)</f>
        <v>0</v>
      </c>
    </row>
    <row r="593" spans="1:115" ht="14.5" customHeight="1" x14ac:dyDescent="0.2">
      <c r="A593" s="389"/>
      <c r="B593" s="456"/>
      <c r="C593" s="53" t="s">
        <v>54</v>
      </c>
      <c r="D593" s="374"/>
      <c r="E593" s="386"/>
      <c r="F593" s="377"/>
      <c r="G593" s="508"/>
      <c r="H593" s="476"/>
      <c r="I593" s="182" t="s">
        <v>51</v>
      </c>
      <c r="J593" s="56">
        <v>4.5</v>
      </c>
      <c r="K593" s="57" t="s">
        <v>37</v>
      </c>
      <c r="L593" s="164">
        <v>1.85</v>
      </c>
      <c r="M593" s="165">
        <v>6.08</v>
      </c>
      <c r="N593" s="406"/>
      <c r="O593" s="60">
        <f>IF(OR(AE592="",AE593=""),"",ROUND(IF(L594&gt;0,IF(M593&gt;0,M593,IF(M592&gt;0,IF(N592=TRUE,ROUND((M592*AE593)/AE592,0),(M592*AE593)/AE592),IF(M593&gt;0,ROUND(M593,IF(N592=0,2,IF(N592=0.1,1,0))),IF(M594&gt;0,ROUND(O594*AE593/AE594,IF(N592=0,2,IF(N592=0.1,1,0))),0)))),IF(M593&gt;0,M593,ROUND((M592*AE593)/AE592,IF(N592=0,2,IF(N592=0.1,1,0))))),2))</f>
        <v>6.08</v>
      </c>
      <c r="P593" s="61">
        <f>IF(OR(L593="",O593=""),"",IF($C593="1/2W",O593/2+O593/2*L593,IF($C593="1/2L",O593/2,IF(I593="Lay",((O593*(L593/(L593-1)))-O593)*(1-_xlfn.XLOOKUP(K593,'Fevereiro 2023 - Valor Real'!A3:A15,'Fevereiro 2023 - Valor Real'!C3:C15,0))+O593,(O593*L593-O593)*(1-_xlfn.XLOOKUP(K593,'Fevereiro 2023 - Valor Real'!A3:A15,'Fevereiro 2023 - Valor Real'!C3:C15,0))+O593))))</f>
        <v>11.248000000000001</v>
      </c>
      <c r="Q593" s="166">
        <f>IF(K593="","",IF(_xlfn.XLOOKUP(K593,K$10:K584,$DJ$10:DJ584,0,,-1)=DJ593,_xlfn.XLOOKUP(K593,K$10:K584,Q$10:Q584,1,,-1)+1,1))</f>
        <v>1</v>
      </c>
      <c r="R593" s="167">
        <f>IF(K593="","",_xlfn.XLOOKUP(K593,K$10:K584,R$10:R584,0,,-1)+IF($C593=" ",1,0))</f>
        <v>0</v>
      </c>
      <c r="S593" s="403"/>
      <c r="T593" s="380"/>
      <c r="U593" s="380"/>
      <c r="V593" s="481"/>
      <c r="W593" s="380"/>
      <c r="X593" s="452"/>
      <c r="Y593" s="383"/>
      <c r="Z593" s="384"/>
      <c r="AA593" s="384"/>
      <c r="AB593" s="384"/>
      <c r="AC593" s="384"/>
      <c r="AD593" s="64"/>
      <c r="AE593" s="65">
        <f>IF(L593="","",IF(L594&gt;0,(SUM(((L592-1)*(1-_xlfn.XLOOKUP(K592,'Fevereiro 2023 - Valor Real'!A3:A15,'Fevereiro 2023 - Valor Real'!C3:C15,0))+1),((L593-1)*(1-_xlfn.XLOOKUP(K593,'Fevereiro 2023 - Valor Real'!A3:A15,'Fevereiro 2023 - Valor Real'!C3:C15,0))+1),((L594-1)*(1-_xlfn.XLOOKUP(K594,'Fevereiro 2023 - Valor Real'!A3:A15,'Fevereiro 2023 - Valor Real'!C3:C15,0))+1))/((L593-1)*(1-_xlfn.XLOOKUP(K593,'Fevereiro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Real'!C3:C15,0))+1))/((L592-1)*(1-_xlfn.XLOOKUP(K592,'Fevereiro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Real'!C3:C15,0))+1))/((L593-1)*(1-_xlfn.XLOOKUP(K593,'Fevereiro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Real'!C3:C15,0))+1))/((L594-1)*(1-_xlfn.XLOOKUP(K594,'Fevereiro 2023 - Valor Real'!A3:A15,'Fevereiro 2023 - Valor Real'!C3:C15,0))+1)),IF(I593="Lay",IF(I592="Lay",((L592/(L592-1)-1)*(1-_xlfn.XLOOKUP(K592,'Fevereiro 2023 - Valor Real'!A3:A15,'Fevereiro 2023 - Valor Real'!C3:C15,0))+1)/(((L592/(L592-1)-1)*(1-_xlfn.XLOOKUP(K592,'Fevereiro 2023 - Valor Real'!A3:A15,'Fevereiro 2023 - Valor Real'!C3:C15,0))+1)+((L593/(L593-1)-1)*(1-_xlfn.XLOOKUP(K593,'Fevereiro 2023 - Valor Real'!A3:A15,'Fevereiro 2023 - Valor Real'!C3:C15,0))+1)),((L592-1)*(1-_xlfn.XLOOKUP(K592,'Fevereiro 2023 - Valor Real'!A3:A15,'Fevereiro 2023 - Valor Real'!C3:C15,0))+1)/(((L592-1)*(1-_xlfn.XLOOKUP(K592,'Fevereiro 2023 - Valor Real'!A3:A15,'Fevereiro 2023 - Valor Real'!C3:C15,0))+1)+((L593/(L593-1)-1)*(1-_xlfn.XLOOKUP(K593,'Fevereiro 2023 - Valor Real'!A3:A15,'Fevereiro 2023 - Valor Real'!C3:C15,0))+1))),IF(I592="Lay",((L592/(L592-1)-1)*(1-_xlfn.XLOOKUP(K592,'Fevereiro 2023 - Valor Real'!A3:A15,'Fevereiro 2023 - Valor Real'!C3:C15,0))+1)/((((L592/(L592-1)-1)*(1-_xlfn.XLOOKUP(K592,'Fevereiro 2023 - Valor Real'!A3:A15,'Fevereiro 2023 - Valor Real'!C3:C15,0))+1))+((L593-1)*(1-_xlfn.XLOOKUP(K593,'Fevereiro 2023 - Valor Real'!A3:A15,'Fevereiro 2023 - Valor Real'!C3:C15,0))+1)),((L592-1)*(1-_xlfn.XLOOKUP(K592,'Fevereiro 2023 - Valor Real'!A3:A15,'Fevereiro 2023 - Valor Real'!C3:C15,0))+1)/(((L592-1)*(1-_xlfn.XLOOKUP(K592,'Fevereiro 2023 - Valor Real'!A3:A15,'Fevereiro 2023 - Valor Real'!C3:C15,0))+1)+((L593-1)*(1-_xlfn.XLOOKUP(K593,'Fevereiro 2023 - Valor Real'!A3:A15,'Fevereiro 2023 - Valor Real'!C3:C15,0))+1))))))</f>
        <v>0.38879578644960494</v>
      </c>
      <c r="AF593" s="66">
        <f t="shared" si="1190"/>
        <v>0</v>
      </c>
      <c r="AG593" s="67">
        <f t="shared" si="1190"/>
        <v>5.17</v>
      </c>
      <c r="AH593" s="67">
        <f t="shared" si="1190"/>
        <v>0</v>
      </c>
      <c r="AI593" s="67">
        <f t="shared" si="1190"/>
        <v>0</v>
      </c>
      <c r="AJ593" s="67">
        <f t="shared" si="1190"/>
        <v>0</v>
      </c>
      <c r="AK593" s="67">
        <f t="shared" si="1190"/>
        <v>0</v>
      </c>
      <c r="AL593" s="67">
        <f t="shared" si="1190"/>
        <v>0</v>
      </c>
      <c r="AM593" s="67">
        <f t="shared" si="1190"/>
        <v>0</v>
      </c>
      <c r="AN593" s="67">
        <f t="shared" si="1190"/>
        <v>0</v>
      </c>
      <c r="AO593" s="67">
        <f t="shared" si="1190"/>
        <v>0</v>
      </c>
      <c r="AP593" s="67">
        <f t="shared" si="1190"/>
        <v>0</v>
      </c>
      <c r="AQ593" s="67">
        <f t="shared" si="1190"/>
        <v>0</v>
      </c>
      <c r="AR593" s="68">
        <f t="shared" si="1190"/>
        <v>0</v>
      </c>
      <c r="AS593" s="66">
        <f>IF(AND($B592=" ",$K593=AS$3),$O593,0)</f>
        <v>0</v>
      </c>
      <c r="AT593" s="67">
        <f>IF(AND($B592=" ",K593=AT$3),$O593,0)</f>
        <v>0</v>
      </c>
      <c r="AU593" s="67">
        <f t="shared" ref="AU593:BE593" si="1204">IF(AND($B592=" ",$K593=AU$3),$O593,0)</f>
        <v>0</v>
      </c>
      <c r="AV593" s="67">
        <f t="shared" si="1204"/>
        <v>0</v>
      </c>
      <c r="AW593" s="67">
        <f t="shared" si="1204"/>
        <v>0</v>
      </c>
      <c r="AX593" s="67">
        <f t="shared" si="1204"/>
        <v>0</v>
      </c>
      <c r="AY593" s="69">
        <f t="shared" si="1204"/>
        <v>0</v>
      </c>
      <c r="AZ593" s="70">
        <f t="shared" si="1204"/>
        <v>0</v>
      </c>
      <c r="BA593" s="70">
        <f t="shared" si="1204"/>
        <v>0</v>
      </c>
      <c r="BB593" s="70">
        <f t="shared" si="1204"/>
        <v>0</v>
      </c>
      <c r="BC593" s="71">
        <f t="shared" si="1204"/>
        <v>0</v>
      </c>
      <c r="BD593" s="67">
        <f t="shared" si="1204"/>
        <v>0</v>
      </c>
      <c r="BE593" s="68">
        <f t="shared" si="1204"/>
        <v>0</v>
      </c>
      <c r="BF593" s="66">
        <f t="shared" si="1192"/>
        <v>0</v>
      </c>
      <c r="BG593" s="168">
        <f t="shared" si="1192"/>
        <v>6.08</v>
      </c>
      <c r="BH593" s="67">
        <f t="shared" si="1192"/>
        <v>0</v>
      </c>
      <c r="BI593" s="67">
        <f t="shared" si="1192"/>
        <v>0</v>
      </c>
      <c r="BJ593" s="67">
        <f t="shared" si="1192"/>
        <v>0</v>
      </c>
      <c r="BK593" s="67">
        <f t="shared" si="1192"/>
        <v>0</v>
      </c>
      <c r="BL593" s="67">
        <f t="shared" si="1192"/>
        <v>0</v>
      </c>
      <c r="BM593" s="69">
        <f t="shared" si="1192"/>
        <v>0</v>
      </c>
      <c r="BN593" s="70">
        <f t="shared" si="1192"/>
        <v>0</v>
      </c>
      <c r="BO593" s="70">
        <f t="shared" si="1192"/>
        <v>0</v>
      </c>
      <c r="BP593" s="70">
        <f t="shared" si="1192"/>
        <v>0</v>
      </c>
      <c r="BQ593" s="71">
        <f t="shared" si="1192"/>
        <v>0</v>
      </c>
      <c r="BR593" s="68">
        <f t="shared" si="1192"/>
        <v>0</v>
      </c>
      <c r="BS593" s="491"/>
      <c r="BT593" s="489"/>
      <c r="BU593" s="392"/>
      <c r="BV593" s="489"/>
      <c r="BW593" s="392"/>
      <c r="BX593" s="392"/>
      <c r="BY593" s="392"/>
      <c r="BZ593" s="489"/>
      <c r="CA593" s="392"/>
      <c r="CB593" s="392"/>
      <c r="CC593" s="392"/>
      <c r="CD593" s="401"/>
      <c r="CE593" s="409"/>
      <c r="CF593" s="169">
        <f t="shared" si="1156"/>
        <v>0</v>
      </c>
      <c r="CG593" s="170">
        <f t="shared" si="1157"/>
        <v>0</v>
      </c>
      <c r="CH593" s="170">
        <f t="shared" si="1158"/>
        <v>1</v>
      </c>
      <c r="CI593" s="170">
        <f t="shared" si="1159"/>
        <v>0</v>
      </c>
      <c r="CJ593" s="170">
        <f t="shared" si="1160"/>
        <v>0</v>
      </c>
      <c r="CK593" s="170">
        <f t="shared" si="1161"/>
        <v>0</v>
      </c>
      <c r="CL593" s="170">
        <f t="shared" si="1162"/>
        <v>0</v>
      </c>
      <c r="CM593" s="170">
        <f t="shared" si="1163"/>
        <v>0</v>
      </c>
      <c r="CN593" s="170">
        <f t="shared" si="1164"/>
        <v>0</v>
      </c>
      <c r="CO593" s="170">
        <f t="shared" si="1165"/>
        <v>0</v>
      </c>
      <c r="CP593" s="170">
        <f t="shared" si="1166"/>
        <v>0</v>
      </c>
      <c r="CQ593" s="170">
        <f t="shared" si="1167"/>
        <v>0</v>
      </c>
      <c r="CR593" s="170">
        <f t="shared" si="1168"/>
        <v>0</v>
      </c>
      <c r="CS593" s="170">
        <f t="shared" si="1169"/>
        <v>0</v>
      </c>
      <c r="CT593" s="75">
        <f t="shared" si="1170"/>
        <v>0</v>
      </c>
      <c r="CU593" s="76">
        <f t="shared" si="1171"/>
        <v>0</v>
      </c>
      <c r="CV593" s="76">
        <f t="shared" si="1172"/>
        <v>0</v>
      </c>
      <c r="CW593" s="76">
        <f t="shared" si="1173"/>
        <v>0</v>
      </c>
      <c r="CX593" s="76">
        <f t="shared" si="1174"/>
        <v>0</v>
      </c>
      <c r="CY593" s="76">
        <f t="shared" si="1175"/>
        <v>0</v>
      </c>
      <c r="CZ593" s="76">
        <f t="shared" si="1176"/>
        <v>0</v>
      </c>
      <c r="DA593" s="76">
        <f t="shared" si="1177"/>
        <v>0</v>
      </c>
      <c r="DB593" s="76">
        <f t="shared" si="1178"/>
        <v>0</v>
      </c>
      <c r="DC593" s="76">
        <f t="shared" si="1179"/>
        <v>0</v>
      </c>
      <c r="DD593" s="76">
        <f t="shared" si="1180"/>
        <v>0</v>
      </c>
      <c r="DE593" s="77">
        <f t="shared" si="1181"/>
        <v>0</v>
      </c>
      <c r="DF593" s="73">
        <f t="shared" si="1183"/>
        <v>36</v>
      </c>
      <c r="DG593" s="67">
        <f t="shared" si="1184"/>
        <v>47.227999999999994</v>
      </c>
      <c r="DH593" s="76">
        <f t="shared" si="1185"/>
        <v>14</v>
      </c>
      <c r="DI593" s="67">
        <f t="shared" si="1186"/>
        <v>60.05</v>
      </c>
      <c r="DJ593" s="202" t="str">
        <f>IF($D592="","",$D592)</f>
        <v>17</v>
      </c>
      <c r="DK593" s="493"/>
    </row>
    <row r="594" spans="1:115" ht="14.5" customHeight="1" x14ac:dyDescent="0.2">
      <c r="A594" s="390"/>
      <c r="B594" s="457"/>
      <c r="C594" s="79" t="s">
        <v>54</v>
      </c>
      <c r="D594" s="375"/>
      <c r="E594" s="387"/>
      <c r="F594" s="378"/>
      <c r="G594" s="508"/>
      <c r="H594" s="477"/>
      <c r="I594" s="183" t="s">
        <v>51</v>
      </c>
      <c r="J594" s="184">
        <v>5.5</v>
      </c>
      <c r="K594" s="185" t="s">
        <v>37</v>
      </c>
      <c r="L594" s="186">
        <v>2.8</v>
      </c>
      <c r="M594" s="174">
        <v>3.9</v>
      </c>
      <c r="N594" s="407"/>
      <c r="O594" s="187">
        <f>IF(OR(AE592="",AE593=""),"",IF(L594&gt;0,ROUND(IF(M594&gt;0,M594,IF(M592&gt;0,ROUND((M592*AE594)/AE592,IF(N592=0,2,IF(N592=0.1,1,0))),IF(M593&gt;0,ROUND((M593*AE594)/AE593,IF(N592=0,2,IF(N592=0.1,1,0))),IF(M594&gt;0,M594,0)))),2),""))</f>
        <v>3.9</v>
      </c>
      <c r="P594" s="188">
        <f>IF(I593="Lay",O593*(L593/(L593-1))-O593,IF(I592="Lay",O592*(L592/(L592-1))-O592,IF(OR(L594="",O594=""),"",IF($C594="1/2W",O594/2+O594/2*L594,IF($C594="1/2L",O594/2,(O594*L594-O594)*(1-_xlfn.XLOOKUP(K594,'Fevereiro 2023 - Valor Real'!A3:A15,'Fevereiro 2023 - Valor Real'!C3:C15,0))+O594)))))</f>
        <v>10.92</v>
      </c>
      <c r="Q594" s="166">
        <f>IF(K594="","",IF(_xlfn.XLOOKUP(K594,K$11:K584,$DJ$11:DJ584,0,,-1)=DJ594,_xlfn.XLOOKUP(K594,K$11:K584,Q$11:Q584,1,,-1)+1,1))</f>
        <v>1</v>
      </c>
      <c r="R594" s="189">
        <f>IF(K594="","",_xlfn.XLOOKUP(K594,K$11:K584,R$11:R584,0,,-1)+IF($C594=" ",1,0))</f>
        <v>0</v>
      </c>
      <c r="S594" s="404"/>
      <c r="T594" s="378"/>
      <c r="U594" s="378"/>
      <c r="V594" s="404"/>
      <c r="W594" s="378"/>
      <c r="X594" s="453"/>
      <c r="Y594" s="383"/>
      <c r="Z594" s="384"/>
      <c r="AA594" s="384"/>
      <c r="AB594" s="384"/>
      <c r="AC594" s="384"/>
      <c r="AD594" s="90"/>
      <c r="AE594" s="190">
        <f>IF(L594="","",(SUM(((L592-1)*(1-_xlfn.XLOOKUP(K592,'Fevereiro 2023 - Valor Real'!A3:A15,'Fevereiro 2023 - Valor Real'!C3:C15,0))+1),((L593-1)*(1-_xlfn.XLOOKUP(K593,'Fevereiro 2023 - Valor Real'!A3:A15,'Fevereiro 2023 - Valor Real'!C3:C15,0))+1),((L594-1)*(1-_xlfn.XLOOKUP(K594,'Fevereiro 2023 - Valor Real'!A3:A15,'Fevereiro 2023 - Valor Real'!C3:C15,0))+1))/((L594-1)*(1-_xlfn.XLOOKUP(K594,'Fevereiro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Real'!C3:C15,0))+1))/((L592-1)*(1-_xlfn.XLOOKUP(K592,'Fevereiro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Real'!C3:C15,0))+1))/((L593-1)*(1-_xlfn.XLOOKUP(K593,'Fevereiro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Real'!C3:C15,0))+1))/((L594-1)*(1-_xlfn.XLOOKUP(K594,'Fevereiro 2023 - Valor Real'!A3:A15,'Fevereiro 2023 - Valor Real'!C3:C15,0))+1)))</f>
        <v>0.25688293033277471</v>
      </c>
      <c r="AF594" s="66">
        <f t="shared" ref="AF594:AR603" si="1205">IF($K594=AF$3,ROUND(IF(OR($C594="W",$C594="1/2W",$C594="1/2L"),$P594-$O594,IF($C594="X",0,-$O594)),2),0)</f>
        <v>0</v>
      </c>
      <c r="AG594" s="67">
        <f t="shared" si="1205"/>
        <v>7.02</v>
      </c>
      <c r="AH594" s="67">
        <f t="shared" si="1205"/>
        <v>0</v>
      </c>
      <c r="AI594" s="67">
        <f t="shared" si="1205"/>
        <v>0</v>
      </c>
      <c r="AJ594" s="67">
        <f t="shared" si="1205"/>
        <v>0</v>
      </c>
      <c r="AK594" s="67">
        <f t="shared" si="1205"/>
        <v>0</v>
      </c>
      <c r="AL594" s="67">
        <f t="shared" si="1205"/>
        <v>0</v>
      </c>
      <c r="AM594" s="67">
        <f t="shared" si="1205"/>
        <v>0</v>
      </c>
      <c r="AN594" s="67">
        <f t="shared" si="1205"/>
        <v>0</v>
      </c>
      <c r="AO594" s="67">
        <f t="shared" si="1205"/>
        <v>0</v>
      </c>
      <c r="AP594" s="67">
        <f t="shared" si="1205"/>
        <v>0</v>
      </c>
      <c r="AQ594" s="67">
        <f t="shared" si="1205"/>
        <v>0</v>
      </c>
      <c r="AR594" s="68">
        <f t="shared" si="1205"/>
        <v>0</v>
      </c>
      <c r="AS594" s="66">
        <f>IF(AND($B592=" ",$K594=AS$3),$O594,0)</f>
        <v>0</v>
      </c>
      <c r="AT594" s="67">
        <f>IF(AND($B592=" ",K594=AT$3),$O594,0)</f>
        <v>0</v>
      </c>
      <c r="AU594" s="67">
        <f t="shared" ref="AU594:BE594" si="1206">IF(AND($B592=" ",$K594=AU$3),$O594,0)</f>
        <v>0</v>
      </c>
      <c r="AV594" s="67">
        <f t="shared" si="1206"/>
        <v>0</v>
      </c>
      <c r="AW594" s="67">
        <f t="shared" si="1206"/>
        <v>0</v>
      </c>
      <c r="AX594" s="67">
        <f t="shared" si="1206"/>
        <v>0</v>
      </c>
      <c r="AY594" s="69">
        <f t="shared" si="1206"/>
        <v>0</v>
      </c>
      <c r="AZ594" s="70">
        <f t="shared" si="1206"/>
        <v>0</v>
      </c>
      <c r="BA594" s="70">
        <f t="shared" si="1206"/>
        <v>0</v>
      </c>
      <c r="BB594" s="70">
        <f t="shared" si="1206"/>
        <v>0</v>
      </c>
      <c r="BC594" s="71">
        <f t="shared" si="1206"/>
        <v>0</v>
      </c>
      <c r="BD594" s="67">
        <f t="shared" si="1206"/>
        <v>0</v>
      </c>
      <c r="BE594" s="68">
        <f t="shared" si="1206"/>
        <v>0</v>
      </c>
      <c r="BF594" s="66">
        <f t="shared" ref="BF594:BR603" si="1207">IF($K594=BF$3,IF($C594="X",0,$O594),0)</f>
        <v>0</v>
      </c>
      <c r="BG594" s="168">
        <f t="shared" si="1207"/>
        <v>3.9</v>
      </c>
      <c r="BH594" s="67">
        <f t="shared" si="1207"/>
        <v>0</v>
      </c>
      <c r="BI594" s="67">
        <f t="shared" si="1207"/>
        <v>0</v>
      </c>
      <c r="BJ594" s="67">
        <f t="shared" si="1207"/>
        <v>0</v>
      </c>
      <c r="BK594" s="67">
        <f t="shared" si="1207"/>
        <v>0</v>
      </c>
      <c r="BL594" s="67">
        <f t="shared" si="1207"/>
        <v>0</v>
      </c>
      <c r="BM594" s="69">
        <f t="shared" si="1207"/>
        <v>0</v>
      </c>
      <c r="BN594" s="70">
        <f t="shared" si="1207"/>
        <v>0</v>
      </c>
      <c r="BO594" s="70">
        <f t="shared" si="1207"/>
        <v>0</v>
      </c>
      <c r="BP594" s="70">
        <f t="shared" si="1207"/>
        <v>0</v>
      </c>
      <c r="BQ594" s="71">
        <f t="shared" si="1207"/>
        <v>0</v>
      </c>
      <c r="BR594" s="68">
        <f t="shared" si="1207"/>
        <v>0</v>
      </c>
      <c r="BS594" s="491"/>
      <c r="BT594" s="489"/>
      <c r="BU594" s="392"/>
      <c r="BV594" s="489"/>
      <c r="BW594" s="392"/>
      <c r="BX594" s="392"/>
      <c r="BY594" s="392"/>
      <c r="BZ594" s="489"/>
      <c r="CA594" s="392"/>
      <c r="CB594" s="392"/>
      <c r="CC594" s="392"/>
      <c r="CD594" s="401"/>
      <c r="CE594" s="409"/>
      <c r="CF594" s="169">
        <f t="shared" si="1156"/>
        <v>0</v>
      </c>
      <c r="CG594" s="170">
        <f t="shared" si="1157"/>
        <v>0</v>
      </c>
      <c r="CH594" s="170">
        <f t="shared" si="1158"/>
        <v>1</v>
      </c>
      <c r="CI594" s="170">
        <f t="shared" si="1159"/>
        <v>0</v>
      </c>
      <c r="CJ594" s="170">
        <f t="shared" si="1160"/>
        <v>0</v>
      </c>
      <c r="CK594" s="170">
        <f t="shared" si="1161"/>
        <v>0</v>
      </c>
      <c r="CL594" s="170">
        <f t="shared" si="1162"/>
        <v>0</v>
      </c>
      <c r="CM594" s="170">
        <f t="shared" si="1163"/>
        <v>0</v>
      </c>
      <c r="CN594" s="170">
        <f t="shared" si="1164"/>
        <v>0</v>
      </c>
      <c r="CO594" s="170">
        <f t="shared" si="1165"/>
        <v>0</v>
      </c>
      <c r="CP594" s="170">
        <f t="shared" si="1166"/>
        <v>0</v>
      </c>
      <c r="CQ594" s="170">
        <f t="shared" si="1167"/>
        <v>0</v>
      </c>
      <c r="CR594" s="170">
        <f t="shared" si="1168"/>
        <v>0</v>
      </c>
      <c r="CS594" s="170">
        <f t="shared" si="1169"/>
        <v>0</v>
      </c>
      <c r="CT594" s="75">
        <f t="shared" si="1170"/>
        <v>0</v>
      </c>
      <c r="CU594" s="76">
        <f t="shared" si="1171"/>
        <v>0</v>
      </c>
      <c r="CV594" s="76">
        <f t="shared" si="1172"/>
        <v>0</v>
      </c>
      <c r="CW594" s="76">
        <f t="shared" si="1173"/>
        <v>0</v>
      </c>
      <c r="CX594" s="76">
        <f t="shared" si="1174"/>
        <v>0</v>
      </c>
      <c r="CY594" s="76">
        <f t="shared" si="1175"/>
        <v>0</v>
      </c>
      <c r="CZ594" s="76">
        <f t="shared" si="1176"/>
        <v>0</v>
      </c>
      <c r="DA594" s="76">
        <f t="shared" si="1177"/>
        <v>0</v>
      </c>
      <c r="DB594" s="76">
        <f t="shared" si="1178"/>
        <v>0</v>
      </c>
      <c r="DC594" s="76">
        <f t="shared" si="1179"/>
        <v>0</v>
      </c>
      <c r="DD594" s="76">
        <f t="shared" si="1180"/>
        <v>0</v>
      </c>
      <c r="DE594" s="77">
        <f t="shared" si="1181"/>
        <v>0</v>
      </c>
      <c r="DF594" s="73">
        <f t="shared" si="1183"/>
        <v>36</v>
      </c>
      <c r="DG594" s="67">
        <f t="shared" si="1184"/>
        <v>47.227999999999994</v>
      </c>
      <c r="DH594" s="76">
        <f t="shared" si="1185"/>
        <v>14</v>
      </c>
      <c r="DI594" s="67">
        <f t="shared" si="1186"/>
        <v>60.05</v>
      </c>
      <c r="DJ594" s="202" t="str">
        <f>IF($D592="","",$D592)</f>
        <v>17</v>
      </c>
      <c r="DK594" s="493"/>
    </row>
    <row r="595" spans="1:115" ht="14.5" customHeight="1" x14ac:dyDescent="0.2">
      <c r="A595" s="459">
        <f>$A592+1</f>
        <v>198</v>
      </c>
      <c r="B595" s="507" t="str">
        <f>IF(OR(C595="W",C596="W",C597="W",C595="1/2W",C596="1/2W",C597="1/2W",C595="1/2L",C596="1/2L",C597="1/2L"),"OK",IF(OR(C595="L",C596="L",C597="L"),"LOSS",IF(OR(C595="X",C596="X",C597="X"),"Anulado"," ")))</f>
        <v>OK</v>
      </c>
      <c r="C595" s="93" t="s">
        <v>54</v>
      </c>
      <c r="D595" s="468" t="str">
        <f>IF(G595="","",$D592)</f>
        <v>17</v>
      </c>
      <c r="E595" s="485" t="str">
        <f>IF(G595=""," ","– "&amp;COUNTIF(D$4:D597,$D595))</f>
        <v>– 4</v>
      </c>
      <c r="F595" s="509" t="str">
        <f ca="1">IF(G595="","",IF(OR(AND($C595&lt;&gt;" ",$C596=" "),AND($C596&lt;&gt;" ",$C595=" "),AND(L597&gt;0,OR(AND($C597&lt;&gt;" ",OR($C595=" ",$C596=" ")),AND($C597=" ",OR($C595&lt;&gt;" ",$C596&lt;&gt;" "))))),IF(SUM(F$4:F594)=0,1,LARGE(F$4:F594,1)+1),IF(MONTH(G595)=MONTH(TODAY()),IF(AND(DAY(G595)&lt;DAY(TODAY()),$B595=" "),IF(SUM(F$4:F594)=0,1,LARGE(F$4:F594,1)+1),IF($B595=" ",IF(AND(DAY(G595)=DAY(TODAY()),HOUR(G595)&lt;=HOUR(NOW())+1),IF(AND(HOUR(G595)+2&lt;=HOUR(NOW()),DAY(G595)&lt;=DAY(TODAY()),MINUTE(G595)&lt;=MINUTE(NOW())),IF(SUM(F$4:F594)=0,1,LARGE(F$4:F594,1)+1),IF(OR(MINUTE(G595)&lt;=MINUTE(NOW()),HOUR(G595)&lt;=HOUR(NOW())),"!!!","")),""),"")),"")))</f>
        <v/>
      </c>
      <c r="G595" s="482">
        <v>45002.666666666664</v>
      </c>
      <c r="H595" s="475" t="s">
        <v>221</v>
      </c>
      <c r="I595" s="94" t="s">
        <v>51</v>
      </c>
      <c r="J595" s="95">
        <v>11.5</v>
      </c>
      <c r="K595" s="96" t="s">
        <v>37</v>
      </c>
      <c r="L595" s="97">
        <v>3.1</v>
      </c>
      <c r="M595" s="98">
        <v>6.96</v>
      </c>
      <c r="N595" s="478">
        <v>0</v>
      </c>
      <c r="O595" s="99">
        <f>IF(OR(AE595="",AE596=""),"",ROUND(IF(L597&gt;0,IF(M595&gt;0,M595,IF(M596&gt;0,ROUND((M596*AE595)/AE596,IF(N595=0,2,IF(N595=0.1,1,0))),ROUND((M597*AE595)/AE597,IF(N595=0,2,IF(N595=0.1,1,0))))),IF(M595&gt;0,M595,ROUND((M596*AE595)/AE596,IF(N595=0,2,IF(N595=0.1,1,0))))),2))</f>
        <v>6.96</v>
      </c>
      <c r="P595" s="100">
        <f>IF(OR(L595="",O595=""),"",IF($C595="1/2W",O595/2+O595/2*L595,IF($C595="1/2L",O595/2,IF(I595="Lay",(O595*(L595/(L595-1))-O595)*(1-_xlfn.XLOOKUP(K595,'Fevereiro 2023 - Valor Real'!A3:A15,'Fevereiro 2023 - Valor Real'!C3:C15,0))+O595,(O595*L595-O595)*(1-_xlfn.XLOOKUP(K595,'Fevereiro 2023 - Valor Real'!A3:A15,'Fevereiro 2023 - Valor Real'!C3:C15,0))+O595))))</f>
        <v>21.576000000000001</v>
      </c>
      <c r="Q595" s="101">
        <f>IF(K595="","",IF(_xlfn.XLOOKUP(K595,K$4:K594,$DJ$4:DJ594,0,,-1)=DJ595,_xlfn.XLOOKUP(K595,K$4:K594,Q$4:Q594,1,,-1)+1,1))</f>
        <v>2</v>
      </c>
      <c r="R595" s="102">
        <f>IF(K595="","",_xlfn.XLOOKUP(K595,K$4:K594,R$4:R594,0,,-1)+IF($C595=" ",1,0))</f>
        <v>0</v>
      </c>
      <c r="S595" s="474">
        <f>IF($B595="Anulado",0,ROUND(IF(OR($B595="LOSS",$B595="OK"),IF(OR($C595="W",$C595="1/2W",$C595="1/2L"),P595-O595,IF($C595="L",-O595,0))+IF(OR($C596="W",$C596="1/2W",$C596="1/2L"),P596-O596,IF($C596="L",-O596,0))+IF(OR($C597="W",$C597="1/2W",$C597="1/2L"),P597-O597,IF($C597="L",-O597,0)),IF(AND(OR($C595="W",$C595="1/2W",$C595="1/2L"),C596="W"),P595+P596-SUM(O595:O597)+_xlfn.XLOOKUP("X",C595:C597,O595:O597,0),IF(AND(C595=TRUE,C597="W"),P595+P597-SUM(O595:O597),IF(AND(C596="W",C597="W"),P596+P597-SUM(O595:O597)+_xlfn.XLOOKUP("X",C595:C597,O595:O597,0),IF(L597&gt;0,IF(OR($C595="W",$C595="1/2W",$C595="1/2L"),P595-SUM(O595:O597)+_xlfn.XLOOKUP("X",C595:C597,O595:O597,0),IF(OR($C595="W",$C595="1/2W",$C595="1/2L"),P596-SUM(O595:O597)+_xlfn.XLOOKUP("X",C595:C597,O595:O597,0),IF(OR($C595="W",$C595="1/2W",$C595="1/2L"),P597-SUM(O595:O597)+_xlfn.XLOOKUP("X",C595:C597,O595:O597,0),IF(SUM(P595:P597)/3-SUM(O595:O597)+_xlfn.XLOOKUP("X",C595:C597,O595:O597,0)&gt;0,SUM(P595:P597)/3-SUM(O595:O597)+_xlfn.XLOOKUP("X",C595:C597,O595:O597,0),LARGE(P595:P597,1)-SUM(O595:O597))))),IF(OR($C595="W",$C595="1/2W",$C595="1/2L"),P595-SUM(O595:O596)+_xlfn.XLOOKUP("X",C595:C597,O595:O597,0),IF(OR($C595="W",$C595="1/2W",$C595="1/2L"),P596-SUM(O595:O596)+_xlfn.XLOOKUP("X",C595:C597,O595:O597,0),SUM(P595:P596)/2-SUM(O595:O596)+_xlfn.XLOOKUP("X",C595:C597,O595:O597,0)))))))),2))</f>
        <v>1.8</v>
      </c>
      <c r="T595" s="458">
        <f>IF(S595=0,0,S595/SUM(O595:O597))</f>
        <v>9.1001011122345807E-2</v>
      </c>
      <c r="U595" s="470">
        <f>IF($D595=$D592,IF(OR($B595="LOSS",$B595="OK",$B595="Anulada"),S595,0)+U592,IF(OR($B595="LOSS",$B595="OK",$B595="Anulada"),S595,0))</f>
        <v>5.63</v>
      </c>
      <c r="V595" s="470">
        <f>IF($D595="",0,IF($D595=$D592,IF($B595=" ",IF(I597="",IF(OR(AND(I595="DNB1",I596="DNB2"),AND(OR(I595="DNB1",I595="DNB2"),J596=0),AND(OR(I596="DNB1",I596="DNB2"),J595=0),AND(I595="DNB2",I596="DNB1"),AND(IF(J595=0,(J595+1)/ROUND(J595+1,0),J595/ROUND(J595,0))=1,IF(J596=0,(J596+1)/ROUND(IF(J596="",0,J596)+1,0),IF(J596="",0,J596)/ROUND(IF(J596="",1,J596),0))=1,OR(J595&lt;&gt;""),J596&lt;&gt;"")),0,IF(S595&lt;0,IF(I597="",SMALL(P595:P596,1)-SUM(O595:O596),0),SMALL(P595:P596,1)-SUM(O595:O596))),IF(S595&lt;0,IF(I597="",SMALL(P595:P597,1)-SUM(O595:O597),0),LARGE(P595:P597,1)-SUM(O595:O597))),S595)+V592,IF(I597="",IF(OR(AND(I595="DNB1",I596="DNB2"),AND(OR(I595="DNB1",I595="DNB2"),J596=0),AND(OR(I596="DNB1",I596="DNB2"),J595=0),AND(I595="DNB2",I596="DNB1"),AND(IF(J595=0,(J595+1)/ROUND(J595+1,0),J595/ROUND(J595,0))=1,IF(J596=0,(IF(J596="",0,J596)+1)/ROUND(IF(J596="",0,J596)+1,0),IF(J596="",0,J596)/ROUND(IF(J596="",0,J596)+1,0))=1,OR(J595&lt;&gt;""),J596&lt;&gt;"")),0,IF(S595&lt;0,IF(I597="",SMALL(P595:P596,1)-SUM(O595:O596),0),SMALL(P595:P597,1)-SUM(O595:O597))),IF(S595&lt;0,IF(I597="",SMALL(P595:P597,1)-SUM(O595:O597),0),LARGE(P595:P597,1)-SUM(O595:O597)))))</f>
        <v>5.5185000000000004</v>
      </c>
      <c r="W595" s="470">
        <f>IF($D595=$D592,IF(S595&lt;0,IF(I597="",S595,0),S595)+W592,S595)</f>
        <v>5.63</v>
      </c>
      <c r="X595" s="480" t="str">
        <f>IF(OR(SUM(R595:R597)=0,V595=W595),ROUND(IF(W595=0,0,W595/Y595)*100,2)&amp;"%",ROUND(IF(V595=0,0,V595/Y595)*100,2)&amp;"% a "&amp;ROUND(IF(W595=0,0,W595/Y595)*100,2)&amp;"%")</f>
        <v>5,39%</v>
      </c>
      <c r="Y595" s="471">
        <f>IF($D595=$D592,Y592+SUM(O595:O597),SUM(O595:O597))</f>
        <v>104.5</v>
      </c>
      <c r="Z595" s="470">
        <f>IF($B595=" ",SUM(O595:O597),0)+Z592</f>
        <v>0</v>
      </c>
      <c r="AA595" s="470">
        <f>IF(G595="","",IF($B595="Anulado",LARGE(P595:P597,1)-SUM(O595:O597)+AA592,AA592))</f>
        <v>12.425099999999992</v>
      </c>
      <c r="AB595" s="470">
        <f>IF($D595="","",AB592+S595)</f>
        <v>670.87000000000046</v>
      </c>
      <c r="AC595" s="472">
        <f ca="1">IF($D595="","",IF($B595=" ",IF(DAY(G595)=DAY(TODAY()),1+AC592,0+AC592),0+AC592))</f>
        <v>0</v>
      </c>
      <c r="AD595" s="103">
        <f>(((L596/(L596-1)-1)*(1-_xlfn.XLOOKUP(K596,'Fevereiro 2023 - Valor Real'!A3:A15,'Fevereiro 2023 - Valor Real'!C3:C15,0))+1))/(((L595-1)*(1-_xlfn.XLOOKUP(K595,'Fevereiro 2023 - Valor Real'!A3:A15,'Fevereiro 2023 - Valor Real'!C3:C15,0))+1)+((L596/(L596-1)-1)*(1-_xlfn.XLOOKUP(K596,'Fevereiro 2023 - Valor Real'!A3:A15,'Fevereiro 2023 - Valor Real'!C3:C15,0))+1))</f>
        <v>0.26771653543307083</v>
      </c>
      <c r="AE595" s="104">
        <f>IF(L595="","",IF(L597&gt;0,(SUM(((L595-1)*(1-_xlfn.XLOOKUP(K595,'Fevereiro 2023 - Valor Real'!A3:A15,'Fevereiro 2023 - Valor Real'!C3:C15,0))+1),((L596-1)*(1-_xlfn.XLOOKUP(K596,'Fevereiro 2023 - Valor Real'!A3:A15,'Fevereiro 2023 - Valor Real'!C3:C15,0))+1),((L597-1)*(1-_xlfn.XLOOKUP(K597,'Fevereiro 2023 - Valor Real'!A3:A15,'Fevereiro 2023 - Valor Real'!C3:C15,0))+1))/((L595-1)*(1-_xlfn.XLOOKUP(K595,'Fevereiro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Real'!C3:C15,0))+1))/((L595-1)*(1-_xlfn.XLOOKUP(K595,'Fevereiro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Real'!C3:C15,0))+1))/((L596-1)*(1-_xlfn.XLOOKUP(K596,'Fevereiro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Real'!C3:C15,0))+1))/((L597-1)*(1-_xlfn.XLOOKUP(K597,'Fevereiro 2023 - Valor Real'!A3:A15,'Fevereiro 2023 - Valor Real'!C3:C15,0))+1)),IF(I595="Lay",IF(I596="Lay",((L596/(L596-1)-1)*(1-_xlfn.XLOOKUP(K596,'Fevereiro 2023 - Valor Real'!A3:A15,'Fevereiro 2023 - Valor Real'!C3:C15,0))+1)/(((L596/(L596-1)-1)*(1-_xlfn.XLOOKUP(K596,'Fevereiro 2023 - Valor Real'!A3:A15,'Fevereiro 2023 - Valor Real'!C3:C15,0))+1)+((L595/(L595-1)-1)*(1-_xlfn.XLOOKUP(K595,'Fevereiro 2023 - Valor Real'!A3:A15,'Fevereiro 2023 - Valor Real'!C3:C15,0))+1)),((L596-1)*(1-_xlfn.XLOOKUP(K596,'Fevereiro 2023 - Valor Real'!A3:A15,'Fevereiro 2023 - Valor Real'!C3:C15,0))+1)/(((L596-1)*(1-_xlfn.XLOOKUP(K596,'Fevereiro 2023 - Valor Real'!A3:A15,'Fevereiro 2023 - Valor Real'!C3:C15,0))+1)+((L595/(L595-1)-1)*(1-_xlfn.XLOOKUP(K595,'Fevereiro 2023 - Valor Real'!A3:A15,'Fevereiro 2023 - Valor Real'!C3:C15,0))+1))),IF(I596="Lay",(((L596/(L596-1)-1)*(1-_xlfn.XLOOKUP(K596,'Fevereiro 2023 - Valor Real'!A3:A15,'Fevereiro 2023 - Valor Real'!C3:C15,0))+1))/(((L595-1)*(1-_xlfn.XLOOKUP(K595,'Fevereiro 2023 - Valor Real'!A3:A15,'Fevereiro 2023 - Valor Real'!C3:C15,0))+1)+((L596/(L596-1)-1)*(1-_xlfn.XLOOKUP(K596,'Fevereiro 2023 - Valor Real'!A3:A15,'Fevereiro 2023 - Valor Real'!C3:C15,0))+1)),((L596-1)*(1-_xlfn.XLOOKUP(K596,'Fevereiro 2023 - Valor Real'!A3:A15,'Fevereiro 2023 - Valor Real'!C3:C15,0))+1)/(((L596-1)*(1-_xlfn.XLOOKUP(K596,'Fevereiro 2023 - Valor Real'!A3:A15,'Fevereiro 2023 - Valor Real'!C3:C15,0))+1)+((L595-1)*(1-_xlfn.XLOOKUP(K595,'Fevereiro 2023 - Valor Real'!A3:A15,'Fevereiro 2023 - Valor Real'!C3:C15,0))+1))))))</f>
        <v>0.35112859232320037</v>
      </c>
      <c r="AF595" s="105">
        <f t="shared" si="1205"/>
        <v>0</v>
      </c>
      <c r="AG595" s="106">
        <f t="shared" si="1205"/>
        <v>14.62</v>
      </c>
      <c r="AH595" s="106">
        <f t="shared" si="1205"/>
        <v>0</v>
      </c>
      <c r="AI595" s="106">
        <f t="shared" si="1205"/>
        <v>0</v>
      </c>
      <c r="AJ595" s="106">
        <f t="shared" si="1205"/>
        <v>0</v>
      </c>
      <c r="AK595" s="106">
        <f t="shared" si="1205"/>
        <v>0</v>
      </c>
      <c r="AL595" s="106">
        <f t="shared" si="1205"/>
        <v>0</v>
      </c>
      <c r="AM595" s="106">
        <f t="shared" si="1205"/>
        <v>0</v>
      </c>
      <c r="AN595" s="106">
        <f t="shared" si="1205"/>
        <v>0</v>
      </c>
      <c r="AO595" s="106">
        <f t="shared" si="1205"/>
        <v>0</v>
      </c>
      <c r="AP595" s="106">
        <f t="shared" si="1205"/>
        <v>0</v>
      </c>
      <c r="AQ595" s="106">
        <f t="shared" si="1205"/>
        <v>0</v>
      </c>
      <c r="AR595" s="107">
        <f t="shared" si="1205"/>
        <v>0</v>
      </c>
      <c r="AS595" s="105">
        <f t="shared" ref="AS595:BE595" si="1208">IF(AND($B595=" ",$K595=AS$3),$O595,0)</f>
        <v>0</v>
      </c>
      <c r="AT595" s="106">
        <f t="shared" si="1208"/>
        <v>0</v>
      </c>
      <c r="AU595" s="106">
        <f t="shared" si="1208"/>
        <v>0</v>
      </c>
      <c r="AV595" s="106">
        <f t="shared" si="1208"/>
        <v>0</v>
      </c>
      <c r="AW595" s="106">
        <f t="shared" si="1208"/>
        <v>0</v>
      </c>
      <c r="AX595" s="106">
        <f t="shared" si="1208"/>
        <v>0</v>
      </c>
      <c r="AY595" s="108">
        <f t="shared" si="1208"/>
        <v>0</v>
      </c>
      <c r="AZ595" s="109">
        <f t="shared" si="1208"/>
        <v>0</v>
      </c>
      <c r="BA595" s="109">
        <f t="shared" si="1208"/>
        <v>0</v>
      </c>
      <c r="BB595" s="109">
        <f t="shared" si="1208"/>
        <v>0</v>
      </c>
      <c r="BC595" s="110">
        <f t="shared" si="1208"/>
        <v>0</v>
      </c>
      <c r="BD595" s="106">
        <f t="shared" si="1208"/>
        <v>0</v>
      </c>
      <c r="BE595" s="107">
        <f t="shared" si="1208"/>
        <v>0</v>
      </c>
      <c r="BF595" s="111">
        <f t="shared" si="1207"/>
        <v>0</v>
      </c>
      <c r="BG595" s="106">
        <f t="shared" si="1207"/>
        <v>6.96</v>
      </c>
      <c r="BH595" s="106">
        <f t="shared" si="1207"/>
        <v>0</v>
      </c>
      <c r="BI595" s="106">
        <f t="shared" si="1207"/>
        <v>0</v>
      </c>
      <c r="BJ595" s="106">
        <f t="shared" si="1207"/>
        <v>0</v>
      </c>
      <c r="BK595" s="106">
        <f t="shared" si="1207"/>
        <v>0</v>
      </c>
      <c r="BL595" s="106">
        <f t="shared" si="1207"/>
        <v>0</v>
      </c>
      <c r="BM595" s="108">
        <f t="shared" si="1207"/>
        <v>0</v>
      </c>
      <c r="BN595" s="109">
        <f t="shared" si="1207"/>
        <v>0</v>
      </c>
      <c r="BO595" s="109">
        <f t="shared" si="1207"/>
        <v>0</v>
      </c>
      <c r="BP595" s="109">
        <f t="shared" si="1207"/>
        <v>0</v>
      </c>
      <c r="BQ595" s="110">
        <f t="shared" si="1207"/>
        <v>0</v>
      </c>
      <c r="BR595" s="107">
        <f t="shared" si="1207"/>
        <v>0</v>
      </c>
      <c r="BS595" s="463">
        <f>IF($B595="LOSS",IF(AND($K595=BS$3,$C595="L"),-$O595,0)+IF(AND($K596=BS$3,$C596="L"),-$O596,0)+IF(AND($K597=BS$3,$C597="L"),-$O597,0),IF(OR(AND($K595=BS$3,OR($C595="W",$C595="1/2W")),AND($K596=BS$3,OR($C596="W",$C596="1/2W")),AND($K597=BS$3,OR($C597="W",$C597="1/2W"))),$S595,0))</f>
        <v>0</v>
      </c>
      <c r="BT595" s="462">
        <f>IF($B595="LOSS",IF(AND($K595=BT$3,$C595="L"),-$O595,0)+IF(AND($K596=BT$3,$C596="L"),-$O596,0)+IF(AND($K596=BT$3,$C597="L"),-$O597,0),IF(OR(AND($K596=BT$3,OR($C595="W",$C595="1/2W")),AND($K596=BT$3,OR($C596="W",$C596="1/2W")),AND($K596=BT$3,OR($C597="W",$C597="1/2W"))),$S595,0))</f>
        <v>0</v>
      </c>
      <c r="BU595" s="462">
        <f>IF($B595="LOSS",IF(AND($K595=BU$3,$C595="L"),-$O595,0)+IF(AND($K596=BU$3,$C596="L"),-$O596,0)+IF(AND($K596=BU$3,$C597="L"),-$O597,0),IF(OR(AND($K596=BU$3,OR($C595="W",$C595="1/2W")),AND($K596=BU$3,OR($C596="W",$C596="1/2W")),AND($K596=BU$3,OR($C597="W",$C597="1/2W"))),$S595,0))</f>
        <v>0</v>
      </c>
      <c r="BV595" s="462">
        <f t="shared" ref="BV595:CE595" si="1209">IF($B595="LOSS",IF(AND($K595=BV$3,$C595="L"),-$O595,0)+IF(AND($K596=BV$3,$C596="L"),-$O596,0)+IF(AND($K597=BV$3,$C597="L"),-$O597,0),IF(OR(AND($K595=BV$3,OR($C595="W",$C595="1/2W")),AND($K596=BV$3,OR($C596="W",$C596="1/2W")),AND($K597=BV$3,OR($C597="W",$C597="1/2W"))),$S595,0))</f>
        <v>0</v>
      </c>
      <c r="BW595" s="462">
        <f t="shared" si="1209"/>
        <v>0</v>
      </c>
      <c r="BX595" s="462">
        <f t="shared" si="1209"/>
        <v>0</v>
      </c>
      <c r="BY595" s="462">
        <f t="shared" si="1209"/>
        <v>0</v>
      </c>
      <c r="BZ595" s="460">
        <f t="shared" si="1209"/>
        <v>0</v>
      </c>
      <c r="CA595" s="460">
        <f t="shared" si="1209"/>
        <v>0</v>
      </c>
      <c r="CB595" s="460">
        <f t="shared" si="1209"/>
        <v>0</v>
      </c>
      <c r="CC595" s="460">
        <f t="shared" si="1209"/>
        <v>0</v>
      </c>
      <c r="CD595" s="473">
        <f t="shared" si="1209"/>
        <v>0</v>
      </c>
      <c r="CE595" s="479">
        <f t="shared" si="1209"/>
        <v>0</v>
      </c>
      <c r="CF595" s="113">
        <f t="shared" si="1156"/>
        <v>0</v>
      </c>
      <c r="CG595" s="114">
        <f t="shared" si="1157"/>
        <v>0</v>
      </c>
      <c r="CH595" s="114">
        <f t="shared" si="1158"/>
        <v>1</v>
      </c>
      <c r="CI595" s="114">
        <f t="shared" si="1159"/>
        <v>0</v>
      </c>
      <c r="CJ595" s="114">
        <f t="shared" si="1160"/>
        <v>0</v>
      </c>
      <c r="CK595" s="114">
        <f t="shared" si="1161"/>
        <v>0</v>
      </c>
      <c r="CL595" s="114">
        <f t="shared" si="1162"/>
        <v>0</v>
      </c>
      <c r="CM595" s="114">
        <f t="shared" si="1163"/>
        <v>0</v>
      </c>
      <c r="CN595" s="114">
        <f t="shared" si="1164"/>
        <v>0</v>
      </c>
      <c r="CO595" s="114">
        <f t="shared" si="1165"/>
        <v>0</v>
      </c>
      <c r="CP595" s="114">
        <f t="shared" si="1166"/>
        <v>0</v>
      </c>
      <c r="CQ595" s="114">
        <f t="shared" si="1167"/>
        <v>0</v>
      </c>
      <c r="CR595" s="114">
        <f t="shared" si="1168"/>
        <v>0</v>
      </c>
      <c r="CS595" s="114">
        <f t="shared" si="1169"/>
        <v>0</v>
      </c>
      <c r="CT595" s="115">
        <f t="shared" si="1170"/>
        <v>0</v>
      </c>
      <c r="CU595" s="116">
        <f t="shared" si="1171"/>
        <v>0</v>
      </c>
      <c r="CV595" s="116">
        <f t="shared" si="1172"/>
        <v>0</v>
      </c>
      <c r="CW595" s="116">
        <f t="shared" si="1173"/>
        <v>0</v>
      </c>
      <c r="CX595" s="116">
        <f t="shared" si="1174"/>
        <v>0</v>
      </c>
      <c r="CY595" s="116">
        <f t="shared" si="1175"/>
        <v>0</v>
      </c>
      <c r="CZ595" s="116">
        <f t="shared" si="1176"/>
        <v>0</v>
      </c>
      <c r="DA595" s="116">
        <f t="shared" si="1177"/>
        <v>0</v>
      </c>
      <c r="DB595" s="116">
        <f t="shared" si="1178"/>
        <v>0</v>
      </c>
      <c r="DC595" s="116">
        <f t="shared" si="1179"/>
        <v>0</v>
      </c>
      <c r="DD595" s="116">
        <f t="shared" si="1180"/>
        <v>0</v>
      </c>
      <c r="DE595" s="117">
        <f t="shared" si="1181"/>
        <v>0</v>
      </c>
      <c r="DF595" s="118">
        <f t="shared" si="1183"/>
        <v>36</v>
      </c>
      <c r="DG595" s="106">
        <f t="shared" si="1184"/>
        <v>47.227999999999994</v>
      </c>
      <c r="DH595" s="116">
        <f t="shared" si="1185"/>
        <v>14</v>
      </c>
      <c r="DI595" s="106">
        <f t="shared" si="1186"/>
        <v>60.05</v>
      </c>
      <c r="DJ595" s="201" t="str">
        <f>IF($D595="","",$D595)</f>
        <v>17</v>
      </c>
      <c r="DK595" s="465">
        <f>IF(AND($B595=" ",$D595&lt;&gt;""),1,0)</f>
        <v>0</v>
      </c>
    </row>
    <row r="596" spans="1:115" ht="14.5" customHeight="1" x14ac:dyDescent="0.2">
      <c r="A596" s="389"/>
      <c r="B596" s="456"/>
      <c r="C596" s="120" t="s">
        <v>55</v>
      </c>
      <c r="D596" s="374"/>
      <c r="E596" s="386"/>
      <c r="F596" s="377"/>
      <c r="G596" s="483"/>
      <c r="H596" s="476"/>
      <c r="I596" s="208"/>
      <c r="J596" s="122">
        <v>11</v>
      </c>
      <c r="K596" s="123" t="s">
        <v>36</v>
      </c>
      <c r="L596" s="124">
        <v>8.5</v>
      </c>
      <c r="M596" s="125">
        <v>2.5</v>
      </c>
      <c r="N596" s="406"/>
      <c r="O596" s="126">
        <f>IF(OR(AE595="",AE596=""),"",ROUND(IF(L597&gt;0,IF(M596&gt;0,M596,IF(M595&gt;0,IF(N595=TRUE,ROUND((M595*AE596)/AE595,0),(M595*AE596)/AE595),IF(M596&gt;0,ROUND(M596,IF(N595=0,2,IF(N595=0.1,1,0))),IF(M597&gt;0,ROUND(O597*AE596/AE597,IF(N595=0,2,IF(N595=0.1,1,0))),0)))),IF(M596&gt;0,M596,ROUND((M595*AE596)/AE595,IF(N595=0,2,IF(N595=0.1,1,0))))),2))</f>
        <v>2.5</v>
      </c>
      <c r="P596" s="127">
        <f>IF(OR(L596="",O596=""),"",IF($C596="1/2W",O596/2+O596/2*L596,IF($C596="1/2L",O596/2,IF(I596="Lay",((O596*(L596/(L596-1)))-O596)*(1-_xlfn.XLOOKUP(K596,'Fevereiro 2023 - Valor Real'!A3:A15,'Fevereiro 2023 - Valor Real'!C3:C15,0))+O596,(O596*L596-O596)*(1-_xlfn.XLOOKUP(K596,'Fevereiro 2023 - Valor Real'!A3:A15,'Fevereiro 2023 - Valor Real'!C3:C15,0))+O596))))</f>
        <v>21.25</v>
      </c>
      <c r="Q596" s="128">
        <f>IF(K596="","",IF(_xlfn.XLOOKUP(K596,K$4:K595,$DJ$4:DJ595,0,,-1)=DJ596,_xlfn.XLOOKUP(K596,K$4:K595,Q$4:Q595,1,,-1)+1,1))</f>
        <v>1</v>
      </c>
      <c r="R596" s="129">
        <f>IF(K596="","",_xlfn.XLOOKUP(K596,K$4:K595,R$4:R595,0,,-1)+IF($C596=" ",1,0))</f>
        <v>0</v>
      </c>
      <c r="S596" s="403"/>
      <c r="T596" s="380"/>
      <c r="U596" s="380"/>
      <c r="V596" s="481"/>
      <c r="W596" s="380"/>
      <c r="X596" s="452"/>
      <c r="Y596" s="383"/>
      <c r="Z596" s="384"/>
      <c r="AA596" s="384"/>
      <c r="AB596" s="384"/>
      <c r="AC596" s="384"/>
      <c r="AD596" s="130">
        <f>(((L596/(L596-1)-1)*(1-_xlfn.XLOOKUP(K596,'Fevereiro 2023 - Valor Real'!A3:A15,'Fevereiro 2023 - Valor Real'!C3:C15,0))+1))</f>
        <v>1.1333333333333333</v>
      </c>
      <c r="AE596" s="131">
        <f>IF(L596="","",IF(L597&gt;0,(SUM(((L595-1)*(1-_xlfn.XLOOKUP(K595,'Fevereiro 2023 - Valor Real'!A3:A15,'Fevereiro 2023 - Valor Real'!C3:C15,0))+1),((L596-1)*(1-_xlfn.XLOOKUP(K596,'Fevereiro 2023 - Valor Real'!A3:A15,'Fevereiro 2023 - Valor Real'!C3:C15,0))+1),((L597-1)*(1-_xlfn.XLOOKUP(K597,'Fevereiro 2023 - Valor Real'!A3:A15,'Fevereiro 2023 - Valor Real'!C3:C15,0))+1))/((L596-1)*(1-_xlfn.XLOOKUP(K596,'Fevereiro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Real'!C3:C15,0))+1))/((L595-1)*(1-_xlfn.XLOOKUP(K595,'Fevereiro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Real'!C3:C15,0))+1))/((L596-1)*(1-_xlfn.XLOOKUP(K596,'Fevereiro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Real'!C3:C15,0))+1))/((L597-1)*(1-_xlfn.XLOOKUP(K597,'Fevereiro 2023 - Valor Real'!A3:A15,'Fevereiro 2023 - Valor Real'!C3:C15,0))+1)),IF(I596="Lay",IF(I595="Lay",((L595/(L595-1)-1)*(1-_xlfn.XLOOKUP(K595,'Fevereiro 2023 - Valor Real'!A3:A15,'Fevereiro 2023 - Valor Real'!C3:C15,0))+1)/(((L595/(L595-1)-1)*(1-_xlfn.XLOOKUP(K595,'Fevereiro 2023 - Valor Real'!A3:A15,'Fevereiro 2023 - Valor Real'!C3:C15,0))+1)+((L596/(L596-1)-1)*(1-_xlfn.XLOOKUP(K596,'Fevereiro 2023 - Valor Real'!A3:A15,'Fevereiro 2023 - Valor Real'!C3:C15,0))+1)),((L595-1)*(1-_xlfn.XLOOKUP(K595,'Fevereiro 2023 - Valor Real'!A3:A15,'Fevereiro 2023 - Valor Real'!C3:C15,0))+1)/(((L595-1)*(1-_xlfn.XLOOKUP(K595,'Fevereiro 2023 - Valor Real'!A3:A15,'Fevereiro 2023 - Valor Real'!C3:C15,0))+1)+((L596/(L596-1)-1)*(1-_xlfn.XLOOKUP(K596,'Fevereiro 2023 - Valor Real'!A3:A15,'Fevereiro 2023 - Valor Real'!C3:C15,0))+1))),IF(I595="Lay",((L595/(L595-1)-1)*(1-_xlfn.XLOOKUP(K595,'Fevereiro 2023 - Valor Real'!A3:A15,'Fevereiro 2023 - Valor Real'!C3:C15,0))+1)/((((L595/(L595-1)-1)*(1-_xlfn.XLOOKUP(K595,'Fevereiro 2023 - Valor Real'!A3:A15,'Fevereiro 2023 - Valor Real'!C3:C15,0))+1))+((L596-1)*(1-_xlfn.XLOOKUP(K596,'Fevereiro 2023 - Valor Real'!A3:A15,'Fevereiro 2023 - Valor Real'!C3:C15,0))+1)),((L595-1)*(1-_xlfn.XLOOKUP(K595,'Fevereiro 2023 - Valor Real'!A3:A15,'Fevereiro 2023 - Valor Real'!C3:C15,0))+1)/(((L595-1)*(1-_xlfn.XLOOKUP(K595,'Fevereiro 2023 - Valor Real'!A3:A15,'Fevereiro 2023 - Valor Real'!C3:C15,0))+1)+((L596-1)*(1-_xlfn.XLOOKUP(K596,'Fevereiro 2023 - Valor Real'!A3:A15,'Fevereiro 2023 - Valor Real'!C3:C15,0))+1))))))</f>
        <v>0.12805866308257896</v>
      </c>
      <c r="AF596" s="105">
        <f t="shared" si="1205"/>
        <v>-2.5</v>
      </c>
      <c r="AG596" s="106">
        <f t="shared" si="1205"/>
        <v>0</v>
      </c>
      <c r="AH596" s="106">
        <f t="shared" si="1205"/>
        <v>0</v>
      </c>
      <c r="AI596" s="106">
        <f t="shared" si="1205"/>
        <v>0</v>
      </c>
      <c r="AJ596" s="106">
        <f t="shared" si="1205"/>
        <v>0</v>
      </c>
      <c r="AK596" s="106">
        <f t="shared" si="1205"/>
        <v>0</v>
      </c>
      <c r="AL596" s="106">
        <f t="shared" si="1205"/>
        <v>0</v>
      </c>
      <c r="AM596" s="106">
        <f t="shared" si="1205"/>
        <v>0</v>
      </c>
      <c r="AN596" s="106">
        <f t="shared" si="1205"/>
        <v>0</v>
      </c>
      <c r="AO596" s="106">
        <f t="shared" si="1205"/>
        <v>0</v>
      </c>
      <c r="AP596" s="106">
        <f t="shared" si="1205"/>
        <v>0</v>
      </c>
      <c r="AQ596" s="106">
        <f t="shared" si="1205"/>
        <v>0</v>
      </c>
      <c r="AR596" s="107">
        <f t="shared" si="1205"/>
        <v>0</v>
      </c>
      <c r="AS596" s="105">
        <f>IF(AND($B595=" ",$K596=AS$3),$O596,0)</f>
        <v>0</v>
      </c>
      <c r="AT596" s="106">
        <f>IF(AND($B595=" ",K596=AT$3),$O596,0)</f>
        <v>0</v>
      </c>
      <c r="AU596" s="106">
        <f t="shared" ref="AU596:BE596" si="1210">IF(AND($B595=" ",$K596=AU$3),$O596,0)</f>
        <v>0</v>
      </c>
      <c r="AV596" s="106">
        <f t="shared" si="1210"/>
        <v>0</v>
      </c>
      <c r="AW596" s="106">
        <f t="shared" si="1210"/>
        <v>0</v>
      </c>
      <c r="AX596" s="106">
        <f t="shared" si="1210"/>
        <v>0</v>
      </c>
      <c r="AY596" s="108">
        <f t="shared" si="1210"/>
        <v>0</v>
      </c>
      <c r="AZ596" s="109">
        <f t="shared" si="1210"/>
        <v>0</v>
      </c>
      <c r="BA596" s="109">
        <f t="shared" si="1210"/>
        <v>0</v>
      </c>
      <c r="BB596" s="109">
        <f t="shared" si="1210"/>
        <v>0</v>
      </c>
      <c r="BC596" s="110">
        <f t="shared" si="1210"/>
        <v>0</v>
      </c>
      <c r="BD596" s="106">
        <f t="shared" si="1210"/>
        <v>0</v>
      </c>
      <c r="BE596" s="107">
        <f t="shared" si="1210"/>
        <v>0</v>
      </c>
      <c r="BF596" s="105">
        <f t="shared" si="1207"/>
        <v>2.5</v>
      </c>
      <c r="BG596" s="106">
        <f t="shared" si="1207"/>
        <v>0</v>
      </c>
      <c r="BH596" s="106">
        <f t="shared" si="1207"/>
        <v>0</v>
      </c>
      <c r="BI596" s="106">
        <f t="shared" si="1207"/>
        <v>0</v>
      </c>
      <c r="BJ596" s="106">
        <f t="shared" si="1207"/>
        <v>0</v>
      </c>
      <c r="BK596" s="106">
        <f t="shared" si="1207"/>
        <v>0</v>
      </c>
      <c r="BL596" s="106">
        <f t="shared" si="1207"/>
        <v>0</v>
      </c>
      <c r="BM596" s="132">
        <f t="shared" si="1207"/>
        <v>0</v>
      </c>
      <c r="BN596" s="112">
        <f t="shared" si="1207"/>
        <v>0</v>
      </c>
      <c r="BO596" s="112">
        <f t="shared" si="1207"/>
        <v>0</v>
      </c>
      <c r="BP596" s="112">
        <f t="shared" si="1207"/>
        <v>0</v>
      </c>
      <c r="BQ596" s="110">
        <f t="shared" si="1207"/>
        <v>0</v>
      </c>
      <c r="BR596" s="107">
        <f t="shared" si="1207"/>
        <v>0</v>
      </c>
      <c r="BS596" s="464"/>
      <c r="BT596" s="461"/>
      <c r="BU596" s="392"/>
      <c r="BV596" s="461"/>
      <c r="BW596" s="392"/>
      <c r="BX596" s="392"/>
      <c r="BY596" s="392"/>
      <c r="BZ596" s="461"/>
      <c r="CA596" s="392"/>
      <c r="CB596" s="392"/>
      <c r="CC596" s="392"/>
      <c r="CD596" s="401"/>
      <c r="CE596" s="409"/>
      <c r="CF596" s="133">
        <f t="shared" si="1156"/>
        <v>0</v>
      </c>
      <c r="CG596" s="134">
        <f t="shared" si="1157"/>
        <v>1</v>
      </c>
      <c r="CH596" s="134">
        <f t="shared" si="1158"/>
        <v>0</v>
      </c>
      <c r="CI596" s="134">
        <f t="shared" si="1159"/>
        <v>0</v>
      </c>
      <c r="CJ596" s="134">
        <f t="shared" si="1160"/>
        <v>0</v>
      </c>
      <c r="CK596" s="134">
        <f t="shared" si="1161"/>
        <v>0</v>
      </c>
      <c r="CL596" s="134">
        <f t="shared" si="1162"/>
        <v>0</v>
      </c>
      <c r="CM596" s="134">
        <f t="shared" si="1163"/>
        <v>0</v>
      </c>
      <c r="CN596" s="134">
        <f t="shared" si="1164"/>
        <v>0</v>
      </c>
      <c r="CO596" s="134">
        <f t="shared" si="1165"/>
        <v>0</v>
      </c>
      <c r="CP596" s="134">
        <f t="shared" si="1166"/>
        <v>0</v>
      </c>
      <c r="CQ596" s="134">
        <f t="shared" si="1167"/>
        <v>0</v>
      </c>
      <c r="CR596" s="134">
        <f t="shared" si="1168"/>
        <v>0</v>
      </c>
      <c r="CS596" s="134">
        <f t="shared" si="1169"/>
        <v>0</v>
      </c>
      <c r="CT596" s="115">
        <f t="shared" si="1170"/>
        <v>0</v>
      </c>
      <c r="CU596" s="116">
        <f t="shared" si="1171"/>
        <v>0</v>
      </c>
      <c r="CV596" s="116">
        <f t="shared" si="1172"/>
        <v>0</v>
      </c>
      <c r="CW596" s="116">
        <f t="shared" si="1173"/>
        <v>0</v>
      </c>
      <c r="CX596" s="116">
        <f t="shared" si="1174"/>
        <v>0</v>
      </c>
      <c r="CY596" s="116">
        <f t="shared" si="1175"/>
        <v>0</v>
      </c>
      <c r="CZ596" s="116">
        <f t="shared" si="1176"/>
        <v>0</v>
      </c>
      <c r="DA596" s="116">
        <f t="shared" si="1177"/>
        <v>0</v>
      </c>
      <c r="DB596" s="116">
        <f t="shared" si="1178"/>
        <v>0</v>
      </c>
      <c r="DC596" s="116">
        <f t="shared" si="1179"/>
        <v>0</v>
      </c>
      <c r="DD596" s="116">
        <f t="shared" si="1180"/>
        <v>0</v>
      </c>
      <c r="DE596" s="117">
        <f t="shared" si="1181"/>
        <v>0</v>
      </c>
      <c r="DF596" s="118">
        <f t="shared" si="1183"/>
        <v>36</v>
      </c>
      <c r="DG596" s="106">
        <f t="shared" si="1184"/>
        <v>47.227999999999994</v>
      </c>
      <c r="DH596" s="116">
        <f t="shared" si="1185"/>
        <v>14</v>
      </c>
      <c r="DI596" s="106">
        <f t="shared" si="1186"/>
        <v>60.05</v>
      </c>
      <c r="DJ596" s="201" t="str">
        <f>IF($D595="","",$D595)</f>
        <v>17</v>
      </c>
      <c r="DK596" s="466"/>
    </row>
    <row r="597" spans="1:115" ht="14.5" customHeight="1" x14ac:dyDescent="0.2">
      <c r="A597" s="390"/>
      <c r="B597" s="457"/>
      <c r="C597" s="135" t="s">
        <v>55</v>
      </c>
      <c r="D597" s="375"/>
      <c r="E597" s="387"/>
      <c r="F597" s="378"/>
      <c r="G597" s="484"/>
      <c r="H597" s="477"/>
      <c r="I597" s="203" t="s">
        <v>52</v>
      </c>
      <c r="J597" s="204">
        <v>10.5</v>
      </c>
      <c r="K597" s="193" t="s">
        <v>40</v>
      </c>
      <c r="L597" s="194">
        <v>2.09</v>
      </c>
      <c r="M597" s="140">
        <v>10.32</v>
      </c>
      <c r="N597" s="407"/>
      <c r="O597" s="195">
        <f>IF(OR(AE595="",AE596=""),"",IF(L597&gt;0,ROUND(IF(M597&gt;0,M597,IF(M595&gt;0,ROUND((M595*AE597)/AE595,IF(N595=0,2,IF(N595=0.1,1,0))),IF(M596&gt;0,ROUND((M596*AE597)/AE596,IF(N595=0,2,IF(N595=0.1,1,0))),IF(M597&gt;0,M597,0)))),2),""))</f>
        <v>10.32</v>
      </c>
      <c r="P597" s="196">
        <f>IF(I596="Lay",O596*(L596/(L596-1))-O596,IF(I595="Lay",O595*(L595/(L595-1))-O595,IF(OR(L597="",O597=""),"",IF($C597="1/2W",O597/2+O597/2*L597,IF($C597="1/2L",O597/2,(O597*L597-O597)*(1-_xlfn.XLOOKUP(K597,'Fevereiro 2023 - Valor Real'!A3:A15,'Fevereiro 2023 - Valor Real'!C3:C15,0))+O597)))))</f>
        <v>21.5688</v>
      </c>
      <c r="Q597" s="197">
        <f>IF(K597="","",IF(_xlfn.XLOOKUP(K597,K$4:K596,$DJ$4:DJ596,0,,-1)=DJ597,_xlfn.XLOOKUP(K597,K$4:K596,Q$4:Q596,1,,-1)+1,1))</f>
        <v>2</v>
      </c>
      <c r="R597" s="198">
        <f>IF(K597="","",_xlfn.XLOOKUP(K597,K$4:K596,R$4:R596,0,,-1)+IF($C597=" ",1,0))</f>
        <v>0</v>
      </c>
      <c r="S597" s="404"/>
      <c r="T597" s="378"/>
      <c r="U597" s="378"/>
      <c r="V597" s="404"/>
      <c r="W597" s="378"/>
      <c r="X597" s="453"/>
      <c r="Y597" s="383"/>
      <c r="Z597" s="384"/>
      <c r="AA597" s="384"/>
      <c r="AB597" s="384"/>
      <c r="AC597" s="384"/>
      <c r="AD597" s="145">
        <f>((L596/(L596-1)-1))</f>
        <v>0.1333333333333333</v>
      </c>
      <c r="AE597" s="199">
        <f>IF(L597="","",(SUM(((L595-1)*(1-_xlfn.XLOOKUP(K595,'Fevereiro 2023 - Valor Real'!A3:A15,'Fevereiro 2023 - Valor Real'!C3:C15,0))+1),((L596-1)*(1-_xlfn.XLOOKUP(K596,'Fevereiro 2023 - Valor Real'!A3:A15,'Fevereiro 2023 - Valor Real'!C3:C15,0))+1),((L597-1)*(1-_xlfn.XLOOKUP(K597,'Fevereiro 2023 - Valor Real'!A3:A15,'Fevereiro 2023 - Valor Real'!C3:C15,0))+1))/((L597-1)*(1-_xlfn.XLOOKUP(K597,'Fevereiro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Real'!C3:C15,0))+1))/((L595-1)*(1-_xlfn.XLOOKUP(K595,'Fevereiro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Real'!C3:C15,0))+1))/((L596-1)*(1-_xlfn.XLOOKUP(K596,'Fevereiro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Real'!C3:C15,0))+1))/((L597-1)*(1-_xlfn.XLOOKUP(K597,'Fevereiro 2023 - Valor Real'!A3:A15,'Fevereiro 2023 - Valor Real'!C3:C15,0))+1)))</f>
        <v>0.52081274459422067</v>
      </c>
      <c r="AF597" s="105">
        <f t="shared" si="1205"/>
        <v>0</v>
      </c>
      <c r="AG597" s="106">
        <f t="shared" si="1205"/>
        <v>0</v>
      </c>
      <c r="AH597" s="106">
        <f t="shared" si="1205"/>
        <v>0</v>
      </c>
      <c r="AI597" s="106">
        <f t="shared" si="1205"/>
        <v>0</v>
      </c>
      <c r="AJ597" s="106">
        <f t="shared" si="1205"/>
        <v>-10.32</v>
      </c>
      <c r="AK597" s="106">
        <f t="shared" si="1205"/>
        <v>0</v>
      </c>
      <c r="AL597" s="106">
        <f t="shared" si="1205"/>
        <v>0</v>
      </c>
      <c r="AM597" s="106">
        <f t="shared" si="1205"/>
        <v>0</v>
      </c>
      <c r="AN597" s="106">
        <f t="shared" si="1205"/>
        <v>0</v>
      </c>
      <c r="AO597" s="106">
        <f t="shared" si="1205"/>
        <v>0</v>
      </c>
      <c r="AP597" s="106">
        <f t="shared" si="1205"/>
        <v>0</v>
      </c>
      <c r="AQ597" s="106">
        <f t="shared" si="1205"/>
        <v>0</v>
      </c>
      <c r="AR597" s="107">
        <f t="shared" si="1205"/>
        <v>0</v>
      </c>
      <c r="AS597" s="105">
        <f>IF(AND($B595=" ",$K597=AS$3),$O597,0)</f>
        <v>0</v>
      </c>
      <c r="AT597" s="106">
        <f>IF(AND($B595=" ",K597=AT$3),$O597,0)</f>
        <v>0</v>
      </c>
      <c r="AU597" s="106">
        <f t="shared" ref="AU597:BE597" si="1211">IF(AND($B595=" ",$K597=AU$3),$O597,0)</f>
        <v>0</v>
      </c>
      <c r="AV597" s="106">
        <f t="shared" si="1211"/>
        <v>0</v>
      </c>
      <c r="AW597" s="106">
        <f t="shared" si="1211"/>
        <v>0</v>
      </c>
      <c r="AX597" s="106">
        <f t="shared" si="1211"/>
        <v>0</v>
      </c>
      <c r="AY597" s="108">
        <f t="shared" si="1211"/>
        <v>0</v>
      </c>
      <c r="AZ597" s="109">
        <f t="shared" si="1211"/>
        <v>0</v>
      </c>
      <c r="BA597" s="109">
        <f t="shared" si="1211"/>
        <v>0</v>
      </c>
      <c r="BB597" s="109">
        <f t="shared" si="1211"/>
        <v>0</v>
      </c>
      <c r="BC597" s="110">
        <f t="shared" si="1211"/>
        <v>0</v>
      </c>
      <c r="BD597" s="106">
        <f t="shared" si="1211"/>
        <v>0</v>
      </c>
      <c r="BE597" s="107">
        <f t="shared" si="1211"/>
        <v>0</v>
      </c>
      <c r="BF597" s="105">
        <f t="shared" si="1207"/>
        <v>0</v>
      </c>
      <c r="BG597" s="106">
        <f t="shared" si="1207"/>
        <v>0</v>
      </c>
      <c r="BH597" s="106">
        <f t="shared" si="1207"/>
        <v>0</v>
      </c>
      <c r="BI597" s="106">
        <f t="shared" si="1207"/>
        <v>0</v>
      </c>
      <c r="BJ597" s="106">
        <f t="shared" si="1207"/>
        <v>10.32</v>
      </c>
      <c r="BK597" s="106">
        <f t="shared" si="1207"/>
        <v>0</v>
      </c>
      <c r="BL597" s="106">
        <f t="shared" si="1207"/>
        <v>0</v>
      </c>
      <c r="BM597" s="108">
        <f t="shared" si="1207"/>
        <v>0</v>
      </c>
      <c r="BN597" s="109">
        <f t="shared" si="1207"/>
        <v>0</v>
      </c>
      <c r="BO597" s="109">
        <f t="shared" si="1207"/>
        <v>0</v>
      </c>
      <c r="BP597" s="109">
        <f t="shared" si="1207"/>
        <v>0</v>
      </c>
      <c r="BQ597" s="110">
        <f t="shared" si="1207"/>
        <v>0</v>
      </c>
      <c r="BR597" s="107">
        <f t="shared" si="1207"/>
        <v>0</v>
      </c>
      <c r="BS597" s="464"/>
      <c r="BT597" s="461"/>
      <c r="BU597" s="392"/>
      <c r="BV597" s="461"/>
      <c r="BW597" s="392"/>
      <c r="BX597" s="392"/>
      <c r="BY597" s="392"/>
      <c r="BZ597" s="461"/>
      <c r="CA597" s="392"/>
      <c r="CB597" s="392"/>
      <c r="CC597" s="392"/>
      <c r="CD597" s="401"/>
      <c r="CE597" s="409"/>
      <c r="CF597" s="133">
        <f t="shared" si="1156"/>
        <v>0</v>
      </c>
      <c r="CG597" s="134">
        <f t="shared" si="1157"/>
        <v>0</v>
      </c>
      <c r="CH597" s="134">
        <f t="shared" si="1158"/>
        <v>0</v>
      </c>
      <c r="CI597" s="134">
        <f t="shared" si="1159"/>
        <v>0</v>
      </c>
      <c r="CJ597" s="134">
        <f t="shared" si="1160"/>
        <v>0</v>
      </c>
      <c r="CK597" s="134">
        <f t="shared" si="1161"/>
        <v>0</v>
      </c>
      <c r="CL597" s="134">
        <f t="shared" si="1162"/>
        <v>0</v>
      </c>
      <c r="CM597" s="134">
        <f t="shared" si="1163"/>
        <v>0</v>
      </c>
      <c r="CN597" s="134">
        <f t="shared" si="1164"/>
        <v>0</v>
      </c>
      <c r="CO597" s="134">
        <f t="shared" si="1165"/>
        <v>1</v>
      </c>
      <c r="CP597" s="134">
        <f t="shared" si="1166"/>
        <v>0</v>
      </c>
      <c r="CQ597" s="134">
        <f t="shared" si="1167"/>
        <v>0</v>
      </c>
      <c r="CR597" s="134">
        <f t="shared" si="1168"/>
        <v>0</v>
      </c>
      <c r="CS597" s="134">
        <f t="shared" si="1169"/>
        <v>0</v>
      </c>
      <c r="CT597" s="115">
        <f t="shared" si="1170"/>
        <v>0</v>
      </c>
      <c r="CU597" s="116">
        <f t="shared" si="1171"/>
        <v>0</v>
      </c>
      <c r="CV597" s="116">
        <f t="shared" si="1172"/>
        <v>0</v>
      </c>
      <c r="CW597" s="116">
        <f t="shared" si="1173"/>
        <v>0</v>
      </c>
      <c r="CX597" s="116">
        <f t="shared" si="1174"/>
        <v>0</v>
      </c>
      <c r="CY597" s="116">
        <f t="shared" si="1175"/>
        <v>0</v>
      </c>
      <c r="CZ597" s="116">
        <f t="shared" si="1176"/>
        <v>0</v>
      </c>
      <c r="DA597" s="116">
        <f t="shared" si="1177"/>
        <v>0</v>
      </c>
      <c r="DB597" s="116">
        <f t="shared" si="1178"/>
        <v>0</v>
      </c>
      <c r="DC597" s="116">
        <f t="shared" si="1179"/>
        <v>0</v>
      </c>
      <c r="DD597" s="116">
        <f t="shared" si="1180"/>
        <v>0</v>
      </c>
      <c r="DE597" s="117">
        <f t="shared" si="1181"/>
        <v>0</v>
      </c>
      <c r="DF597" s="118">
        <f t="shared" si="1183"/>
        <v>36</v>
      </c>
      <c r="DG597" s="106">
        <f t="shared" si="1184"/>
        <v>47.227999999999994</v>
      </c>
      <c r="DH597" s="116">
        <f t="shared" si="1185"/>
        <v>14</v>
      </c>
      <c r="DI597" s="106">
        <f t="shared" si="1186"/>
        <v>60.05</v>
      </c>
      <c r="DJ597" s="201" t="str">
        <f>IF($D595="","",$D595)</f>
        <v>17</v>
      </c>
      <c r="DK597" s="466"/>
    </row>
    <row r="598" spans="1:115" ht="14.5" customHeight="1" x14ac:dyDescent="0.2">
      <c r="A598" s="487">
        <f>$A595+1</f>
        <v>199</v>
      </c>
      <c r="B598" s="506" t="str">
        <f>IF(OR(C598="W",C599="W",C600="W",C598="1/2W",C599="1/2W",C600="1/2W",C598="1/2L",C599="1/2L",C600="1/2L"),"OK",IF(OR(C598="L",C599="L",C600="L"),"LOSS",IF(OR(C598="X",C599="X",C600="X"),"Anulado"," ")))</f>
        <v>OK</v>
      </c>
      <c r="C598" s="147" t="s">
        <v>54</v>
      </c>
      <c r="D598" s="494" t="str">
        <f>IF(G598="","",$D595)</f>
        <v>17</v>
      </c>
      <c r="E598" s="511" t="str">
        <f>IF(G598=""," ","– "&amp;COUNTIF(D$4:D600,$D598))</f>
        <v>– 5</v>
      </c>
      <c r="F598" s="510" t="str">
        <f ca="1">IF(G598="","",IF(OR(AND($C598&lt;&gt;" ",$C599=" "),AND($C599&lt;&gt;" ",$C598=" "),AND(L600&gt;0,OR(AND($C600&lt;&gt;" ",OR($C598=" ",$C599=" ")),AND($C600=" ",OR($C598&lt;&gt;" ",$C599&lt;&gt;" "))))),IF(SUM(F$4:F597)=0,1,LARGE(F$4:F597,1)+1),IF(MONTH(G598)=MONTH(TODAY()),IF(AND(DAY(G598)&lt;DAY(TODAY()),$B598=" "),IF(SUM(F$4:F597)=0,1,LARGE(F$4:F597,1)+1),IF($B598=" ",IF(AND(DAY(G598)=DAY(TODAY()),HOUR(G598)&lt;=HOUR(NOW())+1),IF(AND(HOUR(G598)+2&lt;=HOUR(NOW()),DAY(G598)&lt;=DAY(TODAY()),MINUTE(G598)&lt;=MINUTE(NOW())),IF(SUM(F$4:F597)=0,1,LARGE(F$4:F597,1)+1),IF(OR(MINUTE(G598)&lt;=MINUTE(NOW()),HOUR(G598)&lt;=HOUR(NOW())),"!!!","")),""),"")),"")))</f>
        <v/>
      </c>
      <c r="G598" s="508">
        <f>IF(H598="","",_xlfn.XLOOKUP(H598,$H$4:H597,$G$4:G597,""))</f>
        <v>45002.666666666664</v>
      </c>
      <c r="H598" s="502" t="s">
        <v>221</v>
      </c>
      <c r="I598" s="180" t="s">
        <v>51</v>
      </c>
      <c r="J598" s="181">
        <v>11.5</v>
      </c>
      <c r="K598" s="150" t="s">
        <v>37</v>
      </c>
      <c r="L598" s="151">
        <v>3.1</v>
      </c>
      <c r="M598" s="152">
        <v>7.95</v>
      </c>
      <c r="N598" s="503">
        <v>0</v>
      </c>
      <c r="O598" s="153">
        <f>IF(OR(AE598="",AE599=""),"",ROUND(IF(L600&gt;0,IF(M598&gt;0,M598,IF(M599&gt;0,ROUND((M599*AE598)/AE599,IF(N598=0,2,IF(N598=0.1,1,0))),ROUND((M600*AE598)/AE600,IF(N598=0,2,IF(N598=0.1,1,0))))),IF(M598&gt;0,M598,ROUND((M599*AE598)/AE599,IF(N598=0,2,IF(N598=0.1,1,0))))),2))</f>
        <v>7.95</v>
      </c>
      <c r="P598" s="154">
        <f>IF(OR(L598="",O598=""),"",IF($C598="1/2W",O598/2+O598/2*L598,IF($C598="1/2L",O598/2,IF(I598="Lay",(O598*(L598/(L598-1))-O598)*(1-_xlfn.XLOOKUP(K598,'Fevereiro 2023 - Valor Real'!A3:A15,'Fevereiro 2023 - Valor Real'!C3:C15,0))+O598,(O598*L598-O598)*(1-_xlfn.XLOOKUP(K598,'Fevereiro 2023 - Valor Real'!A3:A15,'Fevereiro 2023 - Valor Real'!C3:C15,0))+O598))))</f>
        <v>24.645</v>
      </c>
      <c r="Q598" s="155">
        <f>IF(K598="","",IF(_xlfn.XLOOKUP(K598,K$9:K590,$DJ$9:DJ590,0,,-1)=DJ598,_xlfn.XLOOKUP(K598,K$9:K590,Q$9:Q590,1,,-1)+1,1))</f>
        <v>2</v>
      </c>
      <c r="R598" s="156">
        <f>IF(K598="","",_xlfn.XLOOKUP(K598,K$9:K590,R$9:R590,0,,-1)+IF($C598=" ",1,0))</f>
        <v>0</v>
      </c>
      <c r="S598" s="501">
        <f>IF($B598="Anulado",0,ROUND(IF(OR($B598="LOSS",$B598="OK"),IF(OR($C598="W",$C598="1/2W",$C598="1/2L"),P598-O598,IF($C598="L",-O598,0))+IF(OR($C599="W",$C599="1/2W",$C599="1/2L"),P599-O599,IF($C599="L",-O599,0))+IF(OR($C600="W",$C600="1/2W",$C600="1/2L"),P600-O600,IF($C600="L",-O600,0)),IF(AND(OR($C598="W",$C598="1/2W",$C598="1/2L"),C599="W"),P598+P599-SUM(O598:O600)+_xlfn.XLOOKUP("X",C598:C600,O598:O600,0),IF(AND(C598=TRUE,C600="W"),P598+P600-SUM(O598:O600),IF(AND(C599="W",C600="W"),P599+P600-SUM(O598:O600)+_xlfn.XLOOKUP("X",C598:C600,O598:O600,0),IF(L600&gt;0,IF(OR($C598="W",$C598="1/2W",$C598="1/2L"),P598-SUM(O598:O600)+_xlfn.XLOOKUP("X",C598:C600,O598:O600,0),IF(OR($C598="W",$C598="1/2W",$C598="1/2L"),P599-SUM(O598:O600)+_xlfn.XLOOKUP("X",C598:C600,O598:O600,0),IF(OR($C598="W",$C598="1/2W",$C598="1/2L"),P600-SUM(O598:O600)+_xlfn.XLOOKUP("X",C598:C600,O598:O600,0),IF(SUM(P598:P600)/3-SUM(O598:O600)+_xlfn.XLOOKUP("X",C598:C600,O598:O600,0)&gt;0,SUM(P598:P600)/3-SUM(O598:O600)+_xlfn.XLOOKUP("X",C598:C600,O598:O600,0),LARGE(P598:P600,1)-SUM(O598:O600))))),IF(OR($C598="W",$C598="1/2W",$C598="1/2L"),P598-SUM(O598:O599)+_xlfn.XLOOKUP("X",C598:C600,O598:O600,0),IF(OR($C598="W",$C598="1/2W",$C598="1/2L"),P599-SUM(O598:O599)+_xlfn.XLOOKUP("X",C598:C600,O598:O600,0),SUM(P598:P599)/2-SUM(O598:O599)+_xlfn.XLOOKUP("X",C598:C600,O598:O600,0)))))))),2))</f>
        <v>2.0099999999999998</v>
      </c>
      <c r="T598" s="486">
        <f>IF(S598=0,0,S598/SUM(O598:O600))</f>
        <v>8.8780918727915187E-2</v>
      </c>
      <c r="U598" s="496">
        <f>IF($D598=$D595,IF(OR($B598="LOSS",$B598="OK",$B598="Anulada"),S598,0)+U595,IF(OR($B598="LOSS",$B598="OK",$B598="Anulada"),S598,0))</f>
        <v>7.64</v>
      </c>
      <c r="V598" s="496">
        <f>IF($D598="",0,IF($D598=$D595,IF($B598=" ",IF(I600="",IF(OR(AND(I598="DNB1",I599="DNB2"),AND(OR(I598="DNB1",I598="DNB2"),J599=0),AND(OR(I599="DNB1",I599="DNB2"),J598=0),AND(I598="DNB2",I599="DNB1"),AND(IF(J598=0,(J598+1)/ROUND(J598+1,0),J598/ROUND(J598,0))=1,IF(J599=0,(J599+1)/ROUND(IF(J599="",0,J599)+1,0),IF(J599="",0,J599)/ROUND(IF(J599="",1,J599),0))=1,OR(J598&lt;&gt;""),J599&lt;&gt;"")),0,IF(S598&lt;0,IF(I600="",SMALL(P598:P599,1)-SUM(O598:O599),0),SMALL(P598:P599,1)-SUM(O598:O599))),IF(S598&lt;0,IF(I600="",SMALL(P598:P600,1)-SUM(O598:O600),0),LARGE(P598:P600,1)-SUM(O598:O600))),S598)+V595,IF(I600="",IF(OR(AND(I598="DNB1",I599="DNB2"),AND(OR(I598="DNB1",I598="DNB2"),J599=0),AND(OR(I599="DNB1",I599="DNB2"),J598=0),AND(I598="DNB2",I599="DNB1"),AND(IF(J598=0,(J598+1)/ROUND(J598+1,0),J598/ROUND(J598,0))=1,IF(J599=0,(IF(J599="",0,J599)+1)/ROUND(IF(J599="",0,J599)+1,0),IF(J599="",0,J599)/ROUND(IF(J599="",0,J599)+1,0))=1,OR(J598&lt;&gt;""),J599&lt;&gt;"")),0,IF(S598&lt;0,IF(I600="",SMALL(P598:P599,1)-SUM(O598:O599),0),SMALL(P598:P600,1)-SUM(O598:O600))),IF(S598&lt;0,IF(I600="",SMALL(P598:P600,1)-SUM(O598:O600),0),LARGE(P598:P600,1)-SUM(O598:O600)))))</f>
        <v>7.5285000000000002</v>
      </c>
      <c r="W598" s="496">
        <f>IF($D598=$D595,IF(S598&lt;0,IF(I600="",S598,0),S598)+W595,S598)</f>
        <v>7.64</v>
      </c>
      <c r="X598" s="505" t="str">
        <f>IF(OR(SUM(R598:R600)=0,V598=W598),ROUND(IF(W598=0,0,W598/Y598)*100,2)&amp;"%",ROUND(IF(V598=0,0,V598/Y598)*100,2)&amp;"% a "&amp;ROUND(IF(W598=0,0,W598/Y598)*100,2)&amp;"%")</f>
        <v>6,01%</v>
      </c>
      <c r="Y598" s="497">
        <f>IF($D598=$D595,Y595+SUM(O598:O600),SUM(O598:O600))</f>
        <v>127.14</v>
      </c>
      <c r="Z598" s="496">
        <f>IF($B598=" ",SUM(O598:O600),0)+Z595</f>
        <v>0</v>
      </c>
      <c r="AA598" s="496">
        <f>IF(G598="","",IF($B598="Anulado",LARGE(P598:P600,1)-SUM(O598:O600)+AA595,AA595))</f>
        <v>12.425099999999992</v>
      </c>
      <c r="AB598" s="496">
        <f>IF($D598="","",AB595+S598)</f>
        <v>672.88000000000045</v>
      </c>
      <c r="AC598" s="499">
        <f ca="1">IF($D598="","",IF($B598=" ",IF(DAY(G598)=DAY(TODAY()),1+AC595,0+AC595),0+AC595))</f>
        <v>0</v>
      </c>
      <c r="AD598" s="157">
        <f>(1-_xlfn.XLOOKUP(K596,'Fevereiro 2023 - Valor Real'!A3:A15,'Fevereiro 2023 - Valor Real'!C3:C15,0))+1</f>
        <v>2</v>
      </c>
      <c r="AE598" s="158">
        <f>IF(L598="","",IF(L600&gt;0,(SUM(((L598-1)*(1-_xlfn.XLOOKUP(K598,'Fevereiro 2023 - Valor Real'!A3:A15,'Fevereiro 2023 - Valor Real'!C3:C15,0))+1),((L599-1)*(1-_xlfn.XLOOKUP(K599,'Fevereiro 2023 - Valor Real'!A3:A15,'Fevereiro 2023 - Valor Real'!C3:C15,0))+1),((L600-1)*(1-_xlfn.XLOOKUP(K600,'Fevereiro 2023 - Valor Real'!A3:A15,'Fevereiro 2023 - Valor Real'!C3:C15,0))+1))/((L598-1)*(1-_xlfn.XLOOKUP(K598,'Fevereiro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Real'!C3:C15,0))+1))/((L598-1)*(1-_xlfn.XLOOKUP(K598,'Fevereiro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Real'!C3:C15,0))+1))/((L599-1)*(1-_xlfn.XLOOKUP(K599,'Fevereiro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Real'!C3:C15,0))+1))/((L600-1)*(1-_xlfn.XLOOKUP(K600,'Fevereiro 2023 - Valor Real'!A3:A15,'Fevereiro 2023 - Valor Real'!C3:C15,0))+1)),IF(I598="Lay",IF(I599="Lay",((L599/(L599-1)-1)*(1-_xlfn.XLOOKUP(K599,'Fevereiro 2023 - Valor Real'!A3:A15,'Fevereiro 2023 - Valor Real'!C3:C15,0))+1)/(((L599/(L599-1)-1)*(1-_xlfn.XLOOKUP(K599,'Fevereiro 2023 - Valor Real'!A3:A15,'Fevereiro 2023 - Valor Real'!C3:C15,0))+1)+((L598/(L598-1)-1)*(1-_xlfn.XLOOKUP(K598,'Fevereiro 2023 - Valor Real'!A3:A15,'Fevereiro 2023 - Valor Real'!C3:C15,0))+1)),((L599-1)*(1-_xlfn.XLOOKUP(K599,'Fevereiro 2023 - Valor Real'!A3:A15,'Fevereiro 2023 - Valor Real'!C3:C15,0))+1)/(((L599-1)*(1-_xlfn.XLOOKUP(K599,'Fevereiro 2023 - Valor Real'!A3:A15,'Fevereiro 2023 - Valor Real'!C3:C15,0))+1)+((L598/(L598-1)-1)*(1-_xlfn.XLOOKUP(K598,'Fevereiro 2023 - Valor Real'!A3:A15,'Fevereiro 2023 - Valor Real'!C3:C15,0))+1))),IF(I599="Lay",(((L599/(L599-1)-1)*(1-_xlfn.XLOOKUP(K599,'Fevereiro 2023 - Valor Real'!A3:A15,'Fevereiro 2023 - Valor Real'!C3:C15,0))+1))/(((L598-1)*(1-_xlfn.XLOOKUP(K598,'Fevereiro 2023 - Valor Real'!A3:A15,'Fevereiro 2023 - Valor Real'!C3:C15,0))+1)+((L599/(L599-1)-1)*(1-_xlfn.XLOOKUP(K599,'Fevereiro 2023 - Valor Real'!A3:A15,'Fevereiro 2023 - Valor Real'!C3:C15,0))+1)),((L599-1)*(1-_xlfn.XLOOKUP(K599,'Fevereiro 2023 - Valor Real'!A3:A15,'Fevereiro 2023 - Valor Real'!C3:C15,0))+1)/(((L599-1)*(1-_xlfn.XLOOKUP(K599,'Fevereiro 2023 - Valor Real'!A3:A15,'Fevereiro 2023 - Valor Real'!C3:C15,0))+1)+((L598-1)*(1-_xlfn.XLOOKUP(K598,'Fevereiro 2023 - Valor Real'!A3:A15,'Fevereiro 2023 - Valor Real'!C3:C15,0))+1))))))</f>
        <v>0.3279238478634629</v>
      </c>
      <c r="AF598" s="66">
        <f t="shared" si="1205"/>
        <v>0</v>
      </c>
      <c r="AG598" s="67">
        <f t="shared" si="1205"/>
        <v>16.7</v>
      </c>
      <c r="AH598" s="67">
        <f t="shared" si="1205"/>
        <v>0</v>
      </c>
      <c r="AI598" s="67">
        <f t="shared" si="1205"/>
        <v>0</v>
      </c>
      <c r="AJ598" s="67">
        <f t="shared" si="1205"/>
        <v>0</v>
      </c>
      <c r="AK598" s="67">
        <f t="shared" si="1205"/>
        <v>0</v>
      </c>
      <c r="AL598" s="67">
        <f t="shared" si="1205"/>
        <v>0</v>
      </c>
      <c r="AM598" s="67">
        <f t="shared" si="1205"/>
        <v>0</v>
      </c>
      <c r="AN598" s="67">
        <f t="shared" si="1205"/>
        <v>0</v>
      </c>
      <c r="AO598" s="67">
        <f t="shared" si="1205"/>
        <v>0</v>
      </c>
      <c r="AP598" s="67">
        <f t="shared" si="1205"/>
        <v>0</v>
      </c>
      <c r="AQ598" s="67">
        <f t="shared" si="1205"/>
        <v>0</v>
      </c>
      <c r="AR598" s="68">
        <f t="shared" si="1205"/>
        <v>0</v>
      </c>
      <c r="AS598" s="66">
        <f t="shared" ref="AS598:BE598" si="1212">IF(AND($B598=" ",$K598=AS$3),$O598,0)</f>
        <v>0</v>
      </c>
      <c r="AT598" s="67">
        <f t="shared" si="1212"/>
        <v>0</v>
      </c>
      <c r="AU598" s="67">
        <f t="shared" si="1212"/>
        <v>0</v>
      </c>
      <c r="AV598" s="67">
        <f t="shared" si="1212"/>
        <v>0</v>
      </c>
      <c r="AW598" s="67">
        <f t="shared" si="1212"/>
        <v>0</v>
      </c>
      <c r="AX598" s="67">
        <f t="shared" si="1212"/>
        <v>0</v>
      </c>
      <c r="AY598" s="69">
        <f t="shared" si="1212"/>
        <v>0</v>
      </c>
      <c r="AZ598" s="70">
        <f t="shared" si="1212"/>
        <v>0</v>
      </c>
      <c r="BA598" s="70">
        <f t="shared" si="1212"/>
        <v>0</v>
      </c>
      <c r="BB598" s="70">
        <f t="shared" si="1212"/>
        <v>0</v>
      </c>
      <c r="BC598" s="71">
        <f t="shared" si="1212"/>
        <v>0</v>
      </c>
      <c r="BD598" s="67">
        <f t="shared" si="1212"/>
        <v>0</v>
      </c>
      <c r="BE598" s="68">
        <f t="shared" si="1212"/>
        <v>0</v>
      </c>
      <c r="BF598" s="66">
        <f t="shared" si="1207"/>
        <v>0</v>
      </c>
      <c r="BG598" s="67">
        <f t="shared" si="1207"/>
        <v>7.95</v>
      </c>
      <c r="BH598" s="67">
        <f t="shared" si="1207"/>
        <v>0</v>
      </c>
      <c r="BI598" s="67">
        <f t="shared" si="1207"/>
        <v>0</v>
      </c>
      <c r="BJ598" s="67">
        <f t="shared" si="1207"/>
        <v>0</v>
      </c>
      <c r="BK598" s="67">
        <f t="shared" si="1207"/>
        <v>0</v>
      </c>
      <c r="BL598" s="67">
        <f t="shared" si="1207"/>
        <v>0</v>
      </c>
      <c r="BM598" s="69">
        <f t="shared" si="1207"/>
        <v>0</v>
      </c>
      <c r="BN598" s="70">
        <f t="shared" si="1207"/>
        <v>0</v>
      </c>
      <c r="BO598" s="70">
        <f t="shared" si="1207"/>
        <v>0</v>
      </c>
      <c r="BP598" s="70">
        <f t="shared" si="1207"/>
        <v>0</v>
      </c>
      <c r="BQ598" s="71">
        <f t="shared" si="1207"/>
        <v>0</v>
      </c>
      <c r="BR598" s="68">
        <f t="shared" si="1207"/>
        <v>0</v>
      </c>
      <c r="BS598" s="490">
        <f>IF($B598="LOSS",IF(AND($K598=BS$3,$C598="L"),-$O598,0)+IF(AND($K599=BS$3,$C599="L"),-$O599,0)+IF(AND($K600=BS$3,$C600="L"),-$O600,0),IF(OR(AND($K598=BS$3,OR($C598="W",$C598="1/2W")),AND($K599=BS$3,OR($C599="W",$C599="1/2W")),AND($K600=BS$3,OR($C600="W",$C600="1/2W"))),$S598,0))</f>
        <v>0</v>
      </c>
      <c r="BT598" s="498">
        <f>IF($B598="LOSS",IF(AND($K598=BT$3,$C598="L"),-$O598,0)+IF(AND($K599=BT$3,$C599="L"),-$O599,0)+IF(AND($K599=BT$3,$C600="L"),-$O600,0),IF(OR(AND($K599=BT$3,OR($C598="W",$C598="1/2W")),AND($K599=BT$3,OR($C599="W",$C599="1/2W")),AND($K599=BT$3,OR($C600="W",$C600="1/2W"))),$S598,0))</f>
        <v>0</v>
      </c>
      <c r="BU598" s="488">
        <f>IF($B598="LOSS",IF(AND($K598=BU$3,$C598="L"),-$O598,0)+IF(AND($K599=BU$3,$C599="L"),-$O599,0)+IF(AND($K599=BU$3,$C600="L"),-$O600,0),IF(OR(AND($K599=BU$3,OR($C598="W",$C598="1/2W")),AND($K599=BU$3,OR($C599="W",$C599="1/2W")),AND($K599=BU$3,OR($C600="W",$C600="1/2W"))),$S598,0))</f>
        <v>0</v>
      </c>
      <c r="BV598" s="488">
        <f t="shared" ref="BV598:CE598" si="1213">IF($B598="LOSS",IF(AND($K598=BV$3,$C598="L"),-$O598,0)+IF(AND($K599=BV$3,$C599="L"),-$O599,0)+IF(AND($K600=BV$3,$C600="L"),-$O600,0),IF(OR(AND($K598=BV$3,OR($C598="W",$C598="1/2W")),AND($K599=BV$3,OR($C599="W",$C599="1/2W")),AND($K600=BV$3,OR($C600="W",$C600="1/2W"))),$S598,0))</f>
        <v>0</v>
      </c>
      <c r="BW598" s="488">
        <f t="shared" si="1213"/>
        <v>0</v>
      </c>
      <c r="BX598" s="488">
        <f t="shared" si="1213"/>
        <v>0</v>
      </c>
      <c r="BY598" s="488">
        <f t="shared" si="1213"/>
        <v>0</v>
      </c>
      <c r="BZ598" s="488">
        <f t="shared" si="1213"/>
        <v>0</v>
      </c>
      <c r="CA598" s="488">
        <f t="shared" si="1213"/>
        <v>0</v>
      </c>
      <c r="CB598" s="488">
        <f t="shared" si="1213"/>
        <v>0</v>
      </c>
      <c r="CC598" s="488">
        <f t="shared" si="1213"/>
        <v>0</v>
      </c>
      <c r="CD598" s="500">
        <f t="shared" si="1213"/>
        <v>0</v>
      </c>
      <c r="CE598" s="504">
        <f t="shared" si="1213"/>
        <v>0</v>
      </c>
      <c r="CF598" s="160">
        <f t="shared" si="1156"/>
        <v>0</v>
      </c>
      <c r="CG598" s="161">
        <f t="shared" si="1157"/>
        <v>0</v>
      </c>
      <c r="CH598" s="161">
        <f t="shared" si="1158"/>
        <v>1</v>
      </c>
      <c r="CI598" s="161">
        <f t="shared" si="1159"/>
        <v>0</v>
      </c>
      <c r="CJ598" s="161">
        <f t="shared" si="1160"/>
        <v>0</v>
      </c>
      <c r="CK598" s="161">
        <f t="shared" si="1161"/>
        <v>0</v>
      </c>
      <c r="CL598" s="161">
        <f t="shared" si="1162"/>
        <v>0</v>
      </c>
      <c r="CM598" s="161">
        <f t="shared" si="1163"/>
        <v>0</v>
      </c>
      <c r="CN598" s="161">
        <f t="shared" si="1164"/>
        <v>0</v>
      </c>
      <c r="CO598" s="161">
        <f t="shared" si="1165"/>
        <v>0</v>
      </c>
      <c r="CP598" s="161">
        <f t="shared" si="1166"/>
        <v>0</v>
      </c>
      <c r="CQ598" s="161">
        <f t="shared" si="1167"/>
        <v>0</v>
      </c>
      <c r="CR598" s="161">
        <f t="shared" si="1168"/>
        <v>0</v>
      </c>
      <c r="CS598" s="161">
        <f t="shared" si="1169"/>
        <v>0</v>
      </c>
      <c r="CT598" s="75">
        <f t="shared" si="1170"/>
        <v>0</v>
      </c>
      <c r="CU598" s="76">
        <f t="shared" si="1171"/>
        <v>0</v>
      </c>
      <c r="CV598" s="76">
        <f t="shared" si="1172"/>
        <v>0</v>
      </c>
      <c r="CW598" s="76">
        <f t="shared" si="1173"/>
        <v>0</v>
      </c>
      <c r="CX598" s="76">
        <f t="shared" si="1174"/>
        <v>0</v>
      </c>
      <c r="CY598" s="76">
        <f t="shared" si="1175"/>
        <v>0</v>
      </c>
      <c r="CZ598" s="76">
        <f t="shared" si="1176"/>
        <v>0</v>
      </c>
      <c r="DA598" s="76">
        <f t="shared" si="1177"/>
        <v>0</v>
      </c>
      <c r="DB598" s="76">
        <f t="shared" si="1178"/>
        <v>0</v>
      </c>
      <c r="DC598" s="76">
        <f t="shared" si="1179"/>
        <v>0</v>
      </c>
      <c r="DD598" s="76">
        <f t="shared" si="1180"/>
        <v>0</v>
      </c>
      <c r="DE598" s="77">
        <f t="shared" si="1181"/>
        <v>0</v>
      </c>
      <c r="DF598" s="73">
        <f t="shared" si="1183"/>
        <v>36</v>
      </c>
      <c r="DG598" s="67">
        <f t="shared" si="1184"/>
        <v>47.227999999999994</v>
      </c>
      <c r="DH598" s="76">
        <f t="shared" si="1185"/>
        <v>14</v>
      </c>
      <c r="DI598" s="67">
        <f t="shared" si="1186"/>
        <v>60.05</v>
      </c>
      <c r="DJ598" s="202" t="str">
        <f>IF($D598="","",$D598)</f>
        <v>17</v>
      </c>
      <c r="DK598" s="492">
        <f>IF(AND($B598=" ",$D598&lt;&gt;""),1,0)</f>
        <v>0</v>
      </c>
    </row>
    <row r="599" spans="1:115" ht="14.5" customHeight="1" x14ac:dyDescent="0.2">
      <c r="A599" s="389"/>
      <c r="B599" s="456"/>
      <c r="C599" s="53" t="s">
        <v>55</v>
      </c>
      <c r="D599" s="374"/>
      <c r="E599" s="386"/>
      <c r="F599" s="377"/>
      <c r="G599" s="508"/>
      <c r="H599" s="476"/>
      <c r="I599" s="206"/>
      <c r="J599" s="56">
        <v>11</v>
      </c>
      <c r="K599" s="57" t="s">
        <v>36</v>
      </c>
      <c r="L599" s="164">
        <v>8.5</v>
      </c>
      <c r="M599" s="165">
        <v>1.3</v>
      </c>
      <c r="N599" s="406"/>
      <c r="O599" s="60">
        <f>IF(OR(AE598="",AE599=""),"",ROUND(IF(L600&gt;0,IF(M599&gt;0,M599,IF(M598&gt;0,IF(N598=TRUE,ROUND((M598*AE599)/AE598,0),(M598*AE599)/AE598),IF(M599&gt;0,ROUND(M599,IF(N598=0,2,IF(N598=0.1,1,0))),IF(M600&gt;0,ROUND(O600*AE599/AE600,IF(N598=0,2,IF(N598=0.1,1,0))),0)))),IF(M599&gt;0,M599,ROUND((M598*AE599)/AE598,IF(N598=0,2,IF(N598=0.1,1,0))))),2))</f>
        <v>1.3</v>
      </c>
      <c r="P599" s="61">
        <f>IF(OR(L599="",O599=""),"",IF($C599="1/2W",O599/2+O599/2*L599,IF($C599="1/2L",O599/2,IF(I599="Lay",((O599*(L599/(L599-1)))-O599)*(1-_xlfn.XLOOKUP(K599,'Fevereiro 2023 - Valor Real'!A3:A15,'Fevereiro 2023 - Valor Real'!C3:C15,0))+O599,(O599*L599-O599)*(1-_xlfn.XLOOKUP(K599,'Fevereiro 2023 - Valor Real'!A3:A15,'Fevereiro 2023 - Valor Real'!C3:C15,0))+O599))))</f>
        <v>11.05</v>
      </c>
      <c r="Q599" s="166">
        <f>IF(K599="","",IF(_xlfn.XLOOKUP(K599,K$10:K590,$DJ$10:DJ590,0,,-1)=DJ599,_xlfn.XLOOKUP(K599,K$10:K590,Q$10:Q590,1,,-1)+1,1))</f>
        <v>1</v>
      </c>
      <c r="R599" s="167">
        <f>IF(K599="","",_xlfn.XLOOKUP(K599,K$10:K590,R$10:R590,0,,-1)+IF($C599=" ",1,0))</f>
        <v>0</v>
      </c>
      <c r="S599" s="403"/>
      <c r="T599" s="380"/>
      <c r="U599" s="380"/>
      <c r="V599" s="481"/>
      <c r="W599" s="380"/>
      <c r="X599" s="452"/>
      <c r="Y599" s="383"/>
      <c r="Z599" s="384"/>
      <c r="AA599" s="384"/>
      <c r="AB599" s="384"/>
      <c r="AC599" s="384"/>
      <c r="AD599" s="64"/>
      <c r="AE599" s="65">
        <f>IF(L599="","",IF(L600&gt;0,(SUM(((L598-1)*(1-_xlfn.XLOOKUP(K598,'Fevereiro 2023 - Valor Real'!A3:A15,'Fevereiro 2023 - Valor Real'!C3:C15,0))+1),((L599-1)*(1-_xlfn.XLOOKUP(K599,'Fevereiro 2023 - Valor Real'!A3:A15,'Fevereiro 2023 - Valor Real'!C3:C15,0))+1),((L600-1)*(1-_xlfn.XLOOKUP(K600,'Fevereiro 2023 - Valor Real'!A3:A15,'Fevereiro 2023 - Valor Real'!C3:C15,0))+1))/((L599-1)*(1-_xlfn.XLOOKUP(K599,'Fevereiro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Real'!C3:C15,0))+1))/((L598-1)*(1-_xlfn.XLOOKUP(K598,'Fevereiro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Real'!C3:C15,0))+1))/((L599-1)*(1-_xlfn.XLOOKUP(K599,'Fevereiro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Real'!C3:C15,0))+1))/((L600-1)*(1-_xlfn.XLOOKUP(K600,'Fevereiro 2023 - Valor Real'!A3:A15,'Fevereiro 2023 - Valor Real'!C3:C15,0))+1)),IF(I599="Lay",IF(I598="Lay",((L598/(L598-1)-1)*(1-_xlfn.XLOOKUP(K598,'Fevereiro 2023 - Valor Real'!A3:A15,'Fevereiro 2023 - Valor Real'!C3:C15,0))+1)/(((L598/(L598-1)-1)*(1-_xlfn.XLOOKUP(K598,'Fevereiro 2023 - Valor Real'!A3:A15,'Fevereiro 2023 - Valor Real'!C3:C15,0))+1)+((L599/(L599-1)-1)*(1-_xlfn.XLOOKUP(K599,'Fevereiro 2023 - Valor Real'!A3:A15,'Fevereiro 2023 - Valor Real'!C3:C15,0))+1)),((L598-1)*(1-_xlfn.XLOOKUP(K598,'Fevereiro 2023 - Valor Real'!A3:A15,'Fevereiro 2023 - Valor Real'!C3:C15,0))+1)/(((L598-1)*(1-_xlfn.XLOOKUP(K598,'Fevereiro 2023 - Valor Real'!A3:A15,'Fevereiro 2023 - Valor Real'!C3:C15,0))+1)+((L599/(L599-1)-1)*(1-_xlfn.XLOOKUP(K599,'Fevereiro 2023 - Valor Real'!A3:A15,'Fevereiro 2023 - Valor Real'!C3:C15,0))+1))),IF(I598="Lay",((L598/(L598-1)-1)*(1-_xlfn.XLOOKUP(K598,'Fevereiro 2023 - Valor Real'!A3:A15,'Fevereiro 2023 - Valor Real'!C3:C15,0))+1)/((((L598/(L598-1)-1)*(1-_xlfn.XLOOKUP(K598,'Fevereiro 2023 - Valor Real'!A3:A15,'Fevereiro 2023 - Valor Real'!C3:C15,0))+1))+((L599-1)*(1-_xlfn.XLOOKUP(K599,'Fevereiro 2023 - Valor Real'!A3:A15,'Fevereiro 2023 - Valor Real'!C3:C15,0))+1)),((L598-1)*(1-_xlfn.XLOOKUP(K598,'Fevereiro 2023 - Valor Real'!A3:A15,'Fevereiro 2023 - Valor Real'!C3:C15,0))+1)/(((L598-1)*(1-_xlfn.XLOOKUP(K598,'Fevereiro 2023 - Valor Real'!A3:A15,'Fevereiro 2023 - Valor Real'!C3:C15,0))+1)+((L599-1)*(1-_xlfn.XLOOKUP(K599,'Fevereiro 2023 - Valor Real'!A3:A15,'Fevereiro 2023 - Valor Real'!C3:C15,0))+1))))))</f>
        <v>0.1195957562796159</v>
      </c>
      <c r="AF599" s="66">
        <f t="shared" si="1205"/>
        <v>-1.3</v>
      </c>
      <c r="AG599" s="67">
        <f t="shared" si="1205"/>
        <v>0</v>
      </c>
      <c r="AH599" s="67">
        <f t="shared" si="1205"/>
        <v>0</v>
      </c>
      <c r="AI599" s="67">
        <f t="shared" si="1205"/>
        <v>0</v>
      </c>
      <c r="AJ599" s="67">
        <f t="shared" si="1205"/>
        <v>0</v>
      </c>
      <c r="AK599" s="67">
        <f t="shared" si="1205"/>
        <v>0</v>
      </c>
      <c r="AL599" s="67">
        <f t="shared" si="1205"/>
        <v>0</v>
      </c>
      <c r="AM599" s="67">
        <f t="shared" si="1205"/>
        <v>0</v>
      </c>
      <c r="AN599" s="67">
        <f t="shared" si="1205"/>
        <v>0</v>
      </c>
      <c r="AO599" s="67">
        <f t="shared" si="1205"/>
        <v>0</v>
      </c>
      <c r="AP599" s="67">
        <f t="shared" si="1205"/>
        <v>0</v>
      </c>
      <c r="AQ599" s="67">
        <f t="shared" si="1205"/>
        <v>0</v>
      </c>
      <c r="AR599" s="68">
        <f t="shared" si="1205"/>
        <v>0</v>
      </c>
      <c r="AS599" s="66">
        <f>IF(AND($B598=" ",$K599=AS$3),$O599,0)</f>
        <v>0</v>
      </c>
      <c r="AT599" s="67">
        <f>IF(AND($B598=" ",K599=AT$3),$O599,0)</f>
        <v>0</v>
      </c>
      <c r="AU599" s="67">
        <f t="shared" ref="AU599:BE599" si="1214">IF(AND($B598=" ",$K599=AU$3),$O599,0)</f>
        <v>0</v>
      </c>
      <c r="AV599" s="67">
        <f t="shared" si="1214"/>
        <v>0</v>
      </c>
      <c r="AW599" s="67">
        <f t="shared" si="1214"/>
        <v>0</v>
      </c>
      <c r="AX599" s="67">
        <f t="shared" si="1214"/>
        <v>0</v>
      </c>
      <c r="AY599" s="69">
        <f t="shared" si="1214"/>
        <v>0</v>
      </c>
      <c r="AZ599" s="70">
        <f t="shared" si="1214"/>
        <v>0</v>
      </c>
      <c r="BA599" s="70">
        <f t="shared" si="1214"/>
        <v>0</v>
      </c>
      <c r="BB599" s="70">
        <f t="shared" si="1214"/>
        <v>0</v>
      </c>
      <c r="BC599" s="71">
        <f t="shared" si="1214"/>
        <v>0</v>
      </c>
      <c r="BD599" s="67">
        <f t="shared" si="1214"/>
        <v>0</v>
      </c>
      <c r="BE599" s="68">
        <f t="shared" si="1214"/>
        <v>0</v>
      </c>
      <c r="BF599" s="66">
        <f t="shared" si="1207"/>
        <v>1.3</v>
      </c>
      <c r="BG599" s="168">
        <f t="shared" si="1207"/>
        <v>0</v>
      </c>
      <c r="BH599" s="67">
        <f t="shared" si="1207"/>
        <v>0</v>
      </c>
      <c r="BI599" s="67">
        <f t="shared" si="1207"/>
        <v>0</v>
      </c>
      <c r="BJ599" s="67">
        <f t="shared" si="1207"/>
        <v>0</v>
      </c>
      <c r="BK599" s="67">
        <f t="shared" si="1207"/>
        <v>0</v>
      </c>
      <c r="BL599" s="67">
        <f t="shared" si="1207"/>
        <v>0</v>
      </c>
      <c r="BM599" s="69">
        <f t="shared" si="1207"/>
        <v>0</v>
      </c>
      <c r="BN599" s="70">
        <f t="shared" si="1207"/>
        <v>0</v>
      </c>
      <c r="BO599" s="70">
        <f t="shared" si="1207"/>
        <v>0</v>
      </c>
      <c r="BP599" s="70">
        <f t="shared" si="1207"/>
        <v>0</v>
      </c>
      <c r="BQ599" s="71">
        <f t="shared" si="1207"/>
        <v>0</v>
      </c>
      <c r="BR599" s="68">
        <f t="shared" si="1207"/>
        <v>0</v>
      </c>
      <c r="BS599" s="491"/>
      <c r="BT599" s="489"/>
      <c r="BU599" s="392"/>
      <c r="BV599" s="489"/>
      <c r="BW599" s="392"/>
      <c r="BX599" s="392"/>
      <c r="BY599" s="392"/>
      <c r="BZ599" s="489"/>
      <c r="CA599" s="392"/>
      <c r="CB599" s="392"/>
      <c r="CC599" s="392"/>
      <c r="CD599" s="401"/>
      <c r="CE599" s="409"/>
      <c r="CF599" s="169">
        <f t="shared" si="1156"/>
        <v>0</v>
      </c>
      <c r="CG599" s="170">
        <f t="shared" si="1157"/>
        <v>1</v>
      </c>
      <c r="CH599" s="170">
        <f t="shared" si="1158"/>
        <v>0</v>
      </c>
      <c r="CI599" s="170">
        <f t="shared" si="1159"/>
        <v>0</v>
      </c>
      <c r="CJ599" s="170">
        <f t="shared" si="1160"/>
        <v>0</v>
      </c>
      <c r="CK599" s="170">
        <f t="shared" si="1161"/>
        <v>0</v>
      </c>
      <c r="CL599" s="170">
        <f t="shared" si="1162"/>
        <v>0</v>
      </c>
      <c r="CM599" s="170">
        <f t="shared" si="1163"/>
        <v>0</v>
      </c>
      <c r="CN599" s="170">
        <f t="shared" si="1164"/>
        <v>0</v>
      </c>
      <c r="CO599" s="170">
        <f t="shared" si="1165"/>
        <v>0</v>
      </c>
      <c r="CP599" s="170">
        <f t="shared" si="1166"/>
        <v>0</v>
      </c>
      <c r="CQ599" s="170">
        <f t="shared" si="1167"/>
        <v>0</v>
      </c>
      <c r="CR599" s="170">
        <f t="shared" si="1168"/>
        <v>0</v>
      </c>
      <c r="CS599" s="170">
        <f t="shared" si="1169"/>
        <v>0</v>
      </c>
      <c r="CT599" s="75">
        <f t="shared" si="1170"/>
        <v>0</v>
      </c>
      <c r="CU599" s="76">
        <f t="shared" si="1171"/>
        <v>0</v>
      </c>
      <c r="CV599" s="76">
        <f t="shared" si="1172"/>
        <v>0</v>
      </c>
      <c r="CW599" s="76">
        <f t="shared" si="1173"/>
        <v>0</v>
      </c>
      <c r="CX599" s="76">
        <f t="shared" si="1174"/>
        <v>0</v>
      </c>
      <c r="CY599" s="76">
        <f t="shared" si="1175"/>
        <v>0</v>
      </c>
      <c r="CZ599" s="76">
        <f t="shared" si="1176"/>
        <v>0</v>
      </c>
      <c r="DA599" s="76">
        <f t="shared" si="1177"/>
        <v>0</v>
      </c>
      <c r="DB599" s="76">
        <f t="shared" si="1178"/>
        <v>0</v>
      </c>
      <c r="DC599" s="76">
        <f t="shared" si="1179"/>
        <v>0</v>
      </c>
      <c r="DD599" s="76">
        <f t="shared" si="1180"/>
        <v>0</v>
      </c>
      <c r="DE599" s="77">
        <f t="shared" si="1181"/>
        <v>0</v>
      </c>
      <c r="DF599" s="73">
        <f t="shared" si="1183"/>
        <v>36</v>
      </c>
      <c r="DG599" s="67">
        <f t="shared" si="1184"/>
        <v>47.227999999999994</v>
      </c>
      <c r="DH599" s="76">
        <f t="shared" si="1185"/>
        <v>14</v>
      </c>
      <c r="DI599" s="67">
        <f t="shared" si="1186"/>
        <v>60.05</v>
      </c>
      <c r="DJ599" s="202" t="str">
        <f>IF($D598="","",$D598)</f>
        <v>17</v>
      </c>
      <c r="DK599" s="493"/>
    </row>
    <row r="600" spans="1:115" ht="14.5" customHeight="1" x14ac:dyDescent="0.2">
      <c r="A600" s="390"/>
      <c r="B600" s="457"/>
      <c r="C600" s="79" t="s">
        <v>55</v>
      </c>
      <c r="D600" s="375"/>
      <c r="E600" s="387"/>
      <c r="F600" s="378"/>
      <c r="G600" s="508"/>
      <c r="H600" s="477"/>
      <c r="I600" s="183" t="s">
        <v>52</v>
      </c>
      <c r="J600" s="184">
        <v>11</v>
      </c>
      <c r="K600" s="185" t="s">
        <v>40</v>
      </c>
      <c r="L600" s="186">
        <v>1.84</v>
      </c>
      <c r="M600" s="174">
        <v>13.39</v>
      </c>
      <c r="N600" s="407"/>
      <c r="O600" s="187">
        <f>IF(OR(AE598="",AE599=""),"",IF(L600&gt;0,ROUND(IF(M600&gt;0,M600,IF(M598&gt;0,ROUND((M598*AE600)/AE598,IF(N598=0,2,IF(N598=0.1,1,0))),IF(M599&gt;0,ROUND((M599*AE600)/AE599,IF(N598=0,2,IF(N598=0.1,1,0))),IF(M600&gt;0,M600,0)))),2),""))</f>
        <v>13.39</v>
      </c>
      <c r="P600" s="188">
        <f>IF(I599="Lay",O599*(L599/(L599-1))-O599,IF(I598="Lay",O598*(L598/(L598-1))-O598,IF(OR(L600="",O600=""),"",IF($C600="1/2W",O600/2+O600/2*L600,IF($C600="1/2L",O600/2,(O600*L600-O600)*(1-_xlfn.XLOOKUP(K600,'Fevereiro 2023 - Valor Real'!A3:A15,'Fevereiro 2023 - Valor Real'!C3:C15,0))+O600)))))</f>
        <v>24.637600000000003</v>
      </c>
      <c r="Q600" s="166">
        <f>IF(K600="","",IF(_xlfn.XLOOKUP(K600,K$11:K590,$DJ$11:DJ590,0,,-1)=DJ600,_xlfn.XLOOKUP(K600,K$11:K590,Q$11:Q590,1,,-1)+1,1))</f>
        <v>2</v>
      </c>
      <c r="R600" s="189">
        <f>IF(K600="","",_xlfn.XLOOKUP(K600,K$11:K590,R$11:R590,0,,-1)+IF($C600=" ",1,0))</f>
        <v>0</v>
      </c>
      <c r="S600" s="404"/>
      <c r="T600" s="378"/>
      <c r="U600" s="378"/>
      <c r="V600" s="404"/>
      <c r="W600" s="378"/>
      <c r="X600" s="453"/>
      <c r="Y600" s="383"/>
      <c r="Z600" s="384"/>
      <c r="AA600" s="384"/>
      <c r="AB600" s="384"/>
      <c r="AC600" s="384"/>
      <c r="AD600" s="90"/>
      <c r="AE600" s="190">
        <f>IF(L600="","",(SUM(((L598-1)*(1-_xlfn.XLOOKUP(K598,'Fevereiro 2023 - Valor Real'!A3:A15,'Fevereiro 2023 - Valor Real'!C3:C15,0))+1),((L599-1)*(1-_xlfn.XLOOKUP(K599,'Fevereiro 2023 - Valor Real'!A3:A15,'Fevereiro 2023 - Valor Real'!C3:C15,0))+1),((L600-1)*(1-_xlfn.XLOOKUP(K600,'Fevereiro 2023 - Valor Real'!A3:A15,'Fevereiro 2023 - Valor Real'!C3:C15,0))+1))/((L600-1)*(1-_xlfn.XLOOKUP(K600,'Fevereiro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Real'!C3:C15,0))+1))/((L598-1)*(1-_xlfn.XLOOKUP(K598,'Fevereiro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Real'!C3:C15,0))+1))/((L599-1)*(1-_xlfn.XLOOKUP(K599,'Fevereiro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Real'!C3:C15,0))+1))/((L600-1)*(1-_xlfn.XLOOKUP(K600,'Fevereiro 2023 - Valor Real'!A3:A15,'Fevereiro 2023 - Valor Real'!C3:C15,0))+1)))</f>
        <v>0.55248039585692121</v>
      </c>
      <c r="AF600" s="66">
        <f t="shared" si="1205"/>
        <v>0</v>
      </c>
      <c r="AG600" s="67">
        <f t="shared" si="1205"/>
        <v>0</v>
      </c>
      <c r="AH600" s="67">
        <f t="shared" si="1205"/>
        <v>0</v>
      </c>
      <c r="AI600" s="67">
        <f t="shared" si="1205"/>
        <v>0</v>
      </c>
      <c r="AJ600" s="67">
        <f t="shared" si="1205"/>
        <v>-13.39</v>
      </c>
      <c r="AK600" s="67">
        <f t="shared" si="1205"/>
        <v>0</v>
      </c>
      <c r="AL600" s="67">
        <f t="shared" si="1205"/>
        <v>0</v>
      </c>
      <c r="AM600" s="67">
        <f t="shared" si="1205"/>
        <v>0</v>
      </c>
      <c r="AN600" s="67">
        <f t="shared" si="1205"/>
        <v>0</v>
      </c>
      <c r="AO600" s="67">
        <f t="shared" si="1205"/>
        <v>0</v>
      </c>
      <c r="AP600" s="67">
        <f t="shared" si="1205"/>
        <v>0</v>
      </c>
      <c r="AQ600" s="67">
        <f t="shared" si="1205"/>
        <v>0</v>
      </c>
      <c r="AR600" s="68">
        <f t="shared" si="1205"/>
        <v>0</v>
      </c>
      <c r="AS600" s="66">
        <f>IF(AND($B598=" ",$K600=AS$3),$O600,0)</f>
        <v>0</v>
      </c>
      <c r="AT600" s="67">
        <f>IF(AND($B598=" ",K600=AT$3),$O600,0)</f>
        <v>0</v>
      </c>
      <c r="AU600" s="67">
        <f t="shared" ref="AU600:BE600" si="1215">IF(AND($B598=" ",$K600=AU$3),$O600,0)</f>
        <v>0</v>
      </c>
      <c r="AV600" s="67">
        <f t="shared" si="1215"/>
        <v>0</v>
      </c>
      <c r="AW600" s="67">
        <f t="shared" si="1215"/>
        <v>0</v>
      </c>
      <c r="AX600" s="67">
        <f t="shared" si="1215"/>
        <v>0</v>
      </c>
      <c r="AY600" s="69">
        <f t="shared" si="1215"/>
        <v>0</v>
      </c>
      <c r="AZ600" s="70">
        <f t="shared" si="1215"/>
        <v>0</v>
      </c>
      <c r="BA600" s="70">
        <f t="shared" si="1215"/>
        <v>0</v>
      </c>
      <c r="BB600" s="70">
        <f t="shared" si="1215"/>
        <v>0</v>
      </c>
      <c r="BC600" s="71">
        <f t="shared" si="1215"/>
        <v>0</v>
      </c>
      <c r="BD600" s="67">
        <f t="shared" si="1215"/>
        <v>0</v>
      </c>
      <c r="BE600" s="68">
        <f t="shared" si="1215"/>
        <v>0</v>
      </c>
      <c r="BF600" s="66">
        <f t="shared" si="1207"/>
        <v>0</v>
      </c>
      <c r="BG600" s="168">
        <f t="shared" si="1207"/>
        <v>0</v>
      </c>
      <c r="BH600" s="67">
        <f t="shared" si="1207"/>
        <v>0</v>
      </c>
      <c r="BI600" s="67">
        <f t="shared" si="1207"/>
        <v>0</v>
      </c>
      <c r="BJ600" s="67">
        <f t="shared" si="1207"/>
        <v>13.39</v>
      </c>
      <c r="BK600" s="67">
        <f t="shared" si="1207"/>
        <v>0</v>
      </c>
      <c r="BL600" s="67">
        <f t="shared" si="1207"/>
        <v>0</v>
      </c>
      <c r="BM600" s="69">
        <f t="shared" si="1207"/>
        <v>0</v>
      </c>
      <c r="BN600" s="70">
        <f t="shared" si="1207"/>
        <v>0</v>
      </c>
      <c r="BO600" s="70">
        <f t="shared" si="1207"/>
        <v>0</v>
      </c>
      <c r="BP600" s="70">
        <f t="shared" si="1207"/>
        <v>0</v>
      </c>
      <c r="BQ600" s="71">
        <f t="shared" si="1207"/>
        <v>0</v>
      </c>
      <c r="BR600" s="68">
        <f t="shared" si="1207"/>
        <v>0</v>
      </c>
      <c r="BS600" s="491"/>
      <c r="BT600" s="489"/>
      <c r="BU600" s="392"/>
      <c r="BV600" s="489"/>
      <c r="BW600" s="392"/>
      <c r="BX600" s="392"/>
      <c r="BY600" s="392"/>
      <c r="BZ600" s="489"/>
      <c r="CA600" s="392"/>
      <c r="CB600" s="392"/>
      <c r="CC600" s="392"/>
      <c r="CD600" s="401"/>
      <c r="CE600" s="409"/>
      <c r="CF600" s="169">
        <f t="shared" si="1156"/>
        <v>0</v>
      </c>
      <c r="CG600" s="170">
        <f t="shared" si="1157"/>
        <v>0</v>
      </c>
      <c r="CH600" s="170">
        <f t="shared" si="1158"/>
        <v>0</v>
      </c>
      <c r="CI600" s="170">
        <f t="shared" si="1159"/>
        <v>0</v>
      </c>
      <c r="CJ600" s="170">
        <f t="shared" si="1160"/>
        <v>0</v>
      </c>
      <c r="CK600" s="170">
        <f t="shared" si="1161"/>
        <v>0</v>
      </c>
      <c r="CL600" s="170">
        <f t="shared" si="1162"/>
        <v>0</v>
      </c>
      <c r="CM600" s="170">
        <f t="shared" si="1163"/>
        <v>0</v>
      </c>
      <c r="CN600" s="170">
        <f t="shared" si="1164"/>
        <v>0</v>
      </c>
      <c r="CO600" s="170">
        <f t="shared" si="1165"/>
        <v>1</v>
      </c>
      <c r="CP600" s="170">
        <f t="shared" si="1166"/>
        <v>0</v>
      </c>
      <c r="CQ600" s="170">
        <f t="shared" si="1167"/>
        <v>0</v>
      </c>
      <c r="CR600" s="170">
        <f t="shared" si="1168"/>
        <v>0</v>
      </c>
      <c r="CS600" s="170">
        <f t="shared" si="1169"/>
        <v>0</v>
      </c>
      <c r="CT600" s="75">
        <f t="shared" si="1170"/>
        <v>0</v>
      </c>
      <c r="CU600" s="76">
        <f t="shared" si="1171"/>
        <v>0</v>
      </c>
      <c r="CV600" s="76">
        <f t="shared" si="1172"/>
        <v>0</v>
      </c>
      <c r="CW600" s="76">
        <f t="shared" si="1173"/>
        <v>0</v>
      </c>
      <c r="CX600" s="76">
        <f t="shared" si="1174"/>
        <v>0</v>
      </c>
      <c r="CY600" s="76">
        <f t="shared" si="1175"/>
        <v>0</v>
      </c>
      <c r="CZ600" s="76">
        <f t="shared" si="1176"/>
        <v>0</v>
      </c>
      <c r="DA600" s="76">
        <f t="shared" si="1177"/>
        <v>0</v>
      </c>
      <c r="DB600" s="76">
        <f t="shared" si="1178"/>
        <v>0</v>
      </c>
      <c r="DC600" s="76">
        <f t="shared" si="1179"/>
        <v>0</v>
      </c>
      <c r="DD600" s="76">
        <f t="shared" si="1180"/>
        <v>0</v>
      </c>
      <c r="DE600" s="77">
        <f t="shared" si="1181"/>
        <v>0</v>
      </c>
      <c r="DF600" s="73">
        <f t="shared" si="1183"/>
        <v>36</v>
      </c>
      <c r="DG600" s="67">
        <f t="shared" si="1184"/>
        <v>47.227999999999994</v>
      </c>
      <c r="DH600" s="76">
        <f t="shared" si="1185"/>
        <v>14</v>
      </c>
      <c r="DI600" s="67">
        <f t="shared" si="1186"/>
        <v>60.05</v>
      </c>
      <c r="DJ600" s="202" t="str">
        <f>IF($D598="","",$D598)</f>
        <v>17</v>
      </c>
      <c r="DK600" s="493"/>
    </row>
    <row r="601" spans="1:115" ht="14.5" customHeight="1" x14ac:dyDescent="0.2">
      <c r="A601" s="459">
        <f>$A598+1</f>
        <v>200</v>
      </c>
      <c r="B601" s="507" t="str">
        <f>IF(OR(C601="W",C602="W",C603="W",C601="1/2W",C602="1/2W",C603="1/2W",C601="1/2L",C602="1/2L",C603="1/2L"),"OK",IF(OR(C601="L",C602="L",C603="L"),"LOSS",IF(OR(C601="X",C602="X",C603="X"),"Anulado"," ")))</f>
        <v>LOSS</v>
      </c>
      <c r="C601" s="93" t="s">
        <v>49</v>
      </c>
      <c r="D601" s="468" t="s">
        <v>222</v>
      </c>
      <c r="E601" s="485" t="str">
        <f>IF(G601=""," ","– "&amp;COUNTIF(D$4:D603,$D601))</f>
        <v>– 1</v>
      </c>
      <c r="F601" s="509" t="str">
        <f ca="1">IF(G601="","",IF(OR(AND($C601&lt;&gt;" ",$C602=" "),AND($C602&lt;&gt;" ",$C601=" "),AND(L603&gt;0,OR(AND($C603&lt;&gt;" ",OR($C601=" ",$C602=" ")),AND($C603=" ",OR($C601&lt;&gt;" ",$C602&lt;&gt;" "))))),IF(SUM(F$4:F600)=0,1,LARGE(F$4:F600,1)+1),IF(MONTH(G601)=MONTH(TODAY()),IF(AND(DAY(G601)&lt;DAY(TODAY()),$B601=" "),IF(SUM(F$4:F600)=0,1,LARGE(F$4:F600,1)+1),IF($B601=" ",IF(AND(DAY(G601)=DAY(TODAY()),HOUR(G601)&lt;=HOUR(NOW())+1),IF(AND(HOUR(G601)+2&lt;=HOUR(NOW()),DAY(G601)&lt;=DAY(TODAY()),MINUTE(G601)&lt;=MINUTE(NOW())),IF(SUM(F$4:F600)=0,1,LARGE(F$4:F600,1)+1),IF(OR(MINUTE(G601)&lt;=MINUTE(NOW()),HOUR(G601)&lt;=HOUR(NOW())),"!!!","")),""),"")),"")))</f>
        <v/>
      </c>
      <c r="G601" s="482">
        <v>45006.416666666664</v>
      </c>
      <c r="H601" s="475" t="s">
        <v>223</v>
      </c>
      <c r="I601" s="175">
        <v>1</v>
      </c>
      <c r="J601" s="176"/>
      <c r="K601" s="96" t="s">
        <v>43</v>
      </c>
      <c r="L601" s="97">
        <v>1.33</v>
      </c>
      <c r="M601" s="98"/>
      <c r="N601" s="478">
        <v>1</v>
      </c>
      <c r="O601" s="99">
        <f>IF(OR(AE601="",AE602=""),"",ROUND(IF(L603&gt;0,IF(M601&gt;0,M601,IF(M602&gt;0,ROUND((M602*AE601)/AE602,IF(N601=0,2,IF(N601=0.1,1,0))),ROUND((M603*AE601)/AE603,IF(N601=0,2,IF(N601=0.1,1,0))))),IF(M601&gt;0,M601,ROUND((M602*AE601)/AE602,IF(N601=0,2,IF(N601=0.1,1,0))))),2))</f>
        <v>10</v>
      </c>
      <c r="P601" s="100">
        <f>IF(OR(L601="",O601=""),"",IF($C601="1/2W",O601/2+O601/2*L601,IF($C601="1/2L",O601/2,IF(I601="Lay",(O601*(L601/(L601-1))-O601)*(1-_xlfn.XLOOKUP(K601,'Fevereiro 2023 - Valor Real'!A3:A15,'Fevereiro 2023 - Valor Real'!C3:C15,0))+O601,(O601*L601-O601)*(1-_xlfn.XLOOKUP(K601,'Fevereiro 2023 - Valor Real'!A3:A15,'Fevereiro 2023 - Valor Real'!C3:C15,0))+O601))))</f>
        <v>13.3</v>
      </c>
      <c r="Q601" s="101">
        <f>IF(K601="","",IF(_xlfn.XLOOKUP(K601,K$4:K600,$DJ$4:DJ600,0,,-1)=DJ601,_xlfn.XLOOKUP(K601,K$4:K600,Q$4:Q600,1,,-1)+1,1))</f>
        <v>1</v>
      </c>
      <c r="R601" s="102">
        <f>IF(K601="","",_xlfn.XLOOKUP(K601,K$4:K600,R$4:R600,0,,-1)+IF($C601=" ",1,0))</f>
        <v>0</v>
      </c>
      <c r="S601" s="474">
        <f>IF($B601="Anulado",0,ROUND(IF(OR($B601="LOSS",$B601="OK"),IF(OR($C601="W",$C601="1/2W",$C601="1/2L"),P601-O601,IF($C601="L",-O601,0))+IF(OR($C602="W",$C602="1/2W",$C602="1/2L"),P602-O602,IF($C602="L",-O602,0))+IF(OR($C603="W",$C603="1/2W",$C603="1/2L"),P603-O603,IF($C603="L",-O603,0)),IF(AND(OR($C601="W",$C601="1/2W",$C601="1/2L"),C602="W"),P601+P602-SUM(O601:O603)+_xlfn.XLOOKUP("X",C601:C603,O601:O603,0),IF(AND(C601=TRUE,C603="W"),P601+P603-SUM(O601:O603),IF(AND(C602="W",C603="W"),P602+P603-SUM(O601:O603)+_xlfn.XLOOKUP("X",C601:C603,O601:O603,0),IF(L603&gt;0,IF(OR($C601="W",$C601="1/2W",$C601="1/2L"),P601-SUM(O601:O603)+_xlfn.XLOOKUP("X",C601:C603,O601:O603,0),IF(OR($C601="W",$C601="1/2W",$C601="1/2L"),P602-SUM(O601:O603)+_xlfn.XLOOKUP("X",C601:C603,O601:O603,0),IF(OR($C601="W",$C601="1/2W",$C601="1/2L"),P603-SUM(O601:O603)+_xlfn.XLOOKUP("X",C601:C603,O601:O603,0),IF(SUM(P601:P603)/3-SUM(O601:O603)+_xlfn.XLOOKUP("X",C601:C603,O601:O603,0)&gt;0,SUM(P601:P603)/3-SUM(O601:O603)+_xlfn.XLOOKUP("X",C601:C603,O601:O603,0),LARGE(P601:P603,1)-SUM(O601:O603))))),IF(OR($C601="W",$C601="1/2W",$C601="1/2L"),P601-SUM(O601:O602)+_xlfn.XLOOKUP("X",C601:C603,O601:O603,0),IF(OR($C601="W",$C601="1/2W",$C601="1/2L"),P602-SUM(O601:O602)+_xlfn.XLOOKUP("X",C601:C603,O601:O603,0),SUM(P601:P602)/2-SUM(O601:O602)+_xlfn.XLOOKUP("X",C601:C603,O601:O603,0)))))))),2))</f>
        <v>-1.55</v>
      </c>
      <c r="T601" s="458">
        <f>IF(S601=0,0,S601/SUM(O601:O603))</f>
        <v>-0.13419913419913421</v>
      </c>
      <c r="U601" s="470">
        <f>IF($D601=$D598,IF(OR($B601="LOSS",$B601="OK",$B601="Anulada"),S601,0)+U598,IF(OR($B601="LOSS",$B601="OK",$B601="Anulada"),S601,0))</f>
        <v>-1.55</v>
      </c>
      <c r="V601" s="470">
        <f>IF($D601="",0,IF($D601=$D598,IF($B601=" ",IF(I603="",IF(OR(AND(I601="DNB1",I602="DNB2"),AND(OR(I601="DNB1",I601="DNB2"),J602=0),AND(OR(I602="DNB1",I602="DNB2"),J601=0),AND(I601="DNB2",I602="DNB1"),AND(IF(J601=0,(J601+1)/ROUND(J601+1,0),J601/ROUND(J601,0))=1,IF(J602=0,(J602+1)/ROUND(IF(J602="",0,J602)+1,0),IF(J602="",0,J602)/ROUND(IF(J602="",1,J602),0))=1,OR(J601&lt;&gt;""),J602&lt;&gt;"")),0,IF(S601&lt;0,IF(I603="",SMALL(P601:P602,1)-SUM(O601:O602),0),SMALL(P601:P602,1)-SUM(O601:O602))),IF(S601&lt;0,IF(I603="",SMALL(P601:P603,1)-SUM(O601:O603),0),LARGE(P601:P603,1)-SUM(O601:O603))),S601)+V598,IF(I603="",IF(OR(AND(I601="DNB1",I602="DNB2"),AND(OR(I601="DNB1",I601="DNB2"),J602=0),AND(OR(I602="DNB1",I602="DNB2"),J601=0),AND(I601="DNB2",I602="DNB1"),AND(IF(J601=0,(J601+1)/ROUND(J601+1,0),J601/ROUND(J601,0))=1,IF(J602=0,(IF(J602="",0,J602)+1)/ROUND(IF(J602="",0,J602)+1,0),IF(J602="",0,J602)/ROUND(IF(J602="",0,J602)+1,0))=1,OR(J601&lt;&gt;""),J602&lt;&gt;"")),0,IF(S601&lt;0,IF(I603="",SMALL(P601:P602,1)-SUM(O601:O602),0),SMALL(P601:P603,1)-SUM(O601:O603))),IF(S601&lt;0,IF(I603="",SMALL(P601:P603,1)-SUM(O601:O603),0),LARGE(P601:P603,1)-SUM(O601:O603)))))</f>
        <v>1.2374999999999989</v>
      </c>
      <c r="W601" s="470">
        <f>IF($D601=$D598,IF(S601&lt;0,IF(I603="",S601,0),S601)+W598,S601)</f>
        <v>-1.55</v>
      </c>
      <c r="X601" s="480" t="str">
        <f>IF(OR(SUM(R601:R603)=0,V601=W601),ROUND(IF(W601=0,0,W601/Y601)*100,2)&amp;"%",ROUND(IF(V601=0,0,V601/Y601)*100,2)&amp;"% a "&amp;ROUND(IF(W601=0,0,W601/Y601)*100,2)&amp;"%")</f>
        <v>-13,42%</v>
      </c>
      <c r="Y601" s="471">
        <f>IF($D601=$D598,Y598+SUM(O601:O603),SUM(O601:O603))</f>
        <v>11.55</v>
      </c>
      <c r="Z601" s="470">
        <f>IF($B601=" ",SUM(O601:O603),0)+Z598</f>
        <v>0</v>
      </c>
      <c r="AA601" s="470">
        <f>IF(G601="","",IF($B601="Anulado",LARGE(P601:P603,1)-SUM(O601:O603)+AA598,AA598))</f>
        <v>12.425099999999992</v>
      </c>
      <c r="AB601" s="470">
        <f>IF($D601="","",AB598+S601)</f>
        <v>671.3300000000005</v>
      </c>
      <c r="AC601" s="472">
        <f ca="1">IF($D601="","",IF($B601=" ",IF(DAY(G601)=DAY(TODAY()),1+AC598,0+AC598),0+AC598))</f>
        <v>0</v>
      </c>
      <c r="AD601" s="103">
        <f>(((L602/(L602-1)-1)*(1-_xlfn.XLOOKUP(K602,'Fevereiro 2023 - Valor Real'!A3:A15,'Fevereiro 2023 - Valor Real'!C3:C15,0))+1))/(((L601-1)*(1-_xlfn.XLOOKUP(K601,'Fevereiro 2023 - Valor Real'!A3:A15,'Fevereiro 2023 - Valor Real'!C3:C15,0))+1)+((L602/(L602-1)-1)*(1-_xlfn.XLOOKUP(K602,'Fevereiro 2023 - Valor Real'!A3:A15,'Fevereiro 2023 - Valor Real'!C3:C15,0))+1))</f>
        <v>0.46108704764566155</v>
      </c>
      <c r="AE601" s="104">
        <f>IF(L601="","",IF(L603&gt;0,(SUM(((L601-1)*(1-_xlfn.XLOOKUP(K601,'Fevereiro 2023 - Valor Real'!A3:A15,'Fevereiro 2023 - Valor Real'!C3:C15,0))+1),((L602-1)*(1-_xlfn.XLOOKUP(K602,'Fevereiro 2023 - Valor Real'!A3:A15,'Fevereiro 2023 - Valor Real'!C3:C15,0))+1),((L603-1)*(1-_xlfn.XLOOKUP(K603,'Fevereiro 2023 - Valor Real'!A3:A15,'Fevereiro 2023 - Valor Real'!C3:C15,0))+1))/((L601-1)*(1-_xlfn.XLOOKUP(K601,'Fevereiro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Real'!C3:C15,0))+1))/((L601-1)*(1-_xlfn.XLOOKUP(K601,'Fevereiro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Real'!C3:C15,0))+1))/((L602-1)*(1-_xlfn.XLOOKUP(K602,'Fevereiro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Real'!C3:C15,0))+1))/((L603-1)*(1-_xlfn.XLOOKUP(K603,'Fevereiro 2023 - Valor Real'!A3:A15,'Fevereiro 2023 - Valor Real'!C3:C15,0))+1)),IF(I601="Lay",IF(I602="Lay",((L602/(L602-1)-1)*(1-_xlfn.XLOOKUP(K602,'Fevereiro 2023 - Valor Real'!A3:A15,'Fevereiro 2023 - Valor Real'!C3:C15,0))+1)/(((L602/(L602-1)-1)*(1-_xlfn.XLOOKUP(K602,'Fevereiro 2023 - Valor Real'!A3:A15,'Fevereiro 2023 - Valor Real'!C3:C15,0))+1)+((L601/(L601-1)-1)*(1-_xlfn.XLOOKUP(K601,'Fevereiro 2023 - Valor Real'!A3:A15,'Fevereiro 2023 - Valor Real'!C3:C15,0))+1)),((L602-1)*(1-_xlfn.XLOOKUP(K602,'Fevereiro 2023 - Valor Real'!A3:A15,'Fevereiro 2023 - Valor Real'!C3:C15,0))+1)/(((L602-1)*(1-_xlfn.XLOOKUP(K602,'Fevereiro 2023 - Valor Real'!A3:A15,'Fevereiro 2023 - Valor Real'!C3:C15,0))+1)+((L601/(L601-1)-1)*(1-_xlfn.XLOOKUP(K601,'Fevereiro 2023 - Valor Real'!A3:A15,'Fevereiro 2023 - Valor Real'!C3:C15,0))+1))),IF(I602="Lay",(((L602/(L602-1)-1)*(1-_xlfn.XLOOKUP(K602,'Fevereiro 2023 - Valor Real'!A3:A15,'Fevereiro 2023 - Valor Real'!C3:C15,0))+1))/(((L601-1)*(1-_xlfn.XLOOKUP(K601,'Fevereiro 2023 - Valor Real'!A3:A15,'Fevereiro 2023 - Valor Real'!C3:C15,0))+1)+((L602/(L602-1)-1)*(1-_xlfn.XLOOKUP(K602,'Fevereiro 2023 - Valor Real'!A3:A15,'Fevereiro 2023 - Valor Real'!C3:C15,0))+1)),((L602-1)*(1-_xlfn.XLOOKUP(K602,'Fevereiro 2023 - Valor Real'!A3:A15,'Fevereiro 2023 - Valor Real'!C3:C15,0))+1)/(((L602-1)*(1-_xlfn.XLOOKUP(K602,'Fevereiro 2023 - Valor Real'!A3:A15,'Fevereiro 2023 - Valor Real'!C3:C15,0))+1)+((L601-1)*(1-_xlfn.XLOOKUP(K601,'Fevereiro 2023 - Valor Real'!A3:A15,'Fevereiro 2023 - Valor Real'!C3:C15,0))+1))))))</f>
        <v>0.86116910229645094</v>
      </c>
      <c r="AF601" s="105">
        <f t="shared" si="1205"/>
        <v>0</v>
      </c>
      <c r="AG601" s="106">
        <f t="shared" si="1205"/>
        <v>0</v>
      </c>
      <c r="AH601" s="106">
        <f t="shared" si="1205"/>
        <v>0</v>
      </c>
      <c r="AI601" s="106">
        <f t="shared" si="1205"/>
        <v>0</v>
      </c>
      <c r="AJ601" s="106">
        <f t="shared" si="1205"/>
        <v>0</v>
      </c>
      <c r="AK601" s="106">
        <f t="shared" si="1205"/>
        <v>0</v>
      </c>
      <c r="AL601" s="106">
        <f t="shared" si="1205"/>
        <v>0</v>
      </c>
      <c r="AM601" s="106">
        <f t="shared" si="1205"/>
        <v>0</v>
      </c>
      <c r="AN601" s="106">
        <f t="shared" si="1205"/>
        <v>0</v>
      </c>
      <c r="AO601" s="106">
        <f t="shared" si="1205"/>
        <v>0</v>
      </c>
      <c r="AP601" s="106">
        <f t="shared" si="1205"/>
        <v>0</v>
      </c>
      <c r="AQ601" s="106">
        <f t="shared" si="1205"/>
        <v>0</v>
      </c>
      <c r="AR601" s="107">
        <f t="shared" si="1205"/>
        <v>0</v>
      </c>
      <c r="AS601" s="105">
        <f t="shared" ref="AS601:BE601" si="1216">IF(AND($B601=" ",$K601=AS$3),$O601,0)</f>
        <v>0</v>
      </c>
      <c r="AT601" s="106">
        <f t="shared" si="1216"/>
        <v>0</v>
      </c>
      <c r="AU601" s="106">
        <f t="shared" si="1216"/>
        <v>0</v>
      </c>
      <c r="AV601" s="106">
        <f t="shared" si="1216"/>
        <v>0</v>
      </c>
      <c r="AW601" s="106">
        <f t="shared" si="1216"/>
        <v>0</v>
      </c>
      <c r="AX601" s="106">
        <f t="shared" si="1216"/>
        <v>0</v>
      </c>
      <c r="AY601" s="108">
        <f t="shared" si="1216"/>
        <v>0</v>
      </c>
      <c r="AZ601" s="109">
        <f t="shared" si="1216"/>
        <v>0</v>
      </c>
      <c r="BA601" s="109">
        <f t="shared" si="1216"/>
        <v>0</v>
      </c>
      <c r="BB601" s="109">
        <f t="shared" si="1216"/>
        <v>0</v>
      </c>
      <c r="BC601" s="110">
        <f t="shared" si="1216"/>
        <v>0</v>
      </c>
      <c r="BD601" s="106">
        <f t="shared" si="1216"/>
        <v>0</v>
      </c>
      <c r="BE601" s="107">
        <f t="shared" si="1216"/>
        <v>0</v>
      </c>
      <c r="BF601" s="111">
        <f t="shared" si="1207"/>
        <v>0</v>
      </c>
      <c r="BG601" s="106">
        <f t="shared" si="1207"/>
        <v>0</v>
      </c>
      <c r="BH601" s="106">
        <f t="shared" si="1207"/>
        <v>0</v>
      </c>
      <c r="BI601" s="106">
        <f t="shared" si="1207"/>
        <v>0</v>
      </c>
      <c r="BJ601" s="106">
        <f t="shared" si="1207"/>
        <v>0</v>
      </c>
      <c r="BK601" s="106">
        <f t="shared" si="1207"/>
        <v>0</v>
      </c>
      <c r="BL601" s="106">
        <f t="shared" si="1207"/>
        <v>0</v>
      </c>
      <c r="BM601" s="108">
        <f t="shared" si="1207"/>
        <v>0</v>
      </c>
      <c r="BN601" s="109">
        <f t="shared" si="1207"/>
        <v>0</v>
      </c>
      <c r="BO601" s="109">
        <f t="shared" si="1207"/>
        <v>0</v>
      </c>
      <c r="BP601" s="109">
        <f t="shared" si="1207"/>
        <v>0</v>
      </c>
      <c r="BQ601" s="110">
        <f t="shared" si="1207"/>
        <v>0</v>
      </c>
      <c r="BR601" s="107">
        <f t="shared" si="1207"/>
        <v>0</v>
      </c>
      <c r="BS601" s="463">
        <f>IF($B601="LOSS",IF(AND($K601=BS$3,$C601="L"),-$O601,0)+IF(AND($K602=BS$3,$C602="L"),-$O602,0)+IF(AND($K603=BS$3,$C603="L"),-$O603,0),IF(OR(AND($K601=BS$3,OR($C601="W",$C601="1/2W")),AND($K602=BS$3,OR($C602="W",$C602="1/2W")),AND($K603=BS$3,OR($C603="W",$C603="1/2W"))),$S601,0))</f>
        <v>0</v>
      </c>
      <c r="BT601" s="462">
        <f>IF($B601="LOSS",IF(AND($K601=BT$3,$C601="L"),-$O601,0)+IF(AND($K602=BT$3,$C602="L"),-$O602,0)+IF(AND($K602=BT$3,$C603="L"),-$O603,0),IF(OR(AND($K602=BT$3,OR($C601="W",$C601="1/2W")),AND($K602=BT$3,OR($C602="W",$C602="1/2W")),AND($K602=BT$3,OR($C603="W",$C603="1/2W"))),$S601,0))</f>
        <v>0</v>
      </c>
      <c r="BU601" s="462">
        <f>IF($B601="LOSS",IF(AND($K601=BU$3,$C601="L"),-$O601,0)+IF(AND($K602=BU$3,$C602="L"),-$O602,0)+IF(AND($K602=BU$3,$C603="L"),-$O603,0),IF(OR(AND($K602=BU$3,OR($C601="W",$C601="1/2W")),AND($K602=BU$3,OR($C602="W",$C602="1/2W")),AND($K602=BU$3,OR($C603="W",$C603="1/2W"))),$S601,0))</f>
        <v>0</v>
      </c>
      <c r="BV601" s="462">
        <f t="shared" ref="BV601:CE601" si="1217">IF($B601="LOSS",IF(AND($K601=BV$3,$C601="L"),-$O601,0)+IF(AND($K602=BV$3,$C602="L"),-$O602,0)+IF(AND($K603=BV$3,$C603="L"),-$O603,0),IF(OR(AND($K601=BV$3,OR($C601="W",$C601="1/2W")),AND($K602=BV$3,OR($C602="W",$C602="1/2W")),AND($K603=BV$3,OR($C603="W",$C603="1/2W"))),$S601,0))</f>
        <v>0</v>
      </c>
      <c r="BW601" s="462">
        <f t="shared" si="1217"/>
        <v>-1.55</v>
      </c>
      <c r="BX601" s="462">
        <f t="shared" si="1217"/>
        <v>0</v>
      </c>
      <c r="BY601" s="462">
        <f t="shared" si="1217"/>
        <v>0</v>
      </c>
      <c r="BZ601" s="460">
        <f t="shared" si="1217"/>
        <v>0</v>
      </c>
      <c r="CA601" s="460">
        <f t="shared" si="1217"/>
        <v>0</v>
      </c>
      <c r="CB601" s="460">
        <f t="shared" si="1217"/>
        <v>0</v>
      </c>
      <c r="CC601" s="460">
        <f t="shared" si="1217"/>
        <v>0</v>
      </c>
      <c r="CD601" s="473">
        <f t="shared" si="1217"/>
        <v>0</v>
      </c>
      <c r="CE601" s="479">
        <f t="shared" si="1217"/>
        <v>0</v>
      </c>
      <c r="CF601" s="113">
        <f t="shared" si="1156"/>
        <v>0</v>
      </c>
      <c r="CG601" s="114">
        <f t="shared" si="1157"/>
        <v>0</v>
      </c>
      <c r="CH601" s="114">
        <f t="shared" si="1158"/>
        <v>0</v>
      </c>
      <c r="CI601" s="114">
        <f t="shared" si="1159"/>
        <v>0</v>
      </c>
      <c r="CJ601" s="114">
        <f t="shared" si="1160"/>
        <v>0</v>
      </c>
      <c r="CK601" s="114">
        <f t="shared" si="1161"/>
        <v>0</v>
      </c>
      <c r="CL601" s="114">
        <f t="shared" si="1162"/>
        <v>0</v>
      </c>
      <c r="CM601" s="114">
        <f t="shared" si="1163"/>
        <v>0</v>
      </c>
      <c r="CN601" s="114">
        <f t="shared" si="1164"/>
        <v>0</v>
      </c>
      <c r="CO601" s="114">
        <f t="shared" si="1165"/>
        <v>0</v>
      </c>
      <c r="CP601" s="114">
        <f t="shared" si="1166"/>
        <v>0</v>
      </c>
      <c r="CQ601" s="114">
        <f t="shared" si="1167"/>
        <v>0</v>
      </c>
      <c r="CR601" s="114">
        <f t="shared" si="1168"/>
        <v>0</v>
      </c>
      <c r="CS601" s="114">
        <f t="shared" si="1169"/>
        <v>0</v>
      </c>
      <c r="CT601" s="115">
        <f t="shared" si="1170"/>
        <v>0</v>
      </c>
      <c r="CU601" s="116">
        <f t="shared" si="1171"/>
        <v>0</v>
      </c>
      <c r="CV601" s="116">
        <f t="shared" si="1172"/>
        <v>0</v>
      </c>
      <c r="CW601" s="116">
        <f t="shared" si="1173"/>
        <v>0</v>
      </c>
      <c r="CX601" s="116">
        <f t="shared" si="1174"/>
        <v>0</v>
      </c>
      <c r="CY601" s="116">
        <f t="shared" si="1175"/>
        <v>0</v>
      </c>
      <c r="CZ601" s="116">
        <f t="shared" si="1176"/>
        <v>0</v>
      </c>
      <c r="DA601" s="116">
        <f t="shared" si="1177"/>
        <v>0</v>
      </c>
      <c r="DB601" s="116">
        <f t="shared" si="1178"/>
        <v>0</v>
      </c>
      <c r="DC601" s="116">
        <f t="shared" si="1179"/>
        <v>0</v>
      </c>
      <c r="DD601" s="116">
        <f t="shared" si="1180"/>
        <v>0</v>
      </c>
      <c r="DE601" s="117">
        <f t="shared" si="1181"/>
        <v>0</v>
      </c>
      <c r="DF601" s="118">
        <f t="shared" si="1183"/>
        <v>36</v>
      </c>
      <c r="DG601" s="106">
        <f t="shared" si="1184"/>
        <v>47.227999999999994</v>
      </c>
      <c r="DH601" s="116">
        <f t="shared" si="1185"/>
        <v>14</v>
      </c>
      <c r="DI601" s="106">
        <f t="shared" si="1186"/>
        <v>60.05</v>
      </c>
      <c r="DJ601" s="201" t="str">
        <f>IF($D601="","",$D601)</f>
        <v>20</v>
      </c>
      <c r="DK601" s="465">
        <f>IF(AND($B601=" ",$D601&lt;&gt;""),1,0)</f>
        <v>0</v>
      </c>
    </row>
    <row r="602" spans="1:115" ht="14.5" customHeight="1" x14ac:dyDescent="0.2">
      <c r="A602" s="389"/>
      <c r="B602" s="456"/>
      <c r="C602" s="120" t="s">
        <v>55</v>
      </c>
      <c r="D602" s="374"/>
      <c r="E602" s="386"/>
      <c r="F602" s="377"/>
      <c r="G602" s="483"/>
      <c r="H602" s="476"/>
      <c r="I602" s="178">
        <v>2</v>
      </c>
      <c r="J602" s="179" t="str">
        <f>IF(OR(I601="TO",I601="TU",I601="TO1",I601="TU1",I601="TO2",I601="TU2"),J601,IF(OR(I601="AH1",I601="AH2"),IF(OR(I602="AH1",I602="AH2"),-J601,IF(OR(I602="EH1",I602="EH2"),-J601+0.5,"")),IF(OR(I601="EH1",I601="EH2"),IF(OR(I602="AH1",I602="AH2"),-J601+0.5,IF(OR(I602="EH1",I602="EH2"),-J601+1,"")),IF(AND(OR(I601="DNB1",I601="DNB2"),OR(I602="AH1",I602="AH2")),0,IF(AND(I601="Not ScoreBoth",OR(I602="TO1",I602="TO2")),0.5,"")))))</f>
        <v/>
      </c>
      <c r="K602" s="123" t="s">
        <v>40</v>
      </c>
      <c r="L602" s="124">
        <v>8.25</v>
      </c>
      <c r="M602" s="125">
        <v>1.55</v>
      </c>
      <c r="N602" s="406"/>
      <c r="O602" s="126">
        <f>IF(OR(AE601="",AE602=""),"",ROUND(IF(L603&gt;0,IF(M602&gt;0,M602,IF(M601&gt;0,IF(N601=TRUE,ROUND((M601*AE602)/AE601,0),(M601*AE602)/AE601),IF(M602&gt;0,ROUND(M602,IF(N601=0,2,IF(N601=0.1,1,0))),IF(M603&gt;0,ROUND(O603*AE602/AE603,IF(N601=0,2,IF(N601=0.1,1,0))),0)))),IF(M602&gt;0,M602,ROUND((M601*AE602)/AE601,IF(N601=0,2,IF(N601=0.1,1,0))))),2))</f>
        <v>1.55</v>
      </c>
      <c r="P602" s="127">
        <f>IF(OR(L602="",O602=""),"",IF($C602="1/2W",O602/2+O602/2*L602,IF($C602="1/2L",O602/2,IF(I602="Lay",((O602*(L602/(L602-1)))-O602)*(1-_xlfn.XLOOKUP(K602,'Fevereiro 2023 - Valor Real'!A3:A15,'Fevereiro 2023 - Valor Real'!C3:C15,0))+O602,(O602*L602-O602)*(1-_xlfn.XLOOKUP(K602,'Fevereiro 2023 - Valor Real'!A3:A15,'Fevereiro 2023 - Valor Real'!C3:C15,0))+O602))))</f>
        <v>12.7875</v>
      </c>
      <c r="Q602" s="128">
        <f>IF(K602="","",IF(_xlfn.XLOOKUP(K602,K$4:K601,$DJ$4:DJ601,0,,-1)=DJ602,_xlfn.XLOOKUP(K602,K$4:K601,Q$4:Q601,1,,-1)+1,1))</f>
        <v>1</v>
      </c>
      <c r="R602" s="129">
        <f>IF(K602="","",_xlfn.XLOOKUP(K602,K$4:K601,R$4:R601,0,,-1)+IF($C602=" ",1,0))</f>
        <v>0</v>
      </c>
      <c r="S602" s="403"/>
      <c r="T602" s="380"/>
      <c r="U602" s="380"/>
      <c r="V602" s="481"/>
      <c r="W602" s="380"/>
      <c r="X602" s="452"/>
      <c r="Y602" s="383"/>
      <c r="Z602" s="384"/>
      <c r="AA602" s="384"/>
      <c r="AB602" s="384"/>
      <c r="AC602" s="384"/>
      <c r="AD602" s="130">
        <f>(((L602/(L602-1)-1)*(1-_xlfn.XLOOKUP(K602,'Fevereiro 2023 - Valor Real'!A3:A15,'Fevereiro 2023 - Valor Real'!C3:C15,0))+1))</f>
        <v>1.1379310344827587</v>
      </c>
      <c r="AE602" s="131">
        <f>IF(L602="","",IF(L603&gt;0,(SUM(((L601-1)*(1-_xlfn.XLOOKUP(K601,'Fevereiro 2023 - Valor Real'!A3:A15,'Fevereiro 2023 - Valor Real'!C3:C15,0))+1),((L602-1)*(1-_xlfn.XLOOKUP(K602,'Fevereiro 2023 - Valor Real'!A3:A15,'Fevereiro 2023 - Valor Real'!C3:C15,0))+1),((L603-1)*(1-_xlfn.XLOOKUP(K603,'Fevereiro 2023 - Valor Real'!A3:A15,'Fevereiro 2023 - Valor Real'!C3:C15,0))+1))/((L602-1)*(1-_xlfn.XLOOKUP(K602,'Fevereiro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Real'!C3:C15,0))+1))/((L601-1)*(1-_xlfn.XLOOKUP(K601,'Fevereiro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Real'!C3:C15,0))+1))/((L602-1)*(1-_xlfn.XLOOKUP(K602,'Fevereiro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Real'!C3:C15,0))+1))/((L603-1)*(1-_xlfn.XLOOKUP(K603,'Fevereiro 2023 - Valor Real'!A3:A15,'Fevereiro 2023 - Valor Real'!C3:C15,0))+1)),IF(I602="Lay",IF(I601="Lay",((L601/(L601-1)-1)*(1-_xlfn.XLOOKUP(K601,'Fevereiro 2023 - Valor Real'!A3:A15,'Fevereiro 2023 - Valor Real'!C3:C15,0))+1)/(((L601/(L601-1)-1)*(1-_xlfn.XLOOKUP(K601,'Fevereiro 2023 - Valor Real'!A3:A15,'Fevereiro 2023 - Valor Real'!C3:C15,0))+1)+((L602/(L602-1)-1)*(1-_xlfn.XLOOKUP(K602,'Fevereiro 2023 - Valor Real'!A3:A15,'Fevereiro 2023 - Valor Real'!C3:C15,0))+1)),((L601-1)*(1-_xlfn.XLOOKUP(K601,'Fevereiro 2023 - Valor Real'!A3:A15,'Fevereiro 2023 - Valor Real'!C3:C15,0))+1)/(((L601-1)*(1-_xlfn.XLOOKUP(K601,'Fevereiro 2023 - Valor Real'!A3:A15,'Fevereiro 2023 - Valor Real'!C3:C15,0))+1)+((L602/(L602-1)-1)*(1-_xlfn.XLOOKUP(K602,'Fevereiro 2023 - Valor Real'!A3:A15,'Fevereiro 2023 - Valor Real'!C3:C15,0))+1))),IF(I601="Lay",((L601/(L601-1)-1)*(1-_xlfn.XLOOKUP(K601,'Fevereiro 2023 - Valor Real'!A3:A15,'Fevereiro 2023 - Valor Real'!C3:C15,0))+1)/((((L601/(L601-1)-1)*(1-_xlfn.XLOOKUP(K601,'Fevereiro 2023 - Valor Real'!A3:A15,'Fevereiro 2023 - Valor Real'!C3:C15,0))+1))+((L602-1)*(1-_xlfn.XLOOKUP(K602,'Fevereiro 2023 - Valor Real'!A3:A15,'Fevereiro 2023 - Valor Real'!C3:C15,0))+1)),((L601-1)*(1-_xlfn.XLOOKUP(K601,'Fevereiro 2023 - Valor Real'!A3:A15,'Fevereiro 2023 - Valor Real'!C3:C15,0))+1)/(((L601-1)*(1-_xlfn.XLOOKUP(K601,'Fevereiro 2023 - Valor Real'!A3:A15,'Fevereiro 2023 - Valor Real'!C3:C15,0))+1)+((L602-1)*(1-_xlfn.XLOOKUP(K602,'Fevereiro 2023 - Valor Real'!A3:A15,'Fevereiro 2023 - Valor Real'!C3:C15,0))+1))))))</f>
        <v>0.13883089770354906</v>
      </c>
      <c r="AF602" s="105">
        <f t="shared" si="1205"/>
        <v>0</v>
      </c>
      <c r="AG602" s="106">
        <f t="shared" si="1205"/>
        <v>0</v>
      </c>
      <c r="AH602" s="106">
        <f t="shared" si="1205"/>
        <v>0</v>
      </c>
      <c r="AI602" s="106">
        <f t="shared" si="1205"/>
        <v>0</v>
      </c>
      <c r="AJ602" s="106">
        <f t="shared" si="1205"/>
        <v>-1.55</v>
      </c>
      <c r="AK602" s="106">
        <f t="shared" si="1205"/>
        <v>0</v>
      </c>
      <c r="AL602" s="106">
        <f t="shared" si="1205"/>
        <v>0</v>
      </c>
      <c r="AM602" s="106">
        <f t="shared" si="1205"/>
        <v>0</v>
      </c>
      <c r="AN602" s="106">
        <f t="shared" si="1205"/>
        <v>0</v>
      </c>
      <c r="AO602" s="106">
        <f t="shared" si="1205"/>
        <v>0</v>
      </c>
      <c r="AP602" s="106">
        <f t="shared" si="1205"/>
        <v>0</v>
      </c>
      <c r="AQ602" s="106">
        <f t="shared" si="1205"/>
        <v>0</v>
      </c>
      <c r="AR602" s="107">
        <f t="shared" si="1205"/>
        <v>0</v>
      </c>
      <c r="AS602" s="105">
        <f>IF(AND($B601=" ",$K602=AS$3),$O602,0)</f>
        <v>0</v>
      </c>
      <c r="AT602" s="106">
        <f>IF(AND($B601=" ",K602=AT$3),$O602,0)</f>
        <v>0</v>
      </c>
      <c r="AU602" s="106">
        <f t="shared" ref="AU602:BE602" si="1218">IF(AND($B601=" ",$K602=AU$3),$O602,0)</f>
        <v>0</v>
      </c>
      <c r="AV602" s="106">
        <f t="shared" si="1218"/>
        <v>0</v>
      </c>
      <c r="AW602" s="106">
        <f t="shared" si="1218"/>
        <v>0</v>
      </c>
      <c r="AX602" s="106">
        <f t="shared" si="1218"/>
        <v>0</v>
      </c>
      <c r="AY602" s="108">
        <f t="shared" si="1218"/>
        <v>0</v>
      </c>
      <c r="AZ602" s="109">
        <f t="shared" si="1218"/>
        <v>0</v>
      </c>
      <c r="BA602" s="109">
        <f t="shared" si="1218"/>
        <v>0</v>
      </c>
      <c r="BB602" s="109">
        <f t="shared" si="1218"/>
        <v>0</v>
      </c>
      <c r="BC602" s="110">
        <f t="shared" si="1218"/>
        <v>0</v>
      </c>
      <c r="BD602" s="106">
        <f t="shared" si="1218"/>
        <v>0</v>
      </c>
      <c r="BE602" s="107">
        <f t="shared" si="1218"/>
        <v>0</v>
      </c>
      <c r="BF602" s="105">
        <f t="shared" si="1207"/>
        <v>0</v>
      </c>
      <c r="BG602" s="106">
        <f t="shared" si="1207"/>
        <v>0</v>
      </c>
      <c r="BH602" s="106">
        <f t="shared" si="1207"/>
        <v>0</v>
      </c>
      <c r="BI602" s="106">
        <f t="shared" si="1207"/>
        <v>0</v>
      </c>
      <c r="BJ602" s="106">
        <f t="shared" si="1207"/>
        <v>1.55</v>
      </c>
      <c r="BK602" s="106">
        <f t="shared" si="1207"/>
        <v>0</v>
      </c>
      <c r="BL602" s="106">
        <f t="shared" si="1207"/>
        <v>0</v>
      </c>
      <c r="BM602" s="132">
        <f t="shared" si="1207"/>
        <v>0</v>
      </c>
      <c r="BN602" s="112">
        <f t="shared" si="1207"/>
        <v>0</v>
      </c>
      <c r="BO602" s="112">
        <f t="shared" si="1207"/>
        <v>0</v>
      </c>
      <c r="BP602" s="112">
        <f t="shared" si="1207"/>
        <v>0</v>
      </c>
      <c r="BQ602" s="110">
        <f t="shared" si="1207"/>
        <v>0</v>
      </c>
      <c r="BR602" s="107">
        <f t="shared" si="1207"/>
        <v>0</v>
      </c>
      <c r="BS602" s="464"/>
      <c r="BT602" s="461"/>
      <c r="BU602" s="392"/>
      <c r="BV602" s="461"/>
      <c r="BW602" s="392"/>
      <c r="BX602" s="392"/>
      <c r="BY602" s="392"/>
      <c r="BZ602" s="461"/>
      <c r="CA602" s="392"/>
      <c r="CB602" s="392"/>
      <c r="CC602" s="392"/>
      <c r="CD602" s="401"/>
      <c r="CE602" s="409"/>
      <c r="CF602" s="133">
        <f t="shared" si="1156"/>
        <v>0</v>
      </c>
      <c r="CG602" s="134">
        <f t="shared" si="1157"/>
        <v>0</v>
      </c>
      <c r="CH602" s="134">
        <f t="shared" si="1158"/>
        <v>0</v>
      </c>
      <c r="CI602" s="134">
        <f t="shared" si="1159"/>
        <v>0</v>
      </c>
      <c r="CJ602" s="134">
        <f t="shared" si="1160"/>
        <v>0</v>
      </c>
      <c r="CK602" s="134">
        <f t="shared" si="1161"/>
        <v>0</v>
      </c>
      <c r="CL602" s="134">
        <f t="shared" si="1162"/>
        <v>0</v>
      </c>
      <c r="CM602" s="134">
        <f t="shared" si="1163"/>
        <v>0</v>
      </c>
      <c r="CN602" s="134">
        <f t="shared" si="1164"/>
        <v>0</v>
      </c>
      <c r="CO602" s="134">
        <f t="shared" si="1165"/>
        <v>1</v>
      </c>
      <c r="CP602" s="134">
        <f t="shared" si="1166"/>
        <v>0</v>
      </c>
      <c r="CQ602" s="134">
        <f t="shared" si="1167"/>
        <v>0</v>
      </c>
      <c r="CR602" s="134">
        <f t="shared" si="1168"/>
        <v>0</v>
      </c>
      <c r="CS602" s="134">
        <f t="shared" si="1169"/>
        <v>0</v>
      </c>
      <c r="CT602" s="115">
        <f t="shared" si="1170"/>
        <v>0</v>
      </c>
      <c r="CU602" s="116">
        <f t="shared" si="1171"/>
        <v>0</v>
      </c>
      <c r="CV602" s="116">
        <f t="shared" si="1172"/>
        <v>0</v>
      </c>
      <c r="CW602" s="116">
        <f t="shared" si="1173"/>
        <v>0</v>
      </c>
      <c r="CX602" s="116">
        <f t="shared" si="1174"/>
        <v>0</v>
      </c>
      <c r="CY602" s="116">
        <f t="shared" si="1175"/>
        <v>0</v>
      </c>
      <c r="CZ602" s="116">
        <f t="shared" si="1176"/>
        <v>0</v>
      </c>
      <c r="DA602" s="116">
        <f t="shared" si="1177"/>
        <v>0</v>
      </c>
      <c r="DB602" s="116">
        <f t="shared" si="1178"/>
        <v>0</v>
      </c>
      <c r="DC602" s="116">
        <f t="shared" si="1179"/>
        <v>0</v>
      </c>
      <c r="DD602" s="116">
        <f t="shared" si="1180"/>
        <v>0</v>
      </c>
      <c r="DE602" s="117">
        <f t="shared" si="1181"/>
        <v>0</v>
      </c>
      <c r="DF602" s="118">
        <f t="shared" si="1183"/>
        <v>36</v>
      </c>
      <c r="DG602" s="106">
        <f t="shared" si="1184"/>
        <v>47.227999999999994</v>
      </c>
      <c r="DH602" s="116">
        <f t="shared" si="1185"/>
        <v>14</v>
      </c>
      <c r="DI602" s="106">
        <f t="shared" si="1186"/>
        <v>60.05</v>
      </c>
      <c r="DJ602" s="201" t="str">
        <f>IF($D601="","",$D601)</f>
        <v>20</v>
      </c>
      <c r="DK602" s="466"/>
    </row>
    <row r="603" spans="1:115" ht="14.5" customHeight="1" x14ac:dyDescent="0.2">
      <c r="A603" s="390"/>
      <c r="B603" s="457"/>
      <c r="C603" s="135" t="s">
        <v>53</v>
      </c>
      <c r="D603" s="375"/>
      <c r="E603" s="387"/>
      <c r="F603" s="378"/>
      <c r="G603" s="484"/>
      <c r="H603" s="477"/>
      <c r="I603" s="136"/>
      <c r="J603" s="137"/>
      <c r="K603" s="138"/>
      <c r="L603" s="139"/>
      <c r="M603" s="140"/>
      <c r="N603" s="407"/>
      <c r="O603" s="141" t="str">
        <f>IF(OR(AE601="",AE602=""),"",IF(L603&gt;0,ROUND(IF(M603&gt;0,M603,IF(M601&gt;0,ROUND((M601*AE603)/AE601,IF(N601=0,2,IF(N601=0.1,1,0))),IF(M602&gt;0,ROUND((M602*AE603)/AE602,IF(N601=0,2,IF(N601=0.1,1,0))),IF(M603&gt;0,M603,0)))),2),""))</f>
        <v/>
      </c>
      <c r="P603" s="142" t="str">
        <f>IF(I602="Lay",O602*(L602/(L602-1))-O602,IF(I601="Lay",O601*(L601/(L601-1))-O601,IF(OR(L603="",O603=""),"",IF($C603="1/2W",O603/2+O603/2*L603,IF($C603="1/2L",O603/2,(O603*L603-O603)*(1-_xlfn.XLOOKUP(K603,'Fevereiro 2023 - Valor Real'!A3:A15,'Fevereiro 2023 - Valor Real'!C3:C15,0))+O603)))))</f>
        <v/>
      </c>
      <c r="Q603" s="143" t="str">
        <f>IF(K603="","",IF(_xlfn.XLOOKUP(K603,K$4:K602,$DJ$4:DJ602,0,,-1)=DJ603,_xlfn.XLOOKUP(K603,K$4:K602,Q$4:Q602,1,,-1)+1,1))</f>
        <v/>
      </c>
      <c r="R603" s="144" t="str">
        <f>IF(K603="","",_xlfn.XLOOKUP(K603,K$4:K602,R$4:R602,0,,-1)+IF($C603=" ",1,0))</f>
        <v/>
      </c>
      <c r="S603" s="404"/>
      <c r="T603" s="378"/>
      <c r="U603" s="378"/>
      <c r="V603" s="404"/>
      <c r="W603" s="378"/>
      <c r="X603" s="453"/>
      <c r="Y603" s="383"/>
      <c r="Z603" s="384"/>
      <c r="AA603" s="384"/>
      <c r="AB603" s="384"/>
      <c r="AC603" s="384"/>
      <c r="AD603" s="145">
        <f>((L602/(L602-1)-1))</f>
        <v>0.13793103448275867</v>
      </c>
      <c r="AE603" s="146" t="str">
        <f>IF(L603="","",(SUM(((L601-1)*(1-_xlfn.XLOOKUP(K601,'Fevereiro 2023 - Valor Real'!A3:A15,'Fevereiro 2023 - Valor Real'!C3:C15,0))+1),((L602-1)*(1-_xlfn.XLOOKUP(K602,'Fevereiro 2023 - Valor Real'!A3:A15,'Fevereiro 2023 - Valor Real'!C3:C15,0))+1),((L603-1)*(1-_xlfn.XLOOKUP(K603,'Fevereiro 2023 - Valor Real'!A3:A15,'Fevereiro 2023 - Valor Real'!C3:C15,0))+1))/((L603-1)*(1-_xlfn.XLOOKUP(K603,'Fevereiro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Real'!C3:C15,0))+1))/((L601-1)*(1-_xlfn.XLOOKUP(K601,'Fevereiro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Real'!C3:C15,0))+1))/((L602-1)*(1-_xlfn.XLOOKUP(K602,'Fevereiro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Real'!C3:C15,0))+1))/((L603-1)*(1-_xlfn.XLOOKUP(K603,'Fevereiro 2023 - Valor Real'!A3:A15,'Fevereiro 2023 - Valor Real'!C3:C15,0))+1)))</f>
        <v/>
      </c>
      <c r="AF603" s="105">
        <f t="shared" si="1205"/>
        <v>0</v>
      </c>
      <c r="AG603" s="106">
        <f t="shared" si="1205"/>
        <v>0</v>
      </c>
      <c r="AH603" s="106">
        <f t="shared" si="1205"/>
        <v>0</v>
      </c>
      <c r="AI603" s="106">
        <f t="shared" si="1205"/>
        <v>0</v>
      </c>
      <c r="AJ603" s="106">
        <f t="shared" si="1205"/>
        <v>0</v>
      </c>
      <c r="AK603" s="106">
        <f t="shared" si="1205"/>
        <v>0</v>
      </c>
      <c r="AL603" s="106">
        <f t="shared" si="1205"/>
        <v>0</v>
      </c>
      <c r="AM603" s="106">
        <f t="shared" si="1205"/>
        <v>0</v>
      </c>
      <c r="AN603" s="106">
        <f t="shared" si="1205"/>
        <v>0</v>
      </c>
      <c r="AO603" s="106">
        <f t="shared" si="1205"/>
        <v>0</v>
      </c>
      <c r="AP603" s="106">
        <f t="shared" si="1205"/>
        <v>0</v>
      </c>
      <c r="AQ603" s="106">
        <f t="shared" si="1205"/>
        <v>0</v>
      </c>
      <c r="AR603" s="107">
        <f t="shared" si="1205"/>
        <v>0</v>
      </c>
      <c r="AS603" s="105">
        <f>IF(AND($B601=" ",$K603=AS$3),$O603,0)</f>
        <v>0</v>
      </c>
      <c r="AT603" s="106">
        <f>IF(AND($B601=" ",K603=AT$3),$O603,0)</f>
        <v>0</v>
      </c>
      <c r="AU603" s="106">
        <f t="shared" ref="AU603:BE603" si="1219">IF(AND($B601=" ",$K603=AU$3),$O603,0)</f>
        <v>0</v>
      </c>
      <c r="AV603" s="106">
        <f t="shared" si="1219"/>
        <v>0</v>
      </c>
      <c r="AW603" s="106">
        <f t="shared" si="1219"/>
        <v>0</v>
      </c>
      <c r="AX603" s="106">
        <f t="shared" si="1219"/>
        <v>0</v>
      </c>
      <c r="AY603" s="108">
        <f t="shared" si="1219"/>
        <v>0</v>
      </c>
      <c r="AZ603" s="109">
        <f t="shared" si="1219"/>
        <v>0</v>
      </c>
      <c r="BA603" s="109">
        <f t="shared" si="1219"/>
        <v>0</v>
      </c>
      <c r="BB603" s="109">
        <f t="shared" si="1219"/>
        <v>0</v>
      </c>
      <c r="BC603" s="110">
        <f t="shared" si="1219"/>
        <v>0</v>
      </c>
      <c r="BD603" s="106">
        <f t="shared" si="1219"/>
        <v>0</v>
      </c>
      <c r="BE603" s="107">
        <f t="shared" si="1219"/>
        <v>0</v>
      </c>
      <c r="BF603" s="105">
        <f t="shared" si="1207"/>
        <v>0</v>
      </c>
      <c r="BG603" s="106">
        <f t="shared" si="1207"/>
        <v>0</v>
      </c>
      <c r="BH603" s="106">
        <f t="shared" si="1207"/>
        <v>0</v>
      </c>
      <c r="BI603" s="106">
        <f t="shared" si="1207"/>
        <v>0</v>
      </c>
      <c r="BJ603" s="106">
        <f t="shared" si="1207"/>
        <v>0</v>
      </c>
      <c r="BK603" s="106">
        <f t="shared" si="1207"/>
        <v>0</v>
      </c>
      <c r="BL603" s="106">
        <f t="shared" si="1207"/>
        <v>0</v>
      </c>
      <c r="BM603" s="108">
        <f t="shared" si="1207"/>
        <v>0</v>
      </c>
      <c r="BN603" s="109">
        <f t="shared" si="1207"/>
        <v>0</v>
      </c>
      <c r="BO603" s="109">
        <f t="shared" si="1207"/>
        <v>0</v>
      </c>
      <c r="BP603" s="109">
        <f t="shared" si="1207"/>
        <v>0</v>
      </c>
      <c r="BQ603" s="110">
        <f t="shared" si="1207"/>
        <v>0</v>
      </c>
      <c r="BR603" s="107">
        <f t="shared" si="1207"/>
        <v>0</v>
      </c>
      <c r="BS603" s="464"/>
      <c r="BT603" s="461"/>
      <c r="BU603" s="392"/>
      <c r="BV603" s="461"/>
      <c r="BW603" s="392"/>
      <c r="BX603" s="392"/>
      <c r="BY603" s="392"/>
      <c r="BZ603" s="461"/>
      <c r="CA603" s="392"/>
      <c r="CB603" s="392"/>
      <c r="CC603" s="392"/>
      <c r="CD603" s="401"/>
      <c r="CE603" s="409"/>
      <c r="CF603" s="133">
        <f t="shared" si="1156"/>
        <v>0</v>
      </c>
      <c r="CG603" s="134">
        <f t="shared" si="1157"/>
        <v>0</v>
      </c>
      <c r="CH603" s="134">
        <f t="shared" si="1158"/>
        <v>0</v>
      </c>
      <c r="CI603" s="134">
        <f t="shared" si="1159"/>
        <v>0</v>
      </c>
      <c r="CJ603" s="134">
        <f t="shared" si="1160"/>
        <v>0</v>
      </c>
      <c r="CK603" s="134">
        <f t="shared" si="1161"/>
        <v>0</v>
      </c>
      <c r="CL603" s="134">
        <f t="shared" si="1162"/>
        <v>0</v>
      </c>
      <c r="CM603" s="134">
        <f t="shared" si="1163"/>
        <v>0</v>
      </c>
      <c r="CN603" s="134">
        <f t="shared" si="1164"/>
        <v>0</v>
      </c>
      <c r="CO603" s="134">
        <f t="shared" si="1165"/>
        <v>0</v>
      </c>
      <c r="CP603" s="134">
        <f t="shared" si="1166"/>
        <v>0</v>
      </c>
      <c r="CQ603" s="134">
        <f t="shared" si="1167"/>
        <v>0</v>
      </c>
      <c r="CR603" s="134">
        <f t="shared" si="1168"/>
        <v>0</v>
      </c>
      <c r="CS603" s="134">
        <f t="shared" si="1169"/>
        <v>0</v>
      </c>
      <c r="CT603" s="115">
        <f t="shared" si="1170"/>
        <v>0</v>
      </c>
      <c r="CU603" s="116">
        <f t="shared" si="1171"/>
        <v>0</v>
      </c>
      <c r="CV603" s="116">
        <f t="shared" si="1172"/>
        <v>0</v>
      </c>
      <c r="CW603" s="116">
        <f t="shared" si="1173"/>
        <v>0</v>
      </c>
      <c r="CX603" s="116">
        <f t="shared" si="1174"/>
        <v>0</v>
      </c>
      <c r="CY603" s="116">
        <f t="shared" si="1175"/>
        <v>0</v>
      </c>
      <c r="CZ603" s="116">
        <f t="shared" si="1176"/>
        <v>0</v>
      </c>
      <c r="DA603" s="116">
        <f t="shared" si="1177"/>
        <v>0</v>
      </c>
      <c r="DB603" s="116">
        <f t="shared" si="1178"/>
        <v>0</v>
      </c>
      <c r="DC603" s="116">
        <f t="shared" si="1179"/>
        <v>0</v>
      </c>
      <c r="DD603" s="116">
        <f t="shared" si="1180"/>
        <v>0</v>
      </c>
      <c r="DE603" s="117">
        <f t="shared" si="1181"/>
        <v>0</v>
      </c>
      <c r="DF603" s="118">
        <f t="shared" si="1183"/>
        <v>36</v>
      </c>
      <c r="DG603" s="106">
        <f t="shared" si="1184"/>
        <v>47.227999999999994</v>
      </c>
      <c r="DH603" s="116">
        <f t="shared" si="1185"/>
        <v>14</v>
      </c>
      <c r="DI603" s="106">
        <f t="shared" si="1186"/>
        <v>60.05</v>
      </c>
      <c r="DJ603" s="201" t="str">
        <f>IF($D601="","",$D601)</f>
        <v>20</v>
      </c>
      <c r="DK603" s="466"/>
    </row>
    <row r="604" spans="1:115" ht="14.5" customHeight="1" x14ac:dyDescent="0.2">
      <c r="A604" s="487">
        <f>$A601+1</f>
        <v>201</v>
      </c>
      <c r="B604" s="506" t="str">
        <f>IF(OR(C604="W",C605="W",C606="W",C604="1/2W",C605="1/2W",C606="1/2W",C604="1/2L",C605="1/2L",C606="1/2L"),"OK",IF(OR(C604="L",C605="L",C606="L"),"LOSS",IF(OR(C604="X",C605="X",C606="X"),"Anulado"," ")))</f>
        <v>OK</v>
      </c>
      <c r="C604" s="147" t="s">
        <v>55</v>
      </c>
      <c r="D604" s="494" t="str">
        <f>IF(G604="","",$D601)</f>
        <v>20</v>
      </c>
      <c r="E604" s="511" t="str">
        <f>IF(G604=""," ","– "&amp;COUNTIF(D$4:D606,$D604))</f>
        <v>– 2</v>
      </c>
      <c r="F604" s="510" t="str">
        <f ca="1">IF(G604="","",IF(OR(AND($C604&lt;&gt;" ",$C605=" "),AND($C605&lt;&gt;" ",$C604=" "),AND(L606&gt;0,OR(AND($C606&lt;&gt;" ",OR($C604=" ",$C605=" ")),AND($C606=" ",OR($C604&lt;&gt;" ",$C605&lt;&gt;" "))))),IF(SUM(F$4:F603)=0,1,LARGE(F$4:F603,1)+1),IF(MONTH(G604)=MONTH(TODAY()),IF(AND(DAY(G604)&lt;DAY(TODAY()),$B604=" "),IF(SUM(F$4:F603)=0,1,LARGE(F$4:F603,1)+1),IF($B604=" ",IF(AND(DAY(G604)=DAY(TODAY()),HOUR(G604)&lt;=HOUR(NOW())+1),IF(AND(HOUR(G604)+2&lt;=HOUR(NOW()),DAY(G604)&lt;=DAY(TODAY()),MINUTE(G604)&lt;=MINUTE(NOW())),IF(SUM(F$4:F603)=0,1,LARGE(F$4:F603,1)+1),IF(OR(MINUTE(G604)&lt;=MINUTE(NOW()),HOUR(G604)&lt;=HOUR(NOW())),"!!!","")),""),"")),"")))</f>
        <v/>
      </c>
      <c r="G604" s="508">
        <f>IF(H604="","",_xlfn.XLOOKUP(H604,$H$4:H603,$G$4:G603,""))</f>
        <v>45006.416666666664</v>
      </c>
      <c r="H604" s="502" t="s">
        <v>223</v>
      </c>
      <c r="I604" s="148">
        <v>1</v>
      </c>
      <c r="J604" s="149"/>
      <c r="K604" s="150" t="s">
        <v>40</v>
      </c>
      <c r="L604" s="151">
        <v>1.86</v>
      </c>
      <c r="M604" s="152">
        <v>13.08</v>
      </c>
      <c r="N604" s="503">
        <v>0</v>
      </c>
      <c r="O604" s="153">
        <f>IF(OR(AE604="",AE605=""),"",ROUND(IF(L606&gt;0,IF(M604&gt;0,M604,IF(M605&gt;0,ROUND((M605*AE604)/AE605,IF(N604=0,2,IF(N604=0.1,1,0))),ROUND((M606*AE604)/AE606,IF(N604=0,2,IF(N604=0.1,1,0))))),IF(M604&gt;0,M604,ROUND((M605*AE604)/AE605,IF(N604=0,2,IF(N604=0.1,1,0))))),2))</f>
        <v>13.08</v>
      </c>
      <c r="P604" s="154">
        <f>IF(OR(L604="",O604=""),"",IF($C604="1/2W",O604/2+O604/2*L604,IF($C604="1/2L",O604/2,IF(I604="Lay",(O604*(L604/(L604-1))-O604)*(1-_xlfn.XLOOKUP(K604,'Fevereiro 2023 - Valor Real'!A3:A15,'Fevereiro 2023 - Valor Real'!C3:C15,0))+O604,(O604*L604-O604)*(1-_xlfn.XLOOKUP(K604,'Fevereiro 2023 - Valor Real'!A3:A15,'Fevereiro 2023 - Valor Real'!C3:C15,0))+O604))))</f>
        <v>24.328800000000001</v>
      </c>
      <c r="Q604" s="155">
        <f>IF(K604="","",IF(_xlfn.XLOOKUP(K604,K$9:K596,$DJ$9:DJ596,0,,-1)=DJ604,_xlfn.XLOOKUP(K604,K$9:K596,Q$9:Q596,1,,-1)+1,1))</f>
        <v>1</v>
      </c>
      <c r="R604" s="156">
        <f>IF(K604="","",_xlfn.XLOOKUP(K604,K$9:K596,R$9:R596,0,,-1)+IF($C604=" ",1,0))</f>
        <v>0</v>
      </c>
      <c r="S604" s="501">
        <f>IF($B604="Anulado",0,ROUND(IF(OR($B604="LOSS",$B604="OK"),IF(OR($C604="W",$C604="1/2W",$C604="1/2L"),P604-O604,IF($C604="L",-O604,0))+IF(OR($C605="W",$C605="1/2W",$C605="1/2L"),P605-O605,IF($C605="L",-O605,0))+IF(OR($C606="W",$C606="1/2W",$C606="1/2L"),P606-O606,IF($C606="L",-O606,0)),IF(AND(OR($C604="W",$C604="1/2W",$C604="1/2L"),C605="W"),P604+P605-SUM(O604:O606)+_xlfn.XLOOKUP("X",C604:C606,O604:O606,0),IF(AND(C604=TRUE,C606="W"),P604+P606-SUM(O604:O606),IF(AND(C605="W",C606="W"),P605+P606-SUM(O604:O606)+_xlfn.XLOOKUP("X",C604:C606,O604:O606,0),IF(L606&gt;0,IF(OR($C604="W",$C604="1/2W",$C604="1/2L"),P604-SUM(O604:O606)+_xlfn.XLOOKUP("X",C604:C606,O604:O606,0),IF(OR($C604="W",$C604="1/2W",$C604="1/2L"),P605-SUM(O604:O606)+_xlfn.XLOOKUP("X",C604:C606,O604:O606,0),IF(OR($C604="W",$C604="1/2W",$C604="1/2L"),P606-SUM(O604:O606)+_xlfn.XLOOKUP("X",C604:C606,O604:O606,0),IF(SUM(P604:P606)/3-SUM(O604:O606)+_xlfn.XLOOKUP("X",C604:C606,O604:O606,0)&gt;0,SUM(P604:P606)/3-SUM(O604:O606)+_xlfn.XLOOKUP("X",C604:C606,O604:O606,0),LARGE(P604:P606,1)-SUM(O604:O606))))),IF(OR($C604="W",$C604="1/2W",$C604="1/2L"),P604-SUM(O604:O605)+_xlfn.XLOOKUP("X",C604:C606,O604:O606,0),IF(OR($C604="W",$C604="1/2W",$C604="1/2L"),P605-SUM(O604:O605)+_xlfn.XLOOKUP("X",C604:C606,O604:O606,0),SUM(P604:P605)/2-SUM(O604:O605)+_xlfn.XLOOKUP("X",C604:C606,O604:O606,0)))))))),2))</f>
        <v>-1.83</v>
      </c>
      <c r="T604" s="486">
        <f>IF(S604=0,0,S604/SUM(O604:O606))</f>
        <v>-6.9954128440366969E-2</v>
      </c>
      <c r="U604" s="496">
        <f>IF($D604=$D601,IF(OR($B604="LOSS",$B604="OK",$B604="Anulada"),S604,0)+U601,IF(OR($B604="LOSS",$B604="OK",$B604="Anulada"),S604,0))</f>
        <v>-3.38</v>
      </c>
      <c r="V604" s="496">
        <f>IF($D604="",0,IF($D604=$D601,IF($B604=" ",IF(I606="",IF(OR(AND(I604="DNB1",I605="DNB2"),AND(OR(I604="DNB1",I604="DNB2"),J605=0),AND(OR(I605="DNB1",I605="DNB2"),J604=0),AND(I604="DNB2",I605="DNB1"),AND(IF(J604=0,(J604+1)/ROUND(J604+1,0),J604/ROUND(J604,0))=1,IF(J605=0,(J605+1)/ROUND(IF(J605="",0,J605)+1,0),IF(J605="",0,J605)/ROUND(IF(J605="",1,J605),0))=1,OR(J604&lt;&gt;""),J605&lt;&gt;"")),0,IF(S604&lt;0,IF(I606="",SMALL(P604:P605,1)-SUM(O604:O605),0),SMALL(P604:P605,1)-SUM(O604:O605))),IF(S604&lt;0,IF(I606="",SMALL(P604:P606,1)-SUM(O604:O606),0),LARGE(P604:P606,1)-SUM(O604:O606))),S604)+V601,IF(I606="",IF(OR(AND(I604="DNB1",I605="DNB2"),AND(OR(I604="DNB1",I604="DNB2"),J605=0),AND(OR(I605="DNB1",I605="DNB2"),J604=0),AND(I604="DNB2",I605="DNB1"),AND(IF(J604=0,(J604+1)/ROUND(J604+1,0),J604/ROUND(J604,0))=1,IF(J605=0,(IF(J605="",0,J605)+1)/ROUND(IF(J605="",0,J605)+1,0),IF(J605="",0,J605)/ROUND(IF(J605="",0,J605)+1,0))=1,OR(J604&lt;&gt;""),J605&lt;&gt;"")),0,IF(S604&lt;0,IF(I606="",SMALL(P604:P605,1)-SUM(O604:O605),0),SMALL(P604:P606,1)-SUM(O604:O606))),IF(S604&lt;0,IF(I606="",SMALL(P604:P606,1)-SUM(O604:O606),0),LARGE(P604:P606,1)-SUM(O604:O606)))))</f>
        <v>-0.59250000000000114</v>
      </c>
      <c r="W604" s="496">
        <f>IF($D604=$D601,IF(S604&lt;0,IF(I606="",S604,0),S604)+W601,S604)</f>
        <v>-3.38</v>
      </c>
      <c r="X604" s="505" t="str">
        <f>IF(OR(SUM(R604:R606)=0,V604=W604),ROUND(IF(W604=0,0,W604/Y604)*100,2)&amp;"%",ROUND(IF(V604=0,0,V604/Y604)*100,2)&amp;"% a "&amp;ROUND(IF(W604=0,0,W604/Y604)*100,2)&amp;"%")</f>
        <v>-8,96%</v>
      </c>
      <c r="Y604" s="497">
        <f>IF($D604=$D601,Y601+SUM(O604:O606),SUM(O604:O606))</f>
        <v>37.71</v>
      </c>
      <c r="Z604" s="496">
        <f>IF($B604=" ",SUM(O604:O606),0)+Z601</f>
        <v>0</v>
      </c>
      <c r="AA604" s="496">
        <f>IF(G604="","",IF($B604="Anulado",LARGE(P604:P606,1)-SUM(O604:O606)+AA601,AA601))</f>
        <v>12.425099999999992</v>
      </c>
      <c r="AB604" s="496">
        <f>IF($D604="","",AB601+S604)</f>
        <v>669.50000000000045</v>
      </c>
      <c r="AC604" s="499">
        <f ca="1">IF($D604="","",IF($B604=" ",IF(DAY(G604)=DAY(TODAY()),1+AC601,0+AC601),0+AC601))</f>
        <v>0</v>
      </c>
      <c r="AD604" s="157">
        <f>(1-_xlfn.XLOOKUP(K602,'Fevereiro 2023 - Valor Real'!A3:A15,'Fevereiro 2023 - Valor Real'!C3:C15,0))+1</f>
        <v>2</v>
      </c>
      <c r="AE604" s="158">
        <f>IF(L604="","",IF(L606&gt;0,(SUM(((L604-1)*(1-_xlfn.XLOOKUP(K604,'Fevereiro 2023 - Valor Real'!A3:A15,'Fevereiro 2023 - Valor Real'!C3:C15,0))+1),((L605-1)*(1-_xlfn.XLOOKUP(K605,'Fevereiro 2023 - Valor Real'!A3:A15,'Fevereiro 2023 - Valor Real'!C3:C15,0))+1),((L606-1)*(1-_xlfn.XLOOKUP(K606,'Fevereiro 2023 - Valor Real'!A3:A15,'Fevereiro 2023 - Valor Real'!C3:C15,0))+1))/((L604-1)*(1-_xlfn.XLOOKUP(K604,'Fevereiro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Real'!C3:C15,0))+1))/((L604-1)*(1-_xlfn.XLOOKUP(K604,'Fevereiro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Real'!C3:C15,0))+1))/((L605-1)*(1-_xlfn.XLOOKUP(K605,'Fevereiro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Real'!C3:C15,0))+1))/((L606-1)*(1-_xlfn.XLOOKUP(K606,'Fevereiro 2023 - Valor Real'!A3:A15,'Fevereiro 2023 - Valor Real'!C3:C15,0))+1)),IF(I604="Lay",IF(I605="Lay",((L605/(L605-1)-1)*(1-_xlfn.XLOOKUP(K605,'Fevereiro 2023 - Valor Real'!A3:A15,'Fevereiro 2023 - Valor Real'!C3:C15,0))+1)/(((L605/(L605-1)-1)*(1-_xlfn.XLOOKUP(K605,'Fevereiro 2023 - Valor Real'!A3:A15,'Fevereiro 2023 - Valor Real'!C3:C15,0))+1)+((L604/(L604-1)-1)*(1-_xlfn.XLOOKUP(K604,'Fevereiro 2023 - Valor Real'!A3:A15,'Fevereiro 2023 - Valor Real'!C3:C15,0))+1)),((L605-1)*(1-_xlfn.XLOOKUP(K605,'Fevereiro 2023 - Valor Real'!A3:A15,'Fevereiro 2023 - Valor Real'!C3:C15,0))+1)/(((L605-1)*(1-_xlfn.XLOOKUP(K605,'Fevereiro 2023 - Valor Real'!A3:A15,'Fevereiro 2023 - Valor Real'!C3:C15,0))+1)+((L604/(L604-1)-1)*(1-_xlfn.XLOOKUP(K604,'Fevereiro 2023 - Valor Real'!A3:A15,'Fevereiro 2023 - Valor Real'!C3:C15,0))+1))),IF(I605="Lay",(((L605/(L605-1)-1)*(1-_xlfn.XLOOKUP(K605,'Fevereiro 2023 - Valor Real'!A3:A15,'Fevereiro 2023 - Valor Real'!C3:C15,0))+1))/(((L604-1)*(1-_xlfn.XLOOKUP(K604,'Fevereiro 2023 - Valor Real'!A3:A15,'Fevereiro 2023 - Valor Real'!C3:C15,0))+1)+((L605/(L605-1)-1)*(1-_xlfn.XLOOKUP(K605,'Fevereiro 2023 - Valor Real'!A3:A15,'Fevereiro 2023 - Valor Real'!C3:C15,0))+1)),((L605-1)*(1-_xlfn.XLOOKUP(K605,'Fevereiro 2023 - Valor Real'!A3:A15,'Fevereiro 2023 - Valor Real'!C3:C15,0))+1)/(((L605-1)*(1-_xlfn.XLOOKUP(K605,'Fevereiro 2023 - Valor Real'!A3:A15,'Fevereiro 2023 - Valor Real'!C3:C15,0))+1)+((L604-1)*(1-_xlfn.XLOOKUP(K604,'Fevereiro 2023 - Valor Real'!A3:A15,'Fevereiro 2023 - Valor Real'!C3:C15,0))+1))))))</f>
        <v>0.5</v>
      </c>
      <c r="AF604" s="66">
        <f t="shared" ref="AF604:AR613" si="1220">IF($K604=AF$3,ROUND(IF(OR($C604="W",$C604="1/2W",$C604="1/2L"),$P604-$O604,IF($C604="X",0,-$O604)),2),0)</f>
        <v>0</v>
      </c>
      <c r="AG604" s="67">
        <f t="shared" si="1220"/>
        <v>0</v>
      </c>
      <c r="AH604" s="67">
        <f t="shared" si="1220"/>
        <v>0</v>
      </c>
      <c r="AI604" s="67">
        <f t="shared" si="1220"/>
        <v>0</v>
      </c>
      <c r="AJ604" s="67">
        <f t="shared" si="1220"/>
        <v>-13.08</v>
      </c>
      <c r="AK604" s="67">
        <f t="shared" si="1220"/>
        <v>0</v>
      </c>
      <c r="AL604" s="67">
        <f t="shared" si="1220"/>
        <v>0</v>
      </c>
      <c r="AM604" s="67">
        <f t="shared" si="1220"/>
        <v>0</v>
      </c>
      <c r="AN604" s="67">
        <f t="shared" si="1220"/>
        <v>0</v>
      </c>
      <c r="AO604" s="67">
        <f t="shared" si="1220"/>
        <v>0</v>
      </c>
      <c r="AP604" s="67">
        <f t="shared" si="1220"/>
        <v>0</v>
      </c>
      <c r="AQ604" s="67">
        <f t="shared" si="1220"/>
        <v>0</v>
      </c>
      <c r="AR604" s="68">
        <f t="shared" si="1220"/>
        <v>0</v>
      </c>
      <c r="AS604" s="66">
        <f t="shared" ref="AS604:BE604" si="1221">IF(AND($B604=" ",$K604=AS$3),$O604,0)</f>
        <v>0</v>
      </c>
      <c r="AT604" s="67">
        <f t="shared" si="1221"/>
        <v>0</v>
      </c>
      <c r="AU604" s="67">
        <f t="shared" si="1221"/>
        <v>0</v>
      </c>
      <c r="AV604" s="67">
        <f t="shared" si="1221"/>
        <v>0</v>
      </c>
      <c r="AW604" s="67">
        <f t="shared" si="1221"/>
        <v>0</v>
      </c>
      <c r="AX604" s="67">
        <f t="shared" si="1221"/>
        <v>0</v>
      </c>
      <c r="AY604" s="69">
        <f t="shared" si="1221"/>
        <v>0</v>
      </c>
      <c r="AZ604" s="70">
        <f t="shared" si="1221"/>
        <v>0</v>
      </c>
      <c r="BA604" s="70">
        <f t="shared" si="1221"/>
        <v>0</v>
      </c>
      <c r="BB604" s="70">
        <f t="shared" si="1221"/>
        <v>0</v>
      </c>
      <c r="BC604" s="71">
        <f t="shared" si="1221"/>
        <v>0</v>
      </c>
      <c r="BD604" s="67">
        <f t="shared" si="1221"/>
        <v>0</v>
      </c>
      <c r="BE604" s="68">
        <f t="shared" si="1221"/>
        <v>0</v>
      </c>
      <c r="BF604" s="66">
        <f t="shared" ref="BF604:BR613" si="1222">IF($K604=BF$3,IF($C604="X",0,$O604),0)</f>
        <v>0</v>
      </c>
      <c r="BG604" s="67">
        <f t="shared" si="1222"/>
        <v>0</v>
      </c>
      <c r="BH604" s="67">
        <f t="shared" si="1222"/>
        <v>0</v>
      </c>
      <c r="BI604" s="67">
        <f t="shared" si="1222"/>
        <v>0</v>
      </c>
      <c r="BJ604" s="67">
        <f t="shared" si="1222"/>
        <v>13.08</v>
      </c>
      <c r="BK604" s="67">
        <f t="shared" si="1222"/>
        <v>0</v>
      </c>
      <c r="BL604" s="67">
        <f t="shared" si="1222"/>
        <v>0</v>
      </c>
      <c r="BM604" s="69">
        <f t="shared" si="1222"/>
        <v>0</v>
      </c>
      <c r="BN604" s="70">
        <f t="shared" si="1222"/>
        <v>0</v>
      </c>
      <c r="BO604" s="70">
        <f t="shared" si="1222"/>
        <v>0</v>
      </c>
      <c r="BP604" s="70">
        <f t="shared" si="1222"/>
        <v>0</v>
      </c>
      <c r="BQ604" s="71">
        <f t="shared" si="1222"/>
        <v>0</v>
      </c>
      <c r="BR604" s="68">
        <f t="shared" si="1222"/>
        <v>0</v>
      </c>
      <c r="BS604" s="490">
        <f>IF($B604="LOSS",IF(AND($K604=BS$3,$C604="L"),-$O604,0)+IF(AND($K605=BS$3,$C605="L"),-$O605,0)+IF(AND($K606=BS$3,$C606="L"),-$O606,0),IF(OR(AND($K604=BS$3,OR($C604="W",$C604="1/2W")),AND($K605=BS$3,OR($C605="W",$C605="1/2W")),AND($K606=BS$3,OR($C606="W",$C606="1/2W"))),$S604,0))</f>
        <v>0</v>
      </c>
      <c r="BT604" s="498">
        <f>IF($B604="LOSS",IF(AND($K604=BT$3,$C604="L"),-$O604,0)+IF(AND($K605=BT$3,$C605="L"),-$O605,0)+IF(AND($K605=BT$3,$C606="L"),-$O606,0),IF(OR(AND($K605=BT$3,OR($C604="W",$C604="1/2W")),AND($K605=BT$3,OR($C605="W",$C605="1/2W")),AND($K605=BT$3,OR($C606="W",$C606="1/2W"))),$S604,0))</f>
        <v>0</v>
      </c>
      <c r="BU604" s="488">
        <f>IF($B604="LOSS",IF(AND($K604=BU$3,$C604="L"),-$O604,0)+IF(AND($K605=BU$3,$C605="L"),-$O605,0)+IF(AND($K605=BU$3,$C606="L"),-$O606,0),IF(OR(AND($K605=BU$3,OR($C604="W",$C604="1/2W")),AND($K605=BU$3,OR($C605="W",$C605="1/2W")),AND($K605=BU$3,OR($C606="W",$C606="1/2W"))),$S604,0))</f>
        <v>0</v>
      </c>
      <c r="BV604" s="488">
        <f t="shared" ref="BV604:CE604" si="1223">IF($B604="LOSS",IF(AND($K604=BV$3,$C604="L"),-$O604,0)+IF(AND($K605=BV$3,$C605="L"),-$O605,0)+IF(AND($K606=BV$3,$C606="L"),-$O606,0),IF(OR(AND($K604=BV$3,OR($C604="W",$C604="1/2W")),AND($K605=BV$3,OR($C605="W",$C605="1/2W")),AND($K606=BV$3,OR($C606="W",$C606="1/2W"))),$S604,0))</f>
        <v>0</v>
      </c>
      <c r="BW604" s="488">
        <f t="shared" si="1223"/>
        <v>-1.83</v>
      </c>
      <c r="BX604" s="488">
        <f t="shared" si="1223"/>
        <v>0</v>
      </c>
      <c r="BY604" s="488">
        <f t="shared" si="1223"/>
        <v>0</v>
      </c>
      <c r="BZ604" s="488">
        <f t="shared" si="1223"/>
        <v>0</v>
      </c>
      <c r="CA604" s="488">
        <f t="shared" si="1223"/>
        <v>0</v>
      </c>
      <c r="CB604" s="488">
        <f t="shared" si="1223"/>
        <v>0</v>
      </c>
      <c r="CC604" s="488">
        <f t="shared" si="1223"/>
        <v>0</v>
      </c>
      <c r="CD604" s="500">
        <f t="shared" si="1223"/>
        <v>0</v>
      </c>
      <c r="CE604" s="504">
        <f t="shared" si="1223"/>
        <v>0</v>
      </c>
      <c r="CF604" s="160">
        <f t="shared" si="1156"/>
        <v>0</v>
      </c>
      <c r="CG604" s="161">
        <f t="shared" si="1157"/>
        <v>0</v>
      </c>
      <c r="CH604" s="161">
        <f t="shared" si="1158"/>
        <v>0</v>
      </c>
      <c r="CI604" s="161">
        <f t="shared" si="1159"/>
        <v>0</v>
      </c>
      <c r="CJ604" s="161">
        <f t="shared" si="1160"/>
        <v>0</v>
      </c>
      <c r="CK604" s="161">
        <f t="shared" si="1161"/>
        <v>0</v>
      </c>
      <c r="CL604" s="161">
        <f t="shared" si="1162"/>
        <v>0</v>
      </c>
      <c r="CM604" s="161">
        <f t="shared" si="1163"/>
        <v>0</v>
      </c>
      <c r="CN604" s="161">
        <f t="shared" si="1164"/>
        <v>0</v>
      </c>
      <c r="CO604" s="161">
        <f t="shared" si="1165"/>
        <v>1</v>
      </c>
      <c r="CP604" s="161">
        <f t="shared" si="1166"/>
        <v>0</v>
      </c>
      <c r="CQ604" s="161">
        <f t="shared" si="1167"/>
        <v>0</v>
      </c>
      <c r="CR604" s="161">
        <f t="shared" si="1168"/>
        <v>0</v>
      </c>
      <c r="CS604" s="161">
        <f t="shared" si="1169"/>
        <v>0</v>
      </c>
      <c r="CT604" s="75">
        <f t="shared" si="1170"/>
        <v>0</v>
      </c>
      <c r="CU604" s="76">
        <f t="shared" si="1171"/>
        <v>0</v>
      </c>
      <c r="CV604" s="76">
        <f t="shared" si="1172"/>
        <v>0</v>
      </c>
      <c r="CW604" s="76">
        <f t="shared" si="1173"/>
        <v>0</v>
      </c>
      <c r="CX604" s="76">
        <f t="shared" si="1174"/>
        <v>0</v>
      </c>
      <c r="CY604" s="76">
        <f t="shared" si="1175"/>
        <v>0</v>
      </c>
      <c r="CZ604" s="76">
        <f t="shared" si="1176"/>
        <v>0</v>
      </c>
      <c r="DA604" s="76">
        <f t="shared" si="1177"/>
        <v>0</v>
      </c>
      <c r="DB604" s="76">
        <f t="shared" si="1178"/>
        <v>0</v>
      </c>
      <c r="DC604" s="76">
        <f t="shared" si="1179"/>
        <v>0</v>
      </c>
      <c r="DD604" s="76">
        <f t="shared" si="1180"/>
        <v>0</v>
      </c>
      <c r="DE604" s="77">
        <f t="shared" si="1181"/>
        <v>0</v>
      </c>
      <c r="DF604" s="73">
        <f t="shared" si="1183"/>
        <v>36</v>
      </c>
      <c r="DG604" s="67">
        <f t="shared" si="1184"/>
        <v>47.227999999999994</v>
      </c>
      <c r="DH604" s="76">
        <f t="shared" si="1185"/>
        <v>14</v>
      </c>
      <c r="DI604" s="67">
        <f t="shared" si="1186"/>
        <v>60.05</v>
      </c>
      <c r="DJ604" s="202" t="str">
        <f>IF($D604="","",$D604)</f>
        <v>20</v>
      </c>
      <c r="DK604" s="492">
        <f>IF(AND($B604=" ",$D604&lt;&gt;""),1,0)</f>
        <v>0</v>
      </c>
    </row>
    <row r="605" spans="1:115" ht="14.5" customHeight="1" x14ac:dyDescent="0.2">
      <c r="A605" s="389"/>
      <c r="B605" s="456"/>
      <c r="C605" s="53" t="s">
        <v>54</v>
      </c>
      <c r="D605" s="374"/>
      <c r="E605" s="386"/>
      <c r="F605" s="377"/>
      <c r="G605" s="508"/>
      <c r="H605" s="476"/>
      <c r="I605" s="162">
        <v>2</v>
      </c>
      <c r="J605" s="163" t="str">
        <f>IF(OR(I604="TO",I604="TU",I604="TO1",I604="TU1",I604="TO2",I604="TU2"),J604,IF(OR(I604="AH1",I604="AH2"),IF(OR(I605="AH1",I605="AH2"),-J604,IF(OR(I605="EH1",I605="EH2"),-J604+0.5,"")),IF(OR(I604="EH1",I604="EH2"),IF(OR(I605="AH1",I605="AH2"),-J604+0.5,IF(OR(I605="EH1",I605="EH2"),-J604+1,"")),IF(AND(OR(I604="DNB1",I604="DNB2"),OR(I605="AH1",I605="AH2")),0,IF(AND(I604="Not ScoreBoth",OR(I605="TO1",I605="TO2")),0.5,"")))))</f>
        <v/>
      </c>
      <c r="K605" s="57" t="s">
        <v>40</v>
      </c>
      <c r="L605" s="164">
        <v>1.86</v>
      </c>
      <c r="M605" s="165"/>
      <c r="N605" s="406"/>
      <c r="O605" s="60">
        <f>IF(OR(AE604="",AE605=""),"",ROUND(IF(L606&gt;0,IF(M605&gt;0,M605,IF(M604&gt;0,IF(N604=TRUE,ROUND((M604*AE605)/AE604,0),(M604*AE605)/AE604),IF(M605&gt;0,ROUND(M605,IF(N604=0,2,IF(N604=0.1,1,0))),IF(M606&gt;0,ROUND(O606*AE605/AE606,IF(N604=0,2,IF(N604=0.1,1,0))),0)))),IF(M605&gt;0,M605,ROUND((M604*AE605)/AE604,IF(N604=0,2,IF(N604=0.1,1,0))))),2))</f>
        <v>13.08</v>
      </c>
      <c r="P605" s="61">
        <f>IF(OR(L605="",O605=""),"",IF($C605="1/2W",O605/2+O605/2*L605,IF($C605="1/2L",O605/2,IF(I605="Lay",((O605*(L605/(L605-1)))-O605)*(1-_xlfn.XLOOKUP(K605,'Fevereiro 2023 - Valor Real'!A3:A15,'Fevereiro 2023 - Valor Real'!C3:C15,0))+O605,(O605*L605-O605)*(1-_xlfn.XLOOKUP(K605,'Fevereiro 2023 - Valor Real'!A3:A15,'Fevereiro 2023 - Valor Real'!C3:C15,0))+O605))))</f>
        <v>24.328800000000001</v>
      </c>
      <c r="Q605" s="166">
        <f>IF(K605="","",IF(_xlfn.XLOOKUP(K605,K$10:K596,$DJ$10:DJ596,0,,-1)=DJ605,_xlfn.XLOOKUP(K605,K$10:K596,Q$10:Q596,1,,-1)+1,1))</f>
        <v>1</v>
      </c>
      <c r="R605" s="167">
        <f>IF(K605="","",_xlfn.XLOOKUP(K605,K$10:K596,R$10:R596,0,,-1)+IF($C605=" ",1,0))</f>
        <v>0</v>
      </c>
      <c r="S605" s="403"/>
      <c r="T605" s="380"/>
      <c r="U605" s="380"/>
      <c r="V605" s="481"/>
      <c r="W605" s="380"/>
      <c r="X605" s="452"/>
      <c r="Y605" s="383"/>
      <c r="Z605" s="384"/>
      <c r="AA605" s="384"/>
      <c r="AB605" s="384"/>
      <c r="AC605" s="384"/>
      <c r="AD605" s="64"/>
      <c r="AE605" s="65">
        <f>IF(L605="","",IF(L606&gt;0,(SUM(((L604-1)*(1-_xlfn.XLOOKUP(K604,'Fevereiro 2023 - Valor Real'!A3:A15,'Fevereiro 2023 - Valor Real'!C3:C15,0))+1),((L605-1)*(1-_xlfn.XLOOKUP(K605,'Fevereiro 2023 - Valor Real'!A3:A15,'Fevereiro 2023 - Valor Real'!C3:C15,0))+1),((L606-1)*(1-_xlfn.XLOOKUP(K606,'Fevereiro 2023 - Valor Real'!A3:A15,'Fevereiro 2023 - Valor Real'!C3:C15,0))+1))/((L605-1)*(1-_xlfn.XLOOKUP(K605,'Fevereiro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Real'!C3:C15,0))+1))/((L604-1)*(1-_xlfn.XLOOKUP(K604,'Fevereiro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Real'!C3:C15,0))+1))/((L605-1)*(1-_xlfn.XLOOKUP(K605,'Fevereiro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Real'!C3:C15,0))+1))/((L606-1)*(1-_xlfn.XLOOKUP(K606,'Fevereiro 2023 - Valor Real'!A3:A15,'Fevereiro 2023 - Valor Real'!C3:C15,0))+1)),IF(I605="Lay",IF(I604="Lay",((L604/(L604-1)-1)*(1-_xlfn.XLOOKUP(K604,'Fevereiro 2023 - Valor Real'!A3:A15,'Fevereiro 2023 - Valor Real'!C3:C15,0))+1)/(((L604/(L604-1)-1)*(1-_xlfn.XLOOKUP(K604,'Fevereiro 2023 - Valor Real'!A3:A15,'Fevereiro 2023 - Valor Real'!C3:C15,0))+1)+((L605/(L605-1)-1)*(1-_xlfn.XLOOKUP(K605,'Fevereiro 2023 - Valor Real'!A3:A15,'Fevereiro 2023 - Valor Real'!C3:C15,0))+1)),((L604-1)*(1-_xlfn.XLOOKUP(K604,'Fevereiro 2023 - Valor Real'!A3:A15,'Fevereiro 2023 - Valor Real'!C3:C15,0))+1)/(((L604-1)*(1-_xlfn.XLOOKUP(K604,'Fevereiro 2023 - Valor Real'!A3:A15,'Fevereiro 2023 - Valor Real'!C3:C15,0))+1)+((L605/(L605-1)-1)*(1-_xlfn.XLOOKUP(K605,'Fevereiro 2023 - Valor Real'!A3:A15,'Fevereiro 2023 - Valor Real'!C3:C15,0))+1))),IF(I604="Lay",((L604/(L604-1)-1)*(1-_xlfn.XLOOKUP(K604,'Fevereiro 2023 - Valor Real'!A3:A15,'Fevereiro 2023 - Valor Real'!C3:C15,0))+1)/((((L604/(L604-1)-1)*(1-_xlfn.XLOOKUP(K604,'Fevereiro 2023 - Valor Real'!A3:A15,'Fevereiro 2023 - Valor Real'!C3:C15,0))+1))+((L605-1)*(1-_xlfn.XLOOKUP(K605,'Fevereiro 2023 - Valor Real'!A3:A15,'Fevereiro 2023 - Valor Real'!C3:C15,0))+1)),((L604-1)*(1-_xlfn.XLOOKUP(K604,'Fevereiro 2023 - Valor Real'!A3:A15,'Fevereiro 2023 - Valor Real'!C3:C15,0))+1)/(((L604-1)*(1-_xlfn.XLOOKUP(K604,'Fevereiro 2023 - Valor Real'!A3:A15,'Fevereiro 2023 - Valor Real'!C3:C15,0))+1)+((L605-1)*(1-_xlfn.XLOOKUP(K605,'Fevereiro 2023 - Valor Real'!A3:A15,'Fevereiro 2023 - Valor Real'!C3:C15,0))+1))))))</f>
        <v>0.5</v>
      </c>
      <c r="AF605" s="66">
        <f t="shared" si="1220"/>
        <v>0</v>
      </c>
      <c r="AG605" s="67">
        <f t="shared" si="1220"/>
        <v>0</v>
      </c>
      <c r="AH605" s="67">
        <f t="shared" si="1220"/>
        <v>0</v>
      </c>
      <c r="AI605" s="67">
        <f t="shared" si="1220"/>
        <v>0</v>
      </c>
      <c r="AJ605" s="67">
        <f t="shared" si="1220"/>
        <v>11.25</v>
      </c>
      <c r="AK605" s="67">
        <f t="shared" si="1220"/>
        <v>0</v>
      </c>
      <c r="AL605" s="67">
        <f t="shared" si="1220"/>
        <v>0</v>
      </c>
      <c r="AM605" s="67">
        <f t="shared" si="1220"/>
        <v>0</v>
      </c>
      <c r="AN605" s="67">
        <f t="shared" si="1220"/>
        <v>0</v>
      </c>
      <c r="AO605" s="67">
        <f t="shared" si="1220"/>
        <v>0</v>
      </c>
      <c r="AP605" s="67">
        <f t="shared" si="1220"/>
        <v>0</v>
      </c>
      <c r="AQ605" s="67">
        <f t="shared" si="1220"/>
        <v>0</v>
      </c>
      <c r="AR605" s="68">
        <f t="shared" si="1220"/>
        <v>0</v>
      </c>
      <c r="AS605" s="66">
        <f>IF(AND($B604=" ",$K605=AS$3),$O605,0)</f>
        <v>0</v>
      </c>
      <c r="AT605" s="67">
        <f>IF(AND($B604=" ",K605=AT$3),$O605,0)</f>
        <v>0</v>
      </c>
      <c r="AU605" s="67">
        <f t="shared" ref="AU605:BE605" si="1224">IF(AND($B604=" ",$K605=AU$3),$O605,0)</f>
        <v>0</v>
      </c>
      <c r="AV605" s="67">
        <f t="shared" si="1224"/>
        <v>0</v>
      </c>
      <c r="AW605" s="67">
        <f t="shared" si="1224"/>
        <v>0</v>
      </c>
      <c r="AX605" s="67">
        <f t="shared" si="1224"/>
        <v>0</v>
      </c>
      <c r="AY605" s="69">
        <f t="shared" si="1224"/>
        <v>0</v>
      </c>
      <c r="AZ605" s="70">
        <f t="shared" si="1224"/>
        <v>0</v>
      </c>
      <c r="BA605" s="70">
        <f t="shared" si="1224"/>
        <v>0</v>
      </c>
      <c r="BB605" s="70">
        <f t="shared" si="1224"/>
        <v>0</v>
      </c>
      <c r="BC605" s="71">
        <f t="shared" si="1224"/>
        <v>0</v>
      </c>
      <c r="BD605" s="67">
        <f t="shared" si="1224"/>
        <v>0</v>
      </c>
      <c r="BE605" s="68">
        <f t="shared" si="1224"/>
        <v>0</v>
      </c>
      <c r="BF605" s="66">
        <f t="shared" si="1222"/>
        <v>0</v>
      </c>
      <c r="BG605" s="168">
        <f t="shared" si="1222"/>
        <v>0</v>
      </c>
      <c r="BH605" s="67">
        <f t="shared" si="1222"/>
        <v>0</v>
      </c>
      <c r="BI605" s="67">
        <f t="shared" si="1222"/>
        <v>0</v>
      </c>
      <c r="BJ605" s="67">
        <f t="shared" si="1222"/>
        <v>13.08</v>
      </c>
      <c r="BK605" s="67">
        <f t="shared" si="1222"/>
        <v>0</v>
      </c>
      <c r="BL605" s="67">
        <f t="shared" si="1222"/>
        <v>0</v>
      </c>
      <c r="BM605" s="69">
        <f t="shared" si="1222"/>
        <v>0</v>
      </c>
      <c r="BN605" s="70">
        <f t="shared" si="1222"/>
        <v>0</v>
      </c>
      <c r="BO605" s="70">
        <f t="shared" si="1222"/>
        <v>0</v>
      </c>
      <c r="BP605" s="70">
        <f t="shared" si="1222"/>
        <v>0</v>
      </c>
      <c r="BQ605" s="71">
        <f t="shared" si="1222"/>
        <v>0</v>
      </c>
      <c r="BR605" s="68">
        <f t="shared" si="1222"/>
        <v>0</v>
      </c>
      <c r="BS605" s="491"/>
      <c r="BT605" s="489"/>
      <c r="BU605" s="392"/>
      <c r="BV605" s="489"/>
      <c r="BW605" s="392"/>
      <c r="BX605" s="392"/>
      <c r="BY605" s="392"/>
      <c r="BZ605" s="489"/>
      <c r="CA605" s="392"/>
      <c r="CB605" s="392"/>
      <c r="CC605" s="392"/>
      <c r="CD605" s="401"/>
      <c r="CE605" s="409"/>
      <c r="CF605" s="169">
        <f t="shared" si="1156"/>
        <v>0</v>
      </c>
      <c r="CG605" s="170">
        <f t="shared" si="1157"/>
        <v>0</v>
      </c>
      <c r="CH605" s="170">
        <f t="shared" si="1158"/>
        <v>0</v>
      </c>
      <c r="CI605" s="170">
        <f t="shared" si="1159"/>
        <v>0</v>
      </c>
      <c r="CJ605" s="170">
        <f t="shared" si="1160"/>
        <v>0</v>
      </c>
      <c r="CK605" s="170">
        <f t="shared" si="1161"/>
        <v>0</v>
      </c>
      <c r="CL605" s="170">
        <f t="shared" si="1162"/>
        <v>0</v>
      </c>
      <c r="CM605" s="170">
        <f t="shared" si="1163"/>
        <v>0</v>
      </c>
      <c r="CN605" s="170">
        <f t="shared" si="1164"/>
        <v>1</v>
      </c>
      <c r="CO605" s="170">
        <f t="shared" si="1165"/>
        <v>0</v>
      </c>
      <c r="CP605" s="170">
        <f t="shared" si="1166"/>
        <v>0</v>
      </c>
      <c r="CQ605" s="170">
        <f t="shared" si="1167"/>
        <v>0</v>
      </c>
      <c r="CR605" s="170">
        <f t="shared" si="1168"/>
        <v>0</v>
      </c>
      <c r="CS605" s="170">
        <f t="shared" si="1169"/>
        <v>0</v>
      </c>
      <c r="CT605" s="75">
        <f t="shared" si="1170"/>
        <v>0</v>
      </c>
      <c r="CU605" s="76">
        <f t="shared" si="1171"/>
        <v>0</v>
      </c>
      <c r="CV605" s="76">
        <f t="shared" si="1172"/>
        <v>0</v>
      </c>
      <c r="CW605" s="76">
        <f t="shared" si="1173"/>
        <v>0</v>
      </c>
      <c r="CX605" s="76">
        <f t="shared" si="1174"/>
        <v>0</v>
      </c>
      <c r="CY605" s="76">
        <f t="shared" si="1175"/>
        <v>0</v>
      </c>
      <c r="CZ605" s="76">
        <f t="shared" si="1176"/>
        <v>0</v>
      </c>
      <c r="DA605" s="76">
        <f t="shared" si="1177"/>
        <v>0</v>
      </c>
      <c r="DB605" s="76">
        <f t="shared" si="1178"/>
        <v>0</v>
      </c>
      <c r="DC605" s="76">
        <f t="shared" si="1179"/>
        <v>0</v>
      </c>
      <c r="DD605" s="76">
        <f t="shared" si="1180"/>
        <v>0</v>
      </c>
      <c r="DE605" s="77">
        <f t="shared" si="1181"/>
        <v>0</v>
      </c>
      <c r="DF605" s="73">
        <f t="shared" si="1183"/>
        <v>36</v>
      </c>
      <c r="DG605" s="67">
        <f t="shared" si="1184"/>
        <v>47.227999999999994</v>
      </c>
      <c r="DH605" s="76">
        <f t="shared" si="1185"/>
        <v>14</v>
      </c>
      <c r="DI605" s="67">
        <f t="shared" si="1186"/>
        <v>60.05</v>
      </c>
      <c r="DJ605" s="202" t="str">
        <f>IF($D604="","",$D604)</f>
        <v>20</v>
      </c>
      <c r="DK605" s="493"/>
    </row>
    <row r="606" spans="1:115" ht="14.5" customHeight="1" x14ac:dyDescent="0.2">
      <c r="A606" s="390"/>
      <c r="B606" s="457"/>
      <c r="C606" s="79" t="s">
        <v>53</v>
      </c>
      <c r="D606" s="375"/>
      <c r="E606" s="387"/>
      <c r="F606" s="378"/>
      <c r="G606" s="508"/>
      <c r="H606" s="477"/>
      <c r="I606" s="171"/>
      <c r="J606" s="172"/>
      <c r="K606" s="81"/>
      <c r="L606" s="173"/>
      <c r="M606" s="174"/>
      <c r="N606" s="407"/>
      <c r="O606" s="86" t="str">
        <f>IF(OR(AE604="",AE605=""),"",IF(L606&gt;0,ROUND(IF(M606&gt;0,M606,IF(M604&gt;0,ROUND((M604*AE606)/AE604,IF(N604=0,2,IF(N604=0.1,1,0))),IF(M605&gt;0,ROUND((M605*AE606)/AE605,IF(N604=0,2,IF(N604=0.1,1,0))),IF(M606&gt;0,M606,0)))),2),""))</f>
        <v/>
      </c>
      <c r="P606" s="87" t="str">
        <f>IF(I605="Lay",O605*(L605/(L605-1))-O605,IF(I604="Lay",O604*(L604/(L604-1))-O604,IF(OR(L606="",O606=""),"",IF($C606="1/2W",O606/2+O606/2*L606,IF($C606="1/2L",O606/2,(O606*L606-O606)*(1-_xlfn.XLOOKUP(K606,'Fevereiro 2023 - Valor Real'!A3:A15,'Fevereiro 2023 - Valor Real'!C3:C15,0))+O606)))))</f>
        <v/>
      </c>
      <c r="Q606" s="54" t="str">
        <f>IF(K606="","",IF(_xlfn.XLOOKUP(K606,K$11:K596,$DJ$11:DJ596,0,,-1)=DJ606,_xlfn.XLOOKUP(K606,K$11:K596,Q$11:Q596,1,,-1)+1,1))</f>
        <v/>
      </c>
      <c r="R606" s="87" t="str">
        <f>IF(K606="","",_xlfn.XLOOKUP(K606,K$11:K596,R$11:R596,0,,-1)+IF($C606=" ",1,0))</f>
        <v/>
      </c>
      <c r="S606" s="404"/>
      <c r="T606" s="378"/>
      <c r="U606" s="378"/>
      <c r="V606" s="404"/>
      <c r="W606" s="378"/>
      <c r="X606" s="453"/>
      <c r="Y606" s="383"/>
      <c r="Z606" s="384"/>
      <c r="AA606" s="384"/>
      <c r="AB606" s="384"/>
      <c r="AC606" s="384"/>
      <c r="AD606" s="90"/>
      <c r="AE606" s="91" t="str">
        <f>IF(L606="","",(SUM(((L604-1)*(1-_xlfn.XLOOKUP(K604,'Fevereiro 2023 - Valor Real'!A3:A15,'Fevereiro 2023 - Valor Real'!C3:C15,0))+1),((L605-1)*(1-_xlfn.XLOOKUP(K605,'Fevereiro 2023 - Valor Real'!A3:A15,'Fevereiro 2023 - Valor Real'!C3:C15,0))+1),((L606-1)*(1-_xlfn.XLOOKUP(K606,'Fevereiro 2023 - Valor Real'!A3:A15,'Fevereiro 2023 - Valor Real'!C3:C15,0))+1))/((L606-1)*(1-_xlfn.XLOOKUP(K606,'Fevereiro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Real'!C3:C15,0))+1))/((L604-1)*(1-_xlfn.XLOOKUP(K604,'Fevereiro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Real'!C3:C15,0))+1))/((L605-1)*(1-_xlfn.XLOOKUP(K605,'Fevereiro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Real'!C3:C15,0))+1))/((L606-1)*(1-_xlfn.XLOOKUP(K606,'Fevereiro 2023 - Valor Real'!A3:A15,'Fevereiro 2023 - Valor Real'!C3:C15,0))+1)))</f>
        <v/>
      </c>
      <c r="AF606" s="66">
        <f t="shared" si="1220"/>
        <v>0</v>
      </c>
      <c r="AG606" s="67">
        <f t="shared" si="1220"/>
        <v>0</v>
      </c>
      <c r="AH606" s="67">
        <f t="shared" si="1220"/>
        <v>0</v>
      </c>
      <c r="AI606" s="67">
        <f t="shared" si="1220"/>
        <v>0</v>
      </c>
      <c r="AJ606" s="67">
        <f t="shared" si="1220"/>
        <v>0</v>
      </c>
      <c r="AK606" s="67">
        <f t="shared" si="1220"/>
        <v>0</v>
      </c>
      <c r="AL606" s="67">
        <f t="shared" si="1220"/>
        <v>0</v>
      </c>
      <c r="AM606" s="67">
        <f t="shared" si="1220"/>
        <v>0</v>
      </c>
      <c r="AN606" s="67">
        <f t="shared" si="1220"/>
        <v>0</v>
      </c>
      <c r="AO606" s="67">
        <f t="shared" si="1220"/>
        <v>0</v>
      </c>
      <c r="AP606" s="67">
        <f t="shared" si="1220"/>
        <v>0</v>
      </c>
      <c r="AQ606" s="67">
        <f t="shared" si="1220"/>
        <v>0</v>
      </c>
      <c r="AR606" s="68">
        <f t="shared" si="1220"/>
        <v>0</v>
      </c>
      <c r="AS606" s="66">
        <f>IF(AND($B604=" ",$K606=AS$3),$O606,0)</f>
        <v>0</v>
      </c>
      <c r="AT606" s="67">
        <f>IF(AND($B604=" ",K606=AT$3),$O606,0)</f>
        <v>0</v>
      </c>
      <c r="AU606" s="67">
        <f t="shared" ref="AU606:BE606" si="1225">IF(AND($B604=" ",$K606=AU$3),$O606,0)</f>
        <v>0</v>
      </c>
      <c r="AV606" s="67">
        <f t="shared" si="1225"/>
        <v>0</v>
      </c>
      <c r="AW606" s="67">
        <f t="shared" si="1225"/>
        <v>0</v>
      </c>
      <c r="AX606" s="67">
        <f t="shared" si="1225"/>
        <v>0</v>
      </c>
      <c r="AY606" s="69">
        <f t="shared" si="1225"/>
        <v>0</v>
      </c>
      <c r="AZ606" s="70">
        <f t="shared" si="1225"/>
        <v>0</v>
      </c>
      <c r="BA606" s="70">
        <f t="shared" si="1225"/>
        <v>0</v>
      </c>
      <c r="BB606" s="70">
        <f t="shared" si="1225"/>
        <v>0</v>
      </c>
      <c r="BC606" s="71">
        <f t="shared" si="1225"/>
        <v>0</v>
      </c>
      <c r="BD606" s="67">
        <f t="shared" si="1225"/>
        <v>0</v>
      </c>
      <c r="BE606" s="68">
        <f t="shared" si="1225"/>
        <v>0</v>
      </c>
      <c r="BF606" s="66">
        <f t="shared" si="1222"/>
        <v>0</v>
      </c>
      <c r="BG606" s="168">
        <f t="shared" si="1222"/>
        <v>0</v>
      </c>
      <c r="BH606" s="67">
        <f t="shared" si="1222"/>
        <v>0</v>
      </c>
      <c r="BI606" s="67">
        <f t="shared" si="1222"/>
        <v>0</v>
      </c>
      <c r="BJ606" s="67">
        <f t="shared" si="1222"/>
        <v>0</v>
      </c>
      <c r="BK606" s="67">
        <f t="shared" si="1222"/>
        <v>0</v>
      </c>
      <c r="BL606" s="67">
        <f t="shared" si="1222"/>
        <v>0</v>
      </c>
      <c r="BM606" s="69">
        <f t="shared" si="1222"/>
        <v>0</v>
      </c>
      <c r="BN606" s="70">
        <f t="shared" si="1222"/>
        <v>0</v>
      </c>
      <c r="BO606" s="70">
        <f t="shared" si="1222"/>
        <v>0</v>
      </c>
      <c r="BP606" s="70">
        <f t="shared" si="1222"/>
        <v>0</v>
      </c>
      <c r="BQ606" s="71">
        <f t="shared" si="1222"/>
        <v>0</v>
      </c>
      <c r="BR606" s="68">
        <f t="shared" si="1222"/>
        <v>0</v>
      </c>
      <c r="BS606" s="491"/>
      <c r="BT606" s="489"/>
      <c r="BU606" s="392"/>
      <c r="BV606" s="489"/>
      <c r="BW606" s="392"/>
      <c r="BX606" s="392"/>
      <c r="BY606" s="392"/>
      <c r="BZ606" s="489"/>
      <c r="CA606" s="392"/>
      <c r="CB606" s="392"/>
      <c r="CC606" s="392"/>
      <c r="CD606" s="401"/>
      <c r="CE606" s="409"/>
      <c r="CF606" s="169">
        <f t="shared" si="1156"/>
        <v>0</v>
      </c>
      <c r="CG606" s="170">
        <f t="shared" si="1157"/>
        <v>0</v>
      </c>
      <c r="CH606" s="170">
        <f t="shared" si="1158"/>
        <v>0</v>
      </c>
      <c r="CI606" s="170">
        <f t="shared" si="1159"/>
        <v>0</v>
      </c>
      <c r="CJ606" s="170">
        <f t="shared" si="1160"/>
        <v>0</v>
      </c>
      <c r="CK606" s="170">
        <f t="shared" si="1161"/>
        <v>0</v>
      </c>
      <c r="CL606" s="170">
        <f t="shared" si="1162"/>
        <v>0</v>
      </c>
      <c r="CM606" s="170">
        <f t="shared" si="1163"/>
        <v>0</v>
      </c>
      <c r="CN606" s="170">
        <f t="shared" si="1164"/>
        <v>0</v>
      </c>
      <c r="CO606" s="170">
        <f t="shared" si="1165"/>
        <v>0</v>
      </c>
      <c r="CP606" s="170">
        <f t="shared" si="1166"/>
        <v>0</v>
      </c>
      <c r="CQ606" s="170">
        <f t="shared" si="1167"/>
        <v>0</v>
      </c>
      <c r="CR606" s="170">
        <f t="shared" si="1168"/>
        <v>0</v>
      </c>
      <c r="CS606" s="170">
        <f t="shared" si="1169"/>
        <v>0</v>
      </c>
      <c r="CT606" s="75">
        <f t="shared" si="1170"/>
        <v>0</v>
      </c>
      <c r="CU606" s="76">
        <f t="shared" si="1171"/>
        <v>0</v>
      </c>
      <c r="CV606" s="76">
        <f t="shared" si="1172"/>
        <v>0</v>
      </c>
      <c r="CW606" s="76">
        <f t="shared" si="1173"/>
        <v>0</v>
      </c>
      <c r="CX606" s="76">
        <f t="shared" si="1174"/>
        <v>0</v>
      </c>
      <c r="CY606" s="76">
        <f t="shared" si="1175"/>
        <v>0</v>
      </c>
      <c r="CZ606" s="76">
        <f t="shared" si="1176"/>
        <v>0</v>
      </c>
      <c r="DA606" s="76">
        <f t="shared" si="1177"/>
        <v>0</v>
      </c>
      <c r="DB606" s="76">
        <f t="shared" si="1178"/>
        <v>0</v>
      </c>
      <c r="DC606" s="76">
        <f t="shared" si="1179"/>
        <v>0</v>
      </c>
      <c r="DD606" s="76">
        <f t="shared" si="1180"/>
        <v>0</v>
      </c>
      <c r="DE606" s="77">
        <f t="shared" si="1181"/>
        <v>0</v>
      </c>
      <c r="DF606" s="73">
        <f t="shared" si="1183"/>
        <v>36</v>
      </c>
      <c r="DG606" s="67">
        <f t="shared" si="1184"/>
        <v>47.227999999999994</v>
      </c>
      <c r="DH606" s="76">
        <f t="shared" si="1185"/>
        <v>14</v>
      </c>
      <c r="DI606" s="67">
        <f t="shared" si="1186"/>
        <v>60.05</v>
      </c>
      <c r="DJ606" s="202" t="str">
        <f>IF($D604="","",$D604)</f>
        <v>20</v>
      </c>
      <c r="DK606" s="493"/>
    </row>
    <row r="607" spans="1:115" ht="14.5" customHeight="1" x14ac:dyDescent="0.2">
      <c r="A607" s="459">
        <f>$A604+1</f>
        <v>202</v>
      </c>
      <c r="B607" s="507" t="str">
        <f>IF(OR(C607="W",C608="W",C609="W",C607="1/2W",C608="1/2W",C609="1/2W",C607="1/2L",C608="1/2L",C609="1/2L"),"OK",IF(OR(C607="L",C608="L",C609="L"),"LOSS",IF(OR(C607="X",C608="X",C609="X"),"Anulado"," ")))</f>
        <v>OK</v>
      </c>
      <c r="C607" s="93" t="s">
        <v>54</v>
      </c>
      <c r="D607" s="468" t="str">
        <f>IF(G607="","",$D604)</f>
        <v>20</v>
      </c>
      <c r="E607" s="485" t="str">
        <f>IF(G607=""," ","– "&amp;COUNTIF(D$4:D609,$D607))</f>
        <v>– 3</v>
      </c>
      <c r="F607" s="509" t="str">
        <f ca="1">IF(G607="","",IF(OR(AND($C607&lt;&gt;" ",$C608=" "),AND($C608&lt;&gt;" ",$C607=" "),AND(L609&gt;0,OR(AND($C609&lt;&gt;" ",OR($C607=" ",$C608=" ")),AND($C609=" ",OR($C607&lt;&gt;" ",$C608&lt;&gt;" "))))),IF(SUM(F$4:F606)=0,1,LARGE(F$4:F606,1)+1),IF(MONTH(G607)=MONTH(TODAY()),IF(AND(DAY(G607)&lt;DAY(TODAY()),$B607=" "),IF(SUM(F$4:F606)=0,1,LARGE(F$4:F606,1)+1),IF($B607=" ",IF(AND(DAY(G607)=DAY(TODAY()),HOUR(G607)&lt;=HOUR(NOW())+1),IF(AND(HOUR(G607)+2&lt;=HOUR(NOW()),DAY(G607)&lt;=DAY(TODAY()),MINUTE(G607)&lt;=MINUTE(NOW())),IF(SUM(F$4:F606)=0,1,LARGE(F$4:F606,1)+1),IF(OR(MINUTE(G607)&lt;=MINUTE(NOW()),HOUR(G607)&lt;=HOUR(NOW())),"!!!","")),""),"")),"")))</f>
        <v/>
      </c>
      <c r="G607" s="482">
        <v>45005.697916666664</v>
      </c>
      <c r="H607" s="475" t="s">
        <v>224</v>
      </c>
      <c r="I607" s="94" t="s">
        <v>61</v>
      </c>
      <c r="J607" s="176"/>
      <c r="K607" s="96" t="s">
        <v>37</v>
      </c>
      <c r="L607" s="97">
        <v>1.83</v>
      </c>
      <c r="M607" s="98">
        <v>9.2100000000000009</v>
      </c>
      <c r="N607" s="478">
        <v>0</v>
      </c>
      <c r="O607" s="99">
        <f>IF(OR(AE607="",AE608=""),"",ROUND(IF(L609&gt;0,IF(M607&gt;0,M607,IF(M608&gt;0,ROUND((M608*AE607)/AE608,IF(N607=0,2,IF(N607=0.1,1,0))),ROUND((M609*AE607)/AE609,IF(N607=0,2,IF(N607=0.1,1,0))))),IF(M607&gt;0,M607,ROUND((M608*AE607)/AE608,IF(N607=0,2,IF(N607=0.1,1,0))))),2))</f>
        <v>9.2100000000000009</v>
      </c>
      <c r="P607" s="100">
        <f>IF(OR(L607="",O607=""),"",IF($C607="1/2W",O607/2+O607/2*L607,IF($C607="1/2L",O607/2,IF(I607="Lay",(O607*(L607/(L607-1))-O607)*(1-_xlfn.XLOOKUP(K607,'Fevereiro 2023 - Valor Real'!A3:A15,'Fevereiro 2023 - Valor Real'!C3:C15,0))+O607,(O607*L607-O607)*(1-_xlfn.XLOOKUP(K607,'Fevereiro 2023 - Valor Real'!A3:A15,'Fevereiro 2023 - Valor Real'!C3:C15,0))+O607))))</f>
        <v>16.854300000000002</v>
      </c>
      <c r="Q607" s="101">
        <f>IF(K607="","",IF(_xlfn.XLOOKUP(K607,K$4:K606,$DJ$4:DJ606,0,,-1)=DJ607,_xlfn.XLOOKUP(K607,K$4:K606,Q$4:Q606,1,,-1)+1,1))</f>
        <v>1</v>
      </c>
      <c r="R607" s="102">
        <f>IF(K607="","",_xlfn.XLOOKUP(K607,K$4:K606,R$4:R606,0,,-1)+IF($C607=" ",1,0))</f>
        <v>0</v>
      </c>
      <c r="S607" s="474">
        <f>IF($B607="Anulado",0,ROUND(IF(OR($B607="LOSS",$B607="OK"),IF(OR($C607="W",$C607="1/2W",$C607="1/2L"),P607-O607,IF($C607="L",-O607,0))+IF(OR($C608="W",$C608="1/2W",$C608="1/2L"),P608-O608,IF($C608="L",-O608,0))+IF(OR($C609="W",$C609="1/2W",$C609="1/2L"),P609-O609,IF($C609="L",-O609,0)),IF(AND(OR($C607="W",$C607="1/2W",$C607="1/2L"),C608="W"),P607+P608-SUM(O607:O609)+_xlfn.XLOOKUP("X",C607:C609,O607:O609,0),IF(AND(C607=TRUE,C609="W"),P607+P609-SUM(O607:O609),IF(AND(C608="W",C609="W"),P608+P609-SUM(O607:O609)+_xlfn.XLOOKUP("X",C607:C609,O607:O609,0),IF(L609&gt;0,IF(OR($C607="W",$C607="1/2W",$C607="1/2L"),P607-SUM(O607:O609)+_xlfn.XLOOKUP("X",C607:C609,O607:O609,0),IF(OR($C607="W",$C607="1/2W",$C607="1/2L"),P608-SUM(O607:O609)+_xlfn.XLOOKUP("X",C607:C609,O607:O609,0),IF(OR($C607="W",$C607="1/2W",$C607="1/2L"),P609-SUM(O607:O609)+_xlfn.XLOOKUP("X",C607:C609,O607:O609,0),IF(SUM(P607:P609)/3-SUM(O607:O609)+_xlfn.XLOOKUP("X",C607:C609,O607:O609,0)&gt;0,SUM(P607:P609)/3-SUM(O607:O609)+_xlfn.XLOOKUP("X",C607:C609,O607:O609,0),LARGE(P607:P609,1)-SUM(O607:O609))))),IF(OR($C607="W",$C607="1/2W",$C607="1/2L"),P607-SUM(O607:O608)+_xlfn.XLOOKUP("X",C607:C609,O607:O609,0),IF(OR($C607="W",$C607="1/2W",$C607="1/2L"),P608-SUM(O607:O608)+_xlfn.XLOOKUP("X",C607:C609,O607:O609,0),SUM(P607:P608)/2-SUM(O607:O608)+_xlfn.XLOOKUP("X",C607:C609,O607:O609,0)))))))),2))</f>
        <v>0.59</v>
      </c>
      <c r="T607" s="458">
        <f>IF(S607=0,0,S607/SUM(O607:O609))</f>
        <v>3.6285362853628531E-2</v>
      </c>
      <c r="U607" s="470">
        <f>IF($D607=$D604,IF(OR($B607="LOSS",$B607="OK",$B607="Anulada"),S607,0)+U604,IF(OR($B607="LOSS",$B607="OK",$B607="Anulada"),S607,0))</f>
        <v>-2.79</v>
      </c>
      <c r="V607" s="470">
        <f>IF($D607="",0,IF($D607=$D604,IF($B607=" ",IF(I609="",IF(OR(AND(I607="DNB1",I608="DNB2"),AND(OR(I607="DNB1",I607="DNB2"),J608=0),AND(OR(I608="DNB1",I608="DNB2"),J607=0),AND(I607="DNB2",I608="DNB1"),AND(IF(J607=0,(J607+1)/ROUND(J607+1,0),J607/ROUND(J607,0))=1,IF(J608=0,(J608+1)/ROUND(IF(J608="",0,J608)+1,0),IF(J608="",0,J608)/ROUND(IF(J608="",1,J608),0))=1,OR(J607&lt;&gt;""),J608&lt;&gt;"")),0,IF(S607&lt;0,IF(I609="",SMALL(P607:P608,1)-SUM(O607:O608),0),SMALL(P607:P608,1)-SUM(O607:O608))),IF(S607&lt;0,IF(I609="",SMALL(P607:P609,1)-SUM(O607:O609),0),LARGE(P607:P609,1)-SUM(O607:O609))),S607)+V604,IF(I609="",IF(OR(AND(I607="DNB1",I608="DNB2"),AND(OR(I607="DNB1",I607="DNB2"),J608=0),AND(OR(I608="DNB1",I608="DNB2"),J607=0),AND(I607="DNB2",I608="DNB1"),AND(IF(J607=0,(J607+1)/ROUND(J607+1,0),J607/ROUND(J607,0))=1,IF(J608=0,(IF(J608="",0,J608)+1)/ROUND(IF(J608="",0,J608)+1,0),IF(J608="",0,J608)/ROUND(IF(J608="",0,J608)+1,0))=1,OR(J607&lt;&gt;""),J608&lt;&gt;"")),0,IF(S607&lt;0,IF(I609="",SMALL(P607:P608,1)-SUM(O607:O608),0),SMALL(P607:P609,1)-SUM(O607:O609))),IF(S607&lt;0,IF(I609="",SMALL(P607:P609,1)-SUM(O607:O609),0),LARGE(P607:P609,1)-SUM(O607:O609)))))</f>
        <v>-2.500000000001168E-3</v>
      </c>
      <c r="W607" s="470">
        <f>IF($D607=$D604,IF(S607&lt;0,IF(I609="",S607,0),S607)+W604,S607)</f>
        <v>-2.79</v>
      </c>
      <c r="X607" s="480" t="str">
        <f>IF(OR(SUM(R607:R609)=0,V607=W607),ROUND(IF(W607=0,0,W607/Y607)*100,2)&amp;"%",ROUND(IF(V607=0,0,V607/Y607)*100,2)&amp;"% a "&amp;ROUND(IF(W607=0,0,W607/Y607)*100,2)&amp;"%")</f>
        <v>-5,17%</v>
      </c>
      <c r="Y607" s="471">
        <f>IF($D607=$D604,Y604+SUM(O607:O609),SUM(O607:O609))</f>
        <v>53.97</v>
      </c>
      <c r="Z607" s="470">
        <f>IF($B607=" ",SUM(O607:O609),0)+Z604</f>
        <v>0</v>
      </c>
      <c r="AA607" s="470">
        <f>IF(G607="","",IF($B607="Anulado",LARGE(P607:P609,1)-SUM(O607:O609)+AA604,AA604))</f>
        <v>12.425099999999992</v>
      </c>
      <c r="AB607" s="470">
        <f>IF($D607="","",AB604+S607)</f>
        <v>670.09000000000049</v>
      </c>
      <c r="AC607" s="472">
        <f ca="1">IF($D607="","",IF($B607=" ",IF(DAY(G607)=DAY(TODAY()),1+AC604,0+AC604),0+AC604))</f>
        <v>0</v>
      </c>
      <c r="AD607" s="103">
        <f>(((L608/(L608-1)-1)*(1-_xlfn.XLOOKUP(K608,'Fevereiro 2023 - Valor Real'!A3:A15,'Fevereiro 2023 - Valor Real'!C3:C15,0))+1))/(((L607-1)*(1-_xlfn.XLOOKUP(K607,'Fevereiro 2023 - Valor Real'!A3:A15,'Fevereiro 2023 - Valor Real'!C3:C15,0))+1)+((L608/(L608-1)-1)*(1-_xlfn.XLOOKUP(K608,'Fevereiro 2023 - Valor Real'!A3:A15,'Fevereiro 2023 - Valor Real'!C3:C15,0))+1))</f>
        <v>0.48442345501347872</v>
      </c>
      <c r="AE607" s="104">
        <f>IF(L607="","",IF(L609&gt;0,(SUM(((L607-1)*(1-_xlfn.XLOOKUP(K607,'Fevereiro 2023 - Valor Real'!A3:A15,'Fevereiro 2023 - Valor Real'!C3:C15,0))+1),((L608-1)*(1-_xlfn.XLOOKUP(K608,'Fevereiro 2023 - Valor Real'!A3:A15,'Fevereiro 2023 - Valor Real'!C3:C15,0))+1),((L609-1)*(1-_xlfn.XLOOKUP(K609,'Fevereiro 2023 - Valor Real'!A3:A15,'Fevereiro 2023 - Valor Real'!C3:C15,0))+1))/((L607-1)*(1-_xlfn.XLOOKUP(K607,'Fevereiro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Real'!C3:C15,0))+1))/((L607-1)*(1-_xlfn.XLOOKUP(K607,'Fevereiro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Real'!C3:C15,0))+1))/((L608-1)*(1-_xlfn.XLOOKUP(K608,'Fevereiro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Real'!C3:C15,0))+1))/((L609-1)*(1-_xlfn.XLOOKUP(K609,'Fevereiro 2023 - Valor Real'!A3:A15,'Fevereiro 2023 - Valor Real'!C3:C15,0))+1)),IF(I607="Lay",IF(I608="Lay",((L608/(L608-1)-1)*(1-_xlfn.XLOOKUP(K608,'Fevereiro 2023 - Valor Real'!A3:A15,'Fevereiro 2023 - Valor Real'!C3:C15,0))+1)/(((L608/(L608-1)-1)*(1-_xlfn.XLOOKUP(K608,'Fevereiro 2023 - Valor Real'!A3:A15,'Fevereiro 2023 - Valor Real'!C3:C15,0))+1)+((L607/(L607-1)-1)*(1-_xlfn.XLOOKUP(K607,'Fevereiro 2023 - Valor Real'!A3:A15,'Fevereiro 2023 - Valor Real'!C3:C15,0))+1)),((L608-1)*(1-_xlfn.XLOOKUP(K608,'Fevereiro 2023 - Valor Real'!A3:A15,'Fevereiro 2023 - Valor Real'!C3:C15,0))+1)/(((L608-1)*(1-_xlfn.XLOOKUP(K608,'Fevereiro 2023 - Valor Real'!A3:A15,'Fevereiro 2023 - Valor Real'!C3:C15,0))+1)+((L607/(L607-1)-1)*(1-_xlfn.XLOOKUP(K607,'Fevereiro 2023 - Valor Real'!A3:A15,'Fevereiro 2023 - Valor Real'!C3:C15,0))+1))),IF(I608="Lay",(((L608/(L608-1)-1)*(1-_xlfn.XLOOKUP(K608,'Fevereiro 2023 - Valor Real'!A3:A15,'Fevereiro 2023 - Valor Real'!C3:C15,0))+1))/(((L607-1)*(1-_xlfn.XLOOKUP(K607,'Fevereiro 2023 - Valor Real'!A3:A15,'Fevereiro 2023 - Valor Real'!C3:C15,0))+1)+((L608/(L608-1)-1)*(1-_xlfn.XLOOKUP(K608,'Fevereiro 2023 - Valor Real'!A3:A15,'Fevereiro 2023 - Valor Real'!C3:C15,0))+1)),((L608-1)*(1-_xlfn.XLOOKUP(K608,'Fevereiro 2023 - Valor Real'!A3:A15,'Fevereiro 2023 - Valor Real'!C3:C15,0))+1)/(((L608-1)*(1-_xlfn.XLOOKUP(K608,'Fevereiro 2023 - Valor Real'!A3:A15,'Fevereiro 2023 - Valor Real'!C3:C15,0))+1)+((L607-1)*(1-_xlfn.XLOOKUP(K607,'Fevereiro 2023 - Valor Real'!A3:A15,'Fevereiro 2023 - Valor Real'!C3:C15,0))+1))))))</f>
        <v>0.56635071090047384</v>
      </c>
      <c r="AF607" s="105">
        <f t="shared" si="1220"/>
        <v>0</v>
      </c>
      <c r="AG607" s="106">
        <f t="shared" si="1220"/>
        <v>7.64</v>
      </c>
      <c r="AH607" s="106">
        <f t="shared" si="1220"/>
        <v>0</v>
      </c>
      <c r="AI607" s="106">
        <f t="shared" si="1220"/>
        <v>0</v>
      </c>
      <c r="AJ607" s="106">
        <f t="shared" si="1220"/>
        <v>0</v>
      </c>
      <c r="AK607" s="106">
        <f t="shared" si="1220"/>
        <v>0</v>
      </c>
      <c r="AL607" s="106">
        <f t="shared" si="1220"/>
        <v>0</v>
      </c>
      <c r="AM607" s="106">
        <f t="shared" si="1220"/>
        <v>0</v>
      </c>
      <c r="AN607" s="106">
        <f t="shared" si="1220"/>
        <v>0</v>
      </c>
      <c r="AO607" s="106">
        <f t="shared" si="1220"/>
        <v>0</v>
      </c>
      <c r="AP607" s="106">
        <f t="shared" si="1220"/>
        <v>0</v>
      </c>
      <c r="AQ607" s="106">
        <f t="shared" si="1220"/>
        <v>0</v>
      </c>
      <c r="AR607" s="107">
        <f t="shared" si="1220"/>
        <v>0</v>
      </c>
      <c r="AS607" s="105">
        <f t="shared" ref="AS607:BE607" si="1226">IF(AND($B607=" ",$K607=AS$3),$O607,0)</f>
        <v>0</v>
      </c>
      <c r="AT607" s="106">
        <f t="shared" si="1226"/>
        <v>0</v>
      </c>
      <c r="AU607" s="106">
        <f t="shared" si="1226"/>
        <v>0</v>
      </c>
      <c r="AV607" s="106">
        <f t="shared" si="1226"/>
        <v>0</v>
      </c>
      <c r="AW607" s="106">
        <f t="shared" si="1226"/>
        <v>0</v>
      </c>
      <c r="AX607" s="106">
        <f t="shared" si="1226"/>
        <v>0</v>
      </c>
      <c r="AY607" s="108">
        <f t="shared" si="1226"/>
        <v>0</v>
      </c>
      <c r="AZ607" s="109">
        <f t="shared" si="1226"/>
        <v>0</v>
      </c>
      <c r="BA607" s="109">
        <f t="shared" si="1226"/>
        <v>0</v>
      </c>
      <c r="BB607" s="109">
        <f t="shared" si="1226"/>
        <v>0</v>
      </c>
      <c r="BC607" s="110">
        <f t="shared" si="1226"/>
        <v>0</v>
      </c>
      <c r="BD607" s="106">
        <f t="shared" si="1226"/>
        <v>0</v>
      </c>
      <c r="BE607" s="107">
        <f t="shared" si="1226"/>
        <v>0</v>
      </c>
      <c r="BF607" s="111">
        <f t="shared" si="1222"/>
        <v>0</v>
      </c>
      <c r="BG607" s="106">
        <f t="shared" si="1222"/>
        <v>9.2100000000000009</v>
      </c>
      <c r="BH607" s="106">
        <f t="shared" si="1222"/>
        <v>0</v>
      </c>
      <c r="BI607" s="106">
        <f t="shared" si="1222"/>
        <v>0</v>
      </c>
      <c r="BJ607" s="106">
        <f t="shared" si="1222"/>
        <v>0</v>
      </c>
      <c r="BK607" s="106">
        <f t="shared" si="1222"/>
        <v>0</v>
      </c>
      <c r="BL607" s="106">
        <f t="shared" si="1222"/>
        <v>0</v>
      </c>
      <c r="BM607" s="108">
        <f t="shared" si="1222"/>
        <v>0</v>
      </c>
      <c r="BN607" s="109">
        <f t="shared" si="1222"/>
        <v>0</v>
      </c>
      <c r="BO607" s="109">
        <f t="shared" si="1222"/>
        <v>0</v>
      </c>
      <c r="BP607" s="109">
        <f t="shared" si="1222"/>
        <v>0</v>
      </c>
      <c r="BQ607" s="110">
        <f t="shared" si="1222"/>
        <v>0</v>
      </c>
      <c r="BR607" s="107">
        <f t="shared" si="1222"/>
        <v>0</v>
      </c>
      <c r="BS607" s="463">
        <f>IF($B607="LOSS",IF(AND($K607=BS$3,$C607="L"),-$O607,0)+IF(AND($K608=BS$3,$C608="L"),-$O608,0)+IF(AND($K609=BS$3,$C609="L"),-$O609,0),IF(OR(AND($K607=BS$3,OR($C607="W",$C607="1/2W")),AND($K608=BS$3,OR($C608="W",$C608="1/2W")),AND($K609=BS$3,OR($C609="W",$C609="1/2W"))),$S607,0))</f>
        <v>0</v>
      </c>
      <c r="BT607" s="462">
        <f>IF($B607="LOSS",IF(AND($K607=BT$3,$C607="L"),-$O607,0)+IF(AND($K608=BT$3,$C608="L"),-$O608,0)+IF(AND($K608=BT$3,$C609="L"),-$O609,0),IF(OR(AND($K608=BT$3,OR($C607="W",$C607="1/2W")),AND($K608=BT$3,OR($C608="W",$C608="1/2W")),AND($K608=BT$3,OR($C609="W",$C609="1/2W"))),$S607,0))</f>
        <v>0</v>
      </c>
      <c r="BU607" s="462">
        <f>IF($B607="LOSS",IF(AND($K607=BU$3,$C607="L"),-$O607,0)+IF(AND($K608=BU$3,$C608="L"),-$O608,0)+IF(AND($K608=BU$3,$C609="L"),-$O609,0),IF(OR(AND($K608=BU$3,OR($C607="W",$C607="1/2W")),AND($K608=BU$3,OR($C608="W",$C608="1/2W")),AND($K608=BU$3,OR($C609="W",$C609="1/2W"))),$S607,0))</f>
        <v>0</v>
      </c>
      <c r="BV607" s="462">
        <f t="shared" ref="BV607:CE607" si="1227">IF($B607="LOSS",IF(AND($K607=BV$3,$C607="L"),-$O607,0)+IF(AND($K608=BV$3,$C608="L"),-$O608,0)+IF(AND($K609=BV$3,$C609="L"),-$O609,0),IF(OR(AND($K607=BV$3,OR($C607="W",$C607="1/2W")),AND($K608=BV$3,OR($C608="W",$C608="1/2W")),AND($K609=BV$3,OR($C609="W",$C609="1/2W"))),$S607,0))</f>
        <v>0</v>
      </c>
      <c r="BW607" s="462">
        <f t="shared" si="1227"/>
        <v>0</v>
      </c>
      <c r="BX607" s="462">
        <f t="shared" si="1227"/>
        <v>0</v>
      </c>
      <c r="BY607" s="462">
        <f t="shared" si="1227"/>
        <v>0</v>
      </c>
      <c r="BZ607" s="460">
        <f t="shared" si="1227"/>
        <v>0</v>
      </c>
      <c r="CA607" s="460">
        <f t="shared" si="1227"/>
        <v>0</v>
      </c>
      <c r="CB607" s="460">
        <f t="shared" si="1227"/>
        <v>0</v>
      </c>
      <c r="CC607" s="460">
        <f t="shared" si="1227"/>
        <v>0</v>
      </c>
      <c r="CD607" s="473">
        <f t="shared" si="1227"/>
        <v>0</v>
      </c>
      <c r="CE607" s="479">
        <f t="shared" si="1227"/>
        <v>0</v>
      </c>
      <c r="CF607" s="113">
        <f t="shared" si="1156"/>
        <v>0</v>
      </c>
      <c r="CG607" s="114">
        <f t="shared" si="1157"/>
        <v>0</v>
      </c>
      <c r="CH607" s="114">
        <f t="shared" si="1158"/>
        <v>1</v>
      </c>
      <c r="CI607" s="114">
        <f t="shared" si="1159"/>
        <v>0</v>
      </c>
      <c r="CJ607" s="114">
        <f t="shared" si="1160"/>
        <v>0</v>
      </c>
      <c r="CK607" s="114">
        <f t="shared" si="1161"/>
        <v>0</v>
      </c>
      <c r="CL607" s="114">
        <f t="shared" si="1162"/>
        <v>0</v>
      </c>
      <c r="CM607" s="114">
        <f t="shared" si="1163"/>
        <v>0</v>
      </c>
      <c r="CN607" s="114">
        <f t="shared" si="1164"/>
        <v>0</v>
      </c>
      <c r="CO607" s="114">
        <f t="shared" si="1165"/>
        <v>0</v>
      </c>
      <c r="CP607" s="114">
        <f t="shared" si="1166"/>
        <v>0</v>
      </c>
      <c r="CQ607" s="114">
        <f t="shared" si="1167"/>
        <v>0</v>
      </c>
      <c r="CR607" s="114">
        <f t="shared" si="1168"/>
        <v>0</v>
      </c>
      <c r="CS607" s="114">
        <f t="shared" si="1169"/>
        <v>0</v>
      </c>
      <c r="CT607" s="115">
        <f t="shared" si="1170"/>
        <v>0</v>
      </c>
      <c r="CU607" s="116">
        <f t="shared" si="1171"/>
        <v>0</v>
      </c>
      <c r="CV607" s="116">
        <f t="shared" si="1172"/>
        <v>0</v>
      </c>
      <c r="CW607" s="116">
        <f t="shared" si="1173"/>
        <v>0</v>
      </c>
      <c r="CX607" s="116">
        <f t="shared" si="1174"/>
        <v>0</v>
      </c>
      <c r="CY607" s="116">
        <f t="shared" si="1175"/>
        <v>0</v>
      </c>
      <c r="CZ607" s="116">
        <f t="shared" si="1176"/>
        <v>0</v>
      </c>
      <c r="DA607" s="116">
        <f t="shared" si="1177"/>
        <v>0</v>
      </c>
      <c r="DB607" s="116">
        <f t="shared" si="1178"/>
        <v>0</v>
      </c>
      <c r="DC607" s="116">
        <f t="shared" si="1179"/>
        <v>0</v>
      </c>
      <c r="DD607" s="116">
        <f t="shared" si="1180"/>
        <v>0</v>
      </c>
      <c r="DE607" s="117">
        <f t="shared" si="1181"/>
        <v>0</v>
      </c>
      <c r="DF607" s="118">
        <f t="shared" si="1183"/>
        <v>36</v>
      </c>
      <c r="DG607" s="106">
        <f t="shared" si="1184"/>
        <v>47.227999999999994</v>
      </c>
      <c r="DH607" s="116">
        <f t="shared" si="1185"/>
        <v>14</v>
      </c>
      <c r="DI607" s="106">
        <f t="shared" si="1186"/>
        <v>60.05</v>
      </c>
      <c r="DJ607" s="201" t="str">
        <f>IF($D607="","",$D607)</f>
        <v>20</v>
      </c>
      <c r="DK607" s="465">
        <f>IF(AND($B607=" ",$D607&lt;&gt;""),1,0)</f>
        <v>0</v>
      </c>
    </row>
    <row r="608" spans="1:115" ht="14.5" customHeight="1" x14ac:dyDescent="0.2">
      <c r="A608" s="389"/>
      <c r="B608" s="456"/>
      <c r="C608" s="120" t="s">
        <v>55</v>
      </c>
      <c r="D608" s="374"/>
      <c r="E608" s="386"/>
      <c r="F608" s="377"/>
      <c r="G608" s="483"/>
      <c r="H608" s="476"/>
      <c r="I608" s="121" t="s">
        <v>66</v>
      </c>
      <c r="J608" s="122">
        <f>IF(OR(I607="TO",I607="TU",I607="TO1",I607="TU1",I607="TO2",I607="TU2"),J607,IF(OR(I607="AH1",I607="AH2"),IF(OR(I608="AH1",I608="AH2"),-J607,IF(OR(I608="EH1",I608="EH2"),-J607+0.5,"")),IF(OR(I607="EH1",I607="EH2"),IF(OR(I608="AH1",I608="AH2"),-J607+0.5,IF(OR(I608="EH1",I608="EH2"),-J607+1,"")),IF(AND(OR(I607="DNB1",I607="DNB2"),OR(I608="AH1",I608="AH2")),0,IF(AND(I607="Not ScoreBoth",OR(I608="TO1",I608="TO2")),0.5,"")))))</f>
        <v>0</v>
      </c>
      <c r="K608" s="123" t="s">
        <v>43</v>
      </c>
      <c r="L608" s="124">
        <v>2.39</v>
      </c>
      <c r="M608" s="125"/>
      <c r="N608" s="406"/>
      <c r="O608" s="126">
        <f>IF(OR(AE607="",AE608=""),"",ROUND(IF(L609&gt;0,IF(M608&gt;0,M608,IF(M607&gt;0,IF(N607=TRUE,ROUND((M607*AE608)/AE607,0),(M607*AE608)/AE607),IF(M608&gt;0,ROUND(M608,IF(N607=0,2,IF(N607=0.1,1,0))),IF(M609&gt;0,ROUND(O609*AE608/AE609,IF(N607=0,2,IF(N607=0.1,1,0))),0)))),IF(M608&gt;0,M608,ROUND((M607*AE608)/AE607,IF(N607=0,2,IF(N607=0.1,1,0))))),2))</f>
        <v>7.05</v>
      </c>
      <c r="P608" s="127">
        <f>IF(OR(L608="",O608=""),"",IF($C608="1/2W",O608/2+O608/2*L608,IF($C608="1/2L",O608/2,IF(I608="Lay",((O608*(L608/(L608-1)))-O608)*(1-_xlfn.XLOOKUP(K608,'Fevereiro 2023 - Valor Real'!A3:A15,'Fevereiro 2023 - Valor Real'!C3:C15,0))+O608,(O608*L608-O608)*(1-_xlfn.XLOOKUP(K608,'Fevereiro 2023 - Valor Real'!A3:A15,'Fevereiro 2023 - Valor Real'!C3:C15,0))+O608))))</f>
        <v>16.849499999999999</v>
      </c>
      <c r="Q608" s="128">
        <f>IF(K608="","",IF(_xlfn.XLOOKUP(K608,K$4:K607,$DJ$4:DJ607,0,,-1)=DJ608,_xlfn.XLOOKUP(K608,K$4:K607,Q$4:Q607,1,,-1)+1,1))</f>
        <v>2</v>
      </c>
      <c r="R608" s="129">
        <f>IF(K608="","",_xlfn.XLOOKUP(K608,K$4:K607,R$4:R607,0,,-1)+IF($C608=" ",1,0))</f>
        <v>0</v>
      </c>
      <c r="S608" s="403"/>
      <c r="T608" s="380"/>
      <c r="U608" s="380"/>
      <c r="V608" s="481"/>
      <c r="W608" s="380"/>
      <c r="X608" s="452"/>
      <c r="Y608" s="383"/>
      <c r="Z608" s="384"/>
      <c r="AA608" s="384"/>
      <c r="AB608" s="384"/>
      <c r="AC608" s="384"/>
      <c r="AD608" s="130">
        <f>(((L608/(L608-1)-1)*(1-_xlfn.XLOOKUP(K608,'Fevereiro 2023 - Valor Real'!A3:A15,'Fevereiro 2023 - Valor Real'!C3:C15,0))+1))</f>
        <v>1.7194244604316546</v>
      </c>
      <c r="AE608" s="131">
        <f>IF(L608="","",IF(L609&gt;0,(SUM(((L607-1)*(1-_xlfn.XLOOKUP(K607,'Fevereiro 2023 - Valor Real'!A3:A15,'Fevereiro 2023 - Valor Real'!C3:C15,0))+1),((L608-1)*(1-_xlfn.XLOOKUP(K608,'Fevereiro 2023 - Valor Real'!A3:A15,'Fevereiro 2023 - Valor Real'!C3:C15,0))+1),((L609-1)*(1-_xlfn.XLOOKUP(K609,'Fevereiro 2023 - Valor Real'!A3:A15,'Fevereiro 2023 - Valor Real'!C3:C15,0))+1))/((L608-1)*(1-_xlfn.XLOOKUP(K608,'Fevereiro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Real'!C3:C15,0))+1))/((L607-1)*(1-_xlfn.XLOOKUP(K607,'Fevereiro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Real'!C3:C15,0))+1))/((L608-1)*(1-_xlfn.XLOOKUP(K608,'Fevereiro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Real'!C3:C15,0))+1))/((L609-1)*(1-_xlfn.XLOOKUP(K609,'Fevereiro 2023 - Valor Real'!A3:A15,'Fevereiro 2023 - Valor Real'!C3:C15,0))+1)),IF(I608="Lay",IF(I607="Lay",((L607/(L607-1)-1)*(1-_xlfn.XLOOKUP(K607,'Fevereiro 2023 - Valor Real'!A3:A15,'Fevereiro 2023 - Valor Real'!C3:C15,0))+1)/(((L607/(L607-1)-1)*(1-_xlfn.XLOOKUP(K607,'Fevereiro 2023 - Valor Real'!A3:A15,'Fevereiro 2023 - Valor Real'!C3:C15,0))+1)+((L608/(L608-1)-1)*(1-_xlfn.XLOOKUP(K608,'Fevereiro 2023 - Valor Real'!A3:A15,'Fevereiro 2023 - Valor Real'!C3:C15,0))+1)),((L607-1)*(1-_xlfn.XLOOKUP(K607,'Fevereiro 2023 - Valor Real'!A3:A15,'Fevereiro 2023 - Valor Real'!C3:C15,0))+1)/(((L607-1)*(1-_xlfn.XLOOKUP(K607,'Fevereiro 2023 - Valor Real'!A3:A15,'Fevereiro 2023 - Valor Real'!C3:C15,0))+1)+((L608/(L608-1)-1)*(1-_xlfn.XLOOKUP(K608,'Fevereiro 2023 - Valor Real'!A3:A15,'Fevereiro 2023 - Valor Real'!C3:C15,0))+1))),IF(I607="Lay",((L607/(L607-1)-1)*(1-_xlfn.XLOOKUP(K607,'Fevereiro 2023 - Valor Real'!A3:A15,'Fevereiro 2023 - Valor Real'!C3:C15,0))+1)/((((L607/(L607-1)-1)*(1-_xlfn.XLOOKUP(K607,'Fevereiro 2023 - Valor Real'!A3:A15,'Fevereiro 2023 - Valor Real'!C3:C15,0))+1))+((L608-1)*(1-_xlfn.XLOOKUP(K608,'Fevereiro 2023 - Valor Real'!A3:A15,'Fevereiro 2023 - Valor Real'!C3:C15,0))+1)),((L607-1)*(1-_xlfn.XLOOKUP(K607,'Fevereiro 2023 - Valor Real'!A3:A15,'Fevereiro 2023 - Valor Real'!C3:C15,0))+1)/(((L607-1)*(1-_xlfn.XLOOKUP(K607,'Fevereiro 2023 - Valor Real'!A3:A15,'Fevereiro 2023 - Valor Real'!C3:C15,0))+1)+((L608-1)*(1-_xlfn.XLOOKUP(K608,'Fevereiro 2023 - Valor Real'!A3:A15,'Fevereiro 2023 - Valor Real'!C3:C15,0))+1))))))</f>
        <v>0.43364928909952599</v>
      </c>
      <c r="AF608" s="105">
        <f t="shared" si="1220"/>
        <v>0</v>
      </c>
      <c r="AG608" s="106">
        <f t="shared" si="1220"/>
        <v>0</v>
      </c>
      <c r="AH608" s="106">
        <f t="shared" si="1220"/>
        <v>0</v>
      </c>
      <c r="AI608" s="106">
        <f t="shared" si="1220"/>
        <v>0</v>
      </c>
      <c r="AJ608" s="106">
        <f t="shared" si="1220"/>
        <v>0</v>
      </c>
      <c r="AK608" s="106">
        <f t="shared" si="1220"/>
        <v>0</v>
      </c>
      <c r="AL608" s="106">
        <f t="shared" si="1220"/>
        <v>0</v>
      </c>
      <c r="AM608" s="106">
        <f t="shared" si="1220"/>
        <v>-7.05</v>
      </c>
      <c r="AN608" s="106">
        <f t="shared" si="1220"/>
        <v>0</v>
      </c>
      <c r="AO608" s="106">
        <f t="shared" si="1220"/>
        <v>0</v>
      </c>
      <c r="AP608" s="106">
        <f t="shared" si="1220"/>
        <v>0</v>
      </c>
      <c r="AQ608" s="106">
        <f t="shared" si="1220"/>
        <v>0</v>
      </c>
      <c r="AR608" s="107">
        <f t="shared" si="1220"/>
        <v>0</v>
      </c>
      <c r="AS608" s="105">
        <f>IF(AND($B607=" ",$K608=AS$3),$O608,0)</f>
        <v>0</v>
      </c>
      <c r="AT608" s="106">
        <f>IF(AND($B607=" ",K608=AT$3),$O608,0)</f>
        <v>0</v>
      </c>
      <c r="AU608" s="106">
        <f t="shared" ref="AU608:BE608" si="1228">IF(AND($B607=" ",$K608=AU$3),$O608,0)</f>
        <v>0</v>
      </c>
      <c r="AV608" s="106">
        <f t="shared" si="1228"/>
        <v>0</v>
      </c>
      <c r="AW608" s="106">
        <f t="shared" si="1228"/>
        <v>0</v>
      </c>
      <c r="AX608" s="106">
        <f t="shared" si="1228"/>
        <v>0</v>
      </c>
      <c r="AY608" s="108">
        <f t="shared" si="1228"/>
        <v>0</v>
      </c>
      <c r="AZ608" s="109">
        <f t="shared" si="1228"/>
        <v>0</v>
      </c>
      <c r="BA608" s="109">
        <f t="shared" si="1228"/>
        <v>0</v>
      </c>
      <c r="BB608" s="109">
        <f t="shared" si="1228"/>
        <v>0</v>
      </c>
      <c r="BC608" s="110">
        <f t="shared" si="1228"/>
        <v>0</v>
      </c>
      <c r="BD608" s="106">
        <f t="shared" si="1228"/>
        <v>0</v>
      </c>
      <c r="BE608" s="107">
        <f t="shared" si="1228"/>
        <v>0</v>
      </c>
      <c r="BF608" s="105">
        <f t="shared" si="1222"/>
        <v>0</v>
      </c>
      <c r="BG608" s="106">
        <f t="shared" si="1222"/>
        <v>0</v>
      </c>
      <c r="BH608" s="106">
        <f t="shared" si="1222"/>
        <v>0</v>
      </c>
      <c r="BI608" s="106">
        <f t="shared" si="1222"/>
        <v>0</v>
      </c>
      <c r="BJ608" s="106">
        <f t="shared" si="1222"/>
        <v>0</v>
      </c>
      <c r="BK608" s="106">
        <f t="shared" si="1222"/>
        <v>0</v>
      </c>
      <c r="BL608" s="106">
        <f t="shared" si="1222"/>
        <v>0</v>
      </c>
      <c r="BM608" s="132">
        <f t="shared" si="1222"/>
        <v>7.05</v>
      </c>
      <c r="BN608" s="112">
        <f t="shared" si="1222"/>
        <v>0</v>
      </c>
      <c r="BO608" s="112">
        <f t="shared" si="1222"/>
        <v>0</v>
      </c>
      <c r="BP608" s="112">
        <f t="shared" si="1222"/>
        <v>0</v>
      </c>
      <c r="BQ608" s="110">
        <f t="shared" si="1222"/>
        <v>0</v>
      </c>
      <c r="BR608" s="107">
        <f t="shared" si="1222"/>
        <v>0</v>
      </c>
      <c r="BS608" s="464"/>
      <c r="BT608" s="461"/>
      <c r="BU608" s="392"/>
      <c r="BV608" s="461"/>
      <c r="BW608" s="392"/>
      <c r="BX608" s="392"/>
      <c r="BY608" s="392"/>
      <c r="BZ608" s="461"/>
      <c r="CA608" s="392"/>
      <c r="CB608" s="392"/>
      <c r="CC608" s="392"/>
      <c r="CD608" s="401"/>
      <c r="CE608" s="409"/>
      <c r="CF608" s="133">
        <f t="shared" si="1156"/>
        <v>0</v>
      </c>
      <c r="CG608" s="134">
        <f t="shared" si="1157"/>
        <v>0</v>
      </c>
      <c r="CH608" s="134">
        <f t="shared" si="1158"/>
        <v>0</v>
      </c>
      <c r="CI608" s="134">
        <f t="shared" si="1159"/>
        <v>0</v>
      </c>
      <c r="CJ608" s="134">
        <f t="shared" si="1160"/>
        <v>0</v>
      </c>
      <c r="CK608" s="134">
        <f t="shared" si="1161"/>
        <v>0</v>
      </c>
      <c r="CL608" s="134">
        <f t="shared" si="1162"/>
        <v>0</v>
      </c>
      <c r="CM608" s="134">
        <f t="shared" si="1163"/>
        <v>0</v>
      </c>
      <c r="CN608" s="134">
        <f t="shared" si="1164"/>
        <v>0</v>
      </c>
      <c r="CO608" s="134">
        <f t="shared" si="1165"/>
        <v>0</v>
      </c>
      <c r="CP608" s="134">
        <f t="shared" si="1166"/>
        <v>0</v>
      </c>
      <c r="CQ608" s="134">
        <f t="shared" si="1167"/>
        <v>0</v>
      </c>
      <c r="CR608" s="134">
        <f t="shared" si="1168"/>
        <v>0</v>
      </c>
      <c r="CS608" s="134">
        <f t="shared" si="1169"/>
        <v>0</v>
      </c>
      <c r="CT608" s="115">
        <f t="shared" si="1170"/>
        <v>0</v>
      </c>
      <c r="CU608" s="116">
        <f t="shared" si="1171"/>
        <v>1</v>
      </c>
      <c r="CV608" s="116">
        <f t="shared" si="1172"/>
        <v>0</v>
      </c>
      <c r="CW608" s="116">
        <f t="shared" si="1173"/>
        <v>0</v>
      </c>
      <c r="CX608" s="116">
        <f t="shared" si="1174"/>
        <v>0</v>
      </c>
      <c r="CY608" s="116">
        <f t="shared" si="1175"/>
        <v>0</v>
      </c>
      <c r="CZ608" s="116">
        <f t="shared" si="1176"/>
        <v>0</v>
      </c>
      <c r="DA608" s="116">
        <f t="shared" si="1177"/>
        <v>0</v>
      </c>
      <c r="DB608" s="116">
        <f t="shared" si="1178"/>
        <v>0</v>
      </c>
      <c r="DC608" s="116">
        <f t="shared" si="1179"/>
        <v>0</v>
      </c>
      <c r="DD608" s="116">
        <f t="shared" si="1180"/>
        <v>0</v>
      </c>
      <c r="DE608" s="117">
        <f t="shared" si="1181"/>
        <v>0</v>
      </c>
      <c r="DF608" s="118">
        <f t="shared" si="1183"/>
        <v>36</v>
      </c>
      <c r="DG608" s="106">
        <f t="shared" si="1184"/>
        <v>47.227999999999994</v>
      </c>
      <c r="DH608" s="116">
        <f t="shared" si="1185"/>
        <v>14</v>
      </c>
      <c r="DI608" s="106">
        <f t="shared" si="1186"/>
        <v>60.05</v>
      </c>
      <c r="DJ608" s="201" t="str">
        <f>IF($D607="","",$D607)</f>
        <v>20</v>
      </c>
      <c r="DK608" s="466"/>
    </row>
    <row r="609" spans="1:115" ht="14.5" customHeight="1" x14ac:dyDescent="0.2">
      <c r="A609" s="390"/>
      <c r="B609" s="457"/>
      <c r="C609" s="135" t="s">
        <v>53</v>
      </c>
      <c r="D609" s="375"/>
      <c r="E609" s="387"/>
      <c r="F609" s="378"/>
      <c r="G609" s="484"/>
      <c r="H609" s="477"/>
      <c r="I609" s="136"/>
      <c r="J609" s="137"/>
      <c r="K609" s="138"/>
      <c r="L609" s="139"/>
      <c r="M609" s="140"/>
      <c r="N609" s="407"/>
      <c r="O609" s="141" t="str">
        <f>IF(OR(AE607="",AE608=""),"",IF(L609&gt;0,ROUND(IF(M609&gt;0,M609,IF(M607&gt;0,ROUND((M607*AE609)/AE607,IF(N607=0,2,IF(N607=0.1,1,0))),IF(M608&gt;0,ROUND((M608*AE609)/AE608,IF(N607=0,2,IF(N607=0.1,1,0))),IF(M609&gt;0,M609,0)))),2),""))</f>
        <v/>
      </c>
      <c r="P609" s="142" t="str">
        <f>IF(I608="Lay",O608*(L608/(L608-1))-O608,IF(I607="Lay",O607*(L607/(L607-1))-O607,IF(OR(L609="",O609=""),"",IF($C609="1/2W",O609/2+O609/2*L609,IF($C609="1/2L",O609/2,(O609*L609-O609)*(1-_xlfn.XLOOKUP(K609,'Fevereiro 2023 - Valor Real'!A3:A15,'Fevereiro 2023 - Valor Real'!C3:C15,0))+O609)))))</f>
        <v/>
      </c>
      <c r="Q609" s="143" t="str">
        <f>IF(K609="","",IF(_xlfn.XLOOKUP(K609,K$4:K608,$DJ$4:DJ608,0,,-1)=DJ609,_xlfn.XLOOKUP(K609,K$4:K608,Q$4:Q608,1,,-1)+1,1))</f>
        <v/>
      </c>
      <c r="R609" s="144" t="str">
        <f>IF(K609="","",_xlfn.XLOOKUP(K609,K$4:K608,R$4:R608,0,,-1)+IF($C609=" ",1,0))</f>
        <v/>
      </c>
      <c r="S609" s="404"/>
      <c r="T609" s="378"/>
      <c r="U609" s="378"/>
      <c r="V609" s="404"/>
      <c r="W609" s="378"/>
      <c r="X609" s="453"/>
      <c r="Y609" s="383"/>
      <c r="Z609" s="384"/>
      <c r="AA609" s="384"/>
      <c r="AB609" s="384"/>
      <c r="AC609" s="384"/>
      <c r="AD609" s="145">
        <f>((L608/(L608-1)-1))</f>
        <v>0.71942446043165464</v>
      </c>
      <c r="AE609" s="146" t="str">
        <f>IF(L609="","",(SUM(((L607-1)*(1-_xlfn.XLOOKUP(K607,'Fevereiro 2023 - Valor Real'!A3:A15,'Fevereiro 2023 - Valor Real'!C3:C15,0))+1),((L608-1)*(1-_xlfn.XLOOKUP(K608,'Fevereiro 2023 - Valor Real'!A3:A15,'Fevereiro 2023 - Valor Real'!C3:C15,0))+1),((L609-1)*(1-_xlfn.XLOOKUP(K609,'Fevereiro 2023 - Valor Real'!A3:A15,'Fevereiro 2023 - Valor Real'!C3:C15,0))+1))/((L609-1)*(1-_xlfn.XLOOKUP(K609,'Fevereiro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Real'!C3:C15,0))+1))/((L607-1)*(1-_xlfn.XLOOKUP(K607,'Fevereiro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Real'!C3:C15,0))+1))/((L608-1)*(1-_xlfn.XLOOKUP(K608,'Fevereiro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Real'!C3:C15,0))+1))/((L609-1)*(1-_xlfn.XLOOKUP(K609,'Fevereiro 2023 - Valor Real'!A3:A15,'Fevereiro 2023 - Valor Real'!C3:C15,0))+1)))</f>
        <v/>
      </c>
      <c r="AF609" s="105">
        <f t="shared" si="1220"/>
        <v>0</v>
      </c>
      <c r="AG609" s="106">
        <f t="shared" si="1220"/>
        <v>0</v>
      </c>
      <c r="AH609" s="106">
        <f t="shared" si="1220"/>
        <v>0</v>
      </c>
      <c r="AI609" s="106">
        <f t="shared" si="1220"/>
        <v>0</v>
      </c>
      <c r="AJ609" s="106">
        <f t="shared" si="1220"/>
        <v>0</v>
      </c>
      <c r="AK609" s="106">
        <f t="shared" si="1220"/>
        <v>0</v>
      </c>
      <c r="AL609" s="106">
        <f t="shared" si="1220"/>
        <v>0</v>
      </c>
      <c r="AM609" s="106">
        <f t="shared" si="1220"/>
        <v>0</v>
      </c>
      <c r="AN609" s="106">
        <f t="shared" si="1220"/>
        <v>0</v>
      </c>
      <c r="AO609" s="106">
        <f t="shared" si="1220"/>
        <v>0</v>
      </c>
      <c r="AP609" s="106">
        <f t="shared" si="1220"/>
        <v>0</v>
      </c>
      <c r="AQ609" s="106">
        <f t="shared" si="1220"/>
        <v>0</v>
      </c>
      <c r="AR609" s="107">
        <f t="shared" si="1220"/>
        <v>0</v>
      </c>
      <c r="AS609" s="105">
        <f>IF(AND($B607=" ",$K609=AS$3),$O609,0)</f>
        <v>0</v>
      </c>
      <c r="AT609" s="106">
        <f>IF(AND($B607=" ",K609=AT$3),$O609,0)</f>
        <v>0</v>
      </c>
      <c r="AU609" s="106">
        <f t="shared" ref="AU609:BE609" si="1229">IF(AND($B607=" ",$K609=AU$3),$O609,0)</f>
        <v>0</v>
      </c>
      <c r="AV609" s="106">
        <f t="shared" si="1229"/>
        <v>0</v>
      </c>
      <c r="AW609" s="106">
        <f t="shared" si="1229"/>
        <v>0</v>
      </c>
      <c r="AX609" s="106">
        <f t="shared" si="1229"/>
        <v>0</v>
      </c>
      <c r="AY609" s="108">
        <f t="shared" si="1229"/>
        <v>0</v>
      </c>
      <c r="AZ609" s="109">
        <f t="shared" si="1229"/>
        <v>0</v>
      </c>
      <c r="BA609" s="109">
        <f t="shared" si="1229"/>
        <v>0</v>
      </c>
      <c r="BB609" s="109">
        <f t="shared" si="1229"/>
        <v>0</v>
      </c>
      <c r="BC609" s="110">
        <f t="shared" si="1229"/>
        <v>0</v>
      </c>
      <c r="BD609" s="106">
        <f t="shared" si="1229"/>
        <v>0</v>
      </c>
      <c r="BE609" s="107">
        <f t="shared" si="1229"/>
        <v>0</v>
      </c>
      <c r="BF609" s="105">
        <f t="shared" si="1222"/>
        <v>0</v>
      </c>
      <c r="BG609" s="106">
        <f t="shared" si="1222"/>
        <v>0</v>
      </c>
      <c r="BH609" s="106">
        <f t="shared" si="1222"/>
        <v>0</v>
      </c>
      <c r="BI609" s="106">
        <f t="shared" si="1222"/>
        <v>0</v>
      </c>
      <c r="BJ609" s="106">
        <f t="shared" si="1222"/>
        <v>0</v>
      </c>
      <c r="BK609" s="106">
        <f t="shared" si="1222"/>
        <v>0</v>
      </c>
      <c r="BL609" s="106">
        <f t="shared" si="1222"/>
        <v>0</v>
      </c>
      <c r="BM609" s="108">
        <f t="shared" si="1222"/>
        <v>0</v>
      </c>
      <c r="BN609" s="109">
        <f t="shared" si="1222"/>
        <v>0</v>
      </c>
      <c r="BO609" s="109">
        <f t="shared" si="1222"/>
        <v>0</v>
      </c>
      <c r="BP609" s="109">
        <f t="shared" si="1222"/>
        <v>0</v>
      </c>
      <c r="BQ609" s="110">
        <f t="shared" si="1222"/>
        <v>0</v>
      </c>
      <c r="BR609" s="107">
        <f t="shared" si="1222"/>
        <v>0</v>
      </c>
      <c r="BS609" s="464"/>
      <c r="BT609" s="461"/>
      <c r="BU609" s="392"/>
      <c r="BV609" s="461"/>
      <c r="BW609" s="392"/>
      <c r="BX609" s="392"/>
      <c r="BY609" s="392"/>
      <c r="BZ609" s="461"/>
      <c r="CA609" s="392"/>
      <c r="CB609" s="392"/>
      <c r="CC609" s="392"/>
      <c r="CD609" s="401"/>
      <c r="CE609" s="409"/>
      <c r="CF609" s="133">
        <f t="shared" si="1156"/>
        <v>0</v>
      </c>
      <c r="CG609" s="134">
        <f t="shared" si="1157"/>
        <v>0</v>
      </c>
      <c r="CH609" s="134">
        <f t="shared" si="1158"/>
        <v>0</v>
      </c>
      <c r="CI609" s="134">
        <f t="shared" si="1159"/>
        <v>0</v>
      </c>
      <c r="CJ609" s="134">
        <f t="shared" si="1160"/>
        <v>0</v>
      </c>
      <c r="CK609" s="134">
        <f t="shared" si="1161"/>
        <v>0</v>
      </c>
      <c r="CL609" s="134">
        <f t="shared" si="1162"/>
        <v>0</v>
      </c>
      <c r="CM609" s="134">
        <f t="shared" si="1163"/>
        <v>0</v>
      </c>
      <c r="CN609" s="134">
        <f t="shared" si="1164"/>
        <v>0</v>
      </c>
      <c r="CO609" s="134">
        <f t="shared" si="1165"/>
        <v>0</v>
      </c>
      <c r="CP609" s="134">
        <f t="shared" si="1166"/>
        <v>0</v>
      </c>
      <c r="CQ609" s="134">
        <f t="shared" si="1167"/>
        <v>0</v>
      </c>
      <c r="CR609" s="134">
        <f t="shared" si="1168"/>
        <v>0</v>
      </c>
      <c r="CS609" s="134">
        <f t="shared" si="1169"/>
        <v>0</v>
      </c>
      <c r="CT609" s="115">
        <f t="shared" si="1170"/>
        <v>0</v>
      </c>
      <c r="CU609" s="116">
        <f t="shared" si="1171"/>
        <v>0</v>
      </c>
      <c r="CV609" s="116">
        <f t="shared" si="1172"/>
        <v>0</v>
      </c>
      <c r="CW609" s="116">
        <f t="shared" si="1173"/>
        <v>0</v>
      </c>
      <c r="CX609" s="116">
        <f t="shared" si="1174"/>
        <v>0</v>
      </c>
      <c r="CY609" s="116">
        <f t="shared" si="1175"/>
        <v>0</v>
      </c>
      <c r="CZ609" s="116">
        <f t="shared" si="1176"/>
        <v>0</v>
      </c>
      <c r="DA609" s="116">
        <f t="shared" si="1177"/>
        <v>0</v>
      </c>
      <c r="DB609" s="116">
        <f t="shared" si="1178"/>
        <v>0</v>
      </c>
      <c r="DC609" s="116">
        <f t="shared" si="1179"/>
        <v>0</v>
      </c>
      <c r="DD609" s="116">
        <f t="shared" si="1180"/>
        <v>0</v>
      </c>
      <c r="DE609" s="117">
        <f t="shared" si="1181"/>
        <v>0</v>
      </c>
      <c r="DF609" s="118">
        <f t="shared" si="1183"/>
        <v>36</v>
      </c>
      <c r="DG609" s="106">
        <f t="shared" si="1184"/>
        <v>47.227999999999994</v>
      </c>
      <c r="DH609" s="116">
        <f t="shared" si="1185"/>
        <v>14</v>
      </c>
      <c r="DI609" s="106">
        <f t="shared" si="1186"/>
        <v>60.05</v>
      </c>
      <c r="DJ609" s="201" t="str">
        <f>IF($D607="","",$D607)</f>
        <v>20</v>
      </c>
      <c r="DK609" s="466"/>
    </row>
    <row r="610" spans="1:115" ht="14.5" customHeight="1" x14ac:dyDescent="0.2">
      <c r="A610" s="487">
        <f>$A607+1</f>
        <v>203</v>
      </c>
      <c r="B610" s="506" t="str">
        <f>IF(OR(C610="W",C611="W",C612="W",C610="1/2W",C611="1/2W",C612="1/2W",C610="1/2L",C611="1/2L",C612="1/2L"),"OK",IF(OR(C610="L",C611="L",C612="L"),"LOSS",IF(OR(C610="X",C611="X",C612="X"),"Anulado"," ")))</f>
        <v>OK</v>
      </c>
      <c r="C610" s="147" t="s">
        <v>54</v>
      </c>
      <c r="D610" s="494" t="str">
        <f>IF(G610="","",$D607)</f>
        <v>20</v>
      </c>
      <c r="E610" s="511" t="str">
        <f>IF(G610=""," ","– "&amp;COUNTIF(D$4:D612,$D610))</f>
        <v>– 4</v>
      </c>
      <c r="F610" s="510" t="str">
        <f ca="1">IF(G610="","",IF(OR(AND($C610&lt;&gt;" ",$C611=" "),AND($C611&lt;&gt;" ",$C610=" "),AND(L612&gt;0,OR(AND($C612&lt;&gt;" ",OR($C610=" ",$C611=" ")),AND($C612=" ",OR($C610&lt;&gt;" ",$C611&lt;&gt;" "))))),IF(SUM(F$4:F609)=0,1,LARGE(F$4:F609,1)+1),IF(MONTH(G610)=MONTH(TODAY()),IF(AND(DAY(G610)&lt;DAY(TODAY()),$B610=" "),IF(SUM(F$4:F609)=0,1,LARGE(F$4:F609,1)+1),IF($B610=" ",IF(AND(DAY(G610)=DAY(TODAY()),HOUR(G610)&lt;=HOUR(NOW())+1),IF(AND(HOUR(G610)+2&lt;=HOUR(NOW()),DAY(G610)&lt;=DAY(TODAY()),MINUTE(G610)&lt;=MINUTE(NOW())),IF(SUM(F$4:F609)=0,1,LARGE(F$4:F609,1)+1),IF(OR(MINUTE(G610)&lt;=MINUTE(NOW()),HOUR(G610)&lt;=HOUR(NOW())),"!!!","")),""),"")),"")))</f>
        <v/>
      </c>
      <c r="G610" s="508">
        <v>45005.541666666664</v>
      </c>
      <c r="H610" s="502" t="s">
        <v>225</v>
      </c>
      <c r="I610" s="180" t="s">
        <v>76</v>
      </c>
      <c r="J610" s="181">
        <v>1.5</v>
      </c>
      <c r="K610" s="150" t="s">
        <v>37</v>
      </c>
      <c r="L610" s="151">
        <v>2.25</v>
      </c>
      <c r="M610" s="152">
        <v>10</v>
      </c>
      <c r="N610" s="503">
        <v>0</v>
      </c>
      <c r="O610" s="153">
        <f>IF(OR(AE610="",AE611=""),"",ROUND(IF(L612&gt;0,IF(M610&gt;0,M610,IF(M611&gt;0,ROUND((M611*AE610)/AE611,IF(N610=0,2,IF(N610=0.1,1,0))),ROUND((M612*AE610)/AE612,IF(N610=0,2,IF(N610=0.1,1,0))))),IF(M610&gt;0,M610,ROUND((M611*AE610)/AE611,IF(N610=0,2,IF(N610=0.1,1,0))))),2))</f>
        <v>10</v>
      </c>
      <c r="P610" s="154">
        <f>IF(OR(L610="",O610=""),"",IF($C610="1/2W",O610/2+O610/2*L610,IF($C610="1/2L",O610/2,IF(I610="Lay",(O610*(L610/(L610-1))-O610)*(1-_xlfn.XLOOKUP(K610,'Fevereiro 2023 - Valor Real'!A3:A15,'Fevereiro 2023 - Valor Real'!C3:C15,0))+O610,(O610*L610-O610)*(1-_xlfn.XLOOKUP(K610,'Fevereiro 2023 - Valor Real'!A3:A15,'Fevereiro 2023 - Valor Real'!C3:C15,0))+O610))))</f>
        <v>22.5</v>
      </c>
      <c r="Q610" s="155">
        <f>IF(K610="","",IF(_xlfn.XLOOKUP(K610,K$9:K602,$DJ$9:DJ602,0,,-1)=DJ610,_xlfn.XLOOKUP(K610,K$9:K602,Q$9:Q602,1,,-1)+1,1))</f>
        <v>1</v>
      </c>
      <c r="R610" s="156">
        <f>IF(K610="","",_xlfn.XLOOKUP(K610,K$9:K602,R$9:R602,0,,-1)+IF($C610=" ",1,0))</f>
        <v>0</v>
      </c>
      <c r="S610" s="501">
        <f>IF($B610="Anulado",0,ROUND(IF(OR($B610="LOSS",$B610="OK"),IF(OR($C610="W",$C610="1/2W",$C610="1/2L"),P610-O610,IF($C610="L",-O610,0))+IF(OR($C611="W",$C611="1/2W",$C611="1/2L"),P611-O611,IF($C611="L",-O611,0))+IF(OR($C612="W",$C612="1/2W",$C612="1/2L"),P612-O612,IF($C612="L",-O612,0)),IF(AND(OR($C610="W",$C610="1/2W",$C610="1/2L"),C611="W"),P610+P611-SUM(O610:O612)+_xlfn.XLOOKUP("X",C610:C612,O610:O612,0),IF(AND(C610=TRUE,C612="W"),P610+P612-SUM(O610:O612),IF(AND(C611="W",C612="W"),P611+P612-SUM(O610:O612)+_xlfn.XLOOKUP("X",C610:C612,O610:O612,0),IF(L612&gt;0,IF(OR($C610="W",$C610="1/2W",$C610="1/2L"),P610-SUM(O610:O612)+_xlfn.XLOOKUP("X",C610:C612,O610:O612,0),IF(OR($C610="W",$C610="1/2W",$C610="1/2L"),P611-SUM(O610:O612)+_xlfn.XLOOKUP("X",C610:C612,O610:O612,0),IF(OR($C610="W",$C610="1/2W",$C610="1/2L"),P612-SUM(O610:O612)+_xlfn.XLOOKUP("X",C610:C612,O610:O612,0),IF(SUM(P610:P612)/3-SUM(O610:O612)+_xlfn.XLOOKUP("X",C610:C612,O610:O612,0)&gt;0,SUM(P610:P612)/3-SUM(O610:O612)+_xlfn.XLOOKUP("X",C610:C612,O610:O612,0),LARGE(P610:P612,1)-SUM(O610:O612))))),IF(OR($C610="W",$C610="1/2W",$C610="1/2L"),P610-SUM(O610:O611)+_xlfn.XLOOKUP("X",C610:C612,O610:O612,0),IF(OR($C610="W",$C610="1/2W",$C610="1/2L"),P611-SUM(O610:O611)+_xlfn.XLOOKUP("X",C610:C612,O610:O612,0),SUM(P610:P611)/2-SUM(O610:O611)+_xlfn.XLOOKUP("X",C610:C612,O610:O612,0)))))))),2))</f>
        <v>1.25</v>
      </c>
      <c r="T610" s="486">
        <f>IF(S610=0,0,S610/SUM(O610:O612))</f>
        <v>5.8823529411764705E-2</v>
      </c>
      <c r="U610" s="496">
        <f>IF($D610=$D607,IF(OR($B610="LOSS",$B610="OK",$B610="Anulada"),S610,0)+U607,IF(OR($B610="LOSS",$B610="OK",$B610="Anulada"),S610,0))</f>
        <v>-1.54</v>
      </c>
      <c r="V610" s="496">
        <f>IF($D610="",0,IF($D610=$D607,IF($B610=" ",IF(I612="",IF(OR(AND(I610="DNB1",I611="DNB2"),AND(OR(I610="DNB1",I610="DNB2"),J611=0),AND(OR(I611="DNB1",I611="DNB2"),J610=0),AND(I610="DNB2",I611="DNB1"),AND(IF(J610=0,(J610+1)/ROUND(J610+1,0),J610/ROUND(J610,0))=1,IF(J611=0,(J611+1)/ROUND(IF(J611="",0,J611)+1,0),IF(J611="",0,J611)/ROUND(IF(J611="",1,J611),0))=1,OR(J610&lt;&gt;""),J611&lt;&gt;"")),0,IF(S610&lt;0,IF(I612="",SMALL(P610:P611,1)-SUM(O610:O611),0),SMALL(P610:P611,1)-SUM(O610:O611))),IF(S610&lt;0,IF(I612="",SMALL(P610:P612,1)-SUM(O610:O612),0),LARGE(P610:P612,1)-SUM(O610:O612))),S610)+V607,IF(I612="",IF(OR(AND(I610="DNB1",I611="DNB2"),AND(OR(I610="DNB1",I610="DNB2"),J611=0),AND(OR(I611="DNB1",I611="DNB2"),J610=0),AND(I610="DNB2",I611="DNB1"),AND(IF(J610=0,(J610+1)/ROUND(J610+1,0),J610/ROUND(J610,0))=1,IF(J611=0,(IF(J611="",0,J611)+1)/ROUND(IF(J611="",0,J611)+1,0),IF(J611="",0,J611)/ROUND(IF(J611="",0,J611)+1,0))=1,OR(J610&lt;&gt;""),J611&lt;&gt;"")),0,IF(S610&lt;0,IF(I612="",SMALL(P610:P611,1)-SUM(O610:O611),0),SMALL(P610:P612,1)-SUM(O610:O612))),IF(S610&lt;0,IF(I612="",SMALL(P610:P612,1)-SUM(O610:O612),0),LARGE(P610:P612,1)-SUM(O610:O612)))))</f>
        <v>1.2474999999999987</v>
      </c>
      <c r="W610" s="496">
        <f>IF($D610=$D607,IF(S610&lt;0,IF(I612="",S610,0),S610)+W607,S610)</f>
        <v>-1.54</v>
      </c>
      <c r="X610" s="505" t="str">
        <f>IF(OR(SUM(R610:R612)=0,V610=W610),ROUND(IF(W610=0,0,W610/Y610)*100,2)&amp;"%",ROUND(IF(V610=0,0,V610/Y610)*100,2)&amp;"% a "&amp;ROUND(IF(W610=0,0,W610/Y610)*100,2)&amp;"%")</f>
        <v>-2,05%</v>
      </c>
      <c r="Y610" s="497">
        <f>IF($D610=$D607,Y607+SUM(O610:O612),SUM(O610:O612))</f>
        <v>75.22</v>
      </c>
      <c r="Z610" s="496">
        <f>IF($B610=" ",SUM(O610:O612),0)+Z607</f>
        <v>0</v>
      </c>
      <c r="AA610" s="496">
        <f>IF(G610="","",IF($B610="Anulado",LARGE(P610:P612,1)-SUM(O610:O612)+AA607,AA607))</f>
        <v>12.425099999999992</v>
      </c>
      <c r="AB610" s="496">
        <f>IF($D610="","",AB607+S610)</f>
        <v>671.34000000000049</v>
      </c>
      <c r="AC610" s="499">
        <f ca="1">IF($D610="","",IF($B610=" ",IF(DAY(G610)=DAY(TODAY()),1+AC607,0+AC607),0+AC607))</f>
        <v>0</v>
      </c>
      <c r="AD610" s="157">
        <f>(1-_xlfn.XLOOKUP(K608,'Fevereiro 2023 - Valor Real'!A3:A15,'Fevereiro 2023 - Valor Real'!C3:C15,0))+1</f>
        <v>2</v>
      </c>
      <c r="AE610" s="158">
        <f>IF(L610="","",IF(L612&gt;0,(SUM(((L610-1)*(1-_xlfn.XLOOKUP(K610,'Fevereiro 2023 - Valor Real'!A3:A15,'Fevereiro 2023 - Valor Real'!C3:C15,0))+1),((L611-1)*(1-_xlfn.XLOOKUP(K611,'Fevereiro 2023 - Valor Real'!A3:A15,'Fevereiro 2023 - Valor Real'!C3:C15,0))+1),((L612-1)*(1-_xlfn.XLOOKUP(K612,'Fevereiro 2023 - Valor Real'!A3:A15,'Fevereiro 2023 - Valor Real'!C3:C15,0))+1))/((L610-1)*(1-_xlfn.XLOOKUP(K610,'Fevereiro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Real'!C3:C15,0))+1))/((L610-1)*(1-_xlfn.XLOOKUP(K610,'Fevereiro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Real'!C3:C15,0))+1))/((L611-1)*(1-_xlfn.XLOOKUP(K611,'Fevereiro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Real'!C3:C15,0))+1))/((L612-1)*(1-_xlfn.XLOOKUP(K612,'Fevereiro 2023 - Valor Real'!A3:A15,'Fevereiro 2023 - Valor Real'!C3:C15,0))+1)),IF(I610="Lay",IF(I611="Lay",((L611/(L611-1)-1)*(1-_xlfn.XLOOKUP(K611,'Fevereiro 2023 - Valor Real'!A3:A15,'Fevereiro 2023 - Valor Real'!C3:C15,0))+1)/(((L611/(L611-1)-1)*(1-_xlfn.XLOOKUP(K611,'Fevereiro 2023 - Valor Real'!A3:A15,'Fevereiro 2023 - Valor Real'!C3:C15,0))+1)+((L610/(L610-1)-1)*(1-_xlfn.XLOOKUP(K610,'Fevereiro 2023 - Valor Real'!A3:A15,'Fevereiro 2023 - Valor Real'!C3:C15,0))+1)),((L611-1)*(1-_xlfn.XLOOKUP(K611,'Fevereiro 2023 - Valor Real'!A3:A15,'Fevereiro 2023 - Valor Real'!C3:C15,0))+1)/(((L611-1)*(1-_xlfn.XLOOKUP(K611,'Fevereiro 2023 - Valor Real'!A3:A15,'Fevereiro 2023 - Valor Real'!C3:C15,0))+1)+((L610/(L610-1)-1)*(1-_xlfn.XLOOKUP(K610,'Fevereiro 2023 - Valor Real'!A3:A15,'Fevereiro 2023 - Valor Real'!C3:C15,0))+1))),IF(I611="Lay",(((L611/(L611-1)-1)*(1-_xlfn.XLOOKUP(K611,'Fevereiro 2023 - Valor Real'!A3:A15,'Fevereiro 2023 - Valor Real'!C3:C15,0))+1))/(((L610-1)*(1-_xlfn.XLOOKUP(K610,'Fevereiro 2023 - Valor Real'!A3:A15,'Fevereiro 2023 - Valor Real'!C3:C15,0))+1)+((L611/(L611-1)-1)*(1-_xlfn.XLOOKUP(K611,'Fevereiro 2023 - Valor Real'!A3:A15,'Fevereiro 2023 - Valor Real'!C3:C15,0))+1)),((L611-1)*(1-_xlfn.XLOOKUP(K611,'Fevereiro 2023 - Valor Real'!A3:A15,'Fevereiro 2023 - Valor Real'!C3:C15,0))+1)/(((L611-1)*(1-_xlfn.XLOOKUP(K611,'Fevereiro 2023 - Valor Real'!A3:A15,'Fevereiro 2023 - Valor Real'!C3:C15,0))+1)+((L610-1)*(1-_xlfn.XLOOKUP(K610,'Fevereiro 2023 - Valor Real'!A3:A15,'Fevereiro 2023 - Valor Real'!C3:C15,0))+1))))))</f>
        <v>0.47058823529411764</v>
      </c>
      <c r="AF610" s="66">
        <f t="shared" si="1220"/>
        <v>0</v>
      </c>
      <c r="AG610" s="67">
        <f t="shared" si="1220"/>
        <v>12.5</v>
      </c>
      <c r="AH610" s="67">
        <f t="shared" si="1220"/>
        <v>0</v>
      </c>
      <c r="AI610" s="67">
        <f t="shared" si="1220"/>
        <v>0</v>
      </c>
      <c r="AJ610" s="67">
        <f t="shared" si="1220"/>
        <v>0</v>
      </c>
      <c r="AK610" s="67">
        <f t="shared" si="1220"/>
        <v>0</v>
      </c>
      <c r="AL610" s="67">
        <f t="shared" si="1220"/>
        <v>0</v>
      </c>
      <c r="AM610" s="67">
        <f t="shared" si="1220"/>
        <v>0</v>
      </c>
      <c r="AN610" s="67">
        <f t="shared" si="1220"/>
        <v>0</v>
      </c>
      <c r="AO610" s="67">
        <f t="shared" si="1220"/>
        <v>0</v>
      </c>
      <c r="AP610" s="67">
        <f t="shared" si="1220"/>
        <v>0</v>
      </c>
      <c r="AQ610" s="67">
        <f t="shared" si="1220"/>
        <v>0</v>
      </c>
      <c r="AR610" s="68">
        <f t="shared" si="1220"/>
        <v>0</v>
      </c>
      <c r="AS610" s="66">
        <f t="shared" ref="AS610:BE610" si="1230">IF(AND($B610=" ",$K610=AS$3),$O610,0)</f>
        <v>0</v>
      </c>
      <c r="AT610" s="67">
        <f t="shared" si="1230"/>
        <v>0</v>
      </c>
      <c r="AU610" s="67">
        <f t="shared" si="1230"/>
        <v>0</v>
      </c>
      <c r="AV610" s="67">
        <f t="shared" si="1230"/>
        <v>0</v>
      </c>
      <c r="AW610" s="67">
        <f t="shared" si="1230"/>
        <v>0</v>
      </c>
      <c r="AX610" s="67">
        <f t="shared" si="1230"/>
        <v>0</v>
      </c>
      <c r="AY610" s="69">
        <f t="shared" si="1230"/>
        <v>0</v>
      </c>
      <c r="AZ610" s="70">
        <f t="shared" si="1230"/>
        <v>0</v>
      </c>
      <c r="BA610" s="70">
        <f t="shared" si="1230"/>
        <v>0</v>
      </c>
      <c r="BB610" s="70">
        <f t="shared" si="1230"/>
        <v>0</v>
      </c>
      <c r="BC610" s="71">
        <f t="shared" si="1230"/>
        <v>0</v>
      </c>
      <c r="BD610" s="67">
        <f t="shared" si="1230"/>
        <v>0</v>
      </c>
      <c r="BE610" s="68">
        <f t="shared" si="1230"/>
        <v>0</v>
      </c>
      <c r="BF610" s="66">
        <f t="shared" si="1222"/>
        <v>0</v>
      </c>
      <c r="BG610" s="67">
        <f t="shared" si="1222"/>
        <v>10</v>
      </c>
      <c r="BH610" s="67">
        <f t="shared" si="1222"/>
        <v>0</v>
      </c>
      <c r="BI610" s="67">
        <f t="shared" si="1222"/>
        <v>0</v>
      </c>
      <c r="BJ610" s="67">
        <f t="shared" si="1222"/>
        <v>0</v>
      </c>
      <c r="BK610" s="67">
        <f t="shared" si="1222"/>
        <v>0</v>
      </c>
      <c r="BL610" s="67">
        <f t="shared" si="1222"/>
        <v>0</v>
      </c>
      <c r="BM610" s="69">
        <f t="shared" si="1222"/>
        <v>0</v>
      </c>
      <c r="BN610" s="70">
        <f t="shared" si="1222"/>
        <v>0</v>
      </c>
      <c r="BO610" s="70">
        <f t="shared" si="1222"/>
        <v>0</v>
      </c>
      <c r="BP610" s="70">
        <f t="shared" si="1222"/>
        <v>0</v>
      </c>
      <c r="BQ610" s="71">
        <f t="shared" si="1222"/>
        <v>0</v>
      </c>
      <c r="BR610" s="68">
        <f t="shared" si="1222"/>
        <v>0</v>
      </c>
      <c r="BS610" s="490">
        <f>IF($B610="LOSS",IF(AND($K610=BS$3,$C610="L"),-$O610,0)+IF(AND($K611=BS$3,$C611="L"),-$O611,0)+IF(AND($K612=BS$3,$C612="L"),-$O612,0),IF(OR(AND($K610=BS$3,OR($C610="W",$C610="1/2W")),AND($K611=BS$3,OR($C611="W",$C611="1/2W")),AND($K612=BS$3,OR($C612="W",$C612="1/2W"))),$S610,0))</f>
        <v>0</v>
      </c>
      <c r="BT610" s="498">
        <f>IF($B610="LOSS",IF(AND($K610=BT$3,$C610="L"),-$O610,0)+IF(AND($K611=BT$3,$C611="L"),-$O611,0)+IF(AND($K611=BT$3,$C612="L"),-$O612,0),IF(OR(AND($K611=BT$3,OR($C610="W",$C610="1/2W")),AND($K611=BT$3,OR($C611="W",$C611="1/2W")),AND($K611=BT$3,OR($C612="W",$C612="1/2W"))),$S610,0))</f>
        <v>0</v>
      </c>
      <c r="BU610" s="488">
        <f>IF($B610="LOSS",IF(AND($K610=BU$3,$C610="L"),-$O610,0)+IF(AND($K611=BU$3,$C611="L"),-$O611,0)+IF(AND($K611=BU$3,$C612="L"),-$O612,0),IF(OR(AND($K611=BU$3,OR($C610="W",$C610="1/2W")),AND($K611=BU$3,OR($C611="W",$C611="1/2W")),AND($K611=BU$3,OR($C612="W",$C612="1/2W"))),$S610,0))</f>
        <v>0</v>
      </c>
      <c r="BV610" s="488">
        <f t="shared" ref="BV610:CE610" si="1231">IF($B610="LOSS",IF(AND($K610=BV$3,$C610="L"),-$O610,0)+IF(AND($K611=BV$3,$C611="L"),-$O611,0)+IF(AND($K612=BV$3,$C612="L"),-$O612,0),IF(OR(AND($K610=BV$3,OR($C610="W",$C610="1/2W")),AND($K611=BV$3,OR($C611="W",$C611="1/2W")),AND($K612=BV$3,OR($C612="W",$C612="1/2W"))),$S610,0))</f>
        <v>0</v>
      </c>
      <c r="BW610" s="488">
        <f t="shared" si="1231"/>
        <v>0</v>
      </c>
      <c r="BX610" s="488">
        <f t="shared" si="1231"/>
        <v>0</v>
      </c>
      <c r="BY610" s="488">
        <f t="shared" si="1231"/>
        <v>0</v>
      </c>
      <c r="BZ610" s="488">
        <f t="shared" si="1231"/>
        <v>0</v>
      </c>
      <c r="CA610" s="488">
        <f t="shared" si="1231"/>
        <v>0</v>
      </c>
      <c r="CB610" s="488">
        <f t="shared" si="1231"/>
        <v>0</v>
      </c>
      <c r="CC610" s="488">
        <f t="shared" si="1231"/>
        <v>0</v>
      </c>
      <c r="CD610" s="500">
        <f t="shared" si="1231"/>
        <v>0</v>
      </c>
      <c r="CE610" s="504">
        <f t="shared" si="1231"/>
        <v>0</v>
      </c>
      <c r="CF610" s="160">
        <f t="shared" si="1156"/>
        <v>0</v>
      </c>
      <c r="CG610" s="161">
        <f t="shared" si="1157"/>
        <v>0</v>
      </c>
      <c r="CH610" s="161">
        <f t="shared" si="1158"/>
        <v>1</v>
      </c>
      <c r="CI610" s="161">
        <f t="shared" si="1159"/>
        <v>0</v>
      </c>
      <c r="CJ610" s="161">
        <f t="shared" si="1160"/>
        <v>0</v>
      </c>
      <c r="CK610" s="161">
        <f t="shared" si="1161"/>
        <v>0</v>
      </c>
      <c r="CL610" s="161">
        <f t="shared" si="1162"/>
        <v>0</v>
      </c>
      <c r="CM610" s="161">
        <f t="shared" si="1163"/>
        <v>0</v>
      </c>
      <c r="CN610" s="161">
        <f t="shared" si="1164"/>
        <v>0</v>
      </c>
      <c r="CO610" s="161">
        <f t="shared" si="1165"/>
        <v>0</v>
      </c>
      <c r="CP610" s="161">
        <f t="shared" si="1166"/>
        <v>0</v>
      </c>
      <c r="CQ610" s="161">
        <f t="shared" si="1167"/>
        <v>0</v>
      </c>
      <c r="CR610" s="161">
        <f t="shared" si="1168"/>
        <v>0</v>
      </c>
      <c r="CS610" s="161">
        <f t="shared" si="1169"/>
        <v>0</v>
      </c>
      <c r="CT610" s="75">
        <f t="shared" si="1170"/>
        <v>0</v>
      </c>
      <c r="CU610" s="76">
        <f t="shared" si="1171"/>
        <v>0</v>
      </c>
      <c r="CV610" s="76">
        <f t="shared" si="1172"/>
        <v>0</v>
      </c>
      <c r="CW610" s="76">
        <f t="shared" si="1173"/>
        <v>0</v>
      </c>
      <c r="CX610" s="76">
        <f t="shared" si="1174"/>
        <v>0</v>
      </c>
      <c r="CY610" s="76">
        <f t="shared" si="1175"/>
        <v>0</v>
      </c>
      <c r="CZ610" s="76">
        <f t="shared" si="1176"/>
        <v>0</v>
      </c>
      <c r="DA610" s="76">
        <f t="shared" si="1177"/>
        <v>0</v>
      </c>
      <c r="DB610" s="76">
        <f t="shared" si="1178"/>
        <v>0</v>
      </c>
      <c r="DC610" s="76">
        <f t="shared" si="1179"/>
        <v>0</v>
      </c>
      <c r="DD610" s="76">
        <f t="shared" si="1180"/>
        <v>0</v>
      </c>
      <c r="DE610" s="77">
        <f t="shared" si="1181"/>
        <v>0</v>
      </c>
      <c r="DF610" s="73">
        <f t="shared" si="1183"/>
        <v>36</v>
      </c>
      <c r="DG610" s="67">
        <f t="shared" si="1184"/>
        <v>47.227999999999994</v>
      </c>
      <c r="DH610" s="76">
        <f t="shared" si="1185"/>
        <v>14</v>
      </c>
      <c r="DI610" s="67">
        <f t="shared" si="1186"/>
        <v>60.05</v>
      </c>
      <c r="DJ610" s="202" t="str">
        <f>IF($D610="","",$D610)</f>
        <v>20</v>
      </c>
      <c r="DK610" s="492">
        <f>IF(AND($B610=" ",$D610&lt;&gt;""),1,0)</f>
        <v>0</v>
      </c>
    </row>
    <row r="611" spans="1:115" ht="14.5" customHeight="1" x14ac:dyDescent="0.2">
      <c r="A611" s="389"/>
      <c r="B611" s="456"/>
      <c r="C611" s="53" t="s">
        <v>55</v>
      </c>
      <c r="D611" s="374"/>
      <c r="E611" s="386"/>
      <c r="F611" s="377"/>
      <c r="G611" s="508"/>
      <c r="H611" s="476"/>
      <c r="I611" s="182" t="s">
        <v>66</v>
      </c>
      <c r="J611" s="56">
        <f>IF(OR(I610="TO",I610="TU",I610="TO1",I610="TU1",I610="TO2",I610="TU2"),J610,IF(OR(I610="AH1",I610="AH2"),IF(OR(I611="AH1",I611="AH2"),-J610,IF(OR(I611="EH1",I611="EH2"),-J610+0.5,"")),IF(OR(I610="EH1",I610="EH2"),IF(OR(I611="AH1",I611="AH2"),-J610+0.5,IF(OR(I611="EH1",I611="EH2"),-J610+1,"")),IF(AND(OR(I610="DNB1",I610="DNB2"),OR(I611="AH1",I611="AH2")),0,IF(AND(I610="Not ScoreBoth",OR(I611="TO1",I611="TO2")),0.5,"")))))</f>
        <v>-1.5</v>
      </c>
      <c r="K611" s="57" t="s">
        <v>40</v>
      </c>
      <c r="L611" s="164">
        <v>2</v>
      </c>
      <c r="M611" s="165"/>
      <c r="N611" s="406"/>
      <c r="O611" s="60">
        <f>IF(OR(AE610="",AE611=""),"",ROUND(IF(L612&gt;0,IF(M611&gt;0,M611,IF(M610&gt;0,IF(N610=TRUE,ROUND((M610*AE611)/AE610,0),(M610*AE611)/AE610),IF(M611&gt;0,ROUND(M611,IF(N610=0,2,IF(N610=0.1,1,0))),IF(M612&gt;0,ROUND(O612*AE611/AE612,IF(N610=0,2,IF(N610=0.1,1,0))),0)))),IF(M611&gt;0,M611,ROUND((M610*AE611)/AE610,IF(N610=0,2,IF(N610=0.1,1,0))))),2))</f>
        <v>11.25</v>
      </c>
      <c r="P611" s="61">
        <f>IF(OR(L611="",O611=""),"",IF($C611="1/2W",O611/2+O611/2*L611,IF($C611="1/2L",O611/2,IF(I611="Lay",((O611*(L611/(L611-1)))-O611)*(1-_xlfn.XLOOKUP(K611,'Fevereiro 2023 - Valor Real'!A3:A15,'Fevereiro 2023 - Valor Real'!C3:C15,0))+O611,(O611*L611-O611)*(1-_xlfn.XLOOKUP(K611,'Fevereiro 2023 - Valor Real'!A3:A15,'Fevereiro 2023 - Valor Real'!C3:C15,0))+O611))))</f>
        <v>22.5</v>
      </c>
      <c r="Q611" s="166">
        <f>IF(K611="","",IF(_xlfn.XLOOKUP(K611,K$10:K602,$DJ$10:DJ602,0,,-1)=DJ611,_xlfn.XLOOKUP(K611,K$10:K602,Q$10:Q602,1,,-1)+1,1))</f>
        <v>2</v>
      </c>
      <c r="R611" s="167">
        <f>IF(K611="","",_xlfn.XLOOKUP(K611,K$10:K602,R$10:R602,0,,-1)+IF($C611=" ",1,0))</f>
        <v>0</v>
      </c>
      <c r="S611" s="403"/>
      <c r="T611" s="380"/>
      <c r="U611" s="380"/>
      <c r="V611" s="481"/>
      <c r="W611" s="380"/>
      <c r="X611" s="452"/>
      <c r="Y611" s="383"/>
      <c r="Z611" s="384"/>
      <c r="AA611" s="384"/>
      <c r="AB611" s="384"/>
      <c r="AC611" s="384"/>
      <c r="AD611" s="64"/>
      <c r="AE611" s="65">
        <f>IF(L611="","",IF(L612&gt;0,(SUM(((L610-1)*(1-_xlfn.XLOOKUP(K610,'Fevereiro 2023 - Valor Real'!A3:A15,'Fevereiro 2023 - Valor Real'!C3:C15,0))+1),((L611-1)*(1-_xlfn.XLOOKUP(K611,'Fevereiro 2023 - Valor Real'!A3:A15,'Fevereiro 2023 - Valor Real'!C3:C15,0))+1),((L612-1)*(1-_xlfn.XLOOKUP(K612,'Fevereiro 2023 - Valor Real'!A3:A15,'Fevereiro 2023 - Valor Real'!C3:C15,0))+1))/((L611-1)*(1-_xlfn.XLOOKUP(K611,'Fevereiro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Real'!C3:C15,0))+1))/((L610-1)*(1-_xlfn.XLOOKUP(K610,'Fevereiro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Real'!C3:C15,0))+1))/((L611-1)*(1-_xlfn.XLOOKUP(K611,'Fevereiro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Real'!C3:C15,0))+1))/((L612-1)*(1-_xlfn.XLOOKUP(K612,'Fevereiro 2023 - Valor Real'!A3:A15,'Fevereiro 2023 - Valor Real'!C3:C15,0))+1)),IF(I611="Lay",IF(I610="Lay",((L610/(L610-1)-1)*(1-_xlfn.XLOOKUP(K610,'Fevereiro 2023 - Valor Real'!A3:A15,'Fevereiro 2023 - Valor Real'!C3:C15,0))+1)/(((L610/(L610-1)-1)*(1-_xlfn.XLOOKUP(K610,'Fevereiro 2023 - Valor Real'!A3:A15,'Fevereiro 2023 - Valor Real'!C3:C15,0))+1)+((L611/(L611-1)-1)*(1-_xlfn.XLOOKUP(K611,'Fevereiro 2023 - Valor Real'!A3:A15,'Fevereiro 2023 - Valor Real'!C3:C15,0))+1)),((L610-1)*(1-_xlfn.XLOOKUP(K610,'Fevereiro 2023 - Valor Real'!A3:A15,'Fevereiro 2023 - Valor Real'!C3:C15,0))+1)/(((L610-1)*(1-_xlfn.XLOOKUP(K610,'Fevereiro 2023 - Valor Real'!A3:A15,'Fevereiro 2023 - Valor Real'!C3:C15,0))+1)+((L611/(L611-1)-1)*(1-_xlfn.XLOOKUP(K611,'Fevereiro 2023 - Valor Real'!A3:A15,'Fevereiro 2023 - Valor Real'!C3:C15,0))+1))),IF(I610="Lay",((L610/(L610-1)-1)*(1-_xlfn.XLOOKUP(K610,'Fevereiro 2023 - Valor Real'!A3:A15,'Fevereiro 2023 - Valor Real'!C3:C15,0))+1)/((((L610/(L610-1)-1)*(1-_xlfn.XLOOKUP(K610,'Fevereiro 2023 - Valor Real'!A3:A15,'Fevereiro 2023 - Valor Real'!C3:C15,0))+1))+((L611-1)*(1-_xlfn.XLOOKUP(K611,'Fevereiro 2023 - Valor Real'!A3:A15,'Fevereiro 2023 - Valor Real'!C3:C15,0))+1)),((L610-1)*(1-_xlfn.XLOOKUP(K610,'Fevereiro 2023 - Valor Real'!A3:A15,'Fevereiro 2023 - Valor Real'!C3:C15,0))+1)/(((L610-1)*(1-_xlfn.XLOOKUP(K610,'Fevereiro 2023 - Valor Real'!A3:A15,'Fevereiro 2023 - Valor Real'!C3:C15,0))+1)+((L611-1)*(1-_xlfn.XLOOKUP(K611,'Fevereiro 2023 - Valor Real'!A3:A15,'Fevereiro 2023 - Valor Real'!C3:C15,0))+1))))))</f>
        <v>0.52941176470588236</v>
      </c>
      <c r="AF611" s="66">
        <f t="shared" si="1220"/>
        <v>0</v>
      </c>
      <c r="AG611" s="67">
        <f t="shared" si="1220"/>
        <v>0</v>
      </c>
      <c r="AH611" s="67">
        <f t="shared" si="1220"/>
        <v>0</v>
      </c>
      <c r="AI611" s="67">
        <f t="shared" si="1220"/>
        <v>0</v>
      </c>
      <c r="AJ611" s="67">
        <f t="shared" si="1220"/>
        <v>-11.25</v>
      </c>
      <c r="AK611" s="67">
        <f t="shared" si="1220"/>
        <v>0</v>
      </c>
      <c r="AL611" s="67">
        <f t="shared" si="1220"/>
        <v>0</v>
      </c>
      <c r="AM611" s="67">
        <f t="shared" si="1220"/>
        <v>0</v>
      </c>
      <c r="AN611" s="67">
        <f t="shared" si="1220"/>
        <v>0</v>
      </c>
      <c r="AO611" s="67">
        <f t="shared" si="1220"/>
        <v>0</v>
      </c>
      <c r="AP611" s="67">
        <f t="shared" si="1220"/>
        <v>0</v>
      </c>
      <c r="AQ611" s="67">
        <f t="shared" si="1220"/>
        <v>0</v>
      </c>
      <c r="AR611" s="68">
        <f t="shared" si="1220"/>
        <v>0</v>
      </c>
      <c r="AS611" s="66">
        <f>IF(AND($B610=" ",$K611=AS$3),$O611,0)</f>
        <v>0</v>
      </c>
      <c r="AT611" s="67">
        <f>IF(AND($B610=" ",K611=AT$3),$O611,0)</f>
        <v>0</v>
      </c>
      <c r="AU611" s="67">
        <f t="shared" ref="AU611:BE611" si="1232">IF(AND($B610=" ",$K611=AU$3),$O611,0)</f>
        <v>0</v>
      </c>
      <c r="AV611" s="67">
        <f t="shared" si="1232"/>
        <v>0</v>
      </c>
      <c r="AW611" s="67">
        <f t="shared" si="1232"/>
        <v>0</v>
      </c>
      <c r="AX611" s="67">
        <f t="shared" si="1232"/>
        <v>0</v>
      </c>
      <c r="AY611" s="69">
        <f t="shared" si="1232"/>
        <v>0</v>
      </c>
      <c r="AZ611" s="70">
        <f t="shared" si="1232"/>
        <v>0</v>
      </c>
      <c r="BA611" s="70">
        <f t="shared" si="1232"/>
        <v>0</v>
      </c>
      <c r="BB611" s="70">
        <f t="shared" si="1232"/>
        <v>0</v>
      </c>
      <c r="BC611" s="71">
        <f t="shared" si="1232"/>
        <v>0</v>
      </c>
      <c r="BD611" s="67">
        <f t="shared" si="1232"/>
        <v>0</v>
      </c>
      <c r="BE611" s="68">
        <f t="shared" si="1232"/>
        <v>0</v>
      </c>
      <c r="BF611" s="66">
        <f t="shared" si="1222"/>
        <v>0</v>
      </c>
      <c r="BG611" s="168">
        <f t="shared" si="1222"/>
        <v>0</v>
      </c>
      <c r="BH611" s="67">
        <f t="shared" si="1222"/>
        <v>0</v>
      </c>
      <c r="BI611" s="67">
        <f t="shared" si="1222"/>
        <v>0</v>
      </c>
      <c r="BJ611" s="67">
        <f t="shared" si="1222"/>
        <v>11.25</v>
      </c>
      <c r="BK611" s="67">
        <f t="shared" si="1222"/>
        <v>0</v>
      </c>
      <c r="BL611" s="67">
        <f t="shared" si="1222"/>
        <v>0</v>
      </c>
      <c r="BM611" s="69">
        <f t="shared" si="1222"/>
        <v>0</v>
      </c>
      <c r="BN611" s="70">
        <f t="shared" si="1222"/>
        <v>0</v>
      </c>
      <c r="BO611" s="70">
        <f t="shared" si="1222"/>
        <v>0</v>
      </c>
      <c r="BP611" s="70">
        <f t="shared" si="1222"/>
        <v>0</v>
      </c>
      <c r="BQ611" s="71">
        <f t="shared" si="1222"/>
        <v>0</v>
      </c>
      <c r="BR611" s="68">
        <f t="shared" si="1222"/>
        <v>0</v>
      </c>
      <c r="BS611" s="491"/>
      <c r="BT611" s="489"/>
      <c r="BU611" s="392"/>
      <c r="BV611" s="489"/>
      <c r="BW611" s="392"/>
      <c r="BX611" s="392"/>
      <c r="BY611" s="392"/>
      <c r="BZ611" s="489"/>
      <c r="CA611" s="392"/>
      <c r="CB611" s="392"/>
      <c r="CC611" s="392"/>
      <c r="CD611" s="401"/>
      <c r="CE611" s="409"/>
      <c r="CF611" s="169">
        <f t="shared" si="1156"/>
        <v>0</v>
      </c>
      <c r="CG611" s="170">
        <f t="shared" si="1157"/>
        <v>0</v>
      </c>
      <c r="CH611" s="170">
        <f t="shared" si="1158"/>
        <v>0</v>
      </c>
      <c r="CI611" s="170">
        <f t="shared" si="1159"/>
        <v>0</v>
      </c>
      <c r="CJ611" s="170">
        <f t="shared" si="1160"/>
        <v>0</v>
      </c>
      <c r="CK611" s="170">
        <f t="shared" si="1161"/>
        <v>0</v>
      </c>
      <c r="CL611" s="170">
        <f t="shared" si="1162"/>
        <v>0</v>
      </c>
      <c r="CM611" s="170">
        <f t="shared" si="1163"/>
        <v>0</v>
      </c>
      <c r="CN611" s="170">
        <f t="shared" si="1164"/>
        <v>0</v>
      </c>
      <c r="CO611" s="170">
        <f t="shared" si="1165"/>
        <v>1</v>
      </c>
      <c r="CP611" s="170">
        <f t="shared" si="1166"/>
        <v>0</v>
      </c>
      <c r="CQ611" s="170">
        <f t="shared" si="1167"/>
        <v>0</v>
      </c>
      <c r="CR611" s="170">
        <f t="shared" si="1168"/>
        <v>0</v>
      </c>
      <c r="CS611" s="170">
        <f t="shared" si="1169"/>
        <v>0</v>
      </c>
      <c r="CT611" s="75">
        <f t="shared" si="1170"/>
        <v>0</v>
      </c>
      <c r="CU611" s="76">
        <f t="shared" si="1171"/>
        <v>0</v>
      </c>
      <c r="CV611" s="76">
        <f t="shared" si="1172"/>
        <v>0</v>
      </c>
      <c r="CW611" s="76">
        <f t="shared" si="1173"/>
        <v>0</v>
      </c>
      <c r="CX611" s="76">
        <f t="shared" si="1174"/>
        <v>0</v>
      </c>
      <c r="CY611" s="76">
        <f t="shared" si="1175"/>
        <v>0</v>
      </c>
      <c r="CZ611" s="76">
        <f t="shared" si="1176"/>
        <v>0</v>
      </c>
      <c r="DA611" s="76">
        <f t="shared" si="1177"/>
        <v>0</v>
      </c>
      <c r="DB611" s="76">
        <f t="shared" si="1178"/>
        <v>0</v>
      </c>
      <c r="DC611" s="76">
        <f t="shared" si="1179"/>
        <v>0</v>
      </c>
      <c r="DD611" s="76">
        <f t="shared" si="1180"/>
        <v>0</v>
      </c>
      <c r="DE611" s="77">
        <f t="shared" si="1181"/>
        <v>0</v>
      </c>
      <c r="DF611" s="73">
        <f t="shared" si="1183"/>
        <v>36</v>
      </c>
      <c r="DG611" s="67">
        <f t="shared" si="1184"/>
        <v>47.227999999999994</v>
      </c>
      <c r="DH611" s="76">
        <f t="shared" si="1185"/>
        <v>14</v>
      </c>
      <c r="DI611" s="67">
        <f t="shared" si="1186"/>
        <v>60.05</v>
      </c>
      <c r="DJ611" s="202" t="str">
        <f>IF($D610="","",$D610)</f>
        <v>20</v>
      </c>
      <c r="DK611" s="493"/>
    </row>
    <row r="612" spans="1:115" ht="14.5" customHeight="1" x14ac:dyDescent="0.2">
      <c r="A612" s="390"/>
      <c r="B612" s="457"/>
      <c r="C612" s="79" t="s">
        <v>53</v>
      </c>
      <c r="D612" s="375"/>
      <c r="E612" s="387"/>
      <c r="F612" s="378"/>
      <c r="G612" s="508"/>
      <c r="H612" s="477"/>
      <c r="I612" s="171"/>
      <c r="J612" s="172"/>
      <c r="K612" s="81"/>
      <c r="L612" s="173"/>
      <c r="M612" s="174"/>
      <c r="N612" s="407"/>
      <c r="O612" s="86" t="str">
        <f>IF(OR(AE610="",AE611=""),"",IF(L612&gt;0,ROUND(IF(M612&gt;0,M612,IF(M610&gt;0,ROUND((M610*AE612)/AE610,IF(N610=0,2,IF(N610=0.1,1,0))),IF(M611&gt;0,ROUND((M611*AE612)/AE611,IF(N610=0,2,IF(N610=0.1,1,0))),IF(M612&gt;0,M612,0)))),2),""))</f>
        <v/>
      </c>
      <c r="P612" s="87" t="str">
        <f>IF(I611="Lay",O611*(L611/(L611-1))-O611,IF(I610="Lay",O610*(L610/(L610-1))-O610,IF(OR(L612="",O612=""),"",IF($C612="1/2W",O612/2+O612/2*L612,IF($C612="1/2L",O612/2,(O612*L612-O612)*(1-_xlfn.XLOOKUP(K612,'Fevereiro 2023 - Valor Real'!A3:A15,'Fevereiro 2023 - Valor Real'!C3:C15,0))+O612)))))</f>
        <v/>
      </c>
      <c r="Q612" s="54" t="str">
        <f>IF(K612="","",IF(_xlfn.XLOOKUP(K612,K$11:K602,$DJ$11:DJ602,0,,-1)=DJ612,_xlfn.XLOOKUP(K612,K$11:K602,Q$11:Q602,1,,-1)+1,1))</f>
        <v/>
      </c>
      <c r="R612" s="87" t="str">
        <f>IF(K612="","",_xlfn.XLOOKUP(K612,K$11:K602,R$11:R602,0,,-1)+IF($C612=" ",1,0))</f>
        <v/>
      </c>
      <c r="S612" s="404"/>
      <c r="T612" s="378"/>
      <c r="U612" s="378"/>
      <c r="V612" s="404"/>
      <c r="W612" s="378"/>
      <c r="X612" s="453"/>
      <c r="Y612" s="383"/>
      <c r="Z612" s="384"/>
      <c r="AA612" s="384"/>
      <c r="AB612" s="384"/>
      <c r="AC612" s="384"/>
      <c r="AD612" s="90"/>
      <c r="AE612" s="91" t="str">
        <f>IF(L612="","",(SUM(((L610-1)*(1-_xlfn.XLOOKUP(K610,'Fevereiro 2023 - Valor Real'!A3:A15,'Fevereiro 2023 - Valor Real'!C3:C15,0))+1),((L611-1)*(1-_xlfn.XLOOKUP(K611,'Fevereiro 2023 - Valor Real'!A3:A15,'Fevereiro 2023 - Valor Real'!C3:C15,0))+1),((L612-1)*(1-_xlfn.XLOOKUP(K612,'Fevereiro 2023 - Valor Real'!A3:A15,'Fevereiro 2023 - Valor Real'!C3:C15,0))+1))/((L612-1)*(1-_xlfn.XLOOKUP(K612,'Fevereiro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Real'!C3:C15,0))+1))/((L610-1)*(1-_xlfn.XLOOKUP(K610,'Fevereiro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Real'!C3:C15,0))+1))/((L611-1)*(1-_xlfn.XLOOKUP(K611,'Fevereiro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Real'!C3:C15,0))+1))/((L612-1)*(1-_xlfn.XLOOKUP(K612,'Fevereiro 2023 - Valor Real'!A3:A15,'Fevereiro 2023 - Valor Real'!C3:C15,0))+1)))</f>
        <v/>
      </c>
      <c r="AF612" s="66">
        <f t="shared" si="1220"/>
        <v>0</v>
      </c>
      <c r="AG612" s="67">
        <f t="shared" si="1220"/>
        <v>0</v>
      </c>
      <c r="AH612" s="67">
        <f t="shared" si="1220"/>
        <v>0</v>
      </c>
      <c r="AI612" s="67">
        <f t="shared" si="1220"/>
        <v>0</v>
      </c>
      <c r="AJ612" s="67">
        <f t="shared" si="1220"/>
        <v>0</v>
      </c>
      <c r="AK612" s="67">
        <f t="shared" si="1220"/>
        <v>0</v>
      </c>
      <c r="AL612" s="67">
        <f t="shared" si="1220"/>
        <v>0</v>
      </c>
      <c r="AM612" s="67">
        <f t="shared" si="1220"/>
        <v>0</v>
      </c>
      <c r="AN612" s="67">
        <f t="shared" si="1220"/>
        <v>0</v>
      </c>
      <c r="AO612" s="67">
        <f t="shared" si="1220"/>
        <v>0</v>
      </c>
      <c r="AP612" s="67">
        <f t="shared" si="1220"/>
        <v>0</v>
      </c>
      <c r="AQ612" s="67">
        <f t="shared" si="1220"/>
        <v>0</v>
      </c>
      <c r="AR612" s="68">
        <f t="shared" si="1220"/>
        <v>0</v>
      </c>
      <c r="AS612" s="66">
        <f>IF(AND($B610=" ",$K612=AS$3),$O612,0)</f>
        <v>0</v>
      </c>
      <c r="AT612" s="67">
        <f>IF(AND($B610=" ",K612=AT$3),$O612,0)</f>
        <v>0</v>
      </c>
      <c r="AU612" s="67">
        <f t="shared" ref="AU612:BE612" si="1233">IF(AND($B610=" ",$K612=AU$3),$O612,0)</f>
        <v>0</v>
      </c>
      <c r="AV612" s="67">
        <f t="shared" si="1233"/>
        <v>0</v>
      </c>
      <c r="AW612" s="67">
        <f t="shared" si="1233"/>
        <v>0</v>
      </c>
      <c r="AX612" s="67">
        <f t="shared" si="1233"/>
        <v>0</v>
      </c>
      <c r="AY612" s="69">
        <f t="shared" si="1233"/>
        <v>0</v>
      </c>
      <c r="AZ612" s="70">
        <f t="shared" si="1233"/>
        <v>0</v>
      </c>
      <c r="BA612" s="70">
        <f t="shared" si="1233"/>
        <v>0</v>
      </c>
      <c r="BB612" s="70">
        <f t="shared" si="1233"/>
        <v>0</v>
      </c>
      <c r="BC612" s="71">
        <f t="shared" si="1233"/>
        <v>0</v>
      </c>
      <c r="BD612" s="67">
        <f t="shared" si="1233"/>
        <v>0</v>
      </c>
      <c r="BE612" s="68">
        <f t="shared" si="1233"/>
        <v>0</v>
      </c>
      <c r="BF612" s="66">
        <f t="shared" si="1222"/>
        <v>0</v>
      </c>
      <c r="BG612" s="168">
        <f t="shared" si="1222"/>
        <v>0</v>
      </c>
      <c r="BH612" s="67">
        <f t="shared" si="1222"/>
        <v>0</v>
      </c>
      <c r="BI612" s="67">
        <f t="shared" si="1222"/>
        <v>0</v>
      </c>
      <c r="BJ612" s="67">
        <f t="shared" si="1222"/>
        <v>0</v>
      </c>
      <c r="BK612" s="67">
        <f t="shared" si="1222"/>
        <v>0</v>
      </c>
      <c r="BL612" s="67">
        <f t="shared" si="1222"/>
        <v>0</v>
      </c>
      <c r="BM612" s="69">
        <f t="shared" si="1222"/>
        <v>0</v>
      </c>
      <c r="BN612" s="70">
        <f t="shared" si="1222"/>
        <v>0</v>
      </c>
      <c r="BO612" s="70">
        <f t="shared" si="1222"/>
        <v>0</v>
      </c>
      <c r="BP612" s="70">
        <f t="shared" si="1222"/>
        <v>0</v>
      </c>
      <c r="BQ612" s="71">
        <f t="shared" si="1222"/>
        <v>0</v>
      </c>
      <c r="BR612" s="68">
        <f t="shared" si="1222"/>
        <v>0</v>
      </c>
      <c r="BS612" s="491"/>
      <c r="BT612" s="489"/>
      <c r="BU612" s="392"/>
      <c r="BV612" s="489"/>
      <c r="BW612" s="392"/>
      <c r="BX612" s="392"/>
      <c r="BY612" s="392"/>
      <c r="BZ612" s="489"/>
      <c r="CA612" s="392"/>
      <c r="CB612" s="392"/>
      <c r="CC612" s="392"/>
      <c r="CD612" s="401"/>
      <c r="CE612" s="409"/>
      <c r="CF612" s="169">
        <f t="shared" si="1156"/>
        <v>0</v>
      </c>
      <c r="CG612" s="170">
        <f t="shared" si="1157"/>
        <v>0</v>
      </c>
      <c r="CH612" s="170">
        <f t="shared" si="1158"/>
        <v>0</v>
      </c>
      <c r="CI612" s="170">
        <f t="shared" si="1159"/>
        <v>0</v>
      </c>
      <c r="CJ612" s="170">
        <f t="shared" si="1160"/>
        <v>0</v>
      </c>
      <c r="CK612" s="170">
        <f t="shared" si="1161"/>
        <v>0</v>
      </c>
      <c r="CL612" s="170">
        <f t="shared" si="1162"/>
        <v>0</v>
      </c>
      <c r="CM612" s="170">
        <f t="shared" si="1163"/>
        <v>0</v>
      </c>
      <c r="CN612" s="170">
        <f t="shared" si="1164"/>
        <v>0</v>
      </c>
      <c r="CO612" s="170">
        <f t="shared" si="1165"/>
        <v>0</v>
      </c>
      <c r="CP612" s="170">
        <f t="shared" si="1166"/>
        <v>0</v>
      </c>
      <c r="CQ612" s="170">
        <f t="shared" si="1167"/>
        <v>0</v>
      </c>
      <c r="CR612" s="170">
        <f t="shared" si="1168"/>
        <v>0</v>
      </c>
      <c r="CS612" s="170">
        <f t="shared" si="1169"/>
        <v>0</v>
      </c>
      <c r="CT612" s="75">
        <f t="shared" si="1170"/>
        <v>0</v>
      </c>
      <c r="CU612" s="76">
        <f t="shared" si="1171"/>
        <v>0</v>
      </c>
      <c r="CV612" s="76">
        <f t="shared" si="1172"/>
        <v>0</v>
      </c>
      <c r="CW612" s="76">
        <f t="shared" si="1173"/>
        <v>0</v>
      </c>
      <c r="CX612" s="76">
        <f t="shared" si="1174"/>
        <v>0</v>
      </c>
      <c r="CY612" s="76">
        <f t="shared" si="1175"/>
        <v>0</v>
      </c>
      <c r="CZ612" s="76">
        <f t="shared" si="1176"/>
        <v>0</v>
      </c>
      <c r="DA612" s="76">
        <f t="shared" si="1177"/>
        <v>0</v>
      </c>
      <c r="DB612" s="76">
        <f t="shared" si="1178"/>
        <v>0</v>
      </c>
      <c r="DC612" s="76">
        <f t="shared" si="1179"/>
        <v>0</v>
      </c>
      <c r="DD612" s="76">
        <f t="shared" si="1180"/>
        <v>0</v>
      </c>
      <c r="DE612" s="77">
        <f t="shared" si="1181"/>
        <v>0</v>
      </c>
      <c r="DF612" s="73">
        <f t="shared" si="1183"/>
        <v>36</v>
      </c>
      <c r="DG612" s="67">
        <f t="shared" si="1184"/>
        <v>47.227999999999994</v>
      </c>
      <c r="DH612" s="76">
        <f t="shared" si="1185"/>
        <v>14</v>
      </c>
      <c r="DI612" s="67">
        <f t="shared" si="1186"/>
        <v>60.05</v>
      </c>
      <c r="DJ612" s="202" t="str">
        <f>IF($D610="","",$D610)</f>
        <v>20</v>
      </c>
      <c r="DK612" s="493"/>
    </row>
    <row r="613" spans="1:115" ht="14.5" customHeight="1" x14ac:dyDescent="0.2">
      <c r="A613" s="459">
        <f>$A610+1</f>
        <v>204</v>
      </c>
      <c r="B613" s="507" t="str">
        <f>IF(OR(C613="W",C614="W",C615="W",C613="1/2W",C614="1/2W",C615="1/2W",C613="1/2L",C614="1/2L",C615="1/2L"),"OK",IF(OR(C613="L",C614="L",C615="L"),"LOSS",IF(OR(C613="X",C614="X",C615="X"),"Anulado"," ")))</f>
        <v>OK</v>
      </c>
      <c r="C613" s="93" t="s">
        <v>54</v>
      </c>
      <c r="D613" s="468" t="str">
        <f>IF(G613="","",$D610)</f>
        <v>20</v>
      </c>
      <c r="E613" s="485" t="str">
        <f>IF(G613=""," ","– "&amp;COUNTIF(D$4:D615,$D613))</f>
        <v>– 5</v>
      </c>
      <c r="F613" s="509" t="str">
        <f ca="1">IF(G613="","",IF(OR(AND($C613&lt;&gt;" ",$C614=" "),AND($C614&lt;&gt;" ",$C613=" "),AND(L615&gt;0,OR(AND($C615&lt;&gt;" ",OR($C613=" ",$C614=" ")),AND($C615=" ",OR($C613&lt;&gt;" ",$C614&lt;&gt;" "))))),IF(SUM(F$4:F612)=0,1,LARGE(F$4:F612,1)+1),IF(MONTH(G613)=MONTH(TODAY()),IF(AND(DAY(G613)&lt;DAY(TODAY()),$B613=" "),IF(SUM(F$4:F612)=0,1,LARGE(F$4:F612,1)+1),IF($B613=" ",IF(AND(DAY(G613)=DAY(TODAY()),HOUR(G613)&lt;=HOUR(NOW())+1),IF(AND(HOUR(G613)+2&lt;=HOUR(NOW()),DAY(G613)&lt;=DAY(TODAY()),MINUTE(G613)&lt;=MINUTE(NOW())),IF(SUM(F$4:F612)=0,1,LARGE(F$4:F612,1)+1),IF(OR(MINUTE(G613)&lt;=MINUTE(NOW()),HOUR(G613)&lt;=HOUR(NOW())),"!!!","")),""),"")),"")))</f>
        <v/>
      </c>
      <c r="G613" s="482">
        <v>45006.291666666664</v>
      </c>
      <c r="H613" s="475" t="s">
        <v>226</v>
      </c>
      <c r="I613" s="94" t="s">
        <v>51</v>
      </c>
      <c r="J613" s="95">
        <v>49.5</v>
      </c>
      <c r="K613" s="96" t="s">
        <v>43</v>
      </c>
      <c r="L613" s="97">
        <v>2.1800000000000002</v>
      </c>
      <c r="M613" s="98"/>
      <c r="N613" s="478">
        <v>0</v>
      </c>
      <c r="O613" s="99">
        <f>IF(OR(AE613="",AE614=""),"",ROUND(IF(L615&gt;0,IF(M613&gt;0,M613,IF(M614&gt;0,ROUND((M614*AE613)/AE614,IF(N613=0,2,IF(N613=0.1,1,0))),ROUND((M615*AE613)/AE615,IF(N613=0,2,IF(N613=0.1,1,0))))),IF(M613&gt;0,M613,ROUND((M614*AE613)/AE614,IF(N613=0,2,IF(N613=0.1,1,0))))),2))</f>
        <v>44.33</v>
      </c>
      <c r="P613" s="100">
        <f>IF(OR(L613="",O613=""),"",IF($C613="1/2W",O613/2+O613/2*L613,IF($C613="1/2L",O613/2,IF(I613="Lay",(O613*(L613/(L613-1))-O613)*(1-_xlfn.XLOOKUP(K613,'Fevereiro 2023 - Valor Real'!A3:A15,'Fevereiro 2023 - Valor Real'!C3:C15,0))+O613,(O613*L613-O613)*(1-_xlfn.XLOOKUP(K613,'Fevereiro 2023 - Valor Real'!A3:A15,'Fevereiro 2023 - Valor Real'!C3:C15,0))+O613))))</f>
        <v>96.639400000000009</v>
      </c>
      <c r="Q613" s="101">
        <f>IF(K613="","",IF(_xlfn.XLOOKUP(K613,K$4:K612,$DJ$4:DJ612,0,,-1)=DJ613,_xlfn.XLOOKUP(K613,K$4:K612,Q$4:Q612,1,,-1)+1,1))</f>
        <v>3</v>
      </c>
      <c r="R613" s="102">
        <f>IF(K613="","",_xlfn.XLOOKUP(K613,K$4:K612,R$4:R612,0,,-1)+IF($C613=" ",1,0))</f>
        <v>0</v>
      </c>
      <c r="S613" s="474">
        <f>IF($B613="Anulado",0,ROUND(IF(OR($B613="LOSS",$B613="OK"),IF(OR($C613="W",$C613="1/2W",$C613="1/2L"),P613-O613,IF($C613="L",-O613,0))+IF(OR($C614="W",$C614="1/2W",$C614="1/2L"),P614-O614,IF($C614="L",-O614,0))+IF(OR($C615="W",$C615="1/2W",$C615="1/2L"),P615-O615,IF($C615="L",-O615,0)),IF(AND(OR($C613="W",$C613="1/2W",$C613="1/2L"),C614="W"),P613+P614-SUM(O613:O615)+_xlfn.XLOOKUP("X",C613:C615,O613:O615,0),IF(AND(C613=TRUE,C615="W"),P613+P615-SUM(O613:O615),IF(AND(C614="W",C615="W"),P614+P615-SUM(O613:O615)+_xlfn.XLOOKUP("X",C613:C615,O613:O615,0),IF(L615&gt;0,IF(OR($C613="W",$C613="1/2W",$C613="1/2L"),P613-SUM(O613:O615)+_xlfn.XLOOKUP("X",C613:C615,O613:O615,0),IF(OR($C613="W",$C613="1/2W",$C613="1/2L"),P614-SUM(O613:O615)+_xlfn.XLOOKUP("X",C613:C615,O613:O615,0),IF(OR($C613="W",$C613="1/2W",$C613="1/2L"),P615-SUM(O613:O615)+_xlfn.XLOOKUP("X",C613:C615,O613:O615,0),IF(SUM(P613:P615)/3-SUM(O613:O615)+_xlfn.XLOOKUP("X",C613:C615,O613:O615,0)&gt;0,SUM(P613:P615)/3-SUM(O613:O615)+_xlfn.XLOOKUP("X",C613:C615,O613:O615,0),LARGE(P613:P615,1)-SUM(O613:O615))))),IF(OR($C613="W",$C613="1/2W",$C613="1/2L"),P613-SUM(O613:O614)+_xlfn.XLOOKUP("X",C613:C615,O613:O615,0),IF(OR($C613="W",$C613="1/2W",$C613="1/2L"),P614-SUM(O613:O614)+_xlfn.XLOOKUP("X",C613:C615,O613:O615,0),SUM(P613:P614)/2-SUM(O613:O614)+_xlfn.XLOOKUP("X",C613:C615,O613:O615,0)))))))),2))</f>
        <v>6.29</v>
      </c>
      <c r="T613" s="458">
        <f>IF(S613=0,0,S613/SUM(O613:O615))</f>
        <v>6.9618151632540121E-2</v>
      </c>
      <c r="U613" s="470">
        <f>IF($D613=$D610,IF(OR($B613="LOSS",$B613="OK",$B613="Anulada"),S613,0)+U610,IF(OR($B613="LOSS",$B613="OK",$B613="Anulada"),S613,0))</f>
        <v>4.75</v>
      </c>
      <c r="V613" s="470">
        <f>IF($D613="",0,IF($D613=$D610,IF($B613=" ",IF(I615="",IF(OR(AND(I613="DNB1",I614="DNB2"),AND(OR(I613="DNB1",I613="DNB2"),J614=0),AND(OR(I614="DNB1",I614="DNB2"),J613=0),AND(I613="DNB2",I614="DNB1"),AND(IF(J613=0,(J613+1)/ROUND(J613+1,0),J613/ROUND(J613,0))=1,IF(J614=0,(J614+1)/ROUND(IF(J614="",0,J614)+1,0),IF(J614="",0,J614)/ROUND(IF(J614="",1,J614),0))=1,OR(J613&lt;&gt;""),J614&lt;&gt;"")),0,IF(S613&lt;0,IF(I615="",SMALL(P613:P614,1)-SUM(O613:O614),0),SMALL(P613:P614,1)-SUM(O613:O614))),IF(S613&lt;0,IF(I615="",SMALL(P613:P615,1)-SUM(O613:O615),0),LARGE(P613:P615,1)-SUM(O613:O615))),S613)+V610,IF(I615="",IF(OR(AND(I613="DNB1",I614="DNB2"),AND(OR(I613="DNB1",I613="DNB2"),J614=0),AND(OR(I614="DNB1",I614="DNB2"),J613=0),AND(I613="DNB2",I614="DNB1"),AND(IF(J613=0,(J613+1)/ROUND(J613+1,0),J613/ROUND(J613,0))=1,IF(J614=0,(IF(J614="",0,J614)+1)/ROUND(IF(J614="",0,J614)+1,0),IF(J614="",0,J614)/ROUND(IF(J614="",0,J614)+1,0))=1,OR(J613&lt;&gt;""),J614&lt;&gt;"")),0,IF(S613&lt;0,IF(I615="",SMALL(P613:P614,1)-SUM(O613:O614),0),SMALL(P613:P615,1)-SUM(O613:O615))),IF(S613&lt;0,IF(I615="",SMALL(P613:P615,1)-SUM(O613:O615),0),LARGE(P613:P615,1)-SUM(O613:O615)))))</f>
        <v>7.5374999999999988</v>
      </c>
      <c r="W613" s="470">
        <f>IF($D613=$D610,IF(S613&lt;0,IF(I615="",S613,0),S613)+W610,S613)</f>
        <v>4.75</v>
      </c>
      <c r="X613" s="480" t="str">
        <f>IF(OR(SUM(R613:R615)=0,V613=W613),ROUND(IF(W613=0,0,W613/Y613)*100,2)&amp;"%",ROUND(IF(V613=0,0,V613/Y613)*100,2)&amp;"% a "&amp;ROUND(IF(W613=0,0,W613/Y613)*100,2)&amp;"%")</f>
        <v>2,87%</v>
      </c>
      <c r="Y613" s="471">
        <f>IF($D613=$D610,Y610+SUM(O613:O615),SUM(O613:O615))</f>
        <v>165.57</v>
      </c>
      <c r="Z613" s="470">
        <f>IF($B613=" ",SUM(O613:O615),0)+Z610</f>
        <v>0</v>
      </c>
      <c r="AA613" s="470">
        <f>IF(G613="","",IF($B613="Anulado",LARGE(P613:P615,1)-SUM(O613:O615)+AA610,AA610))</f>
        <v>12.425099999999992</v>
      </c>
      <c r="AB613" s="470">
        <f>IF($D613="","",AB610+S613)</f>
        <v>677.63000000000045</v>
      </c>
      <c r="AC613" s="472">
        <f ca="1">IF($D613="","",IF($B613=" ",IF(DAY(G613)=DAY(TODAY()),1+AC610,0+AC610),0+AC610))</f>
        <v>0</v>
      </c>
      <c r="AD613" s="103">
        <f>(((L614/(L614-1)-1)*(1-_xlfn.XLOOKUP(K614,'Fevereiro 2023 - Valor Real'!A3:A15,'Fevereiro 2023 - Valor Real'!C3:C15,0))+1))/(((L613-1)*(1-_xlfn.XLOOKUP(K613,'Fevereiro 2023 - Valor Real'!A3:A15,'Fevereiro 2023 - Valor Real'!C3:C15,0))+1)+((L614/(L614-1)-1)*(1-_xlfn.XLOOKUP(K614,'Fevereiro 2023 - Valor Real'!A3:A15,'Fevereiro 2023 - Valor Real'!C3:C15,0))+1))</f>
        <v>0.4668741662961316</v>
      </c>
      <c r="AE613" s="104">
        <f>IF(L613="","",IF(L615&gt;0,(SUM(((L613-1)*(1-_xlfn.XLOOKUP(K613,'Fevereiro 2023 - Valor Real'!A3:A15,'Fevereiro 2023 - Valor Real'!C3:C15,0))+1),((L614-1)*(1-_xlfn.XLOOKUP(K614,'Fevereiro 2023 - Valor Real'!A3:A15,'Fevereiro 2023 - Valor Real'!C3:C15,0))+1),((L615-1)*(1-_xlfn.XLOOKUP(K615,'Fevereiro 2023 - Valor Real'!A3:A15,'Fevereiro 2023 - Valor Real'!C3:C15,0))+1))/((L613-1)*(1-_xlfn.XLOOKUP(K613,'Fevereiro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Real'!C3:C15,0))+1))/((L613-1)*(1-_xlfn.XLOOKUP(K613,'Fevereiro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Real'!C3:C15,0))+1))/((L614-1)*(1-_xlfn.XLOOKUP(K614,'Fevereiro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Real'!C3:C15,0))+1))/((L615-1)*(1-_xlfn.XLOOKUP(K615,'Fevereiro 2023 - Valor Real'!A3:A15,'Fevereiro 2023 - Valor Real'!C3:C15,0))+1)),IF(I613="Lay",IF(I614="Lay",((L614/(L614-1)-1)*(1-_xlfn.XLOOKUP(K614,'Fevereiro 2023 - Valor Real'!A3:A15,'Fevereiro 2023 - Valor Real'!C3:C15,0))+1)/(((L614/(L614-1)-1)*(1-_xlfn.XLOOKUP(K614,'Fevereiro 2023 - Valor Real'!A3:A15,'Fevereiro 2023 - Valor Real'!C3:C15,0))+1)+((L613/(L613-1)-1)*(1-_xlfn.XLOOKUP(K613,'Fevereiro 2023 - Valor Real'!A3:A15,'Fevereiro 2023 - Valor Real'!C3:C15,0))+1)),((L614-1)*(1-_xlfn.XLOOKUP(K614,'Fevereiro 2023 - Valor Real'!A3:A15,'Fevereiro 2023 - Valor Real'!C3:C15,0))+1)/(((L614-1)*(1-_xlfn.XLOOKUP(K614,'Fevereiro 2023 - Valor Real'!A3:A15,'Fevereiro 2023 - Valor Real'!C3:C15,0))+1)+((L613/(L613-1)-1)*(1-_xlfn.XLOOKUP(K613,'Fevereiro 2023 - Valor Real'!A3:A15,'Fevereiro 2023 - Valor Real'!C3:C15,0))+1))),IF(I614="Lay",(((L614/(L614-1)-1)*(1-_xlfn.XLOOKUP(K614,'Fevereiro 2023 - Valor Real'!A3:A15,'Fevereiro 2023 - Valor Real'!C3:C15,0))+1))/(((L613-1)*(1-_xlfn.XLOOKUP(K613,'Fevereiro 2023 - Valor Real'!A3:A15,'Fevereiro 2023 - Valor Real'!C3:C15,0))+1)+((L614/(L614-1)-1)*(1-_xlfn.XLOOKUP(K614,'Fevereiro 2023 - Valor Real'!A3:A15,'Fevereiro 2023 - Valor Real'!C3:C15,0))+1)),((L614-1)*(1-_xlfn.XLOOKUP(K614,'Fevereiro 2023 - Valor Real'!A3:A15,'Fevereiro 2023 - Valor Real'!C3:C15,0))+1)/(((L614-1)*(1-_xlfn.XLOOKUP(K614,'Fevereiro 2023 - Valor Real'!A3:A15,'Fevereiro 2023 - Valor Real'!C3:C15,0))+1)+((L613-1)*(1-_xlfn.XLOOKUP(K613,'Fevereiro 2023 - Valor Real'!A3:A15,'Fevereiro 2023 - Valor Real'!C3:C15,0))+1))))))</f>
        <v>0.49065420560747663</v>
      </c>
      <c r="AF613" s="105">
        <f t="shared" si="1220"/>
        <v>0</v>
      </c>
      <c r="AG613" s="106">
        <f t="shared" si="1220"/>
        <v>0</v>
      </c>
      <c r="AH613" s="106">
        <f t="shared" si="1220"/>
        <v>0</v>
      </c>
      <c r="AI613" s="106">
        <f t="shared" si="1220"/>
        <v>0</v>
      </c>
      <c r="AJ613" s="106">
        <f t="shared" si="1220"/>
        <v>0</v>
      </c>
      <c r="AK613" s="106">
        <f t="shared" si="1220"/>
        <v>0</v>
      </c>
      <c r="AL613" s="106">
        <f t="shared" si="1220"/>
        <v>0</v>
      </c>
      <c r="AM613" s="106">
        <f t="shared" si="1220"/>
        <v>52.31</v>
      </c>
      <c r="AN613" s="106">
        <f t="shared" si="1220"/>
        <v>0</v>
      </c>
      <c r="AO613" s="106">
        <f t="shared" si="1220"/>
        <v>0</v>
      </c>
      <c r="AP613" s="106">
        <f t="shared" si="1220"/>
        <v>0</v>
      </c>
      <c r="AQ613" s="106">
        <f t="shared" si="1220"/>
        <v>0</v>
      </c>
      <c r="AR613" s="107">
        <f t="shared" si="1220"/>
        <v>0</v>
      </c>
      <c r="AS613" s="105">
        <f t="shared" ref="AS613:BE613" si="1234">IF(AND($B613=" ",$K613=AS$3),$O613,0)</f>
        <v>0</v>
      </c>
      <c r="AT613" s="106">
        <f t="shared" si="1234"/>
        <v>0</v>
      </c>
      <c r="AU613" s="106">
        <f t="shared" si="1234"/>
        <v>0</v>
      </c>
      <c r="AV613" s="106">
        <f t="shared" si="1234"/>
        <v>0</v>
      </c>
      <c r="AW613" s="106">
        <f t="shared" si="1234"/>
        <v>0</v>
      </c>
      <c r="AX613" s="106">
        <f t="shared" si="1234"/>
        <v>0</v>
      </c>
      <c r="AY613" s="108">
        <f t="shared" si="1234"/>
        <v>0</v>
      </c>
      <c r="AZ613" s="109">
        <f t="shared" si="1234"/>
        <v>0</v>
      </c>
      <c r="BA613" s="109">
        <f t="shared" si="1234"/>
        <v>0</v>
      </c>
      <c r="BB613" s="109">
        <f t="shared" si="1234"/>
        <v>0</v>
      </c>
      <c r="BC613" s="110">
        <f t="shared" si="1234"/>
        <v>0</v>
      </c>
      <c r="BD613" s="106">
        <f t="shared" si="1234"/>
        <v>0</v>
      </c>
      <c r="BE613" s="107">
        <f t="shared" si="1234"/>
        <v>0</v>
      </c>
      <c r="BF613" s="111">
        <f t="shared" si="1222"/>
        <v>0</v>
      </c>
      <c r="BG613" s="106">
        <f t="shared" si="1222"/>
        <v>0</v>
      </c>
      <c r="BH613" s="106">
        <f t="shared" si="1222"/>
        <v>0</v>
      </c>
      <c r="BI613" s="106">
        <f t="shared" si="1222"/>
        <v>0</v>
      </c>
      <c r="BJ613" s="106">
        <f t="shared" si="1222"/>
        <v>0</v>
      </c>
      <c r="BK613" s="106">
        <f t="shared" si="1222"/>
        <v>0</v>
      </c>
      <c r="BL613" s="106">
        <f t="shared" si="1222"/>
        <v>0</v>
      </c>
      <c r="BM613" s="108">
        <f t="shared" si="1222"/>
        <v>44.33</v>
      </c>
      <c r="BN613" s="109">
        <f t="shared" si="1222"/>
        <v>0</v>
      </c>
      <c r="BO613" s="109">
        <f t="shared" si="1222"/>
        <v>0</v>
      </c>
      <c r="BP613" s="109">
        <f t="shared" si="1222"/>
        <v>0</v>
      </c>
      <c r="BQ613" s="110">
        <f t="shared" si="1222"/>
        <v>0</v>
      </c>
      <c r="BR613" s="107">
        <f t="shared" si="1222"/>
        <v>0</v>
      </c>
      <c r="BS613" s="463">
        <f>IF($B613="LOSS",IF(AND($K613=BS$3,$C613="L"),-$O613,0)+IF(AND($K614=BS$3,$C614="L"),-$O614,0)+IF(AND($K615=BS$3,$C615="L"),-$O615,0),IF(OR(AND($K613=BS$3,OR($C613="W",$C613="1/2W")),AND($K614=BS$3,OR($C614="W",$C614="1/2W")),AND($K615=BS$3,OR($C615="W",$C615="1/2W"))),$S613,0))</f>
        <v>0</v>
      </c>
      <c r="BT613" s="462">
        <f>IF($B613="LOSS",IF(AND($K613=BT$3,$C613="L"),-$O613,0)+IF(AND($K614=BT$3,$C614="L"),-$O614,0)+IF(AND($K614=BT$3,$C615="L"),-$O615,0),IF(OR(AND($K614=BT$3,OR($C613="W",$C613="1/2W")),AND($K614=BT$3,OR($C614="W",$C614="1/2W")),AND($K614=BT$3,OR($C615="W",$C615="1/2W"))),$S613,0))</f>
        <v>0</v>
      </c>
      <c r="BU613" s="462">
        <f>IF($B613="LOSS",IF(AND($K613=BU$3,$C613="L"),-$O613,0)+IF(AND($K614=BU$3,$C614="L"),-$O614,0)+IF(AND($K614=BU$3,$C615="L"),-$O615,0),IF(OR(AND($K614=BU$3,OR($C613="W",$C613="1/2W")),AND($K614=BU$3,OR($C614="W",$C614="1/2W")),AND($K614=BU$3,OR($C615="W",$C615="1/2W"))),$S613,0))</f>
        <v>0</v>
      </c>
      <c r="BV613" s="462">
        <f t="shared" ref="BV613:CE613" si="1235">IF($B613="LOSS",IF(AND($K613=BV$3,$C613="L"),-$O613,0)+IF(AND($K614=BV$3,$C614="L"),-$O614,0)+IF(AND($K615=BV$3,$C615="L"),-$O615,0),IF(OR(AND($K613=BV$3,OR($C613="W",$C613="1/2W")),AND($K614=BV$3,OR($C614="W",$C614="1/2W")),AND($K615=BV$3,OR($C615="W",$C615="1/2W"))),$S613,0))</f>
        <v>0</v>
      </c>
      <c r="BW613" s="462">
        <f t="shared" si="1235"/>
        <v>0</v>
      </c>
      <c r="BX613" s="462">
        <f t="shared" si="1235"/>
        <v>0</v>
      </c>
      <c r="BY613" s="462">
        <f t="shared" si="1235"/>
        <v>0</v>
      </c>
      <c r="BZ613" s="460">
        <f t="shared" si="1235"/>
        <v>6.29</v>
      </c>
      <c r="CA613" s="460">
        <f t="shared" si="1235"/>
        <v>0</v>
      </c>
      <c r="CB613" s="460">
        <f t="shared" si="1235"/>
        <v>0</v>
      </c>
      <c r="CC613" s="460">
        <f t="shared" si="1235"/>
        <v>0</v>
      </c>
      <c r="CD613" s="473">
        <f t="shared" si="1235"/>
        <v>0</v>
      </c>
      <c r="CE613" s="479">
        <f t="shared" si="1235"/>
        <v>0</v>
      </c>
      <c r="CF613" s="113">
        <f t="shared" si="1156"/>
        <v>0</v>
      </c>
      <c r="CG613" s="114">
        <f t="shared" si="1157"/>
        <v>0</v>
      </c>
      <c r="CH613" s="114">
        <f t="shared" si="1158"/>
        <v>0</v>
      </c>
      <c r="CI613" s="114">
        <f t="shared" si="1159"/>
        <v>0</v>
      </c>
      <c r="CJ613" s="114">
        <f t="shared" si="1160"/>
        <v>0</v>
      </c>
      <c r="CK613" s="114">
        <f t="shared" si="1161"/>
        <v>0</v>
      </c>
      <c r="CL613" s="114">
        <f t="shared" si="1162"/>
        <v>0</v>
      </c>
      <c r="CM613" s="114">
        <f t="shared" si="1163"/>
        <v>0</v>
      </c>
      <c r="CN613" s="114">
        <f t="shared" si="1164"/>
        <v>0</v>
      </c>
      <c r="CO613" s="114">
        <f t="shared" si="1165"/>
        <v>0</v>
      </c>
      <c r="CP613" s="114">
        <f t="shared" si="1166"/>
        <v>0</v>
      </c>
      <c r="CQ613" s="114">
        <f t="shared" si="1167"/>
        <v>0</v>
      </c>
      <c r="CR613" s="114">
        <f t="shared" si="1168"/>
        <v>0</v>
      </c>
      <c r="CS613" s="114">
        <f t="shared" si="1169"/>
        <v>0</v>
      </c>
      <c r="CT613" s="115">
        <f t="shared" si="1170"/>
        <v>1</v>
      </c>
      <c r="CU613" s="116">
        <f t="shared" si="1171"/>
        <v>0</v>
      </c>
      <c r="CV613" s="116">
        <f t="shared" si="1172"/>
        <v>0</v>
      </c>
      <c r="CW613" s="116">
        <f t="shared" si="1173"/>
        <v>0</v>
      </c>
      <c r="CX613" s="116">
        <f t="shared" si="1174"/>
        <v>0</v>
      </c>
      <c r="CY613" s="116">
        <f t="shared" si="1175"/>
        <v>0</v>
      </c>
      <c r="CZ613" s="116">
        <f t="shared" si="1176"/>
        <v>0</v>
      </c>
      <c r="DA613" s="116">
        <f t="shared" si="1177"/>
        <v>0</v>
      </c>
      <c r="DB613" s="116">
        <f t="shared" si="1178"/>
        <v>0</v>
      </c>
      <c r="DC613" s="116">
        <f t="shared" si="1179"/>
        <v>0</v>
      </c>
      <c r="DD613" s="116">
        <f t="shared" si="1180"/>
        <v>0</v>
      </c>
      <c r="DE613" s="117">
        <f t="shared" si="1181"/>
        <v>0</v>
      </c>
      <c r="DF613" s="118">
        <f t="shared" si="1183"/>
        <v>36</v>
      </c>
      <c r="DG613" s="106">
        <f t="shared" si="1184"/>
        <v>47.227999999999994</v>
      </c>
      <c r="DH613" s="116">
        <f t="shared" si="1185"/>
        <v>14</v>
      </c>
      <c r="DI613" s="106">
        <f t="shared" si="1186"/>
        <v>60.05</v>
      </c>
      <c r="DJ613" s="201" t="str">
        <f>IF($D613="","",$D613)</f>
        <v>20</v>
      </c>
      <c r="DK613" s="465">
        <f>IF(AND($B613=" ",$D613&lt;&gt;""),1,0)</f>
        <v>0</v>
      </c>
    </row>
    <row r="614" spans="1:115" ht="14.5" customHeight="1" x14ac:dyDescent="0.2">
      <c r="A614" s="389"/>
      <c r="B614" s="456"/>
      <c r="C614" s="120" t="s">
        <v>55</v>
      </c>
      <c r="D614" s="374"/>
      <c r="E614" s="386"/>
      <c r="F614" s="377"/>
      <c r="G614" s="483"/>
      <c r="H614" s="476"/>
      <c r="I614" s="121" t="s">
        <v>52</v>
      </c>
      <c r="J614" s="122">
        <f>IF(OR(I613="TO",I613="TU",I613="TO1",I613="TU1",I613="TO2",I613="TU2"),J613,IF(OR(I613="AH1",I613="AH2"),IF(OR(I614="AH1",I614="AH2"),-J613,IF(OR(I614="EH1",I614="EH2"),-J613+0.5,"")),IF(OR(I613="EH1",I613="EH2"),IF(OR(I614="AH1",I614="AH2"),-J613+0.5,IF(OR(I614="EH1",I614="EH2"),-J613+1,"")),IF(AND(OR(I613="DNB1",I613="DNB2"),OR(I614="AH1",I614="AH2")),0,IF(AND(I613="Not ScoreBoth",OR(I614="TO1",I614="TO2")),0.5,"")))))</f>
        <v>49.5</v>
      </c>
      <c r="K614" s="123" t="s">
        <v>40</v>
      </c>
      <c r="L614" s="124">
        <v>2.1</v>
      </c>
      <c r="M614" s="125">
        <v>46.02</v>
      </c>
      <c r="N614" s="406"/>
      <c r="O614" s="126">
        <f>IF(OR(AE613="",AE614=""),"",ROUND(IF(L615&gt;0,IF(M614&gt;0,M614,IF(M613&gt;0,IF(N613=TRUE,ROUND((M613*AE614)/AE613,0),(M613*AE614)/AE613),IF(M614&gt;0,ROUND(M614,IF(N613=0,2,IF(N613=0.1,1,0))),IF(M615&gt;0,ROUND(O615*AE614/AE615,IF(N613=0,2,IF(N613=0.1,1,0))),0)))),IF(M614&gt;0,M614,ROUND((M613*AE614)/AE613,IF(N613=0,2,IF(N613=0.1,1,0))))),2))</f>
        <v>46.02</v>
      </c>
      <c r="P614" s="127">
        <f>IF(OR(L614="",O614=""),"",IF($C614="1/2W",O614/2+O614/2*L614,IF($C614="1/2L",O614/2,IF(I614="Lay",((O614*(L614/(L614-1)))-O614)*(1-_xlfn.XLOOKUP(K614,'Fevereiro 2023 - Valor Real'!A3:A15,'Fevereiro 2023 - Valor Real'!C3:C15,0))+O614,(O614*L614-O614)*(1-_xlfn.XLOOKUP(K614,'Fevereiro 2023 - Valor Real'!A3:A15,'Fevereiro 2023 - Valor Real'!C3:C15,0))+O614))))</f>
        <v>96.64200000000001</v>
      </c>
      <c r="Q614" s="128">
        <f>IF(K614="","",IF(_xlfn.XLOOKUP(K614,K$4:K613,$DJ$4:DJ613,0,,-1)=DJ614,_xlfn.XLOOKUP(K614,K$4:K613,Q$4:Q613,1,,-1)+1,1))</f>
        <v>3</v>
      </c>
      <c r="R614" s="129">
        <f>IF(K614="","",_xlfn.XLOOKUP(K614,K$4:K613,R$4:R613,0,,-1)+IF($C614=" ",1,0))</f>
        <v>0</v>
      </c>
      <c r="S614" s="403"/>
      <c r="T614" s="380"/>
      <c r="U614" s="380"/>
      <c r="V614" s="481"/>
      <c r="W614" s="380"/>
      <c r="X614" s="452"/>
      <c r="Y614" s="383"/>
      <c r="Z614" s="384"/>
      <c r="AA614" s="384"/>
      <c r="AB614" s="384"/>
      <c r="AC614" s="384"/>
      <c r="AD614" s="130">
        <f>(((L614/(L614-1)-1)*(1-_xlfn.XLOOKUP(K614,'Fevereiro 2023 - Valor Real'!A3:A15,'Fevereiro 2023 - Valor Real'!C3:C15,0))+1))</f>
        <v>1.9090909090909089</v>
      </c>
      <c r="AE614" s="131">
        <f>IF(L614="","",IF(L615&gt;0,(SUM(((L613-1)*(1-_xlfn.XLOOKUP(K613,'Fevereiro 2023 - Valor Real'!A3:A15,'Fevereiro 2023 - Valor Real'!C3:C15,0))+1),((L614-1)*(1-_xlfn.XLOOKUP(K614,'Fevereiro 2023 - Valor Real'!A3:A15,'Fevereiro 2023 - Valor Real'!C3:C15,0))+1),((L615-1)*(1-_xlfn.XLOOKUP(K615,'Fevereiro 2023 - Valor Real'!A3:A15,'Fevereiro 2023 - Valor Real'!C3:C15,0))+1))/((L614-1)*(1-_xlfn.XLOOKUP(K614,'Fevereiro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Real'!C3:C15,0))+1))/((L613-1)*(1-_xlfn.XLOOKUP(K613,'Fevereiro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Real'!C3:C15,0))+1))/((L614-1)*(1-_xlfn.XLOOKUP(K614,'Fevereiro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Real'!C3:C15,0))+1))/((L615-1)*(1-_xlfn.XLOOKUP(K615,'Fevereiro 2023 - Valor Real'!A3:A15,'Fevereiro 2023 - Valor Real'!C3:C15,0))+1)),IF(I614="Lay",IF(I613="Lay",((L613/(L613-1)-1)*(1-_xlfn.XLOOKUP(K613,'Fevereiro 2023 - Valor Real'!A3:A15,'Fevereiro 2023 - Valor Real'!C3:C15,0))+1)/(((L613/(L613-1)-1)*(1-_xlfn.XLOOKUP(K613,'Fevereiro 2023 - Valor Real'!A3:A15,'Fevereiro 2023 - Valor Real'!C3:C15,0))+1)+((L614/(L614-1)-1)*(1-_xlfn.XLOOKUP(K614,'Fevereiro 2023 - Valor Real'!A3:A15,'Fevereiro 2023 - Valor Real'!C3:C15,0))+1)),((L613-1)*(1-_xlfn.XLOOKUP(K613,'Fevereiro 2023 - Valor Real'!A3:A15,'Fevereiro 2023 - Valor Real'!C3:C15,0))+1)/(((L613-1)*(1-_xlfn.XLOOKUP(K613,'Fevereiro 2023 - Valor Real'!A3:A15,'Fevereiro 2023 - Valor Real'!C3:C15,0))+1)+((L614/(L614-1)-1)*(1-_xlfn.XLOOKUP(K614,'Fevereiro 2023 - Valor Real'!A3:A15,'Fevereiro 2023 - Valor Real'!C3:C15,0))+1))),IF(I613="Lay",((L613/(L613-1)-1)*(1-_xlfn.XLOOKUP(K613,'Fevereiro 2023 - Valor Real'!A3:A15,'Fevereiro 2023 - Valor Real'!C3:C15,0))+1)/((((L613/(L613-1)-1)*(1-_xlfn.XLOOKUP(K613,'Fevereiro 2023 - Valor Real'!A3:A15,'Fevereiro 2023 - Valor Real'!C3:C15,0))+1))+((L614-1)*(1-_xlfn.XLOOKUP(K614,'Fevereiro 2023 - Valor Real'!A3:A15,'Fevereiro 2023 - Valor Real'!C3:C15,0))+1)),((L613-1)*(1-_xlfn.XLOOKUP(K613,'Fevereiro 2023 - Valor Real'!A3:A15,'Fevereiro 2023 - Valor Real'!C3:C15,0))+1)/(((L613-1)*(1-_xlfn.XLOOKUP(K613,'Fevereiro 2023 - Valor Real'!A3:A15,'Fevereiro 2023 - Valor Real'!C3:C15,0))+1)+((L614-1)*(1-_xlfn.XLOOKUP(K614,'Fevereiro 2023 - Valor Real'!A3:A15,'Fevereiro 2023 - Valor Real'!C3:C15,0))+1))))))</f>
        <v>0.50934579439252337</v>
      </c>
      <c r="AF614" s="105">
        <f t="shared" ref="AF614:AR623" si="1236">IF($K614=AF$3,ROUND(IF(OR($C614="W",$C614="1/2W",$C614="1/2L"),$P614-$O614,IF($C614="X",0,-$O614)),2),0)</f>
        <v>0</v>
      </c>
      <c r="AG614" s="106">
        <f t="shared" si="1236"/>
        <v>0</v>
      </c>
      <c r="AH614" s="106">
        <f t="shared" si="1236"/>
        <v>0</v>
      </c>
      <c r="AI614" s="106">
        <f t="shared" si="1236"/>
        <v>0</v>
      </c>
      <c r="AJ614" s="106">
        <f t="shared" si="1236"/>
        <v>-46.02</v>
      </c>
      <c r="AK614" s="106">
        <f t="shared" si="1236"/>
        <v>0</v>
      </c>
      <c r="AL614" s="106">
        <f t="shared" si="1236"/>
        <v>0</v>
      </c>
      <c r="AM614" s="106">
        <f t="shared" si="1236"/>
        <v>0</v>
      </c>
      <c r="AN614" s="106">
        <f t="shared" si="1236"/>
        <v>0</v>
      </c>
      <c r="AO614" s="106">
        <f t="shared" si="1236"/>
        <v>0</v>
      </c>
      <c r="AP614" s="106">
        <f t="shared" si="1236"/>
        <v>0</v>
      </c>
      <c r="AQ614" s="106">
        <f t="shared" si="1236"/>
        <v>0</v>
      </c>
      <c r="AR614" s="107">
        <f t="shared" si="1236"/>
        <v>0</v>
      </c>
      <c r="AS614" s="105">
        <f>IF(AND($B613=" ",$K614=AS$3),$O614,0)</f>
        <v>0</v>
      </c>
      <c r="AT614" s="106">
        <f>IF(AND($B613=" ",K614=AT$3),$O614,0)</f>
        <v>0</v>
      </c>
      <c r="AU614" s="106">
        <f t="shared" ref="AU614:BE614" si="1237">IF(AND($B613=" ",$K614=AU$3),$O614,0)</f>
        <v>0</v>
      </c>
      <c r="AV614" s="106">
        <f t="shared" si="1237"/>
        <v>0</v>
      </c>
      <c r="AW614" s="106">
        <f t="shared" si="1237"/>
        <v>0</v>
      </c>
      <c r="AX614" s="106">
        <f t="shared" si="1237"/>
        <v>0</v>
      </c>
      <c r="AY614" s="108">
        <f t="shared" si="1237"/>
        <v>0</v>
      </c>
      <c r="AZ614" s="109">
        <f t="shared" si="1237"/>
        <v>0</v>
      </c>
      <c r="BA614" s="109">
        <f t="shared" si="1237"/>
        <v>0</v>
      </c>
      <c r="BB614" s="109">
        <f t="shared" si="1237"/>
        <v>0</v>
      </c>
      <c r="BC614" s="110">
        <f t="shared" si="1237"/>
        <v>0</v>
      </c>
      <c r="BD614" s="106">
        <f t="shared" si="1237"/>
        <v>0</v>
      </c>
      <c r="BE614" s="107">
        <f t="shared" si="1237"/>
        <v>0</v>
      </c>
      <c r="BF614" s="105">
        <f t="shared" ref="BF614:BR623" si="1238">IF($K614=BF$3,IF($C614="X",0,$O614),0)</f>
        <v>0</v>
      </c>
      <c r="BG614" s="106">
        <f t="shared" si="1238"/>
        <v>0</v>
      </c>
      <c r="BH614" s="106">
        <f t="shared" si="1238"/>
        <v>0</v>
      </c>
      <c r="BI614" s="106">
        <f t="shared" si="1238"/>
        <v>0</v>
      </c>
      <c r="BJ614" s="106">
        <f t="shared" si="1238"/>
        <v>46.02</v>
      </c>
      <c r="BK614" s="106">
        <f t="shared" si="1238"/>
        <v>0</v>
      </c>
      <c r="BL614" s="106">
        <f t="shared" si="1238"/>
        <v>0</v>
      </c>
      <c r="BM614" s="132">
        <f t="shared" si="1238"/>
        <v>0</v>
      </c>
      <c r="BN614" s="112">
        <f t="shared" si="1238"/>
        <v>0</v>
      </c>
      <c r="BO614" s="112">
        <f t="shared" si="1238"/>
        <v>0</v>
      </c>
      <c r="BP614" s="112">
        <f t="shared" si="1238"/>
        <v>0</v>
      </c>
      <c r="BQ614" s="110">
        <f t="shared" si="1238"/>
        <v>0</v>
      </c>
      <c r="BR614" s="107">
        <f t="shared" si="1238"/>
        <v>0</v>
      </c>
      <c r="BS614" s="464"/>
      <c r="BT614" s="461"/>
      <c r="BU614" s="392"/>
      <c r="BV614" s="461"/>
      <c r="BW614" s="392"/>
      <c r="BX614" s="392"/>
      <c r="BY614" s="392"/>
      <c r="BZ614" s="461"/>
      <c r="CA614" s="392"/>
      <c r="CB614" s="392"/>
      <c r="CC614" s="392"/>
      <c r="CD614" s="401"/>
      <c r="CE614" s="409"/>
      <c r="CF614" s="133">
        <f t="shared" si="1156"/>
        <v>0</v>
      </c>
      <c r="CG614" s="134">
        <f t="shared" si="1157"/>
        <v>0</v>
      </c>
      <c r="CH614" s="134">
        <f t="shared" si="1158"/>
        <v>0</v>
      </c>
      <c r="CI614" s="134">
        <f t="shared" si="1159"/>
        <v>0</v>
      </c>
      <c r="CJ614" s="134">
        <f t="shared" si="1160"/>
        <v>0</v>
      </c>
      <c r="CK614" s="134">
        <f t="shared" si="1161"/>
        <v>0</v>
      </c>
      <c r="CL614" s="134">
        <f t="shared" si="1162"/>
        <v>0</v>
      </c>
      <c r="CM614" s="134">
        <f t="shared" si="1163"/>
        <v>0</v>
      </c>
      <c r="CN614" s="134">
        <f t="shared" si="1164"/>
        <v>0</v>
      </c>
      <c r="CO614" s="134">
        <f t="shared" si="1165"/>
        <v>1</v>
      </c>
      <c r="CP614" s="134">
        <f t="shared" si="1166"/>
        <v>0</v>
      </c>
      <c r="CQ614" s="134">
        <f t="shared" si="1167"/>
        <v>0</v>
      </c>
      <c r="CR614" s="134">
        <f t="shared" si="1168"/>
        <v>0</v>
      </c>
      <c r="CS614" s="134">
        <f t="shared" si="1169"/>
        <v>0</v>
      </c>
      <c r="CT614" s="115">
        <f t="shared" si="1170"/>
        <v>0</v>
      </c>
      <c r="CU614" s="116">
        <f t="shared" si="1171"/>
        <v>0</v>
      </c>
      <c r="CV614" s="116">
        <f t="shared" si="1172"/>
        <v>0</v>
      </c>
      <c r="CW614" s="116">
        <f t="shared" si="1173"/>
        <v>0</v>
      </c>
      <c r="CX614" s="116">
        <f t="shared" si="1174"/>
        <v>0</v>
      </c>
      <c r="CY614" s="116">
        <f t="shared" si="1175"/>
        <v>0</v>
      </c>
      <c r="CZ614" s="116">
        <f t="shared" si="1176"/>
        <v>0</v>
      </c>
      <c r="DA614" s="116">
        <f t="shared" si="1177"/>
        <v>0</v>
      </c>
      <c r="DB614" s="116">
        <f t="shared" si="1178"/>
        <v>0</v>
      </c>
      <c r="DC614" s="116">
        <f t="shared" si="1179"/>
        <v>0</v>
      </c>
      <c r="DD614" s="116">
        <f t="shared" si="1180"/>
        <v>0</v>
      </c>
      <c r="DE614" s="117">
        <f t="shared" si="1181"/>
        <v>0</v>
      </c>
      <c r="DF614" s="118">
        <f t="shared" si="1183"/>
        <v>36</v>
      </c>
      <c r="DG614" s="106">
        <f t="shared" si="1184"/>
        <v>47.227999999999994</v>
      </c>
      <c r="DH614" s="116">
        <f t="shared" si="1185"/>
        <v>14</v>
      </c>
      <c r="DI614" s="106">
        <f t="shared" si="1186"/>
        <v>60.05</v>
      </c>
      <c r="DJ614" s="201" t="str">
        <f>IF($D613="","",$D613)</f>
        <v>20</v>
      </c>
      <c r="DK614" s="466"/>
    </row>
    <row r="615" spans="1:115" ht="14.5" customHeight="1" x14ac:dyDescent="0.2">
      <c r="A615" s="390"/>
      <c r="B615" s="457"/>
      <c r="C615" s="135" t="s">
        <v>53</v>
      </c>
      <c r="D615" s="375"/>
      <c r="E615" s="387"/>
      <c r="F615" s="378"/>
      <c r="G615" s="484"/>
      <c r="H615" s="477"/>
      <c r="I615" s="136"/>
      <c r="J615" s="137"/>
      <c r="K615" s="138"/>
      <c r="L615" s="139"/>
      <c r="M615" s="140"/>
      <c r="N615" s="407"/>
      <c r="O615" s="141" t="str">
        <f>IF(OR(AE613="",AE614=""),"",IF(L615&gt;0,ROUND(IF(M615&gt;0,M615,IF(M613&gt;0,ROUND((M613*AE615)/AE613,IF(N613=0,2,IF(N613=0.1,1,0))),IF(M614&gt;0,ROUND((M614*AE615)/AE614,IF(N613=0,2,IF(N613=0.1,1,0))),IF(M615&gt;0,M615,0)))),2),""))</f>
        <v/>
      </c>
      <c r="P615" s="142" t="str">
        <f>IF(I614="Lay",O614*(L614/(L614-1))-O614,IF(I613="Lay",O613*(L613/(L613-1))-O613,IF(OR(L615="",O615=""),"",IF($C615="1/2W",O615/2+O615/2*L615,IF($C615="1/2L",O615/2,(O615*L615-O615)*(1-_xlfn.XLOOKUP(K615,'Fevereiro 2023 - Valor Real'!A3:A15,'Fevereiro 2023 - Valor Real'!C3:C15,0))+O615)))))</f>
        <v/>
      </c>
      <c r="Q615" s="143" t="str">
        <f>IF(K615="","",IF(_xlfn.XLOOKUP(K615,K$4:K614,$DJ$4:DJ614,0,,-1)=DJ615,_xlfn.XLOOKUP(K615,K$4:K614,Q$4:Q614,1,,-1)+1,1))</f>
        <v/>
      </c>
      <c r="R615" s="144" t="str">
        <f>IF(K615="","",_xlfn.XLOOKUP(K615,K$4:K614,R$4:R614,0,,-1)+IF($C615=" ",1,0))</f>
        <v/>
      </c>
      <c r="S615" s="404"/>
      <c r="T615" s="378"/>
      <c r="U615" s="378"/>
      <c r="V615" s="404"/>
      <c r="W615" s="378"/>
      <c r="X615" s="453"/>
      <c r="Y615" s="383"/>
      <c r="Z615" s="384"/>
      <c r="AA615" s="384"/>
      <c r="AB615" s="384"/>
      <c r="AC615" s="384"/>
      <c r="AD615" s="145">
        <f>((L614/(L614-1)-1))</f>
        <v>0.90909090909090895</v>
      </c>
      <c r="AE615" s="146" t="str">
        <f>IF(L615="","",(SUM(((L613-1)*(1-_xlfn.XLOOKUP(K613,'Fevereiro 2023 - Valor Real'!A3:A15,'Fevereiro 2023 - Valor Real'!C3:C15,0))+1),((L614-1)*(1-_xlfn.XLOOKUP(K614,'Fevereiro 2023 - Valor Real'!A3:A15,'Fevereiro 2023 - Valor Real'!C3:C15,0))+1),((L615-1)*(1-_xlfn.XLOOKUP(K615,'Fevereiro 2023 - Valor Real'!A3:A15,'Fevereiro 2023 - Valor Real'!C3:C15,0))+1))/((L615-1)*(1-_xlfn.XLOOKUP(K615,'Fevereiro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Real'!C3:C15,0))+1))/((L613-1)*(1-_xlfn.XLOOKUP(K613,'Fevereiro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Real'!C3:C15,0))+1))/((L614-1)*(1-_xlfn.XLOOKUP(K614,'Fevereiro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Real'!C3:C15,0))+1))/((L615-1)*(1-_xlfn.XLOOKUP(K615,'Fevereiro 2023 - Valor Real'!A3:A15,'Fevereiro 2023 - Valor Real'!C3:C15,0))+1)))</f>
        <v/>
      </c>
      <c r="AF615" s="105">
        <f t="shared" si="1236"/>
        <v>0</v>
      </c>
      <c r="AG615" s="106">
        <f t="shared" si="1236"/>
        <v>0</v>
      </c>
      <c r="AH615" s="106">
        <f t="shared" si="1236"/>
        <v>0</v>
      </c>
      <c r="AI615" s="106">
        <f t="shared" si="1236"/>
        <v>0</v>
      </c>
      <c r="AJ615" s="106">
        <f t="shared" si="1236"/>
        <v>0</v>
      </c>
      <c r="AK615" s="106">
        <f t="shared" si="1236"/>
        <v>0</v>
      </c>
      <c r="AL615" s="106">
        <f t="shared" si="1236"/>
        <v>0</v>
      </c>
      <c r="AM615" s="106">
        <f t="shared" si="1236"/>
        <v>0</v>
      </c>
      <c r="AN615" s="106">
        <f t="shared" si="1236"/>
        <v>0</v>
      </c>
      <c r="AO615" s="106">
        <f t="shared" si="1236"/>
        <v>0</v>
      </c>
      <c r="AP615" s="106">
        <f t="shared" si="1236"/>
        <v>0</v>
      </c>
      <c r="AQ615" s="106">
        <f t="shared" si="1236"/>
        <v>0</v>
      </c>
      <c r="AR615" s="107">
        <f t="shared" si="1236"/>
        <v>0</v>
      </c>
      <c r="AS615" s="105">
        <f>IF(AND($B613=" ",$K615=AS$3),$O615,0)</f>
        <v>0</v>
      </c>
      <c r="AT615" s="106">
        <f>IF(AND($B613=" ",K615=AT$3),$O615,0)</f>
        <v>0</v>
      </c>
      <c r="AU615" s="106">
        <f t="shared" ref="AU615:BE615" si="1239">IF(AND($B613=" ",$K615=AU$3),$O615,0)</f>
        <v>0</v>
      </c>
      <c r="AV615" s="106">
        <f t="shared" si="1239"/>
        <v>0</v>
      </c>
      <c r="AW615" s="106">
        <f t="shared" si="1239"/>
        <v>0</v>
      </c>
      <c r="AX615" s="106">
        <f t="shared" si="1239"/>
        <v>0</v>
      </c>
      <c r="AY615" s="108">
        <f t="shared" si="1239"/>
        <v>0</v>
      </c>
      <c r="AZ615" s="109">
        <f t="shared" si="1239"/>
        <v>0</v>
      </c>
      <c r="BA615" s="109">
        <f t="shared" si="1239"/>
        <v>0</v>
      </c>
      <c r="BB615" s="109">
        <f t="shared" si="1239"/>
        <v>0</v>
      </c>
      <c r="BC615" s="110">
        <f t="shared" si="1239"/>
        <v>0</v>
      </c>
      <c r="BD615" s="106">
        <f t="shared" si="1239"/>
        <v>0</v>
      </c>
      <c r="BE615" s="107">
        <f t="shared" si="1239"/>
        <v>0</v>
      </c>
      <c r="BF615" s="105">
        <f t="shared" si="1238"/>
        <v>0</v>
      </c>
      <c r="BG615" s="106">
        <f t="shared" si="1238"/>
        <v>0</v>
      </c>
      <c r="BH615" s="106">
        <f t="shared" si="1238"/>
        <v>0</v>
      </c>
      <c r="BI615" s="106">
        <f t="shared" si="1238"/>
        <v>0</v>
      </c>
      <c r="BJ615" s="106">
        <f t="shared" si="1238"/>
        <v>0</v>
      </c>
      <c r="BK615" s="106">
        <f t="shared" si="1238"/>
        <v>0</v>
      </c>
      <c r="BL615" s="106">
        <f t="shared" si="1238"/>
        <v>0</v>
      </c>
      <c r="BM615" s="108">
        <f t="shared" si="1238"/>
        <v>0</v>
      </c>
      <c r="BN615" s="109">
        <f t="shared" si="1238"/>
        <v>0</v>
      </c>
      <c r="BO615" s="109">
        <f t="shared" si="1238"/>
        <v>0</v>
      </c>
      <c r="BP615" s="109">
        <f t="shared" si="1238"/>
        <v>0</v>
      </c>
      <c r="BQ615" s="110">
        <f t="shared" si="1238"/>
        <v>0</v>
      </c>
      <c r="BR615" s="107">
        <f t="shared" si="1238"/>
        <v>0</v>
      </c>
      <c r="BS615" s="464"/>
      <c r="BT615" s="461"/>
      <c r="BU615" s="392"/>
      <c r="BV615" s="461"/>
      <c r="BW615" s="392"/>
      <c r="BX615" s="392"/>
      <c r="BY615" s="392"/>
      <c r="BZ615" s="461"/>
      <c r="CA615" s="392"/>
      <c r="CB615" s="392"/>
      <c r="CC615" s="392"/>
      <c r="CD615" s="401"/>
      <c r="CE615" s="409"/>
      <c r="CF615" s="133">
        <f t="shared" si="1156"/>
        <v>0</v>
      </c>
      <c r="CG615" s="134">
        <f t="shared" si="1157"/>
        <v>0</v>
      </c>
      <c r="CH615" s="134">
        <f t="shared" si="1158"/>
        <v>0</v>
      </c>
      <c r="CI615" s="134">
        <f t="shared" si="1159"/>
        <v>0</v>
      </c>
      <c r="CJ615" s="134">
        <f t="shared" si="1160"/>
        <v>0</v>
      </c>
      <c r="CK615" s="134">
        <f t="shared" si="1161"/>
        <v>0</v>
      </c>
      <c r="CL615" s="134">
        <f t="shared" si="1162"/>
        <v>0</v>
      </c>
      <c r="CM615" s="134">
        <f t="shared" si="1163"/>
        <v>0</v>
      </c>
      <c r="CN615" s="134">
        <f t="shared" si="1164"/>
        <v>0</v>
      </c>
      <c r="CO615" s="134">
        <f t="shared" si="1165"/>
        <v>0</v>
      </c>
      <c r="CP615" s="134">
        <f t="shared" si="1166"/>
        <v>0</v>
      </c>
      <c r="CQ615" s="134">
        <f t="shared" si="1167"/>
        <v>0</v>
      </c>
      <c r="CR615" s="134">
        <f t="shared" si="1168"/>
        <v>0</v>
      </c>
      <c r="CS615" s="134">
        <f t="shared" si="1169"/>
        <v>0</v>
      </c>
      <c r="CT615" s="115">
        <f t="shared" si="1170"/>
        <v>0</v>
      </c>
      <c r="CU615" s="116">
        <f t="shared" si="1171"/>
        <v>0</v>
      </c>
      <c r="CV615" s="116">
        <f t="shared" si="1172"/>
        <v>0</v>
      </c>
      <c r="CW615" s="116">
        <f t="shared" si="1173"/>
        <v>0</v>
      </c>
      <c r="CX615" s="116">
        <f t="shared" si="1174"/>
        <v>0</v>
      </c>
      <c r="CY615" s="116">
        <f t="shared" si="1175"/>
        <v>0</v>
      </c>
      <c r="CZ615" s="116">
        <f t="shared" si="1176"/>
        <v>0</v>
      </c>
      <c r="DA615" s="116">
        <f t="shared" si="1177"/>
        <v>0</v>
      </c>
      <c r="DB615" s="116">
        <f t="shared" si="1178"/>
        <v>0</v>
      </c>
      <c r="DC615" s="116">
        <f t="shared" si="1179"/>
        <v>0</v>
      </c>
      <c r="DD615" s="116">
        <f t="shared" si="1180"/>
        <v>0</v>
      </c>
      <c r="DE615" s="117">
        <f t="shared" si="1181"/>
        <v>0</v>
      </c>
      <c r="DF615" s="118">
        <f t="shared" si="1183"/>
        <v>36</v>
      </c>
      <c r="DG615" s="106">
        <f t="shared" si="1184"/>
        <v>47.227999999999994</v>
      </c>
      <c r="DH615" s="116">
        <f t="shared" si="1185"/>
        <v>14</v>
      </c>
      <c r="DI615" s="106">
        <f t="shared" si="1186"/>
        <v>60.05</v>
      </c>
      <c r="DJ615" s="201" t="str">
        <f>IF($D613="","",$D613)</f>
        <v>20</v>
      </c>
      <c r="DK615" s="466"/>
    </row>
    <row r="616" spans="1:115" ht="14.5" customHeight="1" x14ac:dyDescent="0.2">
      <c r="A616" s="487">
        <f>$A613+1</f>
        <v>205</v>
      </c>
      <c r="B616" s="506" t="str">
        <f>IF(OR(C616="W",C617="W",C618="W",C616="1/2W",C617="1/2W",C618="1/2W",C616="1/2L",C617="1/2L",C618="1/2L"),"OK",IF(OR(C616="L",C617="L",C618="L"),"LOSS",IF(OR(C616="X",C617="X",C618="X"),"Anulado"," ")))</f>
        <v>OK</v>
      </c>
      <c r="C616" s="147" t="s">
        <v>55</v>
      </c>
      <c r="D616" s="494" t="s">
        <v>227</v>
      </c>
      <c r="E616" s="511" t="str">
        <f>IF(G616=""," ","– "&amp;COUNTIF(D$4:D618,$D616))</f>
        <v>– 1</v>
      </c>
      <c r="F616" s="510" t="str">
        <f ca="1">IF(G616="","",IF(OR(AND($C616&lt;&gt;" ",$C617=" "),AND($C617&lt;&gt;" ",$C616=" "),AND(L618&gt;0,OR(AND($C618&lt;&gt;" ",OR($C616=" ",$C617=" ")),AND($C618=" ",OR($C616&lt;&gt;" ",$C617&lt;&gt;" "))))),IF(SUM(F$4:F615)=0,1,LARGE(F$4:F615,1)+1),IF(MONTH(G616)=MONTH(TODAY()),IF(AND(DAY(G616)&lt;DAY(TODAY()),$B616=" "),IF(SUM(F$4:F615)=0,1,LARGE(F$4:F615,1)+1),IF($B616=" ",IF(AND(DAY(G616)=DAY(TODAY()),HOUR(G616)&lt;=HOUR(NOW())+1),IF(AND(HOUR(G616)+2&lt;=HOUR(NOW()),DAY(G616)&lt;=DAY(TODAY()),MINUTE(G616)&lt;=MINUTE(NOW())),IF(SUM(F$4:F615)=0,1,LARGE(F$4:F615,1)+1),IF(OR(MINUTE(G616)&lt;=MINUTE(NOW()),HOUR(G616)&lt;=HOUR(NOW())),"!!!","")),""),"")),"")))</f>
        <v/>
      </c>
      <c r="G616" s="508">
        <v>45011.458333333336</v>
      </c>
      <c r="H616" s="502" t="s">
        <v>228</v>
      </c>
      <c r="I616" s="180" t="s">
        <v>51</v>
      </c>
      <c r="J616" s="181">
        <v>1</v>
      </c>
      <c r="K616" s="150" t="s">
        <v>40</v>
      </c>
      <c r="L616" s="151">
        <v>5.4</v>
      </c>
      <c r="M616" s="152">
        <v>12.78</v>
      </c>
      <c r="N616" s="503">
        <v>0</v>
      </c>
      <c r="O616" s="153">
        <f>IF(OR(AE616="",AE617=""),"",ROUND(IF(L618&gt;0,IF(M616&gt;0,M616,IF(M617&gt;0,ROUND((M617*AE616)/AE617,IF(N616=0,2,IF(N616=0.1,1,0))),ROUND((M618*AE616)/AE618,IF(N616=0,2,IF(N616=0.1,1,0))))),IF(M616&gt;0,M616,ROUND((M617*AE616)/AE617,IF(N616=0,2,IF(N616=0.1,1,0))))),2))</f>
        <v>12.78</v>
      </c>
      <c r="P616" s="154">
        <f>IF(OR(L616="",O616=""),"",IF($C616="1/2W",O616/2+O616/2*L616,IF($C616="1/2L",O616/2,IF(I616="Lay",(O616*(L616/(L616-1))-O616)*(1-_xlfn.XLOOKUP(K616,'Fevereiro 2023 - Valor Real'!A3:A15,'Fevereiro 2023 - Valor Real'!C3:C15,0))+O616,(O616*L616-O616)*(1-_xlfn.XLOOKUP(K616,'Fevereiro 2023 - Valor Real'!A3:A15,'Fevereiro 2023 - Valor Real'!C3:C15,0))+O616))))</f>
        <v>69.012</v>
      </c>
      <c r="Q616" s="155">
        <f>IF(K616="","",IF(_xlfn.XLOOKUP(K616,K$9:K608,$DJ$9:DJ608,0,,-1)=DJ616,_xlfn.XLOOKUP(K616,K$9:K608,Q$9:Q608,1,,-1)+1,1))</f>
        <v>1</v>
      </c>
      <c r="R616" s="156">
        <f>IF(K616="","",_xlfn.XLOOKUP(K616,K$9:K608,R$9:R608,0,,-1)+IF($C616=" ",1,0))</f>
        <v>0</v>
      </c>
      <c r="S616" s="501">
        <f>IF($B616="Anulado",0,ROUND(IF(OR($B616="LOSS",$B616="OK"),IF(OR($C616="W",$C616="1/2W",$C616="1/2L"),P616-O616,IF($C616="L",-O616,0))+IF(OR($C617="W",$C617="1/2W",$C617="1/2L"),P617-O617,IF($C617="L",-O617,0))+IF(OR($C618="W",$C618="1/2W",$C618="1/2L"),P618-O618,IF($C618="L",-O618,0)),IF(AND(OR($C616="W",$C616="1/2W",$C616="1/2L"),C617="W"),P616+P617-SUM(O616:O618)+_xlfn.XLOOKUP("X",C616:C618,O616:O618,0),IF(AND(C616=TRUE,C618="W"),P616+P618-SUM(O616:O618),IF(AND(C617="W",C618="W"),P617+P618-SUM(O616:O618)+_xlfn.XLOOKUP("X",C616:C618,O616:O618,0),IF(L618&gt;0,IF(OR($C616="W",$C616="1/2W",$C616="1/2L"),P616-SUM(O616:O618)+_xlfn.XLOOKUP("X",C616:C618,O616:O618,0),IF(OR($C616="W",$C616="1/2W",$C616="1/2L"),P617-SUM(O616:O618)+_xlfn.XLOOKUP("X",C616:C618,O616:O618,0),IF(OR($C616="W",$C616="1/2W",$C616="1/2L"),P618-SUM(O616:O618)+_xlfn.XLOOKUP("X",C616:C618,O616:O618,0),IF(SUM(P616:P618)/3-SUM(O616:O618)+_xlfn.XLOOKUP("X",C616:C618,O616:O618,0)&gt;0,SUM(P616:P618)/3-SUM(O616:O618)+_xlfn.XLOOKUP("X",C616:C618,O616:O618,0),LARGE(P616:P618,1)-SUM(O616:O618))))),IF(OR($C616="W",$C616="1/2W",$C616="1/2L"),P616-SUM(O616:O617)+_xlfn.XLOOKUP("X",C616:C618,O616:O618,0),IF(OR($C616="W",$C616="1/2W",$C616="1/2L"),P617-SUM(O616:O617)+_xlfn.XLOOKUP("X",C616:C618,O616:O618,0),SUM(P616:P617)/2-SUM(O616:O617)+_xlfn.XLOOKUP("X",C616:C618,O616:O618,0)))))))),2))</f>
        <v>10.83</v>
      </c>
      <c r="T616" s="486">
        <f>IF(S616=0,0,S616/SUM(O616:O618))</f>
        <v>0.18614644207631489</v>
      </c>
      <c r="U616" s="496">
        <f>IF($D616=$D613,IF(OR($B616="LOSS",$B616="OK",$B616="Anulada"),S616,0)+U613,IF(OR($B616="LOSS",$B616="OK",$B616="Anulada"),S616,0))</f>
        <v>10.83</v>
      </c>
      <c r="V616" s="496">
        <f>IF($D616="",0,IF($D616=$D613,IF($B616=" ",IF(I618="",IF(OR(AND(I616="DNB1",I617="DNB2"),AND(OR(I616="DNB1",I616="DNB2"),J617=0),AND(OR(I617="DNB1",I617="DNB2"),J616=0),AND(I616="DNB2",I617="DNB1"),AND(IF(J616=0,(J616+1)/ROUND(J616+1,0),J616/ROUND(J616,0))=1,IF(J617=0,(J617+1)/ROUND(IF(J617="",0,J617)+1,0),IF(J617="",0,J617)/ROUND(IF(J617="",1,J617),0))=1,OR(J616&lt;&gt;""),J617&lt;&gt;"")),0,IF(S616&lt;0,IF(I618="",SMALL(P616:P617,1)-SUM(O616:O617),0),SMALL(P616:P617,1)-SUM(O616:O617))),IF(S616&lt;0,IF(I618="",SMALL(P616:P618,1)-SUM(O616:O618),0),LARGE(P616:P618,1)-SUM(O616:O618))),S616)+V613,IF(I618="",IF(OR(AND(I616="DNB1",I617="DNB2"),AND(OR(I616="DNB1",I616="DNB2"),J617=0),AND(OR(I617="DNB1",I617="DNB2"),J616=0),AND(I616="DNB2",I617="DNB1"),AND(IF(J616=0,(J616+1)/ROUND(J616+1,0),J616/ROUND(J616,0))=1,IF(J617=0,(IF(J617="",0,J617)+1)/ROUND(IF(J617="",0,J617)+1,0),IF(J617="",0,J617)/ROUND(IF(J617="",0,J617)+1,0))=1,OR(J616&lt;&gt;""),J617&lt;&gt;"")),0,IF(S616&lt;0,IF(I618="",SMALL(P616:P617,1)-SUM(O616:O617),0),SMALL(P616:P618,1)-SUM(O616:O618))),IF(S616&lt;0,IF(I618="",SMALL(P616:P618,1)-SUM(O616:O618),0),LARGE(P616:P618,1)-SUM(O616:O618)))))</f>
        <v>10.827999999999996</v>
      </c>
      <c r="W616" s="496">
        <f>IF($D616=$D613,IF(S616&lt;0,IF(I618="",S616,0),S616)+W613,S616)</f>
        <v>10.83</v>
      </c>
      <c r="X616" s="505" t="str">
        <f>IF(OR(SUM(R616:R618)=0,V616=W616),ROUND(IF(W616=0,0,W616/Y616)*100,2)&amp;"%",ROUND(IF(V616=0,0,V616/Y616)*100,2)&amp;"% a "&amp;ROUND(IF(W616=0,0,W616/Y616)*100,2)&amp;"%")</f>
        <v>18,61%</v>
      </c>
      <c r="Y616" s="497">
        <f>IF($D616=$D613,Y613+SUM(O616:O618),SUM(O616:O618))</f>
        <v>58.18</v>
      </c>
      <c r="Z616" s="496">
        <f>IF($B616=" ",SUM(O616:O618),0)+Z613</f>
        <v>0</v>
      </c>
      <c r="AA616" s="496">
        <f>IF(G616="","",IF($B616="Anulado",LARGE(P616:P618,1)-SUM(O616:O618)+AA613,AA613))</f>
        <v>12.425099999999992</v>
      </c>
      <c r="AB616" s="496">
        <f>IF($D616="","",AB613+S616)</f>
        <v>688.46000000000049</v>
      </c>
      <c r="AC616" s="499">
        <f ca="1">IF($D616="","",IF($B616=" ",IF(DAY(G616)=DAY(TODAY()),1+AC613,0+AC613),0+AC613))</f>
        <v>0</v>
      </c>
      <c r="AD616" s="157">
        <f>(1-_xlfn.XLOOKUP(K614,'Fevereiro 2023 - Valor Real'!A3:A15,'Fevereiro 2023 - Valor Real'!C3:C15,0))+1</f>
        <v>2</v>
      </c>
      <c r="AE616" s="158">
        <f>IF(L616="","",IF(L618&gt;0,(SUM(((L616-1)*(1-_xlfn.XLOOKUP(K616,'Fevereiro 2023 - Valor Real'!A3:A15,'Fevereiro 2023 - Valor Real'!C3:C15,0))+1),((L617-1)*(1-_xlfn.XLOOKUP(K617,'Fevereiro 2023 - Valor Real'!A3:A15,'Fevereiro 2023 - Valor Real'!C3:C15,0))+1),((L618-1)*(1-_xlfn.XLOOKUP(K618,'Fevereiro 2023 - Valor Real'!A3:A15,'Fevereiro 2023 - Valor Real'!C3:C15,0))+1))/((L616-1)*(1-_xlfn.XLOOKUP(K616,'Fevereiro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Real'!C3:C15,0))+1))/((L616-1)*(1-_xlfn.XLOOKUP(K616,'Fevereiro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Real'!C3:C15,0))+1))/((L617-1)*(1-_xlfn.XLOOKUP(K617,'Fevereiro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Real'!C3:C15,0))+1))/((L618-1)*(1-_xlfn.XLOOKUP(K618,'Fevereiro 2023 - Valor Real'!A3:A15,'Fevereiro 2023 - Valor Real'!C3:C15,0))+1)),IF(I616="Lay",IF(I617="Lay",((L617/(L617-1)-1)*(1-_xlfn.XLOOKUP(K617,'Fevereiro 2023 - Valor Real'!A3:A15,'Fevereiro 2023 - Valor Real'!C3:C15,0))+1)/(((L617/(L617-1)-1)*(1-_xlfn.XLOOKUP(K617,'Fevereiro 2023 - Valor Real'!A3:A15,'Fevereiro 2023 - Valor Real'!C3:C15,0))+1)+((L616/(L616-1)-1)*(1-_xlfn.XLOOKUP(K616,'Fevereiro 2023 - Valor Real'!A3:A15,'Fevereiro 2023 - Valor Real'!C3:C15,0))+1)),((L617-1)*(1-_xlfn.XLOOKUP(K617,'Fevereiro 2023 - Valor Real'!A3:A15,'Fevereiro 2023 - Valor Real'!C3:C15,0))+1)/(((L617-1)*(1-_xlfn.XLOOKUP(K617,'Fevereiro 2023 - Valor Real'!A3:A15,'Fevereiro 2023 - Valor Real'!C3:C15,0))+1)+((L616/(L616-1)-1)*(1-_xlfn.XLOOKUP(K616,'Fevereiro 2023 - Valor Real'!A3:A15,'Fevereiro 2023 - Valor Real'!C3:C15,0))+1))),IF(I617="Lay",(((L617/(L617-1)-1)*(1-_xlfn.XLOOKUP(K617,'Fevereiro 2023 - Valor Real'!A3:A15,'Fevereiro 2023 - Valor Real'!C3:C15,0))+1))/(((L616-1)*(1-_xlfn.XLOOKUP(K616,'Fevereiro 2023 - Valor Real'!A3:A15,'Fevereiro 2023 - Valor Real'!C3:C15,0))+1)+((L617/(L617-1)-1)*(1-_xlfn.XLOOKUP(K617,'Fevereiro 2023 - Valor Real'!A3:A15,'Fevereiro 2023 - Valor Real'!C3:C15,0))+1)),((L617-1)*(1-_xlfn.XLOOKUP(K617,'Fevereiro 2023 - Valor Real'!A3:A15,'Fevereiro 2023 - Valor Real'!C3:C15,0))+1)/(((L617-1)*(1-_xlfn.XLOOKUP(K617,'Fevereiro 2023 - Valor Real'!A3:A15,'Fevereiro 2023 - Valor Real'!C3:C15,0))+1)+((L616-1)*(1-_xlfn.XLOOKUP(K616,'Fevereiro 2023 - Valor Real'!A3:A15,'Fevereiro 2023 - Valor Real'!C3:C15,0))+1))))))</f>
        <v>0.21965317919075145</v>
      </c>
      <c r="AF616" s="66">
        <f t="shared" si="1236"/>
        <v>0</v>
      </c>
      <c r="AG616" s="67">
        <f t="shared" si="1236"/>
        <v>0</v>
      </c>
      <c r="AH616" s="67">
        <f t="shared" si="1236"/>
        <v>0</v>
      </c>
      <c r="AI616" s="67">
        <f t="shared" si="1236"/>
        <v>0</v>
      </c>
      <c r="AJ616" s="67">
        <f t="shared" si="1236"/>
        <v>-12.78</v>
      </c>
      <c r="AK616" s="67">
        <f t="shared" si="1236"/>
        <v>0</v>
      </c>
      <c r="AL616" s="67">
        <f t="shared" si="1236"/>
        <v>0</v>
      </c>
      <c r="AM616" s="67">
        <f t="shared" si="1236"/>
        <v>0</v>
      </c>
      <c r="AN616" s="67">
        <f t="shared" si="1236"/>
        <v>0</v>
      </c>
      <c r="AO616" s="67">
        <f t="shared" si="1236"/>
        <v>0</v>
      </c>
      <c r="AP616" s="67">
        <f t="shared" si="1236"/>
        <v>0</v>
      </c>
      <c r="AQ616" s="67">
        <f t="shared" si="1236"/>
        <v>0</v>
      </c>
      <c r="AR616" s="68">
        <f t="shared" si="1236"/>
        <v>0</v>
      </c>
      <c r="AS616" s="66">
        <f t="shared" ref="AS616:BE616" si="1240">IF(AND($B616=" ",$K616=AS$3),$O616,0)</f>
        <v>0</v>
      </c>
      <c r="AT616" s="67">
        <f t="shared" si="1240"/>
        <v>0</v>
      </c>
      <c r="AU616" s="67">
        <f t="shared" si="1240"/>
        <v>0</v>
      </c>
      <c r="AV616" s="67">
        <f t="shared" si="1240"/>
        <v>0</v>
      </c>
      <c r="AW616" s="67">
        <f t="shared" si="1240"/>
        <v>0</v>
      </c>
      <c r="AX616" s="67">
        <f t="shared" si="1240"/>
        <v>0</v>
      </c>
      <c r="AY616" s="69">
        <f t="shared" si="1240"/>
        <v>0</v>
      </c>
      <c r="AZ616" s="70">
        <f t="shared" si="1240"/>
        <v>0</v>
      </c>
      <c r="BA616" s="70">
        <f t="shared" si="1240"/>
        <v>0</v>
      </c>
      <c r="BB616" s="70">
        <f t="shared" si="1240"/>
        <v>0</v>
      </c>
      <c r="BC616" s="71">
        <f t="shared" si="1240"/>
        <v>0</v>
      </c>
      <c r="BD616" s="67">
        <f t="shared" si="1240"/>
        <v>0</v>
      </c>
      <c r="BE616" s="68">
        <f t="shared" si="1240"/>
        <v>0</v>
      </c>
      <c r="BF616" s="66">
        <f t="shared" si="1238"/>
        <v>0</v>
      </c>
      <c r="BG616" s="67">
        <f t="shared" si="1238"/>
        <v>0</v>
      </c>
      <c r="BH616" s="67">
        <f t="shared" si="1238"/>
        <v>0</v>
      </c>
      <c r="BI616" s="67">
        <f t="shared" si="1238"/>
        <v>0</v>
      </c>
      <c r="BJ616" s="67">
        <f t="shared" si="1238"/>
        <v>12.78</v>
      </c>
      <c r="BK616" s="67">
        <f t="shared" si="1238"/>
        <v>0</v>
      </c>
      <c r="BL616" s="67">
        <f t="shared" si="1238"/>
        <v>0</v>
      </c>
      <c r="BM616" s="69">
        <f t="shared" si="1238"/>
        <v>0</v>
      </c>
      <c r="BN616" s="70">
        <f t="shared" si="1238"/>
        <v>0</v>
      </c>
      <c r="BO616" s="70">
        <f t="shared" si="1238"/>
        <v>0</v>
      </c>
      <c r="BP616" s="70">
        <f t="shared" si="1238"/>
        <v>0</v>
      </c>
      <c r="BQ616" s="71">
        <f t="shared" si="1238"/>
        <v>0</v>
      </c>
      <c r="BR616" s="68">
        <f t="shared" si="1238"/>
        <v>0</v>
      </c>
      <c r="BS616" s="490">
        <f>IF($B616="LOSS",IF(AND($K616=BS$3,$C616="L"),-$O616,0)+IF(AND($K617=BS$3,$C617="L"),-$O617,0)+IF(AND($K618=BS$3,$C618="L"),-$O618,0),IF(OR(AND($K616=BS$3,OR($C616="W",$C616="1/2W")),AND($K617=BS$3,OR($C617="W",$C617="1/2W")),AND($K618=BS$3,OR($C618="W",$C618="1/2W"))),$S616,0))</f>
        <v>0</v>
      </c>
      <c r="BT616" s="498">
        <f>IF($B616="LOSS",IF(AND($K616=BT$3,$C616="L"),-$O616,0)+IF(AND($K617=BT$3,$C617="L"),-$O617,0)+IF(AND($K617=BT$3,$C618="L"),-$O618,0),IF(OR(AND($K617=BT$3,OR($C616="W",$C616="1/2W")),AND($K617=BT$3,OR($C617="W",$C617="1/2W")),AND($K617=BT$3,OR($C618="W",$C618="1/2W"))),$S616,0))</f>
        <v>0</v>
      </c>
      <c r="BU616" s="488">
        <f>IF($B616="LOSS",IF(AND($K616=BU$3,$C616="L"),-$O616,0)+IF(AND($K617=BU$3,$C617="L"),-$O617,0)+IF(AND($K617=BU$3,$C618="L"),-$O618,0),IF(OR(AND($K617=BU$3,OR($C616="W",$C616="1/2W")),AND($K617=BU$3,OR($C617="W",$C617="1/2W")),AND($K617=BU$3,OR($C618="W",$C618="1/2W"))),$S616,0))</f>
        <v>0</v>
      </c>
      <c r="BV616" s="488">
        <f t="shared" ref="BV616:CE616" si="1241">IF($B616="LOSS",IF(AND($K616=BV$3,$C616="L"),-$O616,0)+IF(AND($K617=BV$3,$C617="L"),-$O617,0)+IF(AND($K618=BV$3,$C618="L"),-$O618,0),IF(OR(AND($K616=BV$3,OR($C616="W",$C616="1/2W")),AND($K617=BV$3,OR($C617="W",$C617="1/2W")),AND($K618=BV$3,OR($C618="W",$C618="1/2W"))),$S616,0))</f>
        <v>0</v>
      </c>
      <c r="BW616" s="488">
        <f t="shared" si="1241"/>
        <v>0</v>
      </c>
      <c r="BX616" s="488">
        <f t="shared" si="1241"/>
        <v>0</v>
      </c>
      <c r="BY616" s="488">
        <f t="shared" si="1241"/>
        <v>0</v>
      </c>
      <c r="BZ616" s="488">
        <f t="shared" si="1241"/>
        <v>0</v>
      </c>
      <c r="CA616" s="488">
        <f t="shared" si="1241"/>
        <v>0</v>
      </c>
      <c r="CB616" s="488">
        <f t="shared" si="1241"/>
        <v>0</v>
      </c>
      <c r="CC616" s="488">
        <f t="shared" si="1241"/>
        <v>0</v>
      </c>
      <c r="CD616" s="500">
        <f t="shared" si="1241"/>
        <v>10.83</v>
      </c>
      <c r="CE616" s="504">
        <f t="shared" si="1241"/>
        <v>0</v>
      </c>
      <c r="CF616" s="160">
        <f t="shared" si="1156"/>
        <v>0</v>
      </c>
      <c r="CG616" s="161">
        <f t="shared" si="1157"/>
        <v>0</v>
      </c>
      <c r="CH616" s="161">
        <f t="shared" si="1158"/>
        <v>0</v>
      </c>
      <c r="CI616" s="161">
        <f t="shared" si="1159"/>
        <v>0</v>
      </c>
      <c r="CJ616" s="161">
        <f t="shared" si="1160"/>
        <v>0</v>
      </c>
      <c r="CK616" s="161">
        <f t="shared" si="1161"/>
        <v>0</v>
      </c>
      <c r="CL616" s="161">
        <f t="shared" si="1162"/>
        <v>0</v>
      </c>
      <c r="CM616" s="161">
        <f t="shared" si="1163"/>
        <v>0</v>
      </c>
      <c r="CN616" s="161">
        <f t="shared" si="1164"/>
        <v>0</v>
      </c>
      <c r="CO616" s="161">
        <f t="shared" si="1165"/>
        <v>1</v>
      </c>
      <c r="CP616" s="161">
        <f t="shared" si="1166"/>
        <v>0</v>
      </c>
      <c r="CQ616" s="161">
        <f t="shared" si="1167"/>
        <v>0</v>
      </c>
      <c r="CR616" s="161">
        <f t="shared" si="1168"/>
        <v>0</v>
      </c>
      <c r="CS616" s="161">
        <f t="shared" si="1169"/>
        <v>0</v>
      </c>
      <c r="CT616" s="75">
        <f t="shared" si="1170"/>
        <v>0</v>
      </c>
      <c r="CU616" s="76">
        <f t="shared" si="1171"/>
        <v>0</v>
      </c>
      <c r="CV616" s="76">
        <f t="shared" si="1172"/>
        <v>0</v>
      </c>
      <c r="CW616" s="76">
        <f t="shared" si="1173"/>
        <v>0</v>
      </c>
      <c r="CX616" s="76">
        <f t="shared" si="1174"/>
        <v>0</v>
      </c>
      <c r="CY616" s="76">
        <f t="shared" si="1175"/>
        <v>0</v>
      </c>
      <c r="CZ616" s="76">
        <f t="shared" si="1176"/>
        <v>0</v>
      </c>
      <c r="DA616" s="76">
        <f t="shared" si="1177"/>
        <v>0</v>
      </c>
      <c r="DB616" s="76">
        <f t="shared" si="1178"/>
        <v>0</v>
      </c>
      <c r="DC616" s="76">
        <f t="shared" si="1179"/>
        <v>0</v>
      </c>
      <c r="DD616" s="76">
        <f t="shared" si="1180"/>
        <v>0</v>
      </c>
      <c r="DE616" s="77">
        <f t="shared" si="1181"/>
        <v>0</v>
      </c>
      <c r="DF616" s="73">
        <f t="shared" si="1183"/>
        <v>36</v>
      </c>
      <c r="DG616" s="67">
        <f t="shared" si="1184"/>
        <v>47.227999999999994</v>
      </c>
      <c r="DH616" s="76">
        <f t="shared" si="1185"/>
        <v>14</v>
      </c>
      <c r="DI616" s="67">
        <f t="shared" si="1186"/>
        <v>60.05</v>
      </c>
      <c r="DJ616" s="202" t="str">
        <f>IF($D616="","",$D616)</f>
        <v>21</v>
      </c>
      <c r="DK616" s="492">
        <f>IF(AND($B616=" ",$D616&lt;&gt;""),1,0)</f>
        <v>0</v>
      </c>
    </row>
    <row r="617" spans="1:115" ht="14.5" customHeight="1" x14ac:dyDescent="0.2">
      <c r="A617" s="389"/>
      <c r="B617" s="456"/>
      <c r="C617" s="53" t="s">
        <v>54</v>
      </c>
      <c r="D617" s="374"/>
      <c r="E617" s="386"/>
      <c r="F617" s="377"/>
      <c r="G617" s="508"/>
      <c r="H617" s="476"/>
      <c r="I617" s="182" t="s">
        <v>52</v>
      </c>
      <c r="J617" s="56">
        <v>2.75</v>
      </c>
      <c r="K617" s="57" t="s">
        <v>47</v>
      </c>
      <c r="L617" s="164">
        <v>1.52</v>
      </c>
      <c r="M617" s="165"/>
      <c r="N617" s="406"/>
      <c r="O617" s="60">
        <f>IF(OR(AE616="",AE617=""),"",ROUND(IF(L618&gt;0,IF(M617&gt;0,M617,IF(M616&gt;0,IF(N616=TRUE,ROUND((M616*AE617)/AE616,0),(M616*AE617)/AE616),IF(M617&gt;0,ROUND(M617,IF(N616=0,2,IF(N616=0.1,1,0))),IF(M618&gt;0,ROUND(O618*AE617/AE618,IF(N616=0,2,IF(N616=0.1,1,0))),0)))),IF(M617&gt;0,M617,ROUND((M616*AE617)/AE616,IF(N616=0,2,IF(N616=0.1,1,0))))),2))</f>
        <v>45.4</v>
      </c>
      <c r="P617" s="61">
        <f>IF(OR(L617="",O617=""),"",IF($C617="1/2W",O617/2+O617/2*L617,IF($C617="1/2L",O617/2,IF(I617="Lay",((O617*(L617/(L617-1)))-O617)*(1-_xlfn.XLOOKUP(K617,'Fevereiro 2023 - Valor Real'!A3:A15,'Fevereiro 2023 - Valor Real'!C3:C15,0))+O617,(O617*L617-O617)*(1-_xlfn.XLOOKUP(K617,'Fevereiro 2023 - Valor Real'!A3:A15,'Fevereiro 2023 - Valor Real'!C3:C15,0))+O617))))</f>
        <v>69.007999999999996</v>
      </c>
      <c r="Q617" s="166">
        <f>IF(K617="","",IF(_xlfn.XLOOKUP(K617,K$10:K608,$DJ$10:DJ608,0,,-1)=DJ617,_xlfn.XLOOKUP(K617,K$10:K608,Q$10:Q608,1,,-1)+1,1))</f>
        <v>1</v>
      </c>
      <c r="R617" s="167">
        <f>IF(K617="","",_xlfn.XLOOKUP(K617,K$10:K608,R$10:R608,0,,-1)+IF($C617=" ",1,0))</f>
        <v>0</v>
      </c>
      <c r="S617" s="403"/>
      <c r="T617" s="380"/>
      <c r="U617" s="380"/>
      <c r="V617" s="481"/>
      <c r="W617" s="380"/>
      <c r="X617" s="452"/>
      <c r="Y617" s="383"/>
      <c r="Z617" s="384"/>
      <c r="AA617" s="384"/>
      <c r="AB617" s="384"/>
      <c r="AC617" s="384"/>
      <c r="AD617" s="64"/>
      <c r="AE617" s="65">
        <f>IF(L617="","",IF(L618&gt;0,(SUM(((L616-1)*(1-_xlfn.XLOOKUP(K616,'Fevereiro 2023 - Valor Real'!A3:A15,'Fevereiro 2023 - Valor Real'!C3:C15,0))+1),((L617-1)*(1-_xlfn.XLOOKUP(K617,'Fevereiro 2023 - Valor Real'!A3:A15,'Fevereiro 2023 - Valor Real'!C3:C15,0))+1),((L618-1)*(1-_xlfn.XLOOKUP(K618,'Fevereiro 2023 - Valor Real'!A3:A15,'Fevereiro 2023 - Valor Real'!C3:C15,0))+1))/((L617-1)*(1-_xlfn.XLOOKUP(K617,'Fevereiro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Real'!C3:C15,0))+1))/((L616-1)*(1-_xlfn.XLOOKUP(K616,'Fevereiro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Real'!C3:C15,0))+1))/((L617-1)*(1-_xlfn.XLOOKUP(K617,'Fevereiro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Real'!C3:C15,0))+1))/((L618-1)*(1-_xlfn.XLOOKUP(K618,'Fevereiro 2023 - Valor Real'!A3:A15,'Fevereiro 2023 - Valor Real'!C3:C15,0))+1)),IF(I617="Lay",IF(I616="Lay",((L616/(L616-1)-1)*(1-_xlfn.XLOOKUP(K616,'Fevereiro 2023 - Valor Real'!A3:A15,'Fevereiro 2023 - Valor Real'!C3:C15,0))+1)/(((L616/(L616-1)-1)*(1-_xlfn.XLOOKUP(K616,'Fevereiro 2023 - Valor Real'!A3:A15,'Fevereiro 2023 - Valor Real'!C3:C15,0))+1)+((L617/(L617-1)-1)*(1-_xlfn.XLOOKUP(K617,'Fevereiro 2023 - Valor Real'!A3:A15,'Fevereiro 2023 - Valor Real'!C3:C15,0))+1)),((L616-1)*(1-_xlfn.XLOOKUP(K616,'Fevereiro 2023 - Valor Real'!A3:A15,'Fevereiro 2023 - Valor Real'!C3:C15,0))+1)/(((L616-1)*(1-_xlfn.XLOOKUP(K616,'Fevereiro 2023 - Valor Real'!A3:A15,'Fevereiro 2023 - Valor Real'!C3:C15,0))+1)+((L617/(L617-1)-1)*(1-_xlfn.XLOOKUP(K617,'Fevereiro 2023 - Valor Real'!A3:A15,'Fevereiro 2023 - Valor Real'!C3:C15,0))+1))),IF(I616="Lay",((L616/(L616-1)-1)*(1-_xlfn.XLOOKUP(K616,'Fevereiro 2023 - Valor Real'!A3:A15,'Fevereiro 2023 - Valor Real'!C3:C15,0))+1)/((((L616/(L616-1)-1)*(1-_xlfn.XLOOKUP(K616,'Fevereiro 2023 - Valor Real'!A3:A15,'Fevereiro 2023 - Valor Real'!C3:C15,0))+1))+((L617-1)*(1-_xlfn.XLOOKUP(K617,'Fevereiro 2023 - Valor Real'!A3:A15,'Fevereiro 2023 - Valor Real'!C3:C15,0))+1)),((L616-1)*(1-_xlfn.XLOOKUP(K616,'Fevereiro 2023 - Valor Real'!A3:A15,'Fevereiro 2023 - Valor Real'!C3:C15,0))+1)/(((L616-1)*(1-_xlfn.XLOOKUP(K616,'Fevereiro 2023 - Valor Real'!A3:A15,'Fevereiro 2023 - Valor Real'!C3:C15,0))+1)+((L617-1)*(1-_xlfn.XLOOKUP(K617,'Fevereiro 2023 - Valor Real'!A3:A15,'Fevereiro 2023 - Valor Real'!C3:C15,0))+1))))))</f>
        <v>0.78034682080924866</v>
      </c>
      <c r="AF617" s="66">
        <f t="shared" si="1236"/>
        <v>0</v>
      </c>
      <c r="AG617" s="67">
        <f t="shared" si="1236"/>
        <v>0</v>
      </c>
      <c r="AH617" s="67">
        <f t="shared" si="1236"/>
        <v>0</v>
      </c>
      <c r="AI617" s="67">
        <f t="shared" si="1236"/>
        <v>0</v>
      </c>
      <c r="AJ617" s="67">
        <f t="shared" si="1236"/>
        <v>0</v>
      </c>
      <c r="AK617" s="67">
        <f t="shared" si="1236"/>
        <v>0</v>
      </c>
      <c r="AL617" s="67">
        <f t="shared" si="1236"/>
        <v>0</v>
      </c>
      <c r="AM617" s="67">
        <f t="shared" si="1236"/>
        <v>0</v>
      </c>
      <c r="AN617" s="67">
        <f t="shared" si="1236"/>
        <v>0</v>
      </c>
      <c r="AO617" s="67">
        <f t="shared" si="1236"/>
        <v>0</v>
      </c>
      <c r="AP617" s="67">
        <f t="shared" si="1236"/>
        <v>0</v>
      </c>
      <c r="AQ617" s="67">
        <f t="shared" si="1236"/>
        <v>23.61</v>
      </c>
      <c r="AR617" s="68">
        <f t="shared" si="1236"/>
        <v>0</v>
      </c>
      <c r="AS617" s="66">
        <f>IF(AND($B616=" ",$K617=AS$3),$O617,0)</f>
        <v>0</v>
      </c>
      <c r="AT617" s="67">
        <f>IF(AND($B616=" ",K617=AT$3),$O617,0)</f>
        <v>0</v>
      </c>
      <c r="AU617" s="67">
        <f t="shared" ref="AU617:BE617" si="1242">IF(AND($B616=" ",$K617=AU$3),$O617,0)</f>
        <v>0</v>
      </c>
      <c r="AV617" s="67">
        <f t="shared" si="1242"/>
        <v>0</v>
      </c>
      <c r="AW617" s="67">
        <f t="shared" si="1242"/>
        <v>0</v>
      </c>
      <c r="AX617" s="67">
        <f t="shared" si="1242"/>
        <v>0</v>
      </c>
      <c r="AY617" s="69">
        <f t="shared" si="1242"/>
        <v>0</v>
      </c>
      <c r="AZ617" s="70">
        <f t="shared" si="1242"/>
        <v>0</v>
      </c>
      <c r="BA617" s="70">
        <f t="shared" si="1242"/>
        <v>0</v>
      </c>
      <c r="BB617" s="70">
        <f t="shared" si="1242"/>
        <v>0</v>
      </c>
      <c r="BC617" s="71">
        <f t="shared" si="1242"/>
        <v>0</v>
      </c>
      <c r="BD617" s="67">
        <f t="shared" si="1242"/>
        <v>0</v>
      </c>
      <c r="BE617" s="68">
        <f t="shared" si="1242"/>
        <v>0</v>
      </c>
      <c r="BF617" s="66">
        <f t="shared" si="1238"/>
        <v>0</v>
      </c>
      <c r="BG617" s="168">
        <f t="shared" si="1238"/>
        <v>0</v>
      </c>
      <c r="BH617" s="67">
        <f t="shared" si="1238"/>
        <v>0</v>
      </c>
      <c r="BI617" s="67">
        <f t="shared" si="1238"/>
        <v>0</v>
      </c>
      <c r="BJ617" s="67">
        <f t="shared" si="1238"/>
        <v>0</v>
      </c>
      <c r="BK617" s="67">
        <f t="shared" si="1238"/>
        <v>0</v>
      </c>
      <c r="BL617" s="67">
        <f t="shared" si="1238"/>
        <v>0</v>
      </c>
      <c r="BM617" s="69">
        <f t="shared" si="1238"/>
        <v>0</v>
      </c>
      <c r="BN617" s="70">
        <f t="shared" si="1238"/>
        <v>0</v>
      </c>
      <c r="BO617" s="70">
        <f t="shared" si="1238"/>
        <v>0</v>
      </c>
      <c r="BP617" s="70">
        <f t="shared" si="1238"/>
        <v>0</v>
      </c>
      <c r="BQ617" s="71">
        <f t="shared" si="1238"/>
        <v>45.4</v>
      </c>
      <c r="BR617" s="68">
        <f t="shared" si="1238"/>
        <v>0</v>
      </c>
      <c r="BS617" s="491"/>
      <c r="BT617" s="489"/>
      <c r="BU617" s="392"/>
      <c r="BV617" s="489"/>
      <c r="BW617" s="392"/>
      <c r="BX617" s="392"/>
      <c r="BY617" s="392"/>
      <c r="BZ617" s="489"/>
      <c r="CA617" s="392"/>
      <c r="CB617" s="392"/>
      <c r="CC617" s="392"/>
      <c r="CD617" s="401"/>
      <c r="CE617" s="409"/>
      <c r="CF617" s="169">
        <f t="shared" si="1156"/>
        <v>0</v>
      </c>
      <c r="CG617" s="170">
        <f t="shared" si="1157"/>
        <v>0</v>
      </c>
      <c r="CH617" s="170">
        <f t="shared" si="1158"/>
        <v>0</v>
      </c>
      <c r="CI617" s="170">
        <f t="shared" si="1159"/>
        <v>0</v>
      </c>
      <c r="CJ617" s="170">
        <f t="shared" si="1160"/>
        <v>0</v>
      </c>
      <c r="CK617" s="170">
        <f t="shared" si="1161"/>
        <v>0</v>
      </c>
      <c r="CL617" s="170">
        <f t="shared" si="1162"/>
        <v>0</v>
      </c>
      <c r="CM617" s="170">
        <f t="shared" si="1163"/>
        <v>0</v>
      </c>
      <c r="CN617" s="170">
        <f t="shared" si="1164"/>
        <v>0</v>
      </c>
      <c r="CO617" s="170">
        <f t="shared" si="1165"/>
        <v>0</v>
      </c>
      <c r="CP617" s="170">
        <f t="shared" si="1166"/>
        <v>0</v>
      </c>
      <c r="CQ617" s="170">
        <f t="shared" si="1167"/>
        <v>0</v>
      </c>
      <c r="CR617" s="170">
        <f t="shared" si="1168"/>
        <v>0</v>
      </c>
      <c r="CS617" s="170">
        <f t="shared" si="1169"/>
        <v>0</v>
      </c>
      <c r="CT617" s="75">
        <f t="shared" si="1170"/>
        <v>0</v>
      </c>
      <c r="CU617" s="76">
        <f t="shared" si="1171"/>
        <v>0</v>
      </c>
      <c r="CV617" s="76">
        <f t="shared" si="1172"/>
        <v>0</v>
      </c>
      <c r="CW617" s="76">
        <f t="shared" si="1173"/>
        <v>0</v>
      </c>
      <c r="CX617" s="76">
        <f t="shared" si="1174"/>
        <v>0</v>
      </c>
      <c r="CY617" s="76">
        <f t="shared" si="1175"/>
        <v>0</v>
      </c>
      <c r="CZ617" s="76">
        <f t="shared" si="1176"/>
        <v>0</v>
      </c>
      <c r="DA617" s="76">
        <f t="shared" si="1177"/>
        <v>0</v>
      </c>
      <c r="DB617" s="76">
        <f t="shared" si="1178"/>
        <v>1</v>
      </c>
      <c r="DC617" s="76">
        <f t="shared" si="1179"/>
        <v>0</v>
      </c>
      <c r="DD617" s="76">
        <f t="shared" si="1180"/>
        <v>0</v>
      </c>
      <c r="DE617" s="77">
        <f t="shared" si="1181"/>
        <v>0</v>
      </c>
      <c r="DF617" s="73">
        <f t="shared" si="1183"/>
        <v>36</v>
      </c>
      <c r="DG617" s="67">
        <f t="shared" si="1184"/>
        <v>47.227999999999994</v>
      </c>
      <c r="DH617" s="76">
        <f t="shared" si="1185"/>
        <v>14</v>
      </c>
      <c r="DI617" s="67">
        <f t="shared" si="1186"/>
        <v>60.05</v>
      </c>
      <c r="DJ617" s="202" t="str">
        <f>IF($D616="","",$D616)</f>
        <v>21</v>
      </c>
      <c r="DK617" s="493"/>
    </row>
    <row r="618" spans="1:115" ht="14.5" customHeight="1" x14ac:dyDescent="0.2">
      <c r="A618" s="390"/>
      <c r="B618" s="457"/>
      <c r="C618" s="79" t="s">
        <v>53</v>
      </c>
      <c r="D618" s="375"/>
      <c r="E618" s="387"/>
      <c r="F618" s="378"/>
      <c r="G618" s="508"/>
      <c r="H618" s="477"/>
      <c r="I618" s="171"/>
      <c r="J618" s="172"/>
      <c r="K618" s="81"/>
      <c r="L618" s="173"/>
      <c r="M618" s="174"/>
      <c r="N618" s="407"/>
      <c r="O618" s="86" t="str">
        <f>IF(OR(AE616="",AE617=""),"",IF(L618&gt;0,ROUND(IF(M618&gt;0,M618,IF(M616&gt;0,ROUND((M616*AE618)/AE616,IF(N616=0,2,IF(N616=0.1,1,0))),IF(M617&gt;0,ROUND((M617*AE618)/AE617,IF(N616=0,2,IF(N616=0.1,1,0))),IF(M618&gt;0,M618,0)))),2),""))</f>
        <v/>
      </c>
      <c r="P618" s="87" t="str">
        <f>IF(I617="Lay",O617*(L617/(L617-1))-O617,IF(I616="Lay",O616*(L616/(L616-1))-O616,IF(OR(L618="",O618=""),"",IF($C618="1/2W",O618/2+O618/2*L618,IF($C618="1/2L",O618/2,(O618*L618-O618)*(1-_xlfn.XLOOKUP(K618,'Fevereiro 2023 - Valor Real'!A3:A15,'Fevereiro 2023 - Valor Real'!C3:C15,0))+O618)))))</f>
        <v/>
      </c>
      <c r="Q618" s="54" t="str">
        <f>IF(K618="","",IF(_xlfn.XLOOKUP(K618,K$11:K608,$DJ$11:DJ608,0,,-1)=DJ618,_xlfn.XLOOKUP(K618,K$11:K608,Q$11:Q608,1,,-1)+1,1))</f>
        <v/>
      </c>
      <c r="R618" s="87" t="str">
        <f>IF(K618="","",_xlfn.XLOOKUP(K618,K$11:K608,R$11:R608,0,,-1)+IF($C618=" ",1,0))</f>
        <v/>
      </c>
      <c r="S618" s="404"/>
      <c r="T618" s="378"/>
      <c r="U618" s="378"/>
      <c r="V618" s="404"/>
      <c r="W618" s="378"/>
      <c r="X618" s="453"/>
      <c r="Y618" s="383"/>
      <c r="Z618" s="384"/>
      <c r="AA618" s="384"/>
      <c r="AB618" s="384"/>
      <c r="AC618" s="384"/>
      <c r="AD618" s="90"/>
      <c r="AE618" s="91" t="str">
        <f>IF(L618="","",(SUM(((L616-1)*(1-_xlfn.XLOOKUP(K616,'Fevereiro 2023 - Valor Real'!A3:A15,'Fevereiro 2023 - Valor Real'!C3:C15,0))+1),((L617-1)*(1-_xlfn.XLOOKUP(K617,'Fevereiro 2023 - Valor Real'!A3:A15,'Fevereiro 2023 - Valor Real'!C3:C15,0))+1),((L618-1)*(1-_xlfn.XLOOKUP(K618,'Fevereiro 2023 - Valor Real'!A3:A15,'Fevereiro 2023 - Valor Real'!C3:C15,0))+1))/((L618-1)*(1-_xlfn.XLOOKUP(K618,'Fevereiro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Real'!C3:C15,0))+1))/((L616-1)*(1-_xlfn.XLOOKUP(K616,'Fevereiro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Real'!C3:C15,0))+1))/((L617-1)*(1-_xlfn.XLOOKUP(K617,'Fevereiro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Real'!C3:C15,0))+1))/((L618-1)*(1-_xlfn.XLOOKUP(K618,'Fevereiro 2023 - Valor Real'!A3:A15,'Fevereiro 2023 - Valor Real'!C3:C15,0))+1)))</f>
        <v/>
      </c>
      <c r="AF618" s="66">
        <f t="shared" si="1236"/>
        <v>0</v>
      </c>
      <c r="AG618" s="67">
        <f t="shared" si="1236"/>
        <v>0</v>
      </c>
      <c r="AH618" s="67">
        <f t="shared" si="1236"/>
        <v>0</v>
      </c>
      <c r="AI618" s="67">
        <f t="shared" si="1236"/>
        <v>0</v>
      </c>
      <c r="AJ618" s="67">
        <f t="shared" si="1236"/>
        <v>0</v>
      </c>
      <c r="AK618" s="67">
        <f t="shared" si="1236"/>
        <v>0</v>
      </c>
      <c r="AL618" s="67">
        <f t="shared" si="1236"/>
        <v>0</v>
      </c>
      <c r="AM618" s="67">
        <f t="shared" si="1236"/>
        <v>0</v>
      </c>
      <c r="AN618" s="67">
        <f t="shared" si="1236"/>
        <v>0</v>
      </c>
      <c r="AO618" s="67">
        <f t="shared" si="1236"/>
        <v>0</v>
      </c>
      <c r="AP618" s="67">
        <f t="shared" si="1236"/>
        <v>0</v>
      </c>
      <c r="AQ618" s="67">
        <f t="shared" si="1236"/>
        <v>0</v>
      </c>
      <c r="AR618" s="68">
        <f t="shared" si="1236"/>
        <v>0</v>
      </c>
      <c r="AS618" s="66">
        <f>IF(AND($B616=" ",$K618=AS$3),$O618,0)</f>
        <v>0</v>
      </c>
      <c r="AT618" s="67">
        <f>IF(AND($B616=" ",K618=AT$3),$O618,0)</f>
        <v>0</v>
      </c>
      <c r="AU618" s="67">
        <f t="shared" ref="AU618:BE618" si="1243">IF(AND($B616=" ",$K618=AU$3),$O618,0)</f>
        <v>0</v>
      </c>
      <c r="AV618" s="67">
        <f t="shared" si="1243"/>
        <v>0</v>
      </c>
      <c r="AW618" s="67">
        <f t="shared" si="1243"/>
        <v>0</v>
      </c>
      <c r="AX618" s="67">
        <f t="shared" si="1243"/>
        <v>0</v>
      </c>
      <c r="AY618" s="69">
        <f t="shared" si="1243"/>
        <v>0</v>
      </c>
      <c r="AZ618" s="70">
        <f t="shared" si="1243"/>
        <v>0</v>
      </c>
      <c r="BA618" s="70">
        <f t="shared" si="1243"/>
        <v>0</v>
      </c>
      <c r="BB618" s="70">
        <f t="shared" si="1243"/>
        <v>0</v>
      </c>
      <c r="BC618" s="71">
        <f t="shared" si="1243"/>
        <v>0</v>
      </c>
      <c r="BD618" s="67">
        <f t="shared" si="1243"/>
        <v>0</v>
      </c>
      <c r="BE618" s="68">
        <f t="shared" si="1243"/>
        <v>0</v>
      </c>
      <c r="BF618" s="66">
        <f t="shared" si="1238"/>
        <v>0</v>
      </c>
      <c r="BG618" s="168">
        <f t="shared" si="1238"/>
        <v>0</v>
      </c>
      <c r="BH618" s="67">
        <f t="shared" si="1238"/>
        <v>0</v>
      </c>
      <c r="BI618" s="67">
        <f t="shared" si="1238"/>
        <v>0</v>
      </c>
      <c r="BJ618" s="67">
        <f t="shared" si="1238"/>
        <v>0</v>
      </c>
      <c r="BK618" s="67">
        <f t="shared" si="1238"/>
        <v>0</v>
      </c>
      <c r="BL618" s="67">
        <f t="shared" si="1238"/>
        <v>0</v>
      </c>
      <c r="BM618" s="69">
        <f t="shared" si="1238"/>
        <v>0</v>
      </c>
      <c r="BN618" s="70">
        <f t="shared" si="1238"/>
        <v>0</v>
      </c>
      <c r="BO618" s="70">
        <f t="shared" si="1238"/>
        <v>0</v>
      </c>
      <c r="BP618" s="70">
        <f t="shared" si="1238"/>
        <v>0</v>
      </c>
      <c r="BQ618" s="71">
        <f t="shared" si="1238"/>
        <v>0</v>
      </c>
      <c r="BR618" s="68">
        <f t="shared" si="1238"/>
        <v>0</v>
      </c>
      <c r="BS618" s="491"/>
      <c r="BT618" s="489"/>
      <c r="BU618" s="392"/>
      <c r="BV618" s="489"/>
      <c r="BW618" s="392"/>
      <c r="BX618" s="392"/>
      <c r="BY618" s="392"/>
      <c r="BZ618" s="489"/>
      <c r="CA618" s="392"/>
      <c r="CB618" s="392"/>
      <c r="CC618" s="392"/>
      <c r="CD618" s="401"/>
      <c r="CE618" s="409"/>
      <c r="CF618" s="169">
        <f t="shared" si="1156"/>
        <v>0</v>
      </c>
      <c r="CG618" s="170">
        <f t="shared" si="1157"/>
        <v>0</v>
      </c>
      <c r="CH618" s="170">
        <f t="shared" si="1158"/>
        <v>0</v>
      </c>
      <c r="CI618" s="170">
        <f t="shared" si="1159"/>
        <v>0</v>
      </c>
      <c r="CJ618" s="170">
        <f t="shared" si="1160"/>
        <v>0</v>
      </c>
      <c r="CK618" s="170">
        <f t="shared" si="1161"/>
        <v>0</v>
      </c>
      <c r="CL618" s="170">
        <f t="shared" si="1162"/>
        <v>0</v>
      </c>
      <c r="CM618" s="170">
        <f t="shared" si="1163"/>
        <v>0</v>
      </c>
      <c r="CN618" s="170">
        <f t="shared" si="1164"/>
        <v>0</v>
      </c>
      <c r="CO618" s="170">
        <f t="shared" si="1165"/>
        <v>0</v>
      </c>
      <c r="CP618" s="170">
        <f t="shared" si="1166"/>
        <v>0</v>
      </c>
      <c r="CQ618" s="170">
        <f t="shared" si="1167"/>
        <v>0</v>
      </c>
      <c r="CR618" s="170">
        <f t="shared" si="1168"/>
        <v>0</v>
      </c>
      <c r="CS618" s="170">
        <f t="shared" si="1169"/>
        <v>0</v>
      </c>
      <c r="CT618" s="75">
        <f t="shared" si="1170"/>
        <v>0</v>
      </c>
      <c r="CU618" s="76">
        <f t="shared" si="1171"/>
        <v>0</v>
      </c>
      <c r="CV618" s="76">
        <f t="shared" si="1172"/>
        <v>0</v>
      </c>
      <c r="CW618" s="76">
        <f t="shared" si="1173"/>
        <v>0</v>
      </c>
      <c r="CX618" s="76">
        <f t="shared" si="1174"/>
        <v>0</v>
      </c>
      <c r="CY618" s="76">
        <f t="shared" si="1175"/>
        <v>0</v>
      </c>
      <c r="CZ618" s="76">
        <f t="shared" si="1176"/>
        <v>0</v>
      </c>
      <c r="DA618" s="76">
        <f t="shared" si="1177"/>
        <v>0</v>
      </c>
      <c r="DB618" s="76">
        <f t="shared" si="1178"/>
        <v>0</v>
      </c>
      <c r="DC618" s="76">
        <f t="shared" si="1179"/>
        <v>0</v>
      </c>
      <c r="DD618" s="76">
        <f t="shared" si="1180"/>
        <v>0</v>
      </c>
      <c r="DE618" s="77">
        <f t="shared" si="1181"/>
        <v>0</v>
      </c>
      <c r="DF618" s="73">
        <f t="shared" si="1183"/>
        <v>36</v>
      </c>
      <c r="DG618" s="67">
        <f t="shared" si="1184"/>
        <v>47.227999999999994</v>
      </c>
      <c r="DH618" s="76">
        <f t="shared" si="1185"/>
        <v>14</v>
      </c>
      <c r="DI618" s="67">
        <f t="shared" si="1186"/>
        <v>60.05</v>
      </c>
      <c r="DJ618" s="202" t="str">
        <f>IF($D616="","",$D616)</f>
        <v>21</v>
      </c>
      <c r="DK618" s="493"/>
    </row>
    <row r="619" spans="1:115" ht="14.5" customHeight="1" x14ac:dyDescent="0.2">
      <c r="A619" s="459">
        <f>$A616+1</f>
        <v>206</v>
      </c>
      <c r="B619" s="507" t="str">
        <f>IF(OR(C619="W",C620="W",C621="W",C619="1/2W",C620="1/2W",C621="1/2W",C619="1/2L",C620="1/2L",C621="1/2L"),"OK",IF(OR(C619="L",C620="L",C621="L"),"LOSS",IF(OR(C619="X",C620="X",C621="X"),"Anulado"," ")))</f>
        <v>OK</v>
      </c>
      <c r="C619" s="93" t="s">
        <v>55</v>
      </c>
      <c r="D619" s="468" t="str">
        <f>IF(G619="","",$D616)</f>
        <v>21</v>
      </c>
      <c r="E619" s="485" t="str">
        <f>IF(G619=""," ","– "&amp;COUNTIF(D$4:D621,$D619))</f>
        <v>– 2</v>
      </c>
      <c r="F619" s="509" t="str">
        <f ca="1">IF(G619="","",IF(OR(AND($C619&lt;&gt;" ",$C620=" "),AND($C620&lt;&gt;" ",$C619=" "),AND(L621&gt;0,OR(AND($C621&lt;&gt;" ",OR($C619=" ",$C620=" ")),AND($C621=" ",OR($C619&lt;&gt;" ",$C620&lt;&gt;" "))))),IF(SUM(F$4:F618)=0,1,LARGE(F$4:F618,1)+1),IF(MONTH(G619)=MONTH(TODAY()),IF(AND(DAY(G619)&lt;DAY(TODAY()),$B619=" "),IF(SUM(F$4:F618)=0,1,LARGE(F$4:F618,1)+1),IF($B619=" ",IF(AND(DAY(G619)=DAY(TODAY()),HOUR(G619)&lt;=HOUR(NOW())+1),IF(AND(HOUR(G619)+2&lt;=HOUR(NOW()),DAY(G619)&lt;=DAY(TODAY()),MINUTE(G619)&lt;=MINUTE(NOW())),IF(SUM(F$4:F618)=0,1,LARGE(F$4:F618,1)+1),IF(OR(MINUTE(G619)&lt;=MINUTE(NOW()),HOUR(G619)&lt;=HOUR(NOW())),"!!!","")),""),"")),"")))</f>
        <v/>
      </c>
      <c r="G619" s="482">
        <v>45006.625</v>
      </c>
      <c r="H619" s="475" t="s">
        <v>229</v>
      </c>
      <c r="I619" s="94" t="s">
        <v>66</v>
      </c>
      <c r="J619" s="95">
        <v>0.75</v>
      </c>
      <c r="K619" s="96" t="s">
        <v>47</v>
      </c>
      <c r="L619" s="97">
        <v>2.2000000000000002</v>
      </c>
      <c r="M619" s="98">
        <v>21.78</v>
      </c>
      <c r="N619" s="478">
        <v>0</v>
      </c>
      <c r="O619" s="99">
        <f>IF(OR(AE619="",AE620=""),"",ROUND(IF(L621&gt;0,IF(M619&gt;0,M619,IF(M620&gt;0,ROUND((M620*AE619)/AE620,IF(N619=0,2,IF(N619=0.1,1,0))),ROUND((M621*AE619)/AE621,IF(N619=0,2,IF(N619=0.1,1,0))))),IF(M619&gt;0,M619,ROUND((M620*AE619)/AE620,IF(N619=0,2,IF(N619=0.1,1,0))))),2))</f>
        <v>21.78</v>
      </c>
      <c r="P619" s="100">
        <f>IF(OR(L619="",O619=""),"",IF($C619="1/2W",O619/2+O619/2*L619,IF($C619="1/2L",O619/2,IF(I619="Lay",(O619*(L619/(L619-1))-O619)*(1-_xlfn.XLOOKUP(K619,'Fevereiro 2023 - Valor Real'!A3:A15,'Fevereiro 2023 - Valor Real'!C3:C15,0))+O619,(O619*L619-O619)*(1-_xlfn.XLOOKUP(K619,'Fevereiro 2023 - Valor Real'!A3:A15,'Fevereiro 2023 - Valor Real'!C3:C15,0))+O619))))</f>
        <v>47.916000000000004</v>
      </c>
      <c r="Q619" s="101">
        <f>IF(K619="","",IF(_xlfn.XLOOKUP(K619,K$4:K618,$DJ$4:DJ618,0,,-1)=DJ619,_xlfn.XLOOKUP(K619,K$4:K618,Q$4:Q618,1,,-1)+1,1))</f>
        <v>2</v>
      </c>
      <c r="R619" s="102">
        <f>IF(K619="","",_xlfn.XLOOKUP(K619,K$4:K618,R$4:R618,0,,-1)+IF($C619=" ",1,0))</f>
        <v>0</v>
      </c>
      <c r="S619" s="474">
        <f>IF($B619="Anulado",0,ROUND(IF(OR($B619="LOSS",$B619="OK"),IF(OR($C619="W",$C619="1/2W",$C619="1/2L"),P619-O619,IF($C619="L",-O619,0))+IF(OR($C620="W",$C620="1/2W",$C620="1/2L"),P620-O620,IF($C620="L",-O620,0))+IF(OR($C621="W",$C621="1/2W",$C621="1/2L"),P621-O621,IF($C621="L",-O621,0)),IF(AND(OR($C619="W",$C619="1/2W",$C619="1/2L"),C620="W"),P619+P620-SUM(O619:O621)+_xlfn.XLOOKUP("X",C619:C621,O619:O621,0),IF(AND(C619=TRUE,C621="W"),P619+P621-SUM(O619:O621),IF(AND(C620="W",C621="W"),P620+P621-SUM(O619:O621)+_xlfn.XLOOKUP("X",C619:C621,O619:O621,0),IF(L621&gt;0,IF(OR($C619="W",$C619="1/2W",$C619="1/2L"),P619-SUM(O619:O621)+_xlfn.XLOOKUP("X",C619:C621,O619:O621,0),IF(OR($C619="W",$C619="1/2W",$C619="1/2L"),P620-SUM(O619:O621)+_xlfn.XLOOKUP("X",C619:C621,O619:O621,0),IF(OR($C619="W",$C619="1/2W",$C619="1/2L"),P621-SUM(O619:O621)+_xlfn.XLOOKUP("X",C619:C621,O619:O621,0),IF(SUM(P619:P621)/3-SUM(O619:O621)+_xlfn.XLOOKUP("X",C619:C621,O619:O621,0)&gt;0,SUM(P619:P621)/3-SUM(O619:O621)+_xlfn.XLOOKUP("X",C619:C621,O619:O621,0),LARGE(P619:P621,1)-SUM(O619:O621))))),IF(OR($C619="W",$C619="1/2W",$C619="1/2L"),P619-SUM(O619:O620)+_xlfn.XLOOKUP("X",C619:C621,O619:O621,0),IF(OR($C619="W",$C619="1/2W",$C619="1/2L"),P620-SUM(O619:O620)+_xlfn.XLOOKUP("X",C619:C621,O619:O621,0),SUM(P619:P620)/2-SUM(O619:O620)+_xlfn.XLOOKUP("X",C619:C621,O619:O621,0)))))))),2))</f>
        <v>2.78</v>
      </c>
      <c r="T619" s="458">
        <f>IF(S619=0,0,S619/SUM(O619:O621))</f>
        <v>6.1599822734323059E-2</v>
      </c>
      <c r="U619" s="470">
        <f>IF($D619=$D616,IF(OR($B619="LOSS",$B619="OK",$B619="Anulada"),S619,0)+U616,IF(OR($B619="LOSS",$B619="OK",$B619="Anulada"),S619,0))</f>
        <v>13.61</v>
      </c>
      <c r="V619" s="470">
        <f>IF($D619="",0,IF($D619=$D616,IF($B619=" ",IF(I621="",IF(OR(AND(I619="DNB1",I620="DNB2"),AND(OR(I619="DNB1",I619="DNB2"),J620=0),AND(OR(I620="DNB1",I620="DNB2"),J619=0),AND(I619="DNB2",I620="DNB1"),AND(IF(J619=0,(J619+1)/ROUND(J619+1,0),J619/ROUND(J619,0))=1,IF(J620=0,(J620+1)/ROUND(IF(J620="",0,J620)+1,0),IF(J620="",0,J620)/ROUND(IF(J620="",1,J620),0))=1,OR(J619&lt;&gt;""),J620&lt;&gt;"")),0,IF(S619&lt;0,IF(I621="",SMALL(P619:P620,1)-SUM(O619:O620),0),SMALL(P619:P620,1)-SUM(O619:O620))),IF(S619&lt;0,IF(I621="",SMALL(P619:P621,1)-SUM(O619:O621),0),LARGE(P619:P621,1)-SUM(O619:O621))),S619)+V616,IF(I621="",IF(OR(AND(I619="DNB1",I620="DNB2"),AND(OR(I619="DNB1",I619="DNB2"),J620=0),AND(OR(I620="DNB1",I620="DNB2"),J619=0),AND(I619="DNB2",I620="DNB1"),AND(IF(J619=0,(J619+1)/ROUND(J619+1,0),J619/ROUND(J619,0))=1,IF(J620=0,(IF(J620="",0,J620)+1)/ROUND(IF(J620="",0,J620)+1,0),IF(J620="",0,J620)/ROUND(IF(J620="",0,J620)+1,0))=1,OR(J619&lt;&gt;""),J620&lt;&gt;"")),0,IF(S619&lt;0,IF(I621="",SMALL(P619:P620,1)-SUM(O619:O620),0),SMALL(P619:P621,1)-SUM(O619:O621))),IF(S619&lt;0,IF(I621="",SMALL(P619:P621,1)-SUM(O619:O621),0),LARGE(P619:P621,1)-SUM(O619:O621)))))</f>
        <v>13.607999999999995</v>
      </c>
      <c r="W619" s="470">
        <f>IF($D619=$D616,IF(S619&lt;0,IF(I621="",S619,0),S619)+W616,S619)</f>
        <v>13.61</v>
      </c>
      <c r="X619" s="480" t="str">
        <f>IF(OR(SUM(R619:R621)=0,V619=W619),ROUND(IF(W619=0,0,W619/Y619)*100,2)&amp;"%",ROUND(IF(V619=0,0,V619/Y619)*100,2)&amp;"% a "&amp;ROUND(IF(W619=0,0,W619/Y619)*100,2)&amp;"%")</f>
        <v>13,17%</v>
      </c>
      <c r="Y619" s="471">
        <f>IF($D619=$D616,Y616+SUM(O619:O621),SUM(O619:O621))</f>
        <v>103.31</v>
      </c>
      <c r="Z619" s="470">
        <f>IF($B619=" ",SUM(O619:O621),0)+Z616</f>
        <v>0</v>
      </c>
      <c r="AA619" s="470">
        <f>IF(G619="","",IF($B619="Anulado",LARGE(P619:P621,1)-SUM(O619:O621)+AA616,AA616))</f>
        <v>12.425099999999992</v>
      </c>
      <c r="AB619" s="470">
        <f>IF($D619="","",AB616+S619)</f>
        <v>691.24000000000046</v>
      </c>
      <c r="AC619" s="472">
        <f ca="1">IF($D619="","",IF($B619=" ",IF(DAY(G619)=DAY(TODAY()),1+AC616,0+AC616),0+AC616))</f>
        <v>0</v>
      </c>
      <c r="AD619" s="103">
        <f>(((L620/(L620-1)-1)*(1-_xlfn.XLOOKUP(K620,'Fevereiro 2023 - Valor Real'!A3:A15,'Fevereiro 2023 - Valor Real'!C3:C15,0))+1))/(((L619-1)*(1-_xlfn.XLOOKUP(K619,'Fevereiro 2023 - Valor Real'!A3:A15,'Fevereiro 2023 - Valor Real'!C3:C15,0))+1)+((L620/(L620-1)-1)*(1-_xlfn.XLOOKUP(K620,'Fevereiro 2023 - Valor Real'!A3:A15,'Fevereiro 2023 - Valor Real'!C3:C15,0))+1))</f>
        <v>0.48611111111111105</v>
      </c>
      <c r="AE619" s="104">
        <f>IF(L619="","",IF(L621&gt;0,(SUM(((L619-1)*(1-_xlfn.XLOOKUP(K619,'Fevereiro 2023 - Valor Real'!A3:A15,'Fevereiro 2023 - Valor Real'!C3:C15,0))+1),((L620-1)*(1-_xlfn.XLOOKUP(K620,'Fevereiro 2023 - Valor Real'!A3:A15,'Fevereiro 2023 - Valor Real'!C3:C15,0))+1),((L621-1)*(1-_xlfn.XLOOKUP(K621,'Fevereiro 2023 - Valor Real'!A3:A15,'Fevereiro 2023 - Valor Real'!C3:C15,0))+1))/((L619-1)*(1-_xlfn.XLOOKUP(K619,'Fevereiro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Real'!C3:C15,0))+1))/((L619-1)*(1-_xlfn.XLOOKUP(K619,'Fevereiro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Real'!C3:C15,0))+1))/((L620-1)*(1-_xlfn.XLOOKUP(K620,'Fevereiro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Real'!C3:C15,0))+1))/((L621-1)*(1-_xlfn.XLOOKUP(K621,'Fevereiro 2023 - Valor Real'!A3:A15,'Fevereiro 2023 - Valor Real'!C3:C15,0))+1)),IF(I619="Lay",IF(I620="Lay",((L620/(L620-1)-1)*(1-_xlfn.XLOOKUP(K620,'Fevereiro 2023 - Valor Real'!A3:A15,'Fevereiro 2023 - Valor Real'!C3:C15,0))+1)/(((L620/(L620-1)-1)*(1-_xlfn.XLOOKUP(K620,'Fevereiro 2023 - Valor Real'!A3:A15,'Fevereiro 2023 - Valor Real'!C3:C15,0))+1)+((L619/(L619-1)-1)*(1-_xlfn.XLOOKUP(K619,'Fevereiro 2023 - Valor Real'!A3:A15,'Fevereiro 2023 - Valor Real'!C3:C15,0))+1)),((L620-1)*(1-_xlfn.XLOOKUP(K620,'Fevereiro 2023 - Valor Real'!A3:A15,'Fevereiro 2023 - Valor Real'!C3:C15,0))+1)/(((L620-1)*(1-_xlfn.XLOOKUP(K620,'Fevereiro 2023 - Valor Real'!A3:A15,'Fevereiro 2023 - Valor Real'!C3:C15,0))+1)+((L619/(L619-1)-1)*(1-_xlfn.XLOOKUP(K619,'Fevereiro 2023 - Valor Real'!A3:A15,'Fevereiro 2023 - Valor Real'!C3:C15,0))+1))),IF(I620="Lay",(((L620/(L620-1)-1)*(1-_xlfn.XLOOKUP(K620,'Fevereiro 2023 - Valor Real'!A3:A15,'Fevereiro 2023 - Valor Real'!C3:C15,0))+1))/(((L619-1)*(1-_xlfn.XLOOKUP(K619,'Fevereiro 2023 - Valor Real'!A3:A15,'Fevereiro 2023 - Valor Real'!C3:C15,0))+1)+((L620/(L620-1)-1)*(1-_xlfn.XLOOKUP(K620,'Fevereiro 2023 - Valor Real'!A3:A15,'Fevereiro 2023 - Valor Real'!C3:C15,0))+1)),((L620-1)*(1-_xlfn.XLOOKUP(K620,'Fevereiro 2023 - Valor Real'!A3:A15,'Fevereiro 2023 - Valor Real'!C3:C15,0))+1)/(((L620-1)*(1-_xlfn.XLOOKUP(K620,'Fevereiro 2023 - Valor Real'!A3:A15,'Fevereiro 2023 - Valor Real'!C3:C15,0))+1)+((L619-1)*(1-_xlfn.XLOOKUP(K619,'Fevereiro 2023 - Valor Real'!A3:A15,'Fevereiro 2023 - Valor Real'!C3:C15,0))+1))))))</f>
        <v>0.32133468149646111</v>
      </c>
      <c r="AF619" s="105">
        <f t="shared" si="1236"/>
        <v>0</v>
      </c>
      <c r="AG619" s="106">
        <f t="shared" si="1236"/>
        <v>0</v>
      </c>
      <c r="AH619" s="106">
        <f t="shared" si="1236"/>
        <v>0</v>
      </c>
      <c r="AI619" s="106">
        <f t="shared" si="1236"/>
        <v>0</v>
      </c>
      <c r="AJ619" s="106">
        <f t="shared" si="1236"/>
        <v>0</v>
      </c>
      <c r="AK619" s="106">
        <f t="shared" si="1236"/>
        <v>0</v>
      </c>
      <c r="AL619" s="106">
        <f t="shared" si="1236"/>
        <v>0</v>
      </c>
      <c r="AM619" s="106">
        <f t="shared" si="1236"/>
        <v>0</v>
      </c>
      <c r="AN619" s="106">
        <f t="shared" si="1236"/>
        <v>0</v>
      </c>
      <c r="AO619" s="106">
        <f t="shared" si="1236"/>
        <v>0</v>
      </c>
      <c r="AP619" s="106">
        <f t="shared" si="1236"/>
        <v>0</v>
      </c>
      <c r="AQ619" s="106">
        <f t="shared" si="1236"/>
        <v>-21.78</v>
      </c>
      <c r="AR619" s="107">
        <f t="shared" si="1236"/>
        <v>0</v>
      </c>
      <c r="AS619" s="105">
        <f t="shared" ref="AS619:BE619" si="1244">IF(AND($B619=" ",$K619=AS$3),$O619,0)</f>
        <v>0</v>
      </c>
      <c r="AT619" s="106">
        <f t="shared" si="1244"/>
        <v>0</v>
      </c>
      <c r="AU619" s="106">
        <f t="shared" si="1244"/>
        <v>0</v>
      </c>
      <c r="AV619" s="106">
        <f t="shared" si="1244"/>
        <v>0</v>
      </c>
      <c r="AW619" s="106">
        <f t="shared" si="1244"/>
        <v>0</v>
      </c>
      <c r="AX619" s="106">
        <f t="shared" si="1244"/>
        <v>0</v>
      </c>
      <c r="AY619" s="108">
        <f t="shared" si="1244"/>
        <v>0</v>
      </c>
      <c r="AZ619" s="109">
        <f t="shared" si="1244"/>
        <v>0</v>
      </c>
      <c r="BA619" s="109">
        <f t="shared" si="1244"/>
        <v>0</v>
      </c>
      <c r="BB619" s="109">
        <f t="shared" si="1244"/>
        <v>0</v>
      </c>
      <c r="BC619" s="110">
        <f t="shared" si="1244"/>
        <v>0</v>
      </c>
      <c r="BD619" s="106">
        <f t="shared" si="1244"/>
        <v>0</v>
      </c>
      <c r="BE619" s="107">
        <f t="shared" si="1244"/>
        <v>0</v>
      </c>
      <c r="BF619" s="111">
        <f t="shared" si="1238"/>
        <v>0</v>
      </c>
      <c r="BG619" s="106">
        <f t="shared" si="1238"/>
        <v>0</v>
      </c>
      <c r="BH619" s="106">
        <f t="shared" si="1238"/>
        <v>0</v>
      </c>
      <c r="BI619" s="106">
        <f t="shared" si="1238"/>
        <v>0</v>
      </c>
      <c r="BJ619" s="106">
        <f t="shared" si="1238"/>
        <v>0</v>
      </c>
      <c r="BK619" s="106">
        <f t="shared" si="1238"/>
        <v>0</v>
      </c>
      <c r="BL619" s="106">
        <f t="shared" si="1238"/>
        <v>0</v>
      </c>
      <c r="BM619" s="108">
        <f t="shared" si="1238"/>
        <v>0</v>
      </c>
      <c r="BN619" s="109">
        <f t="shared" si="1238"/>
        <v>0</v>
      </c>
      <c r="BO619" s="109">
        <f t="shared" si="1238"/>
        <v>0</v>
      </c>
      <c r="BP619" s="109">
        <f t="shared" si="1238"/>
        <v>0</v>
      </c>
      <c r="BQ619" s="110">
        <f t="shared" si="1238"/>
        <v>21.78</v>
      </c>
      <c r="BR619" s="107">
        <f t="shared" si="1238"/>
        <v>0</v>
      </c>
      <c r="BS619" s="463">
        <f>IF($B619="LOSS",IF(AND($K619=BS$3,$C619="L"),-$O619,0)+IF(AND($K620=BS$3,$C620="L"),-$O620,0)+IF(AND($K621=BS$3,$C621="L"),-$O621,0),IF(OR(AND($K619=BS$3,OR($C619="W",$C619="1/2W")),AND($K620=BS$3,OR($C620="W",$C620="1/2W")),AND($K621=BS$3,OR($C621="W",$C621="1/2W"))),$S619,0))</f>
        <v>0</v>
      </c>
      <c r="BT619" s="462">
        <f>IF($B619="LOSS",IF(AND($K619=BT$3,$C619="L"),-$O619,0)+IF(AND($K620=BT$3,$C620="L"),-$O620,0)+IF(AND($K620=BT$3,$C621="L"),-$O621,0),IF(OR(AND($K620=BT$3,OR($C619="W",$C619="1/2W")),AND($K620=BT$3,OR($C620="W",$C620="1/2W")),AND($K620=BT$3,OR($C621="W",$C621="1/2W"))),$S619,0))</f>
        <v>0</v>
      </c>
      <c r="BU619" s="462">
        <f>IF($B619="LOSS",IF(AND($K619=BU$3,$C619="L"),-$O619,0)+IF(AND($K620=BU$3,$C620="L"),-$O620,0)+IF(AND($K620=BU$3,$C621="L"),-$O621,0),IF(OR(AND($K620=BU$3,OR($C619="W",$C619="1/2W")),AND($K620=BU$3,OR($C620="W",$C620="1/2W")),AND($K620=BU$3,OR($C621="W",$C621="1/2W"))),$S619,0))</f>
        <v>0</v>
      </c>
      <c r="BV619" s="462">
        <f t="shared" ref="BV619:CE619" si="1245">IF($B619="LOSS",IF(AND($K619=BV$3,$C619="L"),-$O619,0)+IF(AND($K620=BV$3,$C620="L"),-$O620,0)+IF(AND($K621=BV$3,$C621="L"),-$O621,0),IF(OR(AND($K619=BV$3,OR($C619="W",$C619="1/2W")),AND($K620=BV$3,OR($C620="W",$C620="1/2W")),AND($K621=BV$3,OR($C621="W",$C621="1/2W"))),$S619,0))</f>
        <v>0</v>
      </c>
      <c r="BW619" s="462">
        <f t="shared" si="1245"/>
        <v>0</v>
      </c>
      <c r="BX619" s="462">
        <f t="shared" si="1245"/>
        <v>0</v>
      </c>
      <c r="BY619" s="462">
        <f t="shared" si="1245"/>
        <v>0</v>
      </c>
      <c r="BZ619" s="460">
        <f t="shared" si="1245"/>
        <v>2.78</v>
      </c>
      <c r="CA619" s="460">
        <f t="shared" si="1245"/>
        <v>0</v>
      </c>
      <c r="CB619" s="460">
        <f t="shared" si="1245"/>
        <v>0</v>
      </c>
      <c r="CC619" s="460">
        <f t="shared" si="1245"/>
        <v>0</v>
      </c>
      <c r="CD619" s="473">
        <f t="shared" si="1245"/>
        <v>0</v>
      </c>
      <c r="CE619" s="479">
        <f t="shared" si="1245"/>
        <v>0</v>
      </c>
      <c r="CF619" s="113">
        <f t="shared" si="1156"/>
        <v>0</v>
      </c>
      <c r="CG619" s="114">
        <f t="shared" si="1157"/>
        <v>0</v>
      </c>
      <c r="CH619" s="114">
        <f t="shared" si="1158"/>
        <v>0</v>
      </c>
      <c r="CI619" s="114">
        <f t="shared" si="1159"/>
        <v>0</v>
      </c>
      <c r="CJ619" s="114">
        <f t="shared" si="1160"/>
        <v>0</v>
      </c>
      <c r="CK619" s="114">
        <f t="shared" si="1161"/>
        <v>0</v>
      </c>
      <c r="CL619" s="114">
        <f t="shared" si="1162"/>
        <v>0</v>
      </c>
      <c r="CM619" s="114">
        <f t="shared" si="1163"/>
        <v>0</v>
      </c>
      <c r="CN619" s="114">
        <f t="shared" si="1164"/>
        <v>0</v>
      </c>
      <c r="CO619" s="114">
        <f t="shared" si="1165"/>
        <v>0</v>
      </c>
      <c r="CP619" s="114">
        <f t="shared" si="1166"/>
        <v>0</v>
      </c>
      <c r="CQ619" s="114">
        <f t="shared" si="1167"/>
        <v>0</v>
      </c>
      <c r="CR619" s="114">
        <f t="shared" si="1168"/>
        <v>0</v>
      </c>
      <c r="CS619" s="114">
        <f t="shared" si="1169"/>
        <v>0</v>
      </c>
      <c r="CT619" s="115">
        <f t="shared" si="1170"/>
        <v>0</v>
      </c>
      <c r="CU619" s="116">
        <f t="shared" si="1171"/>
        <v>0</v>
      </c>
      <c r="CV619" s="116">
        <f t="shared" si="1172"/>
        <v>0</v>
      </c>
      <c r="CW619" s="116">
        <f t="shared" si="1173"/>
        <v>0</v>
      </c>
      <c r="CX619" s="116">
        <f t="shared" si="1174"/>
        <v>0</v>
      </c>
      <c r="CY619" s="116">
        <f t="shared" si="1175"/>
        <v>0</v>
      </c>
      <c r="CZ619" s="116">
        <f t="shared" si="1176"/>
        <v>0</v>
      </c>
      <c r="DA619" s="116">
        <f t="shared" si="1177"/>
        <v>0</v>
      </c>
      <c r="DB619" s="116">
        <f t="shared" si="1178"/>
        <v>0</v>
      </c>
      <c r="DC619" s="116">
        <f t="shared" si="1179"/>
        <v>1</v>
      </c>
      <c r="DD619" s="116">
        <f t="shared" si="1180"/>
        <v>0</v>
      </c>
      <c r="DE619" s="117">
        <f t="shared" si="1181"/>
        <v>0</v>
      </c>
      <c r="DF619" s="118">
        <f t="shared" si="1183"/>
        <v>36</v>
      </c>
      <c r="DG619" s="106">
        <f t="shared" si="1184"/>
        <v>47.227999999999994</v>
      </c>
      <c r="DH619" s="116">
        <f t="shared" si="1185"/>
        <v>14</v>
      </c>
      <c r="DI619" s="106">
        <f t="shared" si="1186"/>
        <v>60.05</v>
      </c>
      <c r="DJ619" s="201" t="str">
        <f>IF($D619="","",$D619)</f>
        <v>21</v>
      </c>
      <c r="DK619" s="465">
        <f>IF(AND($B619=" ",$D619&lt;&gt;""),1,0)</f>
        <v>0</v>
      </c>
    </row>
    <row r="620" spans="1:115" ht="14.5" customHeight="1" x14ac:dyDescent="0.2">
      <c r="A620" s="389"/>
      <c r="B620" s="456"/>
      <c r="C620" s="120" t="s">
        <v>54</v>
      </c>
      <c r="D620" s="374"/>
      <c r="E620" s="386"/>
      <c r="F620" s="377"/>
      <c r="G620" s="483"/>
      <c r="H620" s="476"/>
      <c r="I620" s="121" t="s">
        <v>76</v>
      </c>
      <c r="J620" s="122">
        <v>-0.5</v>
      </c>
      <c r="K620" s="123" t="s">
        <v>43</v>
      </c>
      <c r="L620" s="124">
        <v>1.925</v>
      </c>
      <c r="M620" s="125">
        <v>14.78</v>
      </c>
      <c r="N620" s="406"/>
      <c r="O620" s="126">
        <f>IF(OR(AE619="",AE620=""),"",ROUND(IF(L621&gt;0,IF(M620&gt;0,M620,IF(M619&gt;0,IF(N619=TRUE,ROUND((M619*AE620)/AE619,0),(M619*AE620)/AE619),IF(M620&gt;0,ROUND(M620,IF(N619=0,2,IF(N619=0.1,1,0))),IF(M621&gt;0,ROUND(O621*AE620/AE621,IF(N619=0,2,IF(N619=0.1,1,0))),0)))),IF(M620&gt;0,M620,ROUND((M619*AE620)/AE619,IF(N619=0,2,IF(N619=0.1,1,0))))),2))</f>
        <v>14.78</v>
      </c>
      <c r="P620" s="127">
        <f>IF(OR(L620="",O620=""),"",IF($C620="1/2W",O620/2+O620/2*L620,IF($C620="1/2L",O620/2,IF(I620="Lay",((O620*(L620/(L620-1)))-O620)*(1-_xlfn.XLOOKUP(K620,'Fevereiro 2023 - Valor Real'!A3:A15,'Fevereiro 2023 - Valor Real'!C3:C15,0))+O620,(O620*L620-O620)*(1-_xlfn.XLOOKUP(K620,'Fevereiro 2023 - Valor Real'!A3:A15,'Fevereiro 2023 - Valor Real'!C3:C15,0))+O620))))</f>
        <v>28.451499999999999</v>
      </c>
      <c r="Q620" s="128">
        <f>IF(K620="","",IF(_xlfn.XLOOKUP(K620,K$4:K619,$DJ$4:DJ619,0,,-1)=DJ620,_xlfn.XLOOKUP(K620,K$4:K619,Q$4:Q619,1,,-1)+1,1))</f>
        <v>1</v>
      </c>
      <c r="R620" s="129">
        <f>IF(K620="","",_xlfn.XLOOKUP(K620,K$4:K619,R$4:R619,0,,-1)+IF($C620=" ",1,0))</f>
        <v>0</v>
      </c>
      <c r="S620" s="403"/>
      <c r="T620" s="380"/>
      <c r="U620" s="380"/>
      <c r="V620" s="481"/>
      <c r="W620" s="380"/>
      <c r="X620" s="452"/>
      <c r="Y620" s="383"/>
      <c r="Z620" s="384"/>
      <c r="AA620" s="384"/>
      <c r="AB620" s="384"/>
      <c r="AC620" s="384"/>
      <c r="AD620" s="130">
        <f>(((L620/(L620-1)-1)*(1-_xlfn.XLOOKUP(K620,'Fevereiro 2023 - Valor Real'!A3:A15,'Fevereiro 2023 - Valor Real'!C3:C15,0))+1))</f>
        <v>2.0810810810810811</v>
      </c>
      <c r="AE620" s="131">
        <f>IF(L620="","",IF(L621&gt;0,(SUM(((L619-1)*(1-_xlfn.XLOOKUP(K619,'Fevereiro 2023 - Valor Real'!A3:A15,'Fevereiro 2023 - Valor Real'!C3:C15,0))+1),((L620-1)*(1-_xlfn.XLOOKUP(K620,'Fevereiro 2023 - Valor Real'!A3:A15,'Fevereiro 2023 - Valor Real'!C3:C15,0))+1),((L621-1)*(1-_xlfn.XLOOKUP(K621,'Fevereiro 2023 - Valor Real'!A3:A15,'Fevereiro 2023 - Valor Real'!C3:C15,0))+1))/((L620-1)*(1-_xlfn.XLOOKUP(K620,'Fevereiro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Real'!C3:C15,0))+1))/((L619-1)*(1-_xlfn.XLOOKUP(K619,'Fevereiro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Real'!C3:C15,0))+1))/((L620-1)*(1-_xlfn.XLOOKUP(K620,'Fevereiro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Real'!C3:C15,0))+1))/((L621-1)*(1-_xlfn.XLOOKUP(K621,'Fevereiro 2023 - Valor Real'!A3:A15,'Fevereiro 2023 - Valor Real'!C3:C15,0))+1)),IF(I620="Lay",IF(I619="Lay",((L619/(L619-1)-1)*(1-_xlfn.XLOOKUP(K619,'Fevereiro 2023 - Valor Real'!A3:A15,'Fevereiro 2023 - Valor Real'!C3:C15,0))+1)/(((L619/(L619-1)-1)*(1-_xlfn.XLOOKUP(K619,'Fevereiro 2023 - Valor Real'!A3:A15,'Fevereiro 2023 - Valor Real'!C3:C15,0))+1)+((L620/(L620-1)-1)*(1-_xlfn.XLOOKUP(K620,'Fevereiro 2023 - Valor Real'!A3:A15,'Fevereiro 2023 - Valor Real'!C3:C15,0))+1)),((L619-1)*(1-_xlfn.XLOOKUP(K619,'Fevereiro 2023 - Valor Real'!A3:A15,'Fevereiro 2023 - Valor Real'!C3:C15,0))+1)/(((L619-1)*(1-_xlfn.XLOOKUP(K619,'Fevereiro 2023 - Valor Real'!A3:A15,'Fevereiro 2023 - Valor Real'!C3:C15,0))+1)+((L620/(L620-1)-1)*(1-_xlfn.XLOOKUP(K620,'Fevereiro 2023 - Valor Real'!A3:A15,'Fevereiro 2023 - Valor Real'!C3:C15,0))+1))),IF(I619="Lay",((L619/(L619-1)-1)*(1-_xlfn.XLOOKUP(K619,'Fevereiro 2023 - Valor Real'!A3:A15,'Fevereiro 2023 - Valor Real'!C3:C15,0))+1)/((((L619/(L619-1)-1)*(1-_xlfn.XLOOKUP(K619,'Fevereiro 2023 - Valor Real'!A3:A15,'Fevereiro 2023 - Valor Real'!C3:C15,0))+1))+((L620-1)*(1-_xlfn.XLOOKUP(K620,'Fevereiro 2023 - Valor Real'!A3:A15,'Fevereiro 2023 - Valor Real'!C3:C15,0))+1)),((L619-1)*(1-_xlfn.XLOOKUP(K619,'Fevereiro 2023 - Valor Real'!A3:A15,'Fevereiro 2023 - Valor Real'!C3:C15,0))+1)/(((L619-1)*(1-_xlfn.XLOOKUP(K619,'Fevereiro 2023 - Valor Real'!A3:A15,'Fevereiro 2023 - Valor Real'!C3:C15,0))+1)+((L620-1)*(1-_xlfn.XLOOKUP(K620,'Fevereiro 2023 - Valor Real'!A3:A15,'Fevereiro 2023 - Valor Real'!C3:C15,0))+1))))))</f>
        <v>0.36723963599595555</v>
      </c>
      <c r="AF620" s="105">
        <f t="shared" si="1236"/>
        <v>0</v>
      </c>
      <c r="AG620" s="106">
        <f t="shared" si="1236"/>
        <v>0</v>
      </c>
      <c r="AH620" s="106">
        <f t="shared" si="1236"/>
        <v>0</v>
      </c>
      <c r="AI620" s="106">
        <f t="shared" si="1236"/>
        <v>0</v>
      </c>
      <c r="AJ620" s="106">
        <f t="shared" si="1236"/>
        <v>0</v>
      </c>
      <c r="AK620" s="106">
        <f t="shared" si="1236"/>
        <v>0</v>
      </c>
      <c r="AL620" s="106">
        <f t="shared" si="1236"/>
        <v>0</v>
      </c>
      <c r="AM620" s="106">
        <f t="shared" si="1236"/>
        <v>13.67</v>
      </c>
      <c r="AN620" s="106">
        <f t="shared" si="1236"/>
        <v>0</v>
      </c>
      <c r="AO620" s="106">
        <f t="shared" si="1236"/>
        <v>0</v>
      </c>
      <c r="AP620" s="106">
        <f t="shared" si="1236"/>
        <v>0</v>
      </c>
      <c r="AQ620" s="106">
        <f t="shared" si="1236"/>
        <v>0</v>
      </c>
      <c r="AR620" s="107">
        <f t="shared" si="1236"/>
        <v>0</v>
      </c>
      <c r="AS620" s="105">
        <f>IF(AND($B619=" ",$K620=AS$3),$O620,0)</f>
        <v>0</v>
      </c>
      <c r="AT620" s="106">
        <f>IF(AND($B619=" ",K620=AT$3),$O620,0)</f>
        <v>0</v>
      </c>
      <c r="AU620" s="106">
        <f t="shared" ref="AU620:BE620" si="1246">IF(AND($B619=" ",$K620=AU$3),$O620,0)</f>
        <v>0</v>
      </c>
      <c r="AV620" s="106">
        <f t="shared" si="1246"/>
        <v>0</v>
      </c>
      <c r="AW620" s="106">
        <f t="shared" si="1246"/>
        <v>0</v>
      </c>
      <c r="AX620" s="106">
        <f t="shared" si="1246"/>
        <v>0</v>
      </c>
      <c r="AY620" s="108">
        <f t="shared" si="1246"/>
        <v>0</v>
      </c>
      <c r="AZ620" s="109">
        <f t="shared" si="1246"/>
        <v>0</v>
      </c>
      <c r="BA620" s="109">
        <f t="shared" si="1246"/>
        <v>0</v>
      </c>
      <c r="BB620" s="109">
        <f t="shared" si="1246"/>
        <v>0</v>
      </c>
      <c r="BC620" s="110">
        <f t="shared" si="1246"/>
        <v>0</v>
      </c>
      <c r="BD620" s="106">
        <f t="shared" si="1246"/>
        <v>0</v>
      </c>
      <c r="BE620" s="107">
        <f t="shared" si="1246"/>
        <v>0</v>
      </c>
      <c r="BF620" s="105">
        <f t="shared" si="1238"/>
        <v>0</v>
      </c>
      <c r="BG620" s="106">
        <f t="shared" si="1238"/>
        <v>0</v>
      </c>
      <c r="BH620" s="106">
        <f t="shared" si="1238"/>
        <v>0</v>
      </c>
      <c r="BI620" s="106">
        <f t="shared" si="1238"/>
        <v>0</v>
      </c>
      <c r="BJ620" s="106">
        <f t="shared" si="1238"/>
        <v>0</v>
      </c>
      <c r="BK620" s="106">
        <f t="shared" si="1238"/>
        <v>0</v>
      </c>
      <c r="BL620" s="106">
        <f t="shared" si="1238"/>
        <v>0</v>
      </c>
      <c r="BM620" s="132">
        <f t="shared" si="1238"/>
        <v>14.78</v>
      </c>
      <c r="BN620" s="112">
        <f t="shared" si="1238"/>
        <v>0</v>
      </c>
      <c r="BO620" s="112">
        <f t="shared" si="1238"/>
        <v>0</v>
      </c>
      <c r="BP620" s="112">
        <f t="shared" si="1238"/>
        <v>0</v>
      </c>
      <c r="BQ620" s="110">
        <f t="shared" si="1238"/>
        <v>0</v>
      </c>
      <c r="BR620" s="107">
        <f t="shared" si="1238"/>
        <v>0</v>
      </c>
      <c r="BS620" s="464"/>
      <c r="BT620" s="461"/>
      <c r="BU620" s="392"/>
      <c r="BV620" s="461"/>
      <c r="BW620" s="392"/>
      <c r="BX620" s="392"/>
      <c r="BY620" s="392"/>
      <c r="BZ620" s="461"/>
      <c r="CA620" s="392"/>
      <c r="CB620" s="392"/>
      <c r="CC620" s="392"/>
      <c r="CD620" s="401"/>
      <c r="CE620" s="409"/>
      <c r="CF620" s="133">
        <f t="shared" si="1156"/>
        <v>0</v>
      </c>
      <c r="CG620" s="134">
        <f t="shared" si="1157"/>
        <v>0</v>
      </c>
      <c r="CH620" s="134">
        <f t="shared" si="1158"/>
        <v>0</v>
      </c>
      <c r="CI620" s="134">
        <f t="shared" si="1159"/>
        <v>0</v>
      </c>
      <c r="CJ620" s="134">
        <f t="shared" si="1160"/>
        <v>0</v>
      </c>
      <c r="CK620" s="134">
        <f t="shared" si="1161"/>
        <v>0</v>
      </c>
      <c r="CL620" s="134">
        <f t="shared" si="1162"/>
        <v>0</v>
      </c>
      <c r="CM620" s="134">
        <f t="shared" si="1163"/>
        <v>0</v>
      </c>
      <c r="CN620" s="134">
        <f t="shared" si="1164"/>
        <v>0</v>
      </c>
      <c r="CO620" s="134">
        <f t="shared" si="1165"/>
        <v>0</v>
      </c>
      <c r="CP620" s="134">
        <f t="shared" si="1166"/>
        <v>0</v>
      </c>
      <c r="CQ620" s="134">
        <f t="shared" si="1167"/>
        <v>0</v>
      </c>
      <c r="CR620" s="134">
        <f t="shared" si="1168"/>
        <v>0</v>
      </c>
      <c r="CS620" s="134">
        <f t="shared" si="1169"/>
        <v>0</v>
      </c>
      <c r="CT620" s="115">
        <f t="shared" si="1170"/>
        <v>1</v>
      </c>
      <c r="CU620" s="116">
        <f t="shared" si="1171"/>
        <v>0</v>
      </c>
      <c r="CV620" s="116">
        <f t="shared" si="1172"/>
        <v>0</v>
      </c>
      <c r="CW620" s="116">
        <f t="shared" si="1173"/>
        <v>0</v>
      </c>
      <c r="CX620" s="116">
        <f t="shared" si="1174"/>
        <v>0</v>
      </c>
      <c r="CY620" s="116">
        <f t="shared" si="1175"/>
        <v>0</v>
      </c>
      <c r="CZ620" s="116">
        <f t="shared" si="1176"/>
        <v>0</v>
      </c>
      <c r="DA620" s="116">
        <f t="shared" si="1177"/>
        <v>0</v>
      </c>
      <c r="DB620" s="116">
        <f t="shared" si="1178"/>
        <v>0</v>
      </c>
      <c r="DC620" s="116">
        <f t="shared" si="1179"/>
        <v>0</v>
      </c>
      <c r="DD620" s="116">
        <f t="shared" si="1180"/>
        <v>0</v>
      </c>
      <c r="DE620" s="117">
        <f t="shared" si="1181"/>
        <v>0</v>
      </c>
      <c r="DF620" s="118">
        <f t="shared" si="1183"/>
        <v>36</v>
      </c>
      <c r="DG620" s="106">
        <f t="shared" si="1184"/>
        <v>47.227999999999994</v>
      </c>
      <c r="DH620" s="116">
        <f t="shared" si="1185"/>
        <v>14</v>
      </c>
      <c r="DI620" s="106">
        <f t="shared" si="1186"/>
        <v>60.05</v>
      </c>
      <c r="DJ620" s="201" t="str">
        <f>IF($D619="","",$D619)</f>
        <v>21</v>
      </c>
      <c r="DK620" s="466"/>
    </row>
    <row r="621" spans="1:115" ht="14.5" customHeight="1" x14ac:dyDescent="0.2">
      <c r="A621" s="390"/>
      <c r="B621" s="457"/>
      <c r="C621" s="135" t="s">
        <v>54</v>
      </c>
      <c r="D621" s="375"/>
      <c r="E621" s="387"/>
      <c r="F621" s="378"/>
      <c r="G621" s="484"/>
      <c r="H621" s="477"/>
      <c r="I621" s="203" t="s">
        <v>76</v>
      </c>
      <c r="J621" s="204">
        <v>1</v>
      </c>
      <c r="K621" s="193" t="s">
        <v>43</v>
      </c>
      <c r="L621" s="194">
        <v>2.27</v>
      </c>
      <c r="M621" s="140">
        <v>8.57</v>
      </c>
      <c r="N621" s="407"/>
      <c r="O621" s="195">
        <f>IF(OR(AE619="",AE620=""),"",IF(L621&gt;0,ROUND(IF(M621&gt;0,M621,IF(M619&gt;0,ROUND((M619*AE621)/AE619,IF(N619=0,2,IF(N619=0.1,1,0))),IF(M620&gt;0,ROUND((M620*AE621)/AE620,IF(N619=0,2,IF(N619=0.1,1,0))),IF(M621&gt;0,M621,0)))),2),""))</f>
        <v>8.57</v>
      </c>
      <c r="P621" s="196">
        <f>IF(I620="Lay",O620*(L620/(L620-1))-O620,IF(I619="Lay",O619*(L619/(L619-1))-O619,IF(OR(L621="",O621=""),"",IF($C621="1/2W",O621/2+O621/2*L621,IF($C621="1/2L",O621/2,(O621*L621-O621)*(1-_xlfn.XLOOKUP(K621,'Fevereiro 2023 - Valor Real'!A3:A15,'Fevereiro 2023 - Valor Real'!C3:C15,0))+O621)))))</f>
        <v>19.453900000000001</v>
      </c>
      <c r="Q621" s="197">
        <f>IF(K621="","",IF(_xlfn.XLOOKUP(K621,K$4:K620,$DJ$4:DJ620,0,,-1)=DJ621,_xlfn.XLOOKUP(K621,K$4:K620,Q$4:Q620,1,,-1)+1,1))</f>
        <v>2</v>
      </c>
      <c r="R621" s="198">
        <f>IF(K621="","",_xlfn.XLOOKUP(K621,K$4:K620,R$4:R620,0,,-1)+IF($C621=" ",1,0))</f>
        <v>0</v>
      </c>
      <c r="S621" s="404"/>
      <c r="T621" s="378"/>
      <c r="U621" s="378"/>
      <c r="V621" s="404"/>
      <c r="W621" s="378"/>
      <c r="X621" s="453"/>
      <c r="Y621" s="383"/>
      <c r="Z621" s="384"/>
      <c r="AA621" s="384"/>
      <c r="AB621" s="384"/>
      <c r="AC621" s="384"/>
      <c r="AD621" s="145">
        <f>((L620/(L620-1)-1))</f>
        <v>1.0810810810810811</v>
      </c>
      <c r="AE621" s="199">
        <f>IF(L621="","",(SUM(((L619-1)*(1-_xlfn.XLOOKUP(K619,'Fevereiro 2023 - Valor Real'!A3:A15,'Fevereiro 2023 - Valor Real'!C3:C15,0))+1),((L620-1)*(1-_xlfn.XLOOKUP(K620,'Fevereiro 2023 - Valor Real'!A3:A15,'Fevereiro 2023 - Valor Real'!C3:C15,0))+1),((L621-1)*(1-_xlfn.XLOOKUP(K621,'Fevereiro 2023 - Valor Real'!A3:A15,'Fevereiro 2023 - Valor Real'!C3:C15,0))+1))/((L621-1)*(1-_xlfn.XLOOKUP(K621,'Fevereiro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Real'!C3:C15,0))+1))/((L619-1)*(1-_xlfn.XLOOKUP(K619,'Fevereiro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Real'!C3:C15,0))+1))/((L620-1)*(1-_xlfn.XLOOKUP(K620,'Fevereiro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Real'!C3:C15,0))+1))/((L621-1)*(1-_xlfn.XLOOKUP(K621,'Fevereiro 2023 - Valor Real'!A3:A15,'Fevereiro 2023 - Valor Real'!C3:C15,0))+1)))</f>
        <v>0.31142568250758346</v>
      </c>
      <c r="AF621" s="105">
        <f t="shared" si="1236"/>
        <v>0</v>
      </c>
      <c r="AG621" s="106">
        <f t="shared" si="1236"/>
        <v>0</v>
      </c>
      <c r="AH621" s="106">
        <f t="shared" si="1236"/>
        <v>0</v>
      </c>
      <c r="AI621" s="106">
        <f t="shared" si="1236"/>
        <v>0</v>
      </c>
      <c r="AJ621" s="106">
        <f t="shared" si="1236"/>
        <v>0</v>
      </c>
      <c r="AK621" s="106">
        <f t="shared" si="1236"/>
        <v>0</v>
      </c>
      <c r="AL621" s="106">
        <f t="shared" si="1236"/>
        <v>0</v>
      </c>
      <c r="AM621" s="106">
        <f t="shared" si="1236"/>
        <v>10.88</v>
      </c>
      <c r="AN621" s="106">
        <f t="shared" si="1236"/>
        <v>0</v>
      </c>
      <c r="AO621" s="106">
        <f t="shared" si="1236"/>
        <v>0</v>
      </c>
      <c r="AP621" s="106">
        <f t="shared" si="1236"/>
        <v>0</v>
      </c>
      <c r="AQ621" s="106">
        <f t="shared" si="1236"/>
        <v>0</v>
      </c>
      <c r="AR621" s="107">
        <f t="shared" si="1236"/>
        <v>0</v>
      </c>
      <c r="AS621" s="105">
        <f>IF(AND($B619=" ",$K621=AS$3),$O621,0)</f>
        <v>0</v>
      </c>
      <c r="AT621" s="106">
        <f>IF(AND($B619=" ",K621=AT$3),$O621,0)</f>
        <v>0</v>
      </c>
      <c r="AU621" s="106">
        <f t="shared" ref="AU621:BE621" si="1247">IF(AND($B619=" ",$K621=AU$3),$O621,0)</f>
        <v>0</v>
      </c>
      <c r="AV621" s="106">
        <f t="shared" si="1247"/>
        <v>0</v>
      </c>
      <c r="AW621" s="106">
        <f t="shared" si="1247"/>
        <v>0</v>
      </c>
      <c r="AX621" s="106">
        <f t="shared" si="1247"/>
        <v>0</v>
      </c>
      <c r="AY621" s="108">
        <f t="shared" si="1247"/>
        <v>0</v>
      </c>
      <c r="AZ621" s="109">
        <f t="shared" si="1247"/>
        <v>0</v>
      </c>
      <c r="BA621" s="109">
        <f t="shared" si="1247"/>
        <v>0</v>
      </c>
      <c r="BB621" s="109">
        <f t="shared" si="1247"/>
        <v>0</v>
      </c>
      <c r="BC621" s="110">
        <f t="shared" si="1247"/>
        <v>0</v>
      </c>
      <c r="BD621" s="106">
        <f t="shared" si="1247"/>
        <v>0</v>
      </c>
      <c r="BE621" s="107">
        <f t="shared" si="1247"/>
        <v>0</v>
      </c>
      <c r="BF621" s="105">
        <f t="shared" si="1238"/>
        <v>0</v>
      </c>
      <c r="BG621" s="106">
        <f t="shared" si="1238"/>
        <v>0</v>
      </c>
      <c r="BH621" s="106">
        <f t="shared" si="1238"/>
        <v>0</v>
      </c>
      <c r="BI621" s="106">
        <f t="shared" si="1238"/>
        <v>0</v>
      </c>
      <c r="BJ621" s="106">
        <f t="shared" si="1238"/>
        <v>0</v>
      </c>
      <c r="BK621" s="106">
        <f t="shared" si="1238"/>
        <v>0</v>
      </c>
      <c r="BL621" s="106">
        <f t="shared" si="1238"/>
        <v>0</v>
      </c>
      <c r="BM621" s="108">
        <f t="shared" si="1238"/>
        <v>8.57</v>
      </c>
      <c r="BN621" s="109">
        <f t="shared" si="1238"/>
        <v>0</v>
      </c>
      <c r="BO621" s="109">
        <f t="shared" si="1238"/>
        <v>0</v>
      </c>
      <c r="BP621" s="109">
        <f t="shared" si="1238"/>
        <v>0</v>
      </c>
      <c r="BQ621" s="110">
        <f t="shared" si="1238"/>
        <v>0</v>
      </c>
      <c r="BR621" s="107">
        <f t="shared" si="1238"/>
        <v>0</v>
      </c>
      <c r="BS621" s="464"/>
      <c r="BT621" s="461"/>
      <c r="BU621" s="392"/>
      <c r="BV621" s="461"/>
      <c r="BW621" s="392"/>
      <c r="BX621" s="392"/>
      <c r="BY621" s="392"/>
      <c r="BZ621" s="461"/>
      <c r="CA621" s="392"/>
      <c r="CB621" s="392"/>
      <c r="CC621" s="392"/>
      <c r="CD621" s="401"/>
      <c r="CE621" s="409"/>
      <c r="CF621" s="133">
        <f t="shared" si="1156"/>
        <v>0</v>
      </c>
      <c r="CG621" s="134">
        <f t="shared" si="1157"/>
        <v>0</v>
      </c>
      <c r="CH621" s="134">
        <f t="shared" si="1158"/>
        <v>0</v>
      </c>
      <c r="CI621" s="134">
        <f t="shared" si="1159"/>
        <v>0</v>
      </c>
      <c r="CJ621" s="134">
        <f t="shared" si="1160"/>
        <v>0</v>
      </c>
      <c r="CK621" s="134">
        <f t="shared" si="1161"/>
        <v>0</v>
      </c>
      <c r="CL621" s="134">
        <f t="shared" si="1162"/>
        <v>0</v>
      </c>
      <c r="CM621" s="134">
        <f t="shared" si="1163"/>
        <v>0</v>
      </c>
      <c r="CN621" s="134">
        <f t="shared" si="1164"/>
        <v>0</v>
      </c>
      <c r="CO621" s="134">
        <f t="shared" si="1165"/>
        <v>0</v>
      </c>
      <c r="CP621" s="134">
        <f t="shared" si="1166"/>
        <v>0</v>
      </c>
      <c r="CQ621" s="134">
        <f t="shared" si="1167"/>
        <v>0</v>
      </c>
      <c r="CR621" s="134">
        <f t="shared" si="1168"/>
        <v>0</v>
      </c>
      <c r="CS621" s="134">
        <f t="shared" si="1169"/>
        <v>0</v>
      </c>
      <c r="CT621" s="115">
        <f t="shared" si="1170"/>
        <v>1</v>
      </c>
      <c r="CU621" s="116">
        <f t="shared" si="1171"/>
        <v>0</v>
      </c>
      <c r="CV621" s="116">
        <f t="shared" si="1172"/>
        <v>0</v>
      </c>
      <c r="CW621" s="116">
        <f t="shared" si="1173"/>
        <v>0</v>
      </c>
      <c r="CX621" s="116">
        <f t="shared" si="1174"/>
        <v>0</v>
      </c>
      <c r="CY621" s="116">
        <f t="shared" si="1175"/>
        <v>0</v>
      </c>
      <c r="CZ621" s="116">
        <f t="shared" si="1176"/>
        <v>0</v>
      </c>
      <c r="DA621" s="116">
        <f t="shared" si="1177"/>
        <v>0</v>
      </c>
      <c r="DB621" s="116">
        <f t="shared" si="1178"/>
        <v>0</v>
      </c>
      <c r="DC621" s="116">
        <f t="shared" si="1179"/>
        <v>0</v>
      </c>
      <c r="DD621" s="116">
        <f t="shared" si="1180"/>
        <v>0</v>
      </c>
      <c r="DE621" s="117">
        <f t="shared" si="1181"/>
        <v>0</v>
      </c>
      <c r="DF621" s="118">
        <f t="shared" si="1183"/>
        <v>36</v>
      </c>
      <c r="DG621" s="106">
        <f t="shared" si="1184"/>
        <v>47.227999999999994</v>
      </c>
      <c r="DH621" s="116">
        <f t="shared" si="1185"/>
        <v>14</v>
      </c>
      <c r="DI621" s="106">
        <f t="shared" si="1186"/>
        <v>60.05</v>
      </c>
      <c r="DJ621" s="201" t="str">
        <f>IF($D619="","",$D619)</f>
        <v>21</v>
      </c>
      <c r="DK621" s="466"/>
    </row>
    <row r="622" spans="1:115" ht="14.5" customHeight="1" x14ac:dyDescent="0.2">
      <c r="A622" s="487">
        <f>$A619+1</f>
        <v>207</v>
      </c>
      <c r="B622" s="506" t="str">
        <f>IF(OR(C622="W",C623="W",C624="W",C622="1/2W",C623="1/2W",C624="1/2W",C622="1/2L",C623="1/2L",C624="1/2L"),"OK",IF(OR(C622="L",C623="L",C624="L"),"LOSS",IF(OR(C622="X",C623="X",C624="X"),"Anulado"," ")))</f>
        <v>OK</v>
      </c>
      <c r="C622" s="147" t="s">
        <v>55</v>
      </c>
      <c r="D622" s="494" t="str">
        <f>IF(G622="","",$D619)</f>
        <v>21</v>
      </c>
      <c r="E622" s="511" t="str">
        <f>IF(G622=""," ","– "&amp;COUNTIF(D$4:D624,$D622))</f>
        <v>– 3</v>
      </c>
      <c r="F622" s="510" t="str">
        <f ca="1">IF(G622="","",IF(OR(AND($C622&lt;&gt;" ",$C623=" "),AND($C623&lt;&gt;" ",$C622=" "),AND(L624&gt;0,OR(AND($C624&lt;&gt;" ",OR($C622=" ",$C623=" ")),AND($C624=" ",OR($C622&lt;&gt;" ",$C623&lt;&gt;" "))))),IF(SUM(F$4:F621)=0,1,LARGE(F$4:F621,1)+1),IF(MONTH(G622)=MONTH(TODAY()),IF(AND(DAY(G622)&lt;DAY(TODAY()),$B622=" "),IF(SUM(F$4:F621)=0,1,LARGE(F$4:F621,1)+1),IF($B622=" ",IF(AND(DAY(G622)=DAY(TODAY()),HOUR(G622)&lt;=HOUR(NOW())+1),IF(AND(HOUR(G622)+2&lt;=HOUR(NOW()),DAY(G622)&lt;=DAY(TODAY()),MINUTE(G622)&lt;=MINUTE(NOW())),IF(SUM(F$4:F621)=0,1,LARGE(F$4:F621,1)+1),IF(OR(MINUTE(G622)&lt;=MINUTE(NOW()),HOUR(G622)&lt;=HOUR(NOW())),"!!!","")),""),"")),"")))</f>
        <v/>
      </c>
      <c r="G622" s="508">
        <v>45012.25</v>
      </c>
      <c r="H622" s="502" t="s">
        <v>230</v>
      </c>
      <c r="I622" s="180" t="s">
        <v>76</v>
      </c>
      <c r="J622" s="181">
        <v>-1.5</v>
      </c>
      <c r="K622" s="150" t="s">
        <v>40</v>
      </c>
      <c r="L622" s="151">
        <v>1.67</v>
      </c>
      <c r="M622" s="152"/>
      <c r="N622" s="503">
        <v>0</v>
      </c>
      <c r="O622" s="153">
        <f>IF(OR(AE622="",AE623=""),"",ROUND(IF(L624&gt;0,IF(M622&gt;0,M622,IF(M623&gt;0,ROUND((M623*AE622)/AE623,IF(N622=0,2,IF(N622=0.1,1,0))),ROUND((M624*AE622)/AE624,IF(N622=0,2,IF(N622=0.1,1,0))))),IF(M622&gt;0,M622,ROUND((M623*AE622)/AE623,IF(N622=0,2,IF(N622=0.1,1,0))))),2))</f>
        <v>10.45</v>
      </c>
      <c r="P622" s="154">
        <f>IF(OR(L622="",O622=""),"",IF($C622="1/2W",O622/2+O622/2*L622,IF($C622="1/2L",O622/2,IF(I622="Lay",(O622*(L622/(L622-1))-O622)*(1-_xlfn.XLOOKUP(K622,'Fevereiro 2023 - Valor Real'!A3:A15,'Fevereiro 2023 - Valor Real'!C3:C15,0))+O622,(O622*L622-O622)*(1-_xlfn.XLOOKUP(K622,'Fevereiro 2023 - Valor Real'!A3:A15,'Fevereiro 2023 - Valor Real'!C3:C15,0))+O622))))</f>
        <v>17.451499999999999</v>
      </c>
      <c r="Q622" s="155">
        <f>IF(K622="","",IF(_xlfn.XLOOKUP(K622,K$9:K614,$DJ$9:DJ614,0,,-1)=DJ622,_xlfn.XLOOKUP(K622,K$9:K614,Q$9:Q614,1,,-1)+1,1))</f>
        <v>1</v>
      </c>
      <c r="R622" s="156">
        <f>IF(K622="","",_xlfn.XLOOKUP(K622,K$9:K614,R$9:R614,0,,-1)+IF($C622=" ",1,0))</f>
        <v>0</v>
      </c>
      <c r="S622" s="501">
        <f>IF($B622="Anulado",0,ROUND(IF(OR($B622="LOSS",$B622="OK"),IF(OR($C622="W",$C622="1/2W",$C622="1/2L"),P622-O622,IF($C622="L",-O622,0))+IF(OR($C623="W",$C623="1/2W",$C623="1/2L"),P623-O623,IF($C623="L",-O623,0))+IF(OR($C624="W",$C624="1/2W",$C624="1/2L"),P624-O624,IF($C624="L",-O624,0)),IF(AND(OR($C622="W",$C622="1/2W",$C622="1/2L"),C623="W"),P622+P623-SUM(O622:O624)+_xlfn.XLOOKUP("X",C622:C624,O622:O624,0),IF(AND(C622=TRUE,C624="W"),P622+P624-SUM(O622:O624),IF(AND(C623="W",C624="W"),P623+P624-SUM(O622:O624)+_xlfn.XLOOKUP("X",C622:C624,O622:O624,0),IF(L624&gt;0,IF(OR($C622="W",$C622="1/2W",$C622="1/2L"),P622-SUM(O622:O624)+_xlfn.XLOOKUP("X",C622:C624,O622:O624,0),IF(OR($C622="W",$C622="1/2W",$C622="1/2L"),P623-SUM(O622:O624)+_xlfn.XLOOKUP("X",C622:C624,O622:O624,0),IF(OR($C622="W",$C622="1/2W",$C622="1/2L"),P624-SUM(O622:O624)+_xlfn.XLOOKUP("X",C622:C624,O622:O624,0),IF(SUM(P622:P624)/3-SUM(O622:O624)+_xlfn.XLOOKUP("X",C622:C624,O622:O624,0)&gt;0,SUM(P622:P624)/3-SUM(O622:O624)+_xlfn.XLOOKUP("X",C622:C624,O622:O624,0),LARGE(P622:P624,1)-SUM(O622:O624))))),IF(OR($C622="W",$C622="1/2W",$C622="1/2L"),P622-SUM(O622:O623)+_xlfn.XLOOKUP("X",C622:C624,O622:O624,0),IF(OR($C622="W",$C622="1/2W",$C622="1/2L"),P623-SUM(O622:O623)+_xlfn.XLOOKUP("X",C622:C624,O622:O624,0),SUM(P622:P623)/2-SUM(O622:O623)+_xlfn.XLOOKUP("X",C622:C624,O622:O624,0)))))))),2))</f>
        <v>1.37</v>
      </c>
      <c r="T622" s="486">
        <f>IF(S622=0,0,S622/SUM(O622:O624))</f>
        <v>8.5199004975124393E-2</v>
      </c>
      <c r="U622" s="496">
        <f>IF($D622=$D619,IF(OR($B622="LOSS",$B622="OK",$B622="Anulada"),S622,0)+U619,IF(OR($B622="LOSS",$B622="OK",$B622="Anulada"),S622,0))</f>
        <v>14.98</v>
      </c>
      <c r="V622" s="496">
        <f>IF($D622="",0,IF($D622=$D619,IF($B622=" ",IF(I624="",IF(OR(AND(I622="DNB1",I623="DNB2"),AND(OR(I622="DNB1",I622="DNB2"),J623=0),AND(OR(I623="DNB1",I623="DNB2"),J622=0),AND(I622="DNB2",I623="DNB1"),AND(IF(J622=0,(J622+1)/ROUND(J622+1,0),J622/ROUND(J622,0))=1,IF(J623=0,(J623+1)/ROUND(IF(J623="",0,J623)+1,0),IF(J623="",0,J623)/ROUND(IF(J623="",1,J623),0))=1,OR(J622&lt;&gt;""),J623&lt;&gt;"")),0,IF(S622&lt;0,IF(I624="",SMALL(P622:P623,1)-SUM(O622:O623),0),SMALL(P622:P623,1)-SUM(O622:O623))),IF(S622&lt;0,IF(I624="",SMALL(P622:P624,1)-SUM(O622:O624),0),LARGE(P622:P624,1)-SUM(O622:O624))),S622)+V619,IF(I624="",IF(OR(AND(I622="DNB1",I623="DNB2"),AND(OR(I622="DNB1",I622="DNB2"),J623=0),AND(OR(I623="DNB1",I623="DNB2"),J622=0),AND(I622="DNB2",I623="DNB1"),AND(IF(J622=0,(J622+1)/ROUND(J622+1,0),J622/ROUND(J622,0))=1,IF(J623=0,(IF(J623="",0,J623)+1)/ROUND(IF(J623="",0,J623)+1,0),IF(J623="",0,J623)/ROUND(IF(J623="",0,J623)+1,0))=1,OR(J622&lt;&gt;""),J623&lt;&gt;"")),0,IF(S622&lt;0,IF(I624="",SMALL(P622:P623,1)-SUM(O622:O623),0),SMALL(P622:P624,1)-SUM(O622:O624))),IF(S622&lt;0,IF(I624="",SMALL(P622:P624,1)-SUM(O622:O624),0),LARGE(P622:P624,1)-SUM(O622:O624)))))</f>
        <v>14.977999999999994</v>
      </c>
      <c r="W622" s="496">
        <f>IF($D622=$D619,IF(S622&lt;0,IF(I624="",S622,0),S622)+W619,S622)</f>
        <v>14.98</v>
      </c>
      <c r="X622" s="505" t="str">
        <f>IF(OR(SUM(R622:R624)=0,V622=W622),ROUND(IF(W622=0,0,W622/Y622)*100,2)&amp;"%",ROUND(IF(V622=0,0,V622/Y622)*100,2)&amp;"% a "&amp;ROUND(IF(W622=0,0,W622/Y622)*100,2)&amp;"%")</f>
        <v>12,55%</v>
      </c>
      <c r="Y622" s="497">
        <f>IF($D622=$D619,Y619+SUM(O622:O624),SUM(O622:O624))</f>
        <v>119.39</v>
      </c>
      <c r="Z622" s="496">
        <f>IF($B622=" ",SUM(O622:O624),0)+Z619</f>
        <v>0</v>
      </c>
      <c r="AA622" s="496">
        <f>IF(G622="","",IF($B622="Anulado",LARGE(P622:P624,1)-SUM(O622:O624)+AA619,AA619))</f>
        <v>12.425099999999992</v>
      </c>
      <c r="AB622" s="496">
        <f>IF($D622="","",AB619+S622)</f>
        <v>692.61000000000047</v>
      </c>
      <c r="AC622" s="499">
        <f ca="1">IF($D622="","",IF($B622=" ",IF(DAY(G622)=DAY(TODAY()),1+AC619,0+AC619),0+AC619))</f>
        <v>0</v>
      </c>
      <c r="AD622" s="157">
        <f>(1-_xlfn.XLOOKUP(K620,'Fevereiro 2023 - Valor Real'!A3:A15,'Fevereiro 2023 - Valor Real'!C3:C15,0))+1</f>
        <v>2</v>
      </c>
      <c r="AE622" s="158">
        <f>IF(L622="","",IF(L624&gt;0,(SUM(((L622-1)*(1-_xlfn.XLOOKUP(K622,'Fevereiro 2023 - Valor Real'!A3:A15,'Fevereiro 2023 - Valor Real'!C3:C15,0))+1),((L623-1)*(1-_xlfn.XLOOKUP(K623,'Fevereiro 2023 - Valor Real'!A3:A15,'Fevereiro 2023 - Valor Real'!C3:C15,0))+1),((L624-1)*(1-_xlfn.XLOOKUP(K624,'Fevereiro 2023 - Valor Real'!A3:A15,'Fevereiro 2023 - Valor Real'!C3:C15,0))+1))/((L622-1)*(1-_xlfn.XLOOKUP(K622,'Fevereiro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Real'!C3:C15,0))+1))/((L622-1)*(1-_xlfn.XLOOKUP(K622,'Fevereiro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Real'!C3:C15,0))+1))/((L623-1)*(1-_xlfn.XLOOKUP(K623,'Fevereiro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Real'!C3:C15,0))+1))/((L624-1)*(1-_xlfn.XLOOKUP(K624,'Fevereiro 2023 - Valor Real'!A3:A15,'Fevereiro 2023 - Valor Real'!C3:C15,0))+1)),IF(I622="Lay",IF(I623="Lay",((L623/(L623-1)-1)*(1-_xlfn.XLOOKUP(K623,'Fevereiro 2023 - Valor Real'!A3:A15,'Fevereiro 2023 - Valor Real'!C3:C15,0))+1)/(((L623/(L623-1)-1)*(1-_xlfn.XLOOKUP(K623,'Fevereiro 2023 - Valor Real'!A3:A15,'Fevereiro 2023 - Valor Real'!C3:C15,0))+1)+((L622/(L622-1)-1)*(1-_xlfn.XLOOKUP(K622,'Fevereiro 2023 - Valor Real'!A3:A15,'Fevereiro 2023 - Valor Real'!C3:C15,0))+1)),((L623-1)*(1-_xlfn.XLOOKUP(K623,'Fevereiro 2023 - Valor Real'!A3:A15,'Fevereiro 2023 - Valor Real'!C3:C15,0))+1)/(((L623-1)*(1-_xlfn.XLOOKUP(K623,'Fevereiro 2023 - Valor Real'!A3:A15,'Fevereiro 2023 - Valor Real'!C3:C15,0))+1)+((L622/(L622-1)-1)*(1-_xlfn.XLOOKUP(K622,'Fevereiro 2023 - Valor Real'!A3:A15,'Fevereiro 2023 - Valor Real'!C3:C15,0))+1))),IF(I623="Lay",(((L623/(L623-1)-1)*(1-_xlfn.XLOOKUP(K623,'Fevereiro 2023 - Valor Real'!A3:A15,'Fevereiro 2023 - Valor Real'!C3:C15,0))+1))/(((L622-1)*(1-_xlfn.XLOOKUP(K622,'Fevereiro 2023 - Valor Real'!A3:A15,'Fevereiro 2023 - Valor Real'!C3:C15,0))+1)+((L623/(L623-1)-1)*(1-_xlfn.XLOOKUP(K623,'Fevereiro 2023 - Valor Real'!A3:A15,'Fevereiro 2023 - Valor Real'!C3:C15,0))+1)),((L623-1)*(1-_xlfn.XLOOKUP(K623,'Fevereiro 2023 - Valor Real'!A3:A15,'Fevereiro 2023 - Valor Real'!C3:C15,0))+1)/(((L623-1)*(1-_xlfn.XLOOKUP(K623,'Fevereiro 2023 - Valor Real'!A3:A15,'Fevereiro 2023 - Valor Real'!C3:C15,0))+1)+((L622-1)*(1-_xlfn.XLOOKUP(K622,'Fevereiro 2023 - Valor Real'!A3:A15,'Fevereiro 2023 - Valor Real'!C3:C15,0))+1))))))</f>
        <v>0.6498951781970651</v>
      </c>
      <c r="AF622" s="66">
        <f t="shared" si="1236"/>
        <v>0</v>
      </c>
      <c r="AG622" s="67">
        <f t="shared" si="1236"/>
        <v>0</v>
      </c>
      <c r="AH622" s="67">
        <f t="shared" si="1236"/>
        <v>0</v>
      </c>
      <c r="AI622" s="67">
        <f t="shared" si="1236"/>
        <v>0</v>
      </c>
      <c r="AJ622" s="67">
        <f t="shared" si="1236"/>
        <v>-10.45</v>
      </c>
      <c r="AK622" s="67">
        <f t="shared" si="1236"/>
        <v>0</v>
      </c>
      <c r="AL622" s="67">
        <f t="shared" si="1236"/>
        <v>0</v>
      </c>
      <c r="AM622" s="67">
        <f t="shared" si="1236"/>
        <v>0</v>
      </c>
      <c r="AN622" s="67">
        <f t="shared" si="1236"/>
        <v>0</v>
      </c>
      <c r="AO622" s="67">
        <f t="shared" si="1236"/>
        <v>0</v>
      </c>
      <c r="AP622" s="67">
        <f t="shared" si="1236"/>
        <v>0</v>
      </c>
      <c r="AQ622" s="67">
        <f t="shared" si="1236"/>
        <v>0</v>
      </c>
      <c r="AR622" s="68">
        <f t="shared" si="1236"/>
        <v>0</v>
      </c>
      <c r="AS622" s="66">
        <f t="shared" ref="AS622:BE622" si="1248">IF(AND($B622=" ",$K622=AS$3),$O622,0)</f>
        <v>0</v>
      </c>
      <c r="AT622" s="67">
        <f t="shared" si="1248"/>
        <v>0</v>
      </c>
      <c r="AU622" s="67">
        <f t="shared" si="1248"/>
        <v>0</v>
      </c>
      <c r="AV622" s="67">
        <f t="shared" si="1248"/>
        <v>0</v>
      </c>
      <c r="AW622" s="67">
        <f t="shared" si="1248"/>
        <v>0</v>
      </c>
      <c r="AX622" s="67">
        <f t="shared" si="1248"/>
        <v>0</v>
      </c>
      <c r="AY622" s="69">
        <f t="shared" si="1248"/>
        <v>0</v>
      </c>
      <c r="AZ622" s="70">
        <f t="shared" si="1248"/>
        <v>0</v>
      </c>
      <c r="BA622" s="70">
        <f t="shared" si="1248"/>
        <v>0</v>
      </c>
      <c r="BB622" s="70">
        <f t="shared" si="1248"/>
        <v>0</v>
      </c>
      <c r="BC622" s="71">
        <f t="shared" si="1248"/>
        <v>0</v>
      </c>
      <c r="BD622" s="67">
        <f t="shared" si="1248"/>
        <v>0</v>
      </c>
      <c r="BE622" s="68">
        <f t="shared" si="1248"/>
        <v>0</v>
      </c>
      <c r="BF622" s="66">
        <f t="shared" si="1238"/>
        <v>0</v>
      </c>
      <c r="BG622" s="67">
        <f t="shared" si="1238"/>
        <v>0</v>
      </c>
      <c r="BH622" s="67">
        <f t="shared" si="1238"/>
        <v>0</v>
      </c>
      <c r="BI622" s="67">
        <f t="shared" si="1238"/>
        <v>0</v>
      </c>
      <c r="BJ622" s="67">
        <f t="shared" si="1238"/>
        <v>10.45</v>
      </c>
      <c r="BK622" s="67">
        <f t="shared" si="1238"/>
        <v>0</v>
      </c>
      <c r="BL622" s="67">
        <f t="shared" si="1238"/>
        <v>0</v>
      </c>
      <c r="BM622" s="69">
        <f t="shared" si="1238"/>
        <v>0</v>
      </c>
      <c r="BN622" s="70">
        <f t="shared" si="1238"/>
        <v>0</v>
      </c>
      <c r="BO622" s="70">
        <f t="shared" si="1238"/>
        <v>0</v>
      </c>
      <c r="BP622" s="70">
        <f t="shared" si="1238"/>
        <v>0</v>
      </c>
      <c r="BQ622" s="71">
        <f t="shared" si="1238"/>
        <v>0</v>
      </c>
      <c r="BR622" s="68">
        <f t="shared" si="1238"/>
        <v>0</v>
      </c>
      <c r="BS622" s="490">
        <f>IF($B622="LOSS",IF(AND($K622=BS$3,$C622="L"),-$O622,0)+IF(AND($K623=BS$3,$C623="L"),-$O623,0)+IF(AND($K624=BS$3,$C624="L"),-$O624,0),IF(OR(AND($K622=BS$3,OR($C622="W",$C622="1/2W")),AND($K623=BS$3,OR($C623="W",$C623="1/2W")),AND($K624=BS$3,OR($C624="W",$C624="1/2W"))),$S622,0))</f>
        <v>0</v>
      </c>
      <c r="BT622" s="498">
        <f>IF($B622="LOSS",IF(AND($K622=BT$3,$C622="L"),-$O622,0)+IF(AND($K623=BT$3,$C623="L"),-$O623,0)+IF(AND($K623=BT$3,$C624="L"),-$O624,0),IF(OR(AND($K623=BT$3,OR($C622="W",$C622="1/2W")),AND($K623=BT$3,OR($C623="W",$C623="1/2W")),AND($K623=BT$3,OR($C624="W",$C624="1/2W"))),$S622,0))</f>
        <v>0</v>
      </c>
      <c r="BU622" s="488">
        <f>IF($B622="LOSS",IF(AND($K622=BU$3,$C622="L"),-$O622,0)+IF(AND($K623=BU$3,$C623="L"),-$O623,0)+IF(AND($K623=BU$3,$C624="L"),-$O624,0),IF(OR(AND($K623=BU$3,OR($C622="W",$C622="1/2W")),AND($K623=BU$3,OR($C623="W",$C623="1/2W")),AND($K623=BU$3,OR($C624="W",$C624="1/2W"))),$S622,0))</f>
        <v>0</v>
      </c>
      <c r="BV622" s="488">
        <f t="shared" ref="BV622:CE622" si="1249">IF($B622="LOSS",IF(AND($K622=BV$3,$C622="L"),-$O622,0)+IF(AND($K623=BV$3,$C623="L"),-$O623,0)+IF(AND($K624=BV$3,$C624="L"),-$O624,0),IF(OR(AND($K622=BV$3,OR($C622="W",$C622="1/2W")),AND($K623=BV$3,OR($C623="W",$C623="1/2W")),AND($K624=BV$3,OR($C624="W",$C624="1/2W"))),$S622,0))</f>
        <v>1.37</v>
      </c>
      <c r="BW622" s="488">
        <f t="shared" si="1249"/>
        <v>0</v>
      </c>
      <c r="BX622" s="488">
        <f t="shared" si="1249"/>
        <v>0</v>
      </c>
      <c r="BY622" s="488">
        <f t="shared" si="1249"/>
        <v>0</v>
      </c>
      <c r="BZ622" s="488">
        <f t="shared" si="1249"/>
        <v>0</v>
      </c>
      <c r="CA622" s="488">
        <f t="shared" si="1249"/>
        <v>0</v>
      </c>
      <c r="CB622" s="488">
        <f t="shared" si="1249"/>
        <v>0</v>
      </c>
      <c r="CC622" s="488">
        <f t="shared" si="1249"/>
        <v>0</v>
      </c>
      <c r="CD622" s="500">
        <f t="shared" si="1249"/>
        <v>0</v>
      </c>
      <c r="CE622" s="504">
        <f t="shared" si="1249"/>
        <v>0</v>
      </c>
      <c r="CF622" s="160">
        <f t="shared" si="1156"/>
        <v>0</v>
      </c>
      <c r="CG622" s="161">
        <f t="shared" si="1157"/>
        <v>0</v>
      </c>
      <c r="CH622" s="161">
        <f t="shared" si="1158"/>
        <v>0</v>
      </c>
      <c r="CI622" s="161">
        <f t="shared" si="1159"/>
        <v>0</v>
      </c>
      <c r="CJ622" s="161">
        <f t="shared" si="1160"/>
        <v>0</v>
      </c>
      <c r="CK622" s="161">
        <f t="shared" si="1161"/>
        <v>0</v>
      </c>
      <c r="CL622" s="161">
        <f t="shared" si="1162"/>
        <v>0</v>
      </c>
      <c r="CM622" s="161">
        <f t="shared" si="1163"/>
        <v>0</v>
      </c>
      <c r="CN622" s="161">
        <f t="shared" si="1164"/>
        <v>0</v>
      </c>
      <c r="CO622" s="161">
        <f t="shared" si="1165"/>
        <v>1</v>
      </c>
      <c r="CP622" s="161">
        <f t="shared" si="1166"/>
        <v>0</v>
      </c>
      <c r="CQ622" s="161">
        <f t="shared" si="1167"/>
        <v>0</v>
      </c>
      <c r="CR622" s="161">
        <f t="shared" si="1168"/>
        <v>0</v>
      </c>
      <c r="CS622" s="161">
        <f t="shared" si="1169"/>
        <v>0</v>
      </c>
      <c r="CT622" s="75">
        <f t="shared" si="1170"/>
        <v>0</v>
      </c>
      <c r="CU622" s="76">
        <f t="shared" si="1171"/>
        <v>0</v>
      </c>
      <c r="CV622" s="76">
        <f t="shared" si="1172"/>
        <v>0</v>
      </c>
      <c r="CW622" s="76">
        <f t="shared" si="1173"/>
        <v>0</v>
      </c>
      <c r="CX622" s="76">
        <f t="shared" si="1174"/>
        <v>0</v>
      </c>
      <c r="CY622" s="76">
        <f t="shared" si="1175"/>
        <v>0</v>
      </c>
      <c r="CZ622" s="76">
        <f t="shared" si="1176"/>
        <v>0</v>
      </c>
      <c r="DA622" s="76">
        <f t="shared" si="1177"/>
        <v>0</v>
      </c>
      <c r="DB622" s="76">
        <f t="shared" si="1178"/>
        <v>0</v>
      </c>
      <c r="DC622" s="76">
        <f t="shared" si="1179"/>
        <v>0</v>
      </c>
      <c r="DD622" s="76">
        <f t="shared" si="1180"/>
        <v>0</v>
      </c>
      <c r="DE622" s="77">
        <f t="shared" si="1181"/>
        <v>0</v>
      </c>
      <c r="DF622" s="73">
        <f t="shared" si="1183"/>
        <v>36</v>
      </c>
      <c r="DG622" s="67">
        <f t="shared" si="1184"/>
        <v>47.227999999999994</v>
      </c>
      <c r="DH622" s="76">
        <f t="shared" si="1185"/>
        <v>14</v>
      </c>
      <c r="DI622" s="67">
        <f t="shared" si="1186"/>
        <v>60.05</v>
      </c>
      <c r="DJ622" s="202" t="str">
        <f>IF($D622="","",$D622)</f>
        <v>21</v>
      </c>
      <c r="DK622" s="492">
        <f>IF(AND($B622=" ",$D622&lt;&gt;""),1,0)</f>
        <v>0</v>
      </c>
    </row>
    <row r="623" spans="1:115" ht="14.5" customHeight="1" x14ac:dyDescent="0.2">
      <c r="A623" s="389"/>
      <c r="B623" s="456"/>
      <c r="C623" s="53" t="s">
        <v>54</v>
      </c>
      <c r="D623" s="374"/>
      <c r="E623" s="386"/>
      <c r="F623" s="377"/>
      <c r="G623" s="508"/>
      <c r="H623" s="476"/>
      <c r="I623" s="182" t="s">
        <v>66</v>
      </c>
      <c r="J623" s="56">
        <f>IF(OR(I622="TO",I622="TU",I622="TO1",I622="TU1",I622="TO2",I622="TU2"),J622,IF(OR(I622="AH1",I622="AH2"),IF(OR(I623="AH1",I623="AH2"),-J622,IF(OR(I623="EH1",I623="EH2"),-J622+0.5,"")),IF(OR(I622="EH1",I622="EH2"),IF(OR(I623="AH1",I623="AH2"),-J622+0.5,IF(OR(I623="EH1",I623="EH2"),-J622+1,"")),IF(AND(OR(I622="DNB1",I622="DNB2"),OR(I623="AH1",I623="AH2")),0,IF(AND(I622="Not ScoreBoth",OR(I623="TO1",I623="TO2")),0.5,"")))))</f>
        <v>1.5</v>
      </c>
      <c r="K623" s="57" t="s">
        <v>39</v>
      </c>
      <c r="L623" s="164">
        <v>3.1</v>
      </c>
      <c r="M623" s="165">
        <v>5.63</v>
      </c>
      <c r="N623" s="406"/>
      <c r="O623" s="60">
        <f>IF(OR(AE622="",AE623=""),"",ROUND(IF(L624&gt;0,IF(M623&gt;0,M623,IF(M622&gt;0,IF(N622=TRUE,ROUND((M622*AE623)/AE622,0),(M622*AE623)/AE622),IF(M623&gt;0,ROUND(M623,IF(N622=0,2,IF(N622=0.1,1,0))),IF(M624&gt;0,ROUND(O624*AE623/AE624,IF(N622=0,2,IF(N622=0.1,1,0))),0)))),IF(M623&gt;0,M623,ROUND((M622*AE623)/AE622,IF(N622=0,2,IF(N622=0.1,1,0))))),2))</f>
        <v>5.63</v>
      </c>
      <c r="P623" s="61">
        <f>IF(OR(L623="",O623=""),"",IF($C623="1/2W",O623/2+O623/2*L623,IF($C623="1/2L",O623/2,IF(I623="Lay",((O623*(L623/(L623-1)))-O623)*(1-_xlfn.XLOOKUP(K623,'Fevereiro 2023 - Valor Real'!A3:A15,'Fevereiro 2023 - Valor Real'!C3:C15,0))+O623,(O623*L623-O623)*(1-_xlfn.XLOOKUP(K623,'Fevereiro 2023 - Valor Real'!A3:A15,'Fevereiro 2023 - Valor Real'!C3:C15,0))+O623))))</f>
        <v>17.452999999999999</v>
      </c>
      <c r="Q623" s="166">
        <f>IF(K623="","",IF(_xlfn.XLOOKUP(K623,K$10:K614,$DJ$10:DJ614,0,,-1)=DJ623,_xlfn.XLOOKUP(K623,K$10:K614,Q$10:Q614,1,,-1)+1,1))</f>
        <v>1</v>
      </c>
      <c r="R623" s="167">
        <f>IF(K623="","",_xlfn.XLOOKUP(K623,K$10:K614,R$10:R614,0,,-1)+IF($C623=" ",1,0))</f>
        <v>0</v>
      </c>
      <c r="S623" s="403"/>
      <c r="T623" s="380"/>
      <c r="U623" s="380"/>
      <c r="V623" s="481"/>
      <c r="W623" s="380"/>
      <c r="X623" s="452"/>
      <c r="Y623" s="383"/>
      <c r="Z623" s="384"/>
      <c r="AA623" s="384"/>
      <c r="AB623" s="384"/>
      <c r="AC623" s="384"/>
      <c r="AD623" s="64"/>
      <c r="AE623" s="65">
        <f>IF(L623="","",IF(L624&gt;0,(SUM(((L622-1)*(1-_xlfn.XLOOKUP(K622,'Fevereiro 2023 - Valor Real'!A3:A15,'Fevereiro 2023 - Valor Real'!C3:C15,0))+1),((L623-1)*(1-_xlfn.XLOOKUP(K623,'Fevereiro 2023 - Valor Real'!A3:A15,'Fevereiro 2023 - Valor Real'!C3:C15,0))+1),((L624-1)*(1-_xlfn.XLOOKUP(K624,'Fevereiro 2023 - Valor Real'!A3:A15,'Fevereiro 2023 - Valor Real'!C3:C15,0))+1))/((L623-1)*(1-_xlfn.XLOOKUP(K623,'Fevereiro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Real'!C3:C15,0))+1))/((L622-1)*(1-_xlfn.XLOOKUP(K622,'Fevereiro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Real'!C3:C15,0))+1))/((L623-1)*(1-_xlfn.XLOOKUP(K623,'Fevereiro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Real'!C3:C15,0))+1))/((L624-1)*(1-_xlfn.XLOOKUP(K624,'Fevereiro 2023 - Valor Real'!A3:A15,'Fevereiro 2023 - Valor Real'!C3:C15,0))+1)),IF(I623="Lay",IF(I622="Lay",((L622/(L622-1)-1)*(1-_xlfn.XLOOKUP(K622,'Fevereiro 2023 - Valor Real'!A3:A15,'Fevereiro 2023 - Valor Real'!C3:C15,0))+1)/(((L622/(L622-1)-1)*(1-_xlfn.XLOOKUP(K622,'Fevereiro 2023 - Valor Real'!A3:A15,'Fevereiro 2023 - Valor Real'!C3:C15,0))+1)+((L623/(L623-1)-1)*(1-_xlfn.XLOOKUP(K623,'Fevereiro 2023 - Valor Real'!A3:A15,'Fevereiro 2023 - Valor Real'!C3:C15,0))+1)),((L622-1)*(1-_xlfn.XLOOKUP(K622,'Fevereiro 2023 - Valor Real'!A3:A15,'Fevereiro 2023 - Valor Real'!C3:C15,0))+1)/(((L622-1)*(1-_xlfn.XLOOKUP(K622,'Fevereiro 2023 - Valor Real'!A3:A15,'Fevereiro 2023 - Valor Real'!C3:C15,0))+1)+((L623/(L623-1)-1)*(1-_xlfn.XLOOKUP(K623,'Fevereiro 2023 - Valor Real'!A3:A15,'Fevereiro 2023 - Valor Real'!C3:C15,0))+1))),IF(I622="Lay",((L622/(L622-1)-1)*(1-_xlfn.XLOOKUP(K622,'Fevereiro 2023 - Valor Real'!A3:A15,'Fevereiro 2023 - Valor Real'!C3:C15,0))+1)/((((L622/(L622-1)-1)*(1-_xlfn.XLOOKUP(K622,'Fevereiro 2023 - Valor Real'!A3:A15,'Fevereiro 2023 - Valor Real'!C3:C15,0))+1))+((L623-1)*(1-_xlfn.XLOOKUP(K623,'Fevereiro 2023 - Valor Real'!A3:A15,'Fevereiro 2023 - Valor Real'!C3:C15,0))+1)),((L622-1)*(1-_xlfn.XLOOKUP(K622,'Fevereiro 2023 - Valor Real'!A3:A15,'Fevereiro 2023 - Valor Real'!C3:C15,0))+1)/(((L622-1)*(1-_xlfn.XLOOKUP(K622,'Fevereiro 2023 - Valor Real'!A3:A15,'Fevereiro 2023 - Valor Real'!C3:C15,0))+1)+((L623-1)*(1-_xlfn.XLOOKUP(K623,'Fevereiro 2023 - Valor Real'!A3:A15,'Fevereiro 2023 - Valor Real'!C3:C15,0))+1))))))</f>
        <v>0.35010482180293501</v>
      </c>
      <c r="AF623" s="66">
        <f t="shared" si="1236"/>
        <v>0</v>
      </c>
      <c r="AG623" s="67">
        <f t="shared" si="1236"/>
        <v>0</v>
      </c>
      <c r="AH623" s="67">
        <f t="shared" si="1236"/>
        <v>0</v>
      </c>
      <c r="AI623" s="67">
        <f t="shared" si="1236"/>
        <v>11.82</v>
      </c>
      <c r="AJ623" s="67">
        <f t="shared" si="1236"/>
        <v>0</v>
      </c>
      <c r="AK623" s="67">
        <f t="shared" si="1236"/>
        <v>0</v>
      </c>
      <c r="AL623" s="67">
        <f t="shared" si="1236"/>
        <v>0</v>
      </c>
      <c r="AM623" s="67">
        <f t="shared" si="1236"/>
        <v>0</v>
      </c>
      <c r="AN623" s="67">
        <f t="shared" si="1236"/>
        <v>0</v>
      </c>
      <c r="AO623" s="67">
        <f t="shared" si="1236"/>
        <v>0</v>
      </c>
      <c r="AP623" s="67">
        <f t="shared" si="1236"/>
        <v>0</v>
      </c>
      <c r="AQ623" s="67">
        <f t="shared" si="1236"/>
        <v>0</v>
      </c>
      <c r="AR623" s="68">
        <f t="shared" si="1236"/>
        <v>0</v>
      </c>
      <c r="AS623" s="66">
        <f>IF(AND($B622=" ",$K623=AS$3),$O623,0)</f>
        <v>0</v>
      </c>
      <c r="AT623" s="67">
        <f>IF(AND($B622=" ",K623=AT$3),$O623,0)</f>
        <v>0</v>
      </c>
      <c r="AU623" s="67">
        <f t="shared" ref="AU623:BE623" si="1250">IF(AND($B622=" ",$K623=AU$3),$O623,0)</f>
        <v>0</v>
      </c>
      <c r="AV623" s="67">
        <f t="shared" si="1250"/>
        <v>0</v>
      </c>
      <c r="AW623" s="67">
        <f t="shared" si="1250"/>
        <v>0</v>
      </c>
      <c r="AX623" s="67">
        <f t="shared" si="1250"/>
        <v>0</v>
      </c>
      <c r="AY623" s="69">
        <f t="shared" si="1250"/>
        <v>0</v>
      </c>
      <c r="AZ623" s="70">
        <f t="shared" si="1250"/>
        <v>0</v>
      </c>
      <c r="BA623" s="70">
        <f t="shared" si="1250"/>
        <v>0</v>
      </c>
      <c r="BB623" s="70">
        <f t="shared" si="1250"/>
        <v>0</v>
      </c>
      <c r="BC623" s="71">
        <f t="shared" si="1250"/>
        <v>0</v>
      </c>
      <c r="BD623" s="67">
        <f t="shared" si="1250"/>
        <v>0</v>
      </c>
      <c r="BE623" s="68">
        <f t="shared" si="1250"/>
        <v>0</v>
      </c>
      <c r="BF623" s="66">
        <f t="shared" si="1238"/>
        <v>0</v>
      </c>
      <c r="BG623" s="168">
        <f t="shared" si="1238"/>
        <v>0</v>
      </c>
      <c r="BH623" s="67">
        <f t="shared" si="1238"/>
        <v>0</v>
      </c>
      <c r="BI623" s="67">
        <f t="shared" si="1238"/>
        <v>5.63</v>
      </c>
      <c r="BJ623" s="67">
        <f t="shared" si="1238"/>
        <v>0</v>
      </c>
      <c r="BK623" s="67">
        <f t="shared" si="1238"/>
        <v>0</v>
      </c>
      <c r="BL623" s="67">
        <f t="shared" si="1238"/>
        <v>0</v>
      </c>
      <c r="BM623" s="69">
        <f t="shared" si="1238"/>
        <v>0</v>
      </c>
      <c r="BN623" s="70">
        <f t="shared" si="1238"/>
        <v>0</v>
      </c>
      <c r="BO623" s="70">
        <f t="shared" si="1238"/>
        <v>0</v>
      </c>
      <c r="BP623" s="70">
        <f t="shared" si="1238"/>
        <v>0</v>
      </c>
      <c r="BQ623" s="71">
        <f t="shared" si="1238"/>
        <v>0</v>
      </c>
      <c r="BR623" s="68">
        <f t="shared" si="1238"/>
        <v>0</v>
      </c>
      <c r="BS623" s="491"/>
      <c r="BT623" s="489"/>
      <c r="BU623" s="392"/>
      <c r="BV623" s="489"/>
      <c r="BW623" s="392"/>
      <c r="BX623" s="392"/>
      <c r="BY623" s="392"/>
      <c r="BZ623" s="489"/>
      <c r="CA623" s="392"/>
      <c r="CB623" s="392"/>
      <c r="CC623" s="392"/>
      <c r="CD623" s="401"/>
      <c r="CE623" s="409"/>
      <c r="CF623" s="169">
        <f t="shared" si="1156"/>
        <v>0</v>
      </c>
      <c r="CG623" s="170">
        <f t="shared" si="1157"/>
        <v>0</v>
      </c>
      <c r="CH623" s="170">
        <f t="shared" si="1158"/>
        <v>0</v>
      </c>
      <c r="CI623" s="170">
        <f t="shared" si="1159"/>
        <v>0</v>
      </c>
      <c r="CJ623" s="170">
        <f t="shared" si="1160"/>
        <v>0</v>
      </c>
      <c r="CK623" s="170">
        <f t="shared" si="1161"/>
        <v>0</v>
      </c>
      <c r="CL623" s="170">
        <f t="shared" si="1162"/>
        <v>1</v>
      </c>
      <c r="CM623" s="170">
        <f t="shared" si="1163"/>
        <v>0</v>
      </c>
      <c r="CN623" s="170">
        <f t="shared" si="1164"/>
        <v>0</v>
      </c>
      <c r="CO623" s="170">
        <f t="shared" si="1165"/>
        <v>0</v>
      </c>
      <c r="CP623" s="170">
        <f t="shared" si="1166"/>
        <v>0</v>
      </c>
      <c r="CQ623" s="170">
        <f t="shared" si="1167"/>
        <v>0</v>
      </c>
      <c r="CR623" s="170">
        <f t="shared" si="1168"/>
        <v>0</v>
      </c>
      <c r="CS623" s="170">
        <f t="shared" si="1169"/>
        <v>0</v>
      </c>
      <c r="CT623" s="75">
        <f t="shared" si="1170"/>
        <v>0</v>
      </c>
      <c r="CU623" s="76">
        <f t="shared" si="1171"/>
        <v>0</v>
      </c>
      <c r="CV623" s="76">
        <f t="shared" si="1172"/>
        <v>0</v>
      </c>
      <c r="CW623" s="76">
        <f t="shared" si="1173"/>
        <v>0</v>
      </c>
      <c r="CX623" s="76">
        <f t="shared" si="1174"/>
        <v>0</v>
      </c>
      <c r="CY623" s="76">
        <f t="shared" si="1175"/>
        <v>0</v>
      </c>
      <c r="CZ623" s="76">
        <f t="shared" si="1176"/>
        <v>0</v>
      </c>
      <c r="DA623" s="76">
        <f t="shared" si="1177"/>
        <v>0</v>
      </c>
      <c r="DB623" s="76">
        <f t="shared" si="1178"/>
        <v>0</v>
      </c>
      <c r="DC623" s="76">
        <f t="shared" si="1179"/>
        <v>0</v>
      </c>
      <c r="DD623" s="76">
        <f t="shared" si="1180"/>
        <v>0</v>
      </c>
      <c r="DE623" s="77">
        <f t="shared" si="1181"/>
        <v>0</v>
      </c>
      <c r="DF623" s="73">
        <f t="shared" si="1183"/>
        <v>36</v>
      </c>
      <c r="DG623" s="67">
        <f t="shared" si="1184"/>
        <v>47.227999999999994</v>
      </c>
      <c r="DH623" s="76">
        <f t="shared" si="1185"/>
        <v>14</v>
      </c>
      <c r="DI623" s="67">
        <f t="shared" si="1186"/>
        <v>60.05</v>
      </c>
      <c r="DJ623" s="202" t="str">
        <f>IF($D622="","",$D622)</f>
        <v>21</v>
      </c>
      <c r="DK623" s="493"/>
    </row>
    <row r="624" spans="1:115" ht="14.5" customHeight="1" x14ac:dyDescent="0.2">
      <c r="A624" s="390"/>
      <c r="B624" s="457"/>
      <c r="C624" s="79" t="s">
        <v>53</v>
      </c>
      <c r="D624" s="375"/>
      <c r="E624" s="387"/>
      <c r="F624" s="378"/>
      <c r="G624" s="508"/>
      <c r="H624" s="477"/>
      <c r="I624" s="171"/>
      <c r="J624" s="172"/>
      <c r="K624" s="81"/>
      <c r="L624" s="173"/>
      <c r="M624" s="174"/>
      <c r="N624" s="407"/>
      <c r="O624" s="86" t="str">
        <f>IF(OR(AE622="",AE623=""),"",IF(L624&gt;0,ROUND(IF(M624&gt;0,M624,IF(M622&gt;0,ROUND((M622*AE624)/AE622,IF(N622=0,2,IF(N622=0.1,1,0))),IF(M623&gt;0,ROUND((M623*AE624)/AE623,IF(N622=0,2,IF(N622=0.1,1,0))),IF(M624&gt;0,M624,0)))),2),""))</f>
        <v/>
      </c>
      <c r="P624" s="87" t="str">
        <f>IF(I623="Lay",O623*(L623/(L623-1))-O623,IF(I622="Lay",O622*(L622/(L622-1))-O622,IF(OR(L624="",O624=""),"",IF($C624="1/2W",O624/2+O624/2*L624,IF($C624="1/2L",O624/2,(O624*L624-O624)*(1-_xlfn.XLOOKUP(K624,'Fevereiro 2023 - Valor Real'!A3:A15,'Fevereiro 2023 - Valor Real'!C3:C15,0))+O624)))))</f>
        <v/>
      </c>
      <c r="Q624" s="54" t="str">
        <f>IF(K624="","",IF(_xlfn.XLOOKUP(K624,K$11:K614,$DJ$11:DJ614,0,,-1)=DJ624,_xlfn.XLOOKUP(K624,K$11:K614,Q$11:Q614,1,,-1)+1,1))</f>
        <v/>
      </c>
      <c r="R624" s="87" t="str">
        <f>IF(K624="","",_xlfn.XLOOKUP(K624,K$11:K614,R$11:R614,0,,-1)+IF($C624=" ",1,0))</f>
        <v/>
      </c>
      <c r="S624" s="404"/>
      <c r="T624" s="378"/>
      <c r="U624" s="378"/>
      <c r="V624" s="404"/>
      <c r="W624" s="378"/>
      <c r="X624" s="453"/>
      <c r="Y624" s="383"/>
      <c r="Z624" s="384"/>
      <c r="AA624" s="384"/>
      <c r="AB624" s="384"/>
      <c r="AC624" s="384"/>
      <c r="AD624" s="90"/>
      <c r="AE624" s="91" t="str">
        <f>IF(L624="","",(SUM(((L622-1)*(1-_xlfn.XLOOKUP(K622,'Fevereiro 2023 - Valor Real'!A3:A15,'Fevereiro 2023 - Valor Real'!C3:C15,0))+1),((L623-1)*(1-_xlfn.XLOOKUP(K623,'Fevereiro 2023 - Valor Real'!A3:A15,'Fevereiro 2023 - Valor Real'!C3:C15,0))+1),((L624-1)*(1-_xlfn.XLOOKUP(K624,'Fevereiro 2023 - Valor Real'!A3:A15,'Fevereiro 2023 - Valor Real'!C3:C15,0))+1))/((L624-1)*(1-_xlfn.XLOOKUP(K624,'Fevereiro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Real'!C3:C15,0))+1))/((L622-1)*(1-_xlfn.XLOOKUP(K622,'Fevereiro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Real'!C3:C15,0))+1))/((L623-1)*(1-_xlfn.XLOOKUP(K623,'Fevereiro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Real'!C3:C15,0))+1))/((L624-1)*(1-_xlfn.XLOOKUP(K624,'Fevereiro 2023 - Valor Real'!A3:A15,'Fevereiro 2023 - Valor Real'!C3:C15,0))+1)))</f>
        <v/>
      </c>
      <c r="AF624" s="66">
        <f t="shared" ref="AF624:AR633" si="1251">IF($K624=AF$3,ROUND(IF(OR($C624="W",$C624="1/2W",$C624="1/2L"),$P624-$O624,IF($C624="X",0,-$O624)),2),0)</f>
        <v>0</v>
      </c>
      <c r="AG624" s="67">
        <f t="shared" si="1251"/>
        <v>0</v>
      </c>
      <c r="AH624" s="67">
        <f t="shared" si="1251"/>
        <v>0</v>
      </c>
      <c r="AI624" s="67">
        <f t="shared" si="1251"/>
        <v>0</v>
      </c>
      <c r="AJ624" s="67">
        <f t="shared" si="1251"/>
        <v>0</v>
      </c>
      <c r="AK624" s="67">
        <f t="shared" si="1251"/>
        <v>0</v>
      </c>
      <c r="AL624" s="67">
        <f t="shared" si="1251"/>
        <v>0</v>
      </c>
      <c r="AM624" s="67">
        <f t="shared" si="1251"/>
        <v>0</v>
      </c>
      <c r="AN624" s="67">
        <f t="shared" si="1251"/>
        <v>0</v>
      </c>
      <c r="AO624" s="67">
        <f t="shared" si="1251"/>
        <v>0</v>
      </c>
      <c r="AP624" s="67">
        <f t="shared" si="1251"/>
        <v>0</v>
      </c>
      <c r="AQ624" s="67">
        <f t="shared" si="1251"/>
        <v>0</v>
      </c>
      <c r="AR624" s="68">
        <f t="shared" si="1251"/>
        <v>0</v>
      </c>
      <c r="AS624" s="66">
        <f>IF(AND($B622=" ",$K624=AS$3),$O624,0)</f>
        <v>0</v>
      </c>
      <c r="AT624" s="67">
        <f>IF(AND($B622=" ",K624=AT$3),$O624,0)</f>
        <v>0</v>
      </c>
      <c r="AU624" s="67">
        <f t="shared" ref="AU624:BE624" si="1252">IF(AND($B622=" ",$K624=AU$3),$O624,0)</f>
        <v>0</v>
      </c>
      <c r="AV624" s="67">
        <f t="shared" si="1252"/>
        <v>0</v>
      </c>
      <c r="AW624" s="67">
        <f t="shared" si="1252"/>
        <v>0</v>
      </c>
      <c r="AX624" s="67">
        <f t="shared" si="1252"/>
        <v>0</v>
      </c>
      <c r="AY624" s="69">
        <f t="shared" si="1252"/>
        <v>0</v>
      </c>
      <c r="AZ624" s="70">
        <f t="shared" si="1252"/>
        <v>0</v>
      </c>
      <c r="BA624" s="70">
        <f t="shared" si="1252"/>
        <v>0</v>
      </c>
      <c r="BB624" s="70">
        <f t="shared" si="1252"/>
        <v>0</v>
      </c>
      <c r="BC624" s="71">
        <f t="shared" si="1252"/>
        <v>0</v>
      </c>
      <c r="BD624" s="67">
        <f t="shared" si="1252"/>
        <v>0</v>
      </c>
      <c r="BE624" s="68">
        <f t="shared" si="1252"/>
        <v>0</v>
      </c>
      <c r="BF624" s="66">
        <f t="shared" ref="BF624:BR633" si="1253">IF($K624=BF$3,IF($C624="X",0,$O624),0)</f>
        <v>0</v>
      </c>
      <c r="BG624" s="168">
        <f t="shared" si="1253"/>
        <v>0</v>
      </c>
      <c r="BH624" s="67">
        <f t="shared" si="1253"/>
        <v>0</v>
      </c>
      <c r="BI624" s="67">
        <f t="shared" si="1253"/>
        <v>0</v>
      </c>
      <c r="BJ624" s="67">
        <f t="shared" si="1253"/>
        <v>0</v>
      </c>
      <c r="BK624" s="67">
        <f t="shared" si="1253"/>
        <v>0</v>
      </c>
      <c r="BL624" s="67">
        <f t="shared" si="1253"/>
        <v>0</v>
      </c>
      <c r="BM624" s="69">
        <f t="shared" si="1253"/>
        <v>0</v>
      </c>
      <c r="BN624" s="70">
        <f t="shared" si="1253"/>
        <v>0</v>
      </c>
      <c r="BO624" s="70">
        <f t="shared" si="1253"/>
        <v>0</v>
      </c>
      <c r="BP624" s="70">
        <f t="shared" si="1253"/>
        <v>0</v>
      </c>
      <c r="BQ624" s="71">
        <f t="shared" si="1253"/>
        <v>0</v>
      </c>
      <c r="BR624" s="68">
        <f t="shared" si="1253"/>
        <v>0</v>
      </c>
      <c r="BS624" s="491"/>
      <c r="BT624" s="489"/>
      <c r="BU624" s="392"/>
      <c r="BV624" s="489"/>
      <c r="BW624" s="392"/>
      <c r="BX624" s="392"/>
      <c r="BY624" s="392"/>
      <c r="BZ624" s="489"/>
      <c r="CA624" s="392"/>
      <c r="CB624" s="392"/>
      <c r="CC624" s="392"/>
      <c r="CD624" s="401"/>
      <c r="CE624" s="409"/>
      <c r="CF624" s="169">
        <f t="shared" si="1156"/>
        <v>0</v>
      </c>
      <c r="CG624" s="170">
        <f t="shared" si="1157"/>
        <v>0</v>
      </c>
      <c r="CH624" s="170">
        <f t="shared" si="1158"/>
        <v>0</v>
      </c>
      <c r="CI624" s="170">
        <f t="shared" si="1159"/>
        <v>0</v>
      </c>
      <c r="CJ624" s="170">
        <f t="shared" si="1160"/>
        <v>0</v>
      </c>
      <c r="CK624" s="170">
        <f t="shared" si="1161"/>
        <v>0</v>
      </c>
      <c r="CL624" s="170">
        <f t="shared" si="1162"/>
        <v>0</v>
      </c>
      <c r="CM624" s="170">
        <f t="shared" si="1163"/>
        <v>0</v>
      </c>
      <c r="CN624" s="170">
        <f t="shared" si="1164"/>
        <v>0</v>
      </c>
      <c r="CO624" s="170">
        <f t="shared" si="1165"/>
        <v>0</v>
      </c>
      <c r="CP624" s="170">
        <f t="shared" si="1166"/>
        <v>0</v>
      </c>
      <c r="CQ624" s="170">
        <f t="shared" si="1167"/>
        <v>0</v>
      </c>
      <c r="CR624" s="170">
        <f t="shared" si="1168"/>
        <v>0</v>
      </c>
      <c r="CS624" s="170">
        <f t="shared" si="1169"/>
        <v>0</v>
      </c>
      <c r="CT624" s="75">
        <f t="shared" si="1170"/>
        <v>0</v>
      </c>
      <c r="CU624" s="76">
        <f t="shared" si="1171"/>
        <v>0</v>
      </c>
      <c r="CV624" s="76">
        <f t="shared" si="1172"/>
        <v>0</v>
      </c>
      <c r="CW624" s="76">
        <f t="shared" si="1173"/>
        <v>0</v>
      </c>
      <c r="CX624" s="76">
        <f t="shared" si="1174"/>
        <v>0</v>
      </c>
      <c r="CY624" s="76">
        <f t="shared" si="1175"/>
        <v>0</v>
      </c>
      <c r="CZ624" s="76">
        <f t="shared" si="1176"/>
        <v>0</v>
      </c>
      <c r="DA624" s="76">
        <f t="shared" si="1177"/>
        <v>0</v>
      </c>
      <c r="DB624" s="76">
        <f t="shared" si="1178"/>
        <v>0</v>
      </c>
      <c r="DC624" s="76">
        <f t="shared" si="1179"/>
        <v>0</v>
      </c>
      <c r="DD624" s="76">
        <f t="shared" si="1180"/>
        <v>0</v>
      </c>
      <c r="DE624" s="77">
        <f t="shared" si="1181"/>
        <v>0</v>
      </c>
      <c r="DF624" s="73">
        <f t="shared" si="1183"/>
        <v>36</v>
      </c>
      <c r="DG624" s="67">
        <f t="shared" si="1184"/>
        <v>47.227999999999994</v>
      </c>
      <c r="DH624" s="76">
        <f t="shared" si="1185"/>
        <v>14</v>
      </c>
      <c r="DI624" s="67">
        <f t="shared" si="1186"/>
        <v>60.05</v>
      </c>
      <c r="DJ624" s="202" t="str">
        <f>IF($D622="","",$D622)</f>
        <v>21</v>
      </c>
      <c r="DK624" s="493"/>
    </row>
    <row r="625" spans="1:115" ht="14.5" customHeight="1" x14ac:dyDescent="0.2">
      <c r="A625" s="459">
        <f>$A622+1</f>
        <v>208</v>
      </c>
      <c r="B625" s="507" t="str">
        <f>IF(OR(C625="W",C626="W",C627="W",C625="1/2W",C626="1/2W",C627="1/2W",C625="1/2L",C626="1/2L",C627="1/2L"),"OK",IF(OR(C625="L",C626="L",C627="L"),"LOSS",IF(OR(C625="X",C626="X",C627="X"),"Anulado"," ")))</f>
        <v>Anulado</v>
      </c>
      <c r="C625" s="93" t="s">
        <v>49</v>
      </c>
      <c r="D625" s="468" t="str">
        <f>IF(G625="","",$D622)</f>
        <v>21</v>
      </c>
      <c r="E625" s="485" t="str">
        <f>IF(G625=""," ","– "&amp;COUNTIF(D$4:D627,$D625))</f>
        <v>– 4</v>
      </c>
      <c r="F625" s="509" t="str">
        <f ca="1">IF(G625="","",IF(OR(AND($C625&lt;&gt;" ",$C626=" "),AND($C626&lt;&gt;" ",$C625=" "),AND(L627&gt;0,OR(AND($C627&lt;&gt;" ",OR($C625=" ",$C626=" ")),AND($C627=" ",OR($C625&lt;&gt;" ",$C626&lt;&gt;" "))))),IF(SUM(F$4:F624)=0,1,LARGE(F$4:F624,1)+1),IF(MONTH(G625)=MONTH(TODAY()),IF(AND(DAY(G625)&lt;DAY(TODAY()),$B625=" "),IF(SUM(F$4:F624)=0,1,LARGE(F$4:F624,1)+1),IF($B625=" ",IF(AND(DAY(G625)=DAY(TODAY()),HOUR(G625)&lt;=HOUR(NOW())+1),IF(AND(HOUR(G625)+2&lt;=HOUR(NOW()),DAY(G625)&lt;=DAY(TODAY()),MINUTE(G625)&lt;=MINUTE(NOW())),IF(SUM(F$4:F624)=0,1,LARGE(F$4:F624,1)+1),IF(OR(MINUTE(G625)&lt;=MINUTE(NOW()),HOUR(G625)&lt;=HOUR(NOW())),"!!!","")),""),"")),"")))</f>
        <v/>
      </c>
      <c r="G625" s="482">
        <v>45006.583333333336</v>
      </c>
      <c r="H625" s="475" t="s">
        <v>231</v>
      </c>
      <c r="I625" s="175">
        <v>1</v>
      </c>
      <c r="J625" s="176"/>
      <c r="K625" s="96" t="s">
        <v>40</v>
      </c>
      <c r="L625" s="97">
        <v>1.74</v>
      </c>
      <c r="M625" s="98"/>
      <c r="N625" s="478">
        <v>0</v>
      </c>
      <c r="O625" s="99">
        <f>IF(OR(AE625="",AE626=""),"",ROUND(IF(L627&gt;0,IF(M625&gt;0,M625,IF(M626&gt;0,ROUND((M626*AE625)/AE626,IF(N625=0,2,IF(N625=0.1,1,0))),ROUND((M627*AE625)/AE627,IF(N625=0,2,IF(N625=0.1,1,0))))),IF(M625&gt;0,M625,ROUND((M626*AE625)/AE626,IF(N625=0,2,IF(N625=0.1,1,0))))),2))</f>
        <v>8.9</v>
      </c>
      <c r="P625" s="100">
        <f>IF(OR(L625="",O625=""),"",IF($C625="1/2W",O625/2+O625/2*L625,IF($C625="1/2L",O625/2,IF(I625="Lay",(O625*(L625/(L625-1))-O625)*(1-_xlfn.XLOOKUP(K625,'Fevereiro 2023 - Valor Real'!A3:A15,'Fevereiro 2023 - Valor Real'!C3:C15,0))+O625,(O625*L625-O625)*(1-_xlfn.XLOOKUP(K625,'Fevereiro 2023 - Valor Real'!A3:A15,'Fevereiro 2023 - Valor Real'!C3:C15,0))+O625))))</f>
        <v>15.486000000000001</v>
      </c>
      <c r="Q625" s="101">
        <f>IF(K625="","",IF(_xlfn.XLOOKUP(K625,K$4:K624,$DJ$4:DJ624,0,,-1)=DJ625,_xlfn.XLOOKUP(K625,K$4:K624,Q$4:Q624,1,,-1)+1,1))</f>
        <v>2</v>
      </c>
      <c r="R625" s="102">
        <f>IF(K625="","",_xlfn.XLOOKUP(K625,K$4:K624,R$4:R624,0,,-1)+IF($C625=" ",1,0))</f>
        <v>0</v>
      </c>
      <c r="S625" s="474">
        <f>IF($B625="Anulado",0,ROUND(IF(OR($B625="LOSS",$B625="OK"),IF(OR($C625="W",$C625="1/2W",$C625="1/2L"),P625-O625,IF($C625="L",-O625,0))+IF(OR($C626="W",$C626="1/2W",$C626="1/2L"),P626-O626,IF($C626="L",-O626,0))+IF(OR($C627="W",$C627="1/2W",$C627="1/2L"),P627-O627,IF($C627="L",-O627,0)),IF(AND(OR($C625="W",$C625="1/2W",$C625="1/2L"),C626="W"),P625+P626-SUM(O625:O627)+_xlfn.XLOOKUP("X",C625:C627,O625:O627,0),IF(AND(C625=TRUE,C627="W"),P625+P627-SUM(O625:O627),IF(AND(C626="W",C627="W"),P626+P627-SUM(O625:O627)+_xlfn.XLOOKUP("X",C625:C627,O625:O627,0),IF(L627&gt;0,IF(OR($C625="W",$C625="1/2W",$C625="1/2L"),P625-SUM(O625:O627)+_xlfn.XLOOKUP("X",C625:C627,O625:O627,0),IF(OR($C625="W",$C625="1/2W",$C625="1/2L"),P626-SUM(O625:O627)+_xlfn.XLOOKUP("X",C625:C627,O625:O627,0),IF(OR($C625="W",$C625="1/2W",$C625="1/2L"),P627-SUM(O625:O627)+_xlfn.XLOOKUP("X",C625:C627,O625:O627,0),IF(SUM(P625:P627)/3-SUM(O625:O627)+_xlfn.XLOOKUP("X",C625:C627,O625:O627,0)&gt;0,SUM(P625:P627)/3-SUM(O625:O627)+_xlfn.XLOOKUP("X",C625:C627,O625:O627,0),LARGE(P625:P627,1)-SUM(O625:O627))))),IF(OR($C625="W",$C625="1/2W",$C625="1/2L"),P625-SUM(O625:O626)+_xlfn.XLOOKUP("X",C625:C627,O625:O627,0),IF(OR($C625="W",$C625="1/2W",$C625="1/2L"),P626-SUM(O625:O626)+_xlfn.XLOOKUP("X",C625:C627,O625:O627,0),SUM(P625:P626)/2-SUM(O625:O626)+_xlfn.XLOOKUP("X",C625:C627,O625:O627,0)))))))),2))</f>
        <v>0</v>
      </c>
      <c r="T625" s="458">
        <f>IF(S625=0,0,S625/SUM(O625:O627))</f>
        <v>0</v>
      </c>
      <c r="U625" s="470">
        <f>IF($D625=$D622,IF(OR($B625="LOSS",$B625="OK",$B625="Anulada"),S625,0)+U622,IF(OR($B625="LOSS",$B625="OK",$B625="Anulada"),S625,0))</f>
        <v>14.98</v>
      </c>
      <c r="V625" s="470">
        <f>IF($D625="",0,IF($D625=$D622,IF($B625=" ",IF(I627="",IF(OR(AND(I625="DNB1",I626="DNB2"),AND(OR(I625="DNB1",I625="DNB2"),J626=0),AND(OR(I626="DNB1",I626="DNB2"),J625=0),AND(I625="DNB2",I626="DNB1"),AND(IF(J625=0,(J625+1)/ROUND(J625+1,0),J625/ROUND(J625,0))=1,IF(J626=0,(J626+1)/ROUND(IF(J626="",0,J626)+1,0),IF(J626="",0,J626)/ROUND(IF(J626="",1,J626),0))=1,OR(J625&lt;&gt;""),J626&lt;&gt;"")),0,IF(S625&lt;0,IF(I627="",SMALL(P625:P626,1)-SUM(O625:O626),0),SMALL(P625:P626,1)-SUM(O625:O626))),IF(S625&lt;0,IF(I627="",SMALL(P625:P627,1)-SUM(O625:O627),0),LARGE(P625:P627,1)-SUM(O625:O627))),S625)+V622,IF(I627="",IF(OR(AND(I625="DNB1",I626="DNB2"),AND(OR(I625="DNB1",I625="DNB2"),J626=0),AND(OR(I626="DNB1",I626="DNB2"),J625=0),AND(I625="DNB2",I626="DNB1"),AND(IF(J625=0,(J625+1)/ROUND(J625+1,0),J625/ROUND(J625,0))=1,IF(J626=0,(IF(J626="",0,J626)+1)/ROUND(IF(J626="",0,J626)+1,0),IF(J626="",0,J626)/ROUND(IF(J626="",0,J626)+1,0))=1,OR(J625&lt;&gt;""),J626&lt;&gt;"")),0,IF(S625&lt;0,IF(I627="",SMALL(P625:P626,1)-SUM(O625:O626),0),SMALL(P625:P627,1)-SUM(O625:O627))),IF(S625&lt;0,IF(I627="",SMALL(P625:P627,1)-SUM(O625:O627),0),LARGE(P625:P627,1)-SUM(O625:O627)))))</f>
        <v>14.977999999999994</v>
      </c>
      <c r="W625" s="470">
        <f>IF($D625=$D622,IF(S625&lt;0,IF(I627="",S625,0),S625)+W622,S625)</f>
        <v>14.98</v>
      </c>
      <c r="X625" s="480" t="str">
        <f>IF(OR(SUM(R625:R627)=0,V625=W625),ROUND(IF(W625=0,0,W625/Y625)*100,2)&amp;"%",ROUND(IF(V625=0,0,V625/Y625)*100,2)&amp;"% a "&amp;ROUND(IF(W625=0,0,W625/Y625)*100,2)&amp;"%")</f>
        <v>11,19%</v>
      </c>
      <c r="Y625" s="471">
        <f>IF($D625=$D622,Y622+SUM(O625:O627),SUM(O625:O627))</f>
        <v>133.92000000000002</v>
      </c>
      <c r="Z625" s="470">
        <f>IF($B625=" ",SUM(O625:O627),0)+Z622</f>
        <v>0</v>
      </c>
      <c r="AA625" s="470">
        <f>IF(G625="","",IF($B625="Anulado",LARGE(P625:P627,1)-SUM(O625:O627)+AA622,AA622))</f>
        <v>13.381099999999991</v>
      </c>
      <c r="AB625" s="470">
        <f>IF($D625="","",AB622+S625)</f>
        <v>692.61000000000047</v>
      </c>
      <c r="AC625" s="472">
        <f ca="1">IF($D625="","",IF($B625=" ",IF(DAY(G625)=DAY(TODAY()),1+AC622,0+AC622),0+AC622))</f>
        <v>0</v>
      </c>
      <c r="AD625" s="103">
        <f>(((L626/(L626-1)-1)*(1-_xlfn.XLOOKUP(K626,'Fevereiro 2023 - Valor Real'!A3:A15,'Fevereiro 2023 - Valor Real'!C3:C15,0))+1))/(((L625-1)*(1-_xlfn.XLOOKUP(K625,'Fevereiro 2023 - Valor Real'!A3:A15,'Fevereiro 2023 - Valor Real'!C3:C15,0))+1)+((L626/(L626-1)-1)*(1-_xlfn.XLOOKUP(K626,'Fevereiro 2023 - Valor Real'!A3:A15,'Fevereiro 2023 - Valor Real'!C3:C15,0))+1))</f>
        <v>0.47454702329594478</v>
      </c>
      <c r="AE625" s="104">
        <f>IF(L625="","",IF(L627&gt;0,(SUM(((L625-1)*(1-_xlfn.XLOOKUP(K625,'Fevereiro 2023 - Valor Real'!A3:A15,'Fevereiro 2023 - Valor Real'!C3:C15,0))+1),((L626-1)*(1-_xlfn.XLOOKUP(K626,'Fevereiro 2023 - Valor Real'!A3:A15,'Fevereiro 2023 - Valor Real'!C3:C15,0))+1),((L627-1)*(1-_xlfn.XLOOKUP(K627,'Fevereiro 2023 - Valor Real'!A3:A15,'Fevereiro 2023 - Valor Real'!C3:C15,0))+1))/((L625-1)*(1-_xlfn.XLOOKUP(K625,'Fevereiro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Real'!C3:C15,0))+1))/((L625-1)*(1-_xlfn.XLOOKUP(K625,'Fevereiro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Real'!C3:C15,0))+1))/((L626-1)*(1-_xlfn.XLOOKUP(K626,'Fevereiro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Real'!C3:C15,0))+1))/((L627-1)*(1-_xlfn.XLOOKUP(K627,'Fevereiro 2023 - Valor Real'!A3:A15,'Fevereiro 2023 - Valor Real'!C3:C15,0))+1)),IF(I625="Lay",IF(I626="Lay",((L626/(L626-1)-1)*(1-_xlfn.XLOOKUP(K626,'Fevereiro 2023 - Valor Real'!A3:A15,'Fevereiro 2023 - Valor Real'!C3:C15,0))+1)/(((L626/(L626-1)-1)*(1-_xlfn.XLOOKUP(K626,'Fevereiro 2023 - Valor Real'!A3:A15,'Fevereiro 2023 - Valor Real'!C3:C15,0))+1)+((L625/(L625-1)-1)*(1-_xlfn.XLOOKUP(K625,'Fevereiro 2023 - Valor Real'!A3:A15,'Fevereiro 2023 - Valor Real'!C3:C15,0))+1)),((L626-1)*(1-_xlfn.XLOOKUP(K626,'Fevereiro 2023 - Valor Real'!A3:A15,'Fevereiro 2023 - Valor Real'!C3:C15,0))+1)/(((L626-1)*(1-_xlfn.XLOOKUP(K626,'Fevereiro 2023 - Valor Real'!A3:A15,'Fevereiro 2023 - Valor Real'!C3:C15,0))+1)+((L625/(L625-1)-1)*(1-_xlfn.XLOOKUP(K625,'Fevereiro 2023 - Valor Real'!A3:A15,'Fevereiro 2023 - Valor Real'!C3:C15,0))+1))),IF(I626="Lay",(((L626/(L626-1)-1)*(1-_xlfn.XLOOKUP(K626,'Fevereiro 2023 - Valor Real'!A3:A15,'Fevereiro 2023 - Valor Real'!C3:C15,0))+1))/(((L625-1)*(1-_xlfn.XLOOKUP(K625,'Fevereiro 2023 - Valor Real'!A3:A15,'Fevereiro 2023 - Valor Real'!C3:C15,0))+1)+((L626/(L626-1)-1)*(1-_xlfn.XLOOKUP(K626,'Fevereiro 2023 - Valor Real'!A3:A15,'Fevereiro 2023 - Valor Real'!C3:C15,0))+1)),((L626-1)*(1-_xlfn.XLOOKUP(K626,'Fevereiro 2023 - Valor Real'!A3:A15,'Fevereiro 2023 - Valor Real'!C3:C15,0))+1)/(((L626-1)*(1-_xlfn.XLOOKUP(K626,'Fevereiro 2023 - Valor Real'!A3:A15,'Fevereiro 2023 - Valor Real'!C3:C15,0))+1)+((L625-1)*(1-_xlfn.XLOOKUP(K625,'Fevereiro 2023 - Valor Real'!A3:A15,'Fevereiro 2023 - Valor Real'!C3:C15,0))+1))))))</f>
        <v>0.61247216035634744</v>
      </c>
      <c r="AF625" s="105">
        <f t="shared" si="1251"/>
        <v>0</v>
      </c>
      <c r="AG625" s="106">
        <f t="shared" si="1251"/>
        <v>0</v>
      </c>
      <c r="AH625" s="106">
        <f t="shared" si="1251"/>
        <v>0</v>
      </c>
      <c r="AI625" s="106">
        <f t="shared" si="1251"/>
        <v>0</v>
      </c>
      <c r="AJ625" s="106">
        <f t="shared" si="1251"/>
        <v>0</v>
      </c>
      <c r="AK625" s="106">
        <f t="shared" si="1251"/>
        <v>0</v>
      </c>
      <c r="AL625" s="106">
        <f t="shared" si="1251"/>
        <v>0</v>
      </c>
      <c r="AM625" s="106">
        <f t="shared" si="1251"/>
        <v>0</v>
      </c>
      <c r="AN625" s="106">
        <f t="shared" si="1251"/>
        <v>0</v>
      </c>
      <c r="AO625" s="106">
        <f t="shared" si="1251"/>
        <v>0</v>
      </c>
      <c r="AP625" s="106">
        <f t="shared" si="1251"/>
        <v>0</v>
      </c>
      <c r="AQ625" s="106">
        <f t="shared" si="1251"/>
        <v>0</v>
      </c>
      <c r="AR625" s="107">
        <f t="shared" si="1251"/>
        <v>0</v>
      </c>
      <c r="AS625" s="105">
        <f t="shared" ref="AS625:BE625" si="1254">IF(AND($B625=" ",$K625=AS$3),$O625,0)</f>
        <v>0</v>
      </c>
      <c r="AT625" s="106">
        <f t="shared" si="1254"/>
        <v>0</v>
      </c>
      <c r="AU625" s="106">
        <f t="shared" si="1254"/>
        <v>0</v>
      </c>
      <c r="AV625" s="106">
        <f t="shared" si="1254"/>
        <v>0</v>
      </c>
      <c r="AW625" s="106">
        <f t="shared" si="1254"/>
        <v>0</v>
      </c>
      <c r="AX625" s="106">
        <f t="shared" si="1254"/>
        <v>0</v>
      </c>
      <c r="AY625" s="108">
        <f t="shared" si="1254"/>
        <v>0</v>
      </c>
      <c r="AZ625" s="109">
        <f t="shared" si="1254"/>
        <v>0</v>
      </c>
      <c r="BA625" s="109">
        <f t="shared" si="1254"/>
        <v>0</v>
      </c>
      <c r="BB625" s="109">
        <f t="shared" si="1254"/>
        <v>0</v>
      </c>
      <c r="BC625" s="110">
        <f t="shared" si="1254"/>
        <v>0</v>
      </c>
      <c r="BD625" s="106">
        <f t="shared" si="1254"/>
        <v>0</v>
      </c>
      <c r="BE625" s="107">
        <f t="shared" si="1254"/>
        <v>0</v>
      </c>
      <c r="BF625" s="111">
        <f t="shared" si="1253"/>
        <v>0</v>
      </c>
      <c r="BG625" s="106">
        <f t="shared" si="1253"/>
        <v>0</v>
      </c>
      <c r="BH625" s="106">
        <f t="shared" si="1253"/>
        <v>0</v>
      </c>
      <c r="BI625" s="106">
        <f t="shared" si="1253"/>
        <v>0</v>
      </c>
      <c r="BJ625" s="106">
        <f t="shared" si="1253"/>
        <v>0</v>
      </c>
      <c r="BK625" s="106">
        <f t="shared" si="1253"/>
        <v>0</v>
      </c>
      <c r="BL625" s="106">
        <f t="shared" si="1253"/>
        <v>0</v>
      </c>
      <c r="BM625" s="108">
        <f t="shared" si="1253"/>
        <v>0</v>
      </c>
      <c r="BN625" s="109">
        <f t="shared" si="1253"/>
        <v>0</v>
      </c>
      <c r="BO625" s="109">
        <f t="shared" si="1253"/>
        <v>0</v>
      </c>
      <c r="BP625" s="109">
        <f t="shared" si="1253"/>
        <v>0</v>
      </c>
      <c r="BQ625" s="110">
        <f t="shared" si="1253"/>
        <v>0</v>
      </c>
      <c r="BR625" s="107">
        <f t="shared" si="1253"/>
        <v>0</v>
      </c>
      <c r="BS625" s="463">
        <f>IF($B625="LOSS",IF(AND($K625=BS$3,$C625="L"),-$O625,0)+IF(AND($K626=BS$3,$C626="L"),-$O626,0)+IF(AND($K627=BS$3,$C627="L"),-$O627,0),IF(OR(AND($K625=BS$3,OR($C625="W",$C625="1/2W")),AND($K626=BS$3,OR($C626="W",$C626="1/2W")),AND($K627=BS$3,OR($C627="W",$C627="1/2W"))),$S625,0))</f>
        <v>0</v>
      </c>
      <c r="BT625" s="462">
        <f>IF($B625="LOSS",IF(AND($K625=BT$3,$C625="L"),-$O625,0)+IF(AND($K626=BT$3,$C626="L"),-$O626,0)+IF(AND($K626=BT$3,$C627="L"),-$O627,0),IF(OR(AND($K626=BT$3,OR($C625="W",$C625="1/2W")),AND($K626=BT$3,OR($C626="W",$C626="1/2W")),AND($K626=BT$3,OR($C627="W",$C627="1/2W"))),$S625,0))</f>
        <v>0</v>
      </c>
      <c r="BU625" s="462">
        <f>IF($B625="LOSS",IF(AND($K625=BU$3,$C625="L"),-$O625,0)+IF(AND($K626=BU$3,$C626="L"),-$O626,0)+IF(AND($K626=BU$3,$C627="L"),-$O627,0),IF(OR(AND($K626=BU$3,OR($C625="W",$C625="1/2W")),AND($K626=BU$3,OR($C626="W",$C626="1/2W")),AND($K626=BU$3,OR($C627="W",$C627="1/2W"))),$S625,0))</f>
        <v>0</v>
      </c>
      <c r="BV625" s="462">
        <f t="shared" ref="BV625:CE625" si="1255">IF($B625="LOSS",IF(AND($K625=BV$3,$C625="L"),-$O625,0)+IF(AND($K626=BV$3,$C626="L"),-$O626,0)+IF(AND($K627=BV$3,$C627="L"),-$O627,0),IF(OR(AND($K625=BV$3,OR($C625="W",$C625="1/2W")),AND($K626=BV$3,OR($C626="W",$C626="1/2W")),AND($K627=BV$3,OR($C627="W",$C627="1/2W"))),$S625,0))</f>
        <v>0</v>
      </c>
      <c r="BW625" s="462">
        <f t="shared" si="1255"/>
        <v>0</v>
      </c>
      <c r="BX625" s="462">
        <f t="shared" si="1255"/>
        <v>0</v>
      </c>
      <c r="BY625" s="462">
        <f t="shared" si="1255"/>
        <v>0</v>
      </c>
      <c r="BZ625" s="460">
        <f t="shared" si="1255"/>
        <v>0</v>
      </c>
      <c r="CA625" s="460">
        <f t="shared" si="1255"/>
        <v>0</v>
      </c>
      <c r="CB625" s="460">
        <f t="shared" si="1255"/>
        <v>0</v>
      </c>
      <c r="CC625" s="460">
        <f t="shared" si="1255"/>
        <v>0</v>
      </c>
      <c r="CD625" s="473">
        <f t="shared" si="1255"/>
        <v>0</v>
      </c>
      <c r="CE625" s="479">
        <f t="shared" si="1255"/>
        <v>0</v>
      </c>
      <c r="CF625" s="113">
        <f t="shared" si="1156"/>
        <v>0</v>
      </c>
      <c r="CG625" s="114">
        <f t="shared" si="1157"/>
        <v>0</v>
      </c>
      <c r="CH625" s="114">
        <f t="shared" si="1158"/>
        <v>0</v>
      </c>
      <c r="CI625" s="114">
        <f t="shared" si="1159"/>
        <v>0</v>
      </c>
      <c r="CJ625" s="114">
        <f t="shared" si="1160"/>
        <v>0</v>
      </c>
      <c r="CK625" s="114">
        <f t="shared" si="1161"/>
        <v>0</v>
      </c>
      <c r="CL625" s="114">
        <f t="shared" si="1162"/>
        <v>0</v>
      </c>
      <c r="CM625" s="114">
        <f t="shared" si="1163"/>
        <v>0</v>
      </c>
      <c r="CN625" s="114">
        <f t="shared" si="1164"/>
        <v>0</v>
      </c>
      <c r="CO625" s="114">
        <f t="shared" si="1165"/>
        <v>0</v>
      </c>
      <c r="CP625" s="114">
        <f t="shared" si="1166"/>
        <v>0</v>
      </c>
      <c r="CQ625" s="114">
        <f t="shared" si="1167"/>
        <v>0</v>
      </c>
      <c r="CR625" s="114">
        <f t="shared" si="1168"/>
        <v>0</v>
      </c>
      <c r="CS625" s="114">
        <f t="shared" si="1169"/>
        <v>0</v>
      </c>
      <c r="CT625" s="115">
        <f t="shared" si="1170"/>
        <v>0</v>
      </c>
      <c r="CU625" s="116">
        <f t="shared" si="1171"/>
        <v>0</v>
      </c>
      <c r="CV625" s="116">
        <f t="shared" si="1172"/>
        <v>0</v>
      </c>
      <c r="CW625" s="116">
        <f t="shared" si="1173"/>
        <v>0</v>
      </c>
      <c r="CX625" s="116">
        <f t="shared" si="1174"/>
        <v>0</v>
      </c>
      <c r="CY625" s="116">
        <f t="shared" si="1175"/>
        <v>0</v>
      </c>
      <c r="CZ625" s="116">
        <f t="shared" si="1176"/>
        <v>0</v>
      </c>
      <c r="DA625" s="116">
        <f t="shared" si="1177"/>
        <v>0</v>
      </c>
      <c r="DB625" s="116">
        <f t="shared" si="1178"/>
        <v>0</v>
      </c>
      <c r="DC625" s="116">
        <f t="shared" si="1179"/>
        <v>0</v>
      </c>
      <c r="DD625" s="116">
        <f t="shared" si="1180"/>
        <v>0</v>
      </c>
      <c r="DE625" s="117">
        <f t="shared" si="1181"/>
        <v>0</v>
      </c>
      <c r="DF625" s="118">
        <f t="shared" si="1183"/>
        <v>36</v>
      </c>
      <c r="DG625" s="106">
        <f t="shared" si="1184"/>
        <v>47.227999999999994</v>
      </c>
      <c r="DH625" s="116">
        <f t="shared" si="1185"/>
        <v>14</v>
      </c>
      <c r="DI625" s="106">
        <f t="shared" si="1186"/>
        <v>60.05</v>
      </c>
      <c r="DJ625" s="201" t="str">
        <f>IF($D625="","",$D625)</f>
        <v>21</v>
      </c>
      <c r="DK625" s="465">
        <f>IF(AND($B625=" ",$D625&lt;&gt;""),1,0)</f>
        <v>0</v>
      </c>
    </row>
    <row r="626" spans="1:115" ht="14.5" customHeight="1" x14ac:dyDescent="0.2">
      <c r="A626" s="389"/>
      <c r="B626" s="456"/>
      <c r="C626" s="120" t="s">
        <v>49</v>
      </c>
      <c r="D626" s="374"/>
      <c r="E626" s="386"/>
      <c r="F626" s="377"/>
      <c r="G626" s="483"/>
      <c r="H626" s="476"/>
      <c r="I626" s="121" t="s">
        <v>76</v>
      </c>
      <c r="J626" s="179" t="str">
        <f>IF(OR(I625="TO",I625="TU",I625="TO1",I625="TU1",I625="TO2",I625="TU2"),J625,IF(OR(I625="AH1",I625="AH2"),IF(OR(I626="AH1",I626="AH2"),-J625,IF(OR(I626="EH1",I626="EH2"),-J625+0.5,"")),IF(OR(I625="EH1",I625="EH2"),IF(OR(I626="AH1",I626="AH2"),-J625+0.5,IF(OR(I626="EH1",I626="EH2"),-J625+1,"")),IF(AND(OR(I625="DNB1",I625="DNB2"),OR(I626="AH1",I626="AH2")),0,IF(AND(I625="Not ScoreBoth",OR(I626="TO1",I626="TO2")),0.5,"")))))</f>
        <v/>
      </c>
      <c r="K626" s="123" t="s">
        <v>39</v>
      </c>
      <c r="L626" s="124">
        <v>2.75</v>
      </c>
      <c r="M626" s="125">
        <v>5.63</v>
      </c>
      <c r="N626" s="406"/>
      <c r="O626" s="126">
        <f>IF(OR(AE625="",AE626=""),"",ROUND(IF(L627&gt;0,IF(M626&gt;0,M626,IF(M625&gt;0,IF(N625=TRUE,ROUND((M625*AE626)/AE625,0),(M625*AE626)/AE625),IF(M626&gt;0,ROUND(M626,IF(N625=0,2,IF(N625=0.1,1,0))),IF(M627&gt;0,ROUND(O627*AE626/AE627,IF(N625=0,2,IF(N625=0.1,1,0))),0)))),IF(M626&gt;0,M626,ROUND((M625*AE626)/AE625,IF(N625=0,2,IF(N625=0.1,1,0))))),2))</f>
        <v>5.63</v>
      </c>
      <c r="P626" s="127">
        <f>IF(OR(L626="",O626=""),"",IF($C626="1/2W",O626/2+O626/2*L626,IF($C626="1/2L",O626/2,IF(I626="Lay",((O626*(L626/(L626-1)))-O626)*(1-_xlfn.XLOOKUP(K626,'Fevereiro 2023 - Valor Real'!A3:A15,'Fevereiro 2023 - Valor Real'!C3:C15,0))+O626,(O626*L626-O626)*(1-_xlfn.XLOOKUP(K626,'Fevereiro 2023 - Valor Real'!A3:A15,'Fevereiro 2023 - Valor Real'!C3:C15,0))+O626))))</f>
        <v>15.482499999999998</v>
      </c>
      <c r="Q626" s="128">
        <f>IF(K626="","",IF(_xlfn.XLOOKUP(K626,K$4:K625,$DJ$4:DJ625,0,,-1)=DJ626,_xlfn.XLOOKUP(K626,K$4:K625,Q$4:Q625,1,,-1)+1,1))</f>
        <v>2</v>
      </c>
      <c r="R626" s="129">
        <f>IF(K626="","",_xlfn.XLOOKUP(K626,K$4:K625,R$4:R625,0,,-1)+IF($C626=" ",1,0))</f>
        <v>0</v>
      </c>
      <c r="S626" s="403"/>
      <c r="T626" s="380"/>
      <c r="U626" s="380"/>
      <c r="V626" s="481"/>
      <c r="W626" s="380"/>
      <c r="X626" s="452"/>
      <c r="Y626" s="383"/>
      <c r="Z626" s="384"/>
      <c r="AA626" s="384"/>
      <c r="AB626" s="384"/>
      <c r="AC626" s="384"/>
      <c r="AD626" s="130">
        <f>(((L626/(L626-1)-1)*(1-_xlfn.XLOOKUP(K626,'Fevereiro 2023 - Valor Real'!A3:A15,'Fevereiro 2023 - Valor Real'!C3:C15,0))+1))</f>
        <v>1.5714285714285714</v>
      </c>
      <c r="AE626" s="131">
        <f>IF(L626="","",IF(L627&gt;0,(SUM(((L625-1)*(1-_xlfn.XLOOKUP(K625,'Fevereiro 2023 - Valor Real'!A3:A15,'Fevereiro 2023 - Valor Real'!C3:C15,0))+1),((L626-1)*(1-_xlfn.XLOOKUP(K626,'Fevereiro 2023 - Valor Real'!A3:A15,'Fevereiro 2023 - Valor Real'!C3:C15,0))+1),((L627-1)*(1-_xlfn.XLOOKUP(K627,'Fevereiro 2023 - Valor Real'!A3:A15,'Fevereiro 2023 - Valor Real'!C3:C15,0))+1))/((L626-1)*(1-_xlfn.XLOOKUP(K626,'Fevereiro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Real'!C3:C15,0))+1))/((L625-1)*(1-_xlfn.XLOOKUP(K625,'Fevereiro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Real'!C3:C15,0))+1))/((L626-1)*(1-_xlfn.XLOOKUP(K626,'Fevereiro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Real'!C3:C15,0))+1))/((L627-1)*(1-_xlfn.XLOOKUP(K627,'Fevereiro 2023 - Valor Real'!A3:A15,'Fevereiro 2023 - Valor Real'!C3:C15,0))+1)),IF(I626="Lay",IF(I625="Lay",((L625/(L625-1)-1)*(1-_xlfn.XLOOKUP(K625,'Fevereiro 2023 - Valor Real'!A3:A15,'Fevereiro 2023 - Valor Real'!C3:C15,0))+1)/(((L625/(L625-1)-1)*(1-_xlfn.XLOOKUP(K625,'Fevereiro 2023 - Valor Real'!A3:A15,'Fevereiro 2023 - Valor Real'!C3:C15,0))+1)+((L626/(L626-1)-1)*(1-_xlfn.XLOOKUP(K626,'Fevereiro 2023 - Valor Real'!A3:A15,'Fevereiro 2023 - Valor Real'!C3:C15,0))+1)),((L625-1)*(1-_xlfn.XLOOKUP(K625,'Fevereiro 2023 - Valor Real'!A3:A15,'Fevereiro 2023 - Valor Real'!C3:C15,0))+1)/(((L625-1)*(1-_xlfn.XLOOKUP(K625,'Fevereiro 2023 - Valor Real'!A3:A15,'Fevereiro 2023 - Valor Real'!C3:C15,0))+1)+((L626/(L626-1)-1)*(1-_xlfn.XLOOKUP(K626,'Fevereiro 2023 - Valor Real'!A3:A15,'Fevereiro 2023 - Valor Real'!C3:C15,0))+1))),IF(I625="Lay",((L625/(L625-1)-1)*(1-_xlfn.XLOOKUP(K625,'Fevereiro 2023 - Valor Real'!A3:A15,'Fevereiro 2023 - Valor Real'!C3:C15,0))+1)/((((L625/(L625-1)-1)*(1-_xlfn.XLOOKUP(K625,'Fevereiro 2023 - Valor Real'!A3:A15,'Fevereiro 2023 - Valor Real'!C3:C15,0))+1))+((L626-1)*(1-_xlfn.XLOOKUP(K626,'Fevereiro 2023 - Valor Real'!A3:A15,'Fevereiro 2023 - Valor Real'!C3:C15,0))+1)),((L625-1)*(1-_xlfn.XLOOKUP(K625,'Fevereiro 2023 - Valor Real'!A3:A15,'Fevereiro 2023 - Valor Real'!C3:C15,0))+1)/(((L625-1)*(1-_xlfn.XLOOKUP(K625,'Fevereiro 2023 - Valor Real'!A3:A15,'Fevereiro 2023 - Valor Real'!C3:C15,0))+1)+((L626-1)*(1-_xlfn.XLOOKUP(K626,'Fevereiro 2023 - Valor Real'!A3:A15,'Fevereiro 2023 - Valor Real'!C3:C15,0))+1))))))</f>
        <v>0.38752783964365256</v>
      </c>
      <c r="AF626" s="105">
        <f t="shared" si="1251"/>
        <v>0</v>
      </c>
      <c r="AG626" s="106">
        <f t="shared" si="1251"/>
        <v>0</v>
      </c>
      <c r="AH626" s="106">
        <f t="shared" si="1251"/>
        <v>0</v>
      </c>
      <c r="AI626" s="106">
        <f t="shared" si="1251"/>
        <v>0</v>
      </c>
      <c r="AJ626" s="106">
        <f t="shared" si="1251"/>
        <v>0</v>
      </c>
      <c r="AK626" s="106">
        <f t="shared" si="1251"/>
        <v>0</v>
      </c>
      <c r="AL626" s="106">
        <f t="shared" si="1251"/>
        <v>0</v>
      </c>
      <c r="AM626" s="106">
        <f t="shared" si="1251"/>
        <v>0</v>
      </c>
      <c r="AN626" s="106">
        <f t="shared" si="1251"/>
        <v>0</v>
      </c>
      <c r="AO626" s="106">
        <f t="shared" si="1251"/>
        <v>0</v>
      </c>
      <c r="AP626" s="106">
        <f t="shared" si="1251"/>
        <v>0</v>
      </c>
      <c r="AQ626" s="106">
        <f t="shared" si="1251"/>
        <v>0</v>
      </c>
      <c r="AR626" s="107">
        <f t="shared" si="1251"/>
        <v>0</v>
      </c>
      <c r="AS626" s="105">
        <f>IF(AND($B625=" ",$K626=AS$3),$O626,0)</f>
        <v>0</v>
      </c>
      <c r="AT626" s="106">
        <f>IF(AND($B625=" ",K626=AT$3),$O626,0)</f>
        <v>0</v>
      </c>
      <c r="AU626" s="106">
        <f t="shared" ref="AU626:BE626" si="1256">IF(AND($B625=" ",$K626=AU$3),$O626,0)</f>
        <v>0</v>
      </c>
      <c r="AV626" s="106">
        <f t="shared" si="1256"/>
        <v>0</v>
      </c>
      <c r="AW626" s="106">
        <f t="shared" si="1256"/>
        <v>0</v>
      </c>
      <c r="AX626" s="106">
        <f t="shared" si="1256"/>
        <v>0</v>
      </c>
      <c r="AY626" s="108">
        <f t="shared" si="1256"/>
        <v>0</v>
      </c>
      <c r="AZ626" s="109">
        <f t="shared" si="1256"/>
        <v>0</v>
      </c>
      <c r="BA626" s="109">
        <f t="shared" si="1256"/>
        <v>0</v>
      </c>
      <c r="BB626" s="109">
        <f t="shared" si="1256"/>
        <v>0</v>
      </c>
      <c r="BC626" s="110">
        <f t="shared" si="1256"/>
        <v>0</v>
      </c>
      <c r="BD626" s="106">
        <f t="shared" si="1256"/>
        <v>0</v>
      </c>
      <c r="BE626" s="107">
        <f t="shared" si="1256"/>
        <v>0</v>
      </c>
      <c r="BF626" s="105">
        <f t="shared" si="1253"/>
        <v>0</v>
      </c>
      <c r="BG626" s="106">
        <f t="shared" si="1253"/>
        <v>0</v>
      </c>
      <c r="BH626" s="106">
        <f t="shared" si="1253"/>
        <v>0</v>
      </c>
      <c r="BI626" s="106">
        <f t="shared" si="1253"/>
        <v>0</v>
      </c>
      <c r="BJ626" s="106">
        <f t="shared" si="1253"/>
        <v>0</v>
      </c>
      <c r="BK626" s="106">
        <f t="shared" si="1253"/>
        <v>0</v>
      </c>
      <c r="BL626" s="106">
        <f t="shared" si="1253"/>
        <v>0</v>
      </c>
      <c r="BM626" s="132">
        <f t="shared" si="1253"/>
        <v>0</v>
      </c>
      <c r="BN626" s="112">
        <f t="shared" si="1253"/>
        <v>0</v>
      </c>
      <c r="BO626" s="112">
        <f t="shared" si="1253"/>
        <v>0</v>
      </c>
      <c r="BP626" s="112">
        <f t="shared" si="1253"/>
        <v>0</v>
      </c>
      <c r="BQ626" s="110">
        <f t="shared" si="1253"/>
        <v>0</v>
      </c>
      <c r="BR626" s="107">
        <f t="shared" si="1253"/>
        <v>0</v>
      </c>
      <c r="BS626" s="464"/>
      <c r="BT626" s="461"/>
      <c r="BU626" s="392"/>
      <c r="BV626" s="461"/>
      <c r="BW626" s="392"/>
      <c r="BX626" s="392"/>
      <c r="BY626" s="392"/>
      <c r="BZ626" s="461"/>
      <c r="CA626" s="392"/>
      <c r="CB626" s="392"/>
      <c r="CC626" s="392"/>
      <c r="CD626" s="401"/>
      <c r="CE626" s="409"/>
      <c r="CF626" s="133">
        <f t="shared" si="1156"/>
        <v>0</v>
      </c>
      <c r="CG626" s="134">
        <f t="shared" si="1157"/>
        <v>0</v>
      </c>
      <c r="CH626" s="134">
        <f t="shared" si="1158"/>
        <v>0</v>
      </c>
      <c r="CI626" s="134">
        <f t="shared" si="1159"/>
        <v>0</v>
      </c>
      <c r="CJ626" s="134">
        <f t="shared" si="1160"/>
        <v>0</v>
      </c>
      <c r="CK626" s="134">
        <f t="shared" si="1161"/>
        <v>0</v>
      </c>
      <c r="CL626" s="134">
        <f t="shared" si="1162"/>
        <v>0</v>
      </c>
      <c r="CM626" s="134">
        <f t="shared" si="1163"/>
        <v>0</v>
      </c>
      <c r="CN626" s="134">
        <f t="shared" si="1164"/>
        <v>0</v>
      </c>
      <c r="CO626" s="134">
        <f t="shared" si="1165"/>
        <v>0</v>
      </c>
      <c r="CP626" s="134">
        <f t="shared" si="1166"/>
        <v>0</v>
      </c>
      <c r="CQ626" s="134">
        <f t="shared" si="1167"/>
        <v>0</v>
      </c>
      <c r="CR626" s="134">
        <f t="shared" si="1168"/>
        <v>0</v>
      </c>
      <c r="CS626" s="134">
        <f t="shared" si="1169"/>
        <v>0</v>
      </c>
      <c r="CT626" s="115">
        <f t="shared" si="1170"/>
        <v>0</v>
      </c>
      <c r="CU626" s="116">
        <f t="shared" si="1171"/>
        <v>0</v>
      </c>
      <c r="CV626" s="116">
        <f t="shared" si="1172"/>
        <v>0</v>
      </c>
      <c r="CW626" s="116">
        <f t="shared" si="1173"/>
        <v>0</v>
      </c>
      <c r="CX626" s="116">
        <f t="shared" si="1174"/>
        <v>0</v>
      </c>
      <c r="CY626" s="116">
        <f t="shared" si="1175"/>
        <v>0</v>
      </c>
      <c r="CZ626" s="116">
        <f t="shared" si="1176"/>
        <v>0</v>
      </c>
      <c r="DA626" s="116">
        <f t="shared" si="1177"/>
        <v>0</v>
      </c>
      <c r="DB626" s="116">
        <f t="shared" si="1178"/>
        <v>0</v>
      </c>
      <c r="DC626" s="116">
        <f t="shared" si="1179"/>
        <v>0</v>
      </c>
      <c r="DD626" s="116">
        <f t="shared" si="1180"/>
        <v>0</v>
      </c>
      <c r="DE626" s="117">
        <f t="shared" si="1181"/>
        <v>0</v>
      </c>
      <c r="DF626" s="118">
        <f t="shared" si="1183"/>
        <v>36</v>
      </c>
      <c r="DG626" s="106">
        <f t="shared" si="1184"/>
        <v>47.227999999999994</v>
      </c>
      <c r="DH626" s="116">
        <f t="shared" si="1185"/>
        <v>14</v>
      </c>
      <c r="DI626" s="106">
        <f t="shared" si="1186"/>
        <v>60.05</v>
      </c>
      <c r="DJ626" s="201" t="str">
        <f>IF($D625="","",$D625)</f>
        <v>21</v>
      </c>
      <c r="DK626" s="466"/>
    </row>
    <row r="627" spans="1:115" ht="14.5" customHeight="1" x14ac:dyDescent="0.2">
      <c r="A627" s="390"/>
      <c r="B627" s="457"/>
      <c r="C627" s="135" t="s">
        <v>53</v>
      </c>
      <c r="D627" s="375"/>
      <c r="E627" s="387"/>
      <c r="F627" s="378"/>
      <c r="G627" s="484"/>
      <c r="H627" s="477"/>
      <c r="I627" s="136"/>
      <c r="J627" s="137"/>
      <c r="K627" s="138"/>
      <c r="L627" s="139"/>
      <c r="M627" s="140"/>
      <c r="N627" s="407"/>
      <c r="O627" s="141" t="str">
        <f>IF(OR(AE625="",AE626=""),"",IF(L627&gt;0,ROUND(IF(M627&gt;0,M627,IF(M625&gt;0,ROUND((M625*AE627)/AE625,IF(N625=0,2,IF(N625=0.1,1,0))),IF(M626&gt;0,ROUND((M626*AE627)/AE626,IF(N625=0,2,IF(N625=0.1,1,0))),IF(M627&gt;0,M627,0)))),2),""))</f>
        <v/>
      </c>
      <c r="P627" s="142" t="str">
        <f>IF(I626="Lay",O626*(L626/(L626-1))-O626,IF(I625="Lay",O625*(L625/(L625-1))-O625,IF(OR(L627="",O627=""),"",IF($C627="1/2W",O627/2+O627/2*L627,IF($C627="1/2L",O627/2,(O627*L627-O627)*(1-_xlfn.XLOOKUP(K627,'Fevereiro 2023 - Valor Real'!A3:A15,'Fevereiro 2023 - Valor Real'!C3:C15,0))+O627)))))</f>
        <v/>
      </c>
      <c r="Q627" s="143" t="str">
        <f>IF(K627="","",IF(_xlfn.XLOOKUP(K627,K$4:K626,$DJ$4:DJ626,0,,-1)=DJ627,_xlfn.XLOOKUP(K627,K$4:K626,Q$4:Q626,1,,-1)+1,1))</f>
        <v/>
      </c>
      <c r="R627" s="144" t="str">
        <f>IF(K627="","",_xlfn.XLOOKUP(K627,K$4:K626,R$4:R626,0,,-1)+IF($C627=" ",1,0))</f>
        <v/>
      </c>
      <c r="S627" s="404"/>
      <c r="T627" s="378"/>
      <c r="U627" s="378"/>
      <c r="V627" s="404"/>
      <c r="W627" s="378"/>
      <c r="X627" s="453"/>
      <c r="Y627" s="383"/>
      <c r="Z627" s="384"/>
      <c r="AA627" s="384"/>
      <c r="AB627" s="384"/>
      <c r="AC627" s="384"/>
      <c r="AD627" s="145">
        <f>((L626/(L626-1)-1))</f>
        <v>0.5714285714285714</v>
      </c>
      <c r="AE627" s="146" t="str">
        <f>IF(L627="","",(SUM(((L625-1)*(1-_xlfn.XLOOKUP(K625,'Fevereiro 2023 - Valor Real'!A3:A15,'Fevereiro 2023 - Valor Real'!C3:C15,0))+1),((L626-1)*(1-_xlfn.XLOOKUP(K626,'Fevereiro 2023 - Valor Real'!A3:A15,'Fevereiro 2023 - Valor Real'!C3:C15,0))+1),((L627-1)*(1-_xlfn.XLOOKUP(K627,'Fevereiro 2023 - Valor Real'!A3:A15,'Fevereiro 2023 - Valor Real'!C3:C15,0))+1))/((L627-1)*(1-_xlfn.XLOOKUP(K627,'Fevereiro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Real'!C3:C15,0))+1))/((L625-1)*(1-_xlfn.XLOOKUP(K625,'Fevereiro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Real'!C3:C15,0))+1))/((L626-1)*(1-_xlfn.XLOOKUP(K626,'Fevereiro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Real'!C3:C15,0))+1))/((L627-1)*(1-_xlfn.XLOOKUP(K627,'Fevereiro 2023 - Valor Real'!A3:A15,'Fevereiro 2023 - Valor Real'!C3:C15,0))+1)))</f>
        <v/>
      </c>
      <c r="AF627" s="105">
        <f t="shared" si="1251"/>
        <v>0</v>
      </c>
      <c r="AG627" s="106">
        <f t="shared" si="1251"/>
        <v>0</v>
      </c>
      <c r="AH627" s="106">
        <f t="shared" si="1251"/>
        <v>0</v>
      </c>
      <c r="AI627" s="106">
        <f t="shared" si="1251"/>
        <v>0</v>
      </c>
      <c r="AJ627" s="106">
        <f t="shared" si="1251"/>
        <v>0</v>
      </c>
      <c r="AK627" s="106">
        <f t="shared" si="1251"/>
        <v>0</v>
      </c>
      <c r="AL627" s="106">
        <f t="shared" si="1251"/>
        <v>0</v>
      </c>
      <c r="AM627" s="106">
        <f t="shared" si="1251"/>
        <v>0</v>
      </c>
      <c r="AN627" s="106">
        <f t="shared" si="1251"/>
        <v>0</v>
      </c>
      <c r="AO627" s="106">
        <f t="shared" si="1251"/>
        <v>0</v>
      </c>
      <c r="AP627" s="106">
        <f t="shared" si="1251"/>
        <v>0</v>
      </c>
      <c r="AQ627" s="106">
        <f t="shared" si="1251"/>
        <v>0</v>
      </c>
      <c r="AR627" s="107">
        <f t="shared" si="1251"/>
        <v>0</v>
      </c>
      <c r="AS627" s="105">
        <f>IF(AND($B625=" ",$K627=AS$3),$O627,0)</f>
        <v>0</v>
      </c>
      <c r="AT627" s="106">
        <f>IF(AND($B625=" ",K627=AT$3),$O627,0)</f>
        <v>0</v>
      </c>
      <c r="AU627" s="106">
        <f t="shared" ref="AU627:BE627" si="1257">IF(AND($B625=" ",$K627=AU$3),$O627,0)</f>
        <v>0</v>
      </c>
      <c r="AV627" s="106">
        <f t="shared" si="1257"/>
        <v>0</v>
      </c>
      <c r="AW627" s="106">
        <f t="shared" si="1257"/>
        <v>0</v>
      </c>
      <c r="AX627" s="106">
        <f t="shared" si="1257"/>
        <v>0</v>
      </c>
      <c r="AY627" s="108">
        <f t="shared" si="1257"/>
        <v>0</v>
      </c>
      <c r="AZ627" s="109">
        <f t="shared" si="1257"/>
        <v>0</v>
      </c>
      <c r="BA627" s="109">
        <f t="shared" si="1257"/>
        <v>0</v>
      </c>
      <c r="BB627" s="109">
        <f t="shared" si="1257"/>
        <v>0</v>
      </c>
      <c r="BC627" s="110">
        <f t="shared" si="1257"/>
        <v>0</v>
      </c>
      <c r="BD627" s="106">
        <f t="shared" si="1257"/>
        <v>0</v>
      </c>
      <c r="BE627" s="107">
        <f t="shared" si="1257"/>
        <v>0</v>
      </c>
      <c r="BF627" s="105">
        <f t="shared" si="1253"/>
        <v>0</v>
      </c>
      <c r="BG627" s="106">
        <f t="shared" si="1253"/>
        <v>0</v>
      </c>
      <c r="BH627" s="106">
        <f t="shared" si="1253"/>
        <v>0</v>
      </c>
      <c r="BI627" s="106">
        <f t="shared" si="1253"/>
        <v>0</v>
      </c>
      <c r="BJ627" s="106">
        <f t="shared" si="1253"/>
        <v>0</v>
      </c>
      <c r="BK627" s="106">
        <f t="shared" si="1253"/>
        <v>0</v>
      </c>
      <c r="BL627" s="106">
        <f t="shared" si="1253"/>
        <v>0</v>
      </c>
      <c r="BM627" s="108">
        <f t="shared" si="1253"/>
        <v>0</v>
      </c>
      <c r="BN627" s="109">
        <f t="shared" si="1253"/>
        <v>0</v>
      </c>
      <c r="BO627" s="109">
        <f t="shared" si="1253"/>
        <v>0</v>
      </c>
      <c r="BP627" s="109">
        <f t="shared" si="1253"/>
        <v>0</v>
      </c>
      <c r="BQ627" s="110">
        <f t="shared" si="1253"/>
        <v>0</v>
      </c>
      <c r="BR627" s="107">
        <f t="shared" si="1253"/>
        <v>0</v>
      </c>
      <c r="BS627" s="464"/>
      <c r="BT627" s="461"/>
      <c r="BU627" s="392"/>
      <c r="BV627" s="461"/>
      <c r="BW627" s="392"/>
      <c r="BX627" s="392"/>
      <c r="BY627" s="392"/>
      <c r="BZ627" s="461"/>
      <c r="CA627" s="392"/>
      <c r="CB627" s="392"/>
      <c r="CC627" s="392"/>
      <c r="CD627" s="401"/>
      <c r="CE627" s="409"/>
      <c r="CF627" s="133">
        <f t="shared" si="1156"/>
        <v>0</v>
      </c>
      <c r="CG627" s="134">
        <f t="shared" si="1157"/>
        <v>0</v>
      </c>
      <c r="CH627" s="134">
        <f t="shared" si="1158"/>
        <v>0</v>
      </c>
      <c r="CI627" s="134">
        <f t="shared" si="1159"/>
        <v>0</v>
      </c>
      <c r="CJ627" s="134">
        <f t="shared" si="1160"/>
        <v>0</v>
      </c>
      <c r="CK627" s="134">
        <f t="shared" si="1161"/>
        <v>0</v>
      </c>
      <c r="CL627" s="134">
        <f t="shared" si="1162"/>
        <v>0</v>
      </c>
      <c r="CM627" s="134">
        <f t="shared" si="1163"/>
        <v>0</v>
      </c>
      <c r="CN627" s="134">
        <f t="shared" si="1164"/>
        <v>0</v>
      </c>
      <c r="CO627" s="134">
        <f t="shared" si="1165"/>
        <v>0</v>
      </c>
      <c r="CP627" s="134">
        <f t="shared" si="1166"/>
        <v>0</v>
      </c>
      <c r="CQ627" s="134">
        <f t="shared" si="1167"/>
        <v>0</v>
      </c>
      <c r="CR627" s="134">
        <f t="shared" si="1168"/>
        <v>0</v>
      </c>
      <c r="CS627" s="134">
        <f t="shared" si="1169"/>
        <v>0</v>
      </c>
      <c r="CT627" s="115">
        <f t="shared" si="1170"/>
        <v>0</v>
      </c>
      <c r="CU627" s="116">
        <f t="shared" si="1171"/>
        <v>0</v>
      </c>
      <c r="CV627" s="116">
        <f t="shared" si="1172"/>
        <v>0</v>
      </c>
      <c r="CW627" s="116">
        <f t="shared" si="1173"/>
        <v>0</v>
      </c>
      <c r="CX627" s="116">
        <f t="shared" si="1174"/>
        <v>0</v>
      </c>
      <c r="CY627" s="116">
        <f t="shared" si="1175"/>
        <v>0</v>
      </c>
      <c r="CZ627" s="116">
        <f t="shared" si="1176"/>
        <v>0</v>
      </c>
      <c r="DA627" s="116">
        <f t="shared" si="1177"/>
        <v>0</v>
      </c>
      <c r="DB627" s="116">
        <f t="shared" si="1178"/>
        <v>0</v>
      </c>
      <c r="DC627" s="116">
        <f t="shared" si="1179"/>
        <v>0</v>
      </c>
      <c r="DD627" s="116">
        <f t="shared" si="1180"/>
        <v>0</v>
      </c>
      <c r="DE627" s="117">
        <f t="shared" si="1181"/>
        <v>0</v>
      </c>
      <c r="DF627" s="118">
        <f t="shared" si="1183"/>
        <v>36</v>
      </c>
      <c r="DG627" s="106">
        <f t="shared" si="1184"/>
        <v>47.227999999999994</v>
      </c>
      <c r="DH627" s="116">
        <f t="shared" si="1185"/>
        <v>14</v>
      </c>
      <c r="DI627" s="106">
        <f t="shared" si="1186"/>
        <v>60.05</v>
      </c>
      <c r="DJ627" s="201" t="str">
        <f>IF($D625="","",$D625)</f>
        <v>21</v>
      </c>
      <c r="DK627" s="466"/>
    </row>
    <row r="628" spans="1:115" ht="14.5" customHeight="1" x14ac:dyDescent="0.2">
      <c r="A628" s="487">
        <f>$A625+1</f>
        <v>209</v>
      </c>
      <c r="B628" s="506" t="str">
        <f>IF(OR(C628="W",C629="W",C630="W",C628="1/2W",C629="1/2W",C630="1/2W",C628="1/2L",C629="1/2L",C630="1/2L"),"OK",IF(OR(C628="L",C629="L",C630="L"),"LOSS",IF(OR(C628="X",C629="X",C630="X"),"Anulado"," ")))</f>
        <v>OK</v>
      </c>
      <c r="C628" s="147" t="s">
        <v>55</v>
      </c>
      <c r="D628" s="494" t="str">
        <f>IF(G628="","",$D625)</f>
        <v>21</v>
      </c>
      <c r="E628" s="511" t="str">
        <f>IF(G628=""," ","– "&amp;COUNTIF(D$4:D630,$D628))</f>
        <v>– 5</v>
      </c>
      <c r="F628" s="510" t="str">
        <f ca="1">IF(G628="","",IF(OR(AND($C628&lt;&gt;" ",$C629=" "),AND($C629&lt;&gt;" ",$C628=" "),AND(L630&gt;0,OR(AND($C630&lt;&gt;" ",OR($C628=" ",$C629=" ")),AND($C630=" ",OR($C628&lt;&gt;" ",$C629&lt;&gt;" "))))),IF(SUM(F$4:F627)=0,1,LARGE(F$4:F627,1)+1),IF(MONTH(G628)=MONTH(TODAY()),IF(AND(DAY(G628)&lt;DAY(TODAY()),$B628=" "),IF(SUM(F$4:F627)=0,1,LARGE(F$4:F627,1)+1),IF($B628=" ",IF(AND(DAY(G628)=DAY(TODAY()),HOUR(G628)&lt;=HOUR(NOW())+1),IF(AND(HOUR(G628)+2&lt;=HOUR(NOW()),DAY(G628)&lt;=DAY(TODAY()),MINUTE(G628)&lt;=MINUTE(NOW())),IF(SUM(F$4:F627)=0,1,LARGE(F$4:F627,1)+1),IF(OR(MINUTE(G628)&lt;=MINUTE(NOW()),HOUR(G628)&lt;=HOUR(NOW())),"!!!","")),""),"")),"")))</f>
        <v/>
      </c>
      <c r="G628" s="508">
        <v>45008.697916666664</v>
      </c>
      <c r="H628" s="502" t="s">
        <v>232</v>
      </c>
      <c r="I628" s="180" t="s">
        <v>51</v>
      </c>
      <c r="J628" s="181">
        <v>2.5</v>
      </c>
      <c r="K628" s="150" t="s">
        <v>47</v>
      </c>
      <c r="L628" s="151">
        <v>2.25</v>
      </c>
      <c r="M628" s="152"/>
      <c r="N628" s="503">
        <v>0.1</v>
      </c>
      <c r="O628" s="153">
        <f>IF(OR(AE628="",AE629=""),"",ROUND(IF(L630&gt;0,IF(M628&gt;0,M628,IF(M629&gt;0,ROUND((M629*AE628)/AE629,IF(N628=0,2,IF(N628=0.1,1,0))),ROUND((M630*AE628)/AE630,IF(N628=0,2,IF(N628=0.1,1,0))))),IF(M628&gt;0,M628,ROUND((M629*AE628)/AE629,IF(N628=0,2,IF(N628=0.1,1,0))))),2))</f>
        <v>7.9</v>
      </c>
      <c r="P628" s="154">
        <f>IF(OR(L628="",O628=""),"",IF($C628="1/2W",O628/2+O628/2*L628,IF($C628="1/2L",O628/2,IF(I628="Lay",(O628*(L628/(L628-1))-O628)*(1-_xlfn.XLOOKUP(K628,'Fevereiro 2023 - Valor Real'!A3:A15,'Fevereiro 2023 - Valor Real'!C3:C15,0))+O628,(O628*L628-O628)*(1-_xlfn.XLOOKUP(K628,'Fevereiro 2023 - Valor Real'!A3:A15,'Fevereiro 2023 - Valor Real'!C3:C15,0))+O628))))</f>
        <v>17.775000000000002</v>
      </c>
      <c r="Q628" s="155">
        <f>IF(K628="","",IF(_xlfn.XLOOKUP(K628,K$9:K620,$DJ$9:DJ620,0,,-1)=DJ628,_xlfn.XLOOKUP(K628,K$9:K620,Q$9:Q620,1,,-1)+1,1))</f>
        <v>3</v>
      </c>
      <c r="R628" s="156">
        <f>IF(K628="","",_xlfn.XLOOKUP(K628,K$9:K620,R$9:R620,0,,-1)+IF($C628=" ",1,0))</f>
        <v>0</v>
      </c>
      <c r="S628" s="501">
        <f>IF($B628="Anulado",0,ROUND(IF(OR($B628="LOSS",$B628="OK"),IF(OR($C628="W",$C628="1/2W",$C628="1/2L"),P628-O628,IF($C628="L",-O628,0))+IF(OR($C629="W",$C629="1/2W",$C629="1/2L"),P629-O629,IF($C629="L",-O629,0))+IF(OR($C630="W",$C630="1/2W",$C630="1/2L"),P630-O630,IF($C630="L",-O630,0)),IF(AND(OR($C628="W",$C628="1/2W",$C628="1/2L"),C629="W"),P628+P629-SUM(O628:O630)+_xlfn.XLOOKUP("X",C628:C630,O628:O630,0),IF(AND(C628=TRUE,C630="W"),P628+P630-SUM(O628:O630),IF(AND(C629="W",C630="W"),P629+P630-SUM(O628:O630)+_xlfn.XLOOKUP("X",C628:C630,O628:O630,0),IF(L630&gt;0,IF(OR($C628="W",$C628="1/2W",$C628="1/2L"),P628-SUM(O628:O630)+_xlfn.XLOOKUP("X",C628:C630,O628:O630,0),IF(OR($C628="W",$C628="1/2W",$C628="1/2L"),P629-SUM(O628:O630)+_xlfn.XLOOKUP("X",C628:C630,O628:O630,0),IF(OR($C628="W",$C628="1/2W",$C628="1/2L"),P630-SUM(O628:O630)+_xlfn.XLOOKUP("X",C628:C630,O628:O630,0),IF(SUM(P628:P630)/3-SUM(O628:O630)+_xlfn.XLOOKUP("X",C628:C630,O628:O630,0)&gt;0,SUM(P628:P630)/3-SUM(O628:O630)+_xlfn.XLOOKUP("X",C628:C630,O628:O630,0),LARGE(P628:P630,1)-SUM(O628:O630))))),IF(OR($C628="W",$C628="1/2W",$C628="1/2L"),P628-SUM(O628:O629)+_xlfn.XLOOKUP("X",C628:C630,O628:O630,0),IF(OR($C628="W",$C628="1/2W",$C628="1/2L"),P629-SUM(O628:O629)+_xlfn.XLOOKUP("X",C628:C630,O628:O630,0),SUM(P628:P629)/2-SUM(O628:O629)+_xlfn.XLOOKUP("X",C628:C630,O628:O630,0)))))))),2))</f>
        <v>0.79</v>
      </c>
      <c r="T628" s="486">
        <f>IF(S628=0,0,S628/SUM(O628:O630))</f>
        <v>4.6334310850439882E-2</v>
      </c>
      <c r="U628" s="496">
        <f>IF($D628=$D625,IF(OR($B628="LOSS",$B628="OK",$B628="Anulada"),S628,0)+U625,IF(OR($B628="LOSS",$B628="OK",$B628="Anulada"),S628,0))</f>
        <v>15.77</v>
      </c>
      <c r="V628" s="496">
        <f>IF($D628="",0,IF($D628=$D625,IF($B628=" ",IF(I630="",IF(OR(AND(I628="DNB1",I629="DNB2"),AND(OR(I628="DNB1",I628="DNB2"),J629=0),AND(OR(I629="DNB1",I629="DNB2"),J628=0),AND(I628="DNB2",I629="DNB1"),AND(IF(J628=0,(J628+1)/ROUND(J628+1,0),J628/ROUND(J628,0))=1,IF(J629=0,(J629+1)/ROUND(IF(J629="",0,J629)+1,0),IF(J629="",0,J629)/ROUND(IF(J629="",1,J629),0))=1,OR(J628&lt;&gt;""),J629&lt;&gt;"")),0,IF(S628&lt;0,IF(I630="",SMALL(P628:P629,1)-SUM(O628:O629),0),SMALL(P628:P629,1)-SUM(O628:O629))),IF(S628&lt;0,IF(I630="",SMALL(P628:P630,1)-SUM(O628:O630),0),LARGE(P628:P630,1)-SUM(O628:O630))),S628)+V625,IF(I630="",IF(OR(AND(I628="DNB1",I629="DNB2"),AND(OR(I628="DNB1",I628="DNB2"),J629=0),AND(OR(I629="DNB1",I629="DNB2"),J628=0),AND(I628="DNB2",I629="DNB1"),AND(IF(J628=0,(J628+1)/ROUND(J628+1,0),J628/ROUND(J628,0))=1,IF(J629=0,(IF(J629="",0,J629)+1)/ROUND(IF(J629="",0,J629)+1,0),IF(J629="",0,J629)/ROUND(IF(J629="",0,J629)+1,0))=1,OR(J628&lt;&gt;""),J629&lt;&gt;"")),0,IF(S628&lt;0,IF(I630="",SMALL(P628:P629,1)-SUM(O628:O629),0),SMALL(P628:P630,1)-SUM(O628:O630))),IF(S628&lt;0,IF(I630="",SMALL(P628:P630,1)-SUM(O628:O630),0),LARGE(P628:P630,1)-SUM(O628:O630)))))</f>
        <v>15.767999999999994</v>
      </c>
      <c r="W628" s="496">
        <f>IF($D628=$D625,IF(S628&lt;0,IF(I630="",S628,0),S628)+W625,S628)</f>
        <v>15.77</v>
      </c>
      <c r="X628" s="505" t="str">
        <f>IF(OR(SUM(R628:R630)=0,V628=W628),ROUND(IF(W628=0,0,W628/Y628)*100,2)&amp;"%",ROUND(IF(V628=0,0,V628/Y628)*100,2)&amp;"% a "&amp;ROUND(IF(W628=0,0,W628/Y628)*100,2)&amp;"%")</f>
        <v>10,45%</v>
      </c>
      <c r="Y628" s="497">
        <f>IF($D628=$D625,Y625+SUM(O628:O630),SUM(O628:O630))</f>
        <v>150.97000000000003</v>
      </c>
      <c r="Z628" s="496">
        <f>IF($B628=" ",SUM(O628:O630),0)+Z625</f>
        <v>0</v>
      </c>
      <c r="AA628" s="496">
        <f>IF(G628="","",IF($B628="Anulado",LARGE(P628:P630,1)-SUM(O628:O630)+AA625,AA625))</f>
        <v>13.381099999999991</v>
      </c>
      <c r="AB628" s="496">
        <f>IF($D628="","",AB625+S628)</f>
        <v>693.40000000000043</v>
      </c>
      <c r="AC628" s="499">
        <f ca="1">IF($D628="","",IF($B628=" ",IF(DAY(G628)=DAY(TODAY()),1+AC625,0+AC625),0+AC625))</f>
        <v>0</v>
      </c>
      <c r="AD628" s="157">
        <f>(1-_xlfn.XLOOKUP(K626,'Fevereiro 2023 - Valor Real'!A3:A15,'Fevereiro 2023 - Valor Real'!C3:C15,0))+1</f>
        <v>2</v>
      </c>
      <c r="AE628" s="158">
        <f>IF(L628="","",IF(L630&gt;0,(SUM(((L628-1)*(1-_xlfn.XLOOKUP(K628,'Fevereiro 2023 - Valor Real'!A3:A15,'Fevereiro 2023 - Valor Real'!C3:C15,0))+1),((L629-1)*(1-_xlfn.XLOOKUP(K629,'Fevereiro 2023 - Valor Real'!A3:A15,'Fevereiro 2023 - Valor Real'!C3:C15,0))+1),((L630-1)*(1-_xlfn.XLOOKUP(K630,'Fevereiro 2023 - Valor Real'!A3:A15,'Fevereiro 2023 - Valor Real'!C3:C15,0))+1))/((L628-1)*(1-_xlfn.XLOOKUP(K628,'Fevereiro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Real'!C3:C15,0))+1))/((L628-1)*(1-_xlfn.XLOOKUP(K628,'Fevereiro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Real'!C3:C15,0))+1))/((L629-1)*(1-_xlfn.XLOOKUP(K629,'Fevereiro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Real'!C3:C15,0))+1))/((L630-1)*(1-_xlfn.XLOOKUP(K630,'Fevereiro 2023 - Valor Real'!A3:A15,'Fevereiro 2023 - Valor Real'!C3:C15,0))+1)),IF(I628="Lay",IF(I629="Lay",((L629/(L629-1)-1)*(1-_xlfn.XLOOKUP(K629,'Fevereiro 2023 - Valor Real'!A3:A15,'Fevereiro 2023 - Valor Real'!C3:C15,0))+1)/(((L629/(L629-1)-1)*(1-_xlfn.XLOOKUP(K629,'Fevereiro 2023 - Valor Real'!A3:A15,'Fevereiro 2023 - Valor Real'!C3:C15,0))+1)+((L628/(L628-1)-1)*(1-_xlfn.XLOOKUP(K628,'Fevereiro 2023 - Valor Real'!A3:A15,'Fevereiro 2023 - Valor Real'!C3:C15,0))+1)),((L629-1)*(1-_xlfn.XLOOKUP(K629,'Fevereiro 2023 - Valor Real'!A3:A15,'Fevereiro 2023 - Valor Real'!C3:C15,0))+1)/(((L629-1)*(1-_xlfn.XLOOKUP(K629,'Fevereiro 2023 - Valor Real'!A3:A15,'Fevereiro 2023 - Valor Real'!C3:C15,0))+1)+((L628/(L628-1)-1)*(1-_xlfn.XLOOKUP(K628,'Fevereiro 2023 - Valor Real'!A3:A15,'Fevereiro 2023 - Valor Real'!C3:C15,0))+1))),IF(I629="Lay",(((L629/(L629-1)-1)*(1-_xlfn.XLOOKUP(K629,'Fevereiro 2023 - Valor Real'!A3:A15,'Fevereiro 2023 - Valor Real'!C3:C15,0))+1))/(((L628-1)*(1-_xlfn.XLOOKUP(K628,'Fevereiro 2023 - Valor Real'!A3:A15,'Fevereiro 2023 - Valor Real'!C3:C15,0))+1)+((L629/(L629-1)-1)*(1-_xlfn.XLOOKUP(K629,'Fevereiro 2023 - Valor Real'!A3:A15,'Fevereiro 2023 - Valor Real'!C3:C15,0))+1)),((L629-1)*(1-_xlfn.XLOOKUP(K629,'Fevereiro 2023 - Valor Real'!A3:A15,'Fevereiro 2023 - Valor Real'!C3:C15,0))+1)/(((L629-1)*(1-_xlfn.XLOOKUP(K629,'Fevereiro 2023 - Valor Real'!A3:A15,'Fevereiro 2023 - Valor Real'!C3:C15,0))+1)+((L628-1)*(1-_xlfn.XLOOKUP(K628,'Fevereiro 2023 - Valor Real'!A3:A15,'Fevereiro 2023 - Valor Real'!C3:C15,0))+1))))))</f>
        <v>0.46428571428571425</v>
      </c>
      <c r="AF628" s="66">
        <f t="shared" si="1251"/>
        <v>0</v>
      </c>
      <c r="AG628" s="67">
        <f t="shared" si="1251"/>
        <v>0</v>
      </c>
      <c r="AH628" s="67">
        <f t="shared" si="1251"/>
        <v>0</v>
      </c>
      <c r="AI628" s="67">
        <f t="shared" si="1251"/>
        <v>0</v>
      </c>
      <c r="AJ628" s="67">
        <f t="shared" si="1251"/>
        <v>0</v>
      </c>
      <c r="AK628" s="67">
        <f t="shared" si="1251"/>
        <v>0</v>
      </c>
      <c r="AL628" s="67">
        <f t="shared" si="1251"/>
        <v>0</v>
      </c>
      <c r="AM628" s="67">
        <f t="shared" si="1251"/>
        <v>0</v>
      </c>
      <c r="AN628" s="67">
        <f t="shared" si="1251"/>
        <v>0</v>
      </c>
      <c r="AO628" s="67">
        <f t="shared" si="1251"/>
        <v>0</v>
      </c>
      <c r="AP628" s="67">
        <f t="shared" si="1251"/>
        <v>0</v>
      </c>
      <c r="AQ628" s="67">
        <f t="shared" si="1251"/>
        <v>-7.9</v>
      </c>
      <c r="AR628" s="68">
        <f t="shared" si="1251"/>
        <v>0</v>
      </c>
      <c r="AS628" s="66">
        <f t="shared" ref="AS628:BE628" si="1258">IF(AND($B628=" ",$K628=AS$3),$O628,0)</f>
        <v>0</v>
      </c>
      <c r="AT628" s="67">
        <f t="shared" si="1258"/>
        <v>0</v>
      </c>
      <c r="AU628" s="67">
        <f t="shared" si="1258"/>
        <v>0</v>
      </c>
      <c r="AV628" s="67">
        <f t="shared" si="1258"/>
        <v>0</v>
      </c>
      <c r="AW628" s="67">
        <f t="shared" si="1258"/>
        <v>0</v>
      </c>
      <c r="AX628" s="67">
        <f t="shared" si="1258"/>
        <v>0</v>
      </c>
      <c r="AY628" s="69">
        <f t="shared" si="1258"/>
        <v>0</v>
      </c>
      <c r="AZ628" s="70">
        <f t="shared" si="1258"/>
        <v>0</v>
      </c>
      <c r="BA628" s="70">
        <f t="shared" si="1258"/>
        <v>0</v>
      </c>
      <c r="BB628" s="70">
        <f t="shared" si="1258"/>
        <v>0</v>
      </c>
      <c r="BC628" s="71">
        <f t="shared" si="1258"/>
        <v>0</v>
      </c>
      <c r="BD628" s="67">
        <f t="shared" si="1258"/>
        <v>0</v>
      </c>
      <c r="BE628" s="68">
        <f t="shared" si="1258"/>
        <v>0</v>
      </c>
      <c r="BF628" s="66">
        <f t="shared" si="1253"/>
        <v>0</v>
      </c>
      <c r="BG628" s="67">
        <f t="shared" si="1253"/>
        <v>0</v>
      </c>
      <c r="BH628" s="67">
        <f t="shared" si="1253"/>
        <v>0</v>
      </c>
      <c r="BI628" s="67">
        <f t="shared" si="1253"/>
        <v>0</v>
      </c>
      <c r="BJ628" s="67">
        <f t="shared" si="1253"/>
        <v>0</v>
      </c>
      <c r="BK628" s="67">
        <f t="shared" si="1253"/>
        <v>0</v>
      </c>
      <c r="BL628" s="67">
        <f t="shared" si="1253"/>
        <v>0</v>
      </c>
      <c r="BM628" s="69">
        <f t="shared" si="1253"/>
        <v>0</v>
      </c>
      <c r="BN628" s="70">
        <f t="shared" si="1253"/>
        <v>0</v>
      </c>
      <c r="BO628" s="70">
        <f t="shared" si="1253"/>
        <v>0</v>
      </c>
      <c r="BP628" s="70">
        <f t="shared" si="1253"/>
        <v>0</v>
      </c>
      <c r="BQ628" s="71">
        <f t="shared" si="1253"/>
        <v>7.9</v>
      </c>
      <c r="BR628" s="68">
        <f t="shared" si="1253"/>
        <v>0</v>
      </c>
      <c r="BS628" s="490">
        <f>IF($B628="LOSS",IF(AND($K628=BS$3,$C628="L"),-$O628,0)+IF(AND($K629=BS$3,$C629="L"),-$O629,0)+IF(AND($K630=BS$3,$C630="L"),-$O630,0),IF(OR(AND($K628=BS$3,OR($C628="W",$C628="1/2W")),AND($K629=BS$3,OR($C629="W",$C629="1/2W")),AND($K630=BS$3,OR($C630="W",$C630="1/2W"))),$S628,0))</f>
        <v>0</v>
      </c>
      <c r="BT628" s="498">
        <f>IF($B628="LOSS",IF(AND($K628=BT$3,$C628="L"),-$O628,0)+IF(AND($K629=BT$3,$C629="L"),-$O629,0)+IF(AND($K629=BT$3,$C630="L"),-$O630,0),IF(OR(AND($K629=BT$3,OR($C628="W",$C628="1/2W")),AND($K629=BT$3,OR($C629="W",$C629="1/2W")),AND($K629=BT$3,OR($C630="W",$C630="1/2W"))),$S628,0))</f>
        <v>0.79</v>
      </c>
      <c r="BU628" s="488">
        <f>IF($B628="LOSS",IF(AND($K628=BU$3,$C628="L"),-$O628,0)+IF(AND($K629=BU$3,$C629="L"),-$O629,0)+IF(AND($K629=BU$3,$C630="L"),-$O630,0),IF(OR(AND($K629=BU$3,OR($C628="W",$C628="1/2W")),AND($K629=BU$3,OR($C629="W",$C629="1/2W")),AND($K629=BU$3,OR($C630="W",$C630="1/2W"))),$S628,0))</f>
        <v>0</v>
      </c>
      <c r="BV628" s="488">
        <f t="shared" ref="BV628:CE628" si="1259">IF($B628="LOSS",IF(AND($K628=BV$3,$C628="L"),-$O628,0)+IF(AND($K629=BV$3,$C629="L"),-$O629,0)+IF(AND($K630=BV$3,$C630="L"),-$O630,0),IF(OR(AND($K628=BV$3,OR($C628="W",$C628="1/2W")),AND($K629=BV$3,OR($C629="W",$C629="1/2W")),AND($K630=BV$3,OR($C630="W",$C630="1/2W"))),$S628,0))</f>
        <v>0</v>
      </c>
      <c r="BW628" s="488">
        <f t="shared" si="1259"/>
        <v>0</v>
      </c>
      <c r="BX628" s="488">
        <f t="shared" si="1259"/>
        <v>0</v>
      </c>
      <c r="BY628" s="488">
        <f t="shared" si="1259"/>
        <v>0</v>
      </c>
      <c r="BZ628" s="488">
        <f t="shared" si="1259"/>
        <v>0</v>
      </c>
      <c r="CA628" s="488">
        <f t="shared" si="1259"/>
        <v>0</v>
      </c>
      <c r="CB628" s="488">
        <f t="shared" si="1259"/>
        <v>0</v>
      </c>
      <c r="CC628" s="488">
        <f t="shared" si="1259"/>
        <v>0</v>
      </c>
      <c r="CD628" s="500">
        <f t="shared" si="1259"/>
        <v>0</v>
      </c>
      <c r="CE628" s="504">
        <f t="shared" si="1259"/>
        <v>0</v>
      </c>
      <c r="CF628" s="160">
        <f t="shared" si="1156"/>
        <v>0</v>
      </c>
      <c r="CG628" s="161">
        <f t="shared" si="1157"/>
        <v>0</v>
      </c>
      <c r="CH628" s="161">
        <f t="shared" si="1158"/>
        <v>0</v>
      </c>
      <c r="CI628" s="161">
        <f t="shared" si="1159"/>
        <v>0</v>
      </c>
      <c r="CJ628" s="161">
        <f t="shared" si="1160"/>
        <v>0</v>
      </c>
      <c r="CK628" s="161">
        <f t="shared" si="1161"/>
        <v>0</v>
      </c>
      <c r="CL628" s="161">
        <f t="shared" si="1162"/>
        <v>0</v>
      </c>
      <c r="CM628" s="161">
        <f t="shared" si="1163"/>
        <v>0</v>
      </c>
      <c r="CN628" s="161">
        <f t="shared" si="1164"/>
        <v>0</v>
      </c>
      <c r="CO628" s="161">
        <f t="shared" si="1165"/>
        <v>0</v>
      </c>
      <c r="CP628" s="161">
        <f t="shared" si="1166"/>
        <v>0</v>
      </c>
      <c r="CQ628" s="161">
        <f t="shared" si="1167"/>
        <v>0</v>
      </c>
      <c r="CR628" s="161">
        <f t="shared" si="1168"/>
        <v>0</v>
      </c>
      <c r="CS628" s="161">
        <f t="shared" si="1169"/>
        <v>0</v>
      </c>
      <c r="CT628" s="75">
        <f t="shared" si="1170"/>
        <v>0</v>
      </c>
      <c r="CU628" s="76">
        <f t="shared" si="1171"/>
        <v>0</v>
      </c>
      <c r="CV628" s="76">
        <f t="shared" si="1172"/>
        <v>0</v>
      </c>
      <c r="CW628" s="76">
        <f t="shared" si="1173"/>
        <v>0</v>
      </c>
      <c r="CX628" s="76">
        <f t="shared" si="1174"/>
        <v>0</v>
      </c>
      <c r="CY628" s="76">
        <f t="shared" si="1175"/>
        <v>0</v>
      </c>
      <c r="CZ628" s="76">
        <f t="shared" si="1176"/>
        <v>0</v>
      </c>
      <c r="DA628" s="76">
        <f t="shared" si="1177"/>
        <v>0</v>
      </c>
      <c r="DB628" s="76">
        <f t="shared" si="1178"/>
        <v>0</v>
      </c>
      <c r="DC628" s="76">
        <f t="shared" si="1179"/>
        <v>1</v>
      </c>
      <c r="DD628" s="76">
        <f t="shared" si="1180"/>
        <v>0</v>
      </c>
      <c r="DE628" s="77">
        <f t="shared" si="1181"/>
        <v>0</v>
      </c>
      <c r="DF628" s="73">
        <f t="shared" si="1183"/>
        <v>36</v>
      </c>
      <c r="DG628" s="67">
        <f t="shared" si="1184"/>
        <v>47.227999999999994</v>
      </c>
      <c r="DH628" s="76">
        <f t="shared" si="1185"/>
        <v>14</v>
      </c>
      <c r="DI628" s="67">
        <f t="shared" si="1186"/>
        <v>60.05</v>
      </c>
      <c r="DJ628" s="202" t="str">
        <f>IF($D628="","",$D628)</f>
        <v>21</v>
      </c>
      <c r="DK628" s="492">
        <f>IF(AND($B628=" ",$D628&lt;&gt;""),1,0)</f>
        <v>0</v>
      </c>
    </row>
    <row r="629" spans="1:115" ht="14.5" customHeight="1" x14ac:dyDescent="0.2">
      <c r="A629" s="389"/>
      <c r="B629" s="456"/>
      <c r="C629" s="53" t="s">
        <v>54</v>
      </c>
      <c r="D629" s="374"/>
      <c r="E629" s="386"/>
      <c r="F629" s="377"/>
      <c r="G629" s="508"/>
      <c r="H629" s="476"/>
      <c r="I629" s="182" t="s">
        <v>52</v>
      </c>
      <c r="J629" s="56">
        <f>IF(OR(I628="TO",I628="TU",I628="TO1",I628="TU1",I628="TO2",I628="TU2"),J628,IF(OR(I628="AH1",I628="AH2"),IF(OR(I629="AH1",I629="AH2"),-J628,IF(OR(I629="EH1",I629="EH2"),-J628+0.5,"")),IF(OR(I628="EH1",I628="EH2"),IF(OR(I629="AH1",I629="AH2"),-J628+0.5,IF(OR(I629="EH1",I629="EH2"),-J628+1,"")),IF(AND(OR(I628="DNB1",I628="DNB2"),OR(I629="AH1",I629="AH2")),0,IF(AND(I628="Not ScoreBoth",OR(I629="TO1",I629="TO2")),0.5,"")))))</f>
        <v>2.5</v>
      </c>
      <c r="K629" s="57" t="s">
        <v>37</v>
      </c>
      <c r="L629" s="164">
        <v>1.95</v>
      </c>
      <c r="M629" s="165">
        <v>9.15</v>
      </c>
      <c r="N629" s="406"/>
      <c r="O629" s="60">
        <f>IF(OR(AE628="",AE629=""),"",ROUND(IF(L630&gt;0,IF(M629&gt;0,M629,IF(M628&gt;0,IF(N628=TRUE,ROUND((M628*AE629)/AE628,0),(M628*AE629)/AE628),IF(M629&gt;0,ROUND(M629,IF(N628=0,2,IF(N628=0.1,1,0))),IF(M630&gt;0,ROUND(O630*AE629/AE630,IF(N628=0,2,IF(N628=0.1,1,0))),0)))),IF(M629&gt;0,M629,ROUND((M628*AE629)/AE628,IF(N628=0,2,IF(N628=0.1,1,0))))),2))</f>
        <v>9.15</v>
      </c>
      <c r="P629" s="61">
        <f>IF(OR(L629="",O629=""),"",IF($C629="1/2W",O629/2+O629/2*L629,IF($C629="1/2L",O629/2,IF(I629="Lay",((O629*(L629/(L629-1)))-O629)*(1-_xlfn.XLOOKUP(K629,'Fevereiro 2023 - Valor Real'!A3:A15,'Fevereiro 2023 - Valor Real'!C3:C15,0))+O629,(O629*L629-O629)*(1-_xlfn.XLOOKUP(K629,'Fevereiro 2023 - Valor Real'!A3:A15,'Fevereiro 2023 - Valor Real'!C3:C15,0))+O629))))</f>
        <v>17.842500000000001</v>
      </c>
      <c r="Q629" s="166">
        <f>IF(K629="","",IF(_xlfn.XLOOKUP(K629,K$10:K620,$DJ$10:DJ620,0,,-1)=DJ629,_xlfn.XLOOKUP(K629,K$10:K620,Q$10:Q620,1,,-1)+1,1))</f>
        <v>1</v>
      </c>
      <c r="R629" s="167">
        <f>IF(K629="","",_xlfn.XLOOKUP(K629,K$10:K620,R$10:R620,0,,-1)+IF($C629=" ",1,0))</f>
        <v>0</v>
      </c>
      <c r="S629" s="403"/>
      <c r="T629" s="380"/>
      <c r="U629" s="380"/>
      <c r="V629" s="481"/>
      <c r="W629" s="380"/>
      <c r="X629" s="452"/>
      <c r="Y629" s="383"/>
      <c r="Z629" s="384"/>
      <c r="AA629" s="384"/>
      <c r="AB629" s="384"/>
      <c r="AC629" s="384"/>
      <c r="AD629" s="64"/>
      <c r="AE629" s="65">
        <f>IF(L629="","",IF(L630&gt;0,(SUM(((L628-1)*(1-_xlfn.XLOOKUP(K628,'Fevereiro 2023 - Valor Real'!A3:A15,'Fevereiro 2023 - Valor Real'!C3:C15,0))+1),((L629-1)*(1-_xlfn.XLOOKUP(K629,'Fevereiro 2023 - Valor Real'!A3:A15,'Fevereiro 2023 - Valor Real'!C3:C15,0))+1),((L630-1)*(1-_xlfn.XLOOKUP(K630,'Fevereiro 2023 - Valor Real'!A3:A15,'Fevereiro 2023 - Valor Real'!C3:C15,0))+1))/((L629-1)*(1-_xlfn.XLOOKUP(K629,'Fevereiro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Real'!C3:C15,0))+1))/((L628-1)*(1-_xlfn.XLOOKUP(K628,'Fevereiro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Real'!C3:C15,0))+1))/((L629-1)*(1-_xlfn.XLOOKUP(K629,'Fevereiro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Real'!C3:C15,0))+1))/((L630-1)*(1-_xlfn.XLOOKUP(K630,'Fevereiro 2023 - Valor Real'!A3:A15,'Fevereiro 2023 - Valor Real'!C3:C15,0))+1)),IF(I629="Lay",IF(I628="Lay",((L628/(L628-1)-1)*(1-_xlfn.XLOOKUP(K628,'Fevereiro 2023 - Valor Real'!A3:A15,'Fevereiro 2023 - Valor Real'!C3:C15,0))+1)/(((L628/(L628-1)-1)*(1-_xlfn.XLOOKUP(K628,'Fevereiro 2023 - Valor Real'!A3:A15,'Fevereiro 2023 - Valor Real'!C3:C15,0))+1)+((L629/(L629-1)-1)*(1-_xlfn.XLOOKUP(K629,'Fevereiro 2023 - Valor Real'!A3:A15,'Fevereiro 2023 - Valor Real'!C3:C15,0))+1)),((L628-1)*(1-_xlfn.XLOOKUP(K628,'Fevereiro 2023 - Valor Real'!A3:A15,'Fevereiro 2023 - Valor Real'!C3:C15,0))+1)/(((L628-1)*(1-_xlfn.XLOOKUP(K628,'Fevereiro 2023 - Valor Real'!A3:A15,'Fevereiro 2023 - Valor Real'!C3:C15,0))+1)+((L629/(L629-1)-1)*(1-_xlfn.XLOOKUP(K629,'Fevereiro 2023 - Valor Real'!A3:A15,'Fevereiro 2023 - Valor Real'!C3:C15,0))+1))),IF(I628="Lay",((L628/(L628-1)-1)*(1-_xlfn.XLOOKUP(K628,'Fevereiro 2023 - Valor Real'!A3:A15,'Fevereiro 2023 - Valor Real'!C3:C15,0))+1)/((((L628/(L628-1)-1)*(1-_xlfn.XLOOKUP(K628,'Fevereiro 2023 - Valor Real'!A3:A15,'Fevereiro 2023 - Valor Real'!C3:C15,0))+1))+((L629-1)*(1-_xlfn.XLOOKUP(K629,'Fevereiro 2023 - Valor Real'!A3:A15,'Fevereiro 2023 - Valor Real'!C3:C15,0))+1)),((L628-1)*(1-_xlfn.XLOOKUP(K628,'Fevereiro 2023 - Valor Real'!A3:A15,'Fevereiro 2023 - Valor Real'!C3:C15,0))+1)/(((L628-1)*(1-_xlfn.XLOOKUP(K628,'Fevereiro 2023 - Valor Real'!A3:A15,'Fevereiro 2023 - Valor Real'!C3:C15,0))+1)+((L629-1)*(1-_xlfn.XLOOKUP(K629,'Fevereiro 2023 - Valor Real'!A3:A15,'Fevereiro 2023 - Valor Real'!C3:C15,0))+1))))))</f>
        <v>0.5357142857142857</v>
      </c>
      <c r="AF629" s="66">
        <f t="shared" si="1251"/>
        <v>0</v>
      </c>
      <c r="AG629" s="67">
        <f t="shared" si="1251"/>
        <v>8.69</v>
      </c>
      <c r="AH629" s="67">
        <f t="shared" si="1251"/>
        <v>0</v>
      </c>
      <c r="AI629" s="67">
        <f t="shared" si="1251"/>
        <v>0</v>
      </c>
      <c r="AJ629" s="67">
        <f t="shared" si="1251"/>
        <v>0</v>
      </c>
      <c r="AK629" s="67">
        <f t="shared" si="1251"/>
        <v>0</v>
      </c>
      <c r="AL629" s="67">
        <f t="shared" si="1251"/>
        <v>0</v>
      </c>
      <c r="AM629" s="67">
        <f t="shared" si="1251"/>
        <v>0</v>
      </c>
      <c r="AN629" s="67">
        <f t="shared" si="1251"/>
        <v>0</v>
      </c>
      <c r="AO629" s="67">
        <f t="shared" si="1251"/>
        <v>0</v>
      </c>
      <c r="AP629" s="67">
        <f t="shared" si="1251"/>
        <v>0</v>
      </c>
      <c r="AQ629" s="67">
        <f t="shared" si="1251"/>
        <v>0</v>
      </c>
      <c r="AR629" s="68">
        <f t="shared" si="1251"/>
        <v>0</v>
      </c>
      <c r="AS629" s="66">
        <f>IF(AND($B628=" ",$K629=AS$3),$O629,0)</f>
        <v>0</v>
      </c>
      <c r="AT629" s="67">
        <f>IF(AND($B628=" ",K629=AT$3),$O629,0)</f>
        <v>0</v>
      </c>
      <c r="AU629" s="67">
        <f t="shared" ref="AU629:BE629" si="1260">IF(AND($B628=" ",$K629=AU$3),$O629,0)</f>
        <v>0</v>
      </c>
      <c r="AV629" s="67">
        <f t="shared" si="1260"/>
        <v>0</v>
      </c>
      <c r="AW629" s="67">
        <f t="shared" si="1260"/>
        <v>0</v>
      </c>
      <c r="AX629" s="67">
        <f t="shared" si="1260"/>
        <v>0</v>
      </c>
      <c r="AY629" s="69">
        <f t="shared" si="1260"/>
        <v>0</v>
      </c>
      <c r="AZ629" s="70">
        <f t="shared" si="1260"/>
        <v>0</v>
      </c>
      <c r="BA629" s="70">
        <f t="shared" si="1260"/>
        <v>0</v>
      </c>
      <c r="BB629" s="70">
        <f t="shared" si="1260"/>
        <v>0</v>
      </c>
      <c r="BC629" s="71">
        <f t="shared" si="1260"/>
        <v>0</v>
      </c>
      <c r="BD629" s="67">
        <f t="shared" si="1260"/>
        <v>0</v>
      </c>
      <c r="BE629" s="68">
        <f t="shared" si="1260"/>
        <v>0</v>
      </c>
      <c r="BF629" s="66">
        <f t="shared" si="1253"/>
        <v>0</v>
      </c>
      <c r="BG629" s="168">
        <f t="shared" si="1253"/>
        <v>9.15</v>
      </c>
      <c r="BH629" s="67">
        <f t="shared" si="1253"/>
        <v>0</v>
      </c>
      <c r="BI629" s="67">
        <f t="shared" si="1253"/>
        <v>0</v>
      </c>
      <c r="BJ629" s="67">
        <f t="shared" si="1253"/>
        <v>0</v>
      </c>
      <c r="BK629" s="67">
        <f t="shared" si="1253"/>
        <v>0</v>
      </c>
      <c r="BL629" s="67">
        <f t="shared" si="1253"/>
        <v>0</v>
      </c>
      <c r="BM629" s="69">
        <f t="shared" si="1253"/>
        <v>0</v>
      </c>
      <c r="BN629" s="70">
        <f t="shared" si="1253"/>
        <v>0</v>
      </c>
      <c r="BO629" s="70">
        <f t="shared" si="1253"/>
        <v>0</v>
      </c>
      <c r="BP629" s="70">
        <f t="shared" si="1253"/>
        <v>0</v>
      </c>
      <c r="BQ629" s="71">
        <f t="shared" si="1253"/>
        <v>0</v>
      </c>
      <c r="BR629" s="68">
        <f t="shared" si="1253"/>
        <v>0</v>
      </c>
      <c r="BS629" s="491"/>
      <c r="BT629" s="489"/>
      <c r="BU629" s="392"/>
      <c r="BV629" s="489"/>
      <c r="BW629" s="392"/>
      <c r="BX629" s="392"/>
      <c r="BY629" s="392"/>
      <c r="BZ629" s="489"/>
      <c r="CA629" s="392"/>
      <c r="CB629" s="392"/>
      <c r="CC629" s="392"/>
      <c r="CD629" s="401"/>
      <c r="CE629" s="409"/>
      <c r="CF629" s="169">
        <f t="shared" si="1156"/>
        <v>0</v>
      </c>
      <c r="CG629" s="170">
        <f t="shared" si="1157"/>
        <v>0</v>
      </c>
      <c r="CH629" s="170">
        <f t="shared" si="1158"/>
        <v>1</v>
      </c>
      <c r="CI629" s="170">
        <f t="shared" si="1159"/>
        <v>0</v>
      </c>
      <c r="CJ629" s="170">
        <f t="shared" si="1160"/>
        <v>0</v>
      </c>
      <c r="CK629" s="170">
        <f t="shared" si="1161"/>
        <v>0</v>
      </c>
      <c r="CL629" s="170">
        <f t="shared" si="1162"/>
        <v>0</v>
      </c>
      <c r="CM629" s="170">
        <f t="shared" si="1163"/>
        <v>0</v>
      </c>
      <c r="CN629" s="170">
        <f t="shared" si="1164"/>
        <v>0</v>
      </c>
      <c r="CO629" s="170">
        <f t="shared" si="1165"/>
        <v>0</v>
      </c>
      <c r="CP629" s="170">
        <f t="shared" si="1166"/>
        <v>0</v>
      </c>
      <c r="CQ629" s="170">
        <f t="shared" si="1167"/>
        <v>0</v>
      </c>
      <c r="CR629" s="170">
        <f t="shared" si="1168"/>
        <v>0</v>
      </c>
      <c r="CS629" s="170">
        <f t="shared" si="1169"/>
        <v>0</v>
      </c>
      <c r="CT629" s="75">
        <f t="shared" si="1170"/>
        <v>0</v>
      </c>
      <c r="CU629" s="76">
        <f t="shared" si="1171"/>
        <v>0</v>
      </c>
      <c r="CV629" s="76">
        <f t="shared" si="1172"/>
        <v>0</v>
      </c>
      <c r="CW629" s="76">
        <f t="shared" si="1173"/>
        <v>0</v>
      </c>
      <c r="CX629" s="76">
        <f t="shared" si="1174"/>
        <v>0</v>
      </c>
      <c r="CY629" s="76">
        <f t="shared" si="1175"/>
        <v>0</v>
      </c>
      <c r="CZ629" s="76">
        <f t="shared" si="1176"/>
        <v>0</v>
      </c>
      <c r="DA629" s="76">
        <f t="shared" si="1177"/>
        <v>0</v>
      </c>
      <c r="DB629" s="76">
        <f t="shared" si="1178"/>
        <v>0</v>
      </c>
      <c r="DC629" s="76">
        <f t="shared" si="1179"/>
        <v>0</v>
      </c>
      <c r="DD629" s="76">
        <f t="shared" si="1180"/>
        <v>0</v>
      </c>
      <c r="DE629" s="77">
        <f t="shared" si="1181"/>
        <v>0</v>
      </c>
      <c r="DF629" s="73">
        <f t="shared" si="1183"/>
        <v>36</v>
      </c>
      <c r="DG629" s="67">
        <f t="shared" si="1184"/>
        <v>47.227999999999994</v>
      </c>
      <c r="DH629" s="76">
        <f t="shared" si="1185"/>
        <v>14</v>
      </c>
      <c r="DI629" s="67">
        <f t="shared" si="1186"/>
        <v>60.05</v>
      </c>
      <c r="DJ629" s="202" t="str">
        <f>IF($D628="","",$D628)</f>
        <v>21</v>
      </c>
      <c r="DK629" s="493"/>
    </row>
    <row r="630" spans="1:115" ht="14.5" customHeight="1" x14ac:dyDescent="0.2">
      <c r="A630" s="390"/>
      <c r="B630" s="457"/>
      <c r="C630" s="79" t="s">
        <v>53</v>
      </c>
      <c r="D630" s="375"/>
      <c r="E630" s="387"/>
      <c r="F630" s="378"/>
      <c r="G630" s="508"/>
      <c r="H630" s="477"/>
      <c r="I630" s="171"/>
      <c r="J630" s="172"/>
      <c r="K630" s="81"/>
      <c r="L630" s="173"/>
      <c r="M630" s="174"/>
      <c r="N630" s="407"/>
      <c r="O630" s="86" t="str">
        <f>IF(OR(AE628="",AE629=""),"",IF(L630&gt;0,ROUND(IF(M630&gt;0,M630,IF(M628&gt;0,ROUND((M628*AE630)/AE628,IF(N628=0,2,IF(N628=0.1,1,0))),IF(M629&gt;0,ROUND((M629*AE630)/AE629,IF(N628=0,2,IF(N628=0.1,1,0))),IF(M630&gt;0,M630,0)))),2),""))</f>
        <v/>
      </c>
      <c r="P630" s="87" t="str">
        <f>IF(I629="Lay",O629*(L629/(L629-1))-O629,IF(I628="Lay",O628*(L628/(L628-1))-O628,IF(OR(L630="",O630=""),"",IF($C630="1/2W",O630/2+O630/2*L630,IF($C630="1/2L",O630/2,(O630*L630-O630)*(1-_xlfn.XLOOKUP(K630,'Fevereiro 2023 - Valor Real'!A3:A15,'Fevereiro 2023 - Valor Real'!C3:C15,0))+O630)))))</f>
        <v/>
      </c>
      <c r="Q630" s="54" t="str">
        <f>IF(K630="","",IF(_xlfn.XLOOKUP(K630,K$11:K620,$DJ$11:DJ620,0,,-1)=DJ630,_xlfn.XLOOKUP(K630,K$11:K620,Q$11:Q620,1,,-1)+1,1))</f>
        <v/>
      </c>
      <c r="R630" s="87" t="str">
        <f>IF(K630="","",_xlfn.XLOOKUP(K630,K$11:K620,R$11:R620,0,,-1)+IF($C630=" ",1,0))</f>
        <v/>
      </c>
      <c r="S630" s="404"/>
      <c r="T630" s="378"/>
      <c r="U630" s="378"/>
      <c r="V630" s="404"/>
      <c r="W630" s="378"/>
      <c r="X630" s="453"/>
      <c r="Y630" s="383"/>
      <c r="Z630" s="384"/>
      <c r="AA630" s="384"/>
      <c r="AB630" s="384"/>
      <c r="AC630" s="384"/>
      <c r="AD630" s="90"/>
      <c r="AE630" s="91" t="str">
        <f>IF(L630="","",(SUM(((L628-1)*(1-_xlfn.XLOOKUP(K628,'Fevereiro 2023 - Valor Real'!A3:A15,'Fevereiro 2023 - Valor Real'!C3:C15,0))+1),((L629-1)*(1-_xlfn.XLOOKUP(K629,'Fevereiro 2023 - Valor Real'!A3:A15,'Fevereiro 2023 - Valor Real'!C3:C15,0))+1),((L630-1)*(1-_xlfn.XLOOKUP(K630,'Fevereiro 2023 - Valor Real'!A3:A15,'Fevereiro 2023 - Valor Real'!C3:C15,0))+1))/((L630-1)*(1-_xlfn.XLOOKUP(K630,'Fevereiro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Real'!C3:C15,0))+1))/((L628-1)*(1-_xlfn.XLOOKUP(K628,'Fevereiro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Real'!C3:C15,0))+1))/((L629-1)*(1-_xlfn.XLOOKUP(K629,'Fevereiro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Real'!C3:C15,0))+1))/((L630-1)*(1-_xlfn.XLOOKUP(K630,'Fevereiro 2023 - Valor Real'!A3:A15,'Fevereiro 2023 - Valor Real'!C3:C15,0))+1)))</f>
        <v/>
      </c>
      <c r="AF630" s="66">
        <f t="shared" si="1251"/>
        <v>0</v>
      </c>
      <c r="AG630" s="67">
        <f t="shared" si="1251"/>
        <v>0</v>
      </c>
      <c r="AH630" s="67">
        <f t="shared" si="1251"/>
        <v>0</v>
      </c>
      <c r="AI630" s="67">
        <f t="shared" si="1251"/>
        <v>0</v>
      </c>
      <c r="AJ630" s="67">
        <f t="shared" si="1251"/>
        <v>0</v>
      </c>
      <c r="AK630" s="67">
        <f t="shared" si="1251"/>
        <v>0</v>
      </c>
      <c r="AL630" s="67">
        <f t="shared" si="1251"/>
        <v>0</v>
      </c>
      <c r="AM630" s="67">
        <f t="shared" si="1251"/>
        <v>0</v>
      </c>
      <c r="AN630" s="67">
        <f t="shared" si="1251"/>
        <v>0</v>
      </c>
      <c r="AO630" s="67">
        <f t="shared" si="1251"/>
        <v>0</v>
      </c>
      <c r="AP630" s="67">
        <f t="shared" si="1251"/>
        <v>0</v>
      </c>
      <c r="AQ630" s="67">
        <f t="shared" si="1251"/>
        <v>0</v>
      </c>
      <c r="AR630" s="68">
        <f t="shared" si="1251"/>
        <v>0</v>
      </c>
      <c r="AS630" s="66">
        <f>IF(AND($B628=" ",$K630=AS$3),$O630,0)</f>
        <v>0</v>
      </c>
      <c r="AT630" s="67">
        <f>IF(AND($B628=" ",K630=AT$3),$O630,0)</f>
        <v>0</v>
      </c>
      <c r="AU630" s="67">
        <f t="shared" ref="AU630:BE630" si="1261">IF(AND($B628=" ",$K630=AU$3),$O630,0)</f>
        <v>0</v>
      </c>
      <c r="AV630" s="67">
        <f t="shared" si="1261"/>
        <v>0</v>
      </c>
      <c r="AW630" s="67">
        <f t="shared" si="1261"/>
        <v>0</v>
      </c>
      <c r="AX630" s="67">
        <f t="shared" si="1261"/>
        <v>0</v>
      </c>
      <c r="AY630" s="69">
        <f t="shared" si="1261"/>
        <v>0</v>
      </c>
      <c r="AZ630" s="70">
        <f t="shared" si="1261"/>
        <v>0</v>
      </c>
      <c r="BA630" s="70">
        <f t="shared" si="1261"/>
        <v>0</v>
      </c>
      <c r="BB630" s="70">
        <f t="shared" si="1261"/>
        <v>0</v>
      </c>
      <c r="BC630" s="71">
        <f t="shared" si="1261"/>
        <v>0</v>
      </c>
      <c r="BD630" s="67">
        <f t="shared" si="1261"/>
        <v>0</v>
      </c>
      <c r="BE630" s="68">
        <f t="shared" si="1261"/>
        <v>0</v>
      </c>
      <c r="BF630" s="66">
        <f t="shared" si="1253"/>
        <v>0</v>
      </c>
      <c r="BG630" s="168">
        <f t="shared" si="1253"/>
        <v>0</v>
      </c>
      <c r="BH630" s="67">
        <f t="shared" si="1253"/>
        <v>0</v>
      </c>
      <c r="BI630" s="67">
        <f t="shared" si="1253"/>
        <v>0</v>
      </c>
      <c r="BJ630" s="67">
        <f t="shared" si="1253"/>
        <v>0</v>
      </c>
      <c r="BK630" s="67">
        <f t="shared" si="1253"/>
        <v>0</v>
      </c>
      <c r="BL630" s="67">
        <f t="shared" si="1253"/>
        <v>0</v>
      </c>
      <c r="BM630" s="69">
        <f t="shared" si="1253"/>
        <v>0</v>
      </c>
      <c r="BN630" s="70">
        <f t="shared" si="1253"/>
        <v>0</v>
      </c>
      <c r="BO630" s="70">
        <f t="shared" si="1253"/>
        <v>0</v>
      </c>
      <c r="BP630" s="70">
        <f t="shared" si="1253"/>
        <v>0</v>
      </c>
      <c r="BQ630" s="71">
        <f t="shared" si="1253"/>
        <v>0</v>
      </c>
      <c r="BR630" s="68">
        <f t="shared" si="1253"/>
        <v>0</v>
      </c>
      <c r="BS630" s="491"/>
      <c r="BT630" s="489"/>
      <c r="BU630" s="392"/>
      <c r="BV630" s="489"/>
      <c r="BW630" s="392"/>
      <c r="BX630" s="392"/>
      <c r="BY630" s="392"/>
      <c r="BZ630" s="489"/>
      <c r="CA630" s="392"/>
      <c r="CB630" s="392"/>
      <c r="CC630" s="392"/>
      <c r="CD630" s="401"/>
      <c r="CE630" s="409"/>
      <c r="CF630" s="169">
        <f t="shared" si="1156"/>
        <v>0</v>
      </c>
      <c r="CG630" s="170">
        <f t="shared" si="1157"/>
        <v>0</v>
      </c>
      <c r="CH630" s="170">
        <f t="shared" si="1158"/>
        <v>0</v>
      </c>
      <c r="CI630" s="170">
        <f t="shared" si="1159"/>
        <v>0</v>
      </c>
      <c r="CJ630" s="170">
        <f t="shared" si="1160"/>
        <v>0</v>
      </c>
      <c r="CK630" s="170">
        <f t="shared" si="1161"/>
        <v>0</v>
      </c>
      <c r="CL630" s="170">
        <f t="shared" si="1162"/>
        <v>0</v>
      </c>
      <c r="CM630" s="170">
        <f t="shared" si="1163"/>
        <v>0</v>
      </c>
      <c r="CN630" s="170">
        <f t="shared" si="1164"/>
        <v>0</v>
      </c>
      <c r="CO630" s="170">
        <f t="shared" si="1165"/>
        <v>0</v>
      </c>
      <c r="CP630" s="170">
        <f t="shared" si="1166"/>
        <v>0</v>
      </c>
      <c r="CQ630" s="170">
        <f t="shared" si="1167"/>
        <v>0</v>
      </c>
      <c r="CR630" s="170">
        <f t="shared" si="1168"/>
        <v>0</v>
      </c>
      <c r="CS630" s="170">
        <f t="shared" si="1169"/>
        <v>0</v>
      </c>
      <c r="CT630" s="75">
        <f t="shared" si="1170"/>
        <v>0</v>
      </c>
      <c r="CU630" s="76">
        <f t="shared" si="1171"/>
        <v>0</v>
      </c>
      <c r="CV630" s="76">
        <f t="shared" si="1172"/>
        <v>0</v>
      </c>
      <c r="CW630" s="76">
        <f t="shared" si="1173"/>
        <v>0</v>
      </c>
      <c r="CX630" s="76">
        <f t="shared" si="1174"/>
        <v>0</v>
      </c>
      <c r="CY630" s="76">
        <f t="shared" si="1175"/>
        <v>0</v>
      </c>
      <c r="CZ630" s="76">
        <f t="shared" si="1176"/>
        <v>0</v>
      </c>
      <c r="DA630" s="76">
        <f t="shared" si="1177"/>
        <v>0</v>
      </c>
      <c r="DB630" s="76">
        <f t="shared" si="1178"/>
        <v>0</v>
      </c>
      <c r="DC630" s="76">
        <f t="shared" si="1179"/>
        <v>0</v>
      </c>
      <c r="DD630" s="76">
        <f t="shared" si="1180"/>
        <v>0</v>
      </c>
      <c r="DE630" s="77">
        <f t="shared" si="1181"/>
        <v>0</v>
      </c>
      <c r="DF630" s="73">
        <f t="shared" si="1183"/>
        <v>36</v>
      </c>
      <c r="DG630" s="67">
        <f t="shared" si="1184"/>
        <v>47.227999999999994</v>
      </c>
      <c r="DH630" s="76">
        <f t="shared" si="1185"/>
        <v>14</v>
      </c>
      <c r="DI630" s="67">
        <f t="shared" si="1186"/>
        <v>60.05</v>
      </c>
      <c r="DJ630" s="202" t="str">
        <f>IF($D628="","",$D628)</f>
        <v>21</v>
      </c>
      <c r="DK630" s="493"/>
    </row>
    <row r="631" spans="1:115" ht="14.5" customHeight="1" x14ac:dyDescent="0.2">
      <c r="A631" s="459">
        <f>$A628+1</f>
        <v>210</v>
      </c>
      <c r="B631" s="507" t="str">
        <f>IF(OR(C631="W",C632="W",C633="W",C631="1/2W",C632="1/2W",C633="1/2W",C631="1/2L",C632="1/2L",C633="1/2L"),"OK",IF(OR(C631="L",C632="L",C633="L"),"LOSS",IF(OR(C631="X",C632="X",C633="X"),"Anulado"," ")))</f>
        <v>OK</v>
      </c>
      <c r="C631" s="93" t="s">
        <v>55</v>
      </c>
      <c r="D631" s="468" t="str">
        <f>IF(G631="","",$D628)</f>
        <v>21</v>
      </c>
      <c r="E631" s="485" t="str">
        <f>IF(G631=""," ","– "&amp;COUNTIF(D$4:D633,$D631))</f>
        <v>– 6</v>
      </c>
      <c r="F631" s="509" t="str">
        <f ca="1">IF(G631="","",IF(OR(AND($C631&lt;&gt;" ",$C632=" "),AND($C632&lt;&gt;" ",$C631=" "),AND(L633&gt;0,OR(AND($C633&lt;&gt;" ",OR($C631=" ",$C632=" ")),AND($C633=" ",OR($C631&lt;&gt;" ",$C632&lt;&gt;" "))))),IF(SUM(F$4:F630)=0,1,LARGE(F$4:F630,1)+1),IF(MONTH(G631)=MONTH(TODAY()),IF(AND(DAY(G631)&lt;DAY(TODAY()),$B631=" "),IF(SUM(F$4:F630)=0,1,LARGE(F$4:F630,1)+1),IF($B631=" ",IF(AND(DAY(G631)=DAY(TODAY()),HOUR(G631)&lt;=HOUR(NOW())+1),IF(AND(HOUR(G631)+2&lt;=HOUR(NOW()),DAY(G631)&lt;=DAY(TODAY()),MINUTE(G631)&lt;=MINUTE(NOW())),IF(SUM(F$4:F630)=0,1,LARGE(F$4:F630,1)+1),IF(OR(MINUTE(G631)&lt;=MINUTE(NOW()),HOUR(G631)&lt;=HOUR(NOW())),"!!!","")),""),"")),"")))</f>
        <v/>
      </c>
      <c r="G631" s="482">
        <v>45007.583333333336</v>
      </c>
      <c r="H631" s="475" t="s">
        <v>233</v>
      </c>
      <c r="I631" s="94" t="s">
        <v>52</v>
      </c>
      <c r="J631" s="95">
        <v>4</v>
      </c>
      <c r="K631" s="96" t="s">
        <v>40</v>
      </c>
      <c r="L631" s="97">
        <v>1.9</v>
      </c>
      <c r="M631" s="98">
        <v>15</v>
      </c>
      <c r="N631" s="478">
        <v>0</v>
      </c>
      <c r="O631" s="99">
        <f>IF(OR(AE631="",AE632=""),"",ROUND(IF(L633&gt;0,IF(M631&gt;0,M631,IF(M632&gt;0,ROUND((M632*AE631)/AE632,IF(N631=0,2,IF(N631=0.1,1,0))),ROUND((M633*AE631)/AE633,IF(N631=0,2,IF(N631=0.1,1,0))))),IF(M631&gt;0,M631,ROUND((M632*AE631)/AE632,IF(N631=0,2,IF(N631=0.1,1,0))))),2))</f>
        <v>15</v>
      </c>
      <c r="P631" s="100">
        <f>IF(OR(L631="",O631=""),"",IF($C631="1/2W",O631/2+O631/2*L631,IF($C631="1/2L",O631/2,IF(I631="Lay",(O631*(L631/(L631-1))-O631)*(1-_xlfn.XLOOKUP(K631,'Fevereiro 2023 - Valor Real'!A3:A15,'Fevereiro 2023 - Valor Real'!C3:C15,0))+O631,(O631*L631-O631)*(1-_xlfn.XLOOKUP(K631,'Fevereiro 2023 - Valor Real'!A3:A15,'Fevereiro 2023 - Valor Real'!C3:C15,0))+O631))))</f>
        <v>28.5</v>
      </c>
      <c r="Q631" s="101">
        <f>IF(K631="","",IF(_xlfn.XLOOKUP(K631,K$4:K630,$DJ$4:DJ630,0,,-1)=DJ631,_xlfn.XLOOKUP(K631,K$4:K630,Q$4:Q630,1,,-1)+1,1))</f>
        <v>3</v>
      </c>
      <c r="R631" s="102">
        <f>IF(K631="","",_xlfn.XLOOKUP(K631,K$4:K630,R$4:R630,0,,-1)+IF($C631=" ",1,0))</f>
        <v>0</v>
      </c>
      <c r="S631" s="474">
        <f>IF($B631="Anulado",0,ROUND(IF(OR($B631="LOSS",$B631="OK"),IF(OR($C631="W",$C631="1/2W",$C631="1/2L"),P631-O631,IF($C631="L",-O631,0))+IF(OR($C632="W",$C632="1/2W",$C632="1/2L"),P632-O632,IF($C632="L",-O632,0))+IF(OR($C633="W",$C633="1/2W",$C633="1/2L"),P633-O633,IF($C633="L",-O633,0)),IF(AND(OR($C631="W",$C631="1/2W",$C631="1/2L"),C632="W"),P631+P632-SUM(O631:O633)+_xlfn.XLOOKUP("X",C631:C633,O631:O633,0),IF(AND(C631=TRUE,C633="W"),P631+P633-SUM(O631:O633),IF(AND(C632="W",C633="W"),P632+P633-SUM(O631:O633)+_xlfn.XLOOKUP("X",C631:C633,O631:O633,0),IF(L633&gt;0,IF(OR($C631="W",$C631="1/2W",$C631="1/2L"),P631-SUM(O631:O633)+_xlfn.XLOOKUP("X",C631:C633,O631:O633,0),IF(OR($C631="W",$C631="1/2W",$C631="1/2L"),P632-SUM(O631:O633)+_xlfn.XLOOKUP("X",C631:C633,O631:O633,0),IF(OR($C631="W",$C631="1/2W",$C631="1/2L"),P633-SUM(O631:O633)+_xlfn.XLOOKUP("X",C631:C633,O631:O633,0),IF(SUM(P631:P633)/3-SUM(O631:O633)+_xlfn.XLOOKUP("X",C631:C633,O631:O633,0)&gt;0,SUM(P631:P633)/3-SUM(O631:O633)+_xlfn.XLOOKUP("X",C631:C633,O631:O633,0),LARGE(P631:P633,1)-SUM(O631:O633))))),IF(OR($C631="W",$C631="1/2W",$C631="1/2L"),P631-SUM(O631:O632)+_xlfn.XLOOKUP("X",C631:C633,O631:O633,0),IF(OR($C631="W",$C631="1/2W",$C631="1/2L"),P632-SUM(O631:O632)+_xlfn.XLOOKUP("X",C631:C633,O631:O633,0),SUM(P631:P632)/2-SUM(O631:O632)+_xlfn.XLOOKUP("X",C631:C633,O631:O633,0)))))))),2))</f>
        <v>2.36</v>
      </c>
      <c r="T631" s="458">
        <f>IF(S631=0,0,S631/SUM(O631:O633))</f>
        <v>8.9393939393939401E-2</v>
      </c>
      <c r="U631" s="470">
        <f>IF($D631=$D628,IF(OR($B631="LOSS",$B631="OK",$B631="Anulada"),S631,0)+U628,IF(OR($B631="LOSS",$B631="OK",$B631="Anulada"),S631,0))</f>
        <v>18.13</v>
      </c>
      <c r="V631" s="470">
        <f>IF($D631="",0,IF($D631=$D628,IF($B631=" ",IF(I633="",IF(OR(AND(I631="DNB1",I632="DNB2"),AND(OR(I631="DNB1",I631="DNB2"),J632=0),AND(OR(I632="DNB1",I632="DNB2"),J631=0),AND(I631="DNB2",I632="DNB1"),AND(IF(J631=0,(J631+1)/ROUND(J631+1,0),J631/ROUND(J631,0))=1,IF(J632=0,(J632+1)/ROUND(IF(J632="",0,J632)+1,0),IF(J632="",0,J632)/ROUND(IF(J632="",1,J632),0))=1,OR(J631&lt;&gt;""),J632&lt;&gt;"")),0,IF(S631&lt;0,IF(I633="",SMALL(P631:P632,1)-SUM(O631:O632),0),SMALL(P631:P632,1)-SUM(O631:O632))),IF(S631&lt;0,IF(I633="",SMALL(P631:P633,1)-SUM(O631:O633),0),LARGE(P631:P633,1)-SUM(O631:O633))),S631)+V628,IF(I633="",IF(OR(AND(I631="DNB1",I632="DNB2"),AND(OR(I631="DNB1",I631="DNB2"),J632=0),AND(OR(I632="DNB1",I632="DNB2"),J631=0),AND(I631="DNB2",I632="DNB1"),AND(IF(J631=0,(J631+1)/ROUND(J631+1,0),J631/ROUND(J631,0))=1,IF(J632=0,(IF(J632="",0,J632)+1)/ROUND(IF(J632="",0,J632)+1,0),IF(J632="",0,J632)/ROUND(IF(J632="",0,J632)+1,0))=1,OR(J631&lt;&gt;""),J632&lt;&gt;"")),0,IF(S631&lt;0,IF(I633="",SMALL(P631:P632,1)-SUM(O631:O632),0),SMALL(P631:P633,1)-SUM(O631:O633))),IF(S631&lt;0,IF(I633="",SMALL(P631:P633,1)-SUM(O631:O633),0),LARGE(P631:P633,1)-SUM(O631:O633)))))</f>
        <v>18.127999999999993</v>
      </c>
      <c r="W631" s="470">
        <f>IF($D631=$D628,IF(S631&lt;0,IF(I633="",S631,0),S631)+W628,S631)</f>
        <v>18.13</v>
      </c>
      <c r="X631" s="480" t="str">
        <f>IF(OR(SUM(R631:R633)=0,V631=W631),ROUND(IF(W631=0,0,W631/Y631)*100,2)&amp;"%",ROUND(IF(V631=0,0,V631/Y631)*100,2)&amp;"% a "&amp;ROUND(IF(W631=0,0,W631/Y631)*100,2)&amp;"%")</f>
        <v>10,22%</v>
      </c>
      <c r="Y631" s="471">
        <f>IF($D631=$D628,Y628+SUM(O631:O633),SUM(O631:O633))</f>
        <v>177.37000000000003</v>
      </c>
      <c r="Z631" s="470">
        <f>IF($B631=" ",SUM(O631:O633),0)+Z628</f>
        <v>0</v>
      </c>
      <c r="AA631" s="470">
        <f>IF(G631="","",IF($B631="Anulado",LARGE(P631:P633,1)-SUM(O631:O633)+AA628,AA628))</f>
        <v>13.381099999999991</v>
      </c>
      <c r="AB631" s="470">
        <f>IF($D631="","",AB628+S631)</f>
        <v>695.76000000000045</v>
      </c>
      <c r="AC631" s="472">
        <f ca="1">IF($D631="","",IF($B631=" ",IF(DAY(G631)=DAY(TODAY()),1+AC628,0+AC628),0+AC628))</f>
        <v>0</v>
      </c>
      <c r="AD631" s="103">
        <f>(((L632/(L632-1)-1)*(1-_xlfn.XLOOKUP(K632,'Fevereiro 2023 - Valor Real'!A3:A15,'Fevereiro 2023 - Valor Real'!C3:C15,0))+1))/(((L631-1)*(1-_xlfn.XLOOKUP(K631,'Fevereiro 2023 - Valor Real'!A3:A15,'Fevereiro 2023 - Valor Real'!C3:C15,0))+1)+((L632/(L632-1)-1)*(1-_xlfn.XLOOKUP(K632,'Fevereiro 2023 - Valor Real'!A3:A15,'Fevereiro 2023 - Valor Real'!C3:C15,0))+1))</f>
        <v>0.48542575166398899</v>
      </c>
      <c r="AE631" s="104">
        <f>IF(L631="","",IF(L633&gt;0,(SUM(((L631-1)*(1-_xlfn.XLOOKUP(K631,'Fevereiro 2023 - Valor Real'!A3:A15,'Fevereiro 2023 - Valor Real'!C3:C15,0))+1),((L632-1)*(1-_xlfn.XLOOKUP(K632,'Fevereiro 2023 - Valor Real'!A3:A15,'Fevereiro 2023 - Valor Real'!C3:C15,0))+1),((L633-1)*(1-_xlfn.XLOOKUP(K633,'Fevereiro 2023 - Valor Real'!A3:A15,'Fevereiro 2023 - Valor Real'!C3:C15,0))+1))/((L631-1)*(1-_xlfn.XLOOKUP(K631,'Fevereiro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Real'!C3:C15,0))+1))/((L631-1)*(1-_xlfn.XLOOKUP(K631,'Fevereiro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Real'!C3:C15,0))+1))/((L632-1)*(1-_xlfn.XLOOKUP(K632,'Fevereiro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Real'!C3:C15,0))+1))/((L633-1)*(1-_xlfn.XLOOKUP(K633,'Fevereiro 2023 - Valor Real'!A3:A15,'Fevereiro 2023 - Valor Real'!C3:C15,0))+1)),IF(I631="Lay",IF(I632="Lay",((L632/(L632-1)-1)*(1-_xlfn.XLOOKUP(K632,'Fevereiro 2023 - Valor Real'!A3:A15,'Fevereiro 2023 - Valor Real'!C3:C15,0))+1)/(((L632/(L632-1)-1)*(1-_xlfn.XLOOKUP(K632,'Fevereiro 2023 - Valor Real'!A3:A15,'Fevereiro 2023 - Valor Real'!C3:C15,0))+1)+((L631/(L631-1)-1)*(1-_xlfn.XLOOKUP(K631,'Fevereiro 2023 - Valor Real'!A3:A15,'Fevereiro 2023 - Valor Real'!C3:C15,0))+1)),((L632-1)*(1-_xlfn.XLOOKUP(K632,'Fevereiro 2023 - Valor Real'!A3:A15,'Fevereiro 2023 - Valor Real'!C3:C15,0))+1)/(((L632-1)*(1-_xlfn.XLOOKUP(K632,'Fevereiro 2023 - Valor Real'!A3:A15,'Fevereiro 2023 - Valor Real'!C3:C15,0))+1)+((L631/(L631-1)-1)*(1-_xlfn.XLOOKUP(K631,'Fevereiro 2023 - Valor Real'!A3:A15,'Fevereiro 2023 - Valor Real'!C3:C15,0))+1))),IF(I632="Lay",(((L632/(L632-1)-1)*(1-_xlfn.XLOOKUP(K632,'Fevereiro 2023 - Valor Real'!A3:A15,'Fevereiro 2023 - Valor Real'!C3:C15,0))+1))/(((L631-1)*(1-_xlfn.XLOOKUP(K631,'Fevereiro 2023 - Valor Real'!A3:A15,'Fevereiro 2023 - Valor Real'!C3:C15,0))+1)+((L632/(L632-1)-1)*(1-_xlfn.XLOOKUP(K632,'Fevereiro 2023 - Valor Real'!A3:A15,'Fevereiro 2023 - Valor Real'!C3:C15,0))+1)),((L632-1)*(1-_xlfn.XLOOKUP(K632,'Fevereiro 2023 - Valor Real'!A3:A15,'Fevereiro 2023 - Valor Real'!C3:C15,0))+1)/(((L632-1)*(1-_xlfn.XLOOKUP(K632,'Fevereiro 2023 - Valor Real'!A3:A15,'Fevereiro 2023 - Valor Real'!C3:C15,0))+1)+((L631-1)*(1-_xlfn.XLOOKUP(K631,'Fevereiro 2023 - Valor Real'!A3:A15,'Fevereiro 2023 - Valor Real'!C3:C15,0))+1))))))</f>
        <v>0.38910369068541301</v>
      </c>
      <c r="AF631" s="105">
        <f t="shared" si="1251"/>
        <v>0</v>
      </c>
      <c r="AG631" s="106">
        <f t="shared" si="1251"/>
        <v>0</v>
      </c>
      <c r="AH631" s="106">
        <f t="shared" si="1251"/>
        <v>0</v>
      </c>
      <c r="AI631" s="106">
        <f t="shared" si="1251"/>
        <v>0</v>
      </c>
      <c r="AJ631" s="106">
        <f t="shared" si="1251"/>
        <v>-15</v>
      </c>
      <c r="AK631" s="106">
        <f t="shared" si="1251"/>
        <v>0</v>
      </c>
      <c r="AL631" s="106">
        <f t="shared" si="1251"/>
        <v>0</v>
      </c>
      <c r="AM631" s="106">
        <f t="shared" si="1251"/>
        <v>0</v>
      </c>
      <c r="AN631" s="106">
        <f t="shared" si="1251"/>
        <v>0</v>
      </c>
      <c r="AO631" s="106">
        <f t="shared" si="1251"/>
        <v>0</v>
      </c>
      <c r="AP631" s="106">
        <f t="shared" si="1251"/>
        <v>0</v>
      </c>
      <c r="AQ631" s="106">
        <f t="shared" si="1251"/>
        <v>0</v>
      </c>
      <c r="AR631" s="107">
        <f t="shared" si="1251"/>
        <v>0</v>
      </c>
      <c r="AS631" s="105">
        <f t="shared" ref="AS631:BE631" si="1262">IF(AND($B631=" ",$K631=AS$3),$O631,0)</f>
        <v>0</v>
      </c>
      <c r="AT631" s="106">
        <f t="shared" si="1262"/>
        <v>0</v>
      </c>
      <c r="AU631" s="106">
        <f t="shared" si="1262"/>
        <v>0</v>
      </c>
      <c r="AV631" s="106">
        <f t="shared" si="1262"/>
        <v>0</v>
      </c>
      <c r="AW631" s="106">
        <f t="shared" si="1262"/>
        <v>0</v>
      </c>
      <c r="AX631" s="106">
        <f t="shared" si="1262"/>
        <v>0</v>
      </c>
      <c r="AY631" s="108">
        <f t="shared" si="1262"/>
        <v>0</v>
      </c>
      <c r="AZ631" s="109">
        <f t="shared" si="1262"/>
        <v>0</v>
      </c>
      <c r="BA631" s="109">
        <f t="shared" si="1262"/>
        <v>0</v>
      </c>
      <c r="BB631" s="109">
        <f t="shared" si="1262"/>
        <v>0</v>
      </c>
      <c r="BC631" s="110">
        <f t="shared" si="1262"/>
        <v>0</v>
      </c>
      <c r="BD631" s="106">
        <f t="shared" si="1262"/>
        <v>0</v>
      </c>
      <c r="BE631" s="107">
        <f t="shared" si="1262"/>
        <v>0</v>
      </c>
      <c r="BF631" s="111">
        <f t="shared" si="1253"/>
        <v>0</v>
      </c>
      <c r="BG631" s="106">
        <f t="shared" si="1253"/>
        <v>0</v>
      </c>
      <c r="BH631" s="106">
        <f t="shared" si="1253"/>
        <v>0</v>
      </c>
      <c r="BI631" s="106">
        <f t="shared" si="1253"/>
        <v>0</v>
      </c>
      <c r="BJ631" s="106">
        <f t="shared" si="1253"/>
        <v>15</v>
      </c>
      <c r="BK631" s="106">
        <f t="shared" si="1253"/>
        <v>0</v>
      </c>
      <c r="BL631" s="106">
        <f t="shared" si="1253"/>
        <v>0</v>
      </c>
      <c r="BM631" s="108">
        <f t="shared" si="1253"/>
        <v>0</v>
      </c>
      <c r="BN631" s="109">
        <f t="shared" si="1253"/>
        <v>0</v>
      </c>
      <c r="BO631" s="109">
        <f t="shared" si="1253"/>
        <v>0</v>
      </c>
      <c r="BP631" s="109">
        <f t="shared" si="1253"/>
        <v>0</v>
      </c>
      <c r="BQ631" s="110">
        <f t="shared" si="1253"/>
        <v>0</v>
      </c>
      <c r="BR631" s="107">
        <f t="shared" si="1253"/>
        <v>0</v>
      </c>
      <c r="BS631" s="463">
        <f>IF($B631="LOSS",IF(AND($K631=BS$3,$C631="L"),-$O631,0)+IF(AND($K632=BS$3,$C632="L"),-$O632,0)+IF(AND($K633=BS$3,$C633="L"),-$O633,0),IF(OR(AND($K631=BS$3,OR($C631="W",$C631="1/2W")),AND($K632=BS$3,OR($C632="W",$C632="1/2W")),AND($K633=BS$3,OR($C633="W",$C633="1/2W"))),$S631,0))</f>
        <v>0</v>
      </c>
      <c r="BT631" s="462">
        <f>IF($B631="LOSS",IF(AND($K631=BT$3,$C631="L"),-$O631,0)+IF(AND($K632=BT$3,$C632="L"),-$O632,0)+IF(AND($K632=BT$3,$C633="L"),-$O633,0),IF(OR(AND($K632=BT$3,OR($C631="W",$C631="1/2W")),AND($K632=BT$3,OR($C632="W",$C632="1/2W")),AND($K632=BT$3,OR($C633="W",$C633="1/2W"))),$S631,0))</f>
        <v>0</v>
      </c>
      <c r="BU631" s="462">
        <f>IF($B631="LOSS",IF(AND($K631=BU$3,$C631="L"),-$O631,0)+IF(AND($K632=BU$3,$C632="L"),-$O632,0)+IF(AND($K632=BU$3,$C633="L"),-$O633,0),IF(OR(AND($K632=BU$3,OR($C631="W",$C631="1/2W")),AND($K632=BU$3,OR($C632="W",$C632="1/2W")),AND($K632=BU$3,OR($C633="W",$C633="1/2W"))),$S631,0))</f>
        <v>2.36</v>
      </c>
      <c r="BV631" s="462">
        <f t="shared" ref="BV631:CE631" si="1263">IF($B631="LOSS",IF(AND($K631=BV$3,$C631="L"),-$O631,0)+IF(AND($K632=BV$3,$C632="L"),-$O632,0)+IF(AND($K633=BV$3,$C633="L"),-$O633,0),IF(OR(AND($K631=BV$3,OR($C631="W",$C631="1/2W")),AND($K632=BV$3,OR($C632="W",$C632="1/2W")),AND($K633=BV$3,OR($C633="W",$C633="1/2W"))),$S631,0))</f>
        <v>0</v>
      </c>
      <c r="BW631" s="462">
        <f t="shared" si="1263"/>
        <v>0</v>
      </c>
      <c r="BX631" s="462">
        <f t="shared" si="1263"/>
        <v>0</v>
      </c>
      <c r="BY631" s="462">
        <f t="shared" si="1263"/>
        <v>0</v>
      </c>
      <c r="BZ631" s="460">
        <f t="shared" si="1263"/>
        <v>0</v>
      </c>
      <c r="CA631" s="460">
        <f t="shared" si="1263"/>
        <v>0</v>
      </c>
      <c r="CB631" s="460">
        <f t="shared" si="1263"/>
        <v>0</v>
      </c>
      <c r="CC631" s="460">
        <f t="shared" si="1263"/>
        <v>0</v>
      </c>
      <c r="CD631" s="473">
        <f t="shared" si="1263"/>
        <v>2.36</v>
      </c>
      <c r="CE631" s="479">
        <f t="shared" si="1263"/>
        <v>0</v>
      </c>
      <c r="CF631" s="113">
        <f t="shared" si="1156"/>
        <v>0</v>
      </c>
      <c r="CG631" s="114">
        <f t="shared" si="1157"/>
        <v>0</v>
      </c>
      <c r="CH631" s="114">
        <f t="shared" si="1158"/>
        <v>0</v>
      </c>
      <c r="CI631" s="114">
        <f t="shared" si="1159"/>
        <v>0</v>
      </c>
      <c r="CJ631" s="114">
        <f t="shared" si="1160"/>
        <v>0</v>
      </c>
      <c r="CK631" s="114">
        <f t="shared" si="1161"/>
        <v>0</v>
      </c>
      <c r="CL631" s="114">
        <f t="shared" si="1162"/>
        <v>0</v>
      </c>
      <c r="CM631" s="114">
        <f t="shared" si="1163"/>
        <v>0</v>
      </c>
      <c r="CN631" s="114">
        <f t="shared" si="1164"/>
        <v>0</v>
      </c>
      <c r="CO631" s="114">
        <f t="shared" si="1165"/>
        <v>1</v>
      </c>
      <c r="CP631" s="114">
        <f t="shared" si="1166"/>
        <v>0</v>
      </c>
      <c r="CQ631" s="114">
        <f t="shared" si="1167"/>
        <v>0</v>
      </c>
      <c r="CR631" s="114">
        <f t="shared" si="1168"/>
        <v>0</v>
      </c>
      <c r="CS631" s="114">
        <f t="shared" si="1169"/>
        <v>0</v>
      </c>
      <c r="CT631" s="115">
        <f t="shared" si="1170"/>
        <v>0</v>
      </c>
      <c r="CU631" s="116">
        <f t="shared" si="1171"/>
        <v>0</v>
      </c>
      <c r="CV631" s="116">
        <f t="shared" si="1172"/>
        <v>0</v>
      </c>
      <c r="CW631" s="116">
        <f t="shared" si="1173"/>
        <v>0</v>
      </c>
      <c r="CX631" s="116">
        <f t="shared" si="1174"/>
        <v>0</v>
      </c>
      <c r="CY631" s="116">
        <f t="shared" si="1175"/>
        <v>0</v>
      </c>
      <c r="CZ631" s="116">
        <f t="shared" si="1176"/>
        <v>0</v>
      </c>
      <c r="DA631" s="116">
        <f t="shared" si="1177"/>
        <v>0</v>
      </c>
      <c r="DB631" s="116">
        <f t="shared" si="1178"/>
        <v>0</v>
      </c>
      <c r="DC631" s="116">
        <f t="shared" si="1179"/>
        <v>0</v>
      </c>
      <c r="DD631" s="116">
        <f t="shared" si="1180"/>
        <v>0</v>
      </c>
      <c r="DE631" s="117">
        <f t="shared" si="1181"/>
        <v>0</v>
      </c>
      <c r="DF631" s="118">
        <f t="shared" si="1183"/>
        <v>36</v>
      </c>
      <c r="DG631" s="106">
        <f t="shared" si="1184"/>
        <v>47.227999999999994</v>
      </c>
      <c r="DH631" s="116">
        <f t="shared" si="1185"/>
        <v>14</v>
      </c>
      <c r="DI631" s="106">
        <f t="shared" si="1186"/>
        <v>60.05</v>
      </c>
      <c r="DJ631" s="201" t="str">
        <f>IF($D631="","",$D631)</f>
        <v>21</v>
      </c>
      <c r="DK631" s="465">
        <f>IF(AND($B631=" ",$D631&lt;&gt;""),1,0)</f>
        <v>0</v>
      </c>
    </row>
    <row r="632" spans="1:115" ht="14.5" customHeight="1" x14ac:dyDescent="0.2">
      <c r="A632" s="389"/>
      <c r="B632" s="456"/>
      <c r="C632" s="120" t="s">
        <v>54</v>
      </c>
      <c r="D632" s="374"/>
      <c r="E632" s="386"/>
      <c r="F632" s="377"/>
      <c r="G632" s="483"/>
      <c r="H632" s="476"/>
      <c r="I632" s="121" t="s">
        <v>51</v>
      </c>
      <c r="J632" s="122">
        <v>3.5</v>
      </c>
      <c r="K632" s="123" t="s">
        <v>38</v>
      </c>
      <c r="L632" s="124">
        <v>2.1800000000000002</v>
      </c>
      <c r="M632" s="125">
        <v>5</v>
      </c>
      <c r="N632" s="406"/>
      <c r="O632" s="126">
        <f>IF(OR(AE631="",AE632=""),"",ROUND(IF(L633&gt;0,IF(M632&gt;0,M632,IF(M631&gt;0,IF(N631=TRUE,ROUND((M631*AE632)/AE631,0),(M631*AE632)/AE631),IF(M632&gt;0,ROUND(M632,IF(N631=0,2,IF(N631=0.1,1,0))),IF(M633&gt;0,ROUND(O633*AE632/AE633,IF(N631=0,2,IF(N631=0.1,1,0))),0)))),IF(M632&gt;0,M632,ROUND((M631*AE632)/AE631,IF(N631=0,2,IF(N631=0.1,1,0))))),2))</f>
        <v>5</v>
      </c>
      <c r="P632" s="127">
        <f>IF(OR(L632="",O632=""),"",IF($C632="1/2W",O632/2+O632/2*L632,IF($C632="1/2L",O632/2,IF(I632="Lay",((O632*(L632/(L632-1)))-O632)*(1-_xlfn.XLOOKUP(K632,'Fevereiro 2023 - Valor Real'!A3:A15,'Fevereiro 2023 - Valor Real'!C3:C15,0))+O632,(O632*L632-O632)*(1-_xlfn.XLOOKUP(K632,'Fevereiro 2023 - Valor Real'!A3:A15,'Fevereiro 2023 - Valor Real'!C3:C15,0))+O632))))</f>
        <v>10.516500000000001</v>
      </c>
      <c r="Q632" s="128">
        <f>IF(K632="","",IF(_xlfn.XLOOKUP(K632,K$4:K631,$DJ$4:DJ631,0,,-1)=DJ632,_xlfn.XLOOKUP(K632,K$4:K631,Q$4:Q631,1,,-1)+1,1))</f>
        <v>1</v>
      </c>
      <c r="R632" s="129">
        <f>IF(K632="","",_xlfn.XLOOKUP(K632,K$4:K631,R$4:R631,0,,-1)+IF($C632=" ",1,0))</f>
        <v>0</v>
      </c>
      <c r="S632" s="403"/>
      <c r="T632" s="380"/>
      <c r="U632" s="380"/>
      <c r="V632" s="481"/>
      <c r="W632" s="380"/>
      <c r="X632" s="452"/>
      <c r="Y632" s="383"/>
      <c r="Z632" s="384"/>
      <c r="AA632" s="384"/>
      <c r="AB632" s="384"/>
      <c r="AC632" s="384"/>
      <c r="AD632" s="130">
        <f>(((L632/(L632-1)-1)*(1-_xlfn.XLOOKUP(K632,'Fevereiro 2023 - Valor Real'!A3:A15,'Fevereiro 2023 - Valor Real'!C3:C15,0))+1))</f>
        <v>1.7923728813559321</v>
      </c>
      <c r="AE632" s="131">
        <f>IF(L632="","",IF(L633&gt;0,(SUM(((L631-1)*(1-_xlfn.XLOOKUP(K631,'Fevereiro 2023 - Valor Real'!A3:A15,'Fevereiro 2023 - Valor Real'!C3:C15,0))+1),((L632-1)*(1-_xlfn.XLOOKUP(K632,'Fevereiro 2023 - Valor Real'!A3:A15,'Fevereiro 2023 - Valor Real'!C3:C15,0))+1),((L633-1)*(1-_xlfn.XLOOKUP(K633,'Fevereiro 2023 - Valor Real'!A3:A15,'Fevereiro 2023 - Valor Real'!C3:C15,0))+1))/((L632-1)*(1-_xlfn.XLOOKUP(K632,'Fevereiro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Real'!C3:C15,0))+1))/((L631-1)*(1-_xlfn.XLOOKUP(K631,'Fevereiro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Real'!C3:C15,0))+1))/((L632-1)*(1-_xlfn.XLOOKUP(K632,'Fevereiro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Real'!C3:C15,0))+1))/((L633-1)*(1-_xlfn.XLOOKUP(K633,'Fevereiro 2023 - Valor Real'!A3:A15,'Fevereiro 2023 - Valor Real'!C3:C15,0))+1)),IF(I632="Lay",IF(I631="Lay",((L631/(L631-1)-1)*(1-_xlfn.XLOOKUP(K631,'Fevereiro 2023 - Valor Real'!A3:A15,'Fevereiro 2023 - Valor Real'!C3:C15,0))+1)/(((L631/(L631-1)-1)*(1-_xlfn.XLOOKUP(K631,'Fevereiro 2023 - Valor Real'!A3:A15,'Fevereiro 2023 - Valor Real'!C3:C15,0))+1)+((L632/(L632-1)-1)*(1-_xlfn.XLOOKUP(K632,'Fevereiro 2023 - Valor Real'!A3:A15,'Fevereiro 2023 - Valor Real'!C3:C15,0))+1)),((L631-1)*(1-_xlfn.XLOOKUP(K631,'Fevereiro 2023 - Valor Real'!A3:A15,'Fevereiro 2023 - Valor Real'!C3:C15,0))+1)/(((L631-1)*(1-_xlfn.XLOOKUP(K631,'Fevereiro 2023 - Valor Real'!A3:A15,'Fevereiro 2023 - Valor Real'!C3:C15,0))+1)+((L632/(L632-1)-1)*(1-_xlfn.XLOOKUP(K632,'Fevereiro 2023 - Valor Real'!A3:A15,'Fevereiro 2023 - Valor Real'!C3:C15,0))+1))),IF(I631="Lay",((L631/(L631-1)-1)*(1-_xlfn.XLOOKUP(K631,'Fevereiro 2023 - Valor Real'!A3:A15,'Fevereiro 2023 - Valor Real'!C3:C15,0))+1)/((((L631/(L631-1)-1)*(1-_xlfn.XLOOKUP(K631,'Fevereiro 2023 - Valor Real'!A3:A15,'Fevereiro 2023 - Valor Real'!C3:C15,0))+1))+((L632-1)*(1-_xlfn.XLOOKUP(K632,'Fevereiro 2023 - Valor Real'!A3:A15,'Fevereiro 2023 - Valor Real'!C3:C15,0))+1)),((L631-1)*(1-_xlfn.XLOOKUP(K631,'Fevereiro 2023 - Valor Real'!A3:A15,'Fevereiro 2023 - Valor Real'!C3:C15,0))+1)/(((L631-1)*(1-_xlfn.XLOOKUP(K631,'Fevereiro 2023 - Valor Real'!A3:A15,'Fevereiro 2023 - Valor Real'!C3:C15,0))+1)+((L632-1)*(1-_xlfn.XLOOKUP(K632,'Fevereiro 2023 - Valor Real'!A3:A15,'Fevereiro 2023 - Valor Real'!C3:C15,0))+1))))))</f>
        <v>0.35149384885764495</v>
      </c>
      <c r="AF632" s="105">
        <f t="shared" si="1251"/>
        <v>0</v>
      </c>
      <c r="AG632" s="106">
        <f t="shared" si="1251"/>
        <v>0</v>
      </c>
      <c r="AH632" s="106">
        <f t="shared" si="1251"/>
        <v>5.52</v>
      </c>
      <c r="AI632" s="106">
        <f t="shared" si="1251"/>
        <v>0</v>
      </c>
      <c r="AJ632" s="106">
        <f t="shared" si="1251"/>
        <v>0</v>
      </c>
      <c r="AK632" s="106">
        <f t="shared" si="1251"/>
        <v>0</v>
      </c>
      <c r="AL632" s="106">
        <f t="shared" si="1251"/>
        <v>0</v>
      </c>
      <c r="AM632" s="106">
        <f t="shared" si="1251"/>
        <v>0</v>
      </c>
      <c r="AN632" s="106">
        <f t="shared" si="1251"/>
        <v>0</v>
      </c>
      <c r="AO632" s="106">
        <f t="shared" si="1251"/>
        <v>0</v>
      </c>
      <c r="AP632" s="106">
        <f t="shared" si="1251"/>
        <v>0</v>
      </c>
      <c r="AQ632" s="106">
        <f t="shared" si="1251"/>
        <v>0</v>
      </c>
      <c r="AR632" s="107">
        <f t="shared" si="1251"/>
        <v>0</v>
      </c>
      <c r="AS632" s="105">
        <f>IF(AND($B631=" ",$K632=AS$3),$O632,0)</f>
        <v>0</v>
      </c>
      <c r="AT632" s="106">
        <f>IF(AND($B631=" ",K632=AT$3),$O632,0)</f>
        <v>0</v>
      </c>
      <c r="AU632" s="106">
        <f t="shared" ref="AU632:BE632" si="1264">IF(AND($B631=" ",$K632=AU$3),$O632,0)</f>
        <v>0</v>
      </c>
      <c r="AV632" s="106">
        <f t="shared" si="1264"/>
        <v>0</v>
      </c>
      <c r="AW632" s="106">
        <f t="shared" si="1264"/>
        <v>0</v>
      </c>
      <c r="AX632" s="106">
        <f t="shared" si="1264"/>
        <v>0</v>
      </c>
      <c r="AY632" s="108">
        <f t="shared" si="1264"/>
        <v>0</v>
      </c>
      <c r="AZ632" s="109">
        <f t="shared" si="1264"/>
        <v>0</v>
      </c>
      <c r="BA632" s="109">
        <f t="shared" si="1264"/>
        <v>0</v>
      </c>
      <c r="BB632" s="109">
        <f t="shared" si="1264"/>
        <v>0</v>
      </c>
      <c r="BC632" s="110">
        <f t="shared" si="1264"/>
        <v>0</v>
      </c>
      <c r="BD632" s="106">
        <f t="shared" si="1264"/>
        <v>0</v>
      </c>
      <c r="BE632" s="107">
        <f t="shared" si="1264"/>
        <v>0</v>
      </c>
      <c r="BF632" s="105">
        <f t="shared" si="1253"/>
        <v>0</v>
      </c>
      <c r="BG632" s="106">
        <f t="shared" si="1253"/>
        <v>0</v>
      </c>
      <c r="BH632" s="106">
        <f t="shared" si="1253"/>
        <v>5</v>
      </c>
      <c r="BI632" s="106">
        <f t="shared" si="1253"/>
        <v>0</v>
      </c>
      <c r="BJ632" s="106">
        <f t="shared" si="1253"/>
        <v>0</v>
      </c>
      <c r="BK632" s="106">
        <f t="shared" si="1253"/>
        <v>0</v>
      </c>
      <c r="BL632" s="106">
        <f t="shared" si="1253"/>
        <v>0</v>
      </c>
      <c r="BM632" s="132">
        <f t="shared" si="1253"/>
        <v>0</v>
      </c>
      <c r="BN632" s="112">
        <f t="shared" si="1253"/>
        <v>0</v>
      </c>
      <c r="BO632" s="112">
        <f t="shared" si="1253"/>
        <v>0</v>
      </c>
      <c r="BP632" s="112">
        <f t="shared" si="1253"/>
        <v>0</v>
      </c>
      <c r="BQ632" s="110">
        <f t="shared" si="1253"/>
        <v>0</v>
      </c>
      <c r="BR632" s="107">
        <f t="shared" si="1253"/>
        <v>0</v>
      </c>
      <c r="BS632" s="464"/>
      <c r="BT632" s="461"/>
      <c r="BU632" s="392"/>
      <c r="BV632" s="461"/>
      <c r="BW632" s="392"/>
      <c r="BX632" s="392"/>
      <c r="BY632" s="392"/>
      <c r="BZ632" s="461"/>
      <c r="CA632" s="392"/>
      <c r="CB632" s="392"/>
      <c r="CC632" s="392"/>
      <c r="CD632" s="401"/>
      <c r="CE632" s="409"/>
      <c r="CF632" s="133">
        <f t="shared" si="1156"/>
        <v>0</v>
      </c>
      <c r="CG632" s="134">
        <f t="shared" si="1157"/>
        <v>0</v>
      </c>
      <c r="CH632" s="134">
        <f t="shared" si="1158"/>
        <v>0</v>
      </c>
      <c r="CI632" s="134">
        <f t="shared" si="1159"/>
        <v>0</v>
      </c>
      <c r="CJ632" s="134">
        <f t="shared" si="1160"/>
        <v>1</v>
      </c>
      <c r="CK632" s="134">
        <f t="shared" si="1161"/>
        <v>0</v>
      </c>
      <c r="CL632" s="134">
        <f t="shared" si="1162"/>
        <v>0</v>
      </c>
      <c r="CM632" s="134">
        <f t="shared" si="1163"/>
        <v>0</v>
      </c>
      <c r="CN632" s="134">
        <f t="shared" si="1164"/>
        <v>0</v>
      </c>
      <c r="CO632" s="134">
        <f t="shared" si="1165"/>
        <v>0</v>
      </c>
      <c r="CP632" s="134">
        <f t="shared" si="1166"/>
        <v>0</v>
      </c>
      <c r="CQ632" s="134">
        <f t="shared" si="1167"/>
        <v>0</v>
      </c>
      <c r="CR632" s="134">
        <f t="shared" si="1168"/>
        <v>0</v>
      </c>
      <c r="CS632" s="134">
        <f t="shared" si="1169"/>
        <v>0</v>
      </c>
      <c r="CT632" s="115">
        <f t="shared" si="1170"/>
        <v>0</v>
      </c>
      <c r="CU632" s="116">
        <f t="shared" si="1171"/>
        <v>0</v>
      </c>
      <c r="CV632" s="116">
        <f t="shared" si="1172"/>
        <v>0</v>
      </c>
      <c r="CW632" s="116">
        <f t="shared" si="1173"/>
        <v>0</v>
      </c>
      <c r="CX632" s="116">
        <f t="shared" si="1174"/>
        <v>0</v>
      </c>
      <c r="CY632" s="116">
        <f t="shared" si="1175"/>
        <v>0</v>
      </c>
      <c r="CZ632" s="116">
        <f t="shared" si="1176"/>
        <v>0</v>
      </c>
      <c r="DA632" s="116">
        <f t="shared" si="1177"/>
        <v>0</v>
      </c>
      <c r="DB632" s="116">
        <f t="shared" si="1178"/>
        <v>0</v>
      </c>
      <c r="DC632" s="116">
        <f t="shared" si="1179"/>
        <v>0</v>
      </c>
      <c r="DD632" s="116">
        <f t="shared" si="1180"/>
        <v>0</v>
      </c>
      <c r="DE632" s="117">
        <f t="shared" si="1181"/>
        <v>0</v>
      </c>
      <c r="DF632" s="118">
        <f t="shared" si="1183"/>
        <v>36</v>
      </c>
      <c r="DG632" s="106">
        <f t="shared" si="1184"/>
        <v>47.227999999999994</v>
      </c>
      <c r="DH632" s="116">
        <f t="shared" si="1185"/>
        <v>14</v>
      </c>
      <c r="DI632" s="106">
        <f t="shared" si="1186"/>
        <v>60.05</v>
      </c>
      <c r="DJ632" s="201" t="str">
        <f>IF($D631="","",$D631)</f>
        <v>21</v>
      </c>
      <c r="DK632" s="466"/>
    </row>
    <row r="633" spans="1:115" ht="14.5" customHeight="1" x14ac:dyDescent="0.2">
      <c r="A633" s="390"/>
      <c r="B633" s="457"/>
      <c r="C633" s="135" t="s">
        <v>54</v>
      </c>
      <c r="D633" s="375"/>
      <c r="E633" s="387"/>
      <c r="F633" s="378"/>
      <c r="G633" s="484"/>
      <c r="H633" s="477"/>
      <c r="I633" s="203" t="s">
        <v>51</v>
      </c>
      <c r="J633" s="204">
        <v>4.25</v>
      </c>
      <c r="K633" s="193" t="s">
        <v>47</v>
      </c>
      <c r="L633" s="194">
        <v>2.85</v>
      </c>
      <c r="M633" s="140">
        <v>6.4</v>
      </c>
      <c r="N633" s="407"/>
      <c r="O633" s="195">
        <f>IF(OR(AE631="",AE632=""),"",IF(L633&gt;0,ROUND(IF(M633&gt;0,M633,IF(M631&gt;0,ROUND((M631*AE633)/AE631,IF(N631=0,2,IF(N631=0.1,1,0))),IF(M632&gt;0,ROUND((M632*AE633)/AE632,IF(N631=0,2,IF(N631=0.1,1,0))),IF(M633&gt;0,M633,0)))),2),""))</f>
        <v>6.4</v>
      </c>
      <c r="P633" s="196">
        <f>IF(I632="Lay",O632*(L632/(L632-1))-O632,IF(I631="Lay",O631*(L631/(L631-1))-O631,IF(OR(L633="",O633=""),"",IF($C633="1/2W",O633/2+O633/2*L633,IF($C633="1/2L",O633/2,(O633*L633-O633)*(1-_xlfn.XLOOKUP(K633,'Fevereiro 2023 - Valor Real'!A3:A15,'Fevereiro 2023 - Valor Real'!C3:C15,0))+O633)))))</f>
        <v>18.240000000000002</v>
      </c>
      <c r="Q633" s="197">
        <f>IF(K633="","",IF(_xlfn.XLOOKUP(K633,K$4:K632,$DJ$4:DJ632,0,,-1)=DJ633,_xlfn.XLOOKUP(K633,K$4:K632,Q$4:Q632,1,,-1)+1,1))</f>
        <v>4</v>
      </c>
      <c r="R633" s="198">
        <f>IF(K633="","",_xlfn.XLOOKUP(K633,K$4:K632,R$4:R632,0,,-1)+IF($C633=" ",1,0))</f>
        <v>0</v>
      </c>
      <c r="S633" s="404"/>
      <c r="T633" s="378"/>
      <c r="U633" s="378"/>
      <c r="V633" s="404"/>
      <c r="W633" s="378"/>
      <c r="X633" s="453"/>
      <c r="Y633" s="383"/>
      <c r="Z633" s="384"/>
      <c r="AA633" s="384"/>
      <c r="AB633" s="384"/>
      <c r="AC633" s="384"/>
      <c r="AD633" s="145">
        <f>((L632/(L632-1)-1))</f>
        <v>0.84745762711864403</v>
      </c>
      <c r="AE633" s="199">
        <f>IF(L633="","",(SUM(((L631-1)*(1-_xlfn.XLOOKUP(K631,'Fevereiro 2023 - Valor Real'!A3:A15,'Fevereiro 2023 - Valor Real'!C3:C15,0))+1),((L632-1)*(1-_xlfn.XLOOKUP(K632,'Fevereiro 2023 - Valor Real'!A3:A15,'Fevereiro 2023 - Valor Real'!C3:C15,0))+1),((L633-1)*(1-_xlfn.XLOOKUP(K633,'Fevereiro 2023 - Valor Real'!A3:A15,'Fevereiro 2023 - Valor Real'!C3:C15,0))+1))/((L633-1)*(1-_xlfn.XLOOKUP(K633,'Fevereiro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Real'!C3:C15,0))+1))/((L631-1)*(1-_xlfn.XLOOKUP(K631,'Fevereiro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Real'!C3:C15,0))+1))/((L632-1)*(1-_xlfn.XLOOKUP(K632,'Fevereiro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Real'!C3:C15,0))+1))/((L633-1)*(1-_xlfn.XLOOKUP(K633,'Fevereiro 2023 - Valor Real'!A3:A15,'Fevereiro 2023 - Valor Real'!C3:C15,0))+1)))</f>
        <v>0.25940246045694199</v>
      </c>
      <c r="AF633" s="105">
        <f t="shared" si="1251"/>
        <v>0</v>
      </c>
      <c r="AG633" s="106">
        <f t="shared" si="1251"/>
        <v>0</v>
      </c>
      <c r="AH633" s="106">
        <f t="shared" si="1251"/>
        <v>0</v>
      </c>
      <c r="AI633" s="106">
        <f t="shared" si="1251"/>
        <v>0</v>
      </c>
      <c r="AJ633" s="106">
        <f t="shared" si="1251"/>
        <v>0</v>
      </c>
      <c r="AK633" s="106">
        <f t="shared" si="1251"/>
        <v>0</v>
      </c>
      <c r="AL633" s="106">
        <f t="shared" si="1251"/>
        <v>0</v>
      </c>
      <c r="AM633" s="106">
        <f t="shared" si="1251"/>
        <v>0</v>
      </c>
      <c r="AN633" s="106">
        <f t="shared" si="1251"/>
        <v>0</v>
      </c>
      <c r="AO633" s="106">
        <f t="shared" si="1251"/>
        <v>0</v>
      </c>
      <c r="AP633" s="106">
        <f t="shared" si="1251"/>
        <v>0</v>
      </c>
      <c r="AQ633" s="106">
        <f t="shared" si="1251"/>
        <v>11.84</v>
      </c>
      <c r="AR633" s="107">
        <f t="shared" si="1251"/>
        <v>0</v>
      </c>
      <c r="AS633" s="105">
        <f>IF(AND($B631=" ",$K633=AS$3),$O633,0)</f>
        <v>0</v>
      </c>
      <c r="AT633" s="106">
        <f>IF(AND($B631=" ",K633=AT$3),$O633,0)</f>
        <v>0</v>
      </c>
      <c r="AU633" s="106">
        <f t="shared" ref="AU633:BE633" si="1265">IF(AND($B631=" ",$K633=AU$3),$O633,0)</f>
        <v>0</v>
      </c>
      <c r="AV633" s="106">
        <f t="shared" si="1265"/>
        <v>0</v>
      </c>
      <c r="AW633" s="106">
        <f t="shared" si="1265"/>
        <v>0</v>
      </c>
      <c r="AX633" s="106">
        <f t="shared" si="1265"/>
        <v>0</v>
      </c>
      <c r="AY633" s="108">
        <f t="shared" si="1265"/>
        <v>0</v>
      </c>
      <c r="AZ633" s="109">
        <f t="shared" si="1265"/>
        <v>0</v>
      </c>
      <c r="BA633" s="109">
        <f t="shared" si="1265"/>
        <v>0</v>
      </c>
      <c r="BB633" s="109">
        <f t="shared" si="1265"/>
        <v>0</v>
      </c>
      <c r="BC633" s="110">
        <f t="shared" si="1265"/>
        <v>0</v>
      </c>
      <c r="BD633" s="106">
        <f t="shared" si="1265"/>
        <v>0</v>
      </c>
      <c r="BE633" s="107">
        <f t="shared" si="1265"/>
        <v>0</v>
      </c>
      <c r="BF633" s="105">
        <f t="shared" si="1253"/>
        <v>0</v>
      </c>
      <c r="BG633" s="106">
        <f t="shared" si="1253"/>
        <v>0</v>
      </c>
      <c r="BH633" s="106">
        <f t="shared" si="1253"/>
        <v>0</v>
      </c>
      <c r="BI633" s="106">
        <f t="shared" si="1253"/>
        <v>0</v>
      </c>
      <c r="BJ633" s="106">
        <f t="shared" si="1253"/>
        <v>0</v>
      </c>
      <c r="BK633" s="106">
        <f t="shared" si="1253"/>
        <v>0</v>
      </c>
      <c r="BL633" s="106">
        <f t="shared" si="1253"/>
        <v>0</v>
      </c>
      <c r="BM633" s="108">
        <f t="shared" si="1253"/>
        <v>0</v>
      </c>
      <c r="BN633" s="109">
        <f t="shared" si="1253"/>
        <v>0</v>
      </c>
      <c r="BO633" s="109">
        <f t="shared" si="1253"/>
        <v>0</v>
      </c>
      <c r="BP633" s="109">
        <f t="shared" si="1253"/>
        <v>0</v>
      </c>
      <c r="BQ633" s="110">
        <f t="shared" si="1253"/>
        <v>6.4</v>
      </c>
      <c r="BR633" s="107">
        <f t="shared" si="1253"/>
        <v>0</v>
      </c>
      <c r="BS633" s="464"/>
      <c r="BT633" s="461"/>
      <c r="BU633" s="392"/>
      <c r="BV633" s="461"/>
      <c r="BW633" s="392"/>
      <c r="BX633" s="392"/>
      <c r="BY633" s="392"/>
      <c r="BZ633" s="461"/>
      <c r="CA633" s="392"/>
      <c r="CB633" s="392"/>
      <c r="CC633" s="392"/>
      <c r="CD633" s="401"/>
      <c r="CE633" s="409"/>
      <c r="CF633" s="133">
        <f t="shared" si="1156"/>
        <v>0</v>
      </c>
      <c r="CG633" s="134">
        <f t="shared" si="1157"/>
        <v>0</v>
      </c>
      <c r="CH633" s="134">
        <f t="shared" si="1158"/>
        <v>0</v>
      </c>
      <c r="CI633" s="134">
        <f t="shared" si="1159"/>
        <v>0</v>
      </c>
      <c r="CJ633" s="134">
        <f t="shared" si="1160"/>
        <v>0</v>
      </c>
      <c r="CK633" s="134">
        <f t="shared" si="1161"/>
        <v>0</v>
      </c>
      <c r="CL633" s="134">
        <f t="shared" si="1162"/>
        <v>0</v>
      </c>
      <c r="CM633" s="134">
        <f t="shared" si="1163"/>
        <v>0</v>
      </c>
      <c r="CN633" s="134">
        <f t="shared" si="1164"/>
        <v>0</v>
      </c>
      <c r="CO633" s="134">
        <f t="shared" si="1165"/>
        <v>0</v>
      </c>
      <c r="CP633" s="134">
        <f t="shared" si="1166"/>
        <v>0</v>
      </c>
      <c r="CQ633" s="134">
        <f t="shared" si="1167"/>
        <v>0</v>
      </c>
      <c r="CR633" s="134">
        <f t="shared" si="1168"/>
        <v>0</v>
      </c>
      <c r="CS633" s="134">
        <f t="shared" si="1169"/>
        <v>0</v>
      </c>
      <c r="CT633" s="115">
        <f t="shared" si="1170"/>
        <v>0</v>
      </c>
      <c r="CU633" s="116">
        <f t="shared" si="1171"/>
        <v>0</v>
      </c>
      <c r="CV633" s="116">
        <f t="shared" si="1172"/>
        <v>0</v>
      </c>
      <c r="CW633" s="116">
        <f t="shared" si="1173"/>
        <v>0</v>
      </c>
      <c r="CX633" s="116">
        <f t="shared" si="1174"/>
        <v>0</v>
      </c>
      <c r="CY633" s="116">
        <f t="shared" si="1175"/>
        <v>0</v>
      </c>
      <c r="CZ633" s="116">
        <f t="shared" si="1176"/>
        <v>0</v>
      </c>
      <c r="DA633" s="116">
        <f t="shared" si="1177"/>
        <v>0</v>
      </c>
      <c r="DB633" s="116">
        <f t="shared" si="1178"/>
        <v>1</v>
      </c>
      <c r="DC633" s="116">
        <f t="shared" si="1179"/>
        <v>0</v>
      </c>
      <c r="DD633" s="116">
        <f t="shared" si="1180"/>
        <v>0</v>
      </c>
      <c r="DE633" s="117">
        <f t="shared" si="1181"/>
        <v>0</v>
      </c>
      <c r="DF633" s="118">
        <f t="shared" si="1183"/>
        <v>36</v>
      </c>
      <c r="DG633" s="106">
        <f t="shared" si="1184"/>
        <v>47.227999999999994</v>
      </c>
      <c r="DH633" s="116">
        <f t="shared" si="1185"/>
        <v>14</v>
      </c>
      <c r="DI633" s="106">
        <f t="shared" si="1186"/>
        <v>60.05</v>
      </c>
      <c r="DJ633" s="201" t="str">
        <f>IF($D631="","",$D631)</f>
        <v>21</v>
      </c>
      <c r="DK633" s="466"/>
    </row>
    <row r="634" spans="1:115" ht="14.5" customHeight="1" x14ac:dyDescent="0.2">
      <c r="A634" s="487">
        <f>$A631+1</f>
        <v>211</v>
      </c>
      <c r="B634" s="506" t="str">
        <f>IF(OR(C634="W",C635="W",C636="W",C634="1/2W",C635="1/2W",C636="1/2W",C634="1/2L",C635="1/2L",C636="1/2L"),"OK",IF(OR(C634="L",C635="L",C636="L"),"LOSS",IF(OR(C634="X",C635="X",C636="X"),"Anulado"," ")))</f>
        <v>OK</v>
      </c>
      <c r="C634" s="147" t="s">
        <v>54</v>
      </c>
      <c r="D634" s="494" t="str">
        <f>IF(G634="","",$D631)</f>
        <v>21</v>
      </c>
      <c r="E634" s="511" t="str">
        <f>IF(G634=""," ","– "&amp;COUNTIF(D$4:D636,$D634))</f>
        <v>– 7</v>
      </c>
      <c r="F634" s="510" t="str">
        <f ca="1">IF(G634="","",IF(OR(AND($C634&lt;&gt;" ",$C635=" "),AND($C635&lt;&gt;" ",$C634=" "),AND(L636&gt;0,OR(AND($C636&lt;&gt;" ",OR($C634=" ",$C635=" ")),AND($C636=" ",OR($C634&lt;&gt;" ",$C635&lt;&gt;" "))))),IF(SUM(F$4:F633)=0,1,LARGE(F$4:F633,1)+1),IF(MONTH(G634)=MONTH(TODAY()),IF(AND(DAY(G634)&lt;DAY(TODAY()),$B634=" "),IF(SUM(F$4:F633)=0,1,LARGE(F$4:F633,1)+1),IF($B634=" ",IF(AND(DAY(G634)=DAY(TODAY()),HOUR(G634)&lt;=HOUR(NOW())+1),IF(AND(HOUR(G634)+2&lt;=HOUR(NOW()),DAY(G634)&lt;=DAY(TODAY()),MINUTE(G634)&lt;=MINUTE(NOW())),IF(SUM(F$4:F633)=0,1,LARGE(F$4:F633,1)+1),IF(OR(MINUTE(G634)&lt;=MINUTE(NOW()),HOUR(G634)&lt;=HOUR(NOW())),"!!!","")),""),"")),"")))</f>
        <v/>
      </c>
      <c r="G634" s="508">
        <v>45006.677083333336</v>
      </c>
      <c r="H634" s="502" t="s">
        <v>234</v>
      </c>
      <c r="I634" s="180" t="s">
        <v>51</v>
      </c>
      <c r="J634" s="181">
        <v>25.5</v>
      </c>
      <c r="K634" s="150" t="s">
        <v>43</v>
      </c>
      <c r="L634" s="151">
        <v>2.36</v>
      </c>
      <c r="M634" s="152"/>
      <c r="N634" s="503">
        <v>0</v>
      </c>
      <c r="O634" s="153">
        <f>IF(OR(AE634="",AE635=""),"",ROUND(IF(L636&gt;0,IF(M634&gt;0,M634,IF(M635&gt;0,ROUND((M635*AE634)/AE635,IF(N634=0,2,IF(N634=0.1,1,0))),ROUND((M636*AE634)/AE636,IF(N634=0,2,IF(N634=0.1,1,0))))),IF(M634&gt;0,M634,ROUND((M635*AE634)/AE635,IF(N634=0,2,IF(N634=0.1,1,0))))),2))</f>
        <v>9.5299999999999994</v>
      </c>
      <c r="P634" s="154">
        <f>IF(OR(L634="",O634=""),"",IF($C634="1/2W",O634/2+O634/2*L634,IF($C634="1/2L",O634/2,IF(I634="Lay",(O634*(L634/(L634-1))-O634)*(1-_xlfn.XLOOKUP(K634,'Fevereiro 2023 - Valor Real'!A3:A15,'Fevereiro 2023 - Valor Real'!C3:C15,0))+O634,(O634*L634-O634)*(1-_xlfn.XLOOKUP(K634,'Fevereiro 2023 - Valor Real'!A3:A15,'Fevereiro 2023 - Valor Real'!C3:C15,0))+O634))))</f>
        <v>22.490799999999997</v>
      </c>
      <c r="Q634" s="155">
        <f>IF(K634="","",IF(_xlfn.XLOOKUP(K634,K$9:K626,$DJ$9:DJ626,0,,-1)=DJ634,_xlfn.XLOOKUP(K634,K$9:K626,Q$9:Q626,1,,-1)+1,1))</f>
        <v>3</v>
      </c>
      <c r="R634" s="156">
        <f>IF(K634="","",_xlfn.XLOOKUP(K634,K$9:K626,R$9:R626,0,,-1)+IF($C634=" ",1,0))</f>
        <v>0</v>
      </c>
      <c r="S634" s="501">
        <f>IF($B634="Anulado",0,ROUND(IF(OR($B634="LOSS",$B634="OK"),IF(OR($C634="W",$C634="1/2W",$C634="1/2L"),P634-O634,IF($C634="L",-O634,0))+IF(OR($C635="W",$C635="1/2W",$C635="1/2L"),P635-O635,IF($C635="L",-O635,0))+IF(OR($C636="W",$C636="1/2W",$C636="1/2L"),P636-O636,IF($C636="L",-O636,0)),IF(AND(OR($C634="W",$C634="1/2W",$C634="1/2L"),C635="W"),P634+P635-SUM(O634:O636)+_xlfn.XLOOKUP("X",C634:C636,O634:O636,0),IF(AND(C634=TRUE,C636="W"),P634+P636-SUM(O634:O636),IF(AND(C635="W",C636="W"),P635+P636-SUM(O634:O636)+_xlfn.XLOOKUP("X",C634:C636,O634:O636,0),IF(L636&gt;0,IF(OR($C634="W",$C634="1/2W",$C634="1/2L"),P634-SUM(O634:O636)+_xlfn.XLOOKUP("X",C634:C636,O634:O636,0),IF(OR($C634="W",$C634="1/2W",$C634="1/2L"),P635-SUM(O634:O636)+_xlfn.XLOOKUP("X",C634:C636,O634:O636,0),IF(OR($C634="W",$C634="1/2W",$C634="1/2L"),P636-SUM(O634:O636)+_xlfn.XLOOKUP("X",C634:C636,O634:O636,0),IF(SUM(P634:P636)/3-SUM(O634:O636)+_xlfn.XLOOKUP("X",C634:C636,O634:O636,0)&gt;0,SUM(P634:P636)/3-SUM(O634:O636)+_xlfn.XLOOKUP("X",C634:C636,O634:O636,0),LARGE(P634:P636,1)-SUM(O634:O636))))),IF(OR($C634="W",$C634="1/2W",$C634="1/2L"),P634-SUM(O634:O635)+_xlfn.XLOOKUP("X",C634:C636,O634:O636,0),IF(OR($C634="W",$C634="1/2W",$C634="1/2L"),P635-SUM(O634:O635)+_xlfn.XLOOKUP("X",C634:C636,O634:O636,0),SUM(P634:P635)/2-SUM(O634:O635)+_xlfn.XLOOKUP("X",C634:C636,O634:O636,0)))))))),2))</f>
        <v>1.71</v>
      </c>
      <c r="T634" s="486">
        <f>IF(S634=0,0,S634/SUM(O634:O636))</f>
        <v>8.2290664100096236E-2</v>
      </c>
      <c r="U634" s="496">
        <f>IF($D634=$D631,IF(OR($B634="LOSS",$B634="OK",$B634="Anulada"),S634,0)+U631,IF(OR($B634="LOSS",$B634="OK",$B634="Anulada"),S634,0))</f>
        <v>19.84</v>
      </c>
      <c r="V634" s="496">
        <f>IF($D634="",0,IF($D634=$D631,IF($B634=" ",IF(I636="",IF(OR(AND(I634="DNB1",I635="DNB2"),AND(OR(I634="DNB1",I634="DNB2"),J635=0),AND(OR(I635="DNB1",I635="DNB2"),J634=0),AND(I634="DNB2",I635="DNB1"),AND(IF(J634=0,(J634+1)/ROUND(J634+1,0),J634/ROUND(J634,0))=1,IF(J635=0,(J635+1)/ROUND(IF(J635="",0,J635)+1,0),IF(J635="",0,J635)/ROUND(IF(J635="",1,J635),0))=1,OR(J634&lt;&gt;""),J635&lt;&gt;"")),0,IF(S634&lt;0,IF(I636="",SMALL(P634:P635,1)-SUM(O634:O635),0),SMALL(P634:P635,1)-SUM(O634:O635))),IF(S634&lt;0,IF(I636="",SMALL(P634:P636,1)-SUM(O634:O636),0),LARGE(P634:P636,1)-SUM(O634:O636))),S634)+V631,IF(I636="",IF(OR(AND(I634="DNB1",I635="DNB2"),AND(OR(I634="DNB1",I634="DNB2"),J635=0),AND(OR(I635="DNB1",I635="DNB2"),J634=0),AND(I634="DNB2",I635="DNB1"),AND(IF(J634=0,(J634+1)/ROUND(J634+1,0),J634/ROUND(J634,0))=1,IF(J635=0,(IF(J635="",0,J635)+1)/ROUND(IF(J635="",0,J635)+1,0),IF(J635="",0,J635)/ROUND(IF(J635="",0,J635)+1,0))=1,OR(J634&lt;&gt;""),J635&lt;&gt;"")),0,IF(S634&lt;0,IF(I636="",SMALL(P634:P635,1)-SUM(O634:O635),0),SMALL(P634:P636,1)-SUM(O634:O636))),IF(S634&lt;0,IF(I636="",SMALL(P634:P636,1)-SUM(O634:O636),0),LARGE(P634:P636,1)-SUM(O634:O636)))))</f>
        <v>19.837999999999994</v>
      </c>
      <c r="W634" s="496">
        <f>IF($D634=$D631,IF(S634&lt;0,IF(I636="",S634,0),S634)+W631,S634)</f>
        <v>19.84</v>
      </c>
      <c r="X634" s="505" t="str">
        <f>IF(OR(SUM(R634:R636)=0,V634=W634),ROUND(IF(W634=0,0,W634/Y634)*100,2)&amp;"%",ROUND(IF(V634=0,0,V634/Y634)*100,2)&amp;"% a "&amp;ROUND(IF(W634=0,0,W634/Y634)*100,2)&amp;"%")</f>
        <v>10,01%</v>
      </c>
      <c r="Y634" s="497">
        <f>IF($D634=$D631,Y631+SUM(O634:O636),SUM(O634:O636))</f>
        <v>198.15000000000003</v>
      </c>
      <c r="Z634" s="496">
        <f>IF($B634=" ",SUM(O634:O636),0)+Z631</f>
        <v>0</v>
      </c>
      <c r="AA634" s="496">
        <f>IF(G634="","",IF($B634="Anulado",LARGE(P634:P636,1)-SUM(O634:O636)+AA631,AA631))</f>
        <v>13.381099999999991</v>
      </c>
      <c r="AB634" s="496">
        <f>IF($D634="","",AB631+S634)</f>
        <v>697.47000000000048</v>
      </c>
      <c r="AC634" s="499">
        <f ca="1">IF($D634="","",IF($B634=" ",IF(DAY(G634)=DAY(TODAY()),1+AC631,0+AC631),0+AC631))</f>
        <v>0</v>
      </c>
      <c r="AD634" s="157">
        <f>(1-_xlfn.XLOOKUP(K632,'Fevereiro 2023 - Valor Real'!A3:A15,'Fevereiro 2023 - Valor Real'!C3:C15,0))+1</f>
        <v>1.9350000000000001</v>
      </c>
      <c r="AE634" s="158">
        <f>IF(L634="","",IF(L636&gt;0,(SUM(((L634-1)*(1-_xlfn.XLOOKUP(K634,'Fevereiro 2023 - Valor Real'!A3:A15,'Fevereiro 2023 - Valor Real'!C3:C15,0))+1),((L635-1)*(1-_xlfn.XLOOKUP(K635,'Fevereiro 2023 - Valor Real'!A3:A15,'Fevereiro 2023 - Valor Real'!C3:C15,0))+1),((L636-1)*(1-_xlfn.XLOOKUP(K636,'Fevereiro 2023 - Valor Real'!A3:A15,'Fevereiro 2023 - Valor Real'!C3:C15,0))+1))/((L634-1)*(1-_xlfn.XLOOKUP(K634,'Fevereiro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Real'!C3:C15,0))+1))/((L634-1)*(1-_xlfn.XLOOKUP(K634,'Fevereiro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Real'!C3:C15,0))+1))/((L635-1)*(1-_xlfn.XLOOKUP(K635,'Fevereiro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Real'!C3:C15,0))+1))/((L636-1)*(1-_xlfn.XLOOKUP(K636,'Fevereiro 2023 - Valor Real'!A3:A15,'Fevereiro 2023 - Valor Real'!C3:C15,0))+1)),IF(I634="Lay",IF(I635="Lay",((L635/(L635-1)-1)*(1-_xlfn.XLOOKUP(K635,'Fevereiro 2023 - Valor Real'!A3:A15,'Fevereiro 2023 - Valor Real'!C3:C15,0))+1)/(((L635/(L635-1)-1)*(1-_xlfn.XLOOKUP(K635,'Fevereiro 2023 - Valor Real'!A3:A15,'Fevereiro 2023 - Valor Real'!C3:C15,0))+1)+((L634/(L634-1)-1)*(1-_xlfn.XLOOKUP(K634,'Fevereiro 2023 - Valor Real'!A3:A15,'Fevereiro 2023 - Valor Real'!C3:C15,0))+1)),((L635-1)*(1-_xlfn.XLOOKUP(K635,'Fevereiro 2023 - Valor Real'!A3:A15,'Fevereiro 2023 - Valor Real'!C3:C15,0))+1)/(((L635-1)*(1-_xlfn.XLOOKUP(K635,'Fevereiro 2023 - Valor Real'!A3:A15,'Fevereiro 2023 - Valor Real'!C3:C15,0))+1)+((L634/(L634-1)-1)*(1-_xlfn.XLOOKUP(K634,'Fevereiro 2023 - Valor Real'!A3:A15,'Fevereiro 2023 - Valor Real'!C3:C15,0))+1))),IF(I635="Lay",(((L635/(L635-1)-1)*(1-_xlfn.XLOOKUP(K635,'Fevereiro 2023 - Valor Real'!A3:A15,'Fevereiro 2023 - Valor Real'!C3:C15,0))+1))/(((L634-1)*(1-_xlfn.XLOOKUP(K634,'Fevereiro 2023 - Valor Real'!A3:A15,'Fevereiro 2023 - Valor Real'!C3:C15,0))+1)+((L635/(L635-1)-1)*(1-_xlfn.XLOOKUP(K635,'Fevereiro 2023 - Valor Real'!A3:A15,'Fevereiro 2023 - Valor Real'!C3:C15,0))+1)),((L635-1)*(1-_xlfn.XLOOKUP(K635,'Fevereiro 2023 - Valor Real'!A3:A15,'Fevereiro 2023 - Valor Real'!C3:C15,0))+1)/(((L635-1)*(1-_xlfn.XLOOKUP(K635,'Fevereiro 2023 - Valor Real'!A3:A15,'Fevereiro 2023 - Valor Real'!C3:C15,0))+1)+((L634-1)*(1-_xlfn.XLOOKUP(K634,'Fevereiro 2023 - Valor Real'!A3:A15,'Fevereiro 2023 - Valor Real'!C3:C15,0))+1))))))</f>
        <v>0.45871559633027531</v>
      </c>
      <c r="AF634" s="66">
        <f t="shared" ref="AF634:AR643" si="1266">IF($K634=AF$3,ROUND(IF(OR($C634="W",$C634="1/2W",$C634="1/2L"),$P634-$O634,IF($C634="X",0,-$O634)),2),0)</f>
        <v>0</v>
      </c>
      <c r="AG634" s="67">
        <f t="shared" si="1266"/>
        <v>0</v>
      </c>
      <c r="AH634" s="67">
        <f t="shared" si="1266"/>
        <v>0</v>
      </c>
      <c r="AI634" s="67">
        <f t="shared" si="1266"/>
        <v>0</v>
      </c>
      <c r="AJ634" s="67">
        <f t="shared" si="1266"/>
        <v>0</v>
      </c>
      <c r="AK634" s="67">
        <f t="shared" si="1266"/>
        <v>0</v>
      </c>
      <c r="AL634" s="67">
        <f t="shared" si="1266"/>
        <v>0</v>
      </c>
      <c r="AM634" s="67">
        <f t="shared" si="1266"/>
        <v>12.96</v>
      </c>
      <c r="AN634" s="67">
        <f t="shared" si="1266"/>
        <v>0</v>
      </c>
      <c r="AO634" s="67">
        <f t="shared" si="1266"/>
        <v>0</v>
      </c>
      <c r="AP634" s="67">
        <f t="shared" si="1266"/>
        <v>0</v>
      </c>
      <c r="AQ634" s="67">
        <f t="shared" si="1266"/>
        <v>0</v>
      </c>
      <c r="AR634" s="68">
        <f t="shared" si="1266"/>
        <v>0</v>
      </c>
      <c r="AS634" s="66">
        <f t="shared" ref="AS634:BE634" si="1267">IF(AND($B634=" ",$K634=AS$3),$O634,0)</f>
        <v>0</v>
      </c>
      <c r="AT634" s="67">
        <f t="shared" si="1267"/>
        <v>0</v>
      </c>
      <c r="AU634" s="67">
        <f t="shared" si="1267"/>
        <v>0</v>
      </c>
      <c r="AV634" s="67">
        <f t="shared" si="1267"/>
        <v>0</v>
      </c>
      <c r="AW634" s="67">
        <f t="shared" si="1267"/>
        <v>0</v>
      </c>
      <c r="AX634" s="67">
        <f t="shared" si="1267"/>
        <v>0</v>
      </c>
      <c r="AY634" s="69">
        <f t="shared" si="1267"/>
        <v>0</v>
      </c>
      <c r="AZ634" s="70">
        <f t="shared" si="1267"/>
        <v>0</v>
      </c>
      <c r="BA634" s="70">
        <f t="shared" si="1267"/>
        <v>0</v>
      </c>
      <c r="BB634" s="70">
        <f t="shared" si="1267"/>
        <v>0</v>
      </c>
      <c r="BC634" s="71">
        <f t="shared" si="1267"/>
        <v>0</v>
      </c>
      <c r="BD634" s="67">
        <f t="shared" si="1267"/>
        <v>0</v>
      </c>
      <c r="BE634" s="68">
        <f t="shared" si="1267"/>
        <v>0</v>
      </c>
      <c r="BF634" s="66">
        <f t="shared" ref="BF634:BR643" si="1268">IF($K634=BF$3,IF($C634="X",0,$O634),0)</f>
        <v>0</v>
      </c>
      <c r="BG634" s="67">
        <f t="shared" si="1268"/>
        <v>0</v>
      </c>
      <c r="BH634" s="67">
        <f t="shared" si="1268"/>
        <v>0</v>
      </c>
      <c r="BI634" s="67">
        <f t="shared" si="1268"/>
        <v>0</v>
      </c>
      <c r="BJ634" s="67">
        <f t="shared" si="1268"/>
        <v>0</v>
      </c>
      <c r="BK634" s="67">
        <f t="shared" si="1268"/>
        <v>0</v>
      </c>
      <c r="BL634" s="67">
        <f t="shared" si="1268"/>
        <v>0</v>
      </c>
      <c r="BM634" s="69">
        <f t="shared" si="1268"/>
        <v>9.5299999999999994</v>
      </c>
      <c r="BN634" s="70">
        <f t="shared" si="1268"/>
        <v>0</v>
      </c>
      <c r="BO634" s="70">
        <f t="shared" si="1268"/>
        <v>0</v>
      </c>
      <c r="BP634" s="70">
        <f t="shared" si="1268"/>
        <v>0</v>
      </c>
      <c r="BQ634" s="71">
        <f t="shared" si="1268"/>
        <v>0</v>
      </c>
      <c r="BR634" s="68">
        <f t="shared" si="1268"/>
        <v>0</v>
      </c>
      <c r="BS634" s="490">
        <f>IF($B634="LOSS",IF(AND($K634=BS$3,$C634="L"),-$O634,0)+IF(AND($K635=BS$3,$C635="L"),-$O635,0)+IF(AND($K636=BS$3,$C636="L"),-$O636,0),IF(OR(AND($K634=BS$3,OR($C634="W",$C634="1/2W")),AND($K635=BS$3,OR($C635="W",$C635="1/2W")),AND($K636=BS$3,OR($C636="W",$C636="1/2W"))),$S634,0))</f>
        <v>0</v>
      </c>
      <c r="BT634" s="498">
        <f>IF($B634="LOSS",IF(AND($K634=BT$3,$C634="L"),-$O634,0)+IF(AND($K635=BT$3,$C635="L"),-$O635,0)+IF(AND($K635=BT$3,$C636="L"),-$O636,0),IF(OR(AND($K635=BT$3,OR($C634="W",$C634="1/2W")),AND($K635=BT$3,OR($C635="W",$C635="1/2W")),AND($K635=BT$3,OR($C636="W",$C636="1/2W"))),$S634,0))</f>
        <v>0</v>
      </c>
      <c r="BU634" s="488">
        <f>IF($B634="LOSS",IF(AND($K634=BU$3,$C634="L"),-$O634,0)+IF(AND($K635=BU$3,$C635="L"),-$O635,0)+IF(AND($K635=BU$3,$C636="L"),-$O636,0),IF(OR(AND($K635=BU$3,OR($C634="W",$C634="1/2W")),AND($K635=BU$3,OR($C635="W",$C635="1/2W")),AND($K635=BU$3,OR($C636="W",$C636="1/2W"))),$S634,0))</f>
        <v>0</v>
      </c>
      <c r="BV634" s="488">
        <f t="shared" ref="BV634:CE634" si="1269">IF($B634="LOSS",IF(AND($K634=BV$3,$C634="L"),-$O634,0)+IF(AND($K635=BV$3,$C635="L"),-$O635,0)+IF(AND($K636=BV$3,$C636="L"),-$O636,0),IF(OR(AND($K634=BV$3,OR($C634="W",$C634="1/2W")),AND($K635=BV$3,OR($C635="W",$C635="1/2W")),AND($K636=BV$3,OR($C636="W",$C636="1/2W"))),$S634,0))</f>
        <v>0</v>
      </c>
      <c r="BW634" s="488">
        <f t="shared" si="1269"/>
        <v>0</v>
      </c>
      <c r="BX634" s="488">
        <f t="shared" si="1269"/>
        <v>0</v>
      </c>
      <c r="BY634" s="488">
        <f t="shared" si="1269"/>
        <v>0</v>
      </c>
      <c r="BZ634" s="488">
        <f t="shared" si="1269"/>
        <v>1.71</v>
      </c>
      <c r="CA634" s="488">
        <f t="shared" si="1269"/>
        <v>0</v>
      </c>
      <c r="CB634" s="488">
        <f t="shared" si="1269"/>
        <v>0</v>
      </c>
      <c r="CC634" s="488">
        <f t="shared" si="1269"/>
        <v>0</v>
      </c>
      <c r="CD634" s="500">
        <f t="shared" si="1269"/>
        <v>0</v>
      </c>
      <c r="CE634" s="504">
        <f t="shared" si="1269"/>
        <v>0</v>
      </c>
      <c r="CF634" s="160">
        <f t="shared" si="1156"/>
        <v>0</v>
      </c>
      <c r="CG634" s="161">
        <f t="shared" si="1157"/>
        <v>0</v>
      </c>
      <c r="CH634" s="161">
        <f t="shared" si="1158"/>
        <v>0</v>
      </c>
      <c r="CI634" s="161">
        <f t="shared" si="1159"/>
        <v>0</v>
      </c>
      <c r="CJ634" s="161">
        <f t="shared" si="1160"/>
        <v>0</v>
      </c>
      <c r="CK634" s="161">
        <f t="shared" si="1161"/>
        <v>0</v>
      </c>
      <c r="CL634" s="161">
        <f t="shared" si="1162"/>
        <v>0</v>
      </c>
      <c r="CM634" s="161">
        <f t="shared" si="1163"/>
        <v>0</v>
      </c>
      <c r="CN634" s="161">
        <f t="shared" si="1164"/>
        <v>0</v>
      </c>
      <c r="CO634" s="161">
        <f t="shared" si="1165"/>
        <v>0</v>
      </c>
      <c r="CP634" s="161">
        <f t="shared" si="1166"/>
        <v>0</v>
      </c>
      <c r="CQ634" s="161">
        <f t="shared" si="1167"/>
        <v>0</v>
      </c>
      <c r="CR634" s="161">
        <f t="shared" si="1168"/>
        <v>0</v>
      </c>
      <c r="CS634" s="161">
        <f t="shared" si="1169"/>
        <v>0</v>
      </c>
      <c r="CT634" s="75">
        <f t="shared" si="1170"/>
        <v>1</v>
      </c>
      <c r="CU634" s="76">
        <f t="shared" si="1171"/>
        <v>0</v>
      </c>
      <c r="CV634" s="76">
        <f t="shared" si="1172"/>
        <v>0</v>
      </c>
      <c r="CW634" s="76">
        <f t="shared" si="1173"/>
        <v>0</v>
      </c>
      <c r="CX634" s="76">
        <f t="shared" si="1174"/>
        <v>0</v>
      </c>
      <c r="CY634" s="76">
        <f t="shared" si="1175"/>
        <v>0</v>
      </c>
      <c r="CZ634" s="76">
        <f t="shared" si="1176"/>
        <v>0</v>
      </c>
      <c r="DA634" s="76">
        <f t="shared" si="1177"/>
        <v>0</v>
      </c>
      <c r="DB634" s="76">
        <f t="shared" si="1178"/>
        <v>0</v>
      </c>
      <c r="DC634" s="76">
        <f t="shared" si="1179"/>
        <v>0</v>
      </c>
      <c r="DD634" s="76">
        <f t="shared" si="1180"/>
        <v>0</v>
      </c>
      <c r="DE634" s="77">
        <f t="shared" si="1181"/>
        <v>0</v>
      </c>
      <c r="DF634" s="73">
        <f t="shared" si="1183"/>
        <v>36</v>
      </c>
      <c r="DG634" s="67">
        <f t="shared" si="1184"/>
        <v>47.227999999999994</v>
      </c>
      <c r="DH634" s="76">
        <f t="shared" si="1185"/>
        <v>14</v>
      </c>
      <c r="DI634" s="67">
        <f t="shared" si="1186"/>
        <v>60.05</v>
      </c>
      <c r="DJ634" s="202" t="str">
        <f>IF($D634="","",$D634)</f>
        <v>21</v>
      </c>
      <c r="DK634" s="492">
        <f>IF(AND($B634=" ",$D634&lt;&gt;""),1,0)</f>
        <v>0</v>
      </c>
    </row>
    <row r="635" spans="1:115" ht="14.5" customHeight="1" x14ac:dyDescent="0.2">
      <c r="A635" s="389"/>
      <c r="B635" s="456"/>
      <c r="C635" s="53" t="s">
        <v>55</v>
      </c>
      <c r="D635" s="374"/>
      <c r="E635" s="386"/>
      <c r="F635" s="377"/>
      <c r="G635" s="508"/>
      <c r="H635" s="476"/>
      <c r="I635" s="182" t="s">
        <v>52</v>
      </c>
      <c r="J635" s="56">
        <f>IF(OR(I634="TO",I634="TU",I634="TO1",I634="TU1",I634="TO2",I634="TU2"),J634,IF(OR(I634="AH1",I634="AH2"),IF(OR(I635="AH1",I635="AH2"),-J634,IF(OR(I635="EH1",I635="EH2"),-J634+0.5,"")),IF(OR(I634="EH1",I634="EH2"),IF(OR(I635="AH1",I635="AH2"),-J634+0.5,IF(OR(I635="EH1",I635="EH2"),-J634+1,"")),IF(AND(OR(I634="DNB1",I634="DNB2"),OR(I635="AH1",I635="AH2")),0,IF(AND(I634="Not ScoreBoth",OR(I635="TO1",I635="TO2")),0.5,"")))))</f>
        <v>25.5</v>
      </c>
      <c r="K635" s="57" t="s">
        <v>40</v>
      </c>
      <c r="L635" s="164">
        <v>2</v>
      </c>
      <c r="M635" s="165">
        <v>11.25</v>
      </c>
      <c r="N635" s="406"/>
      <c r="O635" s="60">
        <f>IF(OR(AE634="",AE635=""),"",ROUND(IF(L636&gt;0,IF(M635&gt;0,M635,IF(M634&gt;0,IF(N634=TRUE,ROUND((M634*AE635)/AE634,0),(M634*AE635)/AE634),IF(M635&gt;0,ROUND(M635,IF(N634=0,2,IF(N634=0.1,1,0))),IF(M636&gt;0,ROUND(O636*AE635/AE636,IF(N634=0,2,IF(N634=0.1,1,0))),0)))),IF(M635&gt;0,M635,ROUND((M634*AE635)/AE634,IF(N634=0,2,IF(N634=0.1,1,0))))),2))</f>
        <v>11.25</v>
      </c>
      <c r="P635" s="61">
        <f>IF(OR(L635="",O635=""),"",IF($C635="1/2W",O635/2+O635/2*L635,IF($C635="1/2L",O635/2,IF(I635="Lay",((O635*(L635/(L635-1)))-O635)*(1-_xlfn.XLOOKUP(K635,'Fevereiro 2023 - Valor Real'!A3:A15,'Fevereiro 2023 - Valor Real'!C3:C15,0))+O635,(O635*L635-O635)*(1-_xlfn.XLOOKUP(K635,'Fevereiro 2023 - Valor Real'!A3:A15,'Fevereiro 2023 - Valor Real'!C3:C15,0))+O635))))</f>
        <v>22.5</v>
      </c>
      <c r="Q635" s="166">
        <f>IF(K635="","",IF(_xlfn.XLOOKUP(K635,K$10:K626,$DJ$10:DJ626,0,,-1)=DJ635,_xlfn.XLOOKUP(K635,K$10:K626,Q$10:Q626,1,,-1)+1,1))</f>
        <v>3</v>
      </c>
      <c r="R635" s="167">
        <f>IF(K635="","",_xlfn.XLOOKUP(K635,K$10:K626,R$10:R626,0,,-1)+IF($C635=" ",1,0))</f>
        <v>0</v>
      </c>
      <c r="S635" s="403"/>
      <c r="T635" s="380"/>
      <c r="U635" s="380"/>
      <c r="V635" s="481"/>
      <c r="W635" s="380"/>
      <c r="X635" s="452"/>
      <c r="Y635" s="383"/>
      <c r="Z635" s="384"/>
      <c r="AA635" s="384"/>
      <c r="AB635" s="384"/>
      <c r="AC635" s="384"/>
      <c r="AD635" s="64"/>
      <c r="AE635" s="65">
        <f>IF(L635="","",IF(L636&gt;0,(SUM(((L634-1)*(1-_xlfn.XLOOKUP(K634,'Fevereiro 2023 - Valor Real'!A3:A15,'Fevereiro 2023 - Valor Real'!C3:C15,0))+1),((L635-1)*(1-_xlfn.XLOOKUP(K635,'Fevereiro 2023 - Valor Real'!A3:A15,'Fevereiro 2023 - Valor Real'!C3:C15,0))+1),((L636-1)*(1-_xlfn.XLOOKUP(K636,'Fevereiro 2023 - Valor Real'!A3:A15,'Fevereiro 2023 - Valor Real'!C3:C15,0))+1))/((L635-1)*(1-_xlfn.XLOOKUP(K635,'Fevereiro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Real'!C3:C15,0))+1))/((L634-1)*(1-_xlfn.XLOOKUP(K634,'Fevereiro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Real'!C3:C15,0))+1))/((L635-1)*(1-_xlfn.XLOOKUP(K635,'Fevereiro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Real'!C3:C15,0))+1))/((L636-1)*(1-_xlfn.XLOOKUP(K636,'Fevereiro 2023 - Valor Real'!A3:A15,'Fevereiro 2023 - Valor Real'!C3:C15,0))+1)),IF(I635="Lay",IF(I634="Lay",((L634/(L634-1)-1)*(1-_xlfn.XLOOKUP(K634,'Fevereiro 2023 - Valor Real'!A3:A15,'Fevereiro 2023 - Valor Real'!C3:C15,0))+1)/(((L634/(L634-1)-1)*(1-_xlfn.XLOOKUP(K634,'Fevereiro 2023 - Valor Real'!A3:A15,'Fevereiro 2023 - Valor Real'!C3:C15,0))+1)+((L635/(L635-1)-1)*(1-_xlfn.XLOOKUP(K635,'Fevereiro 2023 - Valor Real'!A3:A15,'Fevereiro 2023 - Valor Real'!C3:C15,0))+1)),((L634-1)*(1-_xlfn.XLOOKUP(K634,'Fevereiro 2023 - Valor Real'!A3:A15,'Fevereiro 2023 - Valor Real'!C3:C15,0))+1)/(((L634-1)*(1-_xlfn.XLOOKUP(K634,'Fevereiro 2023 - Valor Real'!A3:A15,'Fevereiro 2023 - Valor Real'!C3:C15,0))+1)+((L635/(L635-1)-1)*(1-_xlfn.XLOOKUP(K635,'Fevereiro 2023 - Valor Real'!A3:A15,'Fevereiro 2023 - Valor Real'!C3:C15,0))+1))),IF(I634="Lay",((L634/(L634-1)-1)*(1-_xlfn.XLOOKUP(K634,'Fevereiro 2023 - Valor Real'!A3:A15,'Fevereiro 2023 - Valor Real'!C3:C15,0))+1)/((((L634/(L634-1)-1)*(1-_xlfn.XLOOKUP(K634,'Fevereiro 2023 - Valor Real'!A3:A15,'Fevereiro 2023 - Valor Real'!C3:C15,0))+1))+((L635-1)*(1-_xlfn.XLOOKUP(K635,'Fevereiro 2023 - Valor Real'!A3:A15,'Fevereiro 2023 - Valor Real'!C3:C15,0))+1)),((L634-1)*(1-_xlfn.XLOOKUP(K634,'Fevereiro 2023 - Valor Real'!A3:A15,'Fevereiro 2023 - Valor Real'!C3:C15,0))+1)/(((L634-1)*(1-_xlfn.XLOOKUP(K634,'Fevereiro 2023 - Valor Real'!A3:A15,'Fevereiro 2023 - Valor Real'!C3:C15,0))+1)+((L635-1)*(1-_xlfn.XLOOKUP(K635,'Fevereiro 2023 - Valor Real'!A3:A15,'Fevereiro 2023 - Valor Real'!C3:C15,0))+1))))))</f>
        <v>0.54128440366972486</v>
      </c>
      <c r="AF635" s="66">
        <f t="shared" si="1266"/>
        <v>0</v>
      </c>
      <c r="AG635" s="67">
        <f t="shared" si="1266"/>
        <v>0</v>
      </c>
      <c r="AH635" s="67">
        <f t="shared" si="1266"/>
        <v>0</v>
      </c>
      <c r="AI635" s="67">
        <f t="shared" si="1266"/>
        <v>0</v>
      </c>
      <c r="AJ635" s="67">
        <f t="shared" si="1266"/>
        <v>-11.25</v>
      </c>
      <c r="AK635" s="67">
        <f t="shared" si="1266"/>
        <v>0</v>
      </c>
      <c r="AL635" s="67">
        <f t="shared" si="1266"/>
        <v>0</v>
      </c>
      <c r="AM635" s="67">
        <f t="shared" si="1266"/>
        <v>0</v>
      </c>
      <c r="AN635" s="67">
        <f t="shared" si="1266"/>
        <v>0</v>
      </c>
      <c r="AO635" s="67">
        <f t="shared" si="1266"/>
        <v>0</v>
      </c>
      <c r="AP635" s="67">
        <f t="shared" si="1266"/>
        <v>0</v>
      </c>
      <c r="AQ635" s="67">
        <f t="shared" si="1266"/>
        <v>0</v>
      </c>
      <c r="AR635" s="68">
        <f t="shared" si="1266"/>
        <v>0</v>
      </c>
      <c r="AS635" s="66">
        <f>IF(AND($B634=" ",$K635=AS$3),$O635,0)</f>
        <v>0</v>
      </c>
      <c r="AT635" s="67">
        <f>IF(AND($B634=" ",K635=AT$3),$O635,0)</f>
        <v>0</v>
      </c>
      <c r="AU635" s="67">
        <f t="shared" ref="AU635:BE635" si="1270">IF(AND($B634=" ",$K635=AU$3),$O635,0)</f>
        <v>0</v>
      </c>
      <c r="AV635" s="67">
        <f t="shared" si="1270"/>
        <v>0</v>
      </c>
      <c r="AW635" s="67">
        <f t="shared" si="1270"/>
        <v>0</v>
      </c>
      <c r="AX635" s="67">
        <f t="shared" si="1270"/>
        <v>0</v>
      </c>
      <c r="AY635" s="69">
        <f t="shared" si="1270"/>
        <v>0</v>
      </c>
      <c r="AZ635" s="70">
        <f t="shared" si="1270"/>
        <v>0</v>
      </c>
      <c r="BA635" s="70">
        <f t="shared" si="1270"/>
        <v>0</v>
      </c>
      <c r="BB635" s="70">
        <f t="shared" si="1270"/>
        <v>0</v>
      </c>
      <c r="BC635" s="71">
        <f t="shared" si="1270"/>
        <v>0</v>
      </c>
      <c r="BD635" s="67">
        <f t="shared" si="1270"/>
        <v>0</v>
      </c>
      <c r="BE635" s="68">
        <f t="shared" si="1270"/>
        <v>0</v>
      </c>
      <c r="BF635" s="66">
        <f t="shared" si="1268"/>
        <v>0</v>
      </c>
      <c r="BG635" s="168">
        <f t="shared" si="1268"/>
        <v>0</v>
      </c>
      <c r="BH635" s="67">
        <f t="shared" si="1268"/>
        <v>0</v>
      </c>
      <c r="BI635" s="67">
        <f t="shared" si="1268"/>
        <v>0</v>
      </c>
      <c r="BJ635" s="67">
        <f t="shared" si="1268"/>
        <v>11.25</v>
      </c>
      <c r="BK635" s="67">
        <f t="shared" si="1268"/>
        <v>0</v>
      </c>
      <c r="BL635" s="67">
        <f t="shared" si="1268"/>
        <v>0</v>
      </c>
      <c r="BM635" s="69">
        <f t="shared" si="1268"/>
        <v>0</v>
      </c>
      <c r="BN635" s="70">
        <f t="shared" si="1268"/>
        <v>0</v>
      </c>
      <c r="BO635" s="70">
        <f t="shared" si="1268"/>
        <v>0</v>
      </c>
      <c r="BP635" s="70">
        <f t="shared" si="1268"/>
        <v>0</v>
      </c>
      <c r="BQ635" s="71">
        <f t="shared" si="1268"/>
        <v>0</v>
      </c>
      <c r="BR635" s="68">
        <f t="shared" si="1268"/>
        <v>0</v>
      </c>
      <c r="BS635" s="491"/>
      <c r="BT635" s="489"/>
      <c r="BU635" s="392"/>
      <c r="BV635" s="489"/>
      <c r="BW635" s="392"/>
      <c r="BX635" s="392"/>
      <c r="BY635" s="392"/>
      <c r="BZ635" s="489"/>
      <c r="CA635" s="392"/>
      <c r="CB635" s="392"/>
      <c r="CC635" s="392"/>
      <c r="CD635" s="401"/>
      <c r="CE635" s="409"/>
      <c r="CF635" s="169">
        <f t="shared" si="1156"/>
        <v>0</v>
      </c>
      <c r="CG635" s="170">
        <f t="shared" si="1157"/>
        <v>0</v>
      </c>
      <c r="CH635" s="170">
        <f t="shared" si="1158"/>
        <v>0</v>
      </c>
      <c r="CI635" s="170">
        <f t="shared" si="1159"/>
        <v>0</v>
      </c>
      <c r="CJ635" s="170">
        <f t="shared" si="1160"/>
        <v>0</v>
      </c>
      <c r="CK635" s="170">
        <f t="shared" si="1161"/>
        <v>0</v>
      </c>
      <c r="CL635" s="170">
        <f t="shared" si="1162"/>
        <v>0</v>
      </c>
      <c r="CM635" s="170">
        <f t="shared" si="1163"/>
        <v>0</v>
      </c>
      <c r="CN635" s="170">
        <f t="shared" si="1164"/>
        <v>0</v>
      </c>
      <c r="CO635" s="170">
        <f t="shared" si="1165"/>
        <v>1</v>
      </c>
      <c r="CP635" s="170">
        <f t="shared" si="1166"/>
        <v>0</v>
      </c>
      <c r="CQ635" s="170">
        <f t="shared" si="1167"/>
        <v>0</v>
      </c>
      <c r="CR635" s="170">
        <f t="shared" si="1168"/>
        <v>0</v>
      </c>
      <c r="CS635" s="170">
        <f t="shared" si="1169"/>
        <v>0</v>
      </c>
      <c r="CT635" s="75">
        <f t="shared" si="1170"/>
        <v>0</v>
      </c>
      <c r="CU635" s="76">
        <f t="shared" si="1171"/>
        <v>0</v>
      </c>
      <c r="CV635" s="76">
        <f t="shared" si="1172"/>
        <v>0</v>
      </c>
      <c r="CW635" s="76">
        <f t="shared" si="1173"/>
        <v>0</v>
      </c>
      <c r="CX635" s="76">
        <f t="shared" si="1174"/>
        <v>0</v>
      </c>
      <c r="CY635" s="76">
        <f t="shared" si="1175"/>
        <v>0</v>
      </c>
      <c r="CZ635" s="76">
        <f t="shared" si="1176"/>
        <v>0</v>
      </c>
      <c r="DA635" s="76">
        <f t="shared" si="1177"/>
        <v>0</v>
      </c>
      <c r="DB635" s="76">
        <f t="shared" si="1178"/>
        <v>0</v>
      </c>
      <c r="DC635" s="76">
        <f t="shared" si="1179"/>
        <v>0</v>
      </c>
      <c r="DD635" s="76">
        <f t="shared" si="1180"/>
        <v>0</v>
      </c>
      <c r="DE635" s="77">
        <f t="shared" si="1181"/>
        <v>0</v>
      </c>
      <c r="DF635" s="73">
        <f t="shared" si="1183"/>
        <v>36</v>
      </c>
      <c r="DG635" s="67">
        <f t="shared" si="1184"/>
        <v>47.227999999999994</v>
      </c>
      <c r="DH635" s="76">
        <f t="shared" si="1185"/>
        <v>14</v>
      </c>
      <c r="DI635" s="67">
        <f t="shared" si="1186"/>
        <v>60.05</v>
      </c>
      <c r="DJ635" s="202" t="str">
        <f>IF($D634="","",$D634)</f>
        <v>21</v>
      </c>
      <c r="DK635" s="493"/>
    </row>
    <row r="636" spans="1:115" ht="14.5" customHeight="1" x14ac:dyDescent="0.2">
      <c r="A636" s="390"/>
      <c r="B636" s="457"/>
      <c r="C636" s="79" t="s">
        <v>53</v>
      </c>
      <c r="D636" s="375"/>
      <c r="E636" s="387"/>
      <c r="F636" s="378"/>
      <c r="G636" s="508"/>
      <c r="H636" s="477"/>
      <c r="I636" s="171"/>
      <c r="J636" s="172"/>
      <c r="K636" s="81"/>
      <c r="L636" s="173"/>
      <c r="M636" s="174"/>
      <c r="N636" s="407"/>
      <c r="O636" s="86" t="str">
        <f>IF(OR(AE634="",AE635=""),"",IF(L636&gt;0,ROUND(IF(M636&gt;0,M636,IF(M634&gt;0,ROUND((M634*AE636)/AE634,IF(N634=0,2,IF(N634=0.1,1,0))),IF(M635&gt;0,ROUND((M635*AE636)/AE635,IF(N634=0,2,IF(N634=0.1,1,0))),IF(M636&gt;0,M636,0)))),2),""))</f>
        <v/>
      </c>
      <c r="P636" s="87" t="str">
        <f>IF(I635="Lay",O635*(L635/(L635-1))-O635,IF(I634="Lay",O634*(L634/(L634-1))-O634,IF(OR(L636="",O636=""),"",IF($C636="1/2W",O636/2+O636/2*L636,IF($C636="1/2L",O636/2,(O636*L636-O636)*(1-_xlfn.XLOOKUP(K636,'Fevereiro 2023 - Valor Real'!A3:A15,'Fevereiro 2023 - Valor Real'!C3:C15,0))+O636)))))</f>
        <v/>
      </c>
      <c r="Q636" s="54" t="str">
        <f>IF(K636="","",IF(_xlfn.XLOOKUP(K636,K$11:K626,$DJ$11:DJ626,0,,-1)=DJ636,_xlfn.XLOOKUP(K636,K$11:K626,Q$11:Q626,1,,-1)+1,1))</f>
        <v/>
      </c>
      <c r="R636" s="87" t="str">
        <f>IF(K636="","",_xlfn.XLOOKUP(K636,K$11:K626,R$11:R626,0,,-1)+IF($C636=" ",1,0))</f>
        <v/>
      </c>
      <c r="S636" s="404"/>
      <c r="T636" s="378"/>
      <c r="U636" s="378"/>
      <c r="V636" s="404"/>
      <c r="W636" s="378"/>
      <c r="X636" s="453"/>
      <c r="Y636" s="383"/>
      <c r="Z636" s="384"/>
      <c r="AA636" s="384"/>
      <c r="AB636" s="384"/>
      <c r="AC636" s="384"/>
      <c r="AD636" s="90"/>
      <c r="AE636" s="91" t="str">
        <f>IF(L636="","",(SUM(((L634-1)*(1-_xlfn.XLOOKUP(K634,'Fevereiro 2023 - Valor Real'!A3:A15,'Fevereiro 2023 - Valor Real'!C3:C15,0))+1),((L635-1)*(1-_xlfn.XLOOKUP(K635,'Fevereiro 2023 - Valor Real'!A3:A15,'Fevereiro 2023 - Valor Real'!C3:C15,0))+1),((L636-1)*(1-_xlfn.XLOOKUP(K636,'Fevereiro 2023 - Valor Real'!A3:A15,'Fevereiro 2023 - Valor Real'!C3:C15,0))+1))/((L636-1)*(1-_xlfn.XLOOKUP(K636,'Fevereiro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Real'!C3:C15,0))+1))/((L634-1)*(1-_xlfn.XLOOKUP(K634,'Fevereiro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Real'!C3:C15,0))+1))/((L635-1)*(1-_xlfn.XLOOKUP(K635,'Fevereiro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Real'!C3:C15,0))+1))/((L636-1)*(1-_xlfn.XLOOKUP(K636,'Fevereiro 2023 - Valor Real'!A3:A15,'Fevereiro 2023 - Valor Real'!C3:C15,0))+1)))</f>
        <v/>
      </c>
      <c r="AF636" s="66">
        <f t="shared" si="1266"/>
        <v>0</v>
      </c>
      <c r="AG636" s="67">
        <f t="shared" si="1266"/>
        <v>0</v>
      </c>
      <c r="AH636" s="67">
        <f t="shared" si="1266"/>
        <v>0</v>
      </c>
      <c r="AI636" s="67">
        <f t="shared" si="1266"/>
        <v>0</v>
      </c>
      <c r="AJ636" s="67">
        <f t="shared" si="1266"/>
        <v>0</v>
      </c>
      <c r="AK636" s="67">
        <f t="shared" si="1266"/>
        <v>0</v>
      </c>
      <c r="AL636" s="67">
        <f t="shared" si="1266"/>
        <v>0</v>
      </c>
      <c r="AM636" s="67">
        <f t="shared" si="1266"/>
        <v>0</v>
      </c>
      <c r="AN636" s="67">
        <f t="shared" si="1266"/>
        <v>0</v>
      </c>
      <c r="AO636" s="67">
        <f t="shared" si="1266"/>
        <v>0</v>
      </c>
      <c r="AP636" s="67">
        <f t="shared" si="1266"/>
        <v>0</v>
      </c>
      <c r="AQ636" s="67">
        <f t="shared" si="1266"/>
        <v>0</v>
      </c>
      <c r="AR636" s="68">
        <f t="shared" si="1266"/>
        <v>0</v>
      </c>
      <c r="AS636" s="66">
        <f>IF(AND($B634=" ",$K636=AS$3),$O636,0)</f>
        <v>0</v>
      </c>
      <c r="AT636" s="67">
        <f>IF(AND($B634=" ",K636=AT$3),$O636,0)</f>
        <v>0</v>
      </c>
      <c r="AU636" s="67">
        <f t="shared" ref="AU636:BE636" si="1271">IF(AND($B634=" ",$K636=AU$3),$O636,0)</f>
        <v>0</v>
      </c>
      <c r="AV636" s="67">
        <f t="shared" si="1271"/>
        <v>0</v>
      </c>
      <c r="AW636" s="67">
        <f t="shared" si="1271"/>
        <v>0</v>
      </c>
      <c r="AX636" s="67">
        <f t="shared" si="1271"/>
        <v>0</v>
      </c>
      <c r="AY636" s="69">
        <f t="shared" si="1271"/>
        <v>0</v>
      </c>
      <c r="AZ636" s="70">
        <f t="shared" si="1271"/>
        <v>0</v>
      </c>
      <c r="BA636" s="70">
        <f t="shared" si="1271"/>
        <v>0</v>
      </c>
      <c r="BB636" s="70">
        <f t="shared" si="1271"/>
        <v>0</v>
      </c>
      <c r="BC636" s="71">
        <f t="shared" si="1271"/>
        <v>0</v>
      </c>
      <c r="BD636" s="67">
        <f t="shared" si="1271"/>
        <v>0</v>
      </c>
      <c r="BE636" s="68">
        <f t="shared" si="1271"/>
        <v>0</v>
      </c>
      <c r="BF636" s="66">
        <f t="shared" si="1268"/>
        <v>0</v>
      </c>
      <c r="BG636" s="168">
        <f t="shared" si="1268"/>
        <v>0</v>
      </c>
      <c r="BH636" s="67">
        <f t="shared" si="1268"/>
        <v>0</v>
      </c>
      <c r="BI636" s="67">
        <f t="shared" si="1268"/>
        <v>0</v>
      </c>
      <c r="BJ636" s="67">
        <f t="shared" si="1268"/>
        <v>0</v>
      </c>
      <c r="BK636" s="67">
        <f t="shared" si="1268"/>
        <v>0</v>
      </c>
      <c r="BL636" s="67">
        <f t="shared" si="1268"/>
        <v>0</v>
      </c>
      <c r="BM636" s="69">
        <f t="shared" si="1268"/>
        <v>0</v>
      </c>
      <c r="BN636" s="70">
        <f t="shared" si="1268"/>
        <v>0</v>
      </c>
      <c r="BO636" s="70">
        <f t="shared" si="1268"/>
        <v>0</v>
      </c>
      <c r="BP636" s="70">
        <f t="shared" si="1268"/>
        <v>0</v>
      </c>
      <c r="BQ636" s="71">
        <f t="shared" si="1268"/>
        <v>0</v>
      </c>
      <c r="BR636" s="68">
        <f t="shared" si="1268"/>
        <v>0</v>
      </c>
      <c r="BS636" s="491"/>
      <c r="BT636" s="489"/>
      <c r="BU636" s="392"/>
      <c r="BV636" s="489"/>
      <c r="BW636" s="392"/>
      <c r="BX636" s="392"/>
      <c r="BY636" s="392"/>
      <c r="BZ636" s="489"/>
      <c r="CA636" s="392"/>
      <c r="CB636" s="392"/>
      <c r="CC636" s="392"/>
      <c r="CD636" s="401"/>
      <c r="CE636" s="409"/>
      <c r="CF636" s="169">
        <f t="shared" si="1156"/>
        <v>0</v>
      </c>
      <c r="CG636" s="170">
        <f t="shared" si="1157"/>
        <v>0</v>
      </c>
      <c r="CH636" s="170">
        <f t="shared" si="1158"/>
        <v>0</v>
      </c>
      <c r="CI636" s="170">
        <f t="shared" si="1159"/>
        <v>0</v>
      </c>
      <c r="CJ636" s="170">
        <f t="shared" si="1160"/>
        <v>0</v>
      </c>
      <c r="CK636" s="170">
        <f t="shared" si="1161"/>
        <v>0</v>
      </c>
      <c r="CL636" s="170">
        <f t="shared" si="1162"/>
        <v>0</v>
      </c>
      <c r="CM636" s="170">
        <f t="shared" si="1163"/>
        <v>0</v>
      </c>
      <c r="CN636" s="170">
        <f t="shared" si="1164"/>
        <v>0</v>
      </c>
      <c r="CO636" s="170">
        <f t="shared" si="1165"/>
        <v>0</v>
      </c>
      <c r="CP636" s="170">
        <f t="shared" si="1166"/>
        <v>0</v>
      </c>
      <c r="CQ636" s="170">
        <f t="shared" si="1167"/>
        <v>0</v>
      </c>
      <c r="CR636" s="170">
        <f t="shared" si="1168"/>
        <v>0</v>
      </c>
      <c r="CS636" s="170">
        <f t="shared" si="1169"/>
        <v>0</v>
      </c>
      <c r="CT636" s="75">
        <f t="shared" si="1170"/>
        <v>0</v>
      </c>
      <c r="CU636" s="76">
        <f t="shared" si="1171"/>
        <v>0</v>
      </c>
      <c r="CV636" s="76">
        <f t="shared" si="1172"/>
        <v>0</v>
      </c>
      <c r="CW636" s="76">
        <f t="shared" si="1173"/>
        <v>0</v>
      </c>
      <c r="CX636" s="76">
        <f t="shared" si="1174"/>
        <v>0</v>
      </c>
      <c r="CY636" s="76">
        <f t="shared" si="1175"/>
        <v>0</v>
      </c>
      <c r="CZ636" s="76">
        <f t="shared" si="1176"/>
        <v>0</v>
      </c>
      <c r="DA636" s="76">
        <f t="shared" si="1177"/>
        <v>0</v>
      </c>
      <c r="DB636" s="76">
        <f t="shared" si="1178"/>
        <v>0</v>
      </c>
      <c r="DC636" s="76">
        <f t="shared" si="1179"/>
        <v>0</v>
      </c>
      <c r="DD636" s="76">
        <f t="shared" si="1180"/>
        <v>0</v>
      </c>
      <c r="DE636" s="77">
        <f t="shared" si="1181"/>
        <v>0</v>
      </c>
      <c r="DF636" s="73">
        <f t="shared" si="1183"/>
        <v>36</v>
      </c>
      <c r="DG636" s="67">
        <f t="shared" si="1184"/>
        <v>47.227999999999994</v>
      </c>
      <c r="DH636" s="76">
        <f t="shared" si="1185"/>
        <v>14</v>
      </c>
      <c r="DI636" s="67">
        <f t="shared" si="1186"/>
        <v>60.05</v>
      </c>
      <c r="DJ636" s="202" t="str">
        <f>IF($D634="","",$D634)</f>
        <v>21</v>
      </c>
      <c r="DK636" s="493"/>
    </row>
    <row r="637" spans="1:115" ht="14.5" customHeight="1" x14ac:dyDescent="0.2">
      <c r="A637" s="459">
        <f>$A634+1</f>
        <v>212</v>
      </c>
      <c r="B637" s="507" t="str">
        <f>IF(OR(C637="W",C638="W",C639="W",C637="1/2W",C638="1/2W",C639="1/2W",C637="1/2L",C638="1/2L",C639="1/2L"),"OK",IF(OR(C637="L",C638="L",C639="L"),"LOSS",IF(OR(C637="X",C638="X",C639="X"),"Anulado"," ")))</f>
        <v>OK</v>
      </c>
      <c r="C637" s="93" t="s">
        <v>55</v>
      </c>
      <c r="D637" s="468" t="str">
        <f>IF(G637="","",$D634)</f>
        <v>21</v>
      </c>
      <c r="E637" s="485" t="str">
        <f>IF(G637=""," ","– "&amp;COUNTIF(D$4:D639,$D637))</f>
        <v>– 8</v>
      </c>
      <c r="F637" s="509" t="str">
        <f ca="1">IF(G637="","",IF(OR(AND($C637&lt;&gt;" ",$C638=" "),AND($C638&lt;&gt;" ",$C637=" "),AND(L639&gt;0,OR(AND($C639&lt;&gt;" ",OR($C637=" ",$C638=" ")),AND($C639=" ",OR($C637&lt;&gt;" ",$C638&lt;&gt;" "))))),IF(SUM(F$4:F636)=0,1,LARGE(F$4:F636,1)+1),IF(MONTH(G637)=MONTH(TODAY()),IF(AND(DAY(G637)&lt;DAY(TODAY()),$B637=" "),IF(SUM(F$4:F636)=0,1,LARGE(F$4:F636,1)+1),IF($B637=" ",IF(AND(DAY(G637)=DAY(TODAY()),HOUR(G637)&lt;=HOUR(NOW())+1),IF(AND(HOUR(G637)+2&lt;=HOUR(NOW()),DAY(G637)&lt;=DAY(TODAY()),MINUTE(G637)&lt;=MINUTE(NOW())),IF(SUM(F$4:F636)=0,1,LARGE(F$4:F636,1)+1),IF(OR(MINUTE(G637)&lt;=MINUTE(NOW()),HOUR(G637)&lt;=HOUR(NOW())),"!!!","")),""),"")),"")))</f>
        <v/>
      </c>
      <c r="G637" s="482">
        <v>45007.583333333336</v>
      </c>
      <c r="H637" s="475" t="s">
        <v>235</v>
      </c>
      <c r="I637" s="94" t="s">
        <v>51</v>
      </c>
      <c r="J637" s="95">
        <v>4</v>
      </c>
      <c r="K637" s="96" t="s">
        <v>47</v>
      </c>
      <c r="L637" s="97">
        <v>2.52</v>
      </c>
      <c r="M637" s="98"/>
      <c r="N637" s="478">
        <v>0.1</v>
      </c>
      <c r="O637" s="99">
        <f>IF(OR(AE637="",AE638=""),"",ROUND(IF(L639&gt;0,IF(M637&gt;0,M637,IF(M638&gt;0,ROUND((M638*AE637)/AE638,IF(N637=0,2,IF(N637=0.1,1,0))),ROUND((M639*AE637)/AE639,IF(N637=0,2,IF(N637=0.1,1,0))))),IF(M637&gt;0,M637,ROUND((M638*AE637)/AE638,IF(N637=0,2,IF(N637=0.1,1,0))))),2))</f>
        <v>12</v>
      </c>
      <c r="P637" s="100">
        <f>IF(OR(L637="",O637=""),"",IF($C637="1/2W",O637/2+O637/2*L637,IF($C637="1/2L",O637/2,IF(I637="Lay",(O637*(L637/(L637-1))-O637)*(1-_xlfn.XLOOKUP(K637,'Fevereiro 2023 - Valor Real'!A3:A15,'Fevereiro 2023 - Valor Real'!C3:C15,0))+O637,(O637*L637-O637)*(1-_xlfn.XLOOKUP(K637,'Fevereiro 2023 - Valor Real'!A3:A15,'Fevereiro 2023 - Valor Real'!C3:C15,0))+O637))))</f>
        <v>30.240000000000002</v>
      </c>
      <c r="Q637" s="101">
        <f>IF(K637="","",IF(_xlfn.XLOOKUP(K637,K$4:K636,$DJ$4:DJ636,0,,-1)=DJ637,_xlfn.XLOOKUP(K637,K$4:K636,Q$4:Q636,1,,-1)+1,1))</f>
        <v>5</v>
      </c>
      <c r="R637" s="102">
        <f>IF(K637="","",_xlfn.XLOOKUP(K637,K$4:K636,R$4:R636,0,,-1)+IF($C637=" ",1,0))</f>
        <v>0</v>
      </c>
      <c r="S637" s="474">
        <f>IF($B637="Anulado",0,ROUND(IF(OR($B637="LOSS",$B637="OK"),IF(OR($C637="W",$C637="1/2W",$C637="1/2L"),P637-O637,IF($C637="L",-O637,0))+IF(OR($C638="W",$C638="1/2W",$C638="1/2L"),P638-O638,IF($C638="L",-O638,0))+IF(OR($C639="W",$C639="1/2W",$C639="1/2L"),P639-O639,IF($C639="L",-O639,0)),IF(AND(OR($C637="W",$C637="1/2W",$C637="1/2L"),C638="W"),P637+P638-SUM(O637:O639)+_xlfn.XLOOKUP("X",C637:C639,O637:O639,0),IF(AND(C637=TRUE,C639="W"),P637+P639-SUM(O637:O639),IF(AND(C638="W",C639="W"),P638+P639-SUM(O637:O639)+_xlfn.XLOOKUP("X",C637:C639,O637:O639,0),IF(L639&gt;0,IF(OR($C637="W",$C637="1/2W",$C637="1/2L"),P637-SUM(O637:O639)+_xlfn.XLOOKUP("X",C637:C639,O637:O639,0),IF(OR($C637="W",$C637="1/2W",$C637="1/2L"),P638-SUM(O637:O639)+_xlfn.XLOOKUP("X",C637:C639,O637:O639,0),IF(OR($C637="W",$C637="1/2W",$C637="1/2L"),P639-SUM(O637:O639)+_xlfn.XLOOKUP("X",C637:C639,O637:O639,0),IF(SUM(P637:P639)/3-SUM(O637:O639)+_xlfn.XLOOKUP("X",C637:C639,O637:O639,0)&gt;0,SUM(P637:P639)/3-SUM(O637:O639)+_xlfn.XLOOKUP("X",C637:C639,O637:O639,0),LARGE(P637:P639,1)-SUM(O637:O639))))),IF(OR($C637="W",$C637="1/2W",$C637="1/2L"),P637-SUM(O637:O638)+_xlfn.XLOOKUP("X",C637:C639,O637:O639,0),IF(OR($C637="W",$C637="1/2W",$C637="1/2L"),P638-SUM(O637:O638)+_xlfn.XLOOKUP("X",C637:C639,O637:O639,0),SUM(P637:P638)/2-SUM(O637:O638)+_xlfn.XLOOKUP("X",C637:C639,O637:O639,0)))))))),2))</f>
        <v>1.5</v>
      </c>
      <c r="T637" s="458">
        <f>IF(S637=0,0,S637/SUM(O637:O639))</f>
        <v>5.2319497732821761E-2</v>
      </c>
      <c r="U637" s="470">
        <f>IF($D637=$D634,IF(OR($B637="LOSS",$B637="OK",$B637="Anulada"),S637,0)+U634,IF(OR($B637="LOSS",$B637="OK",$B637="Anulada"),S637,0))</f>
        <v>21.34</v>
      </c>
      <c r="V637" s="470">
        <f>IF($D637="",0,IF($D637=$D634,IF($B637=" ",IF(I639="",IF(OR(AND(I637="DNB1",I638="DNB2"),AND(OR(I637="DNB1",I637="DNB2"),J638=0),AND(OR(I638="DNB1",I638="DNB2"),J637=0),AND(I637="DNB2",I638="DNB1"),AND(IF(J637=0,(J637+1)/ROUND(J637+1,0),J637/ROUND(J637,0))=1,IF(J638=0,(J638+1)/ROUND(IF(J638="",0,J638)+1,0),IF(J638="",0,J638)/ROUND(IF(J638="",1,J638),0))=1,OR(J637&lt;&gt;""),J638&lt;&gt;"")),0,IF(S637&lt;0,IF(I639="",SMALL(P637:P638,1)-SUM(O637:O638),0),SMALL(P637:P638,1)-SUM(O637:O638))),IF(S637&lt;0,IF(I639="",SMALL(P637:P639,1)-SUM(O637:O639),0),LARGE(P637:P639,1)-SUM(O637:O639))),S637)+V634,IF(I639="",IF(OR(AND(I637="DNB1",I638="DNB2"),AND(OR(I637="DNB1",I637="DNB2"),J638=0),AND(OR(I638="DNB1",I638="DNB2"),J637=0),AND(I637="DNB2",I638="DNB1"),AND(IF(J637=0,(J637+1)/ROUND(J637+1,0),J637/ROUND(J637,0))=1,IF(J638=0,(IF(J638="",0,J638)+1)/ROUND(IF(J638="",0,J638)+1,0),IF(J638="",0,J638)/ROUND(IF(J638="",0,J638)+1,0))=1,OR(J637&lt;&gt;""),J638&lt;&gt;"")),0,IF(S637&lt;0,IF(I639="",SMALL(P637:P638,1)-SUM(O637:O638),0),SMALL(P637:P639,1)-SUM(O637:O639))),IF(S637&lt;0,IF(I639="",SMALL(P637:P639,1)-SUM(O637:O639),0),LARGE(P637:P639,1)-SUM(O637:O639)))))</f>
        <v>21.337999999999994</v>
      </c>
      <c r="W637" s="470">
        <f>IF($D637=$D634,IF(S637&lt;0,IF(I639="",S637,0),S637)+W634,S637)</f>
        <v>21.34</v>
      </c>
      <c r="X637" s="480" t="str">
        <f>IF(OR(SUM(R637:R639)=0,V637=W637),ROUND(IF(W637=0,0,W637/Y637)*100,2)&amp;"%",ROUND(IF(V637=0,0,V637/Y637)*100,2)&amp;"% a "&amp;ROUND(IF(W637=0,0,W637/Y637)*100,2)&amp;"%")</f>
        <v>9,41%</v>
      </c>
      <c r="Y637" s="471">
        <f>IF($D637=$D634,Y634+SUM(O637:O639),SUM(O637:O639))</f>
        <v>226.82000000000005</v>
      </c>
      <c r="Z637" s="470">
        <f>IF($B637=" ",SUM(O637:O639),0)+Z634</f>
        <v>0</v>
      </c>
      <c r="AA637" s="470">
        <f>IF(G637="","",IF($B637="Anulado",LARGE(P637:P639,1)-SUM(O637:O639)+AA634,AA634))</f>
        <v>13.381099999999991</v>
      </c>
      <c r="AB637" s="470">
        <f>IF($D637="","",AB634+S637)</f>
        <v>698.97000000000048</v>
      </c>
      <c r="AC637" s="472">
        <f ca="1">IF($D637="","",IF($B637=" ",IF(DAY(G637)=DAY(TODAY()),1+AC634,0+AC634),0+AC634))</f>
        <v>0</v>
      </c>
      <c r="AD637" s="103">
        <f>(((L638/(L638-1)-1)*(1-_xlfn.XLOOKUP(K638,'Fevereiro 2023 - Valor Real'!A3:A15,'Fevereiro 2023 - Valor Real'!C3:C15,0))+1))/(((L637-1)*(1-_xlfn.XLOOKUP(K637,'Fevereiro 2023 - Valor Real'!A3:A15,'Fevereiro 2023 - Valor Real'!C3:C15,0))+1)+((L638/(L638-1)-1)*(1-_xlfn.XLOOKUP(K638,'Fevereiro 2023 - Valor Real'!A3:A15,'Fevereiro 2023 - Valor Real'!C3:C15,0))+1))</f>
        <v>0.46998338180307431</v>
      </c>
      <c r="AE637" s="104">
        <f>IF(L637="","",IF(L639&gt;0,(SUM(((L637-1)*(1-_xlfn.XLOOKUP(K637,'Fevereiro 2023 - Valor Real'!A3:A15,'Fevereiro 2023 - Valor Real'!C3:C15,0))+1),((L638-1)*(1-_xlfn.XLOOKUP(K638,'Fevereiro 2023 - Valor Real'!A3:A15,'Fevereiro 2023 - Valor Real'!C3:C15,0))+1),((L639-1)*(1-_xlfn.XLOOKUP(K639,'Fevereiro 2023 - Valor Real'!A3:A15,'Fevereiro 2023 - Valor Real'!C3:C15,0))+1))/((L637-1)*(1-_xlfn.XLOOKUP(K637,'Fevereiro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Real'!C3:C15,0))+1))/((L637-1)*(1-_xlfn.XLOOKUP(K637,'Fevereiro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Real'!C3:C15,0))+1))/((L638-1)*(1-_xlfn.XLOOKUP(K638,'Fevereiro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Real'!C3:C15,0))+1))/((L639-1)*(1-_xlfn.XLOOKUP(K639,'Fevereiro 2023 - Valor Real'!A3:A15,'Fevereiro 2023 - Valor Real'!C3:C15,0))+1)),IF(I637="Lay",IF(I638="Lay",((L638/(L638-1)-1)*(1-_xlfn.XLOOKUP(K638,'Fevereiro 2023 - Valor Real'!A3:A15,'Fevereiro 2023 - Valor Real'!C3:C15,0))+1)/(((L638/(L638-1)-1)*(1-_xlfn.XLOOKUP(K638,'Fevereiro 2023 - Valor Real'!A3:A15,'Fevereiro 2023 - Valor Real'!C3:C15,0))+1)+((L637/(L637-1)-1)*(1-_xlfn.XLOOKUP(K637,'Fevereiro 2023 - Valor Real'!A3:A15,'Fevereiro 2023 - Valor Real'!C3:C15,0))+1)),((L638-1)*(1-_xlfn.XLOOKUP(K638,'Fevereiro 2023 - Valor Real'!A3:A15,'Fevereiro 2023 - Valor Real'!C3:C15,0))+1)/(((L638-1)*(1-_xlfn.XLOOKUP(K638,'Fevereiro 2023 - Valor Real'!A3:A15,'Fevereiro 2023 - Valor Real'!C3:C15,0))+1)+((L637/(L637-1)-1)*(1-_xlfn.XLOOKUP(K637,'Fevereiro 2023 - Valor Real'!A3:A15,'Fevereiro 2023 - Valor Real'!C3:C15,0))+1))),IF(I638="Lay",(((L638/(L638-1)-1)*(1-_xlfn.XLOOKUP(K638,'Fevereiro 2023 - Valor Real'!A3:A15,'Fevereiro 2023 - Valor Real'!C3:C15,0))+1))/(((L637-1)*(1-_xlfn.XLOOKUP(K637,'Fevereiro 2023 - Valor Real'!A3:A15,'Fevereiro 2023 - Valor Real'!C3:C15,0))+1)+((L638/(L638-1)-1)*(1-_xlfn.XLOOKUP(K638,'Fevereiro 2023 - Valor Real'!A3:A15,'Fevereiro 2023 - Valor Real'!C3:C15,0))+1)),((L638-1)*(1-_xlfn.XLOOKUP(K638,'Fevereiro 2023 - Valor Real'!A3:A15,'Fevereiro 2023 - Valor Real'!C3:C15,0))+1)/(((L638-1)*(1-_xlfn.XLOOKUP(K638,'Fevereiro 2023 - Valor Real'!A3:A15,'Fevereiro 2023 - Valor Real'!C3:C15,0))+1)+((L637-1)*(1-_xlfn.XLOOKUP(K637,'Fevereiro 2023 - Valor Real'!A3:A15,'Fevereiro 2023 - Valor Real'!C3:C15,0))+1))))))</f>
        <v>0.41801385681293302</v>
      </c>
      <c r="AF637" s="105">
        <f t="shared" si="1266"/>
        <v>0</v>
      </c>
      <c r="AG637" s="106">
        <f t="shared" si="1266"/>
        <v>0</v>
      </c>
      <c r="AH637" s="106">
        <f t="shared" si="1266"/>
        <v>0</v>
      </c>
      <c r="AI637" s="106">
        <f t="shared" si="1266"/>
        <v>0</v>
      </c>
      <c r="AJ637" s="106">
        <f t="shared" si="1266"/>
        <v>0</v>
      </c>
      <c r="AK637" s="106">
        <f t="shared" si="1266"/>
        <v>0</v>
      </c>
      <c r="AL637" s="106">
        <f t="shared" si="1266"/>
        <v>0</v>
      </c>
      <c r="AM637" s="106">
        <f t="shared" si="1266"/>
        <v>0</v>
      </c>
      <c r="AN637" s="106">
        <f t="shared" si="1266"/>
        <v>0</v>
      </c>
      <c r="AO637" s="106">
        <f t="shared" si="1266"/>
        <v>0</v>
      </c>
      <c r="AP637" s="106">
        <f t="shared" si="1266"/>
        <v>0</v>
      </c>
      <c r="AQ637" s="106">
        <f t="shared" si="1266"/>
        <v>-12</v>
      </c>
      <c r="AR637" s="107">
        <f t="shared" si="1266"/>
        <v>0</v>
      </c>
      <c r="AS637" s="105">
        <f t="shared" ref="AS637:BE637" si="1272">IF(AND($B637=" ",$K637=AS$3),$O637,0)</f>
        <v>0</v>
      </c>
      <c r="AT637" s="106">
        <f t="shared" si="1272"/>
        <v>0</v>
      </c>
      <c r="AU637" s="106">
        <f t="shared" si="1272"/>
        <v>0</v>
      </c>
      <c r="AV637" s="106">
        <f t="shared" si="1272"/>
        <v>0</v>
      </c>
      <c r="AW637" s="106">
        <f t="shared" si="1272"/>
        <v>0</v>
      </c>
      <c r="AX637" s="106">
        <f t="shared" si="1272"/>
        <v>0</v>
      </c>
      <c r="AY637" s="108">
        <f t="shared" si="1272"/>
        <v>0</v>
      </c>
      <c r="AZ637" s="109">
        <f t="shared" si="1272"/>
        <v>0</v>
      </c>
      <c r="BA637" s="109">
        <f t="shared" si="1272"/>
        <v>0</v>
      </c>
      <c r="BB637" s="109">
        <f t="shared" si="1272"/>
        <v>0</v>
      </c>
      <c r="BC637" s="110">
        <f t="shared" si="1272"/>
        <v>0</v>
      </c>
      <c r="BD637" s="106">
        <f t="shared" si="1272"/>
        <v>0</v>
      </c>
      <c r="BE637" s="107">
        <f t="shared" si="1272"/>
        <v>0</v>
      </c>
      <c r="BF637" s="111">
        <f t="shared" si="1268"/>
        <v>0</v>
      </c>
      <c r="BG637" s="106">
        <f t="shared" si="1268"/>
        <v>0</v>
      </c>
      <c r="BH637" s="106">
        <f t="shared" si="1268"/>
        <v>0</v>
      </c>
      <c r="BI637" s="106">
        <f t="shared" si="1268"/>
        <v>0</v>
      </c>
      <c r="BJ637" s="106">
        <f t="shared" si="1268"/>
        <v>0</v>
      </c>
      <c r="BK637" s="106">
        <f t="shared" si="1268"/>
        <v>0</v>
      </c>
      <c r="BL637" s="106">
        <f t="shared" si="1268"/>
        <v>0</v>
      </c>
      <c r="BM637" s="108">
        <f t="shared" si="1268"/>
        <v>0</v>
      </c>
      <c r="BN637" s="109">
        <f t="shared" si="1268"/>
        <v>0</v>
      </c>
      <c r="BO637" s="109">
        <f t="shared" si="1268"/>
        <v>0</v>
      </c>
      <c r="BP637" s="109">
        <f t="shared" si="1268"/>
        <v>0</v>
      </c>
      <c r="BQ637" s="110">
        <f t="shared" si="1268"/>
        <v>12</v>
      </c>
      <c r="BR637" s="107">
        <f t="shared" si="1268"/>
        <v>0</v>
      </c>
      <c r="BS637" s="463">
        <f>IF($B637="LOSS",IF(AND($K637=BS$3,$C637="L"),-$O637,0)+IF(AND($K638=BS$3,$C638="L"),-$O638,0)+IF(AND($K639=BS$3,$C639="L"),-$O639,0),IF(OR(AND($K637=BS$3,OR($C637="W",$C637="1/2W")),AND($K638=BS$3,OR($C638="W",$C638="1/2W")),AND($K639=BS$3,OR($C639="W",$C639="1/2W"))),$S637,0))</f>
        <v>0</v>
      </c>
      <c r="BT637" s="462">
        <f>IF($B637="LOSS",IF(AND($K637=BT$3,$C637="L"),-$O637,0)+IF(AND($K638=BT$3,$C638="L"),-$O638,0)+IF(AND($K638=BT$3,$C639="L"),-$O639,0),IF(OR(AND($K638=BT$3,OR($C637="W",$C637="1/2W")),AND($K638=BT$3,OR($C638="W",$C638="1/2W")),AND($K638=BT$3,OR($C639="W",$C639="1/2W"))),$S637,0))</f>
        <v>0</v>
      </c>
      <c r="BU637" s="462">
        <f>IF($B637="LOSS",IF(AND($K637=BU$3,$C637="L"),-$O637,0)+IF(AND($K638=BU$3,$C638="L"),-$O638,0)+IF(AND($K638=BU$3,$C639="L"),-$O639,0),IF(OR(AND($K638=BU$3,OR($C637="W",$C637="1/2W")),AND($K638=BU$3,OR($C638="W",$C638="1/2W")),AND($K638=BU$3,OR($C639="W",$C639="1/2W"))),$S637,0))</f>
        <v>0</v>
      </c>
      <c r="BV637" s="462">
        <f t="shared" ref="BV637:CE637" si="1273">IF($B637="LOSS",IF(AND($K637=BV$3,$C637="L"),-$O637,0)+IF(AND($K638=BV$3,$C638="L"),-$O638,0)+IF(AND($K639=BV$3,$C639="L"),-$O639,0),IF(OR(AND($K637=BV$3,OR($C637="W",$C637="1/2W")),AND($K638=BV$3,OR($C638="W",$C638="1/2W")),AND($K639=BV$3,OR($C639="W",$C639="1/2W"))),$S637,0))</f>
        <v>0</v>
      </c>
      <c r="BW637" s="462">
        <f t="shared" si="1273"/>
        <v>1.5</v>
      </c>
      <c r="BX637" s="462">
        <f t="shared" si="1273"/>
        <v>0</v>
      </c>
      <c r="BY637" s="462">
        <f t="shared" si="1273"/>
        <v>0</v>
      </c>
      <c r="BZ637" s="460">
        <f t="shared" si="1273"/>
        <v>0</v>
      </c>
      <c r="CA637" s="460">
        <f t="shared" si="1273"/>
        <v>0</v>
      </c>
      <c r="CB637" s="460">
        <f t="shared" si="1273"/>
        <v>0</v>
      </c>
      <c r="CC637" s="460">
        <f t="shared" si="1273"/>
        <v>0</v>
      </c>
      <c r="CD637" s="473">
        <f t="shared" si="1273"/>
        <v>0</v>
      </c>
      <c r="CE637" s="479">
        <f t="shared" si="1273"/>
        <v>0</v>
      </c>
      <c r="CF637" s="113">
        <f t="shared" si="1156"/>
        <v>0</v>
      </c>
      <c r="CG637" s="114">
        <f t="shared" si="1157"/>
        <v>0</v>
      </c>
      <c r="CH637" s="114">
        <f t="shared" si="1158"/>
        <v>0</v>
      </c>
      <c r="CI637" s="114">
        <f t="shared" si="1159"/>
        <v>0</v>
      </c>
      <c r="CJ637" s="114">
        <f t="shared" si="1160"/>
        <v>0</v>
      </c>
      <c r="CK637" s="114">
        <f t="shared" si="1161"/>
        <v>0</v>
      </c>
      <c r="CL637" s="114">
        <f t="shared" si="1162"/>
        <v>0</v>
      </c>
      <c r="CM637" s="114">
        <f t="shared" si="1163"/>
        <v>0</v>
      </c>
      <c r="CN637" s="114">
        <f t="shared" si="1164"/>
        <v>0</v>
      </c>
      <c r="CO637" s="114">
        <f t="shared" si="1165"/>
        <v>0</v>
      </c>
      <c r="CP637" s="114">
        <f t="shared" si="1166"/>
        <v>0</v>
      </c>
      <c r="CQ637" s="114">
        <f t="shared" si="1167"/>
        <v>0</v>
      </c>
      <c r="CR637" s="114">
        <f t="shared" si="1168"/>
        <v>0</v>
      </c>
      <c r="CS637" s="114">
        <f t="shared" si="1169"/>
        <v>0</v>
      </c>
      <c r="CT637" s="115">
        <f t="shared" si="1170"/>
        <v>0</v>
      </c>
      <c r="CU637" s="116">
        <f t="shared" si="1171"/>
        <v>0</v>
      </c>
      <c r="CV637" s="116">
        <f t="shared" si="1172"/>
        <v>0</v>
      </c>
      <c r="CW637" s="116">
        <f t="shared" si="1173"/>
        <v>0</v>
      </c>
      <c r="CX637" s="116">
        <f t="shared" si="1174"/>
        <v>0</v>
      </c>
      <c r="CY637" s="116">
        <f t="shared" si="1175"/>
        <v>0</v>
      </c>
      <c r="CZ637" s="116">
        <f t="shared" si="1176"/>
        <v>0</v>
      </c>
      <c r="DA637" s="116">
        <f t="shared" si="1177"/>
        <v>0</v>
      </c>
      <c r="DB637" s="116">
        <f t="shared" si="1178"/>
        <v>0</v>
      </c>
      <c r="DC637" s="116">
        <f t="shared" si="1179"/>
        <v>1</v>
      </c>
      <c r="DD637" s="116">
        <f t="shared" si="1180"/>
        <v>0</v>
      </c>
      <c r="DE637" s="117">
        <f t="shared" si="1181"/>
        <v>0</v>
      </c>
      <c r="DF637" s="118">
        <f t="shared" si="1183"/>
        <v>36</v>
      </c>
      <c r="DG637" s="106">
        <f t="shared" si="1184"/>
        <v>47.227999999999994</v>
      </c>
      <c r="DH637" s="116">
        <f t="shared" si="1185"/>
        <v>14</v>
      </c>
      <c r="DI637" s="106">
        <f t="shared" si="1186"/>
        <v>60.05</v>
      </c>
      <c r="DJ637" s="201" t="str">
        <f>IF($D637="","",$D637)</f>
        <v>21</v>
      </c>
      <c r="DK637" s="465">
        <f>IF(AND($B637=" ",$D637&lt;&gt;""),1,0)</f>
        <v>0</v>
      </c>
    </row>
    <row r="638" spans="1:115" ht="14.5" customHeight="1" x14ac:dyDescent="0.2">
      <c r="A638" s="389"/>
      <c r="B638" s="456"/>
      <c r="C638" s="120" t="s">
        <v>54</v>
      </c>
      <c r="D638" s="374"/>
      <c r="E638" s="386"/>
      <c r="F638" s="377"/>
      <c r="G638" s="483"/>
      <c r="H638" s="476"/>
      <c r="I638" s="121" t="s">
        <v>52</v>
      </c>
      <c r="J638" s="122">
        <f>IF(OR(I637="TO",I637="TU",I637="TO1",I637="TU1",I637="TO2",I637="TU2"),J637,IF(OR(I637="AH1",I637="AH2"),IF(OR(I638="AH1",I638="AH2"),-J637,IF(OR(I638="EH1",I638="EH2"),-J637+0.5,"")),IF(OR(I637="EH1",I637="EH2"),IF(OR(I638="AH1",I638="AH2"),-J637+0.5,IF(OR(I638="EH1",I638="EH2"),-J637+1,"")),IF(AND(OR(I637="DNB1",I637="DNB2"),OR(I638="AH1",I638="AH2")),0,IF(AND(I637="Not ScoreBoth",OR(I638="TO1",I638="TO2")),0.5,"")))))</f>
        <v>4</v>
      </c>
      <c r="K638" s="123" t="s">
        <v>40</v>
      </c>
      <c r="L638" s="124">
        <v>1.81</v>
      </c>
      <c r="M638" s="125">
        <v>16.670000000000002</v>
      </c>
      <c r="N638" s="406"/>
      <c r="O638" s="126">
        <f>IF(OR(AE637="",AE638=""),"",ROUND(IF(L639&gt;0,IF(M638&gt;0,M638,IF(M637&gt;0,IF(N637=TRUE,ROUND((M637*AE638)/AE637,0),(M637*AE638)/AE637),IF(M638&gt;0,ROUND(M638,IF(N637=0,2,IF(N637=0.1,1,0))),IF(M639&gt;0,ROUND(O639*AE638/AE639,IF(N637=0,2,IF(N637=0.1,1,0))),0)))),IF(M638&gt;0,M638,ROUND((M637*AE638)/AE637,IF(N637=0,2,IF(N637=0.1,1,0))))),2))</f>
        <v>16.670000000000002</v>
      </c>
      <c r="P638" s="127">
        <f>IF(OR(L638="",O638=""),"",IF($C638="1/2W",O638/2+O638/2*L638,IF($C638="1/2L",O638/2,IF(I638="Lay",((O638*(L638/(L638-1)))-O638)*(1-_xlfn.XLOOKUP(K638,'Fevereiro 2023 - Valor Real'!A3:A15,'Fevereiro 2023 - Valor Real'!C3:C15,0))+O638,(O638*L638-O638)*(1-_xlfn.XLOOKUP(K638,'Fevereiro 2023 - Valor Real'!A3:A15,'Fevereiro 2023 - Valor Real'!C3:C15,0))+O638))))</f>
        <v>30.172700000000003</v>
      </c>
      <c r="Q638" s="128">
        <f>IF(K638="","",IF(_xlfn.XLOOKUP(K638,K$4:K637,$DJ$4:DJ637,0,,-1)=DJ638,_xlfn.XLOOKUP(K638,K$4:K637,Q$4:Q637,1,,-1)+1,1))</f>
        <v>4</v>
      </c>
      <c r="R638" s="129">
        <f>IF(K638="","",_xlfn.XLOOKUP(K638,K$4:K637,R$4:R637,0,,-1)+IF($C638=" ",1,0))</f>
        <v>0</v>
      </c>
      <c r="S638" s="403"/>
      <c r="T638" s="380"/>
      <c r="U638" s="380"/>
      <c r="V638" s="481"/>
      <c r="W638" s="380"/>
      <c r="X638" s="452"/>
      <c r="Y638" s="383"/>
      <c r="Z638" s="384"/>
      <c r="AA638" s="384"/>
      <c r="AB638" s="384"/>
      <c r="AC638" s="384"/>
      <c r="AD638" s="130">
        <f>(((L638/(L638-1)-1)*(1-_xlfn.XLOOKUP(K638,'Fevereiro 2023 - Valor Real'!A3:A15,'Fevereiro 2023 - Valor Real'!C3:C15,0))+1))</f>
        <v>2.2345679012345676</v>
      </c>
      <c r="AE638" s="131">
        <f>IF(L638="","",IF(L639&gt;0,(SUM(((L637-1)*(1-_xlfn.XLOOKUP(K637,'Fevereiro 2023 - Valor Real'!A3:A15,'Fevereiro 2023 - Valor Real'!C3:C15,0))+1),((L638-1)*(1-_xlfn.XLOOKUP(K638,'Fevereiro 2023 - Valor Real'!A3:A15,'Fevereiro 2023 - Valor Real'!C3:C15,0))+1),((L639-1)*(1-_xlfn.XLOOKUP(K639,'Fevereiro 2023 - Valor Real'!A3:A15,'Fevereiro 2023 - Valor Real'!C3:C15,0))+1))/((L638-1)*(1-_xlfn.XLOOKUP(K638,'Fevereiro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Real'!C3:C15,0))+1))/((L637-1)*(1-_xlfn.XLOOKUP(K637,'Fevereiro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Real'!C3:C15,0))+1))/((L638-1)*(1-_xlfn.XLOOKUP(K638,'Fevereiro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Real'!C3:C15,0))+1))/((L639-1)*(1-_xlfn.XLOOKUP(K639,'Fevereiro 2023 - Valor Real'!A3:A15,'Fevereiro 2023 - Valor Real'!C3:C15,0))+1)),IF(I638="Lay",IF(I637="Lay",((L637/(L637-1)-1)*(1-_xlfn.XLOOKUP(K637,'Fevereiro 2023 - Valor Real'!A3:A15,'Fevereiro 2023 - Valor Real'!C3:C15,0))+1)/(((L637/(L637-1)-1)*(1-_xlfn.XLOOKUP(K637,'Fevereiro 2023 - Valor Real'!A3:A15,'Fevereiro 2023 - Valor Real'!C3:C15,0))+1)+((L638/(L638-1)-1)*(1-_xlfn.XLOOKUP(K638,'Fevereiro 2023 - Valor Real'!A3:A15,'Fevereiro 2023 - Valor Real'!C3:C15,0))+1)),((L637-1)*(1-_xlfn.XLOOKUP(K637,'Fevereiro 2023 - Valor Real'!A3:A15,'Fevereiro 2023 - Valor Real'!C3:C15,0))+1)/(((L637-1)*(1-_xlfn.XLOOKUP(K637,'Fevereiro 2023 - Valor Real'!A3:A15,'Fevereiro 2023 - Valor Real'!C3:C15,0))+1)+((L638/(L638-1)-1)*(1-_xlfn.XLOOKUP(K638,'Fevereiro 2023 - Valor Real'!A3:A15,'Fevereiro 2023 - Valor Real'!C3:C15,0))+1))),IF(I637="Lay",((L637/(L637-1)-1)*(1-_xlfn.XLOOKUP(K637,'Fevereiro 2023 - Valor Real'!A3:A15,'Fevereiro 2023 - Valor Real'!C3:C15,0))+1)/((((L637/(L637-1)-1)*(1-_xlfn.XLOOKUP(K637,'Fevereiro 2023 - Valor Real'!A3:A15,'Fevereiro 2023 - Valor Real'!C3:C15,0))+1))+((L638-1)*(1-_xlfn.XLOOKUP(K638,'Fevereiro 2023 - Valor Real'!A3:A15,'Fevereiro 2023 - Valor Real'!C3:C15,0))+1)),((L637-1)*(1-_xlfn.XLOOKUP(K637,'Fevereiro 2023 - Valor Real'!A3:A15,'Fevereiro 2023 - Valor Real'!C3:C15,0))+1)/(((L637-1)*(1-_xlfn.XLOOKUP(K637,'Fevereiro 2023 - Valor Real'!A3:A15,'Fevereiro 2023 - Valor Real'!C3:C15,0))+1)+((L638-1)*(1-_xlfn.XLOOKUP(K638,'Fevereiro 2023 - Valor Real'!A3:A15,'Fevereiro 2023 - Valor Real'!C3:C15,0))+1))))))</f>
        <v>0.58198614318706698</v>
      </c>
      <c r="AF638" s="105">
        <f t="shared" si="1266"/>
        <v>0</v>
      </c>
      <c r="AG638" s="106">
        <f t="shared" si="1266"/>
        <v>0</v>
      </c>
      <c r="AH638" s="106">
        <f t="shared" si="1266"/>
        <v>0</v>
      </c>
      <c r="AI638" s="106">
        <f t="shared" si="1266"/>
        <v>0</v>
      </c>
      <c r="AJ638" s="106">
        <f t="shared" si="1266"/>
        <v>13.5</v>
      </c>
      <c r="AK638" s="106">
        <f t="shared" si="1266"/>
        <v>0</v>
      </c>
      <c r="AL638" s="106">
        <f t="shared" si="1266"/>
        <v>0</v>
      </c>
      <c r="AM638" s="106">
        <f t="shared" si="1266"/>
        <v>0</v>
      </c>
      <c r="AN638" s="106">
        <f t="shared" si="1266"/>
        <v>0</v>
      </c>
      <c r="AO638" s="106">
        <f t="shared" si="1266"/>
        <v>0</v>
      </c>
      <c r="AP638" s="106">
        <f t="shared" si="1266"/>
        <v>0</v>
      </c>
      <c r="AQ638" s="106">
        <f t="shared" si="1266"/>
        <v>0</v>
      </c>
      <c r="AR638" s="107">
        <f t="shared" si="1266"/>
        <v>0</v>
      </c>
      <c r="AS638" s="105">
        <f>IF(AND($B637=" ",$K638=AS$3),$O638,0)</f>
        <v>0</v>
      </c>
      <c r="AT638" s="106">
        <f>IF(AND($B637=" ",K638=AT$3),$O638,0)</f>
        <v>0</v>
      </c>
      <c r="AU638" s="106">
        <f t="shared" ref="AU638:BE638" si="1274">IF(AND($B637=" ",$K638=AU$3),$O638,0)</f>
        <v>0</v>
      </c>
      <c r="AV638" s="106">
        <f t="shared" si="1274"/>
        <v>0</v>
      </c>
      <c r="AW638" s="106">
        <f t="shared" si="1274"/>
        <v>0</v>
      </c>
      <c r="AX638" s="106">
        <f t="shared" si="1274"/>
        <v>0</v>
      </c>
      <c r="AY638" s="108">
        <f t="shared" si="1274"/>
        <v>0</v>
      </c>
      <c r="AZ638" s="109">
        <f t="shared" si="1274"/>
        <v>0</v>
      </c>
      <c r="BA638" s="109">
        <f t="shared" si="1274"/>
        <v>0</v>
      </c>
      <c r="BB638" s="109">
        <f t="shared" si="1274"/>
        <v>0</v>
      </c>
      <c r="BC638" s="110">
        <f t="shared" si="1274"/>
        <v>0</v>
      </c>
      <c r="BD638" s="106">
        <f t="shared" si="1274"/>
        <v>0</v>
      </c>
      <c r="BE638" s="107">
        <f t="shared" si="1274"/>
        <v>0</v>
      </c>
      <c r="BF638" s="105">
        <f t="shared" si="1268"/>
        <v>0</v>
      </c>
      <c r="BG638" s="106">
        <f t="shared" si="1268"/>
        <v>0</v>
      </c>
      <c r="BH638" s="106">
        <f t="shared" si="1268"/>
        <v>0</v>
      </c>
      <c r="BI638" s="106">
        <f t="shared" si="1268"/>
        <v>0</v>
      </c>
      <c r="BJ638" s="106">
        <f t="shared" si="1268"/>
        <v>16.670000000000002</v>
      </c>
      <c r="BK638" s="106">
        <f t="shared" si="1268"/>
        <v>0</v>
      </c>
      <c r="BL638" s="106">
        <f t="shared" si="1268"/>
        <v>0</v>
      </c>
      <c r="BM638" s="132">
        <f t="shared" si="1268"/>
        <v>0</v>
      </c>
      <c r="BN638" s="112">
        <f t="shared" si="1268"/>
        <v>0</v>
      </c>
      <c r="BO638" s="112">
        <f t="shared" si="1268"/>
        <v>0</v>
      </c>
      <c r="BP638" s="112">
        <f t="shared" si="1268"/>
        <v>0</v>
      </c>
      <c r="BQ638" s="110">
        <f t="shared" si="1268"/>
        <v>0</v>
      </c>
      <c r="BR638" s="107">
        <f t="shared" si="1268"/>
        <v>0</v>
      </c>
      <c r="BS638" s="464"/>
      <c r="BT638" s="461"/>
      <c r="BU638" s="392"/>
      <c r="BV638" s="461"/>
      <c r="BW638" s="392"/>
      <c r="BX638" s="392"/>
      <c r="BY638" s="392"/>
      <c r="BZ638" s="461"/>
      <c r="CA638" s="392"/>
      <c r="CB638" s="392"/>
      <c r="CC638" s="392"/>
      <c r="CD638" s="401"/>
      <c r="CE638" s="409"/>
      <c r="CF638" s="133">
        <f t="shared" si="1156"/>
        <v>0</v>
      </c>
      <c r="CG638" s="134">
        <f t="shared" si="1157"/>
        <v>0</v>
      </c>
      <c r="CH638" s="134">
        <f t="shared" si="1158"/>
        <v>0</v>
      </c>
      <c r="CI638" s="134">
        <f t="shared" si="1159"/>
        <v>0</v>
      </c>
      <c r="CJ638" s="134">
        <f t="shared" si="1160"/>
        <v>0</v>
      </c>
      <c r="CK638" s="134">
        <f t="shared" si="1161"/>
        <v>0</v>
      </c>
      <c r="CL638" s="134">
        <f t="shared" si="1162"/>
        <v>0</v>
      </c>
      <c r="CM638" s="134">
        <f t="shared" si="1163"/>
        <v>0</v>
      </c>
      <c r="CN638" s="134">
        <f t="shared" si="1164"/>
        <v>1</v>
      </c>
      <c r="CO638" s="134">
        <f t="shared" si="1165"/>
        <v>0</v>
      </c>
      <c r="CP638" s="134">
        <f t="shared" si="1166"/>
        <v>0</v>
      </c>
      <c r="CQ638" s="134">
        <f t="shared" si="1167"/>
        <v>0</v>
      </c>
      <c r="CR638" s="134">
        <f t="shared" si="1168"/>
        <v>0</v>
      </c>
      <c r="CS638" s="134">
        <f t="shared" si="1169"/>
        <v>0</v>
      </c>
      <c r="CT638" s="115">
        <f t="shared" si="1170"/>
        <v>0</v>
      </c>
      <c r="CU638" s="116">
        <f t="shared" si="1171"/>
        <v>0</v>
      </c>
      <c r="CV638" s="116">
        <f t="shared" si="1172"/>
        <v>0</v>
      </c>
      <c r="CW638" s="116">
        <f t="shared" si="1173"/>
        <v>0</v>
      </c>
      <c r="CX638" s="116">
        <f t="shared" si="1174"/>
        <v>0</v>
      </c>
      <c r="CY638" s="116">
        <f t="shared" si="1175"/>
        <v>0</v>
      </c>
      <c r="CZ638" s="116">
        <f t="shared" si="1176"/>
        <v>0</v>
      </c>
      <c r="DA638" s="116">
        <f t="shared" si="1177"/>
        <v>0</v>
      </c>
      <c r="DB638" s="116">
        <f t="shared" si="1178"/>
        <v>0</v>
      </c>
      <c r="DC638" s="116">
        <f t="shared" si="1179"/>
        <v>0</v>
      </c>
      <c r="DD638" s="116">
        <f t="shared" si="1180"/>
        <v>0</v>
      </c>
      <c r="DE638" s="117">
        <f t="shared" si="1181"/>
        <v>0</v>
      </c>
      <c r="DF638" s="118">
        <f t="shared" si="1183"/>
        <v>36</v>
      </c>
      <c r="DG638" s="106">
        <f t="shared" si="1184"/>
        <v>47.227999999999994</v>
      </c>
      <c r="DH638" s="116">
        <f t="shared" si="1185"/>
        <v>14</v>
      </c>
      <c r="DI638" s="106">
        <f t="shared" si="1186"/>
        <v>60.05</v>
      </c>
      <c r="DJ638" s="201" t="str">
        <f>IF($D637="","",$D637)</f>
        <v>21</v>
      </c>
      <c r="DK638" s="466"/>
    </row>
    <row r="639" spans="1:115" ht="14.5" customHeight="1" x14ac:dyDescent="0.2">
      <c r="A639" s="390"/>
      <c r="B639" s="457"/>
      <c r="C639" s="135" t="s">
        <v>53</v>
      </c>
      <c r="D639" s="375"/>
      <c r="E639" s="387"/>
      <c r="F639" s="378"/>
      <c r="G639" s="484"/>
      <c r="H639" s="477"/>
      <c r="I639" s="136"/>
      <c r="J639" s="137"/>
      <c r="K639" s="138"/>
      <c r="L639" s="139"/>
      <c r="M639" s="140"/>
      <c r="N639" s="407"/>
      <c r="O639" s="141" t="str">
        <f>IF(OR(AE637="",AE638=""),"",IF(L639&gt;0,ROUND(IF(M639&gt;0,M639,IF(M637&gt;0,ROUND((M637*AE639)/AE637,IF(N637=0,2,IF(N637=0.1,1,0))),IF(M638&gt;0,ROUND((M638*AE639)/AE638,IF(N637=0,2,IF(N637=0.1,1,0))),IF(M639&gt;0,M639,0)))),2),""))</f>
        <v/>
      </c>
      <c r="P639" s="142" t="str">
        <f>IF(I638="Lay",O638*(L638/(L638-1))-O638,IF(I637="Lay",O637*(L637/(L637-1))-O637,IF(OR(L639="",O639=""),"",IF($C639="1/2W",O639/2+O639/2*L639,IF($C639="1/2L",O639/2,(O639*L639-O639)*(1-_xlfn.XLOOKUP(K639,'Fevereiro 2023 - Valor Real'!A3:A15,'Fevereiro 2023 - Valor Real'!C3:C15,0))+O639)))))</f>
        <v/>
      </c>
      <c r="Q639" s="143" t="str">
        <f>IF(K639="","",IF(_xlfn.XLOOKUP(K639,K$4:K638,$DJ$4:DJ638,0,,-1)=DJ639,_xlfn.XLOOKUP(K639,K$4:K638,Q$4:Q638,1,,-1)+1,1))</f>
        <v/>
      </c>
      <c r="R639" s="144" t="str">
        <f>IF(K639="","",_xlfn.XLOOKUP(K639,K$4:K638,R$4:R638,0,,-1)+IF($C639=" ",1,0))</f>
        <v/>
      </c>
      <c r="S639" s="404"/>
      <c r="T639" s="378"/>
      <c r="U639" s="378"/>
      <c r="V639" s="404"/>
      <c r="W639" s="378"/>
      <c r="X639" s="453"/>
      <c r="Y639" s="383"/>
      <c r="Z639" s="384"/>
      <c r="AA639" s="384"/>
      <c r="AB639" s="384"/>
      <c r="AC639" s="384"/>
      <c r="AD639" s="145">
        <f>((L638/(L638-1)-1))</f>
        <v>1.2345679012345676</v>
      </c>
      <c r="AE639" s="146" t="str">
        <f>IF(L639="","",(SUM(((L637-1)*(1-_xlfn.XLOOKUP(K637,'Fevereiro 2023 - Valor Real'!A3:A15,'Fevereiro 2023 - Valor Real'!C3:C15,0))+1),((L638-1)*(1-_xlfn.XLOOKUP(K638,'Fevereiro 2023 - Valor Real'!A3:A15,'Fevereiro 2023 - Valor Real'!C3:C15,0))+1),((L639-1)*(1-_xlfn.XLOOKUP(K639,'Fevereiro 2023 - Valor Real'!A3:A15,'Fevereiro 2023 - Valor Real'!C3:C15,0))+1))/((L639-1)*(1-_xlfn.XLOOKUP(K639,'Fevereiro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Real'!C3:C15,0))+1))/((L637-1)*(1-_xlfn.XLOOKUP(K637,'Fevereiro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Real'!C3:C15,0))+1))/((L638-1)*(1-_xlfn.XLOOKUP(K638,'Fevereiro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Real'!C3:C15,0))+1))/((L639-1)*(1-_xlfn.XLOOKUP(K639,'Fevereiro 2023 - Valor Real'!A3:A15,'Fevereiro 2023 - Valor Real'!C3:C15,0))+1)))</f>
        <v/>
      </c>
      <c r="AF639" s="105">
        <f t="shared" si="1266"/>
        <v>0</v>
      </c>
      <c r="AG639" s="106">
        <f t="shared" si="1266"/>
        <v>0</v>
      </c>
      <c r="AH639" s="106">
        <f t="shared" si="1266"/>
        <v>0</v>
      </c>
      <c r="AI639" s="106">
        <f t="shared" si="1266"/>
        <v>0</v>
      </c>
      <c r="AJ639" s="106">
        <f t="shared" si="1266"/>
        <v>0</v>
      </c>
      <c r="AK639" s="106">
        <f t="shared" si="1266"/>
        <v>0</v>
      </c>
      <c r="AL639" s="106">
        <f t="shared" si="1266"/>
        <v>0</v>
      </c>
      <c r="AM639" s="106">
        <f t="shared" si="1266"/>
        <v>0</v>
      </c>
      <c r="AN639" s="106">
        <f t="shared" si="1266"/>
        <v>0</v>
      </c>
      <c r="AO639" s="106">
        <f t="shared" si="1266"/>
        <v>0</v>
      </c>
      <c r="AP639" s="106">
        <f t="shared" si="1266"/>
        <v>0</v>
      </c>
      <c r="AQ639" s="106">
        <f t="shared" si="1266"/>
        <v>0</v>
      </c>
      <c r="AR639" s="107">
        <f t="shared" si="1266"/>
        <v>0</v>
      </c>
      <c r="AS639" s="105">
        <f>IF(AND($B637=" ",$K639=AS$3),$O639,0)</f>
        <v>0</v>
      </c>
      <c r="AT639" s="106">
        <f>IF(AND($B637=" ",K639=AT$3),$O639,0)</f>
        <v>0</v>
      </c>
      <c r="AU639" s="106">
        <f t="shared" ref="AU639:BE639" si="1275">IF(AND($B637=" ",$K639=AU$3),$O639,0)</f>
        <v>0</v>
      </c>
      <c r="AV639" s="106">
        <f t="shared" si="1275"/>
        <v>0</v>
      </c>
      <c r="AW639" s="106">
        <f t="shared" si="1275"/>
        <v>0</v>
      </c>
      <c r="AX639" s="106">
        <f t="shared" si="1275"/>
        <v>0</v>
      </c>
      <c r="AY639" s="108">
        <f t="shared" si="1275"/>
        <v>0</v>
      </c>
      <c r="AZ639" s="109">
        <f t="shared" si="1275"/>
        <v>0</v>
      </c>
      <c r="BA639" s="109">
        <f t="shared" si="1275"/>
        <v>0</v>
      </c>
      <c r="BB639" s="109">
        <f t="shared" si="1275"/>
        <v>0</v>
      </c>
      <c r="BC639" s="110">
        <f t="shared" si="1275"/>
        <v>0</v>
      </c>
      <c r="BD639" s="106">
        <f t="shared" si="1275"/>
        <v>0</v>
      </c>
      <c r="BE639" s="107">
        <f t="shared" si="1275"/>
        <v>0</v>
      </c>
      <c r="BF639" s="105">
        <f t="shared" si="1268"/>
        <v>0</v>
      </c>
      <c r="BG639" s="106">
        <f t="shared" si="1268"/>
        <v>0</v>
      </c>
      <c r="BH639" s="106">
        <f t="shared" si="1268"/>
        <v>0</v>
      </c>
      <c r="BI639" s="106">
        <f t="shared" si="1268"/>
        <v>0</v>
      </c>
      <c r="BJ639" s="106">
        <f t="shared" si="1268"/>
        <v>0</v>
      </c>
      <c r="BK639" s="106">
        <f t="shared" si="1268"/>
        <v>0</v>
      </c>
      <c r="BL639" s="106">
        <f t="shared" si="1268"/>
        <v>0</v>
      </c>
      <c r="BM639" s="108">
        <f t="shared" si="1268"/>
        <v>0</v>
      </c>
      <c r="BN639" s="109">
        <f t="shared" si="1268"/>
        <v>0</v>
      </c>
      <c r="BO639" s="109">
        <f t="shared" si="1268"/>
        <v>0</v>
      </c>
      <c r="BP639" s="109">
        <f t="shared" si="1268"/>
        <v>0</v>
      </c>
      <c r="BQ639" s="110">
        <f t="shared" si="1268"/>
        <v>0</v>
      </c>
      <c r="BR639" s="107">
        <f t="shared" si="1268"/>
        <v>0</v>
      </c>
      <c r="BS639" s="464"/>
      <c r="BT639" s="461"/>
      <c r="BU639" s="392"/>
      <c r="BV639" s="461"/>
      <c r="BW639" s="392"/>
      <c r="BX639" s="392"/>
      <c r="BY639" s="392"/>
      <c r="BZ639" s="461"/>
      <c r="CA639" s="392"/>
      <c r="CB639" s="392"/>
      <c r="CC639" s="392"/>
      <c r="CD639" s="401"/>
      <c r="CE639" s="409"/>
      <c r="CF639" s="133">
        <f t="shared" si="1156"/>
        <v>0</v>
      </c>
      <c r="CG639" s="134">
        <f t="shared" si="1157"/>
        <v>0</v>
      </c>
      <c r="CH639" s="134">
        <f t="shared" si="1158"/>
        <v>0</v>
      </c>
      <c r="CI639" s="134">
        <f t="shared" si="1159"/>
        <v>0</v>
      </c>
      <c r="CJ639" s="134">
        <f t="shared" si="1160"/>
        <v>0</v>
      </c>
      <c r="CK639" s="134">
        <f t="shared" si="1161"/>
        <v>0</v>
      </c>
      <c r="CL639" s="134">
        <f t="shared" si="1162"/>
        <v>0</v>
      </c>
      <c r="CM639" s="134">
        <f t="shared" si="1163"/>
        <v>0</v>
      </c>
      <c r="CN639" s="134">
        <f t="shared" si="1164"/>
        <v>0</v>
      </c>
      <c r="CO639" s="134">
        <f t="shared" si="1165"/>
        <v>0</v>
      </c>
      <c r="CP639" s="134">
        <f t="shared" si="1166"/>
        <v>0</v>
      </c>
      <c r="CQ639" s="134">
        <f t="shared" si="1167"/>
        <v>0</v>
      </c>
      <c r="CR639" s="134">
        <f t="shared" si="1168"/>
        <v>0</v>
      </c>
      <c r="CS639" s="134">
        <f t="shared" si="1169"/>
        <v>0</v>
      </c>
      <c r="CT639" s="115">
        <f t="shared" si="1170"/>
        <v>0</v>
      </c>
      <c r="CU639" s="116">
        <f t="shared" si="1171"/>
        <v>0</v>
      </c>
      <c r="CV639" s="116">
        <f t="shared" si="1172"/>
        <v>0</v>
      </c>
      <c r="CW639" s="116">
        <f t="shared" si="1173"/>
        <v>0</v>
      </c>
      <c r="CX639" s="116">
        <f t="shared" si="1174"/>
        <v>0</v>
      </c>
      <c r="CY639" s="116">
        <f t="shared" si="1175"/>
        <v>0</v>
      </c>
      <c r="CZ639" s="116">
        <f t="shared" si="1176"/>
        <v>0</v>
      </c>
      <c r="DA639" s="116">
        <f t="shared" si="1177"/>
        <v>0</v>
      </c>
      <c r="DB639" s="116">
        <f t="shared" si="1178"/>
        <v>0</v>
      </c>
      <c r="DC639" s="116">
        <f t="shared" si="1179"/>
        <v>0</v>
      </c>
      <c r="DD639" s="116">
        <f t="shared" si="1180"/>
        <v>0</v>
      </c>
      <c r="DE639" s="117">
        <f t="shared" si="1181"/>
        <v>0</v>
      </c>
      <c r="DF639" s="118">
        <f t="shared" si="1183"/>
        <v>36</v>
      </c>
      <c r="DG639" s="106">
        <f t="shared" si="1184"/>
        <v>47.227999999999994</v>
      </c>
      <c r="DH639" s="116">
        <f t="shared" si="1185"/>
        <v>14</v>
      </c>
      <c r="DI639" s="106">
        <f t="shared" si="1186"/>
        <v>60.05</v>
      </c>
      <c r="DJ639" s="201" t="str">
        <f>IF($D637="","",$D637)</f>
        <v>21</v>
      </c>
      <c r="DK639" s="466"/>
    </row>
    <row r="640" spans="1:115" ht="14.5" customHeight="1" x14ac:dyDescent="0.2">
      <c r="A640" s="487">
        <f>$A637+1</f>
        <v>213</v>
      </c>
      <c r="B640" s="506" t="str">
        <f>IF(OR(C640="W",C641="W",C642="W",C640="1/2W",C641="1/2W",C642="1/2W",C640="1/2L",C641="1/2L",C642="1/2L"),"OK",IF(OR(C640="L",C641="L",C642="L"),"LOSS",IF(OR(C640="X",C641="X",C642="X"),"Anulado"," ")))</f>
        <v>OK</v>
      </c>
      <c r="C640" s="147" t="s">
        <v>55</v>
      </c>
      <c r="D640" s="494" t="str">
        <f>IF(G640="","",$D637)</f>
        <v>21</v>
      </c>
      <c r="E640" s="511" t="str">
        <f>IF(G640=""," ","– "&amp;COUNTIF(D$4:D642,$D640))</f>
        <v>– 9</v>
      </c>
      <c r="F640" s="510" t="str">
        <f ca="1">IF(G640="","",IF(OR(AND($C640&lt;&gt;" ",$C641=" "),AND($C641&lt;&gt;" ",$C640=" "),AND(L642&gt;0,OR(AND($C642&lt;&gt;" ",OR($C640=" ",$C641=" ")),AND($C642=" ",OR($C640&lt;&gt;" ",$C641&lt;&gt;" "))))),IF(SUM(F$4:F639)=0,1,LARGE(F$4:F639,1)+1),IF(MONTH(G640)=MONTH(TODAY()),IF(AND(DAY(G640)&lt;DAY(TODAY()),$B640=" "),IF(SUM(F$4:F639)=0,1,LARGE(F$4:F639,1)+1),IF($B640=" ",IF(AND(DAY(G640)=DAY(TODAY()),HOUR(G640)&lt;=HOUR(NOW())+1),IF(AND(HOUR(G640)+2&lt;=HOUR(NOW()),DAY(G640)&lt;=DAY(TODAY()),MINUTE(G640)&lt;=MINUTE(NOW())),IF(SUM(F$4:F639)=0,1,LARGE(F$4:F639,1)+1),IF(OR(MINUTE(G640)&lt;=MINUTE(NOW()),HOUR(G640)&lt;=HOUR(NOW())),"!!!","")),""),"")),"")))</f>
        <v/>
      </c>
      <c r="G640" s="508">
        <v>45008.875</v>
      </c>
      <c r="H640" s="502" t="s">
        <v>236</v>
      </c>
      <c r="I640" s="180" t="s">
        <v>51</v>
      </c>
      <c r="J640" s="181">
        <v>0.5</v>
      </c>
      <c r="K640" s="150" t="s">
        <v>43</v>
      </c>
      <c r="L640" s="151">
        <v>3.96</v>
      </c>
      <c r="M640" s="152"/>
      <c r="N640" s="503">
        <v>0</v>
      </c>
      <c r="O640" s="153">
        <f>IF(OR(AE640="",AE641=""),"",ROUND(IF(L642&gt;0,IF(M640&gt;0,M640,IF(M641&gt;0,ROUND((M641*AE640)/AE641,IF(N640=0,2,IF(N640=0.1,1,0))),ROUND((M642*AE640)/AE642,IF(N640=0,2,IF(N640=0.1,1,0))))),IF(M640&gt;0,M640,ROUND((M641*AE640)/AE641,IF(N640=0,2,IF(N640=0.1,1,0))))),2))</f>
        <v>16.89</v>
      </c>
      <c r="P640" s="154">
        <f>IF(OR(L640="",O640=""),"",IF($C640="1/2W",O640/2+O640/2*L640,IF($C640="1/2L",O640/2,IF(I640="Lay",(O640*(L640/(L640-1))-O640)*(1-_xlfn.XLOOKUP(K640,'Fevereiro 2023 - Valor Real'!A3:A15,'Fevereiro 2023 - Valor Real'!C3:C15,0))+O640,(O640*L640-O640)*(1-_xlfn.XLOOKUP(K640,'Fevereiro 2023 - Valor Real'!A3:A15,'Fevereiro 2023 - Valor Real'!C3:C15,0))+O640))))</f>
        <v>66.884399999999999</v>
      </c>
      <c r="Q640" s="155">
        <f>IF(K640="","",IF(_xlfn.XLOOKUP(K640,K$9:K632,$DJ$9:DJ632,0,,-1)=DJ640,_xlfn.XLOOKUP(K640,K$9:K632,Q$9:Q632,1,,-1)+1,1))</f>
        <v>3</v>
      </c>
      <c r="R640" s="156">
        <f>IF(K640="","",_xlfn.XLOOKUP(K640,K$9:K632,R$9:R632,0,,-1)+IF($C640=" ",1,0))</f>
        <v>0</v>
      </c>
      <c r="S640" s="501">
        <f>IF($B640="Anulado",0,ROUND(IF(OR($B640="LOSS",$B640="OK"),IF(OR($C640="W",$C640="1/2W",$C640="1/2L"),P640-O640,IF($C640="L",-O640,0))+IF(OR($C641="W",$C641="1/2W",$C641="1/2L"),P641-O641,IF($C641="L",-O641,0))+IF(OR($C642="W",$C642="1/2W",$C642="1/2L"),P642-O642,IF($C642="L",-O642,0)),IF(AND(OR($C640="W",$C640="1/2W",$C640="1/2L"),C641="W"),P640+P641-SUM(O640:O642)+_xlfn.XLOOKUP("X",C640:C642,O640:O642,0),IF(AND(C640=TRUE,C642="W"),P640+P642-SUM(O640:O642),IF(AND(C641="W",C642="W"),P641+P642-SUM(O640:O642)+_xlfn.XLOOKUP("X",C640:C642,O640:O642,0),IF(L642&gt;0,IF(OR($C640="W",$C640="1/2W",$C640="1/2L"),P640-SUM(O640:O642)+_xlfn.XLOOKUP("X",C640:C642,O640:O642,0),IF(OR($C640="W",$C640="1/2W",$C640="1/2L"),P641-SUM(O640:O642)+_xlfn.XLOOKUP("X",C640:C642,O640:O642,0),IF(OR($C640="W",$C640="1/2W",$C640="1/2L"),P642-SUM(O640:O642)+_xlfn.XLOOKUP("X",C640:C642,O640:O642,0),IF(SUM(P640:P642)/3-SUM(O640:O642)+_xlfn.XLOOKUP("X",C640:C642,O640:O642,0)&gt;0,SUM(P640:P642)/3-SUM(O640:O642)+_xlfn.XLOOKUP("X",C640:C642,O640:O642,0),LARGE(P640:P642,1)-SUM(O640:O642))))),IF(OR($C640="W",$C640="1/2W",$C640="1/2L"),P640-SUM(O640:O641)+_xlfn.XLOOKUP("X",C640:C642,O640:O642,0),IF(OR($C640="W",$C640="1/2W",$C640="1/2L"),P641-SUM(O640:O641)+_xlfn.XLOOKUP("X",C640:C642,O640:O642,0),SUM(P640:P641)/2-SUM(O640:O641)+_xlfn.XLOOKUP("X",C640:C642,O640:O642,0)))))))),2))</f>
        <v>2.2200000000000002</v>
      </c>
      <c r="T640" s="486">
        <f>IF(S640=0,0,S640/SUM(O640:O642))</f>
        <v>3.4333436436746058E-2</v>
      </c>
      <c r="U640" s="496">
        <f>IF($D640=$D637,IF(OR($B640="LOSS",$B640="OK",$B640="Anulada"),S640,0)+U637,IF(OR($B640="LOSS",$B640="OK",$B640="Anulada"),S640,0))</f>
        <v>23.56</v>
      </c>
      <c r="V640" s="496">
        <f>IF($D640="",0,IF($D640=$D637,IF($B640=" ",IF(I642="",IF(OR(AND(I640="DNB1",I641="DNB2"),AND(OR(I640="DNB1",I640="DNB2"),J641=0),AND(OR(I641="DNB1",I641="DNB2"),J640=0),AND(I640="DNB2",I641="DNB1"),AND(IF(J640=0,(J640+1)/ROUND(J640+1,0),J640/ROUND(J640,0))=1,IF(J641=0,(J641+1)/ROUND(IF(J641="",0,J641)+1,0),IF(J641="",0,J641)/ROUND(IF(J641="",1,J641),0))=1,OR(J640&lt;&gt;""),J641&lt;&gt;"")),0,IF(S640&lt;0,IF(I642="",SMALL(P640:P641,1)-SUM(O640:O641),0),SMALL(P640:P641,1)-SUM(O640:O641))),IF(S640&lt;0,IF(I642="",SMALL(P640:P642,1)-SUM(O640:O642),0),LARGE(P640:P642,1)-SUM(O640:O642))),S640)+V637,IF(I642="",IF(OR(AND(I640="DNB1",I641="DNB2"),AND(OR(I640="DNB1",I640="DNB2"),J641=0),AND(OR(I641="DNB1",I641="DNB2"),J640=0),AND(I640="DNB2",I641="DNB1"),AND(IF(J640=0,(J640+1)/ROUND(J640+1,0),J640/ROUND(J640,0))=1,IF(J641=0,(IF(J641="",0,J641)+1)/ROUND(IF(J641="",0,J641)+1,0),IF(J641="",0,J641)/ROUND(IF(J641="",0,J641)+1,0))=1,OR(J640&lt;&gt;""),J641&lt;&gt;"")),0,IF(S640&lt;0,IF(I642="",SMALL(P640:P641,1)-SUM(O640:O641),0),SMALL(P640:P642,1)-SUM(O640:O642))),IF(S640&lt;0,IF(I642="",SMALL(P640:P642,1)-SUM(O640:O642),0),LARGE(P640:P642,1)-SUM(O640:O642)))))</f>
        <v>23.557999999999993</v>
      </c>
      <c r="W640" s="496">
        <f>IF($D640=$D637,IF(S640&lt;0,IF(I642="",S640,0),S640)+W637,S640)</f>
        <v>23.56</v>
      </c>
      <c r="X640" s="505" t="str">
        <f>IF(OR(SUM(R640:R642)=0,V640=W640),ROUND(IF(W640=0,0,W640/Y640)*100,2)&amp;"%",ROUND(IF(V640=0,0,V640/Y640)*100,2)&amp;"% a "&amp;ROUND(IF(W640=0,0,W640/Y640)*100,2)&amp;"%")</f>
        <v>8,08%</v>
      </c>
      <c r="Y640" s="497">
        <f>IF($D640=$D637,Y637+SUM(O640:O642),SUM(O640:O642))</f>
        <v>291.48</v>
      </c>
      <c r="Z640" s="496">
        <f>IF($B640=" ",SUM(O640:O642),0)+Z637</f>
        <v>0</v>
      </c>
      <c r="AA640" s="496">
        <f>IF(G640="","",IF($B640="Anulado",LARGE(P640:P642,1)-SUM(O640:O642)+AA637,AA637))</f>
        <v>13.381099999999991</v>
      </c>
      <c r="AB640" s="496">
        <f>IF($D640="","",AB637+S640)</f>
        <v>701.19000000000051</v>
      </c>
      <c r="AC640" s="499">
        <f ca="1">IF($D640="","",IF($B640=" ",IF(DAY(G640)=DAY(TODAY()),1+AC637,0+AC637),0+AC637))</f>
        <v>0</v>
      </c>
      <c r="AD640" s="157">
        <f>(1-_xlfn.XLOOKUP(K638,'Fevereiro 2023 - Valor Real'!A3:A15,'Fevereiro 2023 - Valor Real'!C3:C15,0))+1</f>
        <v>2</v>
      </c>
      <c r="AE640" s="158">
        <f>IF(L640="","",IF(L642&gt;0,(SUM(((L640-1)*(1-_xlfn.XLOOKUP(K640,'Fevereiro 2023 - Valor Real'!A3:A15,'Fevereiro 2023 - Valor Real'!C3:C15,0))+1),((L641-1)*(1-_xlfn.XLOOKUP(K641,'Fevereiro 2023 - Valor Real'!A3:A15,'Fevereiro 2023 - Valor Real'!C3:C15,0))+1),((L642-1)*(1-_xlfn.XLOOKUP(K642,'Fevereiro 2023 - Valor Real'!A3:A15,'Fevereiro 2023 - Valor Real'!C3:C15,0))+1))/((L640-1)*(1-_xlfn.XLOOKUP(K640,'Fevereiro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Real'!C3:C15,0))+1))/((L640-1)*(1-_xlfn.XLOOKUP(K640,'Fevereiro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Real'!C3:C15,0))+1))/((L641-1)*(1-_xlfn.XLOOKUP(K641,'Fevereiro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Real'!C3:C15,0))+1))/((L642-1)*(1-_xlfn.XLOOKUP(K642,'Fevereiro 2023 - Valor Real'!A3:A15,'Fevereiro 2023 - Valor Real'!C3:C15,0))+1)),IF(I640="Lay",IF(I641="Lay",((L641/(L641-1)-1)*(1-_xlfn.XLOOKUP(K641,'Fevereiro 2023 - Valor Real'!A3:A15,'Fevereiro 2023 - Valor Real'!C3:C15,0))+1)/(((L641/(L641-1)-1)*(1-_xlfn.XLOOKUP(K641,'Fevereiro 2023 - Valor Real'!A3:A15,'Fevereiro 2023 - Valor Real'!C3:C15,0))+1)+((L640/(L640-1)-1)*(1-_xlfn.XLOOKUP(K640,'Fevereiro 2023 - Valor Real'!A3:A15,'Fevereiro 2023 - Valor Real'!C3:C15,0))+1)),((L641-1)*(1-_xlfn.XLOOKUP(K641,'Fevereiro 2023 - Valor Real'!A3:A15,'Fevereiro 2023 - Valor Real'!C3:C15,0))+1)/(((L641-1)*(1-_xlfn.XLOOKUP(K641,'Fevereiro 2023 - Valor Real'!A3:A15,'Fevereiro 2023 - Valor Real'!C3:C15,0))+1)+((L640/(L640-1)-1)*(1-_xlfn.XLOOKUP(K640,'Fevereiro 2023 - Valor Real'!A3:A15,'Fevereiro 2023 - Valor Real'!C3:C15,0))+1))),IF(I641="Lay",(((L641/(L641-1)-1)*(1-_xlfn.XLOOKUP(K641,'Fevereiro 2023 - Valor Real'!A3:A15,'Fevereiro 2023 - Valor Real'!C3:C15,0))+1))/(((L640-1)*(1-_xlfn.XLOOKUP(K640,'Fevereiro 2023 - Valor Real'!A3:A15,'Fevereiro 2023 - Valor Real'!C3:C15,0))+1)+((L641/(L641-1)-1)*(1-_xlfn.XLOOKUP(K641,'Fevereiro 2023 - Valor Real'!A3:A15,'Fevereiro 2023 - Valor Real'!C3:C15,0))+1)),((L641-1)*(1-_xlfn.XLOOKUP(K641,'Fevereiro 2023 - Valor Real'!A3:A15,'Fevereiro 2023 - Valor Real'!C3:C15,0))+1)/(((L641-1)*(1-_xlfn.XLOOKUP(K641,'Fevereiro 2023 - Valor Real'!A3:A15,'Fevereiro 2023 - Valor Real'!C3:C15,0))+1)+((L640-1)*(1-_xlfn.XLOOKUP(K640,'Fevereiro 2023 - Valor Real'!A3:A15,'Fevereiro 2023 - Valor Real'!C3:C15,0))+1))))))</f>
        <v>0.2611940298507463</v>
      </c>
      <c r="AF640" s="66">
        <f t="shared" si="1266"/>
        <v>0</v>
      </c>
      <c r="AG640" s="67">
        <f t="shared" si="1266"/>
        <v>0</v>
      </c>
      <c r="AH640" s="67">
        <f t="shared" si="1266"/>
        <v>0</v>
      </c>
      <c r="AI640" s="67">
        <f t="shared" si="1266"/>
        <v>0</v>
      </c>
      <c r="AJ640" s="67">
        <f t="shared" si="1266"/>
        <v>0</v>
      </c>
      <c r="AK640" s="67">
        <f t="shared" si="1266"/>
        <v>0</v>
      </c>
      <c r="AL640" s="67">
        <f t="shared" si="1266"/>
        <v>0</v>
      </c>
      <c r="AM640" s="67">
        <f t="shared" si="1266"/>
        <v>-16.89</v>
      </c>
      <c r="AN640" s="67">
        <f t="shared" si="1266"/>
        <v>0</v>
      </c>
      <c r="AO640" s="67">
        <f t="shared" si="1266"/>
        <v>0</v>
      </c>
      <c r="AP640" s="67">
        <f t="shared" si="1266"/>
        <v>0</v>
      </c>
      <c r="AQ640" s="67">
        <f t="shared" si="1266"/>
        <v>0</v>
      </c>
      <c r="AR640" s="68">
        <f t="shared" si="1266"/>
        <v>0</v>
      </c>
      <c r="AS640" s="66">
        <f t="shared" ref="AS640:BE640" si="1276">IF(AND($B640=" ",$K640=AS$3),$O640,0)</f>
        <v>0</v>
      </c>
      <c r="AT640" s="67">
        <f t="shared" si="1276"/>
        <v>0</v>
      </c>
      <c r="AU640" s="67">
        <f t="shared" si="1276"/>
        <v>0</v>
      </c>
      <c r="AV640" s="67">
        <f t="shared" si="1276"/>
        <v>0</v>
      </c>
      <c r="AW640" s="67">
        <f t="shared" si="1276"/>
        <v>0</v>
      </c>
      <c r="AX640" s="67">
        <f t="shared" si="1276"/>
        <v>0</v>
      </c>
      <c r="AY640" s="69">
        <f t="shared" si="1276"/>
        <v>0</v>
      </c>
      <c r="AZ640" s="70">
        <f t="shared" si="1276"/>
        <v>0</v>
      </c>
      <c r="BA640" s="70">
        <f t="shared" si="1276"/>
        <v>0</v>
      </c>
      <c r="BB640" s="70">
        <f t="shared" si="1276"/>
        <v>0</v>
      </c>
      <c r="BC640" s="71">
        <f t="shared" si="1276"/>
        <v>0</v>
      </c>
      <c r="BD640" s="67">
        <f t="shared" si="1276"/>
        <v>0</v>
      </c>
      <c r="BE640" s="68">
        <f t="shared" si="1276"/>
        <v>0</v>
      </c>
      <c r="BF640" s="66">
        <f t="shared" si="1268"/>
        <v>0</v>
      </c>
      <c r="BG640" s="67">
        <f t="shared" si="1268"/>
        <v>0</v>
      </c>
      <c r="BH640" s="67">
        <f t="shared" si="1268"/>
        <v>0</v>
      </c>
      <c r="BI640" s="67">
        <f t="shared" si="1268"/>
        <v>0</v>
      </c>
      <c r="BJ640" s="67">
        <f t="shared" si="1268"/>
        <v>0</v>
      </c>
      <c r="BK640" s="67">
        <f t="shared" si="1268"/>
        <v>0</v>
      </c>
      <c r="BL640" s="67">
        <f t="shared" si="1268"/>
        <v>0</v>
      </c>
      <c r="BM640" s="69">
        <f t="shared" si="1268"/>
        <v>16.89</v>
      </c>
      <c r="BN640" s="70">
        <f t="shared" si="1268"/>
        <v>0</v>
      </c>
      <c r="BO640" s="70">
        <f t="shared" si="1268"/>
        <v>0</v>
      </c>
      <c r="BP640" s="70">
        <f t="shared" si="1268"/>
        <v>0</v>
      </c>
      <c r="BQ640" s="71">
        <f t="shared" si="1268"/>
        <v>0</v>
      </c>
      <c r="BR640" s="68">
        <f t="shared" si="1268"/>
        <v>0</v>
      </c>
      <c r="BS640" s="490">
        <f>IF($B640="LOSS",IF(AND($K640=BS$3,$C640="L"),-$O640,0)+IF(AND($K641=BS$3,$C641="L"),-$O641,0)+IF(AND($K642=BS$3,$C642="L"),-$O642,0),IF(OR(AND($K640=BS$3,OR($C640="W",$C640="1/2W")),AND($K641=BS$3,OR($C641="W",$C641="1/2W")),AND($K642=BS$3,OR($C642="W",$C642="1/2W"))),$S640,0))</f>
        <v>0</v>
      </c>
      <c r="BT640" s="498">
        <f>IF($B640="LOSS",IF(AND($K640=BT$3,$C640="L"),-$O640,0)+IF(AND($K641=BT$3,$C641="L"),-$O641,0)+IF(AND($K641=BT$3,$C642="L"),-$O642,0),IF(OR(AND($K641=BT$3,OR($C640="W",$C640="1/2W")),AND($K641=BT$3,OR($C641="W",$C641="1/2W")),AND($K641=BT$3,OR($C642="W",$C642="1/2W"))),$S640,0))</f>
        <v>2.2200000000000002</v>
      </c>
      <c r="BU640" s="488">
        <f>IF($B640="LOSS",IF(AND($K640=BU$3,$C640="L"),-$O640,0)+IF(AND($K641=BU$3,$C641="L"),-$O641,0)+IF(AND($K641=BU$3,$C642="L"),-$O642,0),IF(OR(AND($K641=BU$3,OR($C640="W",$C640="1/2W")),AND($K641=BU$3,OR($C641="W",$C641="1/2W")),AND($K641=BU$3,OR($C642="W",$C642="1/2W"))),$S640,0))</f>
        <v>0</v>
      </c>
      <c r="BV640" s="488">
        <f t="shared" ref="BV640:CE640" si="1277">IF($B640="LOSS",IF(AND($K640=BV$3,$C640="L"),-$O640,0)+IF(AND($K641=BV$3,$C641="L"),-$O641,0)+IF(AND($K642=BV$3,$C642="L"),-$O642,0),IF(OR(AND($K640=BV$3,OR($C640="W",$C640="1/2W")),AND($K641=BV$3,OR($C641="W",$C641="1/2W")),AND($K642=BV$3,OR($C642="W",$C642="1/2W"))),$S640,0))</f>
        <v>0</v>
      </c>
      <c r="BW640" s="488">
        <f t="shared" si="1277"/>
        <v>0</v>
      </c>
      <c r="BX640" s="488">
        <f t="shared" si="1277"/>
        <v>0</v>
      </c>
      <c r="BY640" s="488">
        <f t="shared" si="1277"/>
        <v>0</v>
      </c>
      <c r="BZ640" s="488">
        <f t="shared" si="1277"/>
        <v>0</v>
      </c>
      <c r="CA640" s="488">
        <f t="shared" si="1277"/>
        <v>0</v>
      </c>
      <c r="CB640" s="488">
        <f t="shared" si="1277"/>
        <v>0</v>
      </c>
      <c r="CC640" s="488">
        <f t="shared" si="1277"/>
        <v>0</v>
      </c>
      <c r="CD640" s="500">
        <f t="shared" si="1277"/>
        <v>0</v>
      </c>
      <c r="CE640" s="504">
        <f t="shared" si="1277"/>
        <v>0</v>
      </c>
      <c r="CF640" s="160">
        <f t="shared" si="1156"/>
        <v>0</v>
      </c>
      <c r="CG640" s="161">
        <f t="shared" si="1157"/>
        <v>0</v>
      </c>
      <c r="CH640" s="161">
        <f t="shared" si="1158"/>
        <v>0</v>
      </c>
      <c r="CI640" s="161">
        <f t="shared" si="1159"/>
        <v>0</v>
      </c>
      <c r="CJ640" s="161">
        <f t="shared" si="1160"/>
        <v>0</v>
      </c>
      <c r="CK640" s="161">
        <f t="shared" si="1161"/>
        <v>0</v>
      </c>
      <c r="CL640" s="161">
        <f t="shared" si="1162"/>
        <v>0</v>
      </c>
      <c r="CM640" s="161">
        <f t="shared" si="1163"/>
        <v>0</v>
      </c>
      <c r="CN640" s="161">
        <f t="shared" si="1164"/>
        <v>0</v>
      </c>
      <c r="CO640" s="161">
        <f t="shared" si="1165"/>
        <v>0</v>
      </c>
      <c r="CP640" s="161">
        <f t="shared" si="1166"/>
        <v>0</v>
      </c>
      <c r="CQ640" s="161">
        <f t="shared" si="1167"/>
        <v>0</v>
      </c>
      <c r="CR640" s="161">
        <f t="shared" si="1168"/>
        <v>0</v>
      </c>
      <c r="CS640" s="161">
        <f t="shared" si="1169"/>
        <v>0</v>
      </c>
      <c r="CT640" s="75">
        <f t="shared" si="1170"/>
        <v>0</v>
      </c>
      <c r="CU640" s="76">
        <f t="shared" si="1171"/>
        <v>1</v>
      </c>
      <c r="CV640" s="76">
        <f t="shared" si="1172"/>
        <v>0</v>
      </c>
      <c r="CW640" s="76">
        <f t="shared" si="1173"/>
        <v>0</v>
      </c>
      <c r="CX640" s="76">
        <f t="shared" si="1174"/>
        <v>0</v>
      </c>
      <c r="CY640" s="76">
        <f t="shared" si="1175"/>
        <v>0</v>
      </c>
      <c r="CZ640" s="76">
        <f t="shared" si="1176"/>
        <v>0</v>
      </c>
      <c r="DA640" s="76">
        <f t="shared" si="1177"/>
        <v>0</v>
      </c>
      <c r="DB640" s="76">
        <f t="shared" si="1178"/>
        <v>0</v>
      </c>
      <c r="DC640" s="76">
        <f t="shared" si="1179"/>
        <v>0</v>
      </c>
      <c r="DD640" s="76">
        <f t="shared" si="1180"/>
        <v>0</v>
      </c>
      <c r="DE640" s="77">
        <f t="shared" si="1181"/>
        <v>0</v>
      </c>
      <c r="DF640" s="73">
        <f t="shared" si="1183"/>
        <v>36</v>
      </c>
      <c r="DG640" s="67">
        <f t="shared" si="1184"/>
        <v>47.227999999999994</v>
      </c>
      <c r="DH640" s="76">
        <f t="shared" si="1185"/>
        <v>14</v>
      </c>
      <c r="DI640" s="67">
        <f t="shared" si="1186"/>
        <v>60.05</v>
      </c>
      <c r="DJ640" s="202" t="str">
        <f>IF($D640="","",$D640)</f>
        <v>21</v>
      </c>
      <c r="DK640" s="492">
        <f>IF(AND($B640=" ",$D640&lt;&gt;""),1,0)</f>
        <v>0</v>
      </c>
    </row>
    <row r="641" spans="1:115" ht="14.5" customHeight="1" x14ac:dyDescent="0.2">
      <c r="A641" s="389"/>
      <c r="B641" s="456"/>
      <c r="C641" s="53" t="s">
        <v>54</v>
      </c>
      <c r="D641" s="374"/>
      <c r="E641" s="386"/>
      <c r="F641" s="377"/>
      <c r="G641" s="508"/>
      <c r="H641" s="476"/>
      <c r="I641" s="182" t="s">
        <v>52</v>
      </c>
      <c r="J641" s="56">
        <f>IF(OR(I640="TO",I640="TU",I640="TO1",I640="TU1",I640="TO2",I640="TU2"),J640,IF(OR(I640="AH1",I640="AH2"),IF(OR(I641="AH1",I641="AH2"),-J640,IF(OR(I641="EH1",I641="EH2"),-J640+0.5,"")),IF(OR(I640="EH1",I640="EH2"),IF(OR(I641="AH1",I641="AH2"),-J640+0.5,IF(OR(I641="EH1",I641="EH2"),-J640+1,"")),IF(AND(OR(I640="DNB1",I640="DNB2"),OR(I641="AH1",I641="AH2")),0,IF(AND(I640="Not ScoreBoth",OR(I641="TO1",I641="TO2")),0.5,"")))))</f>
        <v>0.5</v>
      </c>
      <c r="K641" s="57" t="s">
        <v>37</v>
      </c>
      <c r="L641" s="164">
        <v>1.4</v>
      </c>
      <c r="M641" s="165">
        <v>47.77</v>
      </c>
      <c r="N641" s="406"/>
      <c r="O641" s="60">
        <f>IF(OR(AE640="",AE641=""),"",ROUND(IF(L642&gt;0,IF(M641&gt;0,M641,IF(M640&gt;0,IF(N640=TRUE,ROUND((M640*AE641)/AE640,0),(M640*AE641)/AE640),IF(M641&gt;0,ROUND(M641,IF(N640=0,2,IF(N640=0.1,1,0))),IF(M642&gt;0,ROUND(O642*AE641/AE642,IF(N640=0,2,IF(N640=0.1,1,0))),0)))),IF(M641&gt;0,M641,ROUND((M640*AE641)/AE640,IF(N640=0,2,IF(N640=0.1,1,0))))),2))</f>
        <v>47.77</v>
      </c>
      <c r="P641" s="61">
        <f>IF(OR(L641="",O641=""),"",IF($C641="1/2W",O641/2+O641/2*L641,IF($C641="1/2L",O641/2,IF(I641="Lay",((O641*(L641/(L641-1)))-O641)*(1-_xlfn.XLOOKUP(K641,'Fevereiro 2023 - Valor Real'!A3:A15,'Fevereiro 2023 - Valor Real'!C3:C15,0))+O641,(O641*L641-O641)*(1-_xlfn.XLOOKUP(K641,'Fevereiro 2023 - Valor Real'!A3:A15,'Fevereiro 2023 - Valor Real'!C3:C15,0))+O641))))</f>
        <v>66.878</v>
      </c>
      <c r="Q641" s="166">
        <f>IF(K641="","",IF(_xlfn.XLOOKUP(K641,K$10:K632,$DJ$10:DJ632,0,,-1)=DJ641,_xlfn.XLOOKUP(K641,K$10:K632,Q$10:Q632,1,,-1)+1,1))</f>
        <v>2</v>
      </c>
      <c r="R641" s="167">
        <f>IF(K641="","",_xlfn.XLOOKUP(K641,K$10:K632,R$10:R632,0,,-1)+IF($C641=" ",1,0))</f>
        <v>0</v>
      </c>
      <c r="S641" s="403"/>
      <c r="T641" s="380"/>
      <c r="U641" s="380"/>
      <c r="V641" s="481"/>
      <c r="W641" s="380"/>
      <c r="X641" s="452"/>
      <c r="Y641" s="383"/>
      <c r="Z641" s="384"/>
      <c r="AA641" s="384"/>
      <c r="AB641" s="384"/>
      <c r="AC641" s="384"/>
      <c r="AD641" s="64"/>
      <c r="AE641" s="65">
        <f>IF(L641="","",IF(L642&gt;0,(SUM(((L640-1)*(1-_xlfn.XLOOKUP(K640,'Fevereiro 2023 - Valor Real'!A3:A15,'Fevereiro 2023 - Valor Real'!C3:C15,0))+1),((L641-1)*(1-_xlfn.XLOOKUP(K641,'Fevereiro 2023 - Valor Real'!A3:A15,'Fevereiro 2023 - Valor Real'!C3:C15,0))+1),((L642-1)*(1-_xlfn.XLOOKUP(K642,'Fevereiro 2023 - Valor Real'!A3:A15,'Fevereiro 2023 - Valor Real'!C3:C15,0))+1))/((L641-1)*(1-_xlfn.XLOOKUP(K641,'Fevereiro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Real'!C3:C15,0))+1))/((L640-1)*(1-_xlfn.XLOOKUP(K640,'Fevereiro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Real'!C3:C15,0))+1))/((L641-1)*(1-_xlfn.XLOOKUP(K641,'Fevereiro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Real'!C3:C15,0))+1))/((L642-1)*(1-_xlfn.XLOOKUP(K642,'Fevereiro 2023 - Valor Real'!A3:A15,'Fevereiro 2023 - Valor Real'!C3:C15,0))+1)),IF(I641="Lay",IF(I640="Lay",((L640/(L640-1)-1)*(1-_xlfn.XLOOKUP(K640,'Fevereiro 2023 - Valor Real'!A3:A15,'Fevereiro 2023 - Valor Real'!C3:C15,0))+1)/(((L640/(L640-1)-1)*(1-_xlfn.XLOOKUP(K640,'Fevereiro 2023 - Valor Real'!A3:A15,'Fevereiro 2023 - Valor Real'!C3:C15,0))+1)+((L641/(L641-1)-1)*(1-_xlfn.XLOOKUP(K641,'Fevereiro 2023 - Valor Real'!A3:A15,'Fevereiro 2023 - Valor Real'!C3:C15,0))+1)),((L640-1)*(1-_xlfn.XLOOKUP(K640,'Fevereiro 2023 - Valor Real'!A3:A15,'Fevereiro 2023 - Valor Real'!C3:C15,0))+1)/(((L640-1)*(1-_xlfn.XLOOKUP(K640,'Fevereiro 2023 - Valor Real'!A3:A15,'Fevereiro 2023 - Valor Real'!C3:C15,0))+1)+((L641/(L641-1)-1)*(1-_xlfn.XLOOKUP(K641,'Fevereiro 2023 - Valor Real'!A3:A15,'Fevereiro 2023 - Valor Real'!C3:C15,0))+1))),IF(I640="Lay",((L640/(L640-1)-1)*(1-_xlfn.XLOOKUP(K640,'Fevereiro 2023 - Valor Real'!A3:A15,'Fevereiro 2023 - Valor Real'!C3:C15,0))+1)/((((L640/(L640-1)-1)*(1-_xlfn.XLOOKUP(K640,'Fevereiro 2023 - Valor Real'!A3:A15,'Fevereiro 2023 - Valor Real'!C3:C15,0))+1))+((L641-1)*(1-_xlfn.XLOOKUP(K641,'Fevereiro 2023 - Valor Real'!A3:A15,'Fevereiro 2023 - Valor Real'!C3:C15,0))+1)),((L640-1)*(1-_xlfn.XLOOKUP(K640,'Fevereiro 2023 - Valor Real'!A3:A15,'Fevereiro 2023 - Valor Real'!C3:C15,0))+1)/(((L640-1)*(1-_xlfn.XLOOKUP(K640,'Fevereiro 2023 - Valor Real'!A3:A15,'Fevereiro 2023 - Valor Real'!C3:C15,0))+1)+((L641-1)*(1-_xlfn.XLOOKUP(K641,'Fevereiro 2023 - Valor Real'!A3:A15,'Fevereiro 2023 - Valor Real'!C3:C15,0))+1))))))</f>
        <v>0.73880597014925375</v>
      </c>
      <c r="AF641" s="66">
        <f t="shared" si="1266"/>
        <v>0</v>
      </c>
      <c r="AG641" s="67">
        <f t="shared" si="1266"/>
        <v>19.11</v>
      </c>
      <c r="AH641" s="67">
        <f t="shared" si="1266"/>
        <v>0</v>
      </c>
      <c r="AI641" s="67">
        <f t="shared" si="1266"/>
        <v>0</v>
      </c>
      <c r="AJ641" s="67">
        <f t="shared" si="1266"/>
        <v>0</v>
      </c>
      <c r="AK641" s="67">
        <f t="shared" si="1266"/>
        <v>0</v>
      </c>
      <c r="AL641" s="67">
        <f t="shared" si="1266"/>
        <v>0</v>
      </c>
      <c r="AM641" s="67">
        <f t="shared" si="1266"/>
        <v>0</v>
      </c>
      <c r="AN641" s="67">
        <f t="shared" si="1266"/>
        <v>0</v>
      </c>
      <c r="AO641" s="67">
        <f t="shared" si="1266"/>
        <v>0</v>
      </c>
      <c r="AP641" s="67">
        <f t="shared" si="1266"/>
        <v>0</v>
      </c>
      <c r="AQ641" s="67">
        <f t="shared" si="1266"/>
        <v>0</v>
      </c>
      <c r="AR641" s="68">
        <f t="shared" si="1266"/>
        <v>0</v>
      </c>
      <c r="AS641" s="66">
        <f>IF(AND($B640=" ",$K641=AS$3),$O641,0)</f>
        <v>0</v>
      </c>
      <c r="AT641" s="67">
        <f>IF(AND($B640=" ",K641=AT$3),$O641,0)</f>
        <v>0</v>
      </c>
      <c r="AU641" s="67">
        <f t="shared" ref="AU641:BE641" si="1278">IF(AND($B640=" ",$K641=AU$3),$O641,0)</f>
        <v>0</v>
      </c>
      <c r="AV641" s="67">
        <f t="shared" si="1278"/>
        <v>0</v>
      </c>
      <c r="AW641" s="67">
        <f t="shared" si="1278"/>
        <v>0</v>
      </c>
      <c r="AX641" s="67">
        <f t="shared" si="1278"/>
        <v>0</v>
      </c>
      <c r="AY641" s="69">
        <f t="shared" si="1278"/>
        <v>0</v>
      </c>
      <c r="AZ641" s="70">
        <f t="shared" si="1278"/>
        <v>0</v>
      </c>
      <c r="BA641" s="70">
        <f t="shared" si="1278"/>
        <v>0</v>
      </c>
      <c r="BB641" s="70">
        <f t="shared" si="1278"/>
        <v>0</v>
      </c>
      <c r="BC641" s="71">
        <f t="shared" si="1278"/>
        <v>0</v>
      </c>
      <c r="BD641" s="67">
        <f t="shared" si="1278"/>
        <v>0</v>
      </c>
      <c r="BE641" s="68">
        <f t="shared" si="1278"/>
        <v>0</v>
      </c>
      <c r="BF641" s="66">
        <f t="shared" si="1268"/>
        <v>0</v>
      </c>
      <c r="BG641" s="168">
        <f t="shared" si="1268"/>
        <v>47.77</v>
      </c>
      <c r="BH641" s="67">
        <f t="shared" si="1268"/>
        <v>0</v>
      </c>
      <c r="BI641" s="67">
        <f t="shared" si="1268"/>
        <v>0</v>
      </c>
      <c r="BJ641" s="67">
        <f t="shared" si="1268"/>
        <v>0</v>
      </c>
      <c r="BK641" s="67">
        <f t="shared" si="1268"/>
        <v>0</v>
      </c>
      <c r="BL641" s="67">
        <f t="shared" si="1268"/>
        <v>0</v>
      </c>
      <c r="BM641" s="69">
        <f t="shared" si="1268"/>
        <v>0</v>
      </c>
      <c r="BN641" s="70">
        <f t="shared" si="1268"/>
        <v>0</v>
      </c>
      <c r="BO641" s="70">
        <f t="shared" si="1268"/>
        <v>0</v>
      </c>
      <c r="BP641" s="70">
        <f t="shared" si="1268"/>
        <v>0</v>
      </c>
      <c r="BQ641" s="71">
        <f t="shared" si="1268"/>
        <v>0</v>
      </c>
      <c r="BR641" s="68">
        <f t="shared" si="1268"/>
        <v>0</v>
      </c>
      <c r="BS641" s="491"/>
      <c r="BT641" s="489"/>
      <c r="BU641" s="392"/>
      <c r="BV641" s="489"/>
      <c r="BW641" s="392"/>
      <c r="BX641" s="392"/>
      <c r="BY641" s="392"/>
      <c r="BZ641" s="489"/>
      <c r="CA641" s="392"/>
      <c r="CB641" s="392"/>
      <c r="CC641" s="392"/>
      <c r="CD641" s="401"/>
      <c r="CE641" s="409"/>
      <c r="CF641" s="169">
        <f t="shared" si="1156"/>
        <v>0</v>
      </c>
      <c r="CG641" s="170">
        <f t="shared" si="1157"/>
        <v>0</v>
      </c>
      <c r="CH641" s="170">
        <f t="shared" si="1158"/>
        <v>1</v>
      </c>
      <c r="CI641" s="170">
        <f t="shared" si="1159"/>
        <v>0</v>
      </c>
      <c r="CJ641" s="170">
        <f t="shared" si="1160"/>
        <v>0</v>
      </c>
      <c r="CK641" s="170">
        <f t="shared" si="1161"/>
        <v>0</v>
      </c>
      <c r="CL641" s="170">
        <f t="shared" si="1162"/>
        <v>0</v>
      </c>
      <c r="CM641" s="170">
        <f t="shared" si="1163"/>
        <v>0</v>
      </c>
      <c r="CN641" s="170">
        <f t="shared" si="1164"/>
        <v>0</v>
      </c>
      <c r="CO641" s="170">
        <f t="shared" si="1165"/>
        <v>0</v>
      </c>
      <c r="CP641" s="170">
        <f t="shared" si="1166"/>
        <v>0</v>
      </c>
      <c r="CQ641" s="170">
        <f t="shared" si="1167"/>
        <v>0</v>
      </c>
      <c r="CR641" s="170">
        <f t="shared" si="1168"/>
        <v>0</v>
      </c>
      <c r="CS641" s="170">
        <f t="shared" si="1169"/>
        <v>0</v>
      </c>
      <c r="CT641" s="75">
        <f t="shared" si="1170"/>
        <v>0</v>
      </c>
      <c r="CU641" s="76">
        <f t="shared" si="1171"/>
        <v>0</v>
      </c>
      <c r="CV641" s="76">
        <f t="shared" si="1172"/>
        <v>0</v>
      </c>
      <c r="CW641" s="76">
        <f t="shared" si="1173"/>
        <v>0</v>
      </c>
      <c r="CX641" s="76">
        <f t="shared" si="1174"/>
        <v>0</v>
      </c>
      <c r="CY641" s="76">
        <f t="shared" si="1175"/>
        <v>0</v>
      </c>
      <c r="CZ641" s="76">
        <f t="shared" si="1176"/>
        <v>0</v>
      </c>
      <c r="DA641" s="76">
        <f t="shared" si="1177"/>
        <v>0</v>
      </c>
      <c r="DB641" s="76">
        <f t="shared" si="1178"/>
        <v>0</v>
      </c>
      <c r="DC641" s="76">
        <f t="shared" si="1179"/>
        <v>0</v>
      </c>
      <c r="DD641" s="76">
        <f t="shared" si="1180"/>
        <v>0</v>
      </c>
      <c r="DE641" s="77">
        <f t="shared" si="1181"/>
        <v>0</v>
      </c>
      <c r="DF641" s="73">
        <f t="shared" si="1183"/>
        <v>37</v>
      </c>
      <c r="DG641" s="67">
        <f t="shared" si="1184"/>
        <v>48.627999999999993</v>
      </c>
      <c r="DH641" s="76">
        <f t="shared" si="1185"/>
        <v>14</v>
      </c>
      <c r="DI641" s="67">
        <f t="shared" si="1186"/>
        <v>60.05</v>
      </c>
      <c r="DJ641" s="202" t="str">
        <f>IF($D640="","",$D640)</f>
        <v>21</v>
      </c>
      <c r="DK641" s="493"/>
    </row>
    <row r="642" spans="1:115" ht="14.5" customHeight="1" x14ac:dyDescent="0.2">
      <c r="A642" s="390"/>
      <c r="B642" s="457"/>
      <c r="C642" s="79" t="s">
        <v>53</v>
      </c>
      <c r="D642" s="375"/>
      <c r="E642" s="387"/>
      <c r="F642" s="378"/>
      <c r="G642" s="508"/>
      <c r="H642" s="477"/>
      <c r="I642" s="171"/>
      <c r="J642" s="172"/>
      <c r="K642" s="81"/>
      <c r="L642" s="173"/>
      <c r="M642" s="174"/>
      <c r="N642" s="407"/>
      <c r="O642" s="86" t="str">
        <f>IF(OR(AE640="",AE641=""),"",IF(L642&gt;0,ROUND(IF(M642&gt;0,M642,IF(M640&gt;0,ROUND((M640*AE642)/AE640,IF(N640=0,2,IF(N640=0.1,1,0))),IF(M641&gt;0,ROUND((M641*AE642)/AE641,IF(N640=0,2,IF(N640=0.1,1,0))),IF(M642&gt;0,M642,0)))),2),""))</f>
        <v/>
      </c>
      <c r="P642" s="87" t="str">
        <f>IF(I641="Lay",O641*(L641/(L641-1))-O641,IF(I640="Lay",O640*(L640/(L640-1))-O640,IF(OR(L642="",O642=""),"",IF($C642="1/2W",O642/2+O642/2*L642,IF($C642="1/2L",O642/2,(O642*L642-O642)*(1-_xlfn.XLOOKUP(K642,'Fevereiro 2023 - Valor Real'!A3:A15,'Fevereiro 2023 - Valor Real'!C3:C15,0))+O642)))))</f>
        <v/>
      </c>
      <c r="Q642" s="54" t="str">
        <f>IF(K642="","",IF(_xlfn.XLOOKUP(K642,K$11:K632,$DJ$11:DJ632,0,,-1)=DJ642,_xlfn.XLOOKUP(K642,K$11:K632,Q$11:Q632,1,,-1)+1,1))</f>
        <v/>
      </c>
      <c r="R642" s="87" t="str">
        <f>IF(K642="","",_xlfn.XLOOKUP(K642,K$11:K632,R$11:R632,0,,-1)+IF($C642=" ",1,0))</f>
        <v/>
      </c>
      <c r="S642" s="404"/>
      <c r="T642" s="378"/>
      <c r="U642" s="378"/>
      <c r="V642" s="404"/>
      <c r="W642" s="378"/>
      <c r="X642" s="453"/>
      <c r="Y642" s="383"/>
      <c r="Z642" s="384"/>
      <c r="AA642" s="384"/>
      <c r="AB642" s="384"/>
      <c r="AC642" s="384"/>
      <c r="AD642" s="90"/>
      <c r="AE642" s="91" t="str">
        <f>IF(L642="","",(SUM(((L640-1)*(1-_xlfn.XLOOKUP(K640,'Fevereiro 2023 - Valor Real'!A3:A15,'Fevereiro 2023 - Valor Real'!C3:C15,0))+1),((L641-1)*(1-_xlfn.XLOOKUP(K641,'Fevereiro 2023 - Valor Real'!A3:A15,'Fevereiro 2023 - Valor Real'!C3:C15,0))+1),((L642-1)*(1-_xlfn.XLOOKUP(K642,'Fevereiro 2023 - Valor Real'!A3:A15,'Fevereiro 2023 - Valor Real'!C3:C15,0))+1))/((L642-1)*(1-_xlfn.XLOOKUP(K642,'Fevereiro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Real'!C3:C15,0))+1))/((L640-1)*(1-_xlfn.XLOOKUP(K640,'Fevereiro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Real'!C3:C15,0))+1))/((L641-1)*(1-_xlfn.XLOOKUP(K641,'Fevereiro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Real'!C3:C15,0))+1))/((L642-1)*(1-_xlfn.XLOOKUP(K642,'Fevereiro 2023 - Valor Real'!A3:A15,'Fevereiro 2023 - Valor Real'!C3:C15,0))+1)))</f>
        <v/>
      </c>
      <c r="AF642" s="66">
        <f t="shared" si="1266"/>
        <v>0</v>
      </c>
      <c r="AG642" s="67">
        <f t="shared" si="1266"/>
        <v>0</v>
      </c>
      <c r="AH642" s="67">
        <f t="shared" si="1266"/>
        <v>0</v>
      </c>
      <c r="AI642" s="67">
        <f t="shared" si="1266"/>
        <v>0</v>
      </c>
      <c r="AJ642" s="67">
        <f t="shared" si="1266"/>
        <v>0</v>
      </c>
      <c r="AK642" s="67">
        <f t="shared" si="1266"/>
        <v>0</v>
      </c>
      <c r="AL642" s="67">
        <f t="shared" si="1266"/>
        <v>0</v>
      </c>
      <c r="AM642" s="67">
        <f t="shared" si="1266"/>
        <v>0</v>
      </c>
      <c r="AN642" s="67">
        <f t="shared" si="1266"/>
        <v>0</v>
      </c>
      <c r="AO642" s="67">
        <f t="shared" si="1266"/>
        <v>0</v>
      </c>
      <c r="AP642" s="67">
        <f t="shared" si="1266"/>
        <v>0</v>
      </c>
      <c r="AQ642" s="67">
        <f t="shared" si="1266"/>
        <v>0</v>
      </c>
      <c r="AR642" s="68">
        <f t="shared" si="1266"/>
        <v>0</v>
      </c>
      <c r="AS642" s="66">
        <f>IF(AND($B640=" ",$K642=AS$3),$O642,0)</f>
        <v>0</v>
      </c>
      <c r="AT642" s="67">
        <f>IF(AND($B640=" ",K642=AT$3),$O642,0)</f>
        <v>0</v>
      </c>
      <c r="AU642" s="67">
        <f t="shared" ref="AU642:BE642" si="1279">IF(AND($B640=" ",$K642=AU$3),$O642,0)</f>
        <v>0</v>
      </c>
      <c r="AV642" s="67">
        <f t="shared" si="1279"/>
        <v>0</v>
      </c>
      <c r="AW642" s="67">
        <f t="shared" si="1279"/>
        <v>0</v>
      </c>
      <c r="AX642" s="67">
        <f t="shared" si="1279"/>
        <v>0</v>
      </c>
      <c r="AY642" s="69">
        <f t="shared" si="1279"/>
        <v>0</v>
      </c>
      <c r="AZ642" s="70">
        <f t="shared" si="1279"/>
        <v>0</v>
      </c>
      <c r="BA642" s="70">
        <f t="shared" si="1279"/>
        <v>0</v>
      </c>
      <c r="BB642" s="70">
        <f t="shared" si="1279"/>
        <v>0</v>
      </c>
      <c r="BC642" s="71">
        <f t="shared" si="1279"/>
        <v>0</v>
      </c>
      <c r="BD642" s="67">
        <f t="shared" si="1279"/>
        <v>0</v>
      </c>
      <c r="BE642" s="68">
        <f t="shared" si="1279"/>
        <v>0</v>
      </c>
      <c r="BF642" s="66">
        <f t="shared" si="1268"/>
        <v>0</v>
      </c>
      <c r="BG642" s="168">
        <f t="shared" si="1268"/>
        <v>0</v>
      </c>
      <c r="BH642" s="67">
        <f t="shared" si="1268"/>
        <v>0</v>
      </c>
      <c r="BI642" s="67">
        <f t="shared" si="1268"/>
        <v>0</v>
      </c>
      <c r="BJ642" s="67">
        <f t="shared" si="1268"/>
        <v>0</v>
      </c>
      <c r="BK642" s="67">
        <f t="shared" si="1268"/>
        <v>0</v>
      </c>
      <c r="BL642" s="67">
        <f t="shared" si="1268"/>
        <v>0</v>
      </c>
      <c r="BM642" s="69">
        <f t="shared" si="1268"/>
        <v>0</v>
      </c>
      <c r="BN642" s="70">
        <f t="shared" si="1268"/>
        <v>0</v>
      </c>
      <c r="BO642" s="70">
        <f t="shared" si="1268"/>
        <v>0</v>
      </c>
      <c r="BP642" s="70">
        <f t="shared" si="1268"/>
        <v>0</v>
      </c>
      <c r="BQ642" s="71">
        <f t="shared" si="1268"/>
        <v>0</v>
      </c>
      <c r="BR642" s="68">
        <f t="shared" si="1268"/>
        <v>0</v>
      </c>
      <c r="BS642" s="491"/>
      <c r="BT642" s="489"/>
      <c r="BU642" s="392"/>
      <c r="BV642" s="489"/>
      <c r="BW642" s="392"/>
      <c r="BX642" s="392"/>
      <c r="BY642" s="392"/>
      <c r="BZ642" s="489"/>
      <c r="CA642" s="392"/>
      <c r="CB642" s="392"/>
      <c r="CC642" s="392"/>
      <c r="CD642" s="401"/>
      <c r="CE642" s="409"/>
      <c r="CF642" s="169">
        <f t="shared" si="1156"/>
        <v>0</v>
      </c>
      <c r="CG642" s="170">
        <f t="shared" si="1157"/>
        <v>0</v>
      </c>
      <c r="CH642" s="170">
        <f t="shared" si="1158"/>
        <v>0</v>
      </c>
      <c r="CI642" s="170">
        <f t="shared" si="1159"/>
        <v>0</v>
      </c>
      <c r="CJ642" s="170">
        <f t="shared" si="1160"/>
        <v>0</v>
      </c>
      <c r="CK642" s="170">
        <f t="shared" si="1161"/>
        <v>0</v>
      </c>
      <c r="CL642" s="170">
        <f t="shared" si="1162"/>
        <v>0</v>
      </c>
      <c r="CM642" s="170">
        <f t="shared" si="1163"/>
        <v>0</v>
      </c>
      <c r="CN642" s="170">
        <f t="shared" si="1164"/>
        <v>0</v>
      </c>
      <c r="CO642" s="170">
        <f t="shared" si="1165"/>
        <v>0</v>
      </c>
      <c r="CP642" s="170">
        <f t="shared" si="1166"/>
        <v>0</v>
      </c>
      <c r="CQ642" s="170">
        <f t="shared" si="1167"/>
        <v>0</v>
      </c>
      <c r="CR642" s="170">
        <f t="shared" si="1168"/>
        <v>0</v>
      </c>
      <c r="CS642" s="170">
        <f t="shared" si="1169"/>
        <v>0</v>
      </c>
      <c r="CT642" s="75">
        <f t="shared" si="1170"/>
        <v>0</v>
      </c>
      <c r="CU642" s="76">
        <f t="shared" si="1171"/>
        <v>0</v>
      </c>
      <c r="CV642" s="76">
        <f t="shared" si="1172"/>
        <v>0</v>
      </c>
      <c r="CW642" s="76">
        <f t="shared" si="1173"/>
        <v>0</v>
      </c>
      <c r="CX642" s="76">
        <f t="shared" si="1174"/>
        <v>0</v>
      </c>
      <c r="CY642" s="76">
        <f t="shared" si="1175"/>
        <v>0</v>
      </c>
      <c r="CZ642" s="76">
        <f t="shared" si="1176"/>
        <v>0</v>
      </c>
      <c r="DA642" s="76">
        <f t="shared" si="1177"/>
        <v>0</v>
      </c>
      <c r="DB642" s="76">
        <f t="shared" si="1178"/>
        <v>0</v>
      </c>
      <c r="DC642" s="76">
        <f t="shared" si="1179"/>
        <v>0</v>
      </c>
      <c r="DD642" s="76">
        <f t="shared" si="1180"/>
        <v>0</v>
      </c>
      <c r="DE642" s="77">
        <f t="shared" si="1181"/>
        <v>0</v>
      </c>
      <c r="DF642" s="73">
        <f t="shared" si="1183"/>
        <v>37</v>
      </c>
      <c r="DG642" s="67">
        <f t="shared" si="1184"/>
        <v>48.627999999999993</v>
      </c>
      <c r="DH642" s="76">
        <f t="shared" si="1185"/>
        <v>14</v>
      </c>
      <c r="DI642" s="67">
        <f t="shared" si="1186"/>
        <v>60.05</v>
      </c>
      <c r="DJ642" s="202" t="str">
        <f>IF($D640="","",$D640)</f>
        <v>21</v>
      </c>
      <c r="DK642" s="493"/>
    </row>
    <row r="643" spans="1:115" ht="14.5" customHeight="1" x14ac:dyDescent="0.2">
      <c r="A643" s="459">
        <f>$A640+1</f>
        <v>214</v>
      </c>
      <c r="B643" s="507" t="str">
        <f>IF(OR(C643="W",C644="W",C645="W",C643="1/2W",C644="1/2W",C645="1/2W",C643="1/2L",C644="1/2L",C645="1/2L"),"OK",IF(OR(C643="L",C644="L",C645="L"),"LOSS",IF(OR(C643="X",C644="X",C645="X"),"Anulado"," ")))</f>
        <v>OK</v>
      </c>
      <c r="C643" s="93" t="s">
        <v>55</v>
      </c>
      <c r="D643" s="468" t="str">
        <f>IF(G643="","",$D640)</f>
        <v>21</v>
      </c>
      <c r="E643" s="485" t="str">
        <f>IF(G643=""," ","– "&amp;COUNTIF(D$4:D645,$D643))</f>
        <v>– 10</v>
      </c>
      <c r="F643" s="509" t="str">
        <f ca="1">IF(G643="","",IF(OR(AND($C643&lt;&gt;" ",$C644=" "),AND($C644&lt;&gt;" ",$C643=" "),AND(L645&gt;0,OR(AND($C645&lt;&gt;" ",OR($C643=" ",$C644=" ")),AND($C645=" ",OR($C643&lt;&gt;" ",$C644&lt;&gt;" "))))),IF(SUM(F$4:F642)=0,1,LARGE(F$4:F642,1)+1),IF(MONTH(G643)=MONTH(TODAY()),IF(AND(DAY(G643)&lt;DAY(TODAY()),$B643=" "),IF(SUM(F$4:F642)=0,1,LARGE(F$4:F642,1)+1),IF($B643=" ",IF(AND(DAY(G643)=DAY(TODAY()),HOUR(G643)&lt;=HOUR(NOW())+1),IF(AND(HOUR(G643)+2&lt;=HOUR(NOW()),DAY(G643)&lt;=DAY(TODAY()),MINUTE(G643)&lt;=MINUTE(NOW())),IF(SUM(F$4:F642)=0,1,LARGE(F$4:F642,1)+1),IF(OR(MINUTE(G643)&lt;=MINUTE(NOW()),HOUR(G643)&lt;=HOUR(NOW())),"!!!","")),""),"")),"")))</f>
        <v/>
      </c>
      <c r="G643" s="482">
        <v>45006.458333333336</v>
      </c>
      <c r="H643" s="475" t="s">
        <v>237</v>
      </c>
      <c r="I643" s="94" t="s">
        <v>61</v>
      </c>
      <c r="J643" s="176"/>
      <c r="K643" s="96" t="s">
        <v>37</v>
      </c>
      <c r="L643" s="97">
        <v>2.1</v>
      </c>
      <c r="M643" s="98">
        <v>13.03</v>
      </c>
      <c r="N643" s="478">
        <v>0.1</v>
      </c>
      <c r="O643" s="99">
        <f>IF(OR(AE643="",AE644=""),"",ROUND(IF(L645&gt;0,IF(M643&gt;0,M643,IF(M644&gt;0,ROUND((M644*AE643)/AE644,IF(N643=0,2,IF(N643=0.1,1,0))),ROUND((M645*AE643)/AE645,IF(N643=0,2,IF(N643=0.1,1,0))))),IF(M643&gt;0,M643,ROUND((M644*AE643)/AE644,IF(N643=0,2,IF(N643=0.1,1,0))))),2))</f>
        <v>13.03</v>
      </c>
      <c r="P643" s="100">
        <f>IF(OR(L643="",O643=""),"",IF($C643="1/2W",O643/2+O643/2*L643,IF($C643="1/2L",O643/2,IF(I643="Lay",(O643*(L643/(L643-1))-O643)*(1-_xlfn.XLOOKUP(K643,'Fevereiro 2023 - Valor Real'!A3:A15,'Fevereiro 2023 - Valor Real'!C3:C15,0))+O643,(O643*L643-O643)*(1-_xlfn.XLOOKUP(K643,'Fevereiro 2023 - Valor Real'!A3:A15,'Fevereiro 2023 - Valor Real'!C3:C15,0))+O643))))</f>
        <v>27.363</v>
      </c>
      <c r="Q643" s="101">
        <f>IF(K643="","",IF(_xlfn.XLOOKUP(K643,K$4:K642,$DJ$4:DJ642,0,,-1)=DJ643,_xlfn.XLOOKUP(K643,K$4:K642,Q$4:Q642,1,,-1)+1,1))</f>
        <v>3</v>
      </c>
      <c r="R643" s="102">
        <f>IF(K643="","",_xlfn.XLOOKUP(K643,K$4:K642,R$4:R642,0,,-1)+IF($C643=" ",1,0))</f>
        <v>0</v>
      </c>
      <c r="S643" s="474">
        <f>IF($B643="Anulado",0,ROUND(IF(OR($B643="LOSS",$B643="OK"),IF(OR($C643="W",$C643="1/2W",$C643="1/2L"),P643-O643,IF($C643="L",-O643,0))+IF(OR($C644="W",$C644="1/2W",$C644="1/2L"),P644-O644,IF($C644="L",-O644,0))+IF(OR($C645="W",$C645="1/2W",$C645="1/2L"),P645-O645,IF($C645="L",-O645,0)),IF(AND(OR($C643="W",$C643="1/2W",$C643="1/2L"),C644="W"),P643+P644-SUM(O643:O645)+_xlfn.XLOOKUP("X",C643:C645,O643:O645,0),IF(AND(C643=TRUE,C645="W"),P643+P645-SUM(O643:O645),IF(AND(C644="W",C645="W"),P644+P645-SUM(O643:O645)+_xlfn.XLOOKUP("X",C643:C645,O643:O645,0),IF(L645&gt;0,IF(OR($C643="W",$C643="1/2W",$C643="1/2L"),P643-SUM(O643:O645)+_xlfn.XLOOKUP("X",C643:C645,O643:O645,0),IF(OR($C643="W",$C643="1/2W",$C643="1/2L"),P644-SUM(O643:O645)+_xlfn.XLOOKUP("X",C643:C645,O643:O645,0),IF(OR($C643="W",$C643="1/2W",$C643="1/2L"),P645-SUM(O643:O645)+_xlfn.XLOOKUP("X",C643:C645,O643:O645,0),IF(SUM(P643:P645)/3-SUM(O643:O645)+_xlfn.XLOOKUP("X",C643:C645,O643:O645,0)&gt;0,SUM(P643:P645)/3-SUM(O643:O645)+_xlfn.XLOOKUP("X",C643:C645,O643:O645,0),LARGE(P643:P645,1)-SUM(O643:O645))))),IF(OR($C643="W",$C643="1/2W",$C643="1/2L"),P643-SUM(O643:O644)+_xlfn.XLOOKUP("X",C643:C645,O643:O645,0),IF(OR($C643="W",$C643="1/2W",$C643="1/2L"),P644-SUM(O643:O644)+_xlfn.XLOOKUP("X",C643:C645,O643:O645,0),SUM(P643:P644)/2-SUM(O643:O644)+_xlfn.XLOOKUP("X",C643:C645,O643:O645,0)))))))),2))</f>
        <v>2.1</v>
      </c>
      <c r="T643" s="458">
        <f>IF(S643=0,0,S643/SUM(O643:O645))</f>
        <v>8.3565459610027856E-2</v>
      </c>
      <c r="U643" s="470">
        <f>IF($D643=$D640,IF(OR($B643="LOSS",$B643="OK",$B643="Anulada"),S643,0)+U640,IF(OR($B643="LOSS",$B643="OK",$B643="Anulada"),S643,0))</f>
        <v>25.66</v>
      </c>
      <c r="V643" s="470">
        <f>IF($D643="",0,IF($D643=$D640,IF($B643=" ",IF(I645="",IF(OR(AND(I643="DNB1",I644="DNB2"),AND(OR(I643="DNB1",I643="DNB2"),J644=0),AND(OR(I644="DNB1",I644="DNB2"),J643=0),AND(I643="DNB2",I644="DNB1"),AND(IF(J643=0,(J643+1)/ROUND(J643+1,0),J643/ROUND(J643,0))=1,IF(J644=0,(J644+1)/ROUND(IF(J644="",0,J644)+1,0),IF(J644="",0,J644)/ROUND(IF(J644="",1,J644),0))=1,OR(J643&lt;&gt;""),J644&lt;&gt;"")),0,IF(S643&lt;0,IF(I645="",SMALL(P643:P644,1)-SUM(O643:O644),0),SMALL(P643:P644,1)-SUM(O643:O644))),IF(S643&lt;0,IF(I645="",SMALL(P643:P645,1)-SUM(O643:O645),0),LARGE(P643:P645,1)-SUM(O643:O645))),S643)+V640,IF(I645="",IF(OR(AND(I643="DNB1",I644="DNB2"),AND(OR(I643="DNB1",I643="DNB2"),J644=0),AND(OR(I644="DNB1",I644="DNB2"),J643=0),AND(I643="DNB2",I644="DNB1"),AND(IF(J643=0,(J643+1)/ROUND(J643+1,0),J643/ROUND(J643,0))=1,IF(J644=0,(IF(J644="",0,J644)+1)/ROUND(IF(J644="",0,J644)+1,0),IF(J644="",0,J644)/ROUND(IF(J644="",0,J644)+1,0))=1,OR(J643&lt;&gt;""),J644&lt;&gt;"")),0,IF(S643&lt;0,IF(I645="",SMALL(P643:P644,1)-SUM(O643:O644),0),SMALL(P643:P645,1)-SUM(O643:O645))),IF(S643&lt;0,IF(I645="",SMALL(P643:P645,1)-SUM(O643:O645),0),LARGE(P643:P645,1)-SUM(O643:O645)))))</f>
        <v>25.657999999999994</v>
      </c>
      <c r="W643" s="470">
        <f>IF($D643=$D640,IF(S643&lt;0,IF(I645="",S643,0),S643)+W640,S643)</f>
        <v>25.66</v>
      </c>
      <c r="X643" s="480" t="str">
        <f>IF(OR(SUM(R643:R645)=0,V643=W643),ROUND(IF(W643=0,0,W643/Y643)*100,2)&amp;"%",ROUND(IF(V643=0,0,V643/Y643)*100,2)&amp;"% a "&amp;ROUND(IF(W643=0,0,W643/Y643)*100,2)&amp;"%")</f>
        <v>8,1%</v>
      </c>
      <c r="Y643" s="471">
        <f>IF($D643=$D640,Y640+SUM(O643:O645),SUM(O643:O645))</f>
        <v>316.61</v>
      </c>
      <c r="Z643" s="470">
        <f>IF($B643=" ",SUM(O643:O645),0)+Z640</f>
        <v>0</v>
      </c>
      <c r="AA643" s="470">
        <f>IF(G643="","",IF($B643="Anulado",LARGE(P643:P645,1)-SUM(O643:O645)+AA640,AA640))</f>
        <v>13.381099999999991</v>
      </c>
      <c r="AB643" s="470">
        <f>IF($D643="","",AB640+S643)</f>
        <v>703.29000000000053</v>
      </c>
      <c r="AC643" s="472">
        <f ca="1">IF($D643="","",IF($B643=" ",IF(DAY(G643)=DAY(TODAY()),1+AC640,0+AC640),0+AC640))</f>
        <v>0</v>
      </c>
      <c r="AD643" s="103">
        <f>(((L644/(L644-1)-1)*(1-_xlfn.XLOOKUP(K644,'Fevereiro 2023 - Valor Real'!A3:A15,'Fevereiro 2023 - Valor Real'!C3:C15,0))+1))/(((L643-1)*(1-_xlfn.XLOOKUP(K643,'Fevereiro 2023 - Valor Real'!A3:A15,'Fevereiro 2023 - Valor Real'!C3:C15,0))+1)+((L644/(L644-1)-1)*(1-_xlfn.XLOOKUP(K644,'Fevereiro 2023 - Valor Real'!A3:A15,'Fevereiro 2023 - Valor Real'!C3:C15,0))+1))</f>
        <v>0.46153846153846151</v>
      </c>
      <c r="AE643" s="104">
        <f>IF(L643="","",IF(L645&gt;0,(SUM(((L643-1)*(1-_xlfn.XLOOKUP(K643,'Fevereiro 2023 - Valor Real'!A3:A15,'Fevereiro 2023 - Valor Real'!C3:C15,0))+1),((L644-1)*(1-_xlfn.XLOOKUP(K644,'Fevereiro 2023 - Valor Real'!A3:A15,'Fevereiro 2023 - Valor Real'!C3:C15,0))+1),((L645-1)*(1-_xlfn.XLOOKUP(K645,'Fevereiro 2023 - Valor Real'!A3:A15,'Fevereiro 2023 - Valor Real'!C3:C15,0))+1))/((L643-1)*(1-_xlfn.XLOOKUP(K643,'Fevereiro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Real'!C3:C15,0))+1))/((L643-1)*(1-_xlfn.XLOOKUP(K643,'Fevereiro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Real'!C3:C15,0))+1))/((L644-1)*(1-_xlfn.XLOOKUP(K644,'Fevereiro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Real'!C3:C15,0))+1))/((L645-1)*(1-_xlfn.XLOOKUP(K645,'Fevereiro 2023 - Valor Real'!A3:A15,'Fevereiro 2023 - Valor Real'!C3:C15,0))+1)),IF(I643="Lay",IF(I644="Lay",((L644/(L644-1)-1)*(1-_xlfn.XLOOKUP(K644,'Fevereiro 2023 - Valor Real'!A3:A15,'Fevereiro 2023 - Valor Real'!C3:C15,0))+1)/(((L644/(L644-1)-1)*(1-_xlfn.XLOOKUP(K644,'Fevereiro 2023 - Valor Real'!A3:A15,'Fevereiro 2023 - Valor Real'!C3:C15,0))+1)+((L643/(L643-1)-1)*(1-_xlfn.XLOOKUP(K643,'Fevereiro 2023 - Valor Real'!A3:A15,'Fevereiro 2023 - Valor Real'!C3:C15,0))+1)),((L644-1)*(1-_xlfn.XLOOKUP(K644,'Fevereiro 2023 - Valor Real'!A3:A15,'Fevereiro 2023 - Valor Real'!C3:C15,0))+1)/(((L644-1)*(1-_xlfn.XLOOKUP(K644,'Fevereiro 2023 - Valor Real'!A3:A15,'Fevereiro 2023 - Valor Real'!C3:C15,0))+1)+((L643/(L643-1)-1)*(1-_xlfn.XLOOKUP(K643,'Fevereiro 2023 - Valor Real'!A3:A15,'Fevereiro 2023 - Valor Real'!C3:C15,0))+1))),IF(I644="Lay",(((L644/(L644-1)-1)*(1-_xlfn.XLOOKUP(K644,'Fevereiro 2023 - Valor Real'!A3:A15,'Fevereiro 2023 - Valor Real'!C3:C15,0))+1))/(((L643-1)*(1-_xlfn.XLOOKUP(K643,'Fevereiro 2023 - Valor Real'!A3:A15,'Fevereiro 2023 - Valor Real'!C3:C15,0))+1)+((L644/(L644-1)-1)*(1-_xlfn.XLOOKUP(K644,'Fevereiro 2023 - Valor Real'!A3:A15,'Fevereiro 2023 - Valor Real'!C3:C15,0))+1)),((L644-1)*(1-_xlfn.XLOOKUP(K644,'Fevereiro 2023 - Valor Real'!A3:A15,'Fevereiro 2023 - Valor Real'!C3:C15,0))+1)/(((L644-1)*(1-_xlfn.XLOOKUP(K644,'Fevereiro 2023 - Valor Real'!A3:A15,'Fevereiro 2023 - Valor Real'!C3:C15,0))+1)+((L643-1)*(1-_xlfn.XLOOKUP(K643,'Fevereiro 2023 - Valor Real'!A3:A15,'Fevereiro 2023 - Valor Real'!C3:C15,0))+1))))))</f>
        <v>0.51724137931034486</v>
      </c>
      <c r="AF643" s="105">
        <f t="shared" si="1266"/>
        <v>0</v>
      </c>
      <c r="AG643" s="106">
        <f t="shared" si="1266"/>
        <v>-13.03</v>
      </c>
      <c r="AH643" s="106">
        <f t="shared" si="1266"/>
        <v>0</v>
      </c>
      <c r="AI643" s="106">
        <f t="shared" si="1266"/>
        <v>0</v>
      </c>
      <c r="AJ643" s="106">
        <f t="shared" si="1266"/>
        <v>0</v>
      </c>
      <c r="AK643" s="106">
        <f t="shared" si="1266"/>
        <v>0</v>
      </c>
      <c r="AL643" s="106">
        <f t="shared" si="1266"/>
        <v>0</v>
      </c>
      <c r="AM643" s="106">
        <f t="shared" si="1266"/>
        <v>0</v>
      </c>
      <c r="AN643" s="106">
        <f t="shared" si="1266"/>
        <v>0</v>
      </c>
      <c r="AO643" s="106">
        <f t="shared" si="1266"/>
        <v>0</v>
      </c>
      <c r="AP643" s="106">
        <f t="shared" si="1266"/>
        <v>0</v>
      </c>
      <c r="AQ643" s="106">
        <f t="shared" si="1266"/>
        <v>0</v>
      </c>
      <c r="AR643" s="107">
        <f t="shared" si="1266"/>
        <v>0</v>
      </c>
      <c r="AS643" s="105">
        <f t="shared" ref="AS643:BE643" si="1280">IF(AND($B643=" ",$K643=AS$3),$O643,0)</f>
        <v>0</v>
      </c>
      <c r="AT643" s="106">
        <f t="shared" si="1280"/>
        <v>0</v>
      </c>
      <c r="AU643" s="106">
        <f t="shared" si="1280"/>
        <v>0</v>
      </c>
      <c r="AV643" s="106">
        <f t="shared" si="1280"/>
        <v>0</v>
      </c>
      <c r="AW643" s="106">
        <f t="shared" si="1280"/>
        <v>0</v>
      </c>
      <c r="AX643" s="106">
        <f t="shared" si="1280"/>
        <v>0</v>
      </c>
      <c r="AY643" s="108">
        <f t="shared" si="1280"/>
        <v>0</v>
      </c>
      <c r="AZ643" s="109">
        <f t="shared" si="1280"/>
        <v>0</v>
      </c>
      <c r="BA643" s="109">
        <f t="shared" si="1280"/>
        <v>0</v>
      </c>
      <c r="BB643" s="109">
        <f t="shared" si="1280"/>
        <v>0</v>
      </c>
      <c r="BC643" s="110">
        <f t="shared" si="1280"/>
        <v>0</v>
      </c>
      <c r="BD643" s="106">
        <f t="shared" si="1280"/>
        <v>0</v>
      </c>
      <c r="BE643" s="107">
        <f t="shared" si="1280"/>
        <v>0</v>
      </c>
      <c r="BF643" s="111">
        <f t="shared" si="1268"/>
        <v>0</v>
      </c>
      <c r="BG643" s="106">
        <f t="shared" si="1268"/>
        <v>13.03</v>
      </c>
      <c r="BH643" s="106">
        <f t="shared" si="1268"/>
        <v>0</v>
      </c>
      <c r="BI643" s="106">
        <f t="shared" si="1268"/>
        <v>0</v>
      </c>
      <c r="BJ643" s="106">
        <f t="shared" si="1268"/>
        <v>0</v>
      </c>
      <c r="BK643" s="106">
        <f t="shared" si="1268"/>
        <v>0</v>
      </c>
      <c r="BL643" s="106">
        <f t="shared" si="1268"/>
        <v>0</v>
      </c>
      <c r="BM643" s="108">
        <f t="shared" si="1268"/>
        <v>0</v>
      </c>
      <c r="BN643" s="109">
        <f t="shared" si="1268"/>
        <v>0</v>
      </c>
      <c r="BO643" s="109">
        <f t="shared" si="1268"/>
        <v>0</v>
      </c>
      <c r="BP643" s="109">
        <f t="shared" si="1268"/>
        <v>0</v>
      </c>
      <c r="BQ643" s="110">
        <f t="shared" si="1268"/>
        <v>0</v>
      </c>
      <c r="BR643" s="107">
        <f t="shared" si="1268"/>
        <v>0</v>
      </c>
      <c r="BS643" s="463">
        <f>IF($B643="LOSS",IF(AND($K643=BS$3,$C643="L"),-$O643,0)+IF(AND($K644=BS$3,$C644="L"),-$O644,0)+IF(AND($K645=BS$3,$C645="L"),-$O645,0),IF(OR(AND($K643=BS$3,OR($C643="W",$C643="1/2W")),AND($K644=BS$3,OR($C644="W",$C644="1/2W")),AND($K645=BS$3,OR($C645="W",$C645="1/2W"))),$S643,0))</f>
        <v>0</v>
      </c>
      <c r="BT643" s="462">
        <f>IF($B643="LOSS",IF(AND($K643=BT$3,$C643="L"),-$O643,0)+IF(AND($K644=BT$3,$C644="L"),-$O644,0)+IF(AND($K644=BT$3,$C645="L"),-$O645,0),IF(OR(AND($K644=BT$3,OR($C643="W",$C643="1/2W")),AND($K644=BT$3,OR($C644="W",$C644="1/2W")),AND($K644=BT$3,OR($C645="W",$C645="1/2W"))),$S643,0))</f>
        <v>0</v>
      </c>
      <c r="BU643" s="462">
        <f>IF($B643="LOSS",IF(AND($K643=BU$3,$C643="L"),-$O643,0)+IF(AND($K644=BU$3,$C644="L"),-$O644,0)+IF(AND($K644=BU$3,$C645="L"),-$O645,0),IF(OR(AND($K644=BU$3,OR($C643="W",$C643="1/2W")),AND($K644=BU$3,OR($C644="W",$C644="1/2W")),AND($K644=BU$3,OR($C645="W",$C645="1/2W"))),$S643,0))</f>
        <v>0</v>
      </c>
      <c r="BV643" s="462">
        <f t="shared" ref="BV643:CE643" si="1281">IF($B643="LOSS",IF(AND($K643=BV$3,$C643="L"),-$O643,0)+IF(AND($K644=BV$3,$C644="L"),-$O644,0)+IF(AND($K645=BV$3,$C645="L"),-$O645,0),IF(OR(AND($K643=BV$3,OR($C643="W",$C643="1/2W")),AND($K644=BV$3,OR($C644="W",$C644="1/2W")),AND($K645=BV$3,OR($C645="W",$C645="1/2W"))),$S643,0))</f>
        <v>0</v>
      </c>
      <c r="BW643" s="462">
        <f t="shared" si="1281"/>
        <v>0</v>
      </c>
      <c r="BX643" s="462">
        <f t="shared" si="1281"/>
        <v>0</v>
      </c>
      <c r="BY643" s="462">
        <f t="shared" si="1281"/>
        <v>0</v>
      </c>
      <c r="BZ643" s="460">
        <f t="shared" si="1281"/>
        <v>2.1</v>
      </c>
      <c r="CA643" s="460">
        <f t="shared" si="1281"/>
        <v>0</v>
      </c>
      <c r="CB643" s="460">
        <f t="shared" si="1281"/>
        <v>0</v>
      </c>
      <c r="CC643" s="460">
        <f t="shared" si="1281"/>
        <v>0</v>
      </c>
      <c r="CD643" s="473">
        <f t="shared" si="1281"/>
        <v>0</v>
      </c>
      <c r="CE643" s="479">
        <f t="shared" si="1281"/>
        <v>0</v>
      </c>
      <c r="CF643" s="113">
        <f t="shared" si="1156"/>
        <v>0</v>
      </c>
      <c r="CG643" s="114">
        <f t="shared" si="1157"/>
        <v>0</v>
      </c>
      <c r="CH643" s="114">
        <f t="shared" si="1158"/>
        <v>0</v>
      </c>
      <c r="CI643" s="114">
        <f t="shared" si="1159"/>
        <v>1</v>
      </c>
      <c r="CJ643" s="114">
        <f t="shared" si="1160"/>
        <v>0</v>
      </c>
      <c r="CK643" s="114">
        <f t="shared" si="1161"/>
        <v>0</v>
      </c>
      <c r="CL643" s="114">
        <f t="shared" si="1162"/>
        <v>0</v>
      </c>
      <c r="CM643" s="114">
        <f t="shared" si="1163"/>
        <v>0</v>
      </c>
      <c r="CN643" s="114">
        <f t="shared" si="1164"/>
        <v>0</v>
      </c>
      <c r="CO643" s="114">
        <f t="shared" si="1165"/>
        <v>0</v>
      </c>
      <c r="CP643" s="114">
        <f t="shared" si="1166"/>
        <v>0</v>
      </c>
      <c r="CQ643" s="114">
        <f t="shared" si="1167"/>
        <v>0</v>
      </c>
      <c r="CR643" s="114">
        <f t="shared" si="1168"/>
        <v>0</v>
      </c>
      <c r="CS643" s="114">
        <f t="shared" si="1169"/>
        <v>0</v>
      </c>
      <c r="CT643" s="115">
        <f t="shared" si="1170"/>
        <v>0</v>
      </c>
      <c r="CU643" s="116">
        <f t="shared" si="1171"/>
        <v>0</v>
      </c>
      <c r="CV643" s="116">
        <f t="shared" si="1172"/>
        <v>0</v>
      </c>
      <c r="CW643" s="116">
        <f t="shared" si="1173"/>
        <v>0</v>
      </c>
      <c r="CX643" s="116">
        <f t="shared" si="1174"/>
        <v>0</v>
      </c>
      <c r="CY643" s="116">
        <f t="shared" si="1175"/>
        <v>0</v>
      </c>
      <c r="CZ643" s="116">
        <f t="shared" si="1176"/>
        <v>0</v>
      </c>
      <c r="DA643" s="116">
        <f t="shared" si="1177"/>
        <v>0</v>
      </c>
      <c r="DB643" s="116">
        <f t="shared" si="1178"/>
        <v>0</v>
      </c>
      <c r="DC643" s="116">
        <f t="shared" si="1179"/>
        <v>0</v>
      </c>
      <c r="DD643" s="116">
        <f t="shared" si="1180"/>
        <v>0</v>
      </c>
      <c r="DE643" s="117">
        <f t="shared" si="1181"/>
        <v>0</v>
      </c>
      <c r="DF643" s="118">
        <f t="shared" si="1183"/>
        <v>37</v>
      </c>
      <c r="DG643" s="106">
        <f t="shared" si="1184"/>
        <v>48.627999999999993</v>
      </c>
      <c r="DH643" s="116">
        <f t="shared" si="1185"/>
        <v>14</v>
      </c>
      <c r="DI643" s="106">
        <f t="shared" si="1186"/>
        <v>60.05</v>
      </c>
      <c r="DJ643" s="201" t="str">
        <f>IF($D643="","",$D643)</f>
        <v>21</v>
      </c>
      <c r="DK643" s="465">
        <f>IF(AND($B643=" ",$D643&lt;&gt;""),1,0)</f>
        <v>0</v>
      </c>
    </row>
    <row r="644" spans="1:115" ht="14.5" customHeight="1" x14ac:dyDescent="0.2">
      <c r="A644" s="389"/>
      <c r="B644" s="456"/>
      <c r="C644" s="120" t="s">
        <v>54</v>
      </c>
      <c r="D644" s="374"/>
      <c r="E644" s="386"/>
      <c r="F644" s="377"/>
      <c r="G644" s="483"/>
      <c r="H644" s="476"/>
      <c r="I644" s="121" t="s">
        <v>66</v>
      </c>
      <c r="J644" s="122">
        <f>IF(OR(I643="TO",I643="TU",I643="TO1",I643="TU1",I643="TO2",I643="TU2"),J643,IF(OR(I643="AH1",I643="AH2"),IF(OR(I644="AH1",I644="AH2"),-J643,IF(OR(I644="EH1",I644="EH2"),-J643+0.5,"")),IF(OR(I643="EH1",I643="EH2"),IF(OR(I644="AH1",I644="AH2"),-J643+0.5,IF(OR(I644="EH1",I644="EH2"),-J643+1,"")),IF(AND(OR(I643="DNB1",I643="DNB2"),OR(I644="AH1",I644="AH2")),0,IF(AND(I643="Not ScoreBoth",OR(I644="TO1",I644="TO2")),0.5,"")))))</f>
        <v>0</v>
      </c>
      <c r="K644" s="123" t="s">
        <v>43</v>
      </c>
      <c r="L644" s="124">
        <v>2.25</v>
      </c>
      <c r="M644" s="125">
        <v>12.1</v>
      </c>
      <c r="N644" s="406"/>
      <c r="O644" s="126">
        <f>IF(OR(AE643="",AE644=""),"",ROUND(IF(L645&gt;0,IF(M644&gt;0,M644,IF(M643&gt;0,IF(N643=TRUE,ROUND((M643*AE644)/AE643,0),(M643*AE644)/AE643),IF(M644&gt;0,ROUND(M644,IF(N643=0,2,IF(N643=0.1,1,0))),IF(M645&gt;0,ROUND(O645*AE644/AE645,IF(N643=0,2,IF(N643=0.1,1,0))),0)))),IF(M644&gt;0,M644,ROUND((M643*AE644)/AE643,IF(N643=0,2,IF(N643=0.1,1,0))))),2))</f>
        <v>12.1</v>
      </c>
      <c r="P644" s="127">
        <f>IF(OR(L644="",O644=""),"",IF($C644="1/2W",O644/2+O644/2*L644,IF($C644="1/2L",O644/2,IF(I644="Lay",((O644*(L644/(L644-1)))-O644)*(1-_xlfn.XLOOKUP(K644,'Fevereiro 2023 - Valor Real'!A3:A15,'Fevereiro 2023 - Valor Real'!C3:C15,0))+O644,(O644*L644-O644)*(1-_xlfn.XLOOKUP(K644,'Fevereiro 2023 - Valor Real'!A3:A15,'Fevereiro 2023 - Valor Real'!C3:C15,0))+O644))))</f>
        <v>27.224999999999998</v>
      </c>
      <c r="Q644" s="128">
        <f>IF(K644="","",IF(_xlfn.XLOOKUP(K644,K$4:K643,$DJ$4:DJ643,0,,-1)=DJ644,_xlfn.XLOOKUP(K644,K$4:K643,Q$4:Q643,1,,-1)+1,1))</f>
        <v>4</v>
      </c>
      <c r="R644" s="129">
        <f>IF(K644="","",_xlfn.XLOOKUP(K644,K$4:K643,R$4:R643,0,,-1)+IF($C644=" ",1,0))</f>
        <v>0</v>
      </c>
      <c r="S644" s="403"/>
      <c r="T644" s="380"/>
      <c r="U644" s="380"/>
      <c r="V644" s="481"/>
      <c r="W644" s="380"/>
      <c r="X644" s="452"/>
      <c r="Y644" s="383"/>
      <c r="Z644" s="384"/>
      <c r="AA644" s="384"/>
      <c r="AB644" s="384"/>
      <c r="AC644" s="384"/>
      <c r="AD644" s="130">
        <f>(((L644/(L644-1)-1)*(1-_xlfn.XLOOKUP(K644,'Fevereiro 2023 - Valor Real'!A3:A15,'Fevereiro 2023 - Valor Real'!C3:C15,0))+1))</f>
        <v>1.8</v>
      </c>
      <c r="AE644" s="131">
        <f>IF(L644="","",IF(L645&gt;0,(SUM(((L643-1)*(1-_xlfn.XLOOKUP(K643,'Fevereiro 2023 - Valor Real'!A3:A15,'Fevereiro 2023 - Valor Real'!C3:C15,0))+1),((L644-1)*(1-_xlfn.XLOOKUP(K644,'Fevereiro 2023 - Valor Real'!A3:A15,'Fevereiro 2023 - Valor Real'!C3:C15,0))+1),((L645-1)*(1-_xlfn.XLOOKUP(K645,'Fevereiro 2023 - Valor Real'!A3:A15,'Fevereiro 2023 - Valor Real'!C3:C15,0))+1))/((L644-1)*(1-_xlfn.XLOOKUP(K644,'Fevereiro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Real'!C3:C15,0))+1))/((L643-1)*(1-_xlfn.XLOOKUP(K643,'Fevereiro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Real'!C3:C15,0))+1))/((L644-1)*(1-_xlfn.XLOOKUP(K644,'Fevereiro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Real'!C3:C15,0))+1))/((L645-1)*(1-_xlfn.XLOOKUP(K645,'Fevereiro 2023 - Valor Real'!A3:A15,'Fevereiro 2023 - Valor Real'!C3:C15,0))+1)),IF(I644="Lay",IF(I643="Lay",((L643/(L643-1)-1)*(1-_xlfn.XLOOKUP(K643,'Fevereiro 2023 - Valor Real'!A3:A15,'Fevereiro 2023 - Valor Real'!C3:C15,0))+1)/(((L643/(L643-1)-1)*(1-_xlfn.XLOOKUP(K643,'Fevereiro 2023 - Valor Real'!A3:A15,'Fevereiro 2023 - Valor Real'!C3:C15,0))+1)+((L644/(L644-1)-1)*(1-_xlfn.XLOOKUP(K644,'Fevereiro 2023 - Valor Real'!A3:A15,'Fevereiro 2023 - Valor Real'!C3:C15,0))+1)),((L643-1)*(1-_xlfn.XLOOKUP(K643,'Fevereiro 2023 - Valor Real'!A3:A15,'Fevereiro 2023 - Valor Real'!C3:C15,0))+1)/(((L643-1)*(1-_xlfn.XLOOKUP(K643,'Fevereiro 2023 - Valor Real'!A3:A15,'Fevereiro 2023 - Valor Real'!C3:C15,0))+1)+((L644/(L644-1)-1)*(1-_xlfn.XLOOKUP(K644,'Fevereiro 2023 - Valor Real'!A3:A15,'Fevereiro 2023 - Valor Real'!C3:C15,0))+1))),IF(I643="Lay",((L643/(L643-1)-1)*(1-_xlfn.XLOOKUP(K643,'Fevereiro 2023 - Valor Real'!A3:A15,'Fevereiro 2023 - Valor Real'!C3:C15,0))+1)/((((L643/(L643-1)-1)*(1-_xlfn.XLOOKUP(K643,'Fevereiro 2023 - Valor Real'!A3:A15,'Fevereiro 2023 - Valor Real'!C3:C15,0))+1))+((L644-1)*(1-_xlfn.XLOOKUP(K644,'Fevereiro 2023 - Valor Real'!A3:A15,'Fevereiro 2023 - Valor Real'!C3:C15,0))+1)),((L643-1)*(1-_xlfn.XLOOKUP(K643,'Fevereiro 2023 - Valor Real'!A3:A15,'Fevereiro 2023 - Valor Real'!C3:C15,0))+1)/(((L643-1)*(1-_xlfn.XLOOKUP(K643,'Fevereiro 2023 - Valor Real'!A3:A15,'Fevereiro 2023 - Valor Real'!C3:C15,0))+1)+((L644-1)*(1-_xlfn.XLOOKUP(K644,'Fevereiro 2023 - Valor Real'!A3:A15,'Fevereiro 2023 - Valor Real'!C3:C15,0))+1))))))</f>
        <v>0.48275862068965525</v>
      </c>
      <c r="AF644" s="105">
        <f t="shared" ref="AF644:AR653" si="1282">IF($K644=AF$3,ROUND(IF(OR($C644="W",$C644="1/2W",$C644="1/2L"),$P644-$O644,IF($C644="X",0,-$O644)),2),0)</f>
        <v>0</v>
      </c>
      <c r="AG644" s="106">
        <f t="shared" si="1282"/>
        <v>0</v>
      </c>
      <c r="AH644" s="106">
        <f t="shared" si="1282"/>
        <v>0</v>
      </c>
      <c r="AI644" s="106">
        <f t="shared" si="1282"/>
        <v>0</v>
      </c>
      <c r="AJ644" s="106">
        <f t="shared" si="1282"/>
        <v>0</v>
      </c>
      <c r="AK644" s="106">
        <f t="shared" si="1282"/>
        <v>0</v>
      </c>
      <c r="AL644" s="106">
        <f t="shared" si="1282"/>
        <v>0</v>
      </c>
      <c r="AM644" s="106">
        <f t="shared" si="1282"/>
        <v>15.13</v>
      </c>
      <c r="AN644" s="106">
        <f t="shared" si="1282"/>
        <v>0</v>
      </c>
      <c r="AO644" s="106">
        <f t="shared" si="1282"/>
        <v>0</v>
      </c>
      <c r="AP644" s="106">
        <f t="shared" si="1282"/>
        <v>0</v>
      </c>
      <c r="AQ644" s="106">
        <f t="shared" si="1282"/>
        <v>0</v>
      </c>
      <c r="AR644" s="107">
        <f t="shared" si="1282"/>
        <v>0</v>
      </c>
      <c r="AS644" s="105">
        <f>IF(AND($B643=" ",$K644=AS$3),$O644,0)</f>
        <v>0</v>
      </c>
      <c r="AT644" s="106">
        <f>IF(AND($B643=" ",K644=AT$3),$O644,0)</f>
        <v>0</v>
      </c>
      <c r="AU644" s="106">
        <f t="shared" ref="AU644:BE644" si="1283">IF(AND($B643=" ",$K644=AU$3),$O644,0)</f>
        <v>0</v>
      </c>
      <c r="AV644" s="106">
        <f t="shared" si="1283"/>
        <v>0</v>
      </c>
      <c r="AW644" s="106">
        <f t="shared" si="1283"/>
        <v>0</v>
      </c>
      <c r="AX644" s="106">
        <f t="shared" si="1283"/>
        <v>0</v>
      </c>
      <c r="AY644" s="108">
        <f t="shared" si="1283"/>
        <v>0</v>
      </c>
      <c r="AZ644" s="109">
        <f t="shared" si="1283"/>
        <v>0</v>
      </c>
      <c r="BA644" s="109">
        <f t="shared" si="1283"/>
        <v>0</v>
      </c>
      <c r="BB644" s="109">
        <f t="shared" si="1283"/>
        <v>0</v>
      </c>
      <c r="BC644" s="110">
        <f t="shared" si="1283"/>
        <v>0</v>
      </c>
      <c r="BD644" s="106">
        <f t="shared" si="1283"/>
        <v>0</v>
      </c>
      <c r="BE644" s="107">
        <f t="shared" si="1283"/>
        <v>0</v>
      </c>
      <c r="BF644" s="105">
        <f t="shared" ref="BF644:BR653" si="1284">IF($K644=BF$3,IF($C644="X",0,$O644),0)</f>
        <v>0</v>
      </c>
      <c r="BG644" s="106">
        <f t="shared" si="1284"/>
        <v>0</v>
      </c>
      <c r="BH644" s="106">
        <f t="shared" si="1284"/>
        <v>0</v>
      </c>
      <c r="BI644" s="106">
        <f t="shared" si="1284"/>
        <v>0</v>
      </c>
      <c r="BJ644" s="106">
        <f t="shared" si="1284"/>
        <v>0</v>
      </c>
      <c r="BK644" s="106">
        <f t="shared" si="1284"/>
        <v>0</v>
      </c>
      <c r="BL644" s="106">
        <f t="shared" si="1284"/>
        <v>0</v>
      </c>
      <c r="BM644" s="132">
        <f t="shared" si="1284"/>
        <v>12.1</v>
      </c>
      <c r="BN644" s="112">
        <f t="shared" si="1284"/>
        <v>0</v>
      </c>
      <c r="BO644" s="112">
        <f t="shared" si="1284"/>
        <v>0</v>
      </c>
      <c r="BP644" s="112">
        <f t="shared" si="1284"/>
        <v>0</v>
      </c>
      <c r="BQ644" s="110">
        <f t="shared" si="1284"/>
        <v>0</v>
      </c>
      <c r="BR644" s="107">
        <f t="shared" si="1284"/>
        <v>0</v>
      </c>
      <c r="BS644" s="464"/>
      <c r="BT644" s="461"/>
      <c r="BU644" s="392"/>
      <c r="BV644" s="461"/>
      <c r="BW644" s="392"/>
      <c r="BX644" s="392"/>
      <c r="BY644" s="392"/>
      <c r="BZ644" s="461"/>
      <c r="CA644" s="392"/>
      <c r="CB644" s="392"/>
      <c r="CC644" s="392"/>
      <c r="CD644" s="401"/>
      <c r="CE644" s="409"/>
      <c r="CF644" s="133">
        <f t="shared" ref="CF644:CF707" si="1285">IF(CF$3=$K644,IF($C644="W",1,IF($C644="1/2W",0.5,0)),0)</f>
        <v>0</v>
      </c>
      <c r="CG644" s="134">
        <f t="shared" ref="CG644:CG707" si="1286">IF(CF$3=$K644,IF($C644="L",1,IF($C644="1/2L",0.5,0)),0)</f>
        <v>0</v>
      </c>
      <c r="CH644" s="134">
        <f t="shared" ref="CH644:CH707" si="1287">IF(CH$3=$K644,IF($C644="W",1,IF($C644="1/2W",0.5,0)),0)</f>
        <v>0</v>
      </c>
      <c r="CI644" s="134">
        <f t="shared" ref="CI644:CI707" si="1288">IF(CH$3=$K644,IF($C644="L",1,IF($C644="1/2L",0.5,0)),0)</f>
        <v>0</v>
      </c>
      <c r="CJ644" s="134">
        <f t="shared" ref="CJ644:CJ707" si="1289">IF(CJ$3=$K644,IF($C644="W",1,IF($C644="1/2W",0.5,0)),0)</f>
        <v>0</v>
      </c>
      <c r="CK644" s="134">
        <f t="shared" ref="CK644:CK707" si="1290">IF(CJ$3=$K644,IF($C644="L",1,IF($C644="1/2L",0.5,0)),0)</f>
        <v>0</v>
      </c>
      <c r="CL644" s="134">
        <f t="shared" ref="CL644:CL707" si="1291">IF(CL$3=$K644,IF($C644="W",1,IF($C644="1/2W",0.5,0)),0)</f>
        <v>0</v>
      </c>
      <c r="CM644" s="134">
        <f t="shared" ref="CM644:CM707" si="1292">IF(CL$3=$K644,IF($C644="L",1,IF($C644="1/2L",0.5,0)),0)</f>
        <v>0</v>
      </c>
      <c r="CN644" s="134">
        <f t="shared" ref="CN644:CN707" si="1293">IF(CN$3=$K644,IF($C644="W",1,IF($C644="1/2W",0.5,0)),0)</f>
        <v>0</v>
      </c>
      <c r="CO644" s="134">
        <f t="shared" ref="CO644:CO707" si="1294">IF(CN$3=$K644,IF($C644="L",1,IF($C644="1/2L",0.5,0)),0)</f>
        <v>0</v>
      </c>
      <c r="CP644" s="134">
        <f t="shared" ref="CP644:CP707" si="1295">IF(CP$3=$K644,IF($C644="W",1,IF($C644="1/2W",0.5,0)),0)</f>
        <v>0</v>
      </c>
      <c r="CQ644" s="134">
        <f t="shared" ref="CQ644:CQ707" si="1296">IF(CP$3=$K644,IF($C644="L",1,IF($C644="1/2L",0.5,0)),0)</f>
        <v>0</v>
      </c>
      <c r="CR644" s="134">
        <f t="shared" ref="CR644:CR707" si="1297">IF(CR$3=$K644,IF($C644="W",1,IF($C644="1/2W",0.5,0)),0)</f>
        <v>0</v>
      </c>
      <c r="CS644" s="134">
        <f t="shared" ref="CS644:CS707" si="1298">IF(CR$3=$K644,IF($C644="L",1,IF($C644="1/2L",0.5,0)),0)</f>
        <v>0</v>
      </c>
      <c r="CT644" s="115">
        <f t="shared" ref="CT644:CT707" si="1299">IF(CT$3=$K644,IF($C644="W",1,IF($C644="1/2W",0.5,0)),0)</f>
        <v>1</v>
      </c>
      <c r="CU644" s="116">
        <f t="shared" ref="CU644:CU707" si="1300">IF(CT$3=$K644,IF($C644="L",1,IF($C644="1/2L",0.5,0)),0)</f>
        <v>0</v>
      </c>
      <c r="CV644" s="116">
        <f t="shared" ref="CV644:CV707" si="1301">IF(CV$3=$K644,IF($C644="W",1,IF($C644="1/2W",0.5,0)),0)</f>
        <v>0</v>
      </c>
      <c r="CW644" s="116">
        <f t="shared" ref="CW644:CW707" si="1302">IF(CV$3=$K644,IF($C644="L",1,IF($C644="1/2L",0.5,0)),0)</f>
        <v>0</v>
      </c>
      <c r="CX644" s="116">
        <f t="shared" ref="CX644:CX707" si="1303">IF(CX$3=$K644,IF($C644="W",1,IF($C644="1/2W",0.5,0)),0)</f>
        <v>0</v>
      </c>
      <c r="CY644" s="116">
        <f t="shared" ref="CY644:CY707" si="1304">IF(CX$3=$K644,IF($C644="L",1,IF($C644="1/2L",0.5,0)),0)</f>
        <v>0</v>
      </c>
      <c r="CZ644" s="116">
        <f t="shared" ref="CZ644:CZ707" si="1305">IF(CZ$3=$K644,IF($C644="W",1,IF($C644="1/2W",0.5,0)),0)</f>
        <v>0</v>
      </c>
      <c r="DA644" s="116">
        <f t="shared" ref="DA644:DA707" si="1306">IF(CZ$3=$K644,IF($C644="L",1,IF($C644="1/2L",0.5,0)),0)</f>
        <v>0</v>
      </c>
      <c r="DB644" s="116">
        <f t="shared" ref="DB644:DB707" si="1307">IF(DB$3=$K644,IF($C644="W",1,IF($C644="1/2W",0.5,0)),0)</f>
        <v>0</v>
      </c>
      <c r="DC644" s="116">
        <f t="shared" ref="DC644:DC707" si="1308">IF(DB$3=$K644,IF($C644="L",1,IF($C644="1/2L",0.5,0)),0)</f>
        <v>0</v>
      </c>
      <c r="DD644" s="116">
        <f t="shared" ref="DD644:DD707" si="1309">IF(DD$3=$K644,IF($C644="W",1,IF($C644="1/2W",0.5,0)),0)</f>
        <v>0</v>
      </c>
      <c r="DE644" s="117">
        <f t="shared" ref="DE644:DE707" si="1310">IF(DD$3=$K644,IF($C644="L",1,IF($C644="1/2L",0.5,0)),0)</f>
        <v>0</v>
      </c>
      <c r="DF644" s="118">
        <f t="shared" si="1183"/>
        <v>37</v>
      </c>
      <c r="DG644" s="106">
        <f t="shared" si="1184"/>
        <v>48.627999999999993</v>
      </c>
      <c r="DH644" s="116">
        <f t="shared" si="1185"/>
        <v>14</v>
      </c>
      <c r="DI644" s="106">
        <f t="shared" si="1186"/>
        <v>60.05</v>
      </c>
      <c r="DJ644" s="201" t="str">
        <f>IF($D643="","",$D643)</f>
        <v>21</v>
      </c>
      <c r="DK644" s="466"/>
    </row>
    <row r="645" spans="1:115" ht="14.5" customHeight="1" x14ac:dyDescent="0.2">
      <c r="A645" s="390"/>
      <c r="B645" s="457"/>
      <c r="C645" s="135" t="s">
        <v>53</v>
      </c>
      <c r="D645" s="375"/>
      <c r="E645" s="387"/>
      <c r="F645" s="378"/>
      <c r="G645" s="484"/>
      <c r="H645" s="477"/>
      <c r="I645" s="136"/>
      <c r="J645" s="137"/>
      <c r="K645" s="138"/>
      <c r="L645" s="139"/>
      <c r="M645" s="140"/>
      <c r="N645" s="407"/>
      <c r="O645" s="141" t="str">
        <f>IF(OR(AE643="",AE644=""),"",IF(L645&gt;0,ROUND(IF(M645&gt;0,M645,IF(M643&gt;0,ROUND((M643*AE645)/AE643,IF(N643=0,2,IF(N643=0.1,1,0))),IF(M644&gt;0,ROUND((M644*AE645)/AE644,IF(N643=0,2,IF(N643=0.1,1,0))),IF(M645&gt;0,M645,0)))),2),""))</f>
        <v/>
      </c>
      <c r="P645" s="142" t="str">
        <f>IF(I644="Lay",O644*(L644/(L644-1))-O644,IF(I643="Lay",O643*(L643/(L643-1))-O643,IF(OR(L645="",O645=""),"",IF($C645="1/2W",O645/2+O645/2*L645,IF($C645="1/2L",O645/2,(O645*L645-O645)*(1-_xlfn.XLOOKUP(K645,'Fevereiro 2023 - Valor Real'!A3:A15,'Fevereiro 2023 - Valor Real'!C3:C15,0))+O645)))))</f>
        <v/>
      </c>
      <c r="Q645" s="143" t="str">
        <f>IF(K645="","",IF(_xlfn.XLOOKUP(K645,K$4:K644,$DJ$4:DJ644,0,,-1)=DJ645,_xlfn.XLOOKUP(K645,K$4:K644,Q$4:Q644,1,,-1)+1,1))</f>
        <v/>
      </c>
      <c r="R645" s="144" t="str">
        <f>IF(K645="","",_xlfn.XLOOKUP(K645,K$4:K644,R$4:R644,0,,-1)+IF($C645=" ",1,0))</f>
        <v/>
      </c>
      <c r="S645" s="404"/>
      <c r="T645" s="378"/>
      <c r="U645" s="378"/>
      <c r="V645" s="404"/>
      <c r="W645" s="378"/>
      <c r="X645" s="453"/>
      <c r="Y645" s="383"/>
      <c r="Z645" s="384"/>
      <c r="AA645" s="384"/>
      <c r="AB645" s="384"/>
      <c r="AC645" s="384"/>
      <c r="AD645" s="145">
        <f>((L644/(L644-1)-1))</f>
        <v>0.8</v>
      </c>
      <c r="AE645" s="146" t="str">
        <f>IF(L645="","",(SUM(((L643-1)*(1-_xlfn.XLOOKUP(K643,'Fevereiro 2023 - Valor Real'!A3:A15,'Fevereiro 2023 - Valor Real'!C3:C15,0))+1),((L644-1)*(1-_xlfn.XLOOKUP(K644,'Fevereiro 2023 - Valor Real'!A3:A15,'Fevereiro 2023 - Valor Real'!C3:C15,0))+1),((L645-1)*(1-_xlfn.XLOOKUP(K645,'Fevereiro 2023 - Valor Real'!A3:A15,'Fevereiro 2023 - Valor Real'!C3:C15,0))+1))/((L645-1)*(1-_xlfn.XLOOKUP(K645,'Fevereiro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Real'!C3:C15,0))+1))/((L643-1)*(1-_xlfn.XLOOKUP(K643,'Fevereiro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Real'!C3:C15,0))+1))/((L644-1)*(1-_xlfn.XLOOKUP(K644,'Fevereiro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Real'!C3:C15,0))+1))/((L645-1)*(1-_xlfn.XLOOKUP(K645,'Fevereiro 2023 - Valor Real'!A3:A15,'Fevereiro 2023 - Valor Real'!C3:C15,0))+1)))</f>
        <v/>
      </c>
      <c r="AF645" s="105">
        <f t="shared" si="1282"/>
        <v>0</v>
      </c>
      <c r="AG645" s="106">
        <f t="shared" si="1282"/>
        <v>0</v>
      </c>
      <c r="AH645" s="106">
        <f t="shared" si="1282"/>
        <v>0</v>
      </c>
      <c r="AI645" s="106">
        <f t="shared" si="1282"/>
        <v>0</v>
      </c>
      <c r="AJ645" s="106">
        <f t="shared" si="1282"/>
        <v>0</v>
      </c>
      <c r="AK645" s="106">
        <f t="shared" si="1282"/>
        <v>0</v>
      </c>
      <c r="AL645" s="106">
        <f t="shared" si="1282"/>
        <v>0</v>
      </c>
      <c r="AM645" s="106">
        <f t="shared" si="1282"/>
        <v>0</v>
      </c>
      <c r="AN645" s="106">
        <f t="shared" si="1282"/>
        <v>0</v>
      </c>
      <c r="AO645" s="106">
        <f t="shared" si="1282"/>
        <v>0</v>
      </c>
      <c r="AP645" s="106">
        <f t="shared" si="1282"/>
        <v>0</v>
      </c>
      <c r="AQ645" s="106">
        <f t="shared" si="1282"/>
        <v>0</v>
      </c>
      <c r="AR645" s="107">
        <f t="shared" si="1282"/>
        <v>0</v>
      </c>
      <c r="AS645" s="105">
        <f>IF(AND($B643=" ",$K645=AS$3),$O645,0)</f>
        <v>0</v>
      </c>
      <c r="AT645" s="106">
        <f>IF(AND($B643=" ",K645=AT$3),$O645,0)</f>
        <v>0</v>
      </c>
      <c r="AU645" s="106">
        <f t="shared" ref="AU645:BE645" si="1311">IF(AND($B643=" ",$K645=AU$3),$O645,0)</f>
        <v>0</v>
      </c>
      <c r="AV645" s="106">
        <f t="shared" si="1311"/>
        <v>0</v>
      </c>
      <c r="AW645" s="106">
        <f t="shared" si="1311"/>
        <v>0</v>
      </c>
      <c r="AX645" s="106">
        <f t="shared" si="1311"/>
        <v>0</v>
      </c>
      <c r="AY645" s="108">
        <f t="shared" si="1311"/>
        <v>0</v>
      </c>
      <c r="AZ645" s="109">
        <f t="shared" si="1311"/>
        <v>0</v>
      </c>
      <c r="BA645" s="109">
        <f t="shared" si="1311"/>
        <v>0</v>
      </c>
      <c r="BB645" s="109">
        <f t="shared" si="1311"/>
        <v>0</v>
      </c>
      <c r="BC645" s="110">
        <f t="shared" si="1311"/>
        <v>0</v>
      </c>
      <c r="BD645" s="106">
        <f t="shared" si="1311"/>
        <v>0</v>
      </c>
      <c r="BE645" s="107">
        <f t="shared" si="1311"/>
        <v>0</v>
      </c>
      <c r="BF645" s="105">
        <f t="shared" si="1284"/>
        <v>0</v>
      </c>
      <c r="BG645" s="106">
        <f t="shared" si="1284"/>
        <v>0</v>
      </c>
      <c r="BH645" s="106">
        <f t="shared" si="1284"/>
        <v>0</v>
      </c>
      <c r="BI645" s="106">
        <f t="shared" si="1284"/>
        <v>0</v>
      </c>
      <c r="BJ645" s="106">
        <f t="shared" si="1284"/>
        <v>0</v>
      </c>
      <c r="BK645" s="106">
        <f t="shared" si="1284"/>
        <v>0</v>
      </c>
      <c r="BL645" s="106">
        <f t="shared" si="1284"/>
        <v>0</v>
      </c>
      <c r="BM645" s="108">
        <f t="shared" si="1284"/>
        <v>0</v>
      </c>
      <c r="BN645" s="109">
        <f t="shared" si="1284"/>
        <v>0</v>
      </c>
      <c r="BO645" s="109">
        <f t="shared" si="1284"/>
        <v>0</v>
      </c>
      <c r="BP645" s="109">
        <f t="shared" si="1284"/>
        <v>0</v>
      </c>
      <c r="BQ645" s="110">
        <f t="shared" si="1284"/>
        <v>0</v>
      </c>
      <c r="BR645" s="107">
        <f t="shared" si="1284"/>
        <v>0</v>
      </c>
      <c r="BS645" s="464"/>
      <c r="BT645" s="461"/>
      <c r="BU645" s="392"/>
      <c r="BV645" s="461"/>
      <c r="BW645" s="392"/>
      <c r="BX645" s="392"/>
      <c r="BY645" s="392"/>
      <c r="BZ645" s="461"/>
      <c r="CA645" s="392"/>
      <c r="CB645" s="392"/>
      <c r="CC645" s="392"/>
      <c r="CD645" s="401"/>
      <c r="CE645" s="409"/>
      <c r="CF645" s="133">
        <f t="shared" si="1285"/>
        <v>0</v>
      </c>
      <c r="CG645" s="134">
        <f t="shared" si="1286"/>
        <v>0</v>
      </c>
      <c r="CH645" s="134">
        <f t="shared" si="1287"/>
        <v>0</v>
      </c>
      <c r="CI645" s="134">
        <f t="shared" si="1288"/>
        <v>0</v>
      </c>
      <c r="CJ645" s="134">
        <f t="shared" si="1289"/>
        <v>0</v>
      </c>
      <c r="CK645" s="134">
        <f t="shared" si="1290"/>
        <v>0</v>
      </c>
      <c r="CL645" s="134">
        <f t="shared" si="1291"/>
        <v>0</v>
      </c>
      <c r="CM645" s="134">
        <f t="shared" si="1292"/>
        <v>0</v>
      </c>
      <c r="CN645" s="134">
        <f t="shared" si="1293"/>
        <v>0</v>
      </c>
      <c r="CO645" s="134">
        <f t="shared" si="1294"/>
        <v>0</v>
      </c>
      <c r="CP645" s="134">
        <f t="shared" si="1295"/>
        <v>0</v>
      </c>
      <c r="CQ645" s="134">
        <f t="shared" si="1296"/>
        <v>0</v>
      </c>
      <c r="CR645" s="134">
        <f t="shared" si="1297"/>
        <v>0</v>
      </c>
      <c r="CS645" s="134">
        <f t="shared" si="1298"/>
        <v>0</v>
      </c>
      <c r="CT645" s="115">
        <f t="shared" si="1299"/>
        <v>0</v>
      </c>
      <c r="CU645" s="116">
        <f t="shared" si="1300"/>
        <v>0</v>
      </c>
      <c r="CV645" s="116">
        <f t="shared" si="1301"/>
        <v>0</v>
      </c>
      <c r="CW645" s="116">
        <f t="shared" si="1302"/>
        <v>0</v>
      </c>
      <c r="CX645" s="116">
        <f t="shared" si="1303"/>
        <v>0</v>
      </c>
      <c r="CY645" s="116">
        <f t="shared" si="1304"/>
        <v>0</v>
      </c>
      <c r="CZ645" s="116">
        <f t="shared" si="1305"/>
        <v>0</v>
      </c>
      <c r="DA645" s="116">
        <f t="shared" si="1306"/>
        <v>0</v>
      </c>
      <c r="DB645" s="116">
        <f t="shared" si="1307"/>
        <v>0</v>
      </c>
      <c r="DC645" s="116">
        <f t="shared" si="1308"/>
        <v>0</v>
      </c>
      <c r="DD645" s="116">
        <f t="shared" si="1309"/>
        <v>0</v>
      </c>
      <c r="DE645" s="117">
        <f t="shared" si="1310"/>
        <v>0</v>
      </c>
      <c r="DF645" s="118">
        <f t="shared" ref="DF645:DF708" si="1312">IF(AND(L645&lt;DF$3,$C645="W"),1+DF644,DF644)</f>
        <v>37</v>
      </c>
      <c r="DG645" s="106">
        <f t="shared" ref="DG645:DG708" si="1313">IF(DF645&gt;DF644,L645+DG644,DG644)</f>
        <v>48.627999999999993</v>
      </c>
      <c r="DH645" s="116">
        <f t="shared" ref="DH645:DH708" si="1314">IF(AND(L645&gt;DH$3,$C645="W"),1+DH644,0+DH644)</f>
        <v>14</v>
      </c>
      <c r="DI645" s="106">
        <f t="shared" ref="DI645:DI708" si="1315">IF(DH645&gt;DH644,L645+DI644,DI644)</f>
        <v>60.05</v>
      </c>
      <c r="DJ645" s="201" t="str">
        <f>IF($D643="","",$D643)</f>
        <v>21</v>
      </c>
      <c r="DK645" s="466"/>
    </row>
    <row r="646" spans="1:115" ht="14.5" customHeight="1" x14ac:dyDescent="0.2">
      <c r="A646" s="487">
        <f>$A643+1</f>
        <v>215</v>
      </c>
      <c r="B646" s="506" t="str">
        <f>IF(OR(C646="W",C647="W",C648="W",C646="1/2W",C647="1/2W",C648="1/2W",C646="1/2L",C647="1/2L",C648="1/2L"),"OK",IF(OR(C646="L",C647="L",C648="L"),"LOSS",IF(OR(C646="X",C647="X",C648="X"),"Anulado"," ")))</f>
        <v>OK</v>
      </c>
      <c r="C646" s="147" t="s">
        <v>55</v>
      </c>
      <c r="D646" s="494" t="str">
        <f>IF(G646="","",$D643)</f>
        <v>21</v>
      </c>
      <c r="E646" s="511" t="str">
        <f>IF(G646=""," ","– "&amp;COUNTIF(D$4:D648,$D646))</f>
        <v>– 11</v>
      </c>
      <c r="F646" s="510" t="str">
        <f ca="1">IF(G646="","",IF(OR(AND($C646&lt;&gt;" ",$C647=" "),AND($C647&lt;&gt;" ",$C646=" "),AND(L648&gt;0,OR(AND($C648&lt;&gt;" ",OR($C646=" ",$C647=" ")),AND($C648=" ",OR($C646&lt;&gt;" ",$C647&lt;&gt;" "))))),IF(SUM(F$4:F645)=0,1,LARGE(F$4:F645,1)+1),IF(MONTH(G646)=MONTH(TODAY()),IF(AND(DAY(G646)&lt;DAY(TODAY()),$B646=" "),IF(SUM(F$4:F645)=0,1,LARGE(F$4:F645,1)+1),IF($B646=" ",IF(AND(DAY(G646)=DAY(TODAY()),HOUR(G646)&lt;=HOUR(NOW())+1),IF(AND(HOUR(G646)+2&lt;=HOUR(NOW()),DAY(G646)&lt;=DAY(TODAY()),MINUTE(G646)&lt;=MINUTE(NOW())),IF(SUM(F$4:F645)=0,1,LARGE(F$4:F645,1)+1),IF(OR(MINUTE(G646)&lt;=MINUTE(NOW()),HOUR(G646)&lt;=HOUR(NOW())),"!!!","")),""),"")),"")))</f>
        <v/>
      </c>
      <c r="G646" s="508">
        <f>IF(H646="","",_xlfn.XLOOKUP(H646,$H$4:H645,$G$4:G645,""))</f>
        <v>45008.875</v>
      </c>
      <c r="H646" s="502" t="s">
        <v>236</v>
      </c>
      <c r="I646" s="180" t="s">
        <v>102</v>
      </c>
      <c r="J646" s="181">
        <v>-4</v>
      </c>
      <c r="K646" s="150" t="s">
        <v>37</v>
      </c>
      <c r="L646" s="151">
        <v>3</v>
      </c>
      <c r="M646" s="152">
        <v>7.24</v>
      </c>
      <c r="N646" s="503">
        <v>0</v>
      </c>
      <c r="O646" s="153">
        <f>IF(OR(AE646="",AE647=""),"",ROUND(IF(L648&gt;0,IF(M646&gt;0,M646,IF(M647&gt;0,ROUND((M647*AE646)/AE647,IF(N646=0,2,IF(N646=0.1,1,0))),ROUND((M648*AE646)/AE648,IF(N646=0,2,IF(N646=0.1,1,0))))),IF(M646&gt;0,M646,ROUND((M647*AE646)/AE647,IF(N646=0,2,IF(N646=0.1,1,0))))),2))</f>
        <v>7.24</v>
      </c>
      <c r="P646" s="154">
        <f>IF(OR(L646="",O646=""),"",IF($C646="1/2W",O646/2+O646/2*L646,IF($C646="1/2L",O646/2,IF(I646="Lay",(O646*(L646/(L646-1))-O646)*(1-_xlfn.XLOOKUP(K646,'Fevereiro 2023 - Valor Real'!A3:A15,'Fevereiro 2023 - Valor Real'!C3:C15,0))+O646,(O646*L646-O646)*(1-_xlfn.XLOOKUP(K646,'Fevereiro 2023 - Valor Real'!A3:A15,'Fevereiro 2023 - Valor Real'!C3:C15,0))+O646))))</f>
        <v>21.72</v>
      </c>
      <c r="Q646" s="155">
        <f>IF(K646="","",IF(_xlfn.XLOOKUP(K646,K$9:K638,$DJ$9:DJ638,0,,-1)=DJ646,_xlfn.XLOOKUP(K646,K$9:K638,Q$9:Q638,1,,-1)+1,1))</f>
        <v>2</v>
      </c>
      <c r="R646" s="156">
        <f>IF(K646="","",_xlfn.XLOOKUP(K646,K$9:K638,R$9:R638,0,,-1)+IF($C646=" ",1,0))</f>
        <v>0</v>
      </c>
      <c r="S646" s="501">
        <f>IF($B646="Anulado",0,ROUND(IF(OR($B646="LOSS",$B646="OK"),IF(OR($C646="W",$C646="1/2W",$C646="1/2L"),P646-O646,IF($C646="L",-O646,0))+IF(OR($C647="W",$C647="1/2W",$C647="1/2L"),P647-O647,IF($C647="L",-O647,0))+IF(OR($C648="W",$C648="1/2W",$C648="1/2L"),P648-O648,IF($C648="L",-O648,0)),IF(AND(OR($C646="W",$C646="1/2W",$C646="1/2L"),C647="W"),P646+P647-SUM(O646:O648)+_xlfn.XLOOKUP("X",C646:C648,O646:O648,0),IF(AND(C646=TRUE,C648="W"),P646+P648-SUM(O646:O648),IF(AND(C647="W",C648="W"),P647+P648-SUM(O646:O648)+_xlfn.XLOOKUP("X",C646:C648,O646:O648,0),IF(L648&gt;0,IF(OR($C646="W",$C646="1/2W",$C646="1/2L"),P646-SUM(O646:O648)+_xlfn.XLOOKUP("X",C646:C648,O646:O648,0),IF(OR($C646="W",$C646="1/2W",$C646="1/2L"),P647-SUM(O646:O648)+_xlfn.XLOOKUP("X",C646:C648,O646:O648,0),IF(OR($C646="W",$C646="1/2W",$C646="1/2L"),P648-SUM(O646:O648)+_xlfn.XLOOKUP("X",C646:C648,O646:O648,0),IF(SUM(P646:P648)/3-SUM(O646:O648)+_xlfn.XLOOKUP("X",C646:C648,O646:O648,0)&gt;0,SUM(P646:P648)/3-SUM(O646:O648)+_xlfn.XLOOKUP("X",C646:C648,O646:O648,0),LARGE(P646:P648,1)-SUM(O646:O648))))),IF(OR($C646="W",$C646="1/2W",$C646="1/2L"),P646-SUM(O646:O647)+_xlfn.XLOOKUP("X",C646:C648,O646:O648,0),IF(OR($C646="W",$C646="1/2W",$C646="1/2L"),P647-SUM(O646:O647)+_xlfn.XLOOKUP("X",C646:C648,O646:O648,0),SUM(P646:P647)/2-SUM(O646:O647)+_xlfn.XLOOKUP("X",C646:C648,O646:O648,0)))))))),2))</f>
        <v>1.26</v>
      </c>
      <c r="T646" s="486">
        <f>IF(S646=0,0,S646/SUM(O646:O648))</f>
        <v>3.2812500000000001E-2</v>
      </c>
      <c r="U646" s="496">
        <f>IF($D646=$D643,IF(OR($B646="LOSS",$B646="OK",$B646="Anulada"),S646,0)+U643,IF(OR($B646="LOSS",$B646="OK",$B646="Anulada"),S646,0))</f>
        <v>26.92</v>
      </c>
      <c r="V646" s="496">
        <f>IF($D646="",0,IF($D646=$D643,IF($B646=" ",IF(I648="",IF(OR(AND(I646="DNB1",I647="DNB2"),AND(OR(I646="DNB1",I646="DNB2"),J647=0),AND(OR(I647="DNB1",I647="DNB2"),J646=0),AND(I646="DNB2",I647="DNB1"),AND(IF(J646=0,(J646+1)/ROUND(J646+1,0),J646/ROUND(J646,0))=1,IF(J647=0,(J647+1)/ROUND(IF(J647="",0,J647)+1,0),IF(J647="",0,J647)/ROUND(IF(J647="",1,J647),0))=1,OR(J646&lt;&gt;""),J647&lt;&gt;"")),0,IF(S646&lt;0,IF(I648="",SMALL(P646:P647,1)-SUM(O646:O647),0),SMALL(P646:P647,1)-SUM(O646:O647))),IF(S646&lt;0,IF(I648="",SMALL(P646:P648,1)-SUM(O646:O648),0),LARGE(P646:P648,1)-SUM(O646:O648))),S646)+V643,IF(I648="",IF(OR(AND(I646="DNB1",I647="DNB2"),AND(OR(I646="DNB1",I646="DNB2"),J647=0),AND(OR(I647="DNB1",I647="DNB2"),J646=0),AND(I646="DNB2",I647="DNB1"),AND(IF(J646=0,(J646+1)/ROUND(J646+1,0),J646/ROUND(J646,0))=1,IF(J647=0,(IF(J647="",0,J647)+1)/ROUND(IF(J647="",0,J647)+1,0),IF(J647="",0,J647)/ROUND(IF(J647="",0,J647)+1,0))=1,OR(J646&lt;&gt;""),J647&lt;&gt;"")),0,IF(S646&lt;0,IF(I648="",SMALL(P646:P647,1)-SUM(O646:O647),0),SMALL(P646:P648,1)-SUM(O646:O648))),IF(S646&lt;0,IF(I648="",SMALL(P646:P648,1)-SUM(O646:O648),0),LARGE(P646:P648,1)-SUM(O646:O648)))))</f>
        <v>26.917999999999996</v>
      </c>
      <c r="W646" s="496">
        <f>IF($D646=$D643,IF(S646&lt;0,IF(I648="",S646,0),S646)+W643,S646)</f>
        <v>26.92</v>
      </c>
      <c r="X646" s="505" t="str">
        <f>IF(OR(SUM(R646:R648)=0,V646=W646),ROUND(IF(W646=0,0,W646/Y646)*100,2)&amp;"%",ROUND(IF(V646=0,0,V646/Y646)*100,2)&amp;"% a "&amp;ROUND(IF(W646=0,0,W646/Y646)*100,2)&amp;"%")</f>
        <v>7,58%</v>
      </c>
      <c r="Y646" s="497">
        <f>IF($D646=$D643,Y643+SUM(O646:O648),SUM(O646:O648))</f>
        <v>355.01</v>
      </c>
      <c r="Z646" s="496">
        <f>IF($B646=" ",SUM(O646:O648),0)+Z643</f>
        <v>0</v>
      </c>
      <c r="AA646" s="496">
        <f>IF(G646="","",IF($B646="Anulado",LARGE(P646:P648,1)-SUM(O646:O648)+AA643,AA643))</f>
        <v>13.381099999999991</v>
      </c>
      <c r="AB646" s="496">
        <f>IF($D646="","",AB643+S646)</f>
        <v>704.55000000000052</v>
      </c>
      <c r="AC646" s="499">
        <f ca="1">IF($D646="","",IF($B646=" ",IF(DAY(G646)=DAY(TODAY()),1+AC643,0+AC643),0+AC643))</f>
        <v>0</v>
      </c>
      <c r="AD646" s="157">
        <f>(1-_xlfn.XLOOKUP(K644,'Fevereiro 2023 - Valor Real'!A3:A15,'Fevereiro 2023 - Valor Real'!C3:C15,0))+1</f>
        <v>2</v>
      </c>
      <c r="AE646" s="158">
        <f>IF(L646="","",IF(L648&gt;0,(SUM(((L646-1)*(1-_xlfn.XLOOKUP(K646,'Fevereiro 2023 - Valor Real'!A3:A15,'Fevereiro 2023 - Valor Real'!C3:C15,0))+1),((L647-1)*(1-_xlfn.XLOOKUP(K647,'Fevereiro 2023 - Valor Real'!A3:A15,'Fevereiro 2023 - Valor Real'!C3:C15,0))+1),((L648-1)*(1-_xlfn.XLOOKUP(K648,'Fevereiro 2023 - Valor Real'!A3:A15,'Fevereiro 2023 - Valor Real'!C3:C15,0))+1))/((L646-1)*(1-_xlfn.XLOOKUP(K646,'Fevereiro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Real'!C3:C15,0))+1))/((L646-1)*(1-_xlfn.XLOOKUP(K646,'Fevereiro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Real'!C3:C15,0))+1))/((L647-1)*(1-_xlfn.XLOOKUP(K647,'Fevereiro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Real'!C3:C15,0))+1))/((L648-1)*(1-_xlfn.XLOOKUP(K648,'Fevereiro 2023 - Valor Real'!A3:A15,'Fevereiro 2023 - Valor Real'!C3:C15,0))+1)),IF(I646="Lay",IF(I647="Lay",((L647/(L647-1)-1)*(1-_xlfn.XLOOKUP(K647,'Fevereiro 2023 - Valor Real'!A3:A15,'Fevereiro 2023 - Valor Real'!C3:C15,0))+1)/(((L647/(L647-1)-1)*(1-_xlfn.XLOOKUP(K647,'Fevereiro 2023 - Valor Real'!A3:A15,'Fevereiro 2023 - Valor Real'!C3:C15,0))+1)+((L646/(L646-1)-1)*(1-_xlfn.XLOOKUP(K646,'Fevereiro 2023 - Valor Real'!A3:A15,'Fevereiro 2023 - Valor Real'!C3:C15,0))+1)),((L647-1)*(1-_xlfn.XLOOKUP(K647,'Fevereiro 2023 - Valor Real'!A3:A15,'Fevereiro 2023 - Valor Real'!C3:C15,0))+1)/(((L647-1)*(1-_xlfn.XLOOKUP(K647,'Fevereiro 2023 - Valor Real'!A3:A15,'Fevereiro 2023 - Valor Real'!C3:C15,0))+1)+((L646/(L646-1)-1)*(1-_xlfn.XLOOKUP(K646,'Fevereiro 2023 - Valor Real'!A3:A15,'Fevereiro 2023 - Valor Real'!C3:C15,0))+1))),IF(I647="Lay",(((L647/(L647-1)-1)*(1-_xlfn.XLOOKUP(K647,'Fevereiro 2023 - Valor Real'!A3:A15,'Fevereiro 2023 - Valor Real'!C3:C15,0))+1))/(((L646-1)*(1-_xlfn.XLOOKUP(K646,'Fevereiro 2023 - Valor Real'!A3:A15,'Fevereiro 2023 - Valor Real'!C3:C15,0))+1)+((L647/(L647-1)-1)*(1-_xlfn.XLOOKUP(K647,'Fevereiro 2023 - Valor Real'!A3:A15,'Fevereiro 2023 - Valor Real'!C3:C15,0))+1)),((L647-1)*(1-_xlfn.XLOOKUP(K647,'Fevereiro 2023 - Valor Real'!A3:A15,'Fevereiro 2023 - Valor Real'!C3:C15,0))+1)/(((L647-1)*(1-_xlfn.XLOOKUP(K647,'Fevereiro 2023 - Valor Real'!A3:A15,'Fevereiro 2023 - Valor Real'!C3:C15,0))+1)+((L646-1)*(1-_xlfn.XLOOKUP(K646,'Fevereiro 2023 - Valor Real'!A3:A15,'Fevereiro 2023 - Valor Real'!C3:C15,0))+1))))))</f>
        <v>0.23686114941900951</v>
      </c>
      <c r="AF646" s="66">
        <f t="shared" si="1282"/>
        <v>0</v>
      </c>
      <c r="AG646" s="67">
        <f t="shared" si="1282"/>
        <v>-7.24</v>
      </c>
      <c r="AH646" s="67">
        <f t="shared" si="1282"/>
        <v>0</v>
      </c>
      <c r="AI646" s="67">
        <f t="shared" si="1282"/>
        <v>0</v>
      </c>
      <c r="AJ646" s="67">
        <f t="shared" si="1282"/>
        <v>0</v>
      </c>
      <c r="AK646" s="67">
        <f t="shared" si="1282"/>
        <v>0</v>
      </c>
      <c r="AL646" s="67">
        <f t="shared" si="1282"/>
        <v>0</v>
      </c>
      <c r="AM646" s="67">
        <f t="shared" si="1282"/>
        <v>0</v>
      </c>
      <c r="AN646" s="67">
        <f t="shared" si="1282"/>
        <v>0</v>
      </c>
      <c r="AO646" s="67">
        <f t="shared" si="1282"/>
        <v>0</v>
      </c>
      <c r="AP646" s="67">
        <f t="shared" si="1282"/>
        <v>0</v>
      </c>
      <c r="AQ646" s="67">
        <f t="shared" si="1282"/>
        <v>0</v>
      </c>
      <c r="AR646" s="68">
        <f t="shared" si="1282"/>
        <v>0</v>
      </c>
      <c r="AS646" s="66">
        <f t="shared" ref="AS646:BE646" si="1316">IF(AND($B646=" ",$K646=AS$3),$O646,0)</f>
        <v>0</v>
      </c>
      <c r="AT646" s="67">
        <f t="shared" si="1316"/>
        <v>0</v>
      </c>
      <c r="AU646" s="67">
        <f t="shared" si="1316"/>
        <v>0</v>
      </c>
      <c r="AV646" s="67">
        <f t="shared" si="1316"/>
        <v>0</v>
      </c>
      <c r="AW646" s="67">
        <f t="shared" si="1316"/>
        <v>0</v>
      </c>
      <c r="AX646" s="67">
        <f t="shared" si="1316"/>
        <v>0</v>
      </c>
      <c r="AY646" s="69">
        <f t="shared" si="1316"/>
        <v>0</v>
      </c>
      <c r="AZ646" s="70">
        <f t="shared" si="1316"/>
        <v>0</v>
      </c>
      <c r="BA646" s="70">
        <f t="shared" si="1316"/>
        <v>0</v>
      </c>
      <c r="BB646" s="70">
        <f t="shared" si="1316"/>
        <v>0</v>
      </c>
      <c r="BC646" s="71">
        <f t="shared" si="1316"/>
        <v>0</v>
      </c>
      <c r="BD646" s="67">
        <f t="shared" si="1316"/>
        <v>0</v>
      </c>
      <c r="BE646" s="68">
        <f t="shared" si="1316"/>
        <v>0</v>
      </c>
      <c r="BF646" s="66">
        <f t="shared" si="1284"/>
        <v>0</v>
      </c>
      <c r="BG646" s="67">
        <f t="shared" si="1284"/>
        <v>7.24</v>
      </c>
      <c r="BH646" s="67">
        <f t="shared" si="1284"/>
        <v>0</v>
      </c>
      <c r="BI646" s="67">
        <f t="shared" si="1284"/>
        <v>0</v>
      </c>
      <c r="BJ646" s="67">
        <f t="shared" si="1284"/>
        <v>0</v>
      </c>
      <c r="BK646" s="67">
        <f t="shared" si="1284"/>
        <v>0</v>
      </c>
      <c r="BL646" s="67">
        <f t="shared" si="1284"/>
        <v>0</v>
      </c>
      <c r="BM646" s="69">
        <f t="shared" si="1284"/>
        <v>0</v>
      </c>
      <c r="BN646" s="70">
        <f t="shared" si="1284"/>
        <v>0</v>
      </c>
      <c r="BO646" s="70">
        <f t="shared" si="1284"/>
        <v>0</v>
      </c>
      <c r="BP646" s="70">
        <f t="shared" si="1284"/>
        <v>0</v>
      </c>
      <c r="BQ646" s="71">
        <f t="shared" si="1284"/>
        <v>0</v>
      </c>
      <c r="BR646" s="68">
        <f t="shared" si="1284"/>
        <v>0</v>
      </c>
      <c r="BS646" s="490">
        <f>IF($B646="LOSS",IF(AND($K646=BS$3,$C646="L"),-$O646,0)+IF(AND($K647=BS$3,$C647="L"),-$O647,0)+IF(AND($K648=BS$3,$C648="L"),-$O648,0),IF(OR(AND($K646=BS$3,OR($C646="W",$C646="1/2W")),AND($K647=BS$3,OR($C647="W",$C647="1/2W")),AND($K648=BS$3,OR($C648="W",$C648="1/2W"))),$S646,0))</f>
        <v>0</v>
      </c>
      <c r="BT646" s="498">
        <f>IF($B646="LOSS",IF(AND($K646=BT$3,$C646="L"),-$O646,0)+IF(AND($K647=BT$3,$C647="L"),-$O647,0)+IF(AND($K647=BT$3,$C648="L"),-$O648,0),IF(OR(AND($K647=BT$3,OR($C646="W",$C646="1/2W")),AND($K647=BT$3,OR($C647="W",$C647="1/2W")),AND($K647=BT$3,OR($C648="W",$C648="1/2W"))),$S646,0))</f>
        <v>1.26</v>
      </c>
      <c r="BU646" s="488">
        <f>IF($B646="LOSS",IF(AND($K646=BU$3,$C646="L"),-$O646,0)+IF(AND($K647=BU$3,$C647="L"),-$O647,0)+IF(AND($K647=BU$3,$C648="L"),-$O648,0),IF(OR(AND($K647=BU$3,OR($C646="W",$C646="1/2W")),AND($K647=BU$3,OR($C647="W",$C647="1/2W")),AND($K647=BU$3,OR($C648="W",$C648="1/2W"))),$S646,0))</f>
        <v>0</v>
      </c>
      <c r="BV646" s="488">
        <f t="shared" ref="BV646:CE646" si="1317">IF($B646="LOSS",IF(AND($K646=BV$3,$C646="L"),-$O646,0)+IF(AND($K647=BV$3,$C647="L"),-$O647,0)+IF(AND($K648=BV$3,$C648="L"),-$O648,0),IF(OR(AND($K646=BV$3,OR($C646="W",$C646="1/2W")),AND($K647=BV$3,OR($C647="W",$C647="1/2W")),AND($K648=BV$3,OR($C648="W",$C648="1/2W"))),$S646,0))</f>
        <v>0</v>
      </c>
      <c r="BW646" s="488">
        <f t="shared" si="1317"/>
        <v>0</v>
      </c>
      <c r="BX646" s="488">
        <f t="shared" si="1317"/>
        <v>0</v>
      </c>
      <c r="BY646" s="488">
        <f t="shared" si="1317"/>
        <v>0</v>
      </c>
      <c r="BZ646" s="488">
        <f t="shared" si="1317"/>
        <v>0</v>
      </c>
      <c r="CA646" s="488">
        <f t="shared" si="1317"/>
        <v>0</v>
      </c>
      <c r="CB646" s="488">
        <f t="shared" si="1317"/>
        <v>0</v>
      </c>
      <c r="CC646" s="488">
        <f t="shared" si="1317"/>
        <v>0</v>
      </c>
      <c r="CD646" s="500">
        <f t="shared" si="1317"/>
        <v>0</v>
      </c>
      <c r="CE646" s="504">
        <f t="shared" si="1317"/>
        <v>0</v>
      </c>
      <c r="CF646" s="160">
        <f t="shared" si="1285"/>
        <v>0</v>
      </c>
      <c r="CG646" s="161">
        <f t="shared" si="1286"/>
        <v>0</v>
      </c>
      <c r="CH646" s="161">
        <f t="shared" si="1287"/>
        <v>0</v>
      </c>
      <c r="CI646" s="161">
        <f t="shared" si="1288"/>
        <v>1</v>
      </c>
      <c r="CJ646" s="161">
        <f t="shared" si="1289"/>
        <v>0</v>
      </c>
      <c r="CK646" s="161">
        <f t="shared" si="1290"/>
        <v>0</v>
      </c>
      <c r="CL646" s="161">
        <f t="shared" si="1291"/>
        <v>0</v>
      </c>
      <c r="CM646" s="161">
        <f t="shared" si="1292"/>
        <v>0</v>
      </c>
      <c r="CN646" s="161">
        <f t="shared" si="1293"/>
        <v>0</v>
      </c>
      <c r="CO646" s="161">
        <f t="shared" si="1294"/>
        <v>0</v>
      </c>
      <c r="CP646" s="161">
        <f t="shared" si="1295"/>
        <v>0</v>
      </c>
      <c r="CQ646" s="161">
        <f t="shared" si="1296"/>
        <v>0</v>
      </c>
      <c r="CR646" s="161">
        <f t="shared" si="1297"/>
        <v>0</v>
      </c>
      <c r="CS646" s="161">
        <f t="shared" si="1298"/>
        <v>0</v>
      </c>
      <c r="CT646" s="75">
        <f t="shared" si="1299"/>
        <v>0</v>
      </c>
      <c r="CU646" s="76">
        <f t="shared" si="1300"/>
        <v>0</v>
      </c>
      <c r="CV646" s="76">
        <f t="shared" si="1301"/>
        <v>0</v>
      </c>
      <c r="CW646" s="76">
        <f t="shared" si="1302"/>
        <v>0</v>
      </c>
      <c r="CX646" s="76">
        <f t="shared" si="1303"/>
        <v>0</v>
      </c>
      <c r="CY646" s="76">
        <f t="shared" si="1304"/>
        <v>0</v>
      </c>
      <c r="CZ646" s="76">
        <f t="shared" si="1305"/>
        <v>0</v>
      </c>
      <c r="DA646" s="76">
        <f t="shared" si="1306"/>
        <v>0</v>
      </c>
      <c r="DB646" s="76">
        <f t="shared" si="1307"/>
        <v>0</v>
      </c>
      <c r="DC646" s="76">
        <f t="shared" si="1308"/>
        <v>0</v>
      </c>
      <c r="DD646" s="76">
        <f t="shared" si="1309"/>
        <v>0</v>
      </c>
      <c r="DE646" s="77">
        <f t="shared" si="1310"/>
        <v>0</v>
      </c>
      <c r="DF646" s="73">
        <f t="shared" si="1312"/>
        <v>37</v>
      </c>
      <c r="DG646" s="67">
        <f t="shared" si="1313"/>
        <v>48.627999999999993</v>
      </c>
      <c r="DH646" s="76">
        <f t="shared" si="1314"/>
        <v>14</v>
      </c>
      <c r="DI646" s="67">
        <f t="shared" si="1315"/>
        <v>60.05</v>
      </c>
      <c r="DJ646" s="202" t="str">
        <f>IF($D646="","",$D646)</f>
        <v>21</v>
      </c>
      <c r="DK646" s="492">
        <f>IF(AND($B646=" ",$D646&lt;&gt;""),1,0)</f>
        <v>0</v>
      </c>
    </row>
    <row r="647" spans="1:115" ht="14.5" customHeight="1" x14ac:dyDescent="0.2">
      <c r="A647" s="389"/>
      <c r="B647" s="456"/>
      <c r="C647" s="53" t="s">
        <v>54</v>
      </c>
      <c r="D647" s="374"/>
      <c r="E647" s="386"/>
      <c r="F647" s="377"/>
      <c r="G647" s="508"/>
      <c r="H647" s="476"/>
      <c r="I647" s="182" t="s">
        <v>102</v>
      </c>
      <c r="J647" s="56">
        <v>-3</v>
      </c>
      <c r="K647" s="57" t="s">
        <v>37</v>
      </c>
      <c r="L647" s="164">
        <v>1.9</v>
      </c>
      <c r="M647" s="165">
        <v>9.44</v>
      </c>
      <c r="N647" s="406"/>
      <c r="O647" s="60">
        <f>IF(OR(AE646="",AE647=""),"",ROUND(IF(L648&gt;0,IF(M647&gt;0,M647,IF(M646&gt;0,IF(N646=TRUE,ROUND((M646*AE647)/AE646,0),(M646*AE647)/AE646),IF(M647&gt;0,ROUND(M647,IF(N646=0,2,IF(N646=0.1,1,0))),IF(M648&gt;0,ROUND(O648*AE647/AE648,IF(N646=0,2,IF(N646=0.1,1,0))),0)))),IF(M647&gt;0,M647,ROUND((M646*AE647)/AE646,IF(N646=0,2,IF(N646=0.1,1,0))))),2))</f>
        <v>9.44</v>
      </c>
      <c r="P647" s="61">
        <f>IF(OR(L647="",O647=""),"",IF($C647="1/2W",O647/2+O647/2*L647,IF($C647="1/2L",O647/2,IF(I647="Lay",((O647*(L647/(L647-1)))-O647)*(1-_xlfn.XLOOKUP(K647,'Fevereiro 2023 - Valor Real'!A3:A15,'Fevereiro 2023 - Valor Real'!C3:C15,0))+O647,(O647*L647-O647)*(1-_xlfn.XLOOKUP(K647,'Fevereiro 2023 - Valor Real'!A3:A15,'Fevereiro 2023 - Valor Real'!C3:C15,0))+O647))))</f>
        <v>17.936</v>
      </c>
      <c r="Q647" s="166">
        <f>IF(K647="","",IF(_xlfn.XLOOKUP(K647,K$10:K638,$DJ$10:DJ638,0,,-1)=DJ647,_xlfn.XLOOKUP(K647,K$10:K638,Q$10:Q638,1,,-1)+1,1))</f>
        <v>2</v>
      </c>
      <c r="R647" s="167">
        <f>IF(K647="","",_xlfn.XLOOKUP(K647,K$10:K638,R$10:R638,0,,-1)+IF($C647=" ",1,0))</f>
        <v>0</v>
      </c>
      <c r="S647" s="403"/>
      <c r="T647" s="380"/>
      <c r="U647" s="380"/>
      <c r="V647" s="481"/>
      <c r="W647" s="380"/>
      <c r="X647" s="452"/>
      <c r="Y647" s="383"/>
      <c r="Z647" s="384"/>
      <c r="AA647" s="384"/>
      <c r="AB647" s="384"/>
      <c r="AC647" s="384"/>
      <c r="AD647" s="64"/>
      <c r="AE647" s="65">
        <f>IF(L647="","",IF(L648&gt;0,(SUM(((L646-1)*(1-_xlfn.XLOOKUP(K646,'Fevereiro 2023 - Valor Real'!A3:A15,'Fevereiro 2023 - Valor Real'!C3:C15,0))+1),((L647-1)*(1-_xlfn.XLOOKUP(K647,'Fevereiro 2023 - Valor Real'!A3:A15,'Fevereiro 2023 - Valor Real'!C3:C15,0))+1),((L648-1)*(1-_xlfn.XLOOKUP(K648,'Fevereiro 2023 - Valor Real'!A3:A15,'Fevereiro 2023 - Valor Real'!C3:C15,0))+1))/((L647-1)*(1-_xlfn.XLOOKUP(K647,'Fevereiro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Real'!C3:C15,0))+1))/((L646-1)*(1-_xlfn.XLOOKUP(K646,'Fevereiro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Real'!C3:C15,0))+1))/((L647-1)*(1-_xlfn.XLOOKUP(K647,'Fevereiro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Real'!C3:C15,0))+1))/((L648-1)*(1-_xlfn.XLOOKUP(K648,'Fevereiro 2023 - Valor Real'!A3:A15,'Fevereiro 2023 - Valor Real'!C3:C15,0))+1)),IF(I647="Lay",IF(I646="Lay",((L646/(L646-1)-1)*(1-_xlfn.XLOOKUP(K646,'Fevereiro 2023 - Valor Real'!A3:A15,'Fevereiro 2023 - Valor Real'!C3:C15,0))+1)/(((L646/(L646-1)-1)*(1-_xlfn.XLOOKUP(K646,'Fevereiro 2023 - Valor Real'!A3:A15,'Fevereiro 2023 - Valor Real'!C3:C15,0))+1)+((L647/(L647-1)-1)*(1-_xlfn.XLOOKUP(K647,'Fevereiro 2023 - Valor Real'!A3:A15,'Fevereiro 2023 - Valor Real'!C3:C15,0))+1)),((L646-1)*(1-_xlfn.XLOOKUP(K646,'Fevereiro 2023 - Valor Real'!A3:A15,'Fevereiro 2023 - Valor Real'!C3:C15,0))+1)/(((L646-1)*(1-_xlfn.XLOOKUP(K646,'Fevereiro 2023 - Valor Real'!A3:A15,'Fevereiro 2023 - Valor Real'!C3:C15,0))+1)+((L647/(L647-1)-1)*(1-_xlfn.XLOOKUP(K647,'Fevereiro 2023 - Valor Real'!A3:A15,'Fevereiro 2023 - Valor Real'!C3:C15,0))+1))),IF(I646="Lay",((L646/(L646-1)-1)*(1-_xlfn.XLOOKUP(K646,'Fevereiro 2023 - Valor Real'!A3:A15,'Fevereiro 2023 - Valor Real'!C3:C15,0))+1)/((((L646/(L646-1)-1)*(1-_xlfn.XLOOKUP(K646,'Fevereiro 2023 - Valor Real'!A3:A15,'Fevereiro 2023 - Valor Real'!C3:C15,0))+1))+((L647-1)*(1-_xlfn.XLOOKUP(K647,'Fevereiro 2023 - Valor Real'!A3:A15,'Fevereiro 2023 - Valor Real'!C3:C15,0))+1)),((L646-1)*(1-_xlfn.XLOOKUP(K646,'Fevereiro 2023 - Valor Real'!A3:A15,'Fevereiro 2023 - Valor Real'!C3:C15,0))+1)/(((L646-1)*(1-_xlfn.XLOOKUP(K646,'Fevereiro 2023 - Valor Real'!A3:A15,'Fevereiro 2023 - Valor Real'!C3:C15,0))+1)+((L647-1)*(1-_xlfn.XLOOKUP(K647,'Fevereiro 2023 - Valor Real'!A3:A15,'Fevereiro 2023 - Valor Real'!C3:C15,0))+1))))))</f>
        <v>0.37399128855633079</v>
      </c>
      <c r="AF647" s="66">
        <f t="shared" si="1282"/>
        <v>0</v>
      </c>
      <c r="AG647" s="67">
        <f t="shared" si="1282"/>
        <v>8.5</v>
      </c>
      <c r="AH647" s="67">
        <f t="shared" si="1282"/>
        <v>0</v>
      </c>
      <c r="AI647" s="67">
        <f t="shared" si="1282"/>
        <v>0</v>
      </c>
      <c r="AJ647" s="67">
        <f t="shared" si="1282"/>
        <v>0</v>
      </c>
      <c r="AK647" s="67">
        <f t="shared" si="1282"/>
        <v>0</v>
      </c>
      <c r="AL647" s="67">
        <f t="shared" si="1282"/>
        <v>0</v>
      </c>
      <c r="AM647" s="67">
        <f t="shared" si="1282"/>
        <v>0</v>
      </c>
      <c r="AN647" s="67">
        <f t="shared" si="1282"/>
        <v>0</v>
      </c>
      <c r="AO647" s="67">
        <f t="shared" si="1282"/>
        <v>0</v>
      </c>
      <c r="AP647" s="67">
        <f t="shared" si="1282"/>
        <v>0</v>
      </c>
      <c r="AQ647" s="67">
        <f t="shared" si="1282"/>
        <v>0</v>
      </c>
      <c r="AR647" s="68">
        <f t="shared" si="1282"/>
        <v>0</v>
      </c>
      <c r="AS647" s="66">
        <f>IF(AND($B646=" ",$K647=AS$3),$O647,0)</f>
        <v>0</v>
      </c>
      <c r="AT647" s="67">
        <f>IF(AND($B646=" ",K647=AT$3),$O647,0)</f>
        <v>0</v>
      </c>
      <c r="AU647" s="67">
        <f t="shared" ref="AU647:BE647" si="1318">IF(AND($B646=" ",$K647=AU$3),$O647,0)</f>
        <v>0</v>
      </c>
      <c r="AV647" s="67">
        <f t="shared" si="1318"/>
        <v>0</v>
      </c>
      <c r="AW647" s="67">
        <f t="shared" si="1318"/>
        <v>0</v>
      </c>
      <c r="AX647" s="67">
        <f t="shared" si="1318"/>
        <v>0</v>
      </c>
      <c r="AY647" s="69">
        <f t="shared" si="1318"/>
        <v>0</v>
      </c>
      <c r="AZ647" s="70">
        <f t="shared" si="1318"/>
        <v>0</v>
      </c>
      <c r="BA647" s="70">
        <f t="shared" si="1318"/>
        <v>0</v>
      </c>
      <c r="BB647" s="70">
        <f t="shared" si="1318"/>
        <v>0</v>
      </c>
      <c r="BC647" s="71">
        <f t="shared" si="1318"/>
        <v>0</v>
      </c>
      <c r="BD647" s="67">
        <f t="shared" si="1318"/>
        <v>0</v>
      </c>
      <c r="BE647" s="68">
        <f t="shared" si="1318"/>
        <v>0</v>
      </c>
      <c r="BF647" s="66">
        <f t="shared" si="1284"/>
        <v>0</v>
      </c>
      <c r="BG647" s="168">
        <f t="shared" si="1284"/>
        <v>9.44</v>
      </c>
      <c r="BH647" s="67">
        <f t="shared" si="1284"/>
        <v>0</v>
      </c>
      <c r="BI647" s="67">
        <f t="shared" si="1284"/>
        <v>0</v>
      </c>
      <c r="BJ647" s="67">
        <f t="shared" si="1284"/>
        <v>0</v>
      </c>
      <c r="BK647" s="67">
        <f t="shared" si="1284"/>
        <v>0</v>
      </c>
      <c r="BL647" s="67">
        <f t="shared" si="1284"/>
        <v>0</v>
      </c>
      <c r="BM647" s="69">
        <f t="shared" si="1284"/>
        <v>0</v>
      </c>
      <c r="BN647" s="70">
        <f t="shared" si="1284"/>
        <v>0</v>
      </c>
      <c r="BO647" s="70">
        <f t="shared" si="1284"/>
        <v>0</v>
      </c>
      <c r="BP647" s="70">
        <f t="shared" si="1284"/>
        <v>0</v>
      </c>
      <c r="BQ647" s="71">
        <f t="shared" si="1284"/>
        <v>0</v>
      </c>
      <c r="BR647" s="68">
        <f t="shared" si="1284"/>
        <v>0</v>
      </c>
      <c r="BS647" s="491"/>
      <c r="BT647" s="489"/>
      <c r="BU647" s="392"/>
      <c r="BV647" s="489"/>
      <c r="BW647" s="392"/>
      <c r="BX647" s="392"/>
      <c r="BY647" s="392"/>
      <c r="BZ647" s="489"/>
      <c r="CA647" s="392"/>
      <c r="CB647" s="392"/>
      <c r="CC647" s="392"/>
      <c r="CD647" s="401"/>
      <c r="CE647" s="409"/>
      <c r="CF647" s="169">
        <f t="shared" si="1285"/>
        <v>0</v>
      </c>
      <c r="CG647" s="170">
        <f t="shared" si="1286"/>
        <v>0</v>
      </c>
      <c r="CH647" s="170">
        <f t="shared" si="1287"/>
        <v>1</v>
      </c>
      <c r="CI647" s="170">
        <f t="shared" si="1288"/>
        <v>0</v>
      </c>
      <c r="CJ647" s="170">
        <f t="shared" si="1289"/>
        <v>0</v>
      </c>
      <c r="CK647" s="170">
        <f t="shared" si="1290"/>
        <v>0</v>
      </c>
      <c r="CL647" s="170">
        <f t="shared" si="1291"/>
        <v>0</v>
      </c>
      <c r="CM647" s="170">
        <f t="shared" si="1292"/>
        <v>0</v>
      </c>
      <c r="CN647" s="170">
        <f t="shared" si="1293"/>
        <v>0</v>
      </c>
      <c r="CO647" s="170">
        <f t="shared" si="1294"/>
        <v>0</v>
      </c>
      <c r="CP647" s="170">
        <f t="shared" si="1295"/>
        <v>0</v>
      </c>
      <c r="CQ647" s="170">
        <f t="shared" si="1296"/>
        <v>0</v>
      </c>
      <c r="CR647" s="170">
        <f t="shared" si="1297"/>
        <v>0</v>
      </c>
      <c r="CS647" s="170">
        <f t="shared" si="1298"/>
        <v>0</v>
      </c>
      <c r="CT647" s="75">
        <f t="shared" si="1299"/>
        <v>0</v>
      </c>
      <c r="CU647" s="76">
        <f t="shared" si="1300"/>
        <v>0</v>
      </c>
      <c r="CV647" s="76">
        <f t="shared" si="1301"/>
        <v>0</v>
      </c>
      <c r="CW647" s="76">
        <f t="shared" si="1302"/>
        <v>0</v>
      </c>
      <c r="CX647" s="76">
        <f t="shared" si="1303"/>
        <v>0</v>
      </c>
      <c r="CY647" s="76">
        <f t="shared" si="1304"/>
        <v>0</v>
      </c>
      <c r="CZ647" s="76">
        <f t="shared" si="1305"/>
        <v>0</v>
      </c>
      <c r="DA647" s="76">
        <f t="shared" si="1306"/>
        <v>0</v>
      </c>
      <c r="DB647" s="76">
        <f t="shared" si="1307"/>
        <v>0</v>
      </c>
      <c r="DC647" s="76">
        <f t="shared" si="1308"/>
        <v>0</v>
      </c>
      <c r="DD647" s="76">
        <f t="shared" si="1309"/>
        <v>0</v>
      </c>
      <c r="DE647" s="77">
        <f t="shared" si="1310"/>
        <v>0</v>
      </c>
      <c r="DF647" s="73">
        <f t="shared" si="1312"/>
        <v>37</v>
      </c>
      <c r="DG647" s="67">
        <f t="shared" si="1313"/>
        <v>48.627999999999993</v>
      </c>
      <c r="DH647" s="76">
        <f t="shared" si="1314"/>
        <v>14</v>
      </c>
      <c r="DI647" s="67">
        <f t="shared" si="1315"/>
        <v>60.05</v>
      </c>
      <c r="DJ647" s="202" t="str">
        <f>IF($D646="","",$D646)</f>
        <v>21</v>
      </c>
      <c r="DK647" s="493"/>
    </row>
    <row r="648" spans="1:115" ht="14.5" customHeight="1" x14ac:dyDescent="0.2">
      <c r="A648" s="390"/>
      <c r="B648" s="457"/>
      <c r="C648" s="79" t="s">
        <v>49</v>
      </c>
      <c r="D648" s="375"/>
      <c r="E648" s="387"/>
      <c r="F648" s="378"/>
      <c r="G648" s="508"/>
      <c r="H648" s="477"/>
      <c r="I648" s="183" t="s">
        <v>76</v>
      </c>
      <c r="J648" s="184">
        <v>4</v>
      </c>
      <c r="K648" s="185" t="s">
        <v>43</v>
      </c>
      <c r="L648" s="186">
        <v>1.8260000000000001</v>
      </c>
      <c r="M648" s="174">
        <v>21.72</v>
      </c>
      <c r="N648" s="407"/>
      <c r="O648" s="187">
        <f>IF(OR(AE646="",AE647=""),"",IF(L648&gt;0,ROUND(IF(M648&gt;0,M648,IF(M646&gt;0,ROUND((M646*AE648)/AE646,IF(N646=0,2,IF(N646=0.1,1,0))),IF(M647&gt;0,ROUND((M647*AE648)/AE647,IF(N646=0,2,IF(N646=0.1,1,0))),IF(M648&gt;0,M648,0)))),2),""))</f>
        <v>21.72</v>
      </c>
      <c r="P648" s="188">
        <f>IF(I647="Lay",O647*(L647/(L647-1))-O647,IF(I646="Lay",O646*(L646/(L646-1))-O646,IF(OR(L648="",O648=""),"",IF($C648="1/2W",O648/2+O648/2*L648,IF($C648="1/2L",O648/2,(O648*L648-O648)*(1-_xlfn.XLOOKUP(K648,'Fevereiro 2023 - Valor Real'!A3:A15,'Fevereiro 2023 - Valor Real'!C3:C15,0))+O648)))))</f>
        <v>39.660719999999998</v>
      </c>
      <c r="Q648" s="166">
        <f>IF(K648="","",IF(_xlfn.XLOOKUP(K648,K$11:K638,$DJ$11:DJ638,0,,-1)=DJ648,_xlfn.XLOOKUP(K648,K$11:K638,Q$11:Q638,1,,-1)+1,1))</f>
        <v>4</v>
      </c>
      <c r="R648" s="189">
        <f>IF(K648="","",_xlfn.XLOOKUP(K648,K$11:K638,R$11:R638,0,,-1)+IF($C648=" ",1,0))</f>
        <v>0</v>
      </c>
      <c r="S648" s="404"/>
      <c r="T648" s="378"/>
      <c r="U648" s="378"/>
      <c r="V648" s="404"/>
      <c r="W648" s="378"/>
      <c r="X648" s="453"/>
      <c r="Y648" s="383"/>
      <c r="Z648" s="384"/>
      <c r="AA648" s="384"/>
      <c r="AB648" s="384"/>
      <c r="AC648" s="384"/>
      <c r="AD648" s="90"/>
      <c r="AE648" s="190">
        <f>IF(L648="","",(SUM(((L646-1)*(1-_xlfn.XLOOKUP(K646,'Fevereiro 2023 - Valor Real'!A3:A15,'Fevereiro 2023 - Valor Real'!C3:C15,0))+1),((L647-1)*(1-_xlfn.XLOOKUP(K647,'Fevereiro 2023 - Valor Real'!A3:A15,'Fevereiro 2023 - Valor Real'!C3:C15,0))+1),((L648-1)*(1-_xlfn.XLOOKUP(K648,'Fevereiro 2023 - Valor Real'!A3:A15,'Fevereiro 2023 - Valor Real'!C3:C15,0))+1))/((L648-1)*(1-_xlfn.XLOOKUP(K648,'Fevereiro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Real'!C3:C15,0))+1))/((L646-1)*(1-_xlfn.XLOOKUP(K646,'Fevereiro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Real'!C3:C15,0))+1))/((L647-1)*(1-_xlfn.XLOOKUP(K647,'Fevereiro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Real'!C3:C15,0))+1))/((L648-1)*(1-_xlfn.XLOOKUP(K648,'Fevereiro 2023 - Valor Real'!A3:A15,'Fevereiro 2023 - Valor Real'!C3:C15,0))+1)))</f>
        <v>0.38914756202465961</v>
      </c>
      <c r="AF648" s="66">
        <f t="shared" si="1282"/>
        <v>0</v>
      </c>
      <c r="AG648" s="67">
        <f t="shared" si="1282"/>
        <v>0</v>
      </c>
      <c r="AH648" s="67">
        <f t="shared" si="1282"/>
        <v>0</v>
      </c>
      <c r="AI648" s="67">
        <f t="shared" si="1282"/>
        <v>0</v>
      </c>
      <c r="AJ648" s="67">
        <f t="shared" si="1282"/>
        <v>0</v>
      </c>
      <c r="AK648" s="67">
        <f t="shared" si="1282"/>
        <v>0</v>
      </c>
      <c r="AL648" s="67">
        <f t="shared" si="1282"/>
        <v>0</v>
      </c>
      <c r="AM648" s="67">
        <f t="shared" si="1282"/>
        <v>0</v>
      </c>
      <c r="AN648" s="67">
        <f t="shared" si="1282"/>
        <v>0</v>
      </c>
      <c r="AO648" s="67">
        <f t="shared" si="1282"/>
        <v>0</v>
      </c>
      <c r="AP648" s="67">
        <f t="shared" si="1282"/>
        <v>0</v>
      </c>
      <c r="AQ648" s="67">
        <f t="shared" si="1282"/>
        <v>0</v>
      </c>
      <c r="AR648" s="68">
        <f t="shared" si="1282"/>
        <v>0</v>
      </c>
      <c r="AS648" s="66">
        <f>IF(AND($B646=" ",$K648=AS$3),$O648,0)</f>
        <v>0</v>
      </c>
      <c r="AT648" s="67">
        <f>IF(AND($B646=" ",K648=AT$3),$O648,0)</f>
        <v>0</v>
      </c>
      <c r="AU648" s="67">
        <f t="shared" ref="AU648:BE648" si="1319">IF(AND($B646=" ",$K648=AU$3),$O648,0)</f>
        <v>0</v>
      </c>
      <c r="AV648" s="67">
        <f t="shared" si="1319"/>
        <v>0</v>
      </c>
      <c r="AW648" s="67">
        <f t="shared" si="1319"/>
        <v>0</v>
      </c>
      <c r="AX648" s="67">
        <f t="shared" si="1319"/>
        <v>0</v>
      </c>
      <c r="AY648" s="69">
        <f t="shared" si="1319"/>
        <v>0</v>
      </c>
      <c r="AZ648" s="70">
        <f t="shared" si="1319"/>
        <v>0</v>
      </c>
      <c r="BA648" s="70">
        <f t="shared" si="1319"/>
        <v>0</v>
      </c>
      <c r="BB648" s="70">
        <f t="shared" si="1319"/>
        <v>0</v>
      </c>
      <c r="BC648" s="71">
        <f t="shared" si="1319"/>
        <v>0</v>
      </c>
      <c r="BD648" s="67">
        <f t="shared" si="1319"/>
        <v>0</v>
      </c>
      <c r="BE648" s="68">
        <f t="shared" si="1319"/>
        <v>0</v>
      </c>
      <c r="BF648" s="66">
        <f t="shared" si="1284"/>
        <v>0</v>
      </c>
      <c r="BG648" s="168">
        <f t="shared" si="1284"/>
        <v>0</v>
      </c>
      <c r="BH648" s="67">
        <f t="shared" si="1284"/>
        <v>0</v>
      </c>
      <c r="BI648" s="67">
        <f t="shared" si="1284"/>
        <v>0</v>
      </c>
      <c r="BJ648" s="67">
        <f t="shared" si="1284"/>
        <v>0</v>
      </c>
      <c r="BK648" s="67">
        <f t="shared" si="1284"/>
        <v>0</v>
      </c>
      <c r="BL648" s="67">
        <f t="shared" si="1284"/>
        <v>0</v>
      </c>
      <c r="BM648" s="69">
        <f t="shared" si="1284"/>
        <v>0</v>
      </c>
      <c r="BN648" s="70">
        <f t="shared" si="1284"/>
        <v>0</v>
      </c>
      <c r="BO648" s="70">
        <f t="shared" si="1284"/>
        <v>0</v>
      </c>
      <c r="BP648" s="70">
        <f t="shared" si="1284"/>
        <v>0</v>
      </c>
      <c r="BQ648" s="71">
        <f t="shared" si="1284"/>
        <v>0</v>
      </c>
      <c r="BR648" s="68">
        <f t="shared" si="1284"/>
        <v>0</v>
      </c>
      <c r="BS648" s="491"/>
      <c r="BT648" s="489"/>
      <c r="BU648" s="392"/>
      <c r="BV648" s="489"/>
      <c r="BW648" s="392"/>
      <c r="BX648" s="392"/>
      <c r="BY648" s="392"/>
      <c r="BZ648" s="489"/>
      <c r="CA648" s="392"/>
      <c r="CB648" s="392"/>
      <c r="CC648" s="392"/>
      <c r="CD648" s="401"/>
      <c r="CE648" s="409"/>
      <c r="CF648" s="169">
        <f t="shared" si="1285"/>
        <v>0</v>
      </c>
      <c r="CG648" s="170">
        <f t="shared" si="1286"/>
        <v>0</v>
      </c>
      <c r="CH648" s="170">
        <f t="shared" si="1287"/>
        <v>0</v>
      </c>
      <c r="CI648" s="170">
        <f t="shared" si="1288"/>
        <v>0</v>
      </c>
      <c r="CJ648" s="170">
        <f t="shared" si="1289"/>
        <v>0</v>
      </c>
      <c r="CK648" s="170">
        <f t="shared" si="1290"/>
        <v>0</v>
      </c>
      <c r="CL648" s="170">
        <f t="shared" si="1291"/>
        <v>0</v>
      </c>
      <c r="CM648" s="170">
        <f t="shared" si="1292"/>
        <v>0</v>
      </c>
      <c r="CN648" s="170">
        <f t="shared" si="1293"/>
        <v>0</v>
      </c>
      <c r="CO648" s="170">
        <f t="shared" si="1294"/>
        <v>0</v>
      </c>
      <c r="CP648" s="170">
        <f t="shared" si="1295"/>
        <v>0</v>
      </c>
      <c r="CQ648" s="170">
        <f t="shared" si="1296"/>
        <v>0</v>
      </c>
      <c r="CR648" s="170">
        <f t="shared" si="1297"/>
        <v>0</v>
      </c>
      <c r="CS648" s="170">
        <f t="shared" si="1298"/>
        <v>0</v>
      </c>
      <c r="CT648" s="75">
        <f t="shared" si="1299"/>
        <v>0</v>
      </c>
      <c r="CU648" s="76">
        <f t="shared" si="1300"/>
        <v>0</v>
      </c>
      <c r="CV648" s="76">
        <f t="shared" si="1301"/>
        <v>0</v>
      </c>
      <c r="CW648" s="76">
        <f t="shared" si="1302"/>
        <v>0</v>
      </c>
      <c r="CX648" s="76">
        <f t="shared" si="1303"/>
        <v>0</v>
      </c>
      <c r="CY648" s="76">
        <f t="shared" si="1304"/>
        <v>0</v>
      </c>
      <c r="CZ648" s="76">
        <f t="shared" si="1305"/>
        <v>0</v>
      </c>
      <c r="DA648" s="76">
        <f t="shared" si="1306"/>
        <v>0</v>
      </c>
      <c r="DB648" s="76">
        <f t="shared" si="1307"/>
        <v>0</v>
      </c>
      <c r="DC648" s="76">
        <f t="shared" si="1308"/>
        <v>0</v>
      </c>
      <c r="DD648" s="76">
        <f t="shared" si="1309"/>
        <v>0</v>
      </c>
      <c r="DE648" s="77">
        <f t="shared" si="1310"/>
        <v>0</v>
      </c>
      <c r="DF648" s="73">
        <f t="shared" si="1312"/>
        <v>37</v>
      </c>
      <c r="DG648" s="67">
        <f t="shared" si="1313"/>
        <v>48.627999999999993</v>
      </c>
      <c r="DH648" s="76">
        <f t="shared" si="1314"/>
        <v>14</v>
      </c>
      <c r="DI648" s="67">
        <f t="shared" si="1315"/>
        <v>60.05</v>
      </c>
      <c r="DJ648" s="202" t="str">
        <f>IF($D646="","",$D646)</f>
        <v>21</v>
      </c>
      <c r="DK648" s="493"/>
    </row>
    <row r="649" spans="1:115" ht="14.5" customHeight="1" x14ac:dyDescent="0.2">
      <c r="A649" s="459">
        <f>$A646+1</f>
        <v>216</v>
      </c>
      <c r="B649" s="507" t="str">
        <f>IF(OR(C649="W",C650="W",C651="W",C649="1/2W",C650="1/2W",C651="1/2W",C649="1/2L",C650="1/2L",C651="1/2L"),"OK",IF(OR(C649="L",C650="L",C651="L"),"LOSS",IF(OR(C649="X",C650="X",C651="X"),"Anulado"," ")))</f>
        <v>OK</v>
      </c>
      <c r="C649" s="93" t="s">
        <v>55</v>
      </c>
      <c r="D649" s="468" t="str">
        <f>IF(G649="","",$D646)</f>
        <v>21</v>
      </c>
      <c r="E649" s="485" t="str">
        <f>IF(G649=""," ","– "&amp;COUNTIF(D$4:D651,$D649))</f>
        <v>– 12</v>
      </c>
      <c r="F649" s="509" t="str">
        <f ca="1">IF(G649="","",IF(OR(AND($C649&lt;&gt;" ",$C650=" "),AND($C650&lt;&gt;" ",$C649=" "),AND(L651&gt;0,OR(AND($C651&lt;&gt;" ",OR($C649=" ",$C650=" ")),AND($C651=" ",OR($C649&lt;&gt;" ",$C650&lt;&gt;" "))))),IF(SUM(F$4:F648)=0,1,LARGE(F$4:F648,1)+1),IF(MONTH(G649)=MONTH(TODAY()),IF(AND(DAY(G649)&lt;DAY(TODAY()),$B649=" "),IF(SUM(F$4:F648)=0,1,LARGE(F$4:F648,1)+1),IF($B649=" ",IF(AND(DAY(G649)=DAY(TODAY()),HOUR(G649)&lt;=HOUR(NOW())+1),IF(AND(HOUR(G649)+2&lt;=HOUR(NOW()),DAY(G649)&lt;=DAY(TODAY()),MINUTE(G649)&lt;=MINUTE(NOW())),IF(SUM(F$4:F648)=0,1,LARGE(F$4:F648,1)+1),IF(OR(MINUTE(G649)&lt;=MINUTE(NOW()),HOUR(G649)&lt;=HOUR(NOW())),"!!!","")),""),"")),"")))</f>
        <v/>
      </c>
      <c r="G649" s="482">
        <v>45006.458333333336</v>
      </c>
      <c r="H649" s="475" t="s">
        <v>238</v>
      </c>
      <c r="I649" s="175">
        <v>2</v>
      </c>
      <c r="J649" s="176"/>
      <c r="K649" s="96" t="s">
        <v>40</v>
      </c>
      <c r="L649" s="97">
        <v>2.4900000000000002</v>
      </c>
      <c r="M649" s="98">
        <v>15.1</v>
      </c>
      <c r="N649" s="478">
        <v>0</v>
      </c>
      <c r="O649" s="99">
        <f>IF(OR(AE649="",AE650=""),"",ROUND(IF(L651&gt;0,IF(M649&gt;0,M649,IF(M650&gt;0,ROUND((M650*AE649)/AE650,IF(N649=0,2,IF(N649=0.1,1,0))),ROUND((M651*AE649)/AE651,IF(N649=0,2,IF(N649=0.1,1,0))))),IF(M649&gt;0,M649,ROUND((M650*AE649)/AE650,IF(N649=0,2,IF(N649=0.1,1,0))))),2))</f>
        <v>15.1</v>
      </c>
      <c r="P649" s="100">
        <f>IF(OR(L649="",O649=""),"",IF($C649="1/2W",O649/2+O649/2*L649,IF($C649="1/2L",O649/2,IF(I649="Lay",(O649*(L649/(L649-1))-O649)*(1-_xlfn.XLOOKUP(K649,'Fevereiro 2023 - Valor Real'!A3:A15,'Fevereiro 2023 - Valor Real'!C3:C15,0))+O649,(O649*L649-O649)*(1-_xlfn.XLOOKUP(K649,'Fevereiro 2023 - Valor Real'!A3:A15,'Fevereiro 2023 - Valor Real'!C3:C15,0))+O649))))</f>
        <v>37.599000000000004</v>
      </c>
      <c r="Q649" s="101">
        <f>IF(K649="","",IF(_xlfn.XLOOKUP(K649,K$4:K648,$DJ$4:DJ648,0,,-1)=DJ649,_xlfn.XLOOKUP(K649,K$4:K648,Q$4:Q648,1,,-1)+1,1))</f>
        <v>5</v>
      </c>
      <c r="R649" s="102">
        <f>IF(K649="","",_xlfn.XLOOKUP(K649,K$4:K648,R$4:R648,0,,-1)+IF($C649=" ",1,0))</f>
        <v>0</v>
      </c>
      <c r="S649" s="474">
        <f>IF($B649="Anulado",0,ROUND(IF(OR($B649="LOSS",$B649="OK"),IF(OR($C649="W",$C649="1/2W",$C649="1/2L"),P649-O649,IF($C649="L",-O649,0))+IF(OR($C650="W",$C650="1/2W",$C650="1/2L"),P650-O650,IF($C650="L",-O650,0))+IF(OR($C651="W",$C651="1/2W",$C651="1/2L"),P651-O651,IF($C651="L",-O651,0)),IF(AND(OR($C649="W",$C649="1/2W",$C649="1/2L"),C650="W"),P649+P650-SUM(O649:O651)+_xlfn.XLOOKUP("X",C649:C651,O649:O651,0),IF(AND(C649=TRUE,C651="W"),P649+P651-SUM(O649:O651),IF(AND(C650="W",C651="W"),P650+P651-SUM(O649:O651)+_xlfn.XLOOKUP("X",C649:C651,O649:O651,0),IF(L651&gt;0,IF(OR($C649="W",$C649="1/2W",$C649="1/2L"),P649-SUM(O649:O651)+_xlfn.XLOOKUP("X",C649:C651,O649:O651,0),IF(OR($C649="W",$C649="1/2W",$C649="1/2L"),P650-SUM(O649:O651)+_xlfn.XLOOKUP("X",C649:C651,O649:O651,0),IF(OR($C649="W",$C649="1/2W",$C649="1/2L"),P651-SUM(O649:O651)+_xlfn.XLOOKUP("X",C649:C651,O649:O651,0),IF(SUM(P649:P651)/3-SUM(O649:O651)+_xlfn.XLOOKUP("X",C649:C651,O649:O651,0)&gt;0,SUM(P649:P651)/3-SUM(O649:O651)+_xlfn.XLOOKUP("X",C649:C651,O649:O651,0),LARGE(P649:P651,1)-SUM(O649:O651))))),IF(OR($C649="W",$C649="1/2W",$C649="1/2L"),P649-SUM(O649:O650)+_xlfn.XLOOKUP("X",C649:C651,O649:O651,0),IF(OR($C649="W",$C649="1/2W",$C649="1/2L"),P650-SUM(O649:O650)+_xlfn.XLOOKUP("X",C649:C651,O649:O651,0),SUM(P649:P650)/2-SUM(O649:O650)+_xlfn.XLOOKUP("X",C649:C651,O649:O651,0)))))))),2))</f>
        <v>7.37</v>
      </c>
      <c r="T649" s="458">
        <f>IF(S649=0,0,S649/SUM(O649:O651))</f>
        <v>0.24371693121693119</v>
      </c>
      <c r="U649" s="470">
        <f>IF($D649=$D646,IF(OR($B649="LOSS",$B649="OK",$B649="Anulada"),S649,0)+U646,IF(OR($B649="LOSS",$B649="OK",$B649="Anulada"),S649,0))</f>
        <v>34.29</v>
      </c>
      <c r="V649" s="470">
        <f>IF($D649="",0,IF($D649=$D646,IF($B649=" ",IF(I651="",IF(OR(AND(I649="DNB1",I650="DNB2"),AND(OR(I649="DNB1",I649="DNB2"),J650=0),AND(OR(I650="DNB1",I650="DNB2"),J649=0),AND(I649="DNB2",I650="DNB1"),AND(IF(J649=0,(J649+1)/ROUND(J649+1,0),J649/ROUND(J649,0))=1,IF(J650=0,(J650+1)/ROUND(IF(J650="",0,J650)+1,0),IF(J650="",0,J650)/ROUND(IF(J650="",1,J650),0))=1,OR(J649&lt;&gt;""),J650&lt;&gt;"")),0,IF(S649&lt;0,IF(I651="",SMALL(P649:P650,1)-SUM(O649:O650),0),SMALL(P649:P650,1)-SUM(O649:O650))),IF(S649&lt;0,IF(I651="",SMALL(P649:P651,1)-SUM(O649:O651),0),LARGE(P649:P651,1)-SUM(O649:O651))),S649)+V646,IF(I651="",IF(OR(AND(I649="DNB1",I650="DNB2"),AND(OR(I649="DNB1",I649="DNB2"),J650=0),AND(OR(I650="DNB1",I650="DNB2"),J649=0),AND(I649="DNB2",I650="DNB1"),AND(IF(J649=0,(J649+1)/ROUND(J649+1,0),J649/ROUND(J649,0))=1,IF(J650=0,(IF(J650="",0,J650)+1)/ROUND(IF(J650="",0,J650)+1,0),IF(J650="",0,J650)/ROUND(IF(J650="",0,J650)+1,0))=1,OR(J649&lt;&gt;""),J650&lt;&gt;"")),0,IF(S649&lt;0,IF(I651="",SMALL(P649:P650,1)-SUM(O649:O650),0),SMALL(P649:P651,1)-SUM(O649:O651))),IF(S649&lt;0,IF(I651="",SMALL(P649:P651,1)-SUM(O649:O651),0),LARGE(P649:P651,1)-SUM(O649:O651)))))</f>
        <v>34.287999999999997</v>
      </c>
      <c r="W649" s="470">
        <f>IF($D649=$D646,IF(S649&lt;0,IF(I651="",S649,0),S649)+W646,S649)</f>
        <v>34.29</v>
      </c>
      <c r="X649" s="480" t="str">
        <f>IF(OR(SUM(R649:R651)=0,V649=W649),ROUND(IF(W649=0,0,W649/Y649)*100,2)&amp;"%",ROUND(IF(V649=0,0,V649/Y649)*100,2)&amp;"% a "&amp;ROUND(IF(W649=0,0,W649/Y649)*100,2)&amp;"%")</f>
        <v>8,9%</v>
      </c>
      <c r="Y649" s="471">
        <f>IF($D649=$D646,Y646+SUM(O649:O651),SUM(O649:O651))</f>
        <v>385.25</v>
      </c>
      <c r="Z649" s="470">
        <f>IF($B649=" ",SUM(O649:O651),0)+Z646</f>
        <v>0</v>
      </c>
      <c r="AA649" s="470">
        <f>IF(G649="","",IF($B649="Anulado",LARGE(P649:P651,1)-SUM(O649:O651)+AA646,AA646))</f>
        <v>13.381099999999991</v>
      </c>
      <c r="AB649" s="470">
        <f>IF($D649="","",AB646+S649)</f>
        <v>711.92000000000053</v>
      </c>
      <c r="AC649" s="472">
        <f ca="1">IF($D649="","",IF($B649=" ",IF(DAY(G649)=DAY(TODAY()),1+AC646,0+AC646),0+AC646))</f>
        <v>0</v>
      </c>
      <c r="AD649" s="103">
        <f>(((L650/(L650-1)-1)*(1-_xlfn.XLOOKUP(K650,'Fevereiro 2023 - Valor Real'!A3:A15,'Fevereiro 2023 - Valor Real'!C3:C15,0))+1))/(((L649-1)*(1-_xlfn.XLOOKUP(K649,'Fevereiro 2023 - Valor Real'!A3:A15,'Fevereiro 2023 - Valor Real'!C3:C15,0))+1)+((L650/(L650-1)-1)*(1-_xlfn.XLOOKUP(K650,'Fevereiro 2023 - Valor Real'!A3:A15,'Fevereiro 2023 - Valor Real'!C3:C15,0))+1))</f>
        <v>0.49940964355235024</v>
      </c>
      <c r="AE649" s="104">
        <f>IF(L649="","",IF(L651&gt;0,(SUM(((L649-1)*(1-_xlfn.XLOOKUP(K649,'Fevereiro 2023 - Valor Real'!A3:A15,'Fevereiro 2023 - Valor Real'!C3:C15,0))+1),((L650-1)*(1-_xlfn.XLOOKUP(K650,'Fevereiro 2023 - Valor Real'!A3:A15,'Fevereiro 2023 - Valor Real'!C3:C15,0))+1),((L651-1)*(1-_xlfn.XLOOKUP(K651,'Fevereiro 2023 - Valor Real'!A3:A15,'Fevereiro 2023 - Valor Real'!C3:C15,0))+1))/((L649-1)*(1-_xlfn.XLOOKUP(K649,'Fevereiro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Real'!C3:C15,0))+1))/((L649-1)*(1-_xlfn.XLOOKUP(K649,'Fevereiro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Real'!C3:C15,0))+1))/((L650-1)*(1-_xlfn.XLOOKUP(K650,'Fevereiro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Real'!C3:C15,0))+1))/((L651-1)*(1-_xlfn.XLOOKUP(K651,'Fevereiro 2023 - Valor Real'!A3:A15,'Fevereiro 2023 - Valor Real'!C3:C15,0))+1)),IF(I649="Lay",IF(I650="Lay",((L650/(L650-1)-1)*(1-_xlfn.XLOOKUP(K650,'Fevereiro 2023 - Valor Real'!A3:A15,'Fevereiro 2023 - Valor Real'!C3:C15,0))+1)/(((L650/(L650-1)-1)*(1-_xlfn.XLOOKUP(K650,'Fevereiro 2023 - Valor Real'!A3:A15,'Fevereiro 2023 - Valor Real'!C3:C15,0))+1)+((L649/(L649-1)-1)*(1-_xlfn.XLOOKUP(K649,'Fevereiro 2023 - Valor Real'!A3:A15,'Fevereiro 2023 - Valor Real'!C3:C15,0))+1)),((L650-1)*(1-_xlfn.XLOOKUP(K650,'Fevereiro 2023 - Valor Real'!A3:A15,'Fevereiro 2023 - Valor Real'!C3:C15,0))+1)/(((L650-1)*(1-_xlfn.XLOOKUP(K650,'Fevereiro 2023 - Valor Real'!A3:A15,'Fevereiro 2023 - Valor Real'!C3:C15,0))+1)+((L649/(L649-1)-1)*(1-_xlfn.XLOOKUP(K649,'Fevereiro 2023 - Valor Real'!A3:A15,'Fevereiro 2023 - Valor Real'!C3:C15,0))+1))),IF(I650="Lay",(((L650/(L650-1)-1)*(1-_xlfn.XLOOKUP(K650,'Fevereiro 2023 - Valor Real'!A3:A15,'Fevereiro 2023 - Valor Real'!C3:C15,0))+1))/(((L649-1)*(1-_xlfn.XLOOKUP(K649,'Fevereiro 2023 - Valor Real'!A3:A15,'Fevereiro 2023 - Valor Real'!C3:C15,0))+1)+((L650/(L650-1)-1)*(1-_xlfn.XLOOKUP(K650,'Fevereiro 2023 - Valor Real'!A3:A15,'Fevereiro 2023 - Valor Real'!C3:C15,0))+1)),((L650-1)*(1-_xlfn.XLOOKUP(K650,'Fevereiro 2023 - Valor Real'!A3:A15,'Fevereiro 2023 - Valor Real'!C3:C15,0))+1)/(((L650-1)*(1-_xlfn.XLOOKUP(K650,'Fevereiro 2023 - Valor Real'!A3:A15,'Fevereiro 2023 - Valor Real'!C3:C15,0))+1)+((L649-1)*(1-_xlfn.XLOOKUP(K649,'Fevereiro 2023 - Valor Real'!A3:A15,'Fevereiro 2023 - Valor Real'!C3:C15,0))+1))))))</f>
        <v>0.49940964355235024</v>
      </c>
      <c r="AF649" s="105">
        <f t="shared" si="1282"/>
        <v>0</v>
      </c>
      <c r="AG649" s="106">
        <f t="shared" si="1282"/>
        <v>0</v>
      </c>
      <c r="AH649" s="106">
        <f t="shared" si="1282"/>
        <v>0</v>
      </c>
      <c r="AI649" s="106">
        <f t="shared" si="1282"/>
        <v>0</v>
      </c>
      <c r="AJ649" s="106">
        <f t="shared" si="1282"/>
        <v>-15.1</v>
      </c>
      <c r="AK649" s="106">
        <f t="shared" si="1282"/>
        <v>0</v>
      </c>
      <c r="AL649" s="106">
        <f t="shared" si="1282"/>
        <v>0</v>
      </c>
      <c r="AM649" s="106">
        <f t="shared" si="1282"/>
        <v>0</v>
      </c>
      <c r="AN649" s="106">
        <f t="shared" si="1282"/>
        <v>0</v>
      </c>
      <c r="AO649" s="106">
        <f t="shared" si="1282"/>
        <v>0</v>
      </c>
      <c r="AP649" s="106">
        <f t="shared" si="1282"/>
        <v>0</v>
      </c>
      <c r="AQ649" s="106">
        <f t="shared" si="1282"/>
        <v>0</v>
      </c>
      <c r="AR649" s="107">
        <f t="shared" si="1282"/>
        <v>0</v>
      </c>
      <c r="AS649" s="105">
        <f t="shared" ref="AS649:BE649" si="1320">IF(AND($B649=" ",$K649=AS$3),$O649,0)</f>
        <v>0</v>
      </c>
      <c r="AT649" s="106">
        <f t="shared" si="1320"/>
        <v>0</v>
      </c>
      <c r="AU649" s="106">
        <f t="shared" si="1320"/>
        <v>0</v>
      </c>
      <c r="AV649" s="106">
        <f t="shared" si="1320"/>
        <v>0</v>
      </c>
      <c r="AW649" s="106">
        <f t="shared" si="1320"/>
        <v>0</v>
      </c>
      <c r="AX649" s="106">
        <f t="shared" si="1320"/>
        <v>0</v>
      </c>
      <c r="AY649" s="108">
        <f t="shared" si="1320"/>
        <v>0</v>
      </c>
      <c r="AZ649" s="109">
        <f t="shared" si="1320"/>
        <v>0</v>
      </c>
      <c r="BA649" s="109">
        <f t="shared" si="1320"/>
        <v>0</v>
      </c>
      <c r="BB649" s="109">
        <f t="shared" si="1320"/>
        <v>0</v>
      </c>
      <c r="BC649" s="110">
        <f t="shared" si="1320"/>
        <v>0</v>
      </c>
      <c r="BD649" s="106">
        <f t="shared" si="1320"/>
        <v>0</v>
      </c>
      <c r="BE649" s="107">
        <f t="shared" si="1320"/>
        <v>0</v>
      </c>
      <c r="BF649" s="111">
        <f t="shared" si="1284"/>
        <v>0</v>
      </c>
      <c r="BG649" s="106">
        <f t="shared" si="1284"/>
        <v>0</v>
      </c>
      <c r="BH649" s="106">
        <f t="shared" si="1284"/>
        <v>0</v>
      </c>
      <c r="BI649" s="106">
        <f t="shared" si="1284"/>
        <v>0</v>
      </c>
      <c r="BJ649" s="106">
        <f t="shared" si="1284"/>
        <v>15.1</v>
      </c>
      <c r="BK649" s="106">
        <f t="shared" si="1284"/>
        <v>0</v>
      </c>
      <c r="BL649" s="106">
        <f t="shared" si="1284"/>
        <v>0</v>
      </c>
      <c r="BM649" s="108">
        <f t="shared" si="1284"/>
        <v>0</v>
      </c>
      <c r="BN649" s="109">
        <f t="shared" si="1284"/>
        <v>0</v>
      </c>
      <c r="BO649" s="109">
        <f t="shared" si="1284"/>
        <v>0</v>
      </c>
      <c r="BP649" s="109">
        <f t="shared" si="1284"/>
        <v>0</v>
      </c>
      <c r="BQ649" s="110">
        <f t="shared" si="1284"/>
        <v>0</v>
      </c>
      <c r="BR649" s="107">
        <f t="shared" si="1284"/>
        <v>0</v>
      </c>
      <c r="BS649" s="463">
        <f>IF($B649="LOSS",IF(AND($K649=BS$3,$C649="L"),-$O649,0)+IF(AND($K650=BS$3,$C650="L"),-$O650,0)+IF(AND($K651=BS$3,$C651="L"),-$O651,0),IF(OR(AND($K649=BS$3,OR($C649="W",$C649="1/2W")),AND($K650=BS$3,OR($C650="W",$C650="1/2W")),AND($K651=BS$3,OR($C651="W",$C651="1/2W"))),$S649,0))</f>
        <v>0</v>
      </c>
      <c r="BT649" s="462">
        <f>IF($B649="LOSS",IF(AND($K649=BT$3,$C649="L"),-$O649,0)+IF(AND($K650=BT$3,$C650="L"),-$O650,0)+IF(AND($K650=BT$3,$C651="L"),-$O651,0),IF(OR(AND($K650=BT$3,OR($C649="W",$C649="1/2W")),AND($K650=BT$3,OR($C650="W",$C650="1/2W")),AND($K650=BT$3,OR($C651="W",$C651="1/2W"))),$S649,0))</f>
        <v>0</v>
      </c>
      <c r="BU649" s="462">
        <f>IF($B649="LOSS",IF(AND($K649=BU$3,$C649="L"),-$O649,0)+IF(AND($K650=BU$3,$C650="L"),-$O650,0)+IF(AND($K650=BU$3,$C651="L"),-$O651,0),IF(OR(AND($K650=BU$3,OR($C649="W",$C649="1/2W")),AND($K650=BU$3,OR($C650="W",$C650="1/2W")),AND($K650=BU$3,OR($C651="W",$C651="1/2W"))),$S649,0))</f>
        <v>7.37</v>
      </c>
      <c r="BV649" s="462">
        <f t="shared" ref="BV649:CE649" si="1321">IF($B649="LOSS",IF(AND($K649=BV$3,$C649="L"),-$O649,0)+IF(AND($K650=BV$3,$C650="L"),-$O650,0)+IF(AND($K651=BV$3,$C651="L"),-$O651,0),IF(OR(AND($K649=BV$3,OR($C649="W",$C649="1/2W")),AND($K650=BV$3,OR($C650="W",$C650="1/2W")),AND($K651=BV$3,OR($C651="W",$C651="1/2W"))),$S649,0))</f>
        <v>0</v>
      </c>
      <c r="BW649" s="462">
        <f t="shared" si="1321"/>
        <v>0</v>
      </c>
      <c r="BX649" s="462">
        <f t="shared" si="1321"/>
        <v>0</v>
      </c>
      <c r="BY649" s="462">
        <f t="shared" si="1321"/>
        <v>0</v>
      </c>
      <c r="BZ649" s="460">
        <f t="shared" si="1321"/>
        <v>0</v>
      </c>
      <c r="CA649" s="460">
        <f t="shared" si="1321"/>
        <v>0</v>
      </c>
      <c r="CB649" s="460">
        <f t="shared" si="1321"/>
        <v>0</v>
      </c>
      <c r="CC649" s="460">
        <f t="shared" si="1321"/>
        <v>0</v>
      </c>
      <c r="CD649" s="473">
        <f t="shared" si="1321"/>
        <v>0</v>
      </c>
      <c r="CE649" s="479">
        <f t="shared" si="1321"/>
        <v>0</v>
      </c>
      <c r="CF649" s="113">
        <f t="shared" si="1285"/>
        <v>0</v>
      </c>
      <c r="CG649" s="114">
        <f t="shared" si="1286"/>
        <v>0</v>
      </c>
      <c r="CH649" s="114">
        <f t="shared" si="1287"/>
        <v>0</v>
      </c>
      <c r="CI649" s="114">
        <f t="shared" si="1288"/>
        <v>0</v>
      </c>
      <c r="CJ649" s="114">
        <f t="shared" si="1289"/>
        <v>0</v>
      </c>
      <c r="CK649" s="114">
        <f t="shared" si="1290"/>
        <v>0</v>
      </c>
      <c r="CL649" s="114">
        <f t="shared" si="1291"/>
        <v>0</v>
      </c>
      <c r="CM649" s="114">
        <f t="shared" si="1292"/>
        <v>0</v>
      </c>
      <c r="CN649" s="114">
        <f t="shared" si="1293"/>
        <v>0</v>
      </c>
      <c r="CO649" s="114">
        <f t="shared" si="1294"/>
        <v>1</v>
      </c>
      <c r="CP649" s="114">
        <f t="shared" si="1295"/>
        <v>0</v>
      </c>
      <c r="CQ649" s="114">
        <f t="shared" si="1296"/>
        <v>0</v>
      </c>
      <c r="CR649" s="114">
        <f t="shared" si="1297"/>
        <v>0</v>
      </c>
      <c r="CS649" s="114">
        <f t="shared" si="1298"/>
        <v>0</v>
      </c>
      <c r="CT649" s="115">
        <f t="shared" si="1299"/>
        <v>0</v>
      </c>
      <c r="CU649" s="116">
        <f t="shared" si="1300"/>
        <v>0</v>
      </c>
      <c r="CV649" s="116">
        <f t="shared" si="1301"/>
        <v>0</v>
      </c>
      <c r="CW649" s="116">
        <f t="shared" si="1302"/>
        <v>0</v>
      </c>
      <c r="CX649" s="116">
        <f t="shared" si="1303"/>
        <v>0</v>
      </c>
      <c r="CY649" s="116">
        <f t="shared" si="1304"/>
        <v>0</v>
      </c>
      <c r="CZ649" s="116">
        <f t="shared" si="1305"/>
        <v>0</v>
      </c>
      <c r="DA649" s="116">
        <f t="shared" si="1306"/>
        <v>0</v>
      </c>
      <c r="DB649" s="116">
        <f t="shared" si="1307"/>
        <v>0</v>
      </c>
      <c r="DC649" s="116">
        <f t="shared" si="1308"/>
        <v>0</v>
      </c>
      <c r="DD649" s="116">
        <f t="shared" si="1309"/>
        <v>0</v>
      </c>
      <c r="DE649" s="117">
        <f t="shared" si="1310"/>
        <v>0</v>
      </c>
      <c r="DF649" s="118">
        <f t="shared" si="1312"/>
        <v>37</v>
      </c>
      <c r="DG649" s="106">
        <f t="shared" si="1313"/>
        <v>48.627999999999993</v>
      </c>
      <c r="DH649" s="116">
        <f t="shared" si="1314"/>
        <v>14</v>
      </c>
      <c r="DI649" s="106">
        <f t="shared" si="1315"/>
        <v>60.05</v>
      </c>
      <c r="DJ649" s="201" t="str">
        <f>IF($D649="","",$D649)</f>
        <v>21</v>
      </c>
      <c r="DK649" s="465">
        <f>IF(AND($B649=" ",$D649&lt;&gt;""),1,0)</f>
        <v>0</v>
      </c>
    </row>
    <row r="650" spans="1:115" ht="14.5" customHeight="1" x14ac:dyDescent="0.2">
      <c r="A650" s="389"/>
      <c r="B650" s="456"/>
      <c r="C650" s="120" t="s">
        <v>54</v>
      </c>
      <c r="D650" s="374"/>
      <c r="E650" s="386"/>
      <c r="F650" s="377"/>
      <c r="G650" s="483"/>
      <c r="H650" s="476"/>
      <c r="I650" s="121" t="s">
        <v>88</v>
      </c>
      <c r="J650" s="179" t="str">
        <f>IF(OR(I649="TO",I649="TU",I649="TO1",I649="TU1",I649="TO2",I649="TU2"),J649,IF(OR(I649="AH1",I649="AH2"),IF(OR(I650="AH1",I650="AH2"),-J649,IF(OR(I650="EH1",I650="EH2"),-J649+0.5,"")),IF(OR(I649="EH1",I649="EH2"),IF(OR(I650="AH1",I650="AH2"),-J649+0.5,IF(OR(I650="EH1",I650="EH2"),-J649+1,"")),IF(AND(OR(I649="DNB1",I649="DNB2"),OR(I650="AH1",I650="AH2")),0,IF(AND(I649="Not ScoreBoth",OR(I650="TO1",I650="TO2")),0.5,"")))))</f>
        <v/>
      </c>
      <c r="K650" s="123" t="s">
        <v>38</v>
      </c>
      <c r="L650" s="124">
        <v>1.63</v>
      </c>
      <c r="M650" s="125"/>
      <c r="N650" s="406"/>
      <c r="O650" s="126">
        <f>IF(OR(AE649="",AE650=""),"",ROUND(IF(L651&gt;0,IF(M650&gt;0,M650,IF(M649&gt;0,IF(N649=TRUE,ROUND((M649*AE650)/AE649,0),(M649*AE650)/AE649),IF(M650&gt;0,ROUND(M650,IF(N649=0,2,IF(N649=0.1,1,0))),IF(M651&gt;0,ROUND(O651*AE650/AE651,IF(N649=0,2,IF(N649=0.1,1,0))),0)))),IF(M650&gt;0,M650,ROUND((M649*AE650)/AE649,IF(N649=0,2,IF(N649=0.1,1,0))))),2))</f>
        <v>15.14</v>
      </c>
      <c r="P650" s="127">
        <f>IF(OR(L650="",O650=""),"",IF($C650="1/2W",O650/2+O650/2*L650,IF($C650="1/2L",O650/2,IF(I650="Lay",((O650*(L650/(L650-1)))-O650)*(1-_xlfn.XLOOKUP(K650,'Fevereiro 2023 - Valor Real'!A3:A15,'Fevereiro 2023 - Valor Real'!C3:C15,0))+O650,(O650*L650-O650)*(1-_xlfn.XLOOKUP(K650,'Fevereiro 2023 - Valor Real'!A3:A15,'Fevereiro 2023 - Valor Real'!C3:C15,0))+O650))))</f>
        <v>37.609682539682538</v>
      </c>
      <c r="Q650" s="128">
        <f>IF(K650="","",IF(_xlfn.XLOOKUP(K650,K$4:K649,$DJ$4:DJ649,0,,-1)=DJ650,_xlfn.XLOOKUP(K650,K$4:K649,Q$4:Q649,1,,-1)+1,1))</f>
        <v>2</v>
      </c>
      <c r="R650" s="129">
        <f>IF(K650="","",_xlfn.XLOOKUP(K650,K$4:K649,R$4:R649,0,,-1)+IF($C650=" ",1,0))</f>
        <v>0</v>
      </c>
      <c r="S650" s="403"/>
      <c r="T650" s="380"/>
      <c r="U650" s="380"/>
      <c r="V650" s="481"/>
      <c r="W650" s="380"/>
      <c r="X650" s="452"/>
      <c r="Y650" s="383"/>
      <c r="Z650" s="384"/>
      <c r="AA650" s="384"/>
      <c r="AB650" s="384"/>
      <c r="AC650" s="384"/>
      <c r="AD650" s="130">
        <f>(((L650/(L650-1)-1)*(1-_xlfn.XLOOKUP(K650,'Fevereiro 2023 - Valor Real'!A3:A15,'Fevereiro 2023 - Valor Real'!C3:C15,0))+1))</f>
        <v>2.4841269841269842</v>
      </c>
      <c r="AE650" s="131">
        <f>IF(L650="","",IF(L651&gt;0,(SUM(((L649-1)*(1-_xlfn.XLOOKUP(K649,'Fevereiro 2023 - Valor Real'!A3:A15,'Fevereiro 2023 - Valor Real'!C3:C15,0))+1),((L650-1)*(1-_xlfn.XLOOKUP(K650,'Fevereiro 2023 - Valor Real'!A3:A15,'Fevereiro 2023 - Valor Real'!C3:C15,0))+1),((L651-1)*(1-_xlfn.XLOOKUP(K651,'Fevereiro 2023 - Valor Real'!A3:A15,'Fevereiro 2023 - Valor Real'!C3:C15,0))+1))/((L650-1)*(1-_xlfn.XLOOKUP(K650,'Fevereiro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Real'!C3:C15,0))+1))/((L649-1)*(1-_xlfn.XLOOKUP(K649,'Fevereiro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Real'!C3:C15,0))+1))/((L650-1)*(1-_xlfn.XLOOKUP(K650,'Fevereiro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Real'!C3:C15,0))+1))/((L651-1)*(1-_xlfn.XLOOKUP(K651,'Fevereiro 2023 - Valor Real'!A3:A15,'Fevereiro 2023 - Valor Real'!C3:C15,0))+1)),IF(I650="Lay",IF(I649="Lay",((L649/(L649-1)-1)*(1-_xlfn.XLOOKUP(K649,'Fevereiro 2023 - Valor Real'!A3:A15,'Fevereiro 2023 - Valor Real'!C3:C15,0))+1)/(((L649/(L649-1)-1)*(1-_xlfn.XLOOKUP(K649,'Fevereiro 2023 - Valor Real'!A3:A15,'Fevereiro 2023 - Valor Real'!C3:C15,0))+1)+((L650/(L650-1)-1)*(1-_xlfn.XLOOKUP(K650,'Fevereiro 2023 - Valor Real'!A3:A15,'Fevereiro 2023 - Valor Real'!C3:C15,0))+1)),((L649-1)*(1-_xlfn.XLOOKUP(K649,'Fevereiro 2023 - Valor Real'!A3:A15,'Fevereiro 2023 - Valor Real'!C3:C15,0))+1)/(((L649-1)*(1-_xlfn.XLOOKUP(K649,'Fevereiro 2023 - Valor Real'!A3:A15,'Fevereiro 2023 - Valor Real'!C3:C15,0))+1)+((L650/(L650-1)-1)*(1-_xlfn.XLOOKUP(K650,'Fevereiro 2023 - Valor Real'!A3:A15,'Fevereiro 2023 - Valor Real'!C3:C15,0))+1))),IF(I649="Lay",((L649/(L649-1)-1)*(1-_xlfn.XLOOKUP(K649,'Fevereiro 2023 - Valor Real'!A3:A15,'Fevereiro 2023 - Valor Real'!C3:C15,0))+1)/((((L649/(L649-1)-1)*(1-_xlfn.XLOOKUP(K649,'Fevereiro 2023 - Valor Real'!A3:A15,'Fevereiro 2023 - Valor Real'!C3:C15,0))+1))+((L650-1)*(1-_xlfn.XLOOKUP(K650,'Fevereiro 2023 - Valor Real'!A3:A15,'Fevereiro 2023 - Valor Real'!C3:C15,0))+1)),((L649-1)*(1-_xlfn.XLOOKUP(K649,'Fevereiro 2023 - Valor Real'!A3:A15,'Fevereiro 2023 - Valor Real'!C3:C15,0))+1)/(((L649-1)*(1-_xlfn.XLOOKUP(K649,'Fevereiro 2023 - Valor Real'!A3:A15,'Fevereiro 2023 - Valor Real'!C3:C15,0))+1)+((L650-1)*(1-_xlfn.XLOOKUP(K650,'Fevereiro 2023 - Valor Real'!A3:A15,'Fevereiro 2023 - Valor Real'!C3:C15,0))+1))))))</f>
        <v>0.50059035644764971</v>
      </c>
      <c r="AF650" s="105">
        <f t="shared" si="1282"/>
        <v>0</v>
      </c>
      <c r="AG650" s="106">
        <f t="shared" si="1282"/>
        <v>0</v>
      </c>
      <c r="AH650" s="106">
        <f t="shared" si="1282"/>
        <v>22.47</v>
      </c>
      <c r="AI650" s="106">
        <f t="shared" si="1282"/>
        <v>0</v>
      </c>
      <c r="AJ650" s="106">
        <f t="shared" si="1282"/>
        <v>0</v>
      </c>
      <c r="AK650" s="106">
        <f t="shared" si="1282"/>
        <v>0</v>
      </c>
      <c r="AL650" s="106">
        <f t="shared" si="1282"/>
        <v>0</v>
      </c>
      <c r="AM650" s="106">
        <f t="shared" si="1282"/>
        <v>0</v>
      </c>
      <c r="AN650" s="106">
        <f t="shared" si="1282"/>
        <v>0</v>
      </c>
      <c r="AO650" s="106">
        <f t="shared" si="1282"/>
        <v>0</v>
      </c>
      <c r="AP650" s="106">
        <f t="shared" si="1282"/>
        <v>0</v>
      </c>
      <c r="AQ650" s="106">
        <f t="shared" si="1282"/>
        <v>0</v>
      </c>
      <c r="AR650" s="107">
        <f t="shared" si="1282"/>
        <v>0</v>
      </c>
      <c r="AS650" s="105">
        <f>IF(AND($B649=" ",$K650=AS$3),$O650,0)</f>
        <v>0</v>
      </c>
      <c r="AT650" s="106">
        <f>IF(AND($B649=" ",K650=AT$3),$O650,0)</f>
        <v>0</v>
      </c>
      <c r="AU650" s="106">
        <f t="shared" ref="AU650:BE650" si="1322">IF(AND($B649=" ",$K650=AU$3),$O650,0)</f>
        <v>0</v>
      </c>
      <c r="AV650" s="106">
        <f t="shared" si="1322"/>
        <v>0</v>
      </c>
      <c r="AW650" s="106">
        <f t="shared" si="1322"/>
        <v>0</v>
      </c>
      <c r="AX650" s="106">
        <f t="shared" si="1322"/>
        <v>0</v>
      </c>
      <c r="AY650" s="108">
        <f t="shared" si="1322"/>
        <v>0</v>
      </c>
      <c r="AZ650" s="109">
        <f t="shared" si="1322"/>
        <v>0</v>
      </c>
      <c r="BA650" s="109">
        <f t="shared" si="1322"/>
        <v>0</v>
      </c>
      <c r="BB650" s="109">
        <f t="shared" si="1322"/>
        <v>0</v>
      </c>
      <c r="BC650" s="110">
        <f t="shared" si="1322"/>
        <v>0</v>
      </c>
      <c r="BD650" s="106">
        <f t="shared" si="1322"/>
        <v>0</v>
      </c>
      <c r="BE650" s="107">
        <f t="shared" si="1322"/>
        <v>0</v>
      </c>
      <c r="BF650" s="105">
        <f t="shared" si="1284"/>
        <v>0</v>
      </c>
      <c r="BG650" s="106">
        <f t="shared" si="1284"/>
        <v>0</v>
      </c>
      <c r="BH650" s="106">
        <f t="shared" si="1284"/>
        <v>15.14</v>
      </c>
      <c r="BI650" s="106">
        <f t="shared" si="1284"/>
        <v>0</v>
      </c>
      <c r="BJ650" s="106">
        <f t="shared" si="1284"/>
        <v>0</v>
      </c>
      <c r="BK650" s="106">
        <f t="shared" si="1284"/>
        <v>0</v>
      </c>
      <c r="BL650" s="106">
        <f t="shared" si="1284"/>
        <v>0</v>
      </c>
      <c r="BM650" s="132">
        <f t="shared" si="1284"/>
        <v>0</v>
      </c>
      <c r="BN650" s="112">
        <f t="shared" si="1284"/>
        <v>0</v>
      </c>
      <c r="BO650" s="112">
        <f t="shared" si="1284"/>
        <v>0</v>
      </c>
      <c r="BP650" s="112">
        <f t="shared" si="1284"/>
        <v>0</v>
      </c>
      <c r="BQ650" s="110">
        <f t="shared" si="1284"/>
        <v>0</v>
      </c>
      <c r="BR650" s="107">
        <f t="shared" si="1284"/>
        <v>0</v>
      </c>
      <c r="BS650" s="464"/>
      <c r="BT650" s="461"/>
      <c r="BU650" s="392"/>
      <c r="BV650" s="461"/>
      <c r="BW650" s="392"/>
      <c r="BX650" s="392"/>
      <c r="BY650" s="392"/>
      <c r="BZ650" s="461"/>
      <c r="CA650" s="392"/>
      <c r="CB650" s="392"/>
      <c r="CC650" s="392"/>
      <c r="CD650" s="401"/>
      <c r="CE650" s="409"/>
      <c r="CF650" s="133">
        <f t="shared" si="1285"/>
        <v>0</v>
      </c>
      <c r="CG650" s="134">
        <f t="shared" si="1286"/>
        <v>0</v>
      </c>
      <c r="CH650" s="134">
        <f t="shared" si="1287"/>
        <v>0</v>
      </c>
      <c r="CI650" s="134">
        <f t="shared" si="1288"/>
        <v>0</v>
      </c>
      <c r="CJ650" s="134">
        <f t="shared" si="1289"/>
        <v>1</v>
      </c>
      <c r="CK650" s="134">
        <f t="shared" si="1290"/>
        <v>0</v>
      </c>
      <c r="CL650" s="134">
        <f t="shared" si="1291"/>
        <v>0</v>
      </c>
      <c r="CM650" s="134">
        <f t="shared" si="1292"/>
        <v>0</v>
      </c>
      <c r="CN650" s="134">
        <f t="shared" si="1293"/>
        <v>0</v>
      </c>
      <c r="CO650" s="134">
        <f t="shared" si="1294"/>
        <v>0</v>
      </c>
      <c r="CP650" s="134">
        <f t="shared" si="1295"/>
        <v>0</v>
      </c>
      <c r="CQ650" s="134">
        <f t="shared" si="1296"/>
        <v>0</v>
      </c>
      <c r="CR650" s="134">
        <f t="shared" si="1297"/>
        <v>0</v>
      </c>
      <c r="CS650" s="134">
        <f t="shared" si="1298"/>
        <v>0</v>
      </c>
      <c r="CT650" s="115">
        <f t="shared" si="1299"/>
        <v>0</v>
      </c>
      <c r="CU650" s="116">
        <f t="shared" si="1300"/>
        <v>0</v>
      </c>
      <c r="CV650" s="116">
        <f t="shared" si="1301"/>
        <v>0</v>
      </c>
      <c r="CW650" s="116">
        <f t="shared" si="1302"/>
        <v>0</v>
      </c>
      <c r="CX650" s="116">
        <f t="shared" si="1303"/>
        <v>0</v>
      </c>
      <c r="CY650" s="116">
        <f t="shared" si="1304"/>
        <v>0</v>
      </c>
      <c r="CZ650" s="116">
        <f t="shared" si="1305"/>
        <v>0</v>
      </c>
      <c r="DA650" s="116">
        <f t="shared" si="1306"/>
        <v>0</v>
      </c>
      <c r="DB650" s="116">
        <f t="shared" si="1307"/>
        <v>0</v>
      </c>
      <c r="DC650" s="116">
        <f t="shared" si="1308"/>
        <v>0</v>
      </c>
      <c r="DD650" s="116">
        <f t="shared" si="1309"/>
        <v>0</v>
      </c>
      <c r="DE650" s="117">
        <f t="shared" si="1310"/>
        <v>0</v>
      </c>
      <c r="DF650" s="118">
        <f t="shared" si="1312"/>
        <v>37</v>
      </c>
      <c r="DG650" s="106">
        <f t="shared" si="1313"/>
        <v>48.627999999999993</v>
      </c>
      <c r="DH650" s="116">
        <f t="shared" si="1314"/>
        <v>14</v>
      </c>
      <c r="DI650" s="106">
        <f t="shared" si="1315"/>
        <v>60.05</v>
      </c>
      <c r="DJ650" s="201" t="str">
        <f>IF($D649="","",$D649)</f>
        <v>21</v>
      </c>
      <c r="DK650" s="466"/>
    </row>
    <row r="651" spans="1:115" ht="14.5" customHeight="1" x14ac:dyDescent="0.2">
      <c r="A651" s="390"/>
      <c r="B651" s="457"/>
      <c r="C651" s="135" t="s">
        <v>53</v>
      </c>
      <c r="D651" s="375"/>
      <c r="E651" s="387"/>
      <c r="F651" s="378"/>
      <c r="G651" s="484"/>
      <c r="H651" s="477"/>
      <c r="I651" s="136"/>
      <c r="J651" s="137"/>
      <c r="K651" s="138"/>
      <c r="L651" s="139"/>
      <c r="M651" s="140"/>
      <c r="N651" s="407"/>
      <c r="O651" s="141" t="str">
        <f>IF(OR(AE649="",AE650=""),"",IF(L651&gt;0,ROUND(IF(M651&gt;0,M651,IF(M649&gt;0,ROUND((M649*AE651)/AE649,IF(N649=0,2,IF(N649=0.1,1,0))),IF(M650&gt;0,ROUND((M650*AE651)/AE650,IF(N649=0,2,IF(N649=0.1,1,0))),IF(M651&gt;0,M651,0)))),2),""))</f>
        <v/>
      </c>
      <c r="P651" s="196">
        <f>IF(I650="Lay",O650*(L650/(L650-1))-O650,IF(I649="Lay",O649*(L649/(L649-1))-O649,IF(OR(L651="",O651=""),"",IF($C651="1/2W",O651/2+O651/2*L651,IF($C651="1/2L",O651/2,(O651*L651-O651)*(1-_xlfn.XLOOKUP(K651,'Fevereiro 2023 - Valor Real'!A3:A15,'Fevereiro 2023 - Valor Real'!C3:C15,0))+O651)))))</f>
        <v>24.031746031746032</v>
      </c>
      <c r="Q651" s="143" t="str">
        <f>IF(K651="","",IF(_xlfn.XLOOKUP(K651,K$4:K650,$DJ$4:DJ650,0,,-1)=DJ651,_xlfn.XLOOKUP(K651,K$4:K650,Q$4:Q650,1,,-1)+1,1))</f>
        <v/>
      </c>
      <c r="R651" s="144" t="str">
        <f>IF(K651="","",_xlfn.XLOOKUP(K651,K$4:K650,R$4:R650,0,,-1)+IF($C651=" ",1,0))</f>
        <v/>
      </c>
      <c r="S651" s="404"/>
      <c r="T651" s="378"/>
      <c r="U651" s="378"/>
      <c r="V651" s="404"/>
      <c r="W651" s="378"/>
      <c r="X651" s="453"/>
      <c r="Y651" s="383"/>
      <c r="Z651" s="384"/>
      <c r="AA651" s="384"/>
      <c r="AB651" s="384"/>
      <c r="AC651" s="384"/>
      <c r="AD651" s="145">
        <f>((L650/(L650-1)-1))</f>
        <v>1.5873015873015874</v>
      </c>
      <c r="AE651" s="146" t="str">
        <f>IF(L651="","",(SUM(((L649-1)*(1-_xlfn.XLOOKUP(K649,'Fevereiro 2023 - Valor Real'!A3:A15,'Fevereiro 2023 - Valor Real'!C3:C15,0))+1),((L650-1)*(1-_xlfn.XLOOKUP(K650,'Fevereiro 2023 - Valor Real'!A3:A15,'Fevereiro 2023 - Valor Real'!C3:C15,0))+1),((L651-1)*(1-_xlfn.XLOOKUP(K651,'Fevereiro 2023 - Valor Real'!A3:A15,'Fevereiro 2023 - Valor Real'!C3:C15,0))+1))/((L651-1)*(1-_xlfn.XLOOKUP(K651,'Fevereiro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Real'!C3:C15,0))+1))/((L649-1)*(1-_xlfn.XLOOKUP(K649,'Fevereiro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Real'!C3:C15,0))+1))/((L650-1)*(1-_xlfn.XLOOKUP(K650,'Fevereiro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Real'!C3:C15,0))+1))/((L651-1)*(1-_xlfn.XLOOKUP(K651,'Fevereiro 2023 - Valor Real'!A3:A15,'Fevereiro 2023 - Valor Real'!C3:C15,0))+1)))</f>
        <v/>
      </c>
      <c r="AF651" s="105">
        <f t="shared" si="1282"/>
        <v>0</v>
      </c>
      <c r="AG651" s="106">
        <f t="shared" si="1282"/>
        <v>0</v>
      </c>
      <c r="AH651" s="106">
        <f t="shared" si="1282"/>
        <v>0</v>
      </c>
      <c r="AI651" s="106">
        <f t="shared" si="1282"/>
        <v>0</v>
      </c>
      <c r="AJ651" s="106">
        <f t="shared" si="1282"/>
        <v>0</v>
      </c>
      <c r="AK651" s="106">
        <f t="shared" si="1282"/>
        <v>0</v>
      </c>
      <c r="AL651" s="106">
        <f t="shared" si="1282"/>
        <v>0</v>
      </c>
      <c r="AM651" s="106">
        <f t="shared" si="1282"/>
        <v>0</v>
      </c>
      <c r="AN651" s="106">
        <f t="shared" si="1282"/>
        <v>0</v>
      </c>
      <c r="AO651" s="106">
        <f t="shared" si="1282"/>
        <v>0</v>
      </c>
      <c r="AP651" s="106">
        <f t="shared" si="1282"/>
        <v>0</v>
      </c>
      <c r="AQ651" s="106">
        <f t="shared" si="1282"/>
        <v>0</v>
      </c>
      <c r="AR651" s="107">
        <f t="shared" si="1282"/>
        <v>0</v>
      </c>
      <c r="AS651" s="105">
        <f>IF(AND($B649=" ",$K651=AS$3),$O651,0)</f>
        <v>0</v>
      </c>
      <c r="AT651" s="106">
        <f>IF(AND($B649=" ",K651=AT$3),$O651,0)</f>
        <v>0</v>
      </c>
      <c r="AU651" s="106">
        <f t="shared" ref="AU651:BE651" si="1323">IF(AND($B649=" ",$K651=AU$3),$O651,0)</f>
        <v>0</v>
      </c>
      <c r="AV651" s="106">
        <f t="shared" si="1323"/>
        <v>0</v>
      </c>
      <c r="AW651" s="106">
        <f t="shared" si="1323"/>
        <v>0</v>
      </c>
      <c r="AX651" s="106">
        <f t="shared" si="1323"/>
        <v>0</v>
      </c>
      <c r="AY651" s="108">
        <f t="shared" si="1323"/>
        <v>0</v>
      </c>
      <c r="AZ651" s="109">
        <f t="shared" si="1323"/>
        <v>0</v>
      </c>
      <c r="BA651" s="109">
        <f t="shared" si="1323"/>
        <v>0</v>
      </c>
      <c r="BB651" s="109">
        <f t="shared" si="1323"/>
        <v>0</v>
      </c>
      <c r="BC651" s="110">
        <f t="shared" si="1323"/>
        <v>0</v>
      </c>
      <c r="BD651" s="106">
        <f t="shared" si="1323"/>
        <v>0</v>
      </c>
      <c r="BE651" s="107">
        <f t="shared" si="1323"/>
        <v>0</v>
      </c>
      <c r="BF651" s="105">
        <f t="shared" si="1284"/>
        <v>0</v>
      </c>
      <c r="BG651" s="106">
        <f t="shared" si="1284"/>
        <v>0</v>
      </c>
      <c r="BH651" s="106">
        <f t="shared" si="1284"/>
        <v>0</v>
      </c>
      <c r="BI651" s="106">
        <f t="shared" si="1284"/>
        <v>0</v>
      </c>
      <c r="BJ651" s="106">
        <f t="shared" si="1284"/>
        <v>0</v>
      </c>
      <c r="BK651" s="106">
        <f t="shared" si="1284"/>
        <v>0</v>
      </c>
      <c r="BL651" s="106">
        <f t="shared" si="1284"/>
        <v>0</v>
      </c>
      <c r="BM651" s="108">
        <f t="shared" si="1284"/>
        <v>0</v>
      </c>
      <c r="BN651" s="109">
        <f t="shared" si="1284"/>
        <v>0</v>
      </c>
      <c r="BO651" s="109">
        <f t="shared" si="1284"/>
        <v>0</v>
      </c>
      <c r="BP651" s="109">
        <f t="shared" si="1284"/>
        <v>0</v>
      </c>
      <c r="BQ651" s="110">
        <f t="shared" si="1284"/>
        <v>0</v>
      </c>
      <c r="BR651" s="107">
        <f t="shared" si="1284"/>
        <v>0</v>
      </c>
      <c r="BS651" s="464"/>
      <c r="BT651" s="461"/>
      <c r="BU651" s="392"/>
      <c r="BV651" s="461"/>
      <c r="BW651" s="392"/>
      <c r="BX651" s="392"/>
      <c r="BY651" s="392"/>
      <c r="BZ651" s="461"/>
      <c r="CA651" s="392"/>
      <c r="CB651" s="392"/>
      <c r="CC651" s="392"/>
      <c r="CD651" s="401"/>
      <c r="CE651" s="409"/>
      <c r="CF651" s="133">
        <f t="shared" si="1285"/>
        <v>0</v>
      </c>
      <c r="CG651" s="134">
        <f t="shared" si="1286"/>
        <v>0</v>
      </c>
      <c r="CH651" s="134">
        <f t="shared" si="1287"/>
        <v>0</v>
      </c>
      <c r="CI651" s="134">
        <f t="shared" si="1288"/>
        <v>0</v>
      </c>
      <c r="CJ651" s="134">
        <f t="shared" si="1289"/>
        <v>0</v>
      </c>
      <c r="CK651" s="134">
        <f t="shared" si="1290"/>
        <v>0</v>
      </c>
      <c r="CL651" s="134">
        <f t="shared" si="1291"/>
        <v>0</v>
      </c>
      <c r="CM651" s="134">
        <f t="shared" si="1292"/>
        <v>0</v>
      </c>
      <c r="CN651" s="134">
        <f t="shared" si="1293"/>
        <v>0</v>
      </c>
      <c r="CO651" s="134">
        <f t="shared" si="1294"/>
        <v>0</v>
      </c>
      <c r="CP651" s="134">
        <f t="shared" si="1295"/>
        <v>0</v>
      </c>
      <c r="CQ651" s="134">
        <f t="shared" si="1296"/>
        <v>0</v>
      </c>
      <c r="CR651" s="134">
        <f t="shared" si="1297"/>
        <v>0</v>
      </c>
      <c r="CS651" s="134">
        <f t="shared" si="1298"/>
        <v>0</v>
      </c>
      <c r="CT651" s="115">
        <f t="shared" si="1299"/>
        <v>0</v>
      </c>
      <c r="CU651" s="116">
        <f t="shared" si="1300"/>
        <v>0</v>
      </c>
      <c r="CV651" s="116">
        <f t="shared" si="1301"/>
        <v>0</v>
      </c>
      <c r="CW651" s="116">
        <f t="shared" si="1302"/>
        <v>0</v>
      </c>
      <c r="CX651" s="116">
        <f t="shared" si="1303"/>
        <v>0</v>
      </c>
      <c r="CY651" s="116">
        <f t="shared" si="1304"/>
        <v>0</v>
      </c>
      <c r="CZ651" s="116">
        <f t="shared" si="1305"/>
        <v>0</v>
      </c>
      <c r="DA651" s="116">
        <f t="shared" si="1306"/>
        <v>0</v>
      </c>
      <c r="DB651" s="116">
        <f t="shared" si="1307"/>
        <v>0</v>
      </c>
      <c r="DC651" s="116">
        <f t="shared" si="1308"/>
        <v>0</v>
      </c>
      <c r="DD651" s="116">
        <f t="shared" si="1309"/>
        <v>0</v>
      </c>
      <c r="DE651" s="117">
        <f t="shared" si="1310"/>
        <v>0</v>
      </c>
      <c r="DF651" s="118">
        <f t="shared" si="1312"/>
        <v>37</v>
      </c>
      <c r="DG651" s="106">
        <f t="shared" si="1313"/>
        <v>48.627999999999993</v>
      </c>
      <c r="DH651" s="116">
        <f t="shared" si="1314"/>
        <v>14</v>
      </c>
      <c r="DI651" s="106">
        <f t="shared" si="1315"/>
        <v>60.05</v>
      </c>
      <c r="DJ651" s="201" t="str">
        <f>IF($D649="","",$D649)</f>
        <v>21</v>
      </c>
      <c r="DK651" s="466"/>
    </row>
    <row r="652" spans="1:115" ht="14.5" customHeight="1" x14ac:dyDescent="0.2">
      <c r="A652" s="487">
        <f>$A649+1</f>
        <v>217</v>
      </c>
      <c r="B652" s="506" t="str">
        <f>IF(OR(C652="W",C653="W",C654="W",C652="1/2W",C653="1/2W",C654="1/2W",C652="1/2L",C653="1/2L",C654="1/2L"),"OK",IF(OR(C652="L",C653="L",C654="L"),"LOSS",IF(OR(C652="X",C653="X",C654="X"),"Anulado"," ")))</f>
        <v>OK</v>
      </c>
      <c r="C652" s="147" t="s">
        <v>55</v>
      </c>
      <c r="D652" s="494" t="str">
        <f>IF(G652="","",$D649)</f>
        <v>21</v>
      </c>
      <c r="E652" s="511" t="str">
        <f>IF(G652=""," ","– "&amp;COUNTIF(D$4:D654,$D652))</f>
        <v>– 13</v>
      </c>
      <c r="F652" s="510" t="str">
        <f ca="1">IF(G652="","",IF(OR(AND($C652&lt;&gt;" ",$C653=" "),AND($C653&lt;&gt;" ",$C652=" "),AND(L654&gt;0,OR(AND($C654&lt;&gt;" ",OR($C652=" ",$C653=" ")),AND($C654=" ",OR($C652&lt;&gt;" ",$C653&lt;&gt;" "))))),IF(SUM(F$4:F651)=0,1,LARGE(F$4:F651,1)+1),IF(MONTH(G652)=MONTH(TODAY()),IF(AND(DAY(G652)&lt;DAY(TODAY()),$B652=" "),IF(SUM(F$4:F651)=0,1,LARGE(F$4:F651,1)+1),IF($B652=" ",IF(AND(DAY(G652)=DAY(TODAY()),HOUR(G652)&lt;=HOUR(NOW())+1),IF(AND(HOUR(G652)+2&lt;=HOUR(NOW()),DAY(G652)&lt;=DAY(TODAY()),MINUTE(G652)&lt;=MINUTE(NOW())),IF(SUM(F$4:F651)=0,1,LARGE(F$4:F651,1)+1),IF(OR(MINUTE(G652)&lt;=MINUTE(NOW()),HOUR(G652)&lt;=HOUR(NOW())),"!!!","")),""),"")),"")))</f>
        <v/>
      </c>
      <c r="G652" s="508">
        <f>IF(H652="","",_xlfn.XLOOKUP(H652,$H$4:H651,$G$4:G651,""))</f>
        <v>45006.458333333336</v>
      </c>
      <c r="H652" s="502" t="s">
        <v>238</v>
      </c>
      <c r="I652" s="148">
        <v>2</v>
      </c>
      <c r="J652" s="149"/>
      <c r="K652" s="150" t="s">
        <v>40</v>
      </c>
      <c r="L652" s="151">
        <v>2.59</v>
      </c>
      <c r="M652" s="152">
        <v>7.08</v>
      </c>
      <c r="N652" s="503">
        <v>0</v>
      </c>
      <c r="O652" s="153">
        <f>IF(OR(AE652="",AE653=""),"",ROUND(IF(L654&gt;0,IF(M652&gt;0,M652,IF(M653&gt;0,ROUND((M653*AE652)/AE653,IF(N652=0,2,IF(N652=0.1,1,0))),ROUND((M654*AE652)/AE654,IF(N652=0,2,IF(N652=0.1,1,0))))),IF(M652&gt;0,M652,ROUND((M653*AE652)/AE653,IF(N652=0,2,IF(N652=0.1,1,0))))),2))</f>
        <v>7.08</v>
      </c>
      <c r="P652" s="154">
        <f>IF(OR(L652="",O652=""),"",IF($C652="1/2W",O652/2+O652/2*L652,IF($C652="1/2L",O652/2,IF(I652="Lay",(O652*(L652/(L652-1))-O652)*(1-_xlfn.XLOOKUP(K652,'Fevereiro 2023 - Valor Real'!A3:A15,'Fevereiro 2023 - Valor Real'!C3:C15,0))+O652,(O652*L652-O652)*(1-_xlfn.XLOOKUP(K652,'Fevereiro 2023 - Valor Real'!A3:A15,'Fevereiro 2023 - Valor Real'!C3:C15,0))+O652))))</f>
        <v>18.337199999999999</v>
      </c>
      <c r="Q652" s="155">
        <f>IF(K652="","",IF(_xlfn.XLOOKUP(K652,K$9:K644,$DJ$9:DJ644,0,,-1)=DJ652,_xlfn.XLOOKUP(K652,K$9:K644,Q$9:Q644,1,,-1)+1,1))</f>
        <v>5</v>
      </c>
      <c r="R652" s="156">
        <f>IF(K652="","",_xlfn.XLOOKUP(K652,K$9:K644,R$9:R644,0,,-1)+IF($C652=" ",1,0))</f>
        <v>0</v>
      </c>
      <c r="S652" s="501">
        <f>IF($B652="Anulado",0,ROUND(IF(OR($B652="LOSS",$B652="OK"),IF(OR($C652="W",$C652="1/2W",$C652="1/2L"),P652-O652,IF($C652="L",-O652,0))+IF(OR($C653="W",$C653="1/2W",$C653="1/2L"),P653-O653,IF($C653="L",-O653,0))+IF(OR($C654="W",$C654="1/2W",$C654="1/2L"),P654-O654,IF($C654="L",-O654,0)),IF(AND(OR($C652="W",$C652="1/2W",$C652="1/2L"),C653="W"),P652+P653-SUM(O652:O654)+_xlfn.XLOOKUP("X",C652:C654,O652:O654,0),IF(AND(C652=TRUE,C654="W"),P652+P654-SUM(O652:O654),IF(AND(C653="W",C654="W"),P653+P654-SUM(O652:O654)+_xlfn.XLOOKUP("X",C652:C654,O652:O654,0),IF(L654&gt;0,IF(OR($C652="W",$C652="1/2W",$C652="1/2L"),P652-SUM(O652:O654)+_xlfn.XLOOKUP("X",C652:C654,O652:O654,0),IF(OR($C652="W",$C652="1/2W",$C652="1/2L"),P653-SUM(O652:O654)+_xlfn.XLOOKUP("X",C652:C654,O652:O654,0),IF(OR($C652="W",$C652="1/2W",$C652="1/2L"),P654-SUM(O652:O654)+_xlfn.XLOOKUP("X",C652:C654,O652:O654,0),IF(SUM(P652:P654)/3-SUM(O652:O654)+_xlfn.XLOOKUP("X",C652:C654,O652:O654,0)&gt;0,SUM(P652:P654)/3-SUM(O652:O654)+_xlfn.XLOOKUP("X",C652:C654,O652:O654,0),LARGE(P652:P654,1)-SUM(O652:O654))))),IF(OR($C652="W",$C652="1/2W",$C652="1/2L"),P652-SUM(O652:O653)+_xlfn.XLOOKUP("X",C652:C654,O652:O654,0),IF(OR($C652="W",$C652="1/2W",$C652="1/2L"),P653-SUM(O652:O653)+_xlfn.XLOOKUP("X",C652:C654,O652:O654,0),SUM(P652:P653)/2-SUM(O652:O653)+_xlfn.XLOOKUP("X",C652:C654,O652:O654,0)))))))),2))</f>
        <v>2.86</v>
      </c>
      <c r="T652" s="486">
        <f>IF(S652=0,0,S652/SUM(O652:O654))</f>
        <v>0.18475452196382428</v>
      </c>
      <c r="U652" s="496">
        <f>IF($D652=$D649,IF(OR($B652="LOSS",$B652="OK",$B652="Anulada"),S652,0)+U649,IF(OR($B652="LOSS",$B652="OK",$B652="Anulada"),S652,0))</f>
        <v>37.15</v>
      </c>
      <c r="V652" s="496">
        <f>IF($D652="",0,IF($D652=$D649,IF($B652=" ",IF(I654="",IF(OR(AND(I652="DNB1",I653="DNB2"),AND(OR(I652="DNB1",I652="DNB2"),J653=0),AND(OR(I653="DNB1",I653="DNB2"),J652=0),AND(I652="DNB2",I653="DNB1"),AND(IF(J652=0,(J652+1)/ROUND(J652+1,0),J652/ROUND(J652,0))=1,IF(J653=0,(J653+1)/ROUND(IF(J653="",0,J653)+1,0),IF(J653="",0,J653)/ROUND(IF(J653="",1,J653),0))=1,OR(J652&lt;&gt;""),J653&lt;&gt;"")),0,IF(S652&lt;0,IF(I654="",SMALL(P652:P653,1)-SUM(O652:O653),0),SMALL(P652:P653,1)-SUM(O652:O653))),IF(S652&lt;0,IF(I654="",SMALL(P652:P654,1)-SUM(O652:O654),0),LARGE(P652:P654,1)-SUM(O652:O654))),S652)+V649,IF(I654="",IF(OR(AND(I652="DNB1",I653="DNB2"),AND(OR(I652="DNB1",I652="DNB2"),J653=0),AND(OR(I653="DNB1",I653="DNB2"),J652=0),AND(I652="DNB2",I653="DNB1"),AND(IF(J652=0,(J652+1)/ROUND(J652+1,0),J652/ROUND(J652,0))=1,IF(J653=0,(IF(J653="",0,J653)+1)/ROUND(IF(J653="",0,J653)+1,0),IF(J653="",0,J653)/ROUND(IF(J653="",0,J653)+1,0))=1,OR(J652&lt;&gt;""),J653&lt;&gt;"")),0,IF(S652&lt;0,IF(I654="",SMALL(P652:P653,1)-SUM(O652:O653),0),SMALL(P652:P654,1)-SUM(O652:O654))),IF(S652&lt;0,IF(I654="",SMALL(P652:P654,1)-SUM(O652:O654),0),LARGE(P652:P654,1)-SUM(O652:O654)))))</f>
        <v>37.147999999999996</v>
      </c>
      <c r="W652" s="496">
        <f>IF($D652=$D649,IF(S652&lt;0,IF(I654="",S652,0),S652)+W649,S652)</f>
        <v>37.15</v>
      </c>
      <c r="X652" s="505" t="str">
        <f>IF(OR(SUM(R652:R654)=0,V652=W652),ROUND(IF(W652=0,0,W652/Y652)*100,2)&amp;"%",ROUND(IF(V652=0,0,V652/Y652)*100,2)&amp;"% a "&amp;ROUND(IF(W652=0,0,W652/Y652)*100,2)&amp;"%")</f>
        <v>9,27%</v>
      </c>
      <c r="Y652" s="497">
        <f>IF($D652=$D649,Y649+SUM(O652:O654),SUM(O652:O654))</f>
        <v>400.73</v>
      </c>
      <c r="Z652" s="496">
        <f>IF($B652=" ",SUM(O652:O654),0)+Z649</f>
        <v>0</v>
      </c>
      <c r="AA652" s="496">
        <f>IF(G652="","",IF($B652="Anulado",LARGE(P652:P654,1)-SUM(O652:O654)+AA649,AA649))</f>
        <v>13.381099999999991</v>
      </c>
      <c r="AB652" s="496">
        <f>IF($D652="","",AB649+S652)</f>
        <v>714.78000000000054</v>
      </c>
      <c r="AC652" s="499">
        <f ca="1">IF($D652="","",IF($B652=" ",IF(DAY(G652)=DAY(TODAY()),1+AC649,0+AC649),0+AC649))</f>
        <v>0</v>
      </c>
      <c r="AD652" s="157">
        <f>(1-_xlfn.XLOOKUP(K650,'Fevereiro 2023 - Valor Real'!A3:A15,'Fevereiro 2023 - Valor Real'!C3:C15,0))+1</f>
        <v>1.9350000000000001</v>
      </c>
      <c r="AE652" s="158">
        <f>IF(L652="","",IF(L654&gt;0,(SUM(((L652-1)*(1-_xlfn.XLOOKUP(K652,'Fevereiro 2023 - Valor Real'!A3:A15,'Fevereiro 2023 - Valor Real'!C3:C15,0))+1),((L653-1)*(1-_xlfn.XLOOKUP(K653,'Fevereiro 2023 - Valor Real'!A3:A15,'Fevereiro 2023 - Valor Real'!C3:C15,0))+1),((L654-1)*(1-_xlfn.XLOOKUP(K654,'Fevereiro 2023 - Valor Real'!A3:A15,'Fevereiro 2023 - Valor Real'!C3:C15,0))+1))/((L652-1)*(1-_xlfn.XLOOKUP(K652,'Fevereiro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Real'!C3:C15,0))+1))/((L652-1)*(1-_xlfn.XLOOKUP(K652,'Fevereiro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Real'!C3:C15,0))+1))/((L653-1)*(1-_xlfn.XLOOKUP(K653,'Fevereiro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Real'!C3:C15,0))+1))/((L654-1)*(1-_xlfn.XLOOKUP(K654,'Fevereiro 2023 - Valor Real'!A3:A15,'Fevereiro 2023 - Valor Real'!C3:C15,0))+1)),IF(I652="Lay",IF(I653="Lay",((L653/(L653-1)-1)*(1-_xlfn.XLOOKUP(K653,'Fevereiro 2023 - Valor Real'!A3:A15,'Fevereiro 2023 - Valor Real'!C3:C15,0))+1)/(((L653/(L653-1)-1)*(1-_xlfn.XLOOKUP(K653,'Fevereiro 2023 - Valor Real'!A3:A15,'Fevereiro 2023 - Valor Real'!C3:C15,0))+1)+((L652/(L652-1)-1)*(1-_xlfn.XLOOKUP(K652,'Fevereiro 2023 - Valor Real'!A3:A15,'Fevereiro 2023 - Valor Real'!C3:C15,0))+1)),((L653-1)*(1-_xlfn.XLOOKUP(K653,'Fevereiro 2023 - Valor Real'!A3:A15,'Fevereiro 2023 - Valor Real'!C3:C15,0))+1)/(((L653-1)*(1-_xlfn.XLOOKUP(K653,'Fevereiro 2023 - Valor Real'!A3:A15,'Fevereiro 2023 - Valor Real'!C3:C15,0))+1)+((L652/(L652-1)-1)*(1-_xlfn.XLOOKUP(K652,'Fevereiro 2023 - Valor Real'!A3:A15,'Fevereiro 2023 - Valor Real'!C3:C15,0))+1))),IF(I653="Lay",(((L653/(L653-1)-1)*(1-_xlfn.XLOOKUP(K653,'Fevereiro 2023 - Valor Real'!A3:A15,'Fevereiro 2023 - Valor Real'!C3:C15,0))+1))/(((L652-1)*(1-_xlfn.XLOOKUP(K652,'Fevereiro 2023 - Valor Real'!A3:A15,'Fevereiro 2023 - Valor Real'!C3:C15,0))+1)+((L653/(L653-1)-1)*(1-_xlfn.XLOOKUP(K653,'Fevereiro 2023 - Valor Real'!A3:A15,'Fevereiro 2023 - Valor Real'!C3:C15,0))+1)),((L653-1)*(1-_xlfn.XLOOKUP(K653,'Fevereiro 2023 - Valor Real'!A3:A15,'Fevereiro 2023 - Valor Real'!C3:C15,0))+1)/(((L653-1)*(1-_xlfn.XLOOKUP(K653,'Fevereiro 2023 - Valor Real'!A3:A15,'Fevereiro 2023 - Valor Real'!C3:C15,0))+1)+((L652-1)*(1-_xlfn.XLOOKUP(K652,'Fevereiro 2023 - Valor Real'!A3:A15,'Fevereiro 2023 - Valor Real'!C3:C15,0))+1))))))</f>
        <v>0.45742621516268467</v>
      </c>
      <c r="AF652" s="66">
        <f t="shared" si="1282"/>
        <v>0</v>
      </c>
      <c r="AG652" s="67">
        <f t="shared" si="1282"/>
        <v>0</v>
      </c>
      <c r="AH652" s="67">
        <f t="shared" si="1282"/>
        <v>0</v>
      </c>
      <c r="AI652" s="67">
        <f t="shared" si="1282"/>
        <v>0</v>
      </c>
      <c r="AJ652" s="67">
        <f t="shared" si="1282"/>
        <v>-7.08</v>
      </c>
      <c r="AK652" s="67">
        <f t="shared" si="1282"/>
        <v>0</v>
      </c>
      <c r="AL652" s="67">
        <f t="shared" si="1282"/>
        <v>0</v>
      </c>
      <c r="AM652" s="67">
        <f t="shared" si="1282"/>
        <v>0</v>
      </c>
      <c r="AN652" s="67">
        <f t="shared" si="1282"/>
        <v>0</v>
      </c>
      <c r="AO652" s="67">
        <f t="shared" si="1282"/>
        <v>0</v>
      </c>
      <c r="AP652" s="67">
        <f t="shared" si="1282"/>
        <v>0</v>
      </c>
      <c r="AQ652" s="67">
        <f t="shared" si="1282"/>
        <v>0</v>
      </c>
      <c r="AR652" s="68">
        <f t="shared" si="1282"/>
        <v>0</v>
      </c>
      <c r="AS652" s="66">
        <f t="shared" ref="AS652:BE652" si="1324">IF(AND($B652=" ",$K652=AS$3),$O652,0)</f>
        <v>0</v>
      </c>
      <c r="AT652" s="67">
        <f t="shared" si="1324"/>
        <v>0</v>
      </c>
      <c r="AU652" s="67">
        <f t="shared" si="1324"/>
        <v>0</v>
      </c>
      <c r="AV652" s="67">
        <f t="shared" si="1324"/>
        <v>0</v>
      </c>
      <c r="AW652" s="67">
        <f t="shared" si="1324"/>
        <v>0</v>
      </c>
      <c r="AX652" s="67">
        <f t="shared" si="1324"/>
        <v>0</v>
      </c>
      <c r="AY652" s="69">
        <f t="shared" si="1324"/>
        <v>0</v>
      </c>
      <c r="AZ652" s="70">
        <f t="shared" si="1324"/>
        <v>0</v>
      </c>
      <c r="BA652" s="70">
        <f t="shared" si="1324"/>
        <v>0</v>
      </c>
      <c r="BB652" s="70">
        <f t="shared" si="1324"/>
        <v>0</v>
      </c>
      <c r="BC652" s="71">
        <f t="shared" si="1324"/>
        <v>0</v>
      </c>
      <c r="BD652" s="67">
        <f t="shared" si="1324"/>
        <v>0</v>
      </c>
      <c r="BE652" s="68">
        <f t="shared" si="1324"/>
        <v>0</v>
      </c>
      <c r="BF652" s="66">
        <f t="shared" si="1284"/>
        <v>0</v>
      </c>
      <c r="BG652" s="67">
        <f t="shared" si="1284"/>
        <v>0</v>
      </c>
      <c r="BH652" s="67">
        <f t="shared" si="1284"/>
        <v>0</v>
      </c>
      <c r="BI652" s="67">
        <f t="shared" si="1284"/>
        <v>0</v>
      </c>
      <c r="BJ652" s="67">
        <f t="shared" si="1284"/>
        <v>7.08</v>
      </c>
      <c r="BK652" s="67">
        <f t="shared" si="1284"/>
        <v>0</v>
      </c>
      <c r="BL652" s="67">
        <f t="shared" si="1284"/>
        <v>0</v>
      </c>
      <c r="BM652" s="69">
        <f t="shared" si="1284"/>
        <v>0</v>
      </c>
      <c r="BN652" s="70">
        <f t="shared" si="1284"/>
        <v>0</v>
      </c>
      <c r="BO652" s="70">
        <f t="shared" si="1284"/>
        <v>0</v>
      </c>
      <c r="BP652" s="70">
        <f t="shared" si="1284"/>
        <v>0</v>
      </c>
      <c r="BQ652" s="71">
        <f t="shared" si="1284"/>
        <v>0</v>
      </c>
      <c r="BR652" s="68">
        <f t="shared" si="1284"/>
        <v>0</v>
      </c>
      <c r="BS652" s="490">
        <f>IF($B652="LOSS",IF(AND($K652=BS$3,$C652="L"),-$O652,0)+IF(AND($K653=BS$3,$C653="L"),-$O653,0)+IF(AND($K654=BS$3,$C654="L"),-$O654,0),IF(OR(AND($K652=BS$3,OR($C652="W",$C652="1/2W")),AND($K653=BS$3,OR($C653="W",$C653="1/2W")),AND($K654=BS$3,OR($C654="W",$C654="1/2W"))),$S652,0))</f>
        <v>0</v>
      </c>
      <c r="BT652" s="498">
        <f>IF($B652="LOSS",IF(AND($K652=BT$3,$C652="L"),-$O652,0)+IF(AND($K653=BT$3,$C653="L"),-$O653,0)+IF(AND($K653=BT$3,$C654="L"),-$O654,0),IF(OR(AND($K653=BT$3,OR($C652="W",$C652="1/2W")),AND($K653=BT$3,OR($C653="W",$C653="1/2W")),AND($K653=BT$3,OR($C654="W",$C654="1/2W"))),$S652,0))</f>
        <v>0</v>
      </c>
      <c r="BU652" s="488">
        <f>IF($B652="LOSS",IF(AND($K652=BU$3,$C652="L"),-$O652,0)+IF(AND($K653=BU$3,$C653="L"),-$O653,0)+IF(AND($K653=BU$3,$C654="L"),-$O654,0),IF(OR(AND($K653=BU$3,OR($C652="W",$C652="1/2W")),AND($K653=BU$3,OR($C653="W",$C653="1/2W")),AND($K653=BU$3,OR($C654="W",$C654="1/2W"))),$S652,0))</f>
        <v>2.86</v>
      </c>
      <c r="BV652" s="488">
        <f t="shared" ref="BV652:CE652" si="1325">IF($B652="LOSS",IF(AND($K652=BV$3,$C652="L"),-$O652,0)+IF(AND($K653=BV$3,$C653="L"),-$O653,0)+IF(AND($K654=BV$3,$C654="L"),-$O654,0),IF(OR(AND($K652=BV$3,OR($C652="W",$C652="1/2W")),AND($K653=BV$3,OR($C653="W",$C653="1/2W")),AND($K654=BV$3,OR($C654="W",$C654="1/2W"))),$S652,0))</f>
        <v>0</v>
      </c>
      <c r="BW652" s="488">
        <f t="shared" si="1325"/>
        <v>0</v>
      </c>
      <c r="BX652" s="488">
        <f t="shared" si="1325"/>
        <v>0</v>
      </c>
      <c r="BY652" s="488">
        <f t="shared" si="1325"/>
        <v>0</v>
      </c>
      <c r="BZ652" s="488">
        <f t="shared" si="1325"/>
        <v>0</v>
      </c>
      <c r="CA652" s="488">
        <f t="shared" si="1325"/>
        <v>0</v>
      </c>
      <c r="CB652" s="488">
        <f t="shared" si="1325"/>
        <v>0</v>
      </c>
      <c r="CC652" s="488">
        <f t="shared" si="1325"/>
        <v>0</v>
      </c>
      <c r="CD652" s="500">
        <f t="shared" si="1325"/>
        <v>0</v>
      </c>
      <c r="CE652" s="504">
        <f t="shared" si="1325"/>
        <v>0</v>
      </c>
      <c r="CF652" s="160">
        <f t="shared" si="1285"/>
        <v>0</v>
      </c>
      <c r="CG652" s="161">
        <f t="shared" si="1286"/>
        <v>0</v>
      </c>
      <c r="CH652" s="161">
        <f t="shared" si="1287"/>
        <v>0</v>
      </c>
      <c r="CI652" s="161">
        <f t="shared" si="1288"/>
        <v>0</v>
      </c>
      <c r="CJ652" s="161">
        <f t="shared" si="1289"/>
        <v>0</v>
      </c>
      <c r="CK652" s="161">
        <f t="shared" si="1290"/>
        <v>0</v>
      </c>
      <c r="CL652" s="161">
        <f t="shared" si="1291"/>
        <v>0</v>
      </c>
      <c r="CM652" s="161">
        <f t="shared" si="1292"/>
        <v>0</v>
      </c>
      <c r="CN652" s="161">
        <f t="shared" si="1293"/>
        <v>0</v>
      </c>
      <c r="CO652" s="161">
        <f t="shared" si="1294"/>
        <v>1</v>
      </c>
      <c r="CP652" s="161">
        <f t="shared" si="1295"/>
        <v>0</v>
      </c>
      <c r="CQ652" s="161">
        <f t="shared" si="1296"/>
        <v>0</v>
      </c>
      <c r="CR652" s="161">
        <f t="shared" si="1297"/>
        <v>0</v>
      </c>
      <c r="CS652" s="161">
        <f t="shared" si="1298"/>
        <v>0</v>
      </c>
      <c r="CT652" s="75">
        <f t="shared" si="1299"/>
        <v>0</v>
      </c>
      <c r="CU652" s="76">
        <f t="shared" si="1300"/>
        <v>0</v>
      </c>
      <c r="CV652" s="76">
        <f t="shared" si="1301"/>
        <v>0</v>
      </c>
      <c r="CW652" s="76">
        <f t="shared" si="1302"/>
        <v>0</v>
      </c>
      <c r="CX652" s="76">
        <f t="shared" si="1303"/>
        <v>0</v>
      </c>
      <c r="CY652" s="76">
        <f t="shared" si="1304"/>
        <v>0</v>
      </c>
      <c r="CZ652" s="76">
        <f t="shared" si="1305"/>
        <v>0</v>
      </c>
      <c r="DA652" s="76">
        <f t="shared" si="1306"/>
        <v>0</v>
      </c>
      <c r="DB652" s="76">
        <f t="shared" si="1307"/>
        <v>0</v>
      </c>
      <c r="DC652" s="76">
        <f t="shared" si="1308"/>
        <v>0</v>
      </c>
      <c r="DD652" s="76">
        <f t="shared" si="1309"/>
        <v>0</v>
      </c>
      <c r="DE652" s="77">
        <f t="shared" si="1310"/>
        <v>0</v>
      </c>
      <c r="DF652" s="73">
        <f t="shared" si="1312"/>
        <v>37</v>
      </c>
      <c r="DG652" s="67">
        <f t="shared" si="1313"/>
        <v>48.627999999999993</v>
      </c>
      <c r="DH652" s="76">
        <f t="shared" si="1314"/>
        <v>14</v>
      </c>
      <c r="DI652" s="67">
        <f t="shared" si="1315"/>
        <v>60.05</v>
      </c>
      <c r="DJ652" s="202" t="str">
        <f>IF($D652="","",$D652)</f>
        <v>21</v>
      </c>
      <c r="DK652" s="492">
        <f>IF(AND($B652=" ",$D652&lt;&gt;""),1,0)</f>
        <v>0</v>
      </c>
    </row>
    <row r="653" spans="1:115" ht="14.5" customHeight="1" x14ac:dyDescent="0.2">
      <c r="A653" s="389"/>
      <c r="B653" s="456"/>
      <c r="C653" s="53" t="s">
        <v>54</v>
      </c>
      <c r="D653" s="374"/>
      <c r="E653" s="386"/>
      <c r="F653" s="377"/>
      <c r="G653" s="508"/>
      <c r="H653" s="476"/>
      <c r="I653" s="182" t="s">
        <v>88</v>
      </c>
      <c r="J653" s="163" t="str">
        <f>IF(OR(I652="TO",I652="TU",I652="TO1",I652="TU1",I652="TO2",I652="TU2"),J652,IF(OR(I652="AH1",I652="AH2"),IF(OR(I653="AH1",I653="AH2"),-J652,IF(OR(I653="EH1",I653="EH2"),-J652+0.5,"")),IF(OR(I652="EH1",I652="EH2"),IF(OR(I653="AH1",I653="AH2"),-J652+0.5,IF(OR(I653="EH1",I653="EH2"),-J652+1,"")),IF(AND(OR(I652="DNB1",I652="DNB2"),OR(I653="AH1",I653="AH2")),0,IF(AND(I652="Not ScoreBoth",OR(I653="TO1",I653="TO2")),0.5,"")))))</f>
        <v/>
      </c>
      <c r="K653" s="57" t="s">
        <v>38</v>
      </c>
      <c r="L653" s="164">
        <v>1.79</v>
      </c>
      <c r="M653" s="165"/>
      <c r="N653" s="406"/>
      <c r="O653" s="60">
        <f>IF(OR(AE652="",AE653=""),"",ROUND(IF(L654&gt;0,IF(M653&gt;0,M653,IF(M652&gt;0,IF(N652=TRUE,ROUND((M652*AE653)/AE652,0),(M652*AE653)/AE652),IF(M653&gt;0,ROUND(M653,IF(N652=0,2,IF(N652=0.1,1,0))),IF(M654&gt;0,ROUND(O654*AE653/AE654,IF(N652=0,2,IF(N652=0.1,1,0))),0)))),IF(M653&gt;0,M653,ROUND((M652*AE653)/AE652,IF(N652=0,2,IF(N652=0.1,1,0))))),2))</f>
        <v>8.4</v>
      </c>
      <c r="P653" s="61">
        <f>IF(OR(L653="",O653=""),"",IF($C653="1/2W",O653/2+O653/2*L653,IF($C653="1/2L",O653/2,IF(I653="Lay",((O653*(L653/(L653-1)))-O653)*(1-_xlfn.XLOOKUP(K653,'Fevereiro 2023 - Valor Real'!A3:A15,'Fevereiro 2023 - Valor Real'!C3:C15,0))+O653,(O653*L653-O653)*(1-_xlfn.XLOOKUP(K653,'Fevereiro 2023 - Valor Real'!A3:A15,'Fevereiro 2023 - Valor Real'!C3:C15,0))+O653))))</f>
        <v>18.341772151898738</v>
      </c>
      <c r="Q653" s="166">
        <f>IF(K653="","",IF(_xlfn.XLOOKUP(K653,K$10:K644,$DJ$10:DJ644,0,,-1)=DJ653,_xlfn.XLOOKUP(K653,K$10:K644,Q$10:Q644,1,,-1)+1,1))</f>
        <v>2</v>
      </c>
      <c r="R653" s="167">
        <f>IF(K653="","",_xlfn.XLOOKUP(K653,K$10:K644,R$10:R644,0,,-1)+IF($C653=" ",1,0))</f>
        <v>0</v>
      </c>
      <c r="S653" s="403"/>
      <c r="T653" s="380"/>
      <c r="U653" s="380"/>
      <c r="V653" s="481"/>
      <c r="W653" s="380"/>
      <c r="X653" s="452"/>
      <c r="Y653" s="383"/>
      <c r="Z653" s="384"/>
      <c r="AA653" s="384"/>
      <c r="AB653" s="384"/>
      <c r="AC653" s="384"/>
      <c r="AD653" s="64"/>
      <c r="AE653" s="65">
        <f>IF(L653="","",IF(L654&gt;0,(SUM(((L652-1)*(1-_xlfn.XLOOKUP(K652,'Fevereiro 2023 - Valor Real'!A3:A15,'Fevereiro 2023 - Valor Real'!C3:C15,0))+1),((L653-1)*(1-_xlfn.XLOOKUP(K653,'Fevereiro 2023 - Valor Real'!A3:A15,'Fevereiro 2023 - Valor Real'!C3:C15,0))+1),((L654-1)*(1-_xlfn.XLOOKUP(K654,'Fevereiro 2023 - Valor Real'!A3:A15,'Fevereiro 2023 - Valor Real'!C3:C15,0))+1))/((L653-1)*(1-_xlfn.XLOOKUP(K653,'Fevereiro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Real'!C3:C15,0))+1))/((L652-1)*(1-_xlfn.XLOOKUP(K652,'Fevereiro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Real'!C3:C15,0))+1))/((L653-1)*(1-_xlfn.XLOOKUP(K653,'Fevereiro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Real'!C3:C15,0))+1))/((L654-1)*(1-_xlfn.XLOOKUP(K654,'Fevereiro 2023 - Valor Real'!A3:A15,'Fevereiro 2023 - Valor Real'!C3:C15,0))+1)),IF(I653="Lay",IF(I652="Lay",((L652/(L652-1)-1)*(1-_xlfn.XLOOKUP(K652,'Fevereiro 2023 - Valor Real'!A3:A15,'Fevereiro 2023 - Valor Real'!C3:C15,0))+1)/(((L652/(L652-1)-1)*(1-_xlfn.XLOOKUP(K652,'Fevereiro 2023 - Valor Real'!A3:A15,'Fevereiro 2023 - Valor Real'!C3:C15,0))+1)+((L653/(L653-1)-1)*(1-_xlfn.XLOOKUP(K653,'Fevereiro 2023 - Valor Real'!A3:A15,'Fevereiro 2023 - Valor Real'!C3:C15,0))+1)),((L652-1)*(1-_xlfn.XLOOKUP(K652,'Fevereiro 2023 - Valor Real'!A3:A15,'Fevereiro 2023 - Valor Real'!C3:C15,0))+1)/(((L652-1)*(1-_xlfn.XLOOKUP(K652,'Fevereiro 2023 - Valor Real'!A3:A15,'Fevereiro 2023 - Valor Real'!C3:C15,0))+1)+((L653/(L653-1)-1)*(1-_xlfn.XLOOKUP(K653,'Fevereiro 2023 - Valor Real'!A3:A15,'Fevereiro 2023 - Valor Real'!C3:C15,0))+1))),IF(I652="Lay",((L652/(L652-1)-1)*(1-_xlfn.XLOOKUP(K652,'Fevereiro 2023 - Valor Real'!A3:A15,'Fevereiro 2023 - Valor Real'!C3:C15,0))+1)/((((L652/(L652-1)-1)*(1-_xlfn.XLOOKUP(K652,'Fevereiro 2023 - Valor Real'!A3:A15,'Fevereiro 2023 - Valor Real'!C3:C15,0))+1))+((L653-1)*(1-_xlfn.XLOOKUP(K653,'Fevereiro 2023 - Valor Real'!A3:A15,'Fevereiro 2023 - Valor Real'!C3:C15,0))+1)),((L652-1)*(1-_xlfn.XLOOKUP(K652,'Fevereiro 2023 - Valor Real'!A3:A15,'Fevereiro 2023 - Valor Real'!C3:C15,0))+1)/(((L652-1)*(1-_xlfn.XLOOKUP(K652,'Fevereiro 2023 - Valor Real'!A3:A15,'Fevereiro 2023 - Valor Real'!C3:C15,0))+1)+((L653-1)*(1-_xlfn.XLOOKUP(K653,'Fevereiro 2023 - Valor Real'!A3:A15,'Fevereiro 2023 - Valor Real'!C3:C15,0))+1))))))</f>
        <v>0.54257378483731533</v>
      </c>
      <c r="AF653" s="66">
        <f t="shared" si="1282"/>
        <v>0</v>
      </c>
      <c r="AG653" s="67">
        <f t="shared" si="1282"/>
        <v>0</v>
      </c>
      <c r="AH653" s="67">
        <f t="shared" si="1282"/>
        <v>9.94</v>
      </c>
      <c r="AI653" s="67">
        <f t="shared" si="1282"/>
        <v>0</v>
      </c>
      <c r="AJ653" s="67">
        <f t="shared" si="1282"/>
        <v>0</v>
      </c>
      <c r="AK653" s="67">
        <f t="shared" si="1282"/>
        <v>0</v>
      </c>
      <c r="AL653" s="67">
        <f t="shared" si="1282"/>
        <v>0</v>
      </c>
      <c r="AM653" s="67">
        <f t="shared" si="1282"/>
        <v>0</v>
      </c>
      <c r="AN653" s="67">
        <f t="shared" si="1282"/>
        <v>0</v>
      </c>
      <c r="AO653" s="67">
        <f t="shared" si="1282"/>
        <v>0</v>
      </c>
      <c r="AP653" s="67">
        <f t="shared" si="1282"/>
        <v>0</v>
      </c>
      <c r="AQ653" s="67">
        <f t="shared" si="1282"/>
        <v>0</v>
      </c>
      <c r="AR653" s="68">
        <f t="shared" si="1282"/>
        <v>0</v>
      </c>
      <c r="AS653" s="66">
        <f>IF(AND($B652=" ",$K653=AS$3),$O653,0)</f>
        <v>0</v>
      </c>
      <c r="AT653" s="67">
        <f>IF(AND($B652=" ",K653=AT$3),$O653,0)</f>
        <v>0</v>
      </c>
      <c r="AU653" s="67">
        <f t="shared" ref="AU653:BE653" si="1326">IF(AND($B652=" ",$K653=AU$3),$O653,0)</f>
        <v>0</v>
      </c>
      <c r="AV653" s="67">
        <f t="shared" si="1326"/>
        <v>0</v>
      </c>
      <c r="AW653" s="67">
        <f t="shared" si="1326"/>
        <v>0</v>
      </c>
      <c r="AX653" s="67">
        <f t="shared" si="1326"/>
        <v>0</v>
      </c>
      <c r="AY653" s="69">
        <f t="shared" si="1326"/>
        <v>0</v>
      </c>
      <c r="AZ653" s="70">
        <f t="shared" si="1326"/>
        <v>0</v>
      </c>
      <c r="BA653" s="70">
        <f t="shared" si="1326"/>
        <v>0</v>
      </c>
      <c r="BB653" s="70">
        <f t="shared" si="1326"/>
        <v>0</v>
      </c>
      <c r="BC653" s="71">
        <f t="shared" si="1326"/>
        <v>0</v>
      </c>
      <c r="BD653" s="67">
        <f t="shared" si="1326"/>
        <v>0</v>
      </c>
      <c r="BE653" s="68">
        <f t="shared" si="1326"/>
        <v>0</v>
      </c>
      <c r="BF653" s="66">
        <f t="shared" si="1284"/>
        <v>0</v>
      </c>
      <c r="BG653" s="168">
        <f t="shared" si="1284"/>
        <v>0</v>
      </c>
      <c r="BH653" s="67">
        <f t="shared" si="1284"/>
        <v>8.4</v>
      </c>
      <c r="BI653" s="67">
        <f t="shared" si="1284"/>
        <v>0</v>
      </c>
      <c r="BJ653" s="67">
        <f t="shared" si="1284"/>
        <v>0</v>
      </c>
      <c r="BK653" s="67">
        <f t="shared" si="1284"/>
        <v>0</v>
      </c>
      <c r="BL653" s="67">
        <f t="shared" si="1284"/>
        <v>0</v>
      </c>
      <c r="BM653" s="69">
        <f t="shared" si="1284"/>
        <v>0</v>
      </c>
      <c r="BN653" s="70">
        <f t="shared" si="1284"/>
        <v>0</v>
      </c>
      <c r="BO653" s="70">
        <f t="shared" si="1284"/>
        <v>0</v>
      </c>
      <c r="BP653" s="70">
        <f t="shared" si="1284"/>
        <v>0</v>
      </c>
      <c r="BQ653" s="71">
        <f t="shared" si="1284"/>
        <v>0</v>
      </c>
      <c r="BR653" s="68">
        <f t="shared" si="1284"/>
        <v>0</v>
      </c>
      <c r="BS653" s="491"/>
      <c r="BT653" s="489"/>
      <c r="BU653" s="392"/>
      <c r="BV653" s="489"/>
      <c r="BW653" s="392"/>
      <c r="BX653" s="392"/>
      <c r="BY653" s="392"/>
      <c r="BZ653" s="489"/>
      <c r="CA653" s="392"/>
      <c r="CB653" s="392"/>
      <c r="CC653" s="392"/>
      <c r="CD653" s="401"/>
      <c r="CE653" s="409"/>
      <c r="CF653" s="169">
        <f t="shared" si="1285"/>
        <v>0</v>
      </c>
      <c r="CG653" s="170">
        <f t="shared" si="1286"/>
        <v>0</v>
      </c>
      <c r="CH653" s="170">
        <f t="shared" si="1287"/>
        <v>0</v>
      </c>
      <c r="CI653" s="170">
        <f t="shared" si="1288"/>
        <v>0</v>
      </c>
      <c r="CJ653" s="170">
        <f t="shared" si="1289"/>
        <v>1</v>
      </c>
      <c r="CK653" s="170">
        <f t="shared" si="1290"/>
        <v>0</v>
      </c>
      <c r="CL653" s="170">
        <f t="shared" si="1291"/>
        <v>0</v>
      </c>
      <c r="CM653" s="170">
        <f t="shared" si="1292"/>
        <v>0</v>
      </c>
      <c r="CN653" s="170">
        <f t="shared" si="1293"/>
        <v>0</v>
      </c>
      <c r="CO653" s="170">
        <f t="shared" si="1294"/>
        <v>0</v>
      </c>
      <c r="CP653" s="170">
        <f t="shared" si="1295"/>
        <v>0</v>
      </c>
      <c r="CQ653" s="170">
        <f t="shared" si="1296"/>
        <v>0</v>
      </c>
      <c r="CR653" s="170">
        <f t="shared" si="1297"/>
        <v>0</v>
      </c>
      <c r="CS653" s="170">
        <f t="shared" si="1298"/>
        <v>0</v>
      </c>
      <c r="CT653" s="75">
        <f t="shared" si="1299"/>
        <v>0</v>
      </c>
      <c r="CU653" s="76">
        <f t="shared" si="1300"/>
        <v>0</v>
      </c>
      <c r="CV653" s="76">
        <f t="shared" si="1301"/>
        <v>0</v>
      </c>
      <c r="CW653" s="76">
        <f t="shared" si="1302"/>
        <v>0</v>
      </c>
      <c r="CX653" s="76">
        <f t="shared" si="1303"/>
        <v>0</v>
      </c>
      <c r="CY653" s="76">
        <f t="shared" si="1304"/>
        <v>0</v>
      </c>
      <c r="CZ653" s="76">
        <f t="shared" si="1305"/>
        <v>0</v>
      </c>
      <c r="DA653" s="76">
        <f t="shared" si="1306"/>
        <v>0</v>
      </c>
      <c r="DB653" s="76">
        <f t="shared" si="1307"/>
        <v>0</v>
      </c>
      <c r="DC653" s="76">
        <f t="shared" si="1308"/>
        <v>0</v>
      </c>
      <c r="DD653" s="76">
        <f t="shared" si="1309"/>
        <v>0</v>
      </c>
      <c r="DE653" s="77">
        <f t="shared" si="1310"/>
        <v>0</v>
      </c>
      <c r="DF653" s="73">
        <f t="shared" si="1312"/>
        <v>37</v>
      </c>
      <c r="DG653" s="67">
        <f t="shared" si="1313"/>
        <v>48.627999999999993</v>
      </c>
      <c r="DH653" s="76">
        <f t="shared" si="1314"/>
        <v>14</v>
      </c>
      <c r="DI653" s="67">
        <f t="shared" si="1315"/>
        <v>60.05</v>
      </c>
      <c r="DJ653" s="202" t="str">
        <f>IF($D652="","",$D652)</f>
        <v>21</v>
      </c>
      <c r="DK653" s="493"/>
    </row>
    <row r="654" spans="1:115" ht="14.5" customHeight="1" x14ac:dyDescent="0.2">
      <c r="A654" s="390"/>
      <c r="B654" s="457"/>
      <c r="C654" s="79" t="s">
        <v>53</v>
      </c>
      <c r="D654" s="375"/>
      <c r="E654" s="387"/>
      <c r="F654" s="378"/>
      <c r="G654" s="508"/>
      <c r="H654" s="477"/>
      <c r="I654" s="171"/>
      <c r="J654" s="172"/>
      <c r="K654" s="81"/>
      <c r="L654" s="173"/>
      <c r="M654" s="174"/>
      <c r="N654" s="407"/>
      <c r="O654" s="86" t="str">
        <f>IF(OR(AE652="",AE653=""),"",IF(L654&gt;0,ROUND(IF(M654&gt;0,M654,IF(M652&gt;0,ROUND((M652*AE654)/AE652,IF(N652=0,2,IF(N652=0.1,1,0))),IF(M653&gt;0,ROUND((M653*AE654)/AE653,IF(N652=0,2,IF(N652=0.1,1,0))),IF(M654&gt;0,M654,0)))),2),""))</f>
        <v/>
      </c>
      <c r="P654" s="188">
        <f>IF(I653="Lay",O653*(L653/(L653-1))-O653,IF(I652="Lay",O652*(L652/(L652-1))-O652,IF(OR(L654="",O654=""),"",IF($C654="1/2W",O654/2+O654/2*L654,IF($C654="1/2L",O654/2,(O654*L654-O654)*(1-_xlfn.XLOOKUP(K654,'Fevereiro 2023 - Valor Real'!A3:A15,'Fevereiro 2023 - Valor Real'!C3:C15,0))+O654)))))</f>
        <v>10.632911392405065</v>
      </c>
      <c r="Q654" s="54" t="str">
        <f>IF(K654="","",IF(_xlfn.XLOOKUP(K654,K$11:K644,$DJ$11:DJ644,0,,-1)=DJ654,_xlfn.XLOOKUP(K654,K$11:K644,Q$11:Q644,1,,-1)+1,1))</f>
        <v/>
      </c>
      <c r="R654" s="87" t="str">
        <f>IF(K654="","",_xlfn.XLOOKUP(K654,K$11:K644,R$11:R644,0,,-1)+IF($C654=" ",1,0))</f>
        <v/>
      </c>
      <c r="S654" s="404"/>
      <c r="T654" s="378"/>
      <c r="U654" s="378"/>
      <c r="V654" s="404"/>
      <c r="W654" s="378"/>
      <c r="X654" s="453"/>
      <c r="Y654" s="383"/>
      <c r="Z654" s="384"/>
      <c r="AA654" s="384"/>
      <c r="AB654" s="384"/>
      <c r="AC654" s="384"/>
      <c r="AD654" s="90"/>
      <c r="AE654" s="91" t="str">
        <f>IF(L654="","",(SUM(((L652-1)*(1-_xlfn.XLOOKUP(K652,'Fevereiro 2023 - Valor Real'!A3:A15,'Fevereiro 2023 - Valor Real'!C3:C15,0))+1),((L653-1)*(1-_xlfn.XLOOKUP(K653,'Fevereiro 2023 - Valor Real'!A3:A15,'Fevereiro 2023 - Valor Real'!C3:C15,0))+1),((L654-1)*(1-_xlfn.XLOOKUP(K654,'Fevereiro 2023 - Valor Real'!A3:A15,'Fevereiro 2023 - Valor Real'!C3:C15,0))+1))/((L654-1)*(1-_xlfn.XLOOKUP(K654,'Fevereiro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Real'!C3:C15,0))+1))/((L652-1)*(1-_xlfn.XLOOKUP(K652,'Fevereiro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Real'!C3:C15,0))+1))/((L653-1)*(1-_xlfn.XLOOKUP(K653,'Fevereiro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Real'!C3:C15,0))+1))/((L654-1)*(1-_xlfn.XLOOKUP(K654,'Fevereiro 2023 - Valor Real'!A3:A15,'Fevereiro 2023 - Valor Real'!C3:C15,0))+1)))</f>
        <v/>
      </c>
      <c r="AF654" s="66">
        <f t="shared" ref="AF654:AR663" si="1327">IF($K654=AF$3,ROUND(IF(OR($C654="W",$C654="1/2W",$C654="1/2L"),$P654-$O654,IF($C654="X",0,-$O654)),2),0)</f>
        <v>0</v>
      </c>
      <c r="AG654" s="67">
        <f t="shared" si="1327"/>
        <v>0</v>
      </c>
      <c r="AH654" s="67">
        <f t="shared" si="1327"/>
        <v>0</v>
      </c>
      <c r="AI654" s="67">
        <f t="shared" si="1327"/>
        <v>0</v>
      </c>
      <c r="AJ654" s="67">
        <f t="shared" si="1327"/>
        <v>0</v>
      </c>
      <c r="AK654" s="67">
        <f t="shared" si="1327"/>
        <v>0</v>
      </c>
      <c r="AL654" s="67">
        <f t="shared" si="1327"/>
        <v>0</v>
      </c>
      <c r="AM654" s="67">
        <f t="shared" si="1327"/>
        <v>0</v>
      </c>
      <c r="AN654" s="67">
        <f t="shared" si="1327"/>
        <v>0</v>
      </c>
      <c r="AO654" s="67">
        <f t="shared" si="1327"/>
        <v>0</v>
      </c>
      <c r="AP654" s="67">
        <f t="shared" si="1327"/>
        <v>0</v>
      </c>
      <c r="AQ654" s="67">
        <f t="shared" si="1327"/>
        <v>0</v>
      </c>
      <c r="AR654" s="68">
        <f t="shared" si="1327"/>
        <v>0</v>
      </c>
      <c r="AS654" s="66">
        <f>IF(AND($B652=" ",$K654=AS$3),$O654,0)</f>
        <v>0</v>
      </c>
      <c r="AT654" s="67">
        <f>IF(AND($B652=" ",K654=AT$3),$O654,0)</f>
        <v>0</v>
      </c>
      <c r="AU654" s="67">
        <f t="shared" ref="AU654:BE654" si="1328">IF(AND($B652=" ",$K654=AU$3),$O654,0)</f>
        <v>0</v>
      </c>
      <c r="AV654" s="67">
        <f t="shared" si="1328"/>
        <v>0</v>
      </c>
      <c r="AW654" s="67">
        <f t="shared" si="1328"/>
        <v>0</v>
      </c>
      <c r="AX654" s="67">
        <f t="shared" si="1328"/>
        <v>0</v>
      </c>
      <c r="AY654" s="69">
        <f t="shared" si="1328"/>
        <v>0</v>
      </c>
      <c r="AZ654" s="70">
        <f t="shared" si="1328"/>
        <v>0</v>
      </c>
      <c r="BA654" s="70">
        <f t="shared" si="1328"/>
        <v>0</v>
      </c>
      <c r="BB654" s="70">
        <f t="shared" si="1328"/>
        <v>0</v>
      </c>
      <c r="BC654" s="71">
        <f t="shared" si="1328"/>
        <v>0</v>
      </c>
      <c r="BD654" s="67">
        <f t="shared" si="1328"/>
        <v>0</v>
      </c>
      <c r="BE654" s="68">
        <f t="shared" si="1328"/>
        <v>0</v>
      </c>
      <c r="BF654" s="66">
        <f t="shared" ref="BF654:BR663" si="1329">IF($K654=BF$3,IF($C654="X",0,$O654),0)</f>
        <v>0</v>
      </c>
      <c r="BG654" s="168">
        <f t="shared" si="1329"/>
        <v>0</v>
      </c>
      <c r="BH654" s="67">
        <f t="shared" si="1329"/>
        <v>0</v>
      </c>
      <c r="BI654" s="67">
        <f t="shared" si="1329"/>
        <v>0</v>
      </c>
      <c r="BJ654" s="67">
        <f t="shared" si="1329"/>
        <v>0</v>
      </c>
      <c r="BK654" s="67">
        <f t="shared" si="1329"/>
        <v>0</v>
      </c>
      <c r="BL654" s="67">
        <f t="shared" si="1329"/>
        <v>0</v>
      </c>
      <c r="BM654" s="69">
        <f t="shared" si="1329"/>
        <v>0</v>
      </c>
      <c r="BN654" s="70">
        <f t="shared" si="1329"/>
        <v>0</v>
      </c>
      <c r="BO654" s="70">
        <f t="shared" si="1329"/>
        <v>0</v>
      </c>
      <c r="BP654" s="70">
        <f t="shared" si="1329"/>
        <v>0</v>
      </c>
      <c r="BQ654" s="71">
        <f t="shared" si="1329"/>
        <v>0</v>
      </c>
      <c r="BR654" s="68">
        <f t="shared" si="1329"/>
        <v>0</v>
      </c>
      <c r="BS654" s="491"/>
      <c r="BT654" s="489"/>
      <c r="BU654" s="392"/>
      <c r="BV654" s="489"/>
      <c r="BW654" s="392"/>
      <c r="BX654" s="392"/>
      <c r="BY654" s="392"/>
      <c r="BZ654" s="489"/>
      <c r="CA654" s="392"/>
      <c r="CB654" s="392"/>
      <c r="CC654" s="392"/>
      <c r="CD654" s="401"/>
      <c r="CE654" s="409"/>
      <c r="CF654" s="169">
        <f t="shared" si="1285"/>
        <v>0</v>
      </c>
      <c r="CG654" s="170">
        <f t="shared" si="1286"/>
        <v>0</v>
      </c>
      <c r="CH654" s="170">
        <f t="shared" si="1287"/>
        <v>0</v>
      </c>
      <c r="CI654" s="170">
        <f t="shared" si="1288"/>
        <v>0</v>
      </c>
      <c r="CJ654" s="170">
        <f t="shared" si="1289"/>
        <v>0</v>
      </c>
      <c r="CK654" s="170">
        <f t="shared" si="1290"/>
        <v>0</v>
      </c>
      <c r="CL654" s="170">
        <f t="shared" si="1291"/>
        <v>0</v>
      </c>
      <c r="CM654" s="170">
        <f t="shared" si="1292"/>
        <v>0</v>
      </c>
      <c r="CN654" s="170">
        <f t="shared" si="1293"/>
        <v>0</v>
      </c>
      <c r="CO654" s="170">
        <f t="shared" si="1294"/>
        <v>0</v>
      </c>
      <c r="CP654" s="170">
        <f t="shared" si="1295"/>
        <v>0</v>
      </c>
      <c r="CQ654" s="170">
        <f t="shared" si="1296"/>
        <v>0</v>
      </c>
      <c r="CR654" s="170">
        <f t="shared" si="1297"/>
        <v>0</v>
      </c>
      <c r="CS654" s="170">
        <f t="shared" si="1298"/>
        <v>0</v>
      </c>
      <c r="CT654" s="75">
        <f t="shared" si="1299"/>
        <v>0</v>
      </c>
      <c r="CU654" s="76">
        <f t="shared" si="1300"/>
        <v>0</v>
      </c>
      <c r="CV654" s="76">
        <f t="shared" si="1301"/>
        <v>0</v>
      </c>
      <c r="CW654" s="76">
        <f t="shared" si="1302"/>
        <v>0</v>
      </c>
      <c r="CX654" s="76">
        <f t="shared" si="1303"/>
        <v>0</v>
      </c>
      <c r="CY654" s="76">
        <f t="shared" si="1304"/>
        <v>0</v>
      </c>
      <c r="CZ654" s="76">
        <f t="shared" si="1305"/>
        <v>0</v>
      </c>
      <c r="DA654" s="76">
        <f t="shared" si="1306"/>
        <v>0</v>
      </c>
      <c r="DB654" s="76">
        <f t="shared" si="1307"/>
        <v>0</v>
      </c>
      <c r="DC654" s="76">
        <f t="shared" si="1308"/>
        <v>0</v>
      </c>
      <c r="DD654" s="76">
        <f t="shared" si="1309"/>
        <v>0</v>
      </c>
      <c r="DE654" s="77">
        <f t="shared" si="1310"/>
        <v>0</v>
      </c>
      <c r="DF654" s="73">
        <f t="shared" si="1312"/>
        <v>37</v>
      </c>
      <c r="DG654" s="67">
        <f t="shared" si="1313"/>
        <v>48.627999999999993</v>
      </c>
      <c r="DH654" s="76">
        <f t="shared" si="1314"/>
        <v>14</v>
      </c>
      <c r="DI654" s="67">
        <f t="shared" si="1315"/>
        <v>60.05</v>
      </c>
      <c r="DJ654" s="202" t="str">
        <f>IF($D652="","",$D652)</f>
        <v>21</v>
      </c>
      <c r="DK654" s="493"/>
    </row>
    <row r="655" spans="1:115" ht="14.5" customHeight="1" x14ac:dyDescent="0.2">
      <c r="A655" s="459">
        <f>$A652+1</f>
        <v>218</v>
      </c>
      <c r="B655" s="507" t="str">
        <f>IF(OR(C655="W",C656="W",C657="W",C655="1/2W",C656="1/2W",C657="1/2W",C655="1/2L",C656="1/2L",C657="1/2L"),"OK",IF(OR(C655="L",C656="L",C657="L"),"LOSS",IF(OR(C655="X",C656="X",C657="X"),"Anulado"," ")))</f>
        <v>OK</v>
      </c>
      <c r="C655" s="93" t="s">
        <v>55</v>
      </c>
      <c r="D655" s="468" t="str">
        <f>IF(G655="","",$D652)</f>
        <v>21</v>
      </c>
      <c r="E655" s="485" t="str">
        <f>IF(G655=""," ","– "&amp;COUNTIF(D$4:D657,$D655))</f>
        <v>– 14</v>
      </c>
      <c r="F655" s="509" t="str">
        <f ca="1">IF(G655="","",IF(OR(AND($C655&lt;&gt;" ",$C656=" "),AND($C656&lt;&gt;" ",$C655=" "),AND(L657&gt;0,OR(AND($C657&lt;&gt;" ",OR($C655=" ",$C656=" ")),AND($C657=" ",OR($C655&lt;&gt;" ",$C656&lt;&gt;" "))))),IF(SUM(F$4:F654)=0,1,LARGE(F$4:F654,1)+1),IF(MONTH(G655)=MONTH(TODAY()),IF(AND(DAY(G655)&lt;DAY(TODAY()),$B655=" "),IF(SUM(F$4:F654)=0,1,LARGE(F$4:F654,1)+1),IF($B655=" ",IF(AND(DAY(G655)=DAY(TODAY()),HOUR(G655)&lt;=HOUR(NOW())+1),IF(AND(HOUR(G655)+2&lt;=HOUR(NOW()),DAY(G655)&lt;=DAY(TODAY()),MINUTE(G655)&lt;=MINUTE(NOW())),IF(SUM(F$4:F654)=0,1,LARGE(F$4:F654,1)+1),IF(OR(MINUTE(G655)&lt;=MINUTE(NOW()),HOUR(G655)&lt;=HOUR(NOW())),"!!!","")),""),"")),"")))</f>
        <v/>
      </c>
      <c r="G655" s="482">
        <f>IF(H655="","",_xlfn.XLOOKUP(H655,$H$4:H654,$G$4:G654,""))</f>
        <v>45006.458333333336</v>
      </c>
      <c r="H655" s="475" t="s">
        <v>238</v>
      </c>
      <c r="I655" s="175">
        <v>2</v>
      </c>
      <c r="J655" s="176"/>
      <c r="K655" s="96" t="s">
        <v>40</v>
      </c>
      <c r="L655" s="97">
        <v>2.14</v>
      </c>
      <c r="M655" s="98">
        <v>19.739999999999998</v>
      </c>
      <c r="N655" s="478">
        <v>0</v>
      </c>
      <c r="O655" s="99">
        <f>IF(OR(AE655="",AE656=""),"",ROUND(IF(L657&gt;0,IF(M655&gt;0,M655,IF(M656&gt;0,ROUND((M656*AE655)/AE656,IF(N655=0,2,IF(N655=0.1,1,0))),ROUND((M657*AE655)/AE657,IF(N655=0,2,IF(N655=0.1,1,0))))),IF(M655&gt;0,M655,ROUND((M656*AE655)/AE656,IF(N655=0,2,IF(N655=0.1,1,0))))),2))</f>
        <v>19.739999999999998</v>
      </c>
      <c r="P655" s="100">
        <f>IF(OR(L655="",O655=""),"",IF($C655="1/2W",O655/2+O655/2*L655,IF($C655="1/2L",O655/2,IF(I655="Lay",(O655*(L655/(L655-1))-O655)*(1-_xlfn.XLOOKUP(K655,'Fevereiro 2023 - Valor Real'!A3:A15,'Fevereiro 2023 - Valor Real'!C3:C15,0))+O655,(O655*L655-O655)*(1-_xlfn.XLOOKUP(K655,'Fevereiro 2023 - Valor Real'!A3:A15,'Fevereiro 2023 - Valor Real'!C3:C15,0))+O655))))</f>
        <v>42.243600000000001</v>
      </c>
      <c r="Q655" s="101">
        <f>IF(K655="","",IF(_xlfn.XLOOKUP(K655,K$4:K654,$DJ$4:DJ654,0,,-1)=DJ655,_xlfn.XLOOKUP(K655,K$4:K654,Q$4:Q654,1,,-1)+1,1))</f>
        <v>6</v>
      </c>
      <c r="R655" s="102">
        <f>IF(K655="","",_xlfn.XLOOKUP(K655,K$4:K654,R$4:R654,0,,-1)+IF($C655=" ",1,0))</f>
        <v>0</v>
      </c>
      <c r="S655" s="474">
        <f>IF($B655="Anulado",0,ROUND(IF(OR($B655="LOSS",$B655="OK"),IF(OR($C655="W",$C655="1/2W",$C655="1/2L"),P655-O655,IF($C655="L",-O655,0))+IF(OR($C656="W",$C656="1/2W",$C656="1/2L"),P656-O656,IF($C656="L",-O656,0))+IF(OR($C657="W",$C657="1/2W",$C657="1/2L"),P657-O657,IF($C657="L",-O657,0)),IF(AND(OR($C655="W",$C655="1/2W",$C655="1/2L"),C656="W"),P655+P656-SUM(O655:O657)+_xlfn.XLOOKUP("X",C655:C657,O655:O657,0),IF(AND(C655=TRUE,C657="W"),P655+P657-SUM(O655:O657),IF(AND(C656="W",C657="W"),P656+P657-SUM(O655:O657)+_xlfn.XLOOKUP("X",C655:C657,O655:O657,0),IF(L657&gt;0,IF(OR($C655="W",$C655="1/2W",$C655="1/2L"),P655-SUM(O655:O657)+_xlfn.XLOOKUP("X",C655:C657,O655:O657,0),IF(OR($C655="W",$C655="1/2W",$C655="1/2L"),P656-SUM(O655:O657)+_xlfn.XLOOKUP("X",C655:C657,O655:O657,0),IF(OR($C655="W",$C655="1/2W",$C655="1/2L"),P657-SUM(O655:O657)+_xlfn.XLOOKUP("X",C655:C657,O655:O657,0),IF(SUM(P655:P657)/3-SUM(O655:O657)+_xlfn.XLOOKUP("X",C655:C657,O655:O657,0)&gt;0,SUM(P655:P657)/3-SUM(O655:O657)+_xlfn.XLOOKUP("X",C655:C657,O655:O657,0),LARGE(P655:P657,1)-SUM(O655:O657))))),IF(OR($C655="W",$C655="1/2W",$C655="1/2L"),P655-SUM(O655:O656)+_xlfn.XLOOKUP("X",C655:C657,O655:O657,0),IF(OR($C655="W",$C655="1/2W",$C655="1/2L"),P656-SUM(O655:O656)+_xlfn.XLOOKUP("X",C655:C657,O655:O657,0),SUM(P655:P656)/2-SUM(O655:O656)+_xlfn.XLOOKUP("X",C655:C657,O655:O657,0)))))))),2))</f>
        <v>7.99</v>
      </c>
      <c r="T655" s="458">
        <f>IF(S655=0,0,S655/SUM(O655:O657))</f>
        <v>0.23314852640793701</v>
      </c>
      <c r="U655" s="470">
        <f>IF($D655=$D652,IF(OR($B655="LOSS",$B655="OK",$B655="Anulada"),S655,0)+U652,IF(OR($B655="LOSS",$B655="OK",$B655="Anulada"),S655,0))</f>
        <v>45.14</v>
      </c>
      <c r="V655" s="470">
        <f>IF($D655="",0,IF($D655=$D652,IF($B655=" ",IF(I657="",IF(OR(AND(I655="DNB1",I656="DNB2"),AND(OR(I655="DNB1",I655="DNB2"),J656=0),AND(OR(I656="DNB1",I656="DNB2"),J655=0),AND(I655="DNB2",I656="DNB1"),AND(IF(J655=0,(J655+1)/ROUND(J655+1,0),J655/ROUND(J655,0))=1,IF(J656=0,(J656+1)/ROUND(IF(J656="",0,J656)+1,0),IF(J656="",0,J656)/ROUND(IF(J656="",1,J656),0))=1,OR(J655&lt;&gt;""),J656&lt;&gt;"")),0,IF(S655&lt;0,IF(I657="",SMALL(P655:P656,1)-SUM(O655:O656),0),SMALL(P655:P656,1)-SUM(O655:O656))),IF(S655&lt;0,IF(I657="",SMALL(P655:P657,1)-SUM(O655:O657),0),LARGE(P655:P657,1)-SUM(O655:O657))),S655)+V652,IF(I657="",IF(OR(AND(I655="DNB1",I656="DNB2"),AND(OR(I655="DNB1",I655="DNB2"),J656=0),AND(OR(I656="DNB1",I656="DNB2"),J655=0),AND(I655="DNB2",I656="DNB1"),AND(IF(J655=0,(J655+1)/ROUND(J655+1,0),J655/ROUND(J655,0))=1,IF(J656=0,(IF(J656="",0,J656)+1)/ROUND(IF(J656="",0,J656)+1,0),IF(J656="",0,J656)/ROUND(IF(J656="",0,J656)+1,0))=1,OR(J655&lt;&gt;""),J656&lt;&gt;"")),0,IF(S655&lt;0,IF(I657="",SMALL(P655:P656,1)-SUM(O655:O656),0),SMALL(P655:P657,1)-SUM(O655:O657))),IF(S655&lt;0,IF(I657="",SMALL(P655:P657,1)-SUM(O655:O657),0),LARGE(P655:P657,1)-SUM(O655:O657)))))</f>
        <v>45.137999999999998</v>
      </c>
      <c r="W655" s="470">
        <f>IF($D655=$D652,IF(S655&lt;0,IF(I657="",S655,0),S655)+W652,S655)</f>
        <v>45.14</v>
      </c>
      <c r="X655" s="480" t="str">
        <f>IF(OR(SUM(R655:R657)=0,V655=W655),ROUND(IF(W655=0,0,W655/Y655)*100,2)&amp;"%",ROUND(IF(V655=0,0,V655/Y655)*100,2)&amp;"% a "&amp;ROUND(IF(W655=0,0,W655/Y655)*100,2)&amp;"%")</f>
        <v>10,38%</v>
      </c>
      <c r="Y655" s="471">
        <f>IF($D655=$D652,Y652+SUM(O655:O657),SUM(O655:O657))</f>
        <v>435</v>
      </c>
      <c r="Z655" s="470">
        <f>IF($B655=" ",SUM(O655:O657),0)+Z652</f>
        <v>0</v>
      </c>
      <c r="AA655" s="470">
        <f>IF(G655="","",IF($B655="Anulado",LARGE(P655:P657,1)-SUM(O655:O657)+AA652,AA652))</f>
        <v>13.381099999999991</v>
      </c>
      <c r="AB655" s="470">
        <f>IF($D655="","",AB652+S655)</f>
        <v>722.77000000000055</v>
      </c>
      <c r="AC655" s="472">
        <f ca="1">IF($D655="","",IF($B655=" ",IF(DAY(G655)=DAY(TODAY()),1+AC652,0+AC652),0+AC652))</f>
        <v>0</v>
      </c>
      <c r="AD655" s="103">
        <f>(((L656/(L656-1)-1)*(1-_xlfn.XLOOKUP(K656,'Fevereiro 2023 - Valor Real'!A3:A15,'Fevereiro 2023 - Valor Real'!C3:C15,0))+1))/(((L655-1)*(1-_xlfn.XLOOKUP(K655,'Fevereiro 2023 - Valor Real'!A3:A15,'Fevereiro 2023 - Valor Real'!C3:C15,0))+1)+((L656/(L656-1)-1)*(1-_xlfn.XLOOKUP(K656,'Fevereiro 2023 - Valor Real'!A3:A15,'Fevereiro 2023 - Valor Real'!C3:C15,0))+1))</f>
        <v>0.5760834411384218</v>
      </c>
      <c r="AE655" s="104">
        <f>IF(L655="","",IF(L657&gt;0,(SUM(((L655-1)*(1-_xlfn.XLOOKUP(K655,'Fevereiro 2023 - Valor Real'!A3:A15,'Fevereiro 2023 - Valor Real'!C3:C15,0))+1),((L656-1)*(1-_xlfn.XLOOKUP(K656,'Fevereiro 2023 - Valor Real'!A3:A15,'Fevereiro 2023 - Valor Real'!C3:C15,0))+1),((L657-1)*(1-_xlfn.XLOOKUP(K657,'Fevereiro 2023 - Valor Real'!A3:A15,'Fevereiro 2023 - Valor Real'!C3:C15,0))+1))/((L655-1)*(1-_xlfn.XLOOKUP(K655,'Fevereiro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Real'!C3:C15,0))+1))/((L655-1)*(1-_xlfn.XLOOKUP(K655,'Fevereiro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Real'!C3:C15,0))+1))/((L656-1)*(1-_xlfn.XLOOKUP(K656,'Fevereiro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Real'!C3:C15,0))+1))/((L657-1)*(1-_xlfn.XLOOKUP(K657,'Fevereiro 2023 - Valor Real'!A3:A15,'Fevereiro 2023 - Valor Real'!C3:C15,0))+1)),IF(I655="Lay",IF(I656="Lay",((L656/(L656-1)-1)*(1-_xlfn.XLOOKUP(K656,'Fevereiro 2023 - Valor Real'!A3:A15,'Fevereiro 2023 - Valor Real'!C3:C15,0))+1)/(((L656/(L656-1)-1)*(1-_xlfn.XLOOKUP(K656,'Fevereiro 2023 - Valor Real'!A3:A15,'Fevereiro 2023 - Valor Real'!C3:C15,0))+1)+((L655/(L655-1)-1)*(1-_xlfn.XLOOKUP(K655,'Fevereiro 2023 - Valor Real'!A3:A15,'Fevereiro 2023 - Valor Real'!C3:C15,0))+1)),((L656-1)*(1-_xlfn.XLOOKUP(K656,'Fevereiro 2023 - Valor Real'!A3:A15,'Fevereiro 2023 - Valor Real'!C3:C15,0))+1)/(((L656-1)*(1-_xlfn.XLOOKUP(K656,'Fevereiro 2023 - Valor Real'!A3:A15,'Fevereiro 2023 - Valor Real'!C3:C15,0))+1)+((L655/(L655-1)-1)*(1-_xlfn.XLOOKUP(K655,'Fevereiro 2023 - Valor Real'!A3:A15,'Fevereiro 2023 - Valor Real'!C3:C15,0))+1))),IF(I656="Lay",(((L656/(L656-1)-1)*(1-_xlfn.XLOOKUP(K656,'Fevereiro 2023 - Valor Real'!A3:A15,'Fevereiro 2023 - Valor Real'!C3:C15,0))+1))/(((L655-1)*(1-_xlfn.XLOOKUP(K655,'Fevereiro 2023 - Valor Real'!A3:A15,'Fevereiro 2023 - Valor Real'!C3:C15,0))+1)+((L656/(L656-1)-1)*(1-_xlfn.XLOOKUP(K656,'Fevereiro 2023 - Valor Real'!A3:A15,'Fevereiro 2023 - Valor Real'!C3:C15,0))+1)),((L656-1)*(1-_xlfn.XLOOKUP(K656,'Fevereiro 2023 - Valor Real'!A3:A15,'Fevereiro 2023 - Valor Real'!C3:C15,0))+1)/(((L656-1)*(1-_xlfn.XLOOKUP(K656,'Fevereiro 2023 - Valor Real'!A3:A15,'Fevereiro 2023 - Valor Real'!C3:C15,0))+1)+((L655-1)*(1-_xlfn.XLOOKUP(K655,'Fevereiro 2023 - Valor Real'!A3:A15,'Fevereiro 2023 - Valor Real'!C3:C15,0))+1))))))</f>
        <v>0.5760834411384218</v>
      </c>
      <c r="AF655" s="105">
        <f t="shared" si="1327"/>
        <v>0</v>
      </c>
      <c r="AG655" s="106">
        <f t="shared" si="1327"/>
        <v>0</v>
      </c>
      <c r="AH655" s="106">
        <f t="shared" si="1327"/>
        <v>0</v>
      </c>
      <c r="AI655" s="106">
        <f t="shared" si="1327"/>
        <v>0</v>
      </c>
      <c r="AJ655" s="106">
        <f t="shared" si="1327"/>
        <v>-19.739999999999998</v>
      </c>
      <c r="AK655" s="106">
        <f t="shared" si="1327"/>
        <v>0</v>
      </c>
      <c r="AL655" s="106">
        <f t="shared" si="1327"/>
        <v>0</v>
      </c>
      <c r="AM655" s="106">
        <f t="shared" si="1327"/>
        <v>0</v>
      </c>
      <c r="AN655" s="106">
        <f t="shared" si="1327"/>
        <v>0</v>
      </c>
      <c r="AO655" s="106">
        <f t="shared" si="1327"/>
        <v>0</v>
      </c>
      <c r="AP655" s="106">
        <f t="shared" si="1327"/>
        <v>0</v>
      </c>
      <c r="AQ655" s="106">
        <f t="shared" si="1327"/>
        <v>0</v>
      </c>
      <c r="AR655" s="107">
        <f t="shared" si="1327"/>
        <v>0</v>
      </c>
      <c r="AS655" s="105">
        <f t="shared" ref="AS655:BE655" si="1330">IF(AND($B655=" ",$K655=AS$3),$O655,0)</f>
        <v>0</v>
      </c>
      <c r="AT655" s="106">
        <f t="shared" si="1330"/>
        <v>0</v>
      </c>
      <c r="AU655" s="106">
        <f t="shared" si="1330"/>
        <v>0</v>
      </c>
      <c r="AV655" s="106">
        <f t="shared" si="1330"/>
        <v>0</v>
      </c>
      <c r="AW655" s="106">
        <f t="shared" si="1330"/>
        <v>0</v>
      </c>
      <c r="AX655" s="106">
        <f t="shared" si="1330"/>
        <v>0</v>
      </c>
      <c r="AY655" s="108">
        <f t="shared" si="1330"/>
        <v>0</v>
      </c>
      <c r="AZ655" s="109">
        <f t="shared" si="1330"/>
        <v>0</v>
      </c>
      <c r="BA655" s="109">
        <f t="shared" si="1330"/>
        <v>0</v>
      </c>
      <c r="BB655" s="109">
        <f t="shared" si="1330"/>
        <v>0</v>
      </c>
      <c r="BC655" s="110">
        <f t="shared" si="1330"/>
        <v>0</v>
      </c>
      <c r="BD655" s="106">
        <f t="shared" si="1330"/>
        <v>0</v>
      </c>
      <c r="BE655" s="107">
        <f t="shared" si="1330"/>
        <v>0</v>
      </c>
      <c r="BF655" s="111">
        <f t="shared" si="1329"/>
        <v>0</v>
      </c>
      <c r="BG655" s="106">
        <f t="shared" si="1329"/>
        <v>0</v>
      </c>
      <c r="BH655" s="106">
        <f t="shared" si="1329"/>
        <v>0</v>
      </c>
      <c r="BI655" s="106">
        <f t="shared" si="1329"/>
        <v>0</v>
      </c>
      <c r="BJ655" s="106">
        <f t="shared" si="1329"/>
        <v>19.739999999999998</v>
      </c>
      <c r="BK655" s="106">
        <f t="shared" si="1329"/>
        <v>0</v>
      </c>
      <c r="BL655" s="106">
        <f t="shared" si="1329"/>
        <v>0</v>
      </c>
      <c r="BM655" s="108">
        <f t="shared" si="1329"/>
        <v>0</v>
      </c>
      <c r="BN655" s="109">
        <f t="shared" si="1329"/>
        <v>0</v>
      </c>
      <c r="BO655" s="109">
        <f t="shared" si="1329"/>
        <v>0</v>
      </c>
      <c r="BP655" s="109">
        <f t="shared" si="1329"/>
        <v>0</v>
      </c>
      <c r="BQ655" s="110">
        <f t="shared" si="1329"/>
        <v>0</v>
      </c>
      <c r="BR655" s="107">
        <f t="shared" si="1329"/>
        <v>0</v>
      </c>
      <c r="BS655" s="463">
        <f>IF($B655="LOSS",IF(AND($K655=BS$3,$C655="L"),-$O655,0)+IF(AND($K656=BS$3,$C656="L"),-$O656,0)+IF(AND($K657=BS$3,$C657="L"),-$O657,0),IF(OR(AND($K655=BS$3,OR($C655="W",$C655="1/2W")),AND($K656=BS$3,OR($C656="W",$C656="1/2W")),AND($K657=BS$3,OR($C657="W",$C657="1/2W"))),$S655,0))</f>
        <v>0</v>
      </c>
      <c r="BT655" s="462">
        <f>IF($B655="LOSS",IF(AND($K655=BT$3,$C655="L"),-$O655,0)+IF(AND($K656=BT$3,$C656="L"),-$O656,0)+IF(AND($K656=BT$3,$C657="L"),-$O657,0),IF(OR(AND($K656=BT$3,OR($C655="W",$C655="1/2W")),AND($K656=BT$3,OR($C656="W",$C656="1/2W")),AND($K656=BT$3,OR($C657="W",$C657="1/2W"))),$S655,0))</f>
        <v>0</v>
      </c>
      <c r="BU655" s="462">
        <f>IF($B655="LOSS",IF(AND($K655=BU$3,$C655="L"),-$O655,0)+IF(AND($K656=BU$3,$C656="L"),-$O656,0)+IF(AND($K656=BU$3,$C657="L"),-$O657,0),IF(OR(AND($K656=BU$3,OR($C655="W",$C655="1/2W")),AND($K656=BU$3,OR($C656="W",$C656="1/2W")),AND($K656=BU$3,OR($C657="W",$C657="1/2W"))),$S655,0))</f>
        <v>7.99</v>
      </c>
      <c r="BV655" s="462">
        <f t="shared" ref="BV655:CE655" si="1331">IF($B655="LOSS",IF(AND($K655=BV$3,$C655="L"),-$O655,0)+IF(AND($K656=BV$3,$C656="L"),-$O656,0)+IF(AND($K657=BV$3,$C657="L"),-$O657,0),IF(OR(AND($K655=BV$3,OR($C655="W",$C655="1/2W")),AND($K656=BV$3,OR($C656="W",$C656="1/2W")),AND($K657=BV$3,OR($C657="W",$C657="1/2W"))),$S655,0))</f>
        <v>0</v>
      </c>
      <c r="BW655" s="462">
        <f t="shared" si="1331"/>
        <v>0</v>
      </c>
      <c r="BX655" s="462">
        <f t="shared" si="1331"/>
        <v>0</v>
      </c>
      <c r="BY655" s="462">
        <f t="shared" si="1331"/>
        <v>0</v>
      </c>
      <c r="BZ655" s="460">
        <f t="shared" si="1331"/>
        <v>0</v>
      </c>
      <c r="CA655" s="460">
        <f t="shared" si="1331"/>
        <v>0</v>
      </c>
      <c r="CB655" s="460">
        <f t="shared" si="1331"/>
        <v>0</v>
      </c>
      <c r="CC655" s="460">
        <f t="shared" si="1331"/>
        <v>0</v>
      </c>
      <c r="CD655" s="473">
        <f t="shared" si="1331"/>
        <v>0</v>
      </c>
      <c r="CE655" s="479">
        <f t="shared" si="1331"/>
        <v>0</v>
      </c>
      <c r="CF655" s="113">
        <f t="shared" si="1285"/>
        <v>0</v>
      </c>
      <c r="CG655" s="114">
        <f t="shared" si="1286"/>
        <v>0</v>
      </c>
      <c r="CH655" s="114">
        <f t="shared" si="1287"/>
        <v>0</v>
      </c>
      <c r="CI655" s="114">
        <f t="shared" si="1288"/>
        <v>0</v>
      </c>
      <c r="CJ655" s="114">
        <f t="shared" si="1289"/>
        <v>0</v>
      </c>
      <c r="CK655" s="114">
        <f t="shared" si="1290"/>
        <v>0</v>
      </c>
      <c r="CL655" s="114">
        <f t="shared" si="1291"/>
        <v>0</v>
      </c>
      <c r="CM655" s="114">
        <f t="shared" si="1292"/>
        <v>0</v>
      </c>
      <c r="CN655" s="114">
        <f t="shared" si="1293"/>
        <v>0</v>
      </c>
      <c r="CO655" s="114">
        <f t="shared" si="1294"/>
        <v>1</v>
      </c>
      <c r="CP655" s="114">
        <f t="shared" si="1295"/>
        <v>0</v>
      </c>
      <c r="CQ655" s="114">
        <f t="shared" si="1296"/>
        <v>0</v>
      </c>
      <c r="CR655" s="114">
        <f t="shared" si="1297"/>
        <v>0</v>
      </c>
      <c r="CS655" s="114">
        <f t="shared" si="1298"/>
        <v>0</v>
      </c>
      <c r="CT655" s="115">
        <f t="shared" si="1299"/>
        <v>0</v>
      </c>
      <c r="CU655" s="116">
        <f t="shared" si="1300"/>
        <v>0</v>
      </c>
      <c r="CV655" s="116">
        <f t="shared" si="1301"/>
        <v>0</v>
      </c>
      <c r="CW655" s="116">
        <f t="shared" si="1302"/>
        <v>0</v>
      </c>
      <c r="CX655" s="116">
        <f t="shared" si="1303"/>
        <v>0</v>
      </c>
      <c r="CY655" s="116">
        <f t="shared" si="1304"/>
        <v>0</v>
      </c>
      <c r="CZ655" s="116">
        <f t="shared" si="1305"/>
        <v>0</v>
      </c>
      <c r="DA655" s="116">
        <f t="shared" si="1306"/>
        <v>0</v>
      </c>
      <c r="DB655" s="116">
        <f t="shared" si="1307"/>
        <v>0</v>
      </c>
      <c r="DC655" s="116">
        <f t="shared" si="1308"/>
        <v>0</v>
      </c>
      <c r="DD655" s="116">
        <f t="shared" si="1309"/>
        <v>0</v>
      </c>
      <c r="DE655" s="117">
        <f t="shared" si="1310"/>
        <v>0</v>
      </c>
      <c r="DF655" s="118">
        <f t="shared" si="1312"/>
        <v>37</v>
      </c>
      <c r="DG655" s="106">
        <f t="shared" si="1313"/>
        <v>48.627999999999993</v>
      </c>
      <c r="DH655" s="116">
        <f t="shared" si="1314"/>
        <v>14</v>
      </c>
      <c r="DI655" s="106">
        <f t="shared" si="1315"/>
        <v>60.05</v>
      </c>
      <c r="DJ655" s="201" t="str">
        <f>IF($D655="","",$D655)</f>
        <v>21</v>
      </c>
      <c r="DK655" s="465">
        <f>IF(AND($B655=" ",$D655&lt;&gt;""),1,0)</f>
        <v>0</v>
      </c>
    </row>
    <row r="656" spans="1:115" ht="14.5" customHeight="1" x14ac:dyDescent="0.2">
      <c r="A656" s="389"/>
      <c r="B656" s="456"/>
      <c r="C656" s="120" t="s">
        <v>54</v>
      </c>
      <c r="D656" s="374"/>
      <c r="E656" s="386"/>
      <c r="F656" s="377"/>
      <c r="G656" s="483"/>
      <c r="H656" s="476"/>
      <c r="I656" s="121" t="s">
        <v>88</v>
      </c>
      <c r="J656" s="179" t="str">
        <f>IF(OR(I655="TO",I655="TU",I655="TO1",I655="TU1",I655="TO2",I655="TU2"),J655,IF(OR(I655="AH1",I655="AH2"),IF(OR(I656="AH1",I656="AH2"),-J655,IF(OR(I656="EH1",I656="EH2"),-J655+0.5,"")),IF(OR(I655="EH1",I655="EH2"),IF(OR(I656="AH1",I656="AH2"),-J655+0.5,IF(OR(I656="EH1",I656="EH2"),-J655+1,"")),IF(AND(OR(I655="DNB1",I655="DNB2"),OR(I656="AH1",I656="AH2")),0,IF(AND(I655="Not ScoreBoth",OR(I656="TO1",I656="TO2")),0.5,"")))))</f>
        <v/>
      </c>
      <c r="K656" s="123" t="s">
        <v>38</v>
      </c>
      <c r="L656" s="124">
        <v>1.49</v>
      </c>
      <c r="M656" s="125"/>
      <c r="N656" s="406"/>
      <c r="O656" s="126">
        <f>IF(OR(AE655="",AE656=""),"",ROUND(IF(L657&gt;0,IF(M656&gt;0,M656,IF(M655&gt;0,IF(N655=TRUE,ROUND((M655*AE656)/AE655,0),(M655*AE656)/AE655),IF(M656&gt;0,ROUND(M656,IF(N655=0,2,IF(N655=0.1,1,0))),IF(M657&gt;0,ROUND(O657*AE656/AE657,IF(N655=0,2,IF(N655=0.1,1,0))),0)))),IF(M656&gt;0,M656,ROUND((M655*AE656)/AE655,IF(N655=0,2,IF(N655=0.1,1,0))))),2))</f>
        <v>14.53</v>
      </c>
      <c r="P656" s="127">
        <f>IF(OR(L656="",O656=""),"",IF($C656="1/2W",O656/2+O656/2*L656,IF($C656="1/2L",O656/2,IF(I656="Lay",((O656*(L656/(L656-1)))-O656)*(1-_xlfn.XLOOKUP(K656,'Fevereiro 2023 - Valor Real'!A3:A15,'Fevereiro 2023 - Valor Real'!C3:C15,0))+O656,(O656*L656-O656)*(1-_xlfn.XLOOKUP(K656,'Fevereiro 2023 - Valor Real'!A3:A15,'Fevereiro 2023 - Valor Real'!C3:C15,0))+O656))))</f>
        <v>42.255612244897961</v>
      </c>
      <c r="Q656" s="128">
        <f>IF(K656="","",IF(_xlfn.XLOOKUP(K656,K$4:K655,$DJ$4:DJ655,0,,-1)=DJ656,_xlfn.XLOOKUP(K656,K$4:K655,Q$4:Q655,1,,-1)+1,1))</f>
        <v>3</v>
      </c>
      <c r="R656" s="129">
        <f>IF(K656="","",_xlfn.XLOOKUP(K656,K$4:K655,R$4:R655,0,,-1)+IF($C656=" ",1,0))</f>
        <v>0</v>
      </c>
      <c r="S656" s="403"/>
      <c r="T656" s="380"/>
      <c r="U656" s="380"/>
      <c r="V656" s="481"/>
      <c r="W656" s="380"/>
      <c r="X656" s="452"/>
      <c r="Y656" s="383"/>
      <c r="Z656" s="384"/>
      <c r="AA656" s="384"/>
      <c r="AB656" s="384"/>
      <c r="AC656" s="384"/>
      <c r="AD656" s="130">
        <f>(((L656/(L656-1)-1)*(1-_xlfn.XLOOKUP(K656,'Fevereiro 2023 - Valor Real'!A3:A15,'Fevereiro 2023 - Valor Real'!C3:C15,0))+1))</f>
        <v>2.9081632653061229</v>
      </c>
      <c r="AE656" s="131">
        <f>IF(L656="","",IF(L657&gt;0,(SUM(((L655-1)*(1-_xlfn.XLOOKUP(K655,'Fevereiro 2023 - Valor Real'!A3:A15,'Fevereiro 2023 - Valor Real'!C3:C15,0))+1),((L656-1)*(1-_xlfn.XLOOKUP(K656,'Fevereiro 2023 - Valor Real'!A3:A15,'Fevereiro 2023 - Valor Real'!C3:C15,0))+1),((L657-1)*(1-_xlfn.XLOOKUP(K657,'Fevereiro 2023 - Valor Real'!A3:A15,'Fevereiro 2023 - Valor Real'!C3:C15,0))+1))/((L656-1)*(1-_xlfn.XLOOKUP(K656,'Fevereiro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Real'!C3:C15,0))+1))/((L655-1)*(1-_xlfn.XLOOKUP(K655,'Fevereiro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Real'!C3:C15,0))+1))/((L656-1)*(1-_xlfn.XLOOKUP(K656,'Fevereiro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Real'!C3:C15,0))+1))/((L657-1)*(1-_xlfn.XLOOKUP(K657,'Fevereiro 2023 - Valor Real'!A3:A15,'Fevereiro 2023 - Valor Real'!C3:C15,0))+1)),IF(I656="Lay",IF(I655="Lay",((L655/(L655-1)-1)*(1-_xlfn.XLOOKUP(K655,'Fevereiro 2023 - Valor Real'!A3:A15,'Fevereiro 2023 - Valor Real'!C3:C15,0))+1)/(((L655/(L655-1)-1)*(1-_xlfn.XLOOKUP(K655,'Fevereiro 2023 - Valor Real'!A3:A15,'Fevereiro 2023 - Valor Real'!C3:C15,0))+1)+((L656/(L656-1)-1)*(1-_xlfn.XLOOKUP(K656,'Fevereiro 2023 - Valor Real'!A3:A15,'Fevereiro 2023 - Valor Real'!C3:C15,0))+1)),((L655-1)*(1-_xlfn.XLOOKUP(K655,'Fevereiro 2023 - Valor Real'!A3:A15,'Fevereiro 2023 - Valor Real'!C3:C15,0))+1)/(((L655-1)*(1-_xlfn.XLOOKUP(K655,'Fevereiro 2023 - Valor Real'!A3:A15,'Fevereiro 2023 - Valor Real'!C3:C15,0))+1)+((L656/(L656-1)-1)*(1-_xlfn.XLOOKUP(K656,'Fevereiro 2023 - Valor Real'!A3:A15,'Fevereiro 2023 - Valor Real'!C3:C15,0))+1))),IF(I655="Lay",((L655/(L655-1)-1)*(1-_xlfn.XLOOKUP(K655,'Fevereiro 2023 - Valor Real'!A3:A15,'Fevereiro 2023 - Valor Real'!C3:C15,0))+1)/((((L655/(L655-1)-1)*(1-_xlfn.XLOOKUP(K655,'Fevereiro 2023 - Valor Real'!A3:A15,'Fevereiro 2023 - Valor Real'!C3:C15,0))+1))+((L656-1)*(1-_xlfn.XLOOKUP(K656,'Fevereiro 2023 - Valor Real'!A3:A15,'Fevereiro 2023 - Valor Real'!C3:C15,0))+1)),((L655-1)*(1-_xlfn.XLOOKUP(K655,'Fevereiro 2023 - Valor Real'!A3:A15,'Fevereiro 2023 - Valor Real'!C3:C15,0))+1)/(((L655-1)*(1-_xlfn.XLOOKUP(K655,'Fevereiro 2023 - Valor Real'!A3:A15,'Fevereiro 2023 - Valor Real'!C3:C15,0))+1)+((L656-1)*(1-_xlfn.XLOOKUP(K656,'Fevereiro 2023 - Valor Real'!A3:A15,'Fevereiro 2023 - Valor Real'!C3:C15,0))+1))))))</f>
        <v>0.42391655886157831</v>
      </c>
      <c r="AF656" s="105">
        <f t="shared" si="1327"/>
        <v>0</v>
      </c>
      <c r="AG656" s="106">
        <f t="shared" si="1327"/>
        <v>0</v>
      </c>
      <c r="AH656" s="106">
        <f t="shared" si="1327"/>
        <v>27.73</v>
      </c>
      <c r="AI656" s="106">
        <f t="shared" si="1327"/>
        <v>0</v>
      </c>
      <c r="AJ656" s="106">
        <f t="shared" si="1327"/>
        <v>0</v>
      </c>
      <c r="AK656" s="106">
        <f t="shared" si="1327"/>
        <v>0</v>
      </c>
      <c r="AL656" s="106">
        <f t="shared" si="1327"/>
        <v>0</v>
      </c>
      <c r="AM656" s="106">
        <f t="shared" si="1327"/>
        <v>0</v>
      </c>
      <c r="AN656" s="106">
        <f t="shared" si="1327"/>
        <v>0</v>
      </c>
      <c r="AO656" s="106">
        <f t="shared" si="1327"/>
        <v>0</v>
      </c>
      <c r="AP656" s="106">
        <f t="shared" si="1327"/>
        <v>0</v>
      </c>
      <c r="AQ656" s="106">
        <f t="shared" si="1327"/>
        <v>0</v>
      </c>
      <c r="AR656" s="107">
        <f t="shared" si="1327"/>
        <v>0</v>
      </c>
      <c r="AS656" s="105">
        <f>IF(AND($B655=" ",$K656=AS$3),$O656,0)</f>
        <v>0</v>
      </c>
      <c r="AT656" s="106">
        <f>IF(AND($B655=" ",K656=AT$3),$O656,0)</f>
        <v>0</v>
      </c>
      <c r="AU656" s="106">
        <f t="shared" ref="AU656:BE656" si="1332">IF(AND($B655=" ",$K656=AU$3),$O656,0)</f>
        <v>0</v>
      </c>
      <c r="AV656" s="106">
        <f t="shared" si="1332"/>
        <v>0</v>
      </c>
      <c r="AW656" s="106">
        <f t="shared" si="1332"/>
        <v>0</v>
      </c>
      <c r="AX656" s="106">
        <f t="shared" si="1332"/>
        <v>0</v>
      </c>
      <c r="AY656" s="108">
        <f t="shared" si="1332"/>
        <v>0</v>
      </c>
      <c r="AZ656" s="109">
        <f t="shared" si="1332"/>
        <v>0</v>
      </c>
      <c r="BA656" s="109">
        <f t="shared" si="1332"/>
        <v>0</v>
      </c>
      <c r="BB656" s="109">
        <f t="shared" si="1332"/>
        <v>0</v>
      </c>
      <c r="BC656" s="110">
        <f t="shared" si="1332"/>
        <v>0</v>
      </c>
      <c r="BD656" s="106">
        <f t="shared" si="1332"/>
        <v>0</v>
      </c>
      <c r="BE656" s="107">
        <f t="shared" si="1332"/>
        <v>0</v>
      </c>
      <c r="BF656" s="105">
        <f t="shared" si="1329"/>
        <v>0</v>
      </c>
      <c r="BG656" s="106">
        <f t="shared" si="1329"/>
        <v>0</v>
      </c>
      <c r="BH656" s="106">
        <f t="shared" si="1329"/>
        <v>14.53</v>
      </c>
      <c r="BI656" s="106">
        <f t="shared" si="1329"/>
        <v>0</v>
      </c>
      <c r="BJ656" s="106">
        <f t="shared" si="1329"/>
        <v>0</v>
      </c>
      <c r="BK656" s="106">
        <f t="shared" si="1329"/>
        <v>0</v>
      </c>
      <c r="BL656" s="106">
        <f t="shared" si="1329"/>
        <v>0</v>
      </c>
      <c r="BM656" s="132">
        <f t="shared" si="1329"/>
        <v>0</v>
      </c>
      <c r="BN656" s="112">
        <f t="shared" si="1329"/>
        <v>0</v>
      </c>
      <c r="BO656" s="112">
        <f t="shared" si="1329"/>
        <v>0</v>
      </c>
      <c r="BP656" s="112">
        <f t="shared" si="1329"/>
        <v>0</v>
      </c>
      <c r="BQ656" s="110">
        <f t="shared" si="1329"/>
        <v>0</v>
      </c>
      <c r="BR656" s="107">
        <f t="shared" si="1329"/>
        <v>0</v>
      </c>
      <c r="BS656" s="464"/>
      <c r="BT656" s="461"/>
      <c r="BU656" s="392"/>
      <c r="BV656" s="461"/>
      <c r="BW656" s="392"/>
      <c r="BX656" s="392"/>
      <c r="BY656" s="392"/>
      <c r="BZ656" s="461"/>
      <c r="CA656" s="392"/>
      <c r="CB656" s="392"/>
      <c r="CC656" s="392"/>
      <c r="CD656" s="401"/>
      <c r="CE656" s="409"/>
      <c r="CF656" s="133">
        <f t="shared" si="1285"/>
        <v>0</v>
      </c>
      <c r="CG656" s="134">
        <f t="shared" si="1286"/>
        <v>0</v>
      </c>
      <c r="CH656" s="134">
        <f t="shared" si="1287"/>
        <v>0</v>
      </c>
      <c r="CI656" s="134">
        <f t="shared" si="1288"/>
        <v>0</v>
      </c>
      <c r="CJ656" s="134">
        <f t="shared" si="1289"/>
        <v>1</v>
      </c>
      <c r="CK656" s="134">
        <f t="shared" si="1290"/>
        <v>0</v>
      </c>
      <c r="CL656" s="134">
        <f t="shared" si="1291"/>
        <v>0</v>
      </c>
      <c r="CM656" s="134">
        <f t="shared" si="1292"/>
        <v>0</v>
      </c>
      <c r="CN656" s="134">
        <f t="shared" si="1293"/>
        <v>0</v>
      </c>
      <c r="CO656" s="134">
        <f t="shared" si="1294"/>
        <v>0</v>
      </c>
      <c r="CP656" s="134">
        <f t="shared" si="1295"/>
        <v>0</v>
      </c>
      <c r="CQ656" s="134">
        <f t="shared" si="1296"/>
        <v>0</v>
      </c>
      <c r="CR656" s="134">
        <f t="shared" si="1297"/>
        <v>0</v>
      </c>
      <c r="CS656" s="134">
        <f t="shared" si="1298"/>
        <v>0</v>
      </c>
      <c r="CT656" s="115">
        <f t="shared" si="1299"/>
        <v>0</v>
      </c>
      <c r="CU656" s="116">
        <f t="shared" si="1300"/>
        <v>0</v>
      </c>
      <c r="CV656" s="116">
        <f t="shared" si="1301"/>
        <v>0</v>
      </c>
      <c r="CW656" s="116">
        <f t="shared" si="1302"/>
        <v>0</v>
      </c>
      <c r="CX656" s="116">
        <f t="shared" si="1303"/>
        <v>0</v>
      </c>
      <c r="CY656" s="116">
        <f t="shared" si="1304"/>
        <v>0</v>
      </c>
      <c r="CZ656" s="116">
        <f t="shared" si="1305"/>
        <v>0</v>
      </c>
      <c r="DA656" s="116">
        <f t="shared" si="1306"/>
        <v>0</v>
      </c>
      <c r="DB656" s="116">
        <f t="shared" si="1307"/>
        <v>0</v>
      </c>
      <c r="DC656" s="116">
        <f t="shared" si="1308"/>
        <v>0</v>
      </c>
      <c r="DD656" s="116">
        <f t="shared" si="1309"/>
        <v>0</v>
      </c>
      <c r="DE656" s="117">
        <f t="shared" si="1310"/>
        <v>0</v>
      </c>
      <c r="DF656" s="118">
        <f t="shared" si="1312"/>
        <v>38</v>
      </c>
      <c r="DG656" s="106">
        <f t="shared" si="1313"/>
        <v>50.117999999999995</v>
      </c>
      <c r="DH656" s="116">
        <f t="shared" si="1314"/>
        <v>14</v>
      </c>
      <c r="DI656" s="106">
        <f t="shared" si="1315"/>
        <v>60.05</v>
      </c>
      <c r="DJ656" s="201" t="str">
        <f>IF($D655="","",$D655)</f>
        <v>21</v>
      </c>
      <c r="DK656" s="466"/>
    </row>
    <row r="657" spans="1:115" ht="14.5" customHeight="1" x14ac:dyDescent="0.2">
      <c r="A657" s="390"/>
      <c r="B657" s="457"/>
      <c r="C657" s="135" t="s">
        <v>53</v>
      </c>
      <c r="D657" s="375"/>
      <c r="E657" s="387"/>
      <c r="F657" s="378"/>
      <c r="G657" s="484"/>
      <c r="H657" s="477"/>
      <c r="I657" s="136"/>
      <c r="J657" s="137"/>
      <c r="K657" s="138"/>
      <c r="L657" s="139"/>
      <c r="M657" s="140"/>
      <c r="N657" s="407"/>
      <c r="O657" s="141" t="str">
        <f>IF(OR(AE655="",AE656=""),"",IF(L657&gt;0,ROUND(IF(M657&gt;0,M657,IF(M655&gt;0,ROUND((M655*AE657)/AE655,IF(N655=0,2,IF(N655=0.1,1,0))),IF(M656&gt;0,ROUND((M656*AE657)/AE656,IF(N655=0,2,IF(N655=0.1,1,0))),IF(M657&gt;0,M657,0)))),2),""))</f>
        <v/>
      </c>
      <c r="P657" s="196">
        <f>IF(I656="Lay",O656*(L656/(L656-1))-O656,IF(I655="Lay",O655*(L655/(L655-1))-O655,IF(OR(L657="",O657=""),"",IF($C657="1/2W",O657/2+O657/2*L657,IF($C657="1/2L",O657/2,(O657*L657-O657)*(1-_xlfn.XLOOKUP(K657,'Fevereiro 2023 - Valor Real'!A3:A15,'Fevereiro 2023 - Valor Real'!C3:C15,0))+O657)))))</f>
        <v>29.653061224489797</v>
      </c>
      <c r="Q657" s="143" t="str">
        <f>IF(K657="","",IF(_xlfn.XLOOKUP(K657,K$4:K656,$DJ$4:DJ656,0,,-1)=DJ657,_xlfn.XLOOKUP(K657,K$4:K656,Q$4:Q656,1,,-1)+1,1))</f>
        <v/>
      </c>
      <c r="R657" s="144" t="str">
        <f>IF(K657="","",_xlfn.XLOOKUP(K657,K$4:K656,R$4:R656,0,,-1)+IF($C657=" ",1,0))</f>
        <v/>
      </c>
      <c r="S657" s="404"/>
      <c r="T657" s="378"/>
      <c r="U657" s="378"/>
      <c r="V657" s="404"/>
      <c r="W657" s="378"/>
      <c r="X657" s="453"/>
      <c r="Y657" s="383"/>
      <c r="Z657" s="384"/>
      <c r="AA657" s="384"/>
      <c r="AB657" s="384"/>
      <c r="AC657" s="384"/>
      <c r="AD657" s="145">
        <f>((L656/(L656-1)-1))</f>
        <v>2.0408163265306123</v>
      </c>
      <c r="AE657" s="146" t="str">
        <f>IF(L657="","",(SUM(((L655-1)*(1-_xlfn.XLOOKUP(K655,'Fevereiro 2023 - Valor Real'!A3:A15,'Fevereiro 2023 - Valor Real'!C3:C15,0))+1),((L656-1)*(1-_xlfn.XLOOKUP(K656,'Fevereiro 2023 - Valor Real'!A3:A15,'Fevereiro 2023 - Valor Real'!C3:C15,0))+1),((L657-1)*(1-_xlfn.XLOOKUP(K657,'Fevereiro 2023 - Valor Real'!A3:A15,'Fevereiro 2023 - Valor Real'!C3:C15,0))+1))/((L657-1)*(1-_xlfn.XLOOKUP(K657,'Fevereiro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Real'!C3:C15,0))+1))/((L655-1)*(1-_xlfn.XLOOKUP(K655,'Fevereiro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Real'!C3:C15,0))+1))/((L656-1)*(1-_xlfn.XLOOKUP(K656,'Fevereiro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Real'!C3:C15,0))+1))/((L657-1)*(1-_xlfn.XLOOKUP(K657,'Fevereiro 2023 - Valor Real'!A3:A15,'Fevereiro 2023 - Valor Real'!C3:C15,0))+1)))</f>
        <v/>
      </c>
      <c r="AF657" s="105">
        <f t="shared" si="1327"/>
        <v>0</v>
      </c>
      <c r="AG657" s="106">
        <f t="shared" si="1327"/>
        <v>0</v>
      </c>
      <c r="AH657" s="106">
        <f t="shared" si="1327"/>
        <v>0</v>
      </c>
      <c r="AI657" s="106">
        <f t="shared" si="1327"/>
        <v>0</v>
      </c>
      <c r="AJ657" s="106">
        <f t="shared" si="1327"/>
        <v>0</v>
      </c>
      <c r="AK657" s="106">
        <f t="shared" si="1327"/>
        <v>0</v>
      </c>
      <c r="AL657" s="106">
        <f t="shared" si="1327"/>
        <v>0</v>
      </c>
      <c r="AM657" s="106">
        <f t="shared" si="1327"/>
        <v>0</v>
      </c>
      <c r="AN657" s="106">
        <f t="shared" si="1327"/>
        <v>0</v>
      </c>
      <c r="AO657" s="106">
        <f t="shared" si="1327"/>
        <v>0</v>
      </c>
      <c r="AP657" s="106">
        <f t="shared" si="1327"/>
        <v>0</v>
      </c>
      <c r="AQ657" s="106">
        <f t="shared" si="1327"/>
        <v>0</v>
      </c>
      <c r="AR657" s="107">
        <f t="shared" si="1327"/>
        <v>0</v>
      </c>
      <c r="AS657" s="105">
        <f>IF(AND($B655=" ",$K657=AS$3),$O657,0)</f>
        <v>0</v>
      </c>
      <c r="AT657" s="106">
        <f>IF(AND($B655=" ",K657=AT$3),$O657,0)</f>
        <v>0</v>
      </c>
      <c r="AU657" s="106">
        <f t="shared" ref="AU657:BE657" si="1333">IF(AND($B655=" ",$K657=AU$3),$O657,0)</f>
        <v>0</v>
      </c>
      <c r="AV657" s="106">
        <f t="shared" si="1333"/>
        <v>0</v>
      </c>
      <c r="AW657" s="106">
        <f t="shared" si="1333"/>
        <v>0</v>
      </c>
      <c r="AX657" s="106">
        <f t="shared" si="1333"/>
        <v>0</v>
      </c>
      <c r="AY657" s="108">
        <f t="shared" si="1333"/>
        <v>0</v>
      </c>
      <c r="AZ657" s="109">
        <f t="shared" si="1333"/>
        <v>0</v>
      </c>
      <c r="BA657" s="109">
        <f t="shared" si="1333"/>
        <v>0</v>
      </c>
      <c r="BB657" s="109">
        <f t="shared" si="1333"/>
        <v>0</v>
      </c>
      <c r="BC657" s="110">
        <f t="shared" si="1333"/>
        <v>0</v>
      </c>
      <c r="BD657" s="106">
        <f t="shared" si="1333"/>
        <v>0</v>
      </c>
      <c r="BE657" s="107">
        <f t="shared" si="1333"/>
        <v>0</v>
      </c>
      <c r="BF657" s="105">
        <f t="shared" si="1329"/>
        <v>0</v>
      </c>
      <c r="BG657" s="106">
        <f t="shared" si="1329"/>
        <v>0</v>
      </c>
      <c r="BH657" s="106">
        <f t="shared" si="1329"/>
        <v>0</v>
      </c>
      <c r="BI657" s="106">
        <f t="shared" si="1329"/>
        <v>0</v>
      </c>
      <c r="BJ657" s="106">
        <f t="shared" si="1329"/>
        <v>0</v>
      </c>
      <c r="BK657" s="106">
        <f t="shared" si="1329"/>
        <v>0</v>
      </c>
      <c r="BL657" s="106">
        <f t="shared" si="1329"/>
        <v>0</v>
      </c>
      <c r="BM657" s="108">
        <f t="shared" si="1329"/>
        <v>0</v>
      </c>
      <c r="BN657" s="109">
        <f t="shared" si="1329"/>
        <v>0</v>
      </c>
      <c r="BO657" s="109">
        <f t="shared" si="1329"/>
        <v>0</v>
      </c>
      <c r="BP657" s="109">
        <f t="shared" si="1329"/>
        <v>0</v>
      </c>
      <c r="BQ657" s="110">
        <f t="shared" si="1329"/>
        <v>0</v>
      </c>
      <c r="BR657" s="107">
        <f t="shared" si="1329"/>
        <v>0</v>
      </c>
      <c r="BS657" s="464"/>
      <c r="BT657" s="461"/>
      <c r="BU657" s="392"/>
      <c r="BV657" s="461"/>
      <c r="BW657" s="392"/>
      <c r="BX657" s="392"/>
      <c r="BY657" s="392"/>
      <c r="BZ657" s="461"/>
      <c r="CA657" s="392"/>
      <c r="CB657" s="392"/>
      <c r="CC657" s="392"/>
      <c r="CD657" s="401"/>
      <c r="CE657" s="409"/>
      <c r="CF657" s="133">
        <f t="shared" si="1285"/>
        <v>0</v>
      </c>
      <c r="CG657" s="134">
        <f t="shared" si="1286"/>
        <v>0</v>
      </c>
      <c r="CH657" s="134">
        <f t="shared" si="1287"/>
        <v>0</v>
      </c>
      <c r="CI657" s="134">
        <f t="shared" si="1288"/>
        <v>0</v>
      </c>
      <c r="CJ657" s="134">
        <f t="shared" si="1289"/>
        <v>0</v>
      </c>
      <c r="CK657" s="134">
        <f t="shared" si="1290"/>
        <v>0</v>
      </c>
      <c r="CL657" s="134">
        <f t="shared" si="1291"/>
        <v>0</v>
      </c>
      <c r="CM657" s="134">
        <f t="shared" si="1292"/>
        <v>0</v>
      </c>
      <c r="CN657" s="134">
        <f t="shared" si="1293"/>
        <v>0</v>
      </c>
      <c r="CO657" s="134">
        <f t="shared" si="1294"/>
        <v>0</v>
      </c>
      <c r="CP657" s="134">
        <f t="shared" si="1295"/>
        <v>0</v>
      </c>
      <c r="CQ657" s="134">
        <f t="shared" si="1296"/>
        <v>0</v>
      </c>
      <c r="CR657" s="134">
        <f t="shared" si="1297"/>
        <v>0</v>
      </c>
      <c r="CS657" s="134">
        <f t="shared" si="1298"/>
        <v>0</v>
      </c>
      <c r="CT657" s="115">
        <f t="shared" si="1299"/>
        <v>0</v>
      </c>
      <c r="CU657" s="116">
        <f t="shared" si="1300"/>
        <v>0</v>
      </c>
      <c r="CV657" s="116">
        <f t="shared" si="1301"/>
        <v>0</v>
      </c>
      <c r="CW657" s="116">
        <f t="shared" si="1302"/>
        <v>0</v>
      </c>
      <c r="CX657" s="116">
        <f t="shared" si="1303"/>
        <v>0</v>
      </c>
      <c r="CY657" s="116">
        <f t="shared" si="1304"/>
        <v>0</v>
      </c>
      <c r="CZ657" s="116">
        <f t="shared" si="1305"/>
        <v>0</v>
      </c>
      <c r="DA657" s="116">
        <f t="shared" si="1306"/>
        <v>0</v>
      </c>
      <c r="DB657" s="116">
        <f t="shared" si="1307"/>
        <v>0</v>
      </c>
      <c r="DC657" s="116">
        <f t="shared" si="1308"/>
        <v>0</v>
      </c>
      <c r="DD657" s="116">
        <f t="shared" si="1309"/>
        <v>0</v>
      </c>
      <c r="DE657" s="117">
        <f t="shared" si="1310"/>
        <v>0</v>
      </c>
      <c r="DF657" s="118">
        <f t="shared" si="1312"/>
        <v>38</v>
      </c>
      <c r="DG657" s="106">
        <f t="shared" si="1313"/>
        <v>50.117999999999995</v>
      </c>
      <c r="DH657" s="116">
        <f t="shared" si="1314"/>
        <v>14</v>
      </c>
      <c r="DI657" s="106">
        <f t="shared" si="1315"/>
        <v>60.05</v>
      </c>
      <c r="DJ657" s="201" t="str">
        <f>IF($D655="","",$D655)</f>
        <v>21</v>
      </c>
      <c r="DK657" s="466"/>
    </row>
    <row r="658" spans="1:115" ht="14.5" customHeight="1" x14ac:dyDescent="0.2">
      <c r="A658" s="487">
        <f>$A655+1</f>
        <v>219</v>
      </c>
      <c r="B658" s="506" t="str">
        <f>IF(OR(C658="W",C659="W",C660="W",C658="1/2W",C659="1/2W",C660="1/2W",C658="1/2L",C659="1/2L",C660="1/2L"),"OK",IF(OR(C658="L",C659="L",C660="L"),"LOSS",IF(OR(C658="X",C659="X",C660="X"),"Anulado"," ")))</f>
        <v>OK</v>
      </c>
      <c r="C658" s="147" t="s">
        <v>55</v>
      </c>
      <c r="D658" s="494" t="str">
        <f>IF(G658="","",$D655)</f>
        <v>21</v>
      </c>
      <c r="E658" s="511" t="str">
        <f>IF(G658=""," ","– "&amp;COUNTIF(D$4:D660,$D658))</f>
        <v>– 15</v>
      </c>
      <c r="F658" s="510" t="str">
        <f ca="1">IF(G658="","",IF(OR(AND($C658&lt;&gt;" ",$C659=" "),AND($C659&lt;&gt;" ",$C658=" "),AND(L660&gt;0,OR(AND($C660&lt;&gt;" ",OR($C658=" ",$C659=" ")),AND($C660=" ",OR($C658&lt;&gt;" ",$C659&lt;&gt;" "))))),IF(SUM(F$4:F657)=0,1,LARGE(F$4:F657,1)+1),IF(MONTH(G658)=MONTH(TODAY()),IF(AND(DAY(G658)&lt;DAY(TODAY()),$B658=" "),IF(SUM(F$4:F657)=0,1,LARGE(F$4:F657,1)+1),IF($B658=" ",IF(AND(DAY(G658)=DAY(TODAY()),HOUR(G658)&lt;=HOUR(NOW())+1),IF(AND(HOUR(G658)+2&lt;=HOUR(NOW()),DAY(G658)&lt;=DAY(TODAY()),MINUTE(G658)&lt;=MINUTE(NOW())),IF(SUM(F$4:F657)=0,1,LARGE(F$4:F657,1)+1),IF(OR(MINUTE(G658)&lt;=MINUTE(NOW()),HOUR(G658)&lt;=HOUR(NOW())),"!!!","")),""),"")),"")))</f>
        <v/>
      </c>
      <c r="G658" s="508">
        <f>IF(H658="","",_xlfn.XLOOKUP(H658,$H$4:H657,$G$4:G657,""))</f>
        <v>45006.458333333336</v>
      </c>
      <c r="H658" s="502" t="s">
        <v>238</v>
      </c>
      <c r="I658" s="148">
        <v>2</v>
      </c>
      <c r="J658" s="149"/>
      <c r="K658" s="150" t="s">
        <v>40</v>
      </c>
      <c r="L658" s="151">
        <v>2.12</v>
      </c>
      <c r="M658" s="152">
        <v>10.039999999999999</v>
      </c>
      <c r="N658" s="503">
        <v>0</v>
      </c>
      <c r="O658" s="153">
        <f>IF(OR(AE658="",AE659=""),"",ROUND(IF(L660&gt;0,IF(M658&gt;0,M658,IF(M659&gt;0,ROUND((M659*AE658)/AE659,IF(N658=0,2,IF(N658=0.1,1,0))),ROUND((M660*AE658)/AE660,IF(N658=0,2,IF(N658=0.1,1,0))))),IF(M658&gt;0,M658,ROUND((M659*AE658)/AE659,IF(N658=0,2,IF(N658=0.1,1,0))))),2))</f>
        <v>10.039999999999999</v>
      </c>
      <c r="P658" s="154">
        <f>IF(OR(L658="",O658=""),"",IF($C658="1/2W",O658/2+O658/2*L658,IF($C658="1/2L",O658/2,IF(I658="Lay",(O658*(L658/(L658-1))-O658)*(1-_xlfn.XLOOKUP(K658,'Fevereiro 2023 - Valor Real'!A3:A15,'Fevereiro 2023 - Valor Real'!C3:C15,0))+O658,(O658*L658-O658)*(1-_xlfn.XLOOKUP(K658,'Fevereiro 2023 - Valor Real'!A3:A15,'Fevereiro 2023 - Valor Real'!C3:C15,0))+O658))))</f>
        <v>21.284800000000001</v>
      </c>
      <c r="Q658" s="155">
        <f>IF(K658="","",IF(_xlfn.XLOOKUP(K658,K$9:K650,$DJ$9:DJ650,0,,-1)=DJ658,_xlfn.XLOOKUP(K658,K$9:K650,Q$9:Q650,1,,-1)+1,1))</f>
        <v>6</v>
      </c>
      <c r="R658" s="156">
        <f>IF(K658="","",_xlfn.XLOOKUP(K658,K$9:K650,R$9:R650,0,,-1)+IF($C658=" ",1,0))</f>
        <v>0</v>
      </c>
      <c r="S658" s="501">
        <f>IF($B658="Anulado",0,ROUND(IF(OR($B658="LOSS",$B658="OK"),IF(OR($C658="W",$C658="1/2W",$C658="1/2L"),P658-O658,IF($C658="L",-O658,0))+IF(OR($C659="W",$C659="1/2W",$C659="1/2L"),P659-O659,IF($C659="L",-O659,0))+IF(OR($C660="W",$C660="1/2W",$C660="1/2L"),P660-O660,IF($C660="L",-O660,0)),IF(AND(OR($C658="W",$C658="1/2W",$C658="1/2L"),C659="W"),P658+P659-SUM(O658:O660)+_xlfn.XLOOKUP("X",C658:C660,O658:O660,0),IF(AND(C658=TRUE,C660="W"),P658+P660-SUM(O658:O660),IF(AND(C659="W",C660="W"),P659+P660-SUM(O658:O660)+_xlfn.XLOOKUP("X",C658:C660,O658:O660,0),IF(L660&gt;0,IF(OR($C658="W",$C658="1/2W",$C658="1/2L"),P658-SUM(O658:O660)+_xlfn.XLOOKUP("X",C658:C660,O658:O660,0),IF(OR($C658="W",$C658="1/2W",$C658="1/2L"),P659-SUM(O658:O660)+_xlfn.XLOOKUP("X",C658:C660,O658:O660,0),IF(OR($C658="W",$C658="1/2W",$C658="1/2L"),P660-SUM(O658:O660)+_xlfn.XLOOKUP("X",C658:C660,O658:O660,0),IF(SUM(P658:P660)/3-SUM(O658:O660)+_xlfn.XLOOKUP("X",C658:C660,O658:O660,0)&gt;0,SUM(P658:P660)/3-SUM(O658:O660)+_xlfn.XLOOKUP("X",C658:C660,O658:O660,0),LARGE(P658:P660,1)-SUM(O658:O660))))),IF(OR($C658="W",$C658="1/2W",$C658="1/2L"),P658-SUM(O658:O659)+_xlfn.XLOOKUP("X",C658:C660,O658:O660,0),IF(OR($C658="W",$C658="1/2W",$C658="1/2L"),P659-SUM(O658:O659)+_xlfn.XLOOKUP("X",C658:C660,O658:O660,0),SUM(P658:P659)/2-SUM(O658:O659)+_xlfn.XLOOKUP("X",C658:C660,O658:O660,0)))))))),2))</f>
        <v>4.05</v>
      </c>
      <c r="T658" s="486">
        <f>IF(S658=0,0,S658/SUM(O658:O660))</f>
        <v>0.23865645256334708</v>
      </c>
      <c r="U658" s="496">
        <f>IF($D658=$D655,IF(OR($B658="LOSS",$B658="OK",$B658="Anulada"),S658,0)+U655,IF(OR($B658="LOSS",$B658="OK",$B658="Anulada"),S658,0))</f>
        <v>49.19</v>
      </c>
      <c r="V658" s="496">
        <f>IF($D658="",0,IF($D658=$D655,IF($B658=" ",IF(I660="",IF(OR(AND(I658="DNB1",I659="DNB2"),AND(OR(I658="DNB1",I658="DNB2"),J659=0),AND(OR(I659="DNB1",I659="DNB2"),J658=0),AND(I658="DNB2",I659="DNB1"),AND(IF(J658=0,(J658+1)/ROUND(J658+1,0),J658/ROUND(J658,0))=1,IF(J659=0,(J659+1)/ROUND(IF(J659="",0,J659)+1,0),IF(J659="",0,J659)/ROUND(IF(J659="",1,J659),0))=1,OR(J658&lt;&gt;""),J659&lt;&gt;"")),0,IF(S658&lt;0,IF(I660="",SMALL(P658:P659,1)-SUM(O658:O659),0),SMALL(P658:P659,1)-SUM(O658:O659))),IF(S658&lt;0,IF(I660="",SMALL(P658:P660,1)-SUM(O658:O660),0),LARGE(P658:P660,1)-SUM(O658:O660))),S658)+V655,IF(I660="",IF(OR(AND(I658="DNB1",I659="DNB2"),AND(OR(I658="DNB1",I658="DNB2"),J659=0),AND(OR(I659="DNB1",I659="DNB2"),J658=0),AND(I658="DNB2",I659="DNB1"),AND(IF(J658=0,(J658+1)/ROUND(J658+1,0),J658/ROUND(J658,0))=1,IF(J659=0,(IF(J659="",0,J659)+1)/ROUND(IF(J659="",0,J659)+1,0),IF(J659="",0,J659)/ROUND(IF(J659="",0,J659)+1,0))=1,OR(J658&lt;&gt;""),J659&lt;&gt;"")),0,IF(S658&lt;0,IF(I660="",SMALL(P658:P659,1)-SUM(O658:O659),0),SMALL(P658:P660,1)-SUM(O658:O660))),IF(S658&lt;0,IF(I660="",SMALL(P658:P660,1)-SUM(O658:O660),0),LARGE(P658:P660,1)-SUM(O658:O660)))))</f>
        <v>49.187999999999995</v>
      </c>
      <c r="W658" s="496">
        <f>IF($D658=$D655,IF(S658&lt;0,IF(I660="",S658,0),S658)+W655,S658)</f>
        <v>49.19</v>
      </c>
      <c r="X658" s="505" t="str">
        <f>IF(OR(SUM(R658:R660)=0,V658=W658),ROUND(IF(W658=0,0,W658/Y658)*100,2)&amp;"%",ROUND(IF(V658=0,0,V658/Y658)*100,2)&amp;"% a "&amp;ROUND(IF(W658=0,0,W658/Y658)*100,2)&amp;"%")</f>
        <v>10,88%</v>
      </c>
      <c r="Y658" s="497">
        <f>IF($D658=$D655,Y655+SUM(O658:O660),SUM(O658:O660))</f>
        <v>451.97</v>
      </c>
      <c r="Z658" s="496">
        <f>IF($B658=" ",SUM(O658:O660),0)+Z655</f>
        <v>0</v>
      </c>
      <c r="AA658" s="496">
        <f>IF(G658="","",IF($B658="Anulado",LARGE(P658:P660,1)-SUM(O658:O660)+AA655,AA655))</f>
        <v>13.381099999999991</v>
      </c>
      <c r="AB658" s="496">
        <f>IF($D658="","",AB655+S658)</f>
        <v>726.8200000000005</v>
      </c>
      <c r="AC658" s="499">
        <f ca="1">IF($D658="","",IF($B658=" ",IF(DAY(G658)=DAY(TODAY()),1+AC655,0+AC655),0+AC655))</f>
        <v>0</v>
      </c>
      <c r="AD658" s="157">
        <f>(1-_xlfn.XLOOKUP(K656,'Fevereiro 2023 - Valor Real'!A3:A15,'Fevereiro 2023 - Valor Real'!C3:C15,0))+1</f>
        <v>1.9350000000000001</v>
      </c>
      <c r="AE658" s="158">
        <f>IF(L658="","",IF(L660&gt;0,(SUM(((L658-1)*(1-_xlfn.XLOOKUP(K658,'Fevereiro 2023 - Valor Real'!A3:A15,'Fevereiro 2023 - Valor Real'!C3:C15,0))+1),((L659-1)*(1-_xlfn.XLOOKUP(K659,'Fevereiro 2023 - Valor Real'!A3:A15,'Fevereiro 2023 - Valor Real'!C3:C15,0))+1),((L660-1)*(1-_xlfn.XLOOKUP(K660,'Fevereiro 2023 - Valor Real'!A3:A15,'Fevereiro 2023 - Valor Real'!C3:C15,0))+1))/((L658-1)*(1-_xlfn.XLOOKUP(K658,'Fevereiro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Real'!C3:C15,0))+1))/((L658-1)*(1-_xlfn.XLOOKUP(K658,'Fevereiro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Real'!C3:C15,0))+1))/((L659-1)*(1-_xlfn.XLOOKUP(K659,'Fevereiro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Real'!C3:C15,0))+1))/((L660-1)*(1-_xlfn.XLOOKUP(K660,'Fevereiro 2023 - Valor Real'!A3:A15,'Fevereiro 2023 - Valor Real'!C3:C15,0))+1)),IF(I658="Lay",IF(I659="Lay",((L659/(L659-1)-1)*(1-_xlfn.XLOOKUP(K659,'Fevereiro 2023 - Valor Real'!A3:A15,'Fevereiro 2023 - Valor Real'!C3:C15,0))+1)/(((L659/(L659-1)-1)*(1-_xlfn.XLOOKUP(K659,'Fevereiro 2023 - Valor Real'!A3:A15,'Fevereiro 2023 - Valor Real'!C3:C15,0))+1)+((L658/(L658-1)-1)*(1-_xlfn.XLOOKUP(K658,'Fevereiro 2023 - Valor Real'!A3:A15,'Fevereiro 2023 - Valor Real'!C3:C15,0))+1)),((L659-1)*(1-_xlfn.XLOOKUP(K659,'Fevereiro 2023 - Valor Real'!A3:A15,'Fevereiro 2023 - Valor Real'!C3:C15,0))+1)/(((L659-1)*(1-_xlfn.XLOOKUP(K659,'Fevereiro 2023 - Valor Real'!A3:A15,'Fevereiro 2023 - Valor Real'!C3:C15,0))+1)+((L658/(L658-1)-1)*(1-_xlfn.XLOOKUP(K658,'Fevereiro 2023 - Valor Real'!A3:A15,'Fevereiro 2023 - Valor Real'!C3:C15,0))+1))),IF(I659="Lay",(((L659/(L659-1)-1)*(1-_xlfn.XLOOKUP(K659,'Fevereiro 2023 - Valor Real'!A3:A15,'Fevereiro 2023 - Valor Real'!C3:C15,0))+1))/(((L658-1)*(1-_xlfn.XLOOKUP(K658,'Fevereiro 2023 - Valor Real'!A3:A15,'Fevereiro 2023 - Valor Real'!C3:C15,0))+1)+((L659/(L659-1)-1)*(1-_xlfn.XLOOKUP(K659,'Fevereiro 2023 - Valor Real'!A3:A15,'Fevereiro 2023 - Valor Real'!C3:C15,0))+1)),((L659-1)*(1-_xlfn.XLOOKUP(K659,'Fevereiro 2023 - Valor Real'!A3:A15,'Fevereiro 2023 - Valor Real'!C3:C15,0))+1)/(((L659-1)*(1-_xlfn.XLOOKUP(K659,'Fevereiro 2023 - Valor Real'!A3:A15,'Fevereiro 2023 - Valor Real'!C3:C15,0))+1)+((L658-1)*(1-_xlfn.XLOOKUP(K658,'Fevereiro 2023 - Valor Real'!A3:A15,'Fevereiro 2023 - Valor Real'!C3:C15,0))+1))))))</f>
        <v>0.5885579276010463</v>
      </c>
      <c r="AF658" s="66">
        <f t="shared" si="1327"/>
        <v>0</v>
      </c>
      <c r="AG658" s="67">
        <f t="shared" si="1327"/>
        <v>0</v>
      </c>
      <c r="AH658" s="67">
        <f t="shared" si="1327"/>
        <v>0</v>
      </c>
      <c r="AI658" s="67">
        <f t="shared" si="1327"/>
        <v>0</v>
      </c>
      <c r="AJ658" s="67">
        <f t="shared" si="1327"/>
        <v>-10.039999999999999</v>
      </c>
      <c r="AK658" s="67">
        <f t="shared" si="1327"/>
        <v>0</v>
      </c>
      <c r="AL658" s="67">
        <f t="shared" si="1327"/>
        <v>0</v>
      </c>
      <c r="AM658" s="67">
        <f t="shared" si="1327"/>
        <v>0</v>
      </c>
      <c r="AN658" s="67">
        <f t="shared" si="1327"/>
        <v>0</v>
      </c>
      <c r="AO658" s="67">
        <f t="shared" si="1327"/>
        <v>0</v>
      </c>
      <c r="AP658" s="67">
        <f t="shared" si="1327"/>
        <v>0</v>
      </c>
      <c r="AQ658" s="67">
        <f t="shared" si="1327"/>
        <v>0</v>
      </c>
      <c r="AR658" s="68">
        <f t="shared" si="1327"/>
        <v>0</v>
      </c>
      <c r="AS658" s="66">
        <f t="shared" ref="AS658:BE658" si="1334">IF(AND($B658=" ",$K658=AS$3),$O658,0)</f>
        <v>0</v>
      </c>
      <c r="AT658" s="67">
        <f t="shared" si="1334"/>
        <v>0</v>
      </c>
      <c r="AU658" s="67">
        <f t="shared" si="1334"/>
        <v>0</v>
      </c>
      <c r="AV658" s="67">
        <f t="shared" si="1334"/>
        <v>0</v>
      </c>
      <c r="AW658" s="67">
        <f t="shared" si="1334"/>
        <v>0</v>
      </c>
      <c r="AX658" s="67">
        <f t="shared" si="1334"/>
        <v>0</v>
      </c>
      <c r="AY658" s="69">
        <f t="shared" si="1334"/>
        <v>0</v>
      </c>
      <c r="AZ658" s="70">
        <f t="shared" si="1334"/>
        <v>0</v>
      </c>
      <c r="BA658" s="70">
        <f t="shared" si="1334"/>
        <v>0</v>
      </c>
      <c r="BB658" s="70">
        <f t="shared" si="1334"/>
        <v>0</v>
      </c>
      <c r="BC658" s="71">
        <f t="shared" si="1334"/>
        <v>0</v>
      </c>
      <c r="BD658" s="67">
        <f t="shared" si="1334"/>
        <v>0</v>
      </c>
      <c r="BE658" s="68">
        <f t="shared" si="1334"/>
        <v>0</v>
      </c>
      <c r="BF658" s="66">
        <f t="shared" si="1329"/>
        <v>0</v>
      </c>
      <c r="BG658" s="67">
        <f t="shared" si="1329"/>
        <v>0</v>
      </c>
      <c r="BH658" s="67">
        <f t="shared" si="1329"/>
        <v>0</v>
      </c>
      <c r="BI658" s="67">
        <f t="shared" si="1329"/>
        <v>0</v>
      </c>
      <c r="BJ658" s="67">
        <f t="shared" si="1329"/>
        <v>10.039999999999999</v>
      </c>
      <c r="BK658" s="67">
        <f t="shared" si="1329"/>
        <v>0</v>
      </c>
      <c r="BL658" s="67">
        <f t="shared" si="1329"/>
        <v>0</v>
      </c>
      <c r="BM658" s="69">
        <f t="shared" si="1329"/>
        <v>0</v>
      </c>
      <c r="BN658" s="70">
        <f t="shared" si="1329"/>
        <v>0</v>
      </c>
      <c r="BO658" s="70">
        <f t="shared" si="1329"/>
        <v>0</v>
      </c>
      <c r="BP658" s="70">
        <f t="shared" si="1329"/>
        <v>0</v>
      </c>
      <c r="BQ658" s="71">
        <f t="shared" si="1329"/>
        <v>0</v>
      </c>
      <c r="BR658" s="68">
        <f t="shared" si="1329"/>
        <v>0</v>
      </c>
      <c r="BS658" s="490">
        <f>IF($B658="LOSS",IF(AND($K658=BS$3,$C658="L"),-$O658,0)+IF(AND($K659=BS$3,$C659="L"),-$O659,0)+IF(AND($K660=BS$3,$C660="L"),-$O660,0),IF(OR(AND($K658=BS$3,OR($C658="W",$C658="1/2W")),AND($K659=BS$3,OR($C659="W",$C659="1/2W")),AND($K660=BS$3,OR($C660="W",$C660="1/2W"))),$S658,0))</f>
        <v>0</v>
      </c>
      <c r="BT658" s="498">
        <f>IF($B658="LOSS",IF(AND($K658=BT$3,$C658="L"),-$O658,0)+IF(AND($K659=BT$3,$C659="L"),-$O659,0)+IF(AND($K659=BT$3,$C660="L"),-$O660,0),IF(OR(AND($K659=BT$3,OR($C658="W",$C658="1/2W")),AND($K659=BT$3,OR($C659="W",$C659="1/2W")),AND($K659=BT$3,OR($C660="W",$C660="1/2W"))),$S658,0))</f>
        <v>0</v>
      </c>
      <c r="BU658" s="488">
        <f>IF($B658="LOSS",IF(AND($K658=BU$3,$C658="L"),-$O658,0)+IF(AND($K659=BU$3,$C659="L"),-$O659,0)+IF(AND($K659=BU$3,$C660="L"),-$O660,0),IF(OR(AND($K659=BU$3,OR($C658="W",$C658="1/2W")),AND($K659=BU$3,OR($C659="W",$C659="1/2W")),AND($K659=BU$3,OR($C660="W",$C660="1/2W"))),$S658,0))</f>
        <v>4.05</v>
      </c>
      <c r="BV658" s="488">
        <f t="shared" ref="BV658:CE658" si="1335">IF($B658="LOSS",IF(AND($K658=BV$3,$C658="L"),-$O658,0)+IF(AND($K659=BV$3,$C659="L"),-$O659,0)+IF(AND($K660=BV$3,$C660="L"),-$O660,0),IF(OR(AND($K658=BV$3,OR($C658="W",$C658="1/2W")),AND($K659=BV$3,OR($C659="W",$C659="1/2W")),AND($K660=BV$3,OR($C660="W",$C660="1/2W"))),$S658,0))</f>
        <v>0</v>
      </c>
      <c r="BW658" s="488">
        <f t="shared" si="1335"/>
        <v>0</v>
      </c>
      <c r="BX658" s="488">
        <f t="shared" si="1335"/>
        <v>0</v>
      </c>
      <c r="BY658" s="488">
        <f t="shared" si="1335"/>
        <v>0</v>
      </c>
      <c r="BZ658" s="488">
        <f t="shared" si="1335"/>
        <v>0</v>
      </c>
      <c r="CA658" s="488">
        <f t="shared" si="1335"/>
        <v>0</v>
      </c>
      <c r="CB658" s="488">
        <f t="shared" si="1335"/>
        <v>0</v>
      </c>
      <c r="CC658" s="488">
        <f t="shared" si="1335"/>
        <v>0</v>
      </c>
      <c r="CD658" s="500">
        <f t="shared" si="1335"/>
        <v>0</v>
      </c>
      <c r="CE658" s="504">
        <f t="shared" si="1335"/>
        <v>0</v>
      </c>
      <c r="CF658" s="160">
        <f t="shared" si="1285"/>
        <v>0</v>
      </c>
      <c r="CG658" s="161">
        <f t="shared" si="1286"/>
        <v>0</v>
      </c>
      <c r="CH658" s="161">
        <f t="shared" si="1287"/>
        <v>0</v>
      </c>
      <c r="CI658" s="161">
        <f t="shared" si="1288"/>
        <v>0</v>
      </c>
      <c r="CJ658" s="161">
        <f t="shared" si="1289"/>
        <v>0</v>
      </c>
      <c r="CK658" s="161">
        <f t="shared" si="1290"/>
        <v>0</v>
      </c>
      <c r="CL658" s="161">
        <f t="shared" si="1291"/>
        <v>0</v>
      </c>
      <c r="CM658" s="161">
        <f t="shared" si="1292"/>
        <v>0</v>
      </c>
      <c r="CN658" s="161">
        <f t="shared" si="1293"/>
        <v>0</v>
      </c>
      <c r="CO658" s="161">
        <f t="shared" si="1294"/>
        <v>1</v>
      </c>
      <c r="CP658" s="161">
        <f t="shared" si="1295"/>
        <v>0</v>
      </c>
      <c r="CQ658" s="161">
        <f t="shared" si="1296"/>
        <v>0</v>
      </c>
      <c r="CR658" s="161">
        <f t="shared" si="1297"/>
        <v>0</v>
      </c>
      <c r="CS658" s="161">
        <f t="shared" si="1298"/>
        <v>0</v>
      </c>
      <c r="CT658" s="75">
        <f t="shared" si="1299"/>
        <v>0</v>
      </c>
      <c r="CU658" s="76">
        <f t="shared" si="1300"/>
        <v>0</v>
      </c>
      <c r="CV658" s="76">
        <f t="shared" si="1301"/>
        <v>0</v>
      </c>
      <c r="CW658" s="76">
        <f t="shared" si="1302"/>
        <v>0</v>
      </c>
      <c r="CX658" s="76">
        <f t="shared" si="1303"/>
        <v>0</v>
      </c>
      <c r="CY658" s="76">
        <f t="shared" si="1304"/>
        <v>0</v>
      </c>
      <c r="CZ658" s="76">
        <f t="shared" si="1305"/>
        <v>0</v>
      </c>
      <c r="DA658" s="76">
        <f t="shared" si="1306"/>
        <v>0</v>
      </c>
      <c r="DB658" s="76">
        <f t="shared" si="1307"/>
        <v>0</v>
      </c>
      <c r="DC658" s="76">
        <f t="shared" si="1308"/>
        <v>0</v>
      </c>
      <c r="DD658" s="76">
        <f t="shared" si="1309"/>
        <v>0</v>
      </c>
      <c r="DE658" s="77">
        <f t="shared" si="1310"/>
        <v>0</v>
      </c>
      <c r="DF658" s="73">
        <f t="shared" si="1312"/>
        <v>38</v>
      </c>
      <c r="DG658" s="67">
        <f t="shared" si="1313"/>
        <v>50.117999999999995</v>
      </c>
      <c r="DH658" s="76">
        <f t="shared" si="1314"/>
        <v>14</v>
      </c>
      <c r="DI658" s="67">
        <f t="shared" si="1315"/>
        <v>60.05</v>
      </c>
      <c r="DJ658" s="202" t="str">
        <f>IF($D658="","",$D658)</f>
        <v>21</v>
      </c>
      <c r="DK658" s="492">
        <f>IF(AND($B658=" ",$D658&lt;&gt;""),1,0)</f>
        <v>0</v>
      </c>
    </row>
    <row r="659" spans="1:115" ht="14.5" customHeight="1" x14ac:dyDescent="0.2">
      <c r="A659" s="389"/>
      <c r="B659" s="456"/>
      <c r="C659" s="53" t="s">
        <v>54</v>
      </c>
      <c r="D659" s="374"/>
      <c r="E659" s="386"/>
      <c r="F659" s="377"/>
      <c r="G659" s="508"/>
      <c r="H659" s="476"/>
      <c r="I659" s="182" t="s">
        <v>88</v>
      </c>
      <c r="J659" s="163" t="str">
        <f>IF(OR(I658="TO",I658="TU",I658="TO1",I658="TU1",I658="TO2",I658="TU2"),J658,IF(OR(I658="AH1",I658="AH2"),IF(OR(I659="AH1",I659="AH2"),-J658,IF(OR(I659="EH1",I659="EH2"),-J658+0.5,"")),IF(OR(I658="EH1",I658="EH2"),IF(OR(I659="AH1",I659="AH2"),-J658+0.5,IF(OR(I659="EH1",I659="EH2"),-J658+1,"")),IF(AND(OR(I658="DNB1",I658="DNB2"),OR(I659="AH1",I659="AH2")),0,IF(AND(I658="Not ScoreBoth",OR(I659="TO1",I659="TO2")),0.5,"")))))</f>
        <v/>
      </c>
      <c r="K659" s="57" t="s">
        <v>38</v>
      </c>
      <c r="L659" s="164">
        <v>1.46</v>
      </c>
      <c r="M659" s="165">
        <v>6.93</v>
      </c>
      <c r="N659" s="406"/>
      <c r="O659" s="60">
        <f>IF(OR(AE658="",AE659=""),"",ROUND(IF(L660&gt;0,IF(M659&gt;0,M659,IF(M658&gt;0,IF(N658=TRUE,ROUND((M658*AE659)/AE658,0),(M658*AE659)/AE658),IF(M659&gt;0,ROUND(M659,IF(N658=0,2,IF(N658=0.1,1,0))),IF(M660&gt;0,ROUND(O660*AE659/AE660,IF(N658=0,2,IF(N658=0.1,1,0))),0)))),IF(M659&gt;0,M659,ROUND((M658*AE659)/AE658,IF(N658=0,2,IF(N658=0.1,1,0))))),2))</f>
        <v>6.93</v>
      </c>
      <c r="P659" s="61">
        <f>IF(OR(L659="",O659=""),"",IF($C659="1/2W",O659/2+O659/2*L659,IF($C659="1/2L",O659/2,IF(I659="Lay",((O659*(L659/(L659-1)))-O659)*(1-_xlfn.XLOOKUP(K659,'Fevereiro 2023 - Valor Real'!A3:A15,'Fevereiro 2023 - Valor Real'!C3:C15,0))+O659,(O659*L659-O659)*(1-_xlfn.XLOOKUP(K659,'Fevereiro 2023 - Valor Real'!A3:A15,'Fevereiro 2023 - Valor Real'!C3:C15,0))+O659))))</f>
        <v>21.015978260869566</v>
      </c>
      <c r="Q659" s="166">
        <f>IF(K659="","",IF(_xlfn.XLOOKUP(K659,K$10:K650,$DJ$10:DJ650,0,,-1)=DJ659,_xlfn.XLOOKUP(K659,K$10:K650,Q$10:Q650,1,,-1)+1,1))</f>
        <v>3</v>
      </c>
      <c r="R659" s="167">
        <f>IF(K659="","",_xlfn.XLOOKUP(K659,K$10:K650,R$10:R650,0,,-1)+IF($C659=" ",1,0))</f>
        <v>0</v>
      </c>
      <c r="S659" s="403"/>
      <c r="T659" s="380"/>
      <c r="U659" s="380"/>
      <c r="V659" s="481"/>
      <c r="W659" s="380"/>
      <c r="X659" s="452"/>
      <c r="Y659" s="383"/>
      <c r="Z659" s="384"/>
      <c r="AA659" s="384"/>
      <c r="AB659" s="384"/>
      <c r="AC659" s="384"/>
      <c r="AD659" s="64"/>
      <c r="AE659" s="65">
        <f>IF(L659="","",IF(L660&gt;0,(SUM(((L658-1)*(1-_xlfn.XLOOKUP(K658,'Fevereiro 2023 - Valor Real'!A3:A15,'Fevereiro 2023 - Valor Real'!C3:C15,0))+1),((L659-1)*(1-_xlfn.XLOOKUP(K659,'Fevereiro 2023 - Valor Real'!A3:A15,'Fevereiro 2023 - Valor Real'!C3:C15,0))+1),((L660-1)*(1-_xlfn.XLOOKUP(K660,'Fevereiro 2023 - Valor Real'!A3:A15,'Fevereiro 2023 - Valor Real'!C3:C15,0))+1))/((L659-1)*(1-_xlfn.XLOOKUP(K659,'Fevereiro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Real'!C3:C15,0))+1))/((L658-1)*(1-_xlfn.XLOOKUP(K658,'Fevereiro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Real'!C3:C15,0))+1))/((L659-1)*(1-_xlfn.XLOOKUP(K659,'Fevereiro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Real'!C3:C15,0))+1))/((L660-1)*(1-_xlfn.XLOOKUP(K660,'Fevereiro 2023 - Valor Real'!A3:A15,'Fevereiro 2023 - Valor Real'!C3:C15,0))+1)),IF(I659="Lay",IF(I658="Lay",((L658/(L658-1)-1)*(1-_xlfn.XLOOKUP(K658,'Fevereiro 2023 - Valor Real'!A3:A15,'Fevereiro 2023 - Valor Real'!C3:C15,0))+1)/(((L658/(L658-1)-1)*(1-_xlfn.XLOOKUP(K658,'Fevereiro 2023 - Valor Real'!A3:A15,'Fevereiro 2023 - Valor Real'!C3:C15,0))+1)+((L659/(L659-1)-1)*(1-_xlfn.XLOOKUP(K659,'Fevereiro 2023 - Valor Real'!A3:A15,'Fevereiro 2023 - Valor Real'!C3:C15,0))+1)),((L658-1)*(1-_xlfn.XLOOKUP(K658,'Fevereiro 2023 - Valor Real'!A3:A15,'Fevereiro 2023 - Valor Real'!C3:C15,0))+1)/(((L658-1)*(1-_xlfn.XLOOKUP(K658,'Fevereiro 2023 - Valor Real'!A3:A15,'Fevereiro 2023 - Valor Real'!C3:C15,0))+1)+((L659/(L659-1)-1)*(1-_xlfn.XLOOKUP(K659,'Fevereiro 2023 - Valor Real'!A3:A15,'Fevereiro 2023 - Valor Real'!C3:C15,0))+1))),IF(I658="Lay",((L658/(L658-1)-1)*(1-_xlfn.XLOOKUP(K658,'Fevereiro 2023 - Valor Real'!A3:A15,'Fevereiro 2023 - Valor Real'!C3:C15,0))+1)/((((L658/(L658-1)-1)*(1-_xlfn.XLOOKUP(K658,'Fevereiro 2023 - Valor Real'!A3:A15,'Fevereiro 2023 - Valor Real'!C3:C15,0))+1))+((L659-1)*(1-_xlfn.XLOOKUP(K659,'Fevereiro 2023 - Valor Real'!A3:A15,'Fevereiro 2023 - Valor Real'!C3:C15,0))+1)),((L658-1)*(1-_xlfn.XLOOKUP(K658,'Fevereiro 2023 - Valor Real'!A3:A15,'Fevereiro 2023 - Valor Real'!C3:C15,0))+1)/(((L658-1)*(1-_xlfn.XLOOKUP(K658,'Fevereiro 2023 - Valor Real'!A3:A15,'Fevereiro 2023 - Valor Real'!C3:C15,0))+1)+((L659-1)*(1-_xlfn.XLOOKUP(K659,'Fevereiro 2023 - Valor Real'!A3:A15,'Fevereiro 2023 - Valor Real'!C3:C15,0))+1))))))</f>
        <v>0.41144207239895364</v>
      </c>
      <c r="AF659" s="66">
        <f t="shared" si="1327"/>
        <v>0</v>
      </c>
      <c r="AG659" s="67">
        <f t="shared" si="1327"/>
        <v>0</v>
      </c>
      <c r="AH659" s="67">
        <f t="shared" si="1327"/>
        <v>14.09</v>
      </c>
      <c r="AI659" s="67">
        <f t="shared" si="1327"/>
        <v>0</v>
      </c>
      <c r="AJ659" s="67">
        <f t="shared" si="1327"/>
        <v>0</v>
      </c>
      <c r="AK659" s="67">
        <f t="shared" si="1327"/>
        <v>0</v>
      </c>
      <c r="AL659" s="67">
        <f t="shared" si="1327"/>
        <v>0</v>
      </c>
      <c r="AM659" s="67">
        <f t="shared" si="1327"/>
        <v>0</v>
      </c>
      <c r="AN659" s="67">
        <f t="shared" si="1327"/>
        <v>0</v>
      </c>
      <c r="AO659" s="67">
        <f t="shared" si="1327"/>
        <v>0</v>
      </c>
      <c r="AP659" s="67">
        <f t="shared" si="1327"/>
        <v>0</v>
      </c>
      <c r="AQ659" s="67">
        <f t="shared" si="1327"/>
        <v>0</v>
      </c>
      <c r="AR659" s="68">
        <f t="shared" si="1327"/>
        <v>0</v>
      </c>
      <c r="AS659" s="66">
        <f>IF(AND($B658=" ",$K659=AS$3),$O659,0)</f>
        <v>0</v>
      </c>
      <c r="AT659" s="67">
        <f>IF(AND($B658=" ",K659=AT$3),$O659,0)</f>
        <v>0</v>
      </c>
      <c r="AU659" s="67">
        <f t="shared" ref="AU659:BE659" si="1336">IF(AND($B658=" ",$K659=AU$3),$O659,0)</f>
        <v>0</v>
      </c>
      <c r="AV659" s="67">
        <f t="shared" si="1336"/>
        <v>0</v>
      </c>
      <c r="AW659" s="67">
        <f t="shared" si="1336"/>
        <v>0</v>
      </c>
      <c r="AX659" s="67">
        <f t="shared" si="1336"/>
        <v>0</v>
      </c>
      <c r="AY659" s="69">
        <f t="shared" si="1336"/>
        <v>0</v>
      </c>
      <c r="AZ659" s="70">
        <f t="shared" si="1336"/>
        <v>0</v>
      </c>
      <c r="BA659" s="70">
        <f t="shared" si="1336"/>
        <v>0</v>
      </c>
      <c r="BB659" s="70">
        <f t="shared" si="1336"/>
        <v>0</v>
      </c>
      <c r="BC659" s="71">
        <f t="shared" si="1336"/>
        <v>0</v>
      </c>
      <c r="BD659" s="67">
        <f t="shared" si="1336"/>
        <v>0</v>
      </c>
      <c r="BE659" s="68">
        <f t="shared" si="1336"/>
        <v>0</v>
      </c>
      <c r="BF659" s="66">
        <f t="shared" si="1329"/>
        <v>0</v>
      </c>
      <c r="BG659" s="168">
        <f t="shared" si="1329"/>
        <v>0</v>
      </c>
      <c r="BH659" s="67">
        <f t="shared" si="1329"/>
        <v>6.93</v>
      </c>
      <c r="BI659" s="67">
        <f t="shared" si="1329"/>
        <v>0</v>
      </c>
      <c r="BJ659" s="67">
        <f t="shared" si="1329"/>
        <v>0</v>
      </c>
      <c r="BK659" s="67">
        <f t="shared" si="1329"/>
        <v>0</v>
      </c>
      <c r="BL659" s="67">
        <f t="shared" si="1329"/>
        <v>0</v>
      </c>
      <c r="BM659" s="69">
        <f t="shared" si="1329"/>
        <v>0</v>
      </c>
      <c r="BN659" s="70">
        <f t="shared" si="1329"/>
        <v>0</v>
      </c>
      <c r="BO659" s="70">
        <f t="shared" si="1329"/>
        <v>0</v>
      </c>
      <c r="BP659" s="70">
        <f t="shared" si="1329"/>
        <v>0</v>
      </c>
      <c r="BQ659" s="71">
        <f t="shared" si="1329"/>
        <v>0</v>
      </c>
      <c r="BR659" s="68">
        <f t="shared" si="1329"/>
        <v>0</v>
      </c>
      <c r="BS659" s="491"/>
      <c r="BT659" s="489"/>
      <c r="BU659" s="392"/>
      <c r="BV659" s="489"/>
      <c r="BW659" s="392"/>
      <c r="BX659" s="392"/>
      <c r="BY659" s="392"/>
      <c r="BZ659" s="489"/>
      <c r="CA659" s="392"/>
      <c r="CB659" s="392"/>
      <c r="CC659" s="392"/>
      <c r="CD659" s="401"/>
      <c r="CE659" s="409"/>
      <c r="CF659" s="169">
        <f t="shared" si="1285"/>
        <v>0</v>
      </c>
      <c r="CG659" s="170">
        <f t="shared" si="1286"/>
        <v>0</v>
      </c>
      <c r="CH659" s="170">
        <f t="shared" si="1287"/>
        <v>0</v>
      </c>
      <c r="CI659" s="170">
        <f t="shared" si="1288"/>
        <v>0</v>
      </c>
      <c r="CJ659" s="170">
        <f t="shared" si="1289"/>
        <v>1</v>
      </c>
      <c r="CK659" s="170">
        <f t="shared" si="1290"/>
        <v>0</v>
      </c>
      <c r="CL659" s="170">
        <f t="shared" si="1291"/>
        <v>0</v>
      </c>
      <c r="CM659" s="170">
        <f t="shared" si="1292"/>
        <v>0</v>
      </c>
      <c r="CN659" s="170">
        <f t="shared" si="1293"/>
        <v>0</v>
      </c>
      <c r="CO659" s="170">
        <f t="shared" si="1294"/>
        <v>0</v>
      </c>
      <c r="CP659" s="170">
        <f t="shared" si="1295"/>
        <v>0</v>
      </c>
      <c r="CQ659" s="170">
        <f t="shared" si="1296"/>
        <v>0</v>
      </c>
      <c r="CR659" s="170">
        <f t="shared" si="1297"/>
        <v>0</v>
      </c>
      <c r="CS659" s="170">
        <f t="shared" si="1298"/>
        <v>0</v>
      </c>
      <c r="CT659" s="75">
        <f t="shared" si="1299"/>
        <v>0</v>
      </c>
      <c r="CU659" s="76">
        <f t="shared" si="1300"/>
        <v>0</v>
      </c>
      <c r="CV659" s="76">
        <f t="shared" si="1301"/>
        <v>0</v>
      </c>
      <c r="CW659" s="76">
        <f t="shared" si="1302"/>
        <v>0</v>
      </c>
      <c r="CX659" s="76">
        <f t="shared" si="1303"/>
        <v>0</v>
      </c>
      <c r="CY659" s="76">
        <f t="shared" si="1304"/>
        <v>0</v>
      </c>
      <c r="CZ659" s="76">
        <f t="shared" si="1305"/>
        <v>0</v>
      </c>
      <c r="DA659" s="76">
        <f t="shared" si="1306"/>
        <v>0</v>
      </c>
      <c r="DB659" s="76">
        <f t="shared" si="1307"/>
        <v>0</v>
      </c>
      <c r="DC659" s="76">
        <f t="shared" si="1308"/>
        <v>0</v>
      </c>
      <c r="DD659" s="76">
        <f t="shared" si="1309"/>
        <v>0</v>
      </c>
      <c r="DE659" s="77">
        <f t="shared" si="1310"/>
        <v>0</v>
      </c>
      <c r="DF659" s="73">
        <f t="shared" si="1312"/>
        <v>39</v>
      </c>
      <c r="DG659" s="67">
        <f t="shared" si="1313"/>
        <v>51.577999999999996</v>
      </c>
      <c r="DH659" s="76">
        <f t="shared" si="1314"/>
        <v>14</v>
      </c>
      <c r="DI659" s="67">
        <f t="shared" si="1315"/>
        <v>60.05</v>
      </c>
      <c r="DJ659" s="202" t="str">
        <f>IF($D658="","",$D658)</f>
        <v>21</v>
      </c>
      <c r="DK659" s="493"/>
    </row>
    <row r="660" spans="1:115" ht="14.5" customHeight="1" x14ac:dyDescent="0.2">
      <c r="A660" s="390"/>
      <c r="B660" s="457"/>
      <c r="C660" s="79" t="s">
        <v>53</v>
      </c>
      <c r="D660" s="375"/>
      <c r="E660" s="387"/>
      <c r="F660" s="378"/>
      <c r="G660" s="508"/>
      <c r="H660" s="477"/>
      <c r="I660" s="171"/>
      <c r="J660" s="172"/>
      <c r="K660" s="81"/>
      <c r="L660" s="173"/>
      <c r="M660" s="174"/>
      <c r="N660" s="407"/>
      <c r="O660" s="86" t="str">
        <f>IF(OR(AE658="",AE659=""),"",IF(L660&gt;0,ROUND(IF(M660&gt;0,M660,IF(M658&gt;0,ROUND((M658*AE660)/AE658,IF(N658=0,2,IF(N658=0.1,1,0))),IF(M659&gt;0,ROUND((M659*AE660)/AE659,IF(N658=0,2,IF(N658=0.1,1,0))),IF(M660&gt;0,M660,0)))),2),""))</f>
        <v/>
      </c>
      <c r="P660" s="188">
        <f>IF(I659="Lay",O659*(L659/(L659-1))-O659,IF(I658="Lay",O658*(L658/(L658-1))-O658,IF(OR(L660="",O660=""),"",IF($C660="1/2W",O660/2+O660/2*L660,IF($C660="1/2L",O660/2,(O660*L660-O660)*(1-_xlfn.XLOOKUP(K660,'Fevereiro 2023 - Valor Real'!A3:A15,'Fevereiro 2023 - Valor Real'!C3:C15,0))+O660)))))</f>
        <v>15.065217391304351</v>
      </c>
      <c r="Q660" s="54" t="str">
        <f>IF(K660="","",IF(_xlfn.XLOOKUP(K660,K$11:K650,$DJ$11:DJ650,0,,-1)=DJ660,_xlfn.XLOOKUP(K660,K$11:K650,Q$11:Q650,1,,-1)+1,1))</f>
        <v/>
      </c>
      <c r="R660" s="87" t="str">
        <f>IF(K660="","",_xlfn.XLOOKUP(K660,K$11:K650,R$11:R650,0,,-1)+IF($C660=" ",1,0))</f>
        <v/>
      </c>
      <c r="S660" s="404"/>
      <c r="T660" s="378"/>
      <c r="U660" s="378"/>
      <c r="V660" s="404"/>
      <c r="W660" s="378"/>
      <c r="X660" s="453"/>
      <c r="Y660" s="383"/>
      <c r="Z660" s="384"/>
      <c r="AA660" s="384"/>
      <c r="AB660" s="384"/>
      <c r="AC660" s="384"/>
      <c r="AD660" s="90"/>
      <c r="AE660" s="91" t="str">
        <f>IF(L660="","",(SUM(((L658-1)*(1-_xlfn.XLOOKUP(K658,'Fevereiro 2023 - Valor Real'!A3:A15,'Fevereiro 2023 - Valor Real'!C3:C15,0))+1),((L659-1)*(1-_xlfn.XLOOKUP(K659,'Fevereiro 2023 - Valor Real'!A3:A15,'Fevereiro 2023 - Valor Real'!C3:C15,0))+1),((L660-1)*(1-_xlfn.XLOOKUP(K660,'Fevereiro 2023 - Valor Real'!A3:A15,'Fevereiro 2023 - Valor Real'!C3:C15,0))+1))/((L660-1)*(1-_xlfn.XLOOKUP(K660,'Fevereiro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Real'!C3:C15,0))+1))/((L658-1)*(1-_xlfn.XLOOKUP(K658,'Fevereiro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Real'!C3:C15,0))+1))/((L659-1)*(1-_xlfn.XLOOKUP(K659,'Fevereiro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Real'!C3:C15,0))+1))/((L660-1)*(1-_xlfn.XLOOKUP(K660,'Fevereiro 2023 - Valor Real'!A3:A15,'Fevereiro 2023 - Valor Real'!C3:C15,0))+1)))</f>
        <v/>
      </c>
      <c r="AF660" s="66">
        <f t="shared" si="1327"/>
        <v>0</v>
      </c>
      <c r="AG660" s="67">
        <f t="shared" si="1327"/>
        <v>0</v>
      </c>
      <c r="AH660" s="67">
        <f t="shared" si="1327"/>
        <v>0</v>
      </c>
      <c r="AI660" s="67">
        <f t="shared" si="1327"/>
        <v>0</v>
      </c>
      <c r="AJ660" s="67">
        <f t="shared" si="1327"/>
        <v>0</v>
      </c>
      <c r="AK660" s="67">
        <f t="shared" si="1327"/>
        <v>0</v>
      </c>
      <c r="AL660" s="67">
        <f t="shared" si="1327"/>
        <v>0</v>
      </c>
      <c r="AM660" s="67">
        <f t="shared" si="1327"/>
        <v>0</v>
      </c>
      <c r="AN660" s="67">
        <f t="shared" si="1327"/>
        <v>0</v>
      </c>
      <c r="AO660" s="67">
        <f t="shared" si="1327"/>
        <v>0</v>
      </c>
      <c r="AP660" s="67">
        <f t="shared" si="1327"/>
        <v>0</v>
      </c>
      <c r="AQ660" s="67">
        <f t="shared" si="1327"/>
        <v>0</v>
      </c>
      <c r="AR660" s="68">
        <f t="shared" si="1327"/>
        <v>0</v>
      </c>
      <c r="AS660" s="66">
        <f>IF(AND($B658=" ",$K660=AS$3),$O660,0)</f>
        <v>0</v>
      </c>
      <c r="AT660" s="67">
        <f>IF(AND($B658=" ",K660=AT$3),$O660,0)</f>
        <v>0</v>
      </c>
      <c r="AU660" s="67">
        <f t="shared" ref="AU660:BE660" si="1337">IF(AND($B658=" ",$K660=AU$3),$O660,0)</f>
        <v>0</v>
      </c>
      <c r="AV660" s="67">
        <f t="shared" si="1337"/>
        <v>0</v>
      </c>
      <c r="AW660" s="67">
        <f t="shared" si="1337"/>
        <v>0</v>
      </c>
      <c r="AX660" s="67">
        <f t="shared" si="1337"/>
        <v>0</v>
      </c>
      <c r="AY660" s="69">
        <f t="shared" si="1337"/>
        <v>0</v>
      </c>
      <c r="AZ660" s="70">
        <f t="shared" si="1337"/>
        <v>0</v>
      </c>
      <c r="BA660" s="70">
        <f t="shared" si="1337"/>
        <v>0</v>
      </c>
      <c r="BB660" s="70">
        <f t="shared" si="1337"/>
        <v>0</v>
      </c>
      <c r="BC660" s="71">
        <f t="shared" si="1337"/>
        <v>0</v>
      </c>
      <c r="BD660" s="67">
        <f t="shared" si="1337"/>
        <v>0</v>
      </c>
      <c r="BE660" s="68">
        <f t="shared" si="1337"/>
        <v>0</v>
      </c>
      <c r="BF660" s="66">
        <f t="shared" si="1329"/>
        <v>0</v>
      </c>
      <c r="BG660" s="168">
        <f t="shared" si="1329"/>
        <v>0</v>
      </c>
      <c r="BH660" s="67">
        <f t="shared" si="1329"/>
        <v>0</v>
      </c>
      <c r="BI660" s="67">
        <f t="shared" si="1329"/>
        <v>0</v>
      </c>
      <c r="BJ660" s="67">
        <f t="shared" si="1329"/>
        <v>0</v>
      </c>
      <c r="BK660" s="67">
        <f t="shared" si="1329"/>
        <v>0</v>
      </c>
      <c r="BL660" s="67">
        <f t="shared" si="1329"/>
        <v>0</v>
      </c>
      <c r="BM660" s="69">
        <f t="shared" si="1329"/>
        <v>0</v>
      </c>
      <c r="BN660" s="70">
        <f t="shared" si="1329"/>
        <v>0</v>
      </c>
      <c r="BO660" s="70">
        <f t="shared" si="1329"/>
        <v>0</v>
      </c>
      <c r="BP660" s="70">
        <f t="shared" si="1329"/>
        <v>0</v>
      </c>
      <c r="BQ660" s="71">
        <f t="shared" si="1329"/>
        <v>0</v>
      </c>
      <c r="BR660" s="68">
        <f t="shared" si="1329"/>
        <v>0</v>
      </c>
      <c r="BS660" s="491"/>
      <c r="BT660" s="489"/>
      <c r="BU660" s="392"/>
      <c r="BV660" s="489"/>
      <c r="BW660" s="392"/>
      <c r="BX660" s="392"/>
      <c r="BY660" s="392"/>
      <c r="BZ660" s="489"/>
      <c r="CA660" s="392"/>
      <c r="CB660" s="392"/>
      <c r="CC660" s="392"/>
      <c r="CD660" s="401"/>
      <c r="CE660" s="409"/>
      <c r="CF660" s="169">
        <f t="shared" si="1285"/>
        <v>0</v>
      </c>
      <c r="CG660" s="170">
        <f t="shared" si="1286"/>
        <v>0</v>
      </c>
      <c r="CH660" s="170">
        <f t="shared" si="1287"/>
        <v>0</v>
      </c>
      <c r="CI660" s="170">
        <f t="shared" si="1288"/>
        <v>0</v>
      </c>
      <c r="CJ660" s="170">
        <f t="shared" si="1289"/>
        <v>0</v>
      </c>
      <c r="CK660" s="170">
        <f t="shared" si="1290"/>
        <v>0</v>
      </c>
      <c r="CL660" s="170">
        <f t="shared" si="1291"/>
        <v>0</v>
      </c>
      <c r="CM660" s="170">
        <f t="shared" si="1292"/>
        <v>0</v>
      </c>
      <c r="CN660" s="170">
        <f t="shared" si="1293"/>
        <v>0</v>
      </c>
      <c r="CO660" s="170">
        <f t="shared" si="1294"/>
        <v>0</v>
      </c>
      <c r="CP660" s="170">
        <f t="shared" si="1295"/>
        <v>0</v>
      </c>
      <c r="CQ660" s="170">
        <f t="shared" si="1296"/>
        <v>0</v>
      </c>
      <c r="CR660" s="170">
        <f t="shared" si="1297"/>
        <v>0</v>
      </c>
      <c r="CS660" s="170">
        <f t="shared" si="1298"/>
        <v>0</v>
      </c>
      <c r="CT660" s="75">
        <f t="shared" si="1299"/>
        <v>0</v>
      </c>
      <c r="CU660" s="76">
        <f t="shared" si="1300"/>
        <v>0</v>
      </c>
      <c r="CV660" s="76">
        <f t="shared" si="1301"/>
        <v>0</v>
      </c>
      <c r="CW660" s="76">
        <f t="shared" si="1302"/>
        <v>0</v>
      </c>
      <c r="CX660" s="76">
        <f t="shared" si="1303"/>
        <v>0</v>
      </c>
      <c r="CY660" s="76">
        <f t="shared" si="1304"/>
        <v>0</v>
      </c>
      <c r="CZ660" s="76">
        <f t="shared" si="1305"/>
        <v>0</v>
      </c>
      <c r="DA660" s="76">
        <f t="shared" si="1306"/>
        <v>0</v>
      </c>
      <c r="DB660" s="76">
        <f t="shared" si="1307"/>
        <v>0</v>
      </c>
      <c r="DC660" s="76">
        <f t="shared" si="1308"/>
        <v>0</v>
      </c>
      <c r="DD660" s="76">
        <f t="shared" si="1309"/>
        <v>0</v>
      </c>
      <c r="DE660" s="77">
        <f t="shared" si="1310"/>
        <v>0</v>
      </c>
      <c r="DF660" s="73">
        <f t="shared" si="1312"/>
        <v>39</v>
      </c>
      <c r="DG660" s="67">
        <f t="shared" si="1313"/>
        <v>51.577999999999996</v>
      </c>
      <c r="DH660" s="76">
        <f t="shared" si="1314"/>
        <v>14</v>
      </c>
      <c r="DI660" s="67">
        <f t="shared" si="1315"/>
        <v>60.05</v>
      </c>
      <c r="DJ660" s="202" t="str">
        <f>IF($D658="","",$D658)</f>
        <v>21</v>
      </c>
      <c r="DK660" s="493"/>
    </row>
    <row r="661" spans="1:115" ht="14.5" customHeight="1" x14ac:dyDescent="0.2">
      <c r="A661" s="459">
        <f>$A658+1</f>
        <v>220</v>
      </c>
      <c r="B661" s="507" t="str">
        <f>IF(OR(C661="W",C662="W",C663="W",C661="1/2W",C662="1/2W",C663="1/2W",C661="1/2L",C662="1/2L",C663="1/2L"),"OK",IF(OR(C661="L",C662="L",C663="L"),"LOSS",IF(OR(C661="X",C662="X",C663="X"),"Anulado"," ")))</f>
        <v>OK</v>
      </c>
      <c r="C661" s="93" t="s">
        <v>55</v>
      </c>
      <c r="D661" s="468" t="str">
        <f>IF(G661="","",$D658)</f>
        <v>21</v>
      </c>
      <c r="E661" s="485" t="str">
        <f>IF(G661=""," ","– "&amp;COUNTIF(D$4:D663,$D661))</f>
        <v>– 16</v>
      </c>
      <c r="F661" s="509" t="str">
        <f ca="1">IF(G661="","",IF(OR(AND($C661&lt;&gt;" ",$C662=" "),AND($C662&lt;&gt;" ",$C661=" "),AND(L663&gt;0,OR(AND($C663&lt;&gt;" ",OR($C661=" ",$C662=" ")),AND($C663=" ",OR($C661&lt;&gt;" ",$C662&lt;&gt;" "))))),IF(SUM(F$4:F660)=0,1,LARGE(F$4:F660,1)+1),IF(MONTH(G661)=MONTH(TODAY()),IF(AND(DAY(G661)&lt;DAY(TODAY()),$B661=" "),IF(SUM(F$4:F660)=0,1,LARGE(F$4:F660,1)+1),IF($B661=" ",IF(AND(DAY(G661)=DAY(TODAY()),HOUR(G661)&lt;=HOUR(NOW())+1),IF(AND(HOUR(G661)+2&lt;=HOUR(NOW()),DAY(G661)&lt;=DAY(TODAY()),MINUTE(G661)&lt;=MINUTE(NOW())),IF(SUM(F$4:F660)=0,1,LARGE(F$4:F660,1)+1),IF(OR(MINUTE(G661)&lt;=MINUTE(NOW()),HOUR(G661)&lt;=HOUR(NOW())),"!!!","")),""),"")),"")))</f>
        <v/>
      </c>
      <c r="G661" s="482">
        <v>45006.541666666664</v>
      </c>
      <c r="H661" s="475" t="s">
        <v>239</v>
      </c>
      <c r="I661" s="175">
        <v>1</v>
      </c>
      <c r="J661" s="176"/>
      <c r="K661" s="96" t="s">
        <v>40</v>
      </c>
      <c r="L661" s="97">
        <v>2.85</v>
      </c>
      <c r="M661" s="98">
        <v>91.22</v>
      </c>
      <c r="N661" s="478">
        <v>0</v>
      </c>
      <c r="O661" s="99">
        <f>IF(OR(AE661="",AE662=""),"",ROUND(IF(L663&gt;0,IF(M661&gt;0,M661,IF(M662&gt;0,ROUND((M662*AE661)/AE662,IF(N661=0,2,IF(N661=0.1,1,0))),ROUND((M663*AE661)/AE663,IF(N661=0,2,IF(N661=0.1,1,0))))),IF(M661&gt;0,M661,ROUND((M662*AE661)/AE662,IF(N661=0,2,IF(N661=0.1,1,0))))),2))</f>
        <v>91.22</v>
      </c>
      <c r="P661" s="100">
        <f>IF(OR(L661="",O661=""),"",IF($C661="1/2W",O661/2+O661/2*L661,IF($C661="1/2L",O661/2,IF(I661="Lay",(O661*(L661/(L661-1))-O661)*(1-_xlfn.XLOOKUP(K661,'Fevereiro 2023 - Valor Real'!A3:A15,'Fevereiro 2023 - Valor Real'!C3:C15,0))+O661,(O661*L661-O661)*(1-_xlfn.XLOOKUP(K661,'Fevereiro 2023 - Valor Real'!A3:A15,'Fevereiro 2023 - Valor Real'!C3:C15,0))+O661))))</f>
        <v>259.97700000000003</v>
      </c>
      <c r="Q661" s="101">
        <f>IF(K661="","",IF(_xlfn.XLOOKUP(K661,K$4:K660,$DJ$4:DJ660,0,,-1)=DJ661,_xlfn.XLOOKUP(K661,K$4:K660,Q$4:Q660,1,,-1)+1,1))</f>
        <v>7</v>
      </c>
      <c r="R661" s="102">
        <f>IF(K661="","",_xlfn.XLOOKUP(K661,K$4:K660,R$4:R660,0,,-1)+IF($C661=" ",1,0))</f>
        <v>0</v>
      </c>
      <c r="S661" s="474">
        <f>IF($B661="Anulado",0,ROUND(IF(OR($B661="LOSS",$B661="OK"),IF(OR($C661="W",$C661="1/2W",$C661="1/2L"),P661-O661,IF($C661="L",-O661,0))+IF(OR($C662="W",$C662="1/2W",$C662="1/2L"),P662-O662,IF($C662="L",-O662,0))+IF(OR($C663="W",$C663="1/2W",$C663="1/2L"),P663-O663,IF($C663="L",-O663,0)),IF(AND(OR($C661="W",$C661="1/2W",$C661="1/2L"),C662="W"),P661+P662-SUM(O661:O663)+_xlfn.XLOOKUP("X",C661:C663,O661:O663,0),IF(AND(C661=TRUE,C663="W"),P661+P663-SUM(O661:O663),IF(AND(C662="W",C663="W"),P662+P663-SUM(O661:O663)+_xlfn.XLOOKUP("X",C661:C663,O661:O663,0),IF(L663&gt;0,IF(OR($C661="W",$C661="1/2W",$C661="1/2L"),P661-SUM(O661:O663)+_xlfn.XLOOKUP("X",C661:C663,O661:O663,0),IF(OR($C661="W",$C661="1/2W",$C661="1/2L"),P662-SUM(O661:O663)+_xlfn.XLOOKUP("X",C661:C663,O661:O663,0),IF(OR($C661="W",$C661="1/2W",$C661="1/2L"),P663-SUM(O661:O663)+_xlfn.XLOOKUP("X",C661:C663,O661:O663,0),IF(SUM(P661:P663)/3-SUM(O661:O663)+_xlfn.XLOOKUP("X",C661:C663,O661:O663,0)&gt;0,SUM(P661:P663)/3-SUM(O661:O663)+_xlfn.XLOOKUP("X",C661:C663,O661:O663,0),LARGE(P661:P663,1)-SUM(O661:O663))))),IF(OR($C661="W",$C661="1/2W",$C661="1/2L"),P661-SUM(O661:O662)+_xlfn.XLOOKUP("X",C661:C663,O661:O663,0),IF(OR($C661="W",$C661="1/2W",$C661="1/2L"),P662-SUM(O661:O662)+_xlfn.XLOOKUP("X",C661:C663,O661:O663,0),SUM(P661:P662)/2-SUM(O661:O662)+_xlfn.XLOOKUP("X",C661:C663,O661:O663,0)))))))),2))</f>
        <v>18.39</v>
      </c>
      <c r="T661" s="458">
        <f>IF(S661=0,0,S661/SUM(O661:O663))</f>
        <v>7.6123851312194721E-2</v>
      </c>
      <c r="U661" s="470">
        <f>IF($D661=$D658,IF(OR($B661="LOSS",$B661="OK",$B661="Anulada"),S661,0)+U658,IF(OR($B661="LOSS",$B661="OK",$B661="Anulada"),S661,0))</f>
        <v>67.58</v>
      </c>
      <c r="V661" s="470">
        <f>IF($D661="",0,IF($D661=$D658,IF($B661=" ",IF(I663="",IF(OR(AND(I661="DNB1",I662="DNB2"),AND(OR(I661="DNB1",I661="DNB2"),J662=0),AND(OR(I662="DNB1",I662="DNB2"),J661=0),AND(I661="DNB2",I662="DNB1"),AND(IF(J661=0,(J661+1)/ROUND(J661+1,0),J661/ROUND(J661,0))=1,IF(J662=0,(J662+1)/ROUND(IF(J662="",0,J662)+1,0),IF(J662="",0,J662)/ROUND(IF(J662="",1,J662),0))=1,OR(J661&lt;&gt;""),J662&lt;&gt;"")),0,IF(S661&lt;0,IF(I663="",SMALL(P661:P662,1)-SUM(O661:O662),0),SMALL(P661:P662,1)-SUM(O661:O662))),IF(S661&lt;0,IF(I663="",SMALL(P661:P663,1)-SUM(O661:O663),0),LARGE(P661:P663,1)-SUM(O661:O663))),S661)+V658,IF(I663="",IF(OR(AND(I661="DNB1",I662="DNB2"),AND(OR(I661="DNB1",I661="DNB2"),J662=0),AND(OR(I662="DNB1",I662="DNB2"),J661=0),AND(I661="DNB2",I662="DNB1"),AND(IF(J661=0,(J661+1)/ROUND(J661+1,0),J661/ROUND(J661,0))=1,IF(J662=0,(IF(J662="",0,J662)+1)/ROUND(IF(J662="",0,J662)+1,0),IF(J662="",0,J662)/ROUND(IF(J662="",0,J662)+1,0))=1,OR(J661&lt;&gt;""),J662&lt;&gt;"")),0,IF(S661&lt;0,IF(I663="",SMALL(P661:P662,1)-SUM(O661:O662),0),SMALL(P661:P663,1)-SUM(O661:O663))),IF(S661&lt;0,IF(I663="",SMALL(P661:P663,1)-SUM(O661:O663),0),LARGE(P661:P663,1)-SUM(O661:O663)))))</f>
        <v>67.578000000000003</v>
      </c>
      <c r="W661" s="470">
        <f>IF($D661=$D658,IF(S661&lt;0,IF(I663="",S661,0),S661)+W658,S661)</f>
        <v>67.58</v>
      </c>
      <c r="X661" s="480" t="str">
        <f>IF(OR(SUM(R661:R663)=0,V661=W661),ROUND(IF(W661=0,0,W661/Y661)*100,2)&amp;"%",ROUND(IF(V661=0,0,V661/Y661)*100,2)&amp;"% a "&amp;ROUND(IF(W661=0,0,W661/Y661)*100,2)&amp;"%")</f>
        <v>9,74%</v>
      </c>
      <c r="Y661" s="471">
        <f>IF($D661=$D658,Y658+SUM(O661:O663),SUM(O661:O663))</f>
        <v>693.55000000000007</v>
      </c>
      <c r="Z661" s="470">
        <f>IF($B661=" ",SUM(O661:O663),0)+Z658</f>
        <v>0</v>
      </c>
      <c r="AA661" s="470">
        <f>IF(G661="","",IF($B661="Anulado",LARGE(P661:P663,1)-SUM(O661:O663)+AA658,AA658))</f>
        <v>13.381099999999991</v>
      </c>
      <c r="AB661" s="470">
        <f>IF($D661="","",AB658+S661)</f>
        <v>745.21000000000049</v>
      </c>
      <c r="AC661" s="472">
        <f ca="1">IF($D661="","",IF($B661=" ",IF(DAY(G661)=DAY(TODAY()),1+AC658,0+AC658),0+AC658))</f>
        <v>0</v>
      </c>
      <c r="AD661" s="103">
        <f>(((L662/(L662-1)-1)*(1-_xlfn.XLOOKUP(K662,'Fevereiro 2023 - Valor Real'!A3:A15,'Fevereiro 2023 - Valor Real'!C3:C15,0))+1))/(((L661-1)*(1-_xlfn.XLOOKUP(K661,'Fevereiro 2023 - Valor Real'!A3:A15,'Fevereiro 2023 - Valor Real'!C3:C15,0))+1)+((L662/(L662-1)-1)*(1-_xlfn.XLOOKUP(K662,'Fevereiro 2023 - Valor Real'!A3:A15,'Fevereiro 2023 - Valor Real'!C3:C15,0))+1))</f>
        <v>0.45420514100324427</v>
      </c>
      <c r="AE661" s="104">
        <f>IF(L661="","",IF(L663&gt;0,(SUM(((L661-1)*(1-_xlfn.XLOOKUP(K661,'Fevereiro 2023 - Valor Real'!A3:A15,'Fevereiro 2023 - Valor Real'!C3:C15,0))+1),((L662-1)*(1-_xlfn.XLOOKUP(K662,'Fevereiro 2023 - Valor Real'!A3:A15,'Fevereiro 2023 - Valor Real'!C3:C15,0))+1),((L663-1)*(1-_xlfn.XLOOKUP(K663,'Fevereiro 2023 - Valor Real'!A3:A15,'Fevereiro 2023 - Valor Real'!C3:C15,0))+1))/((L661-1)*(1-_xlfn.XLOOKUP(K661,'Fevereiro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Real'!C3:C15,0))+1))/((L661-1)*(1-_xlfn.XLOOKUP(K661,'Fevereiro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Real'!C3:C15,0))+1))/((L662-1)*(1-_xlfn.XLOOKUP(K662,'Fevereiro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Real'!C3:C15,0))+1))/((L663-1)*(1-_xlfn.XLOOKUP(K663,'Fevereiro 2023 - Valor Real'!A3:A15,'Fevereiro 2023 - Valor Real'!C3:C15,0))+1)),IF(I661="Lay",IF(I662="Lay",((L662/(L662-1)-1)*(1-_xlfn.XLOOKUP(K662,'Fevereiro 2023 - Valor Real'!A3:A15,'Fevereiro 2023 - Valor Real'!C3:C15,0))+1)/(((L662/(L662-1)-1)*(1-_xlfn.XLOOKUP(K662,'Fevereiro 2023 - Valor Real'!A3:A15,'Fevereiro 2023 - Valor Real'!C3:C15,0))+1)+((L661/(L661-1)-1)*(1-_xlfn.XLOOKUP(K661,'Fevereiro 2023 - Valor Real'!A3:A15,'Fevereiro 2023 - Valor Real'!C3:C15,0))+1)),((L662-1)*(1-_xlfn.XLOOKUP(K662,'Fevereiro 2023 - Valor Real'!A3:A15,'Fevereiro 2023 - Valor Real'!C3:C15,0))+1)/(((L662-1)*(1-_xlfn.XLOOKUP(K662,'Fevereiro 2023 - Valor Real'!A3:A15,'Fevereiro 2023 - Valor Real'!C3:C15,0))+1)+((L661/(L661-1)-1)*(1-_xlfn.XLOOKUP(K661,'Fevereiro 2023 - Valor Real'!A3:A15,'Fevereiro 2023 - Valor Real'!C3:C15,0))+1))),IF(I662="Lay",(((L662/(L662-1)-1)*(1-_xlfn.XLOOKUP(K662,'Fevereiro 2023 - Valor Real'!A3:A15,'Fevereiro 2023 - Valor Real'!C3:C15,0))+1))/(((L661-1)*(1-_xlfn.XLOOKUP(K661,'Fevereiro 2023 - Valor Real'!A3:A15,'Fevereiro 2023 - Valor Real'!C3:C15,0))+1)+((L662/(L662-1)-1)*(1-_xlfn.XLOOKUP(K662,'Fevereiro 2023 - Valor Real'!A3:A15,'Fevereiro 2023 - Valor Real'!C3:C15,0))+1)),((L662-1)*(1-_xlfn.XLOOKUP(K662,'Fevereiro 2023 - Valor Real'!A3:A15,'Fevereiro 2023 - Valor Real'!C3:C15,0))+1)/(((L662-1)*(1-_xlfn.XLOOKUP(K662,'Fevereiro 2023 - Valor Real'!A3:A15,'Fevereiro 2023 - Valor Real'!C3:C15,0))+1)+((L661-1)*(1-_xlfn.XLOOKUP(K661,'Fevereiro 2023 - Valor Real'!A3:A15,'Fevereiro 2023 - Valor Real'!C3:C15,0))+1))))))</f>
        <v>0.37759336099585061</v>
      </c>
      <c r="AF661" s="105">
        <f t="shared" si="1327"/>
        <v>0</v>
      </c>
      <c r="AG661" s="106">
        <f t="shared" si="1327"/>
        <v>0</v>
      </c>
      <c r="AH661" s="106">
        <f t="shared" si="1327"/>
        <v>0</v>
      </c>
      <c r="AI661" s="106">
        <f t="shared" si="1327"/>
        <v>0</v>
      </c>
      <c r="AJ661" s="106">
        <f t="shared" si="1327"/>
        <v>-91.22</v>
      </c>
      <c r="AK661" s="106">
        <f t="shared" si="1327"/>
        <v>0</v>
      </c>
      <c r="AL661" s="106">
        <f t="shared" si="1327"/>
        <v>0</v>
      </c>
      <c r="AM661" s="106">
        <f t="shared" si="1327"/>
        <v>0</v>
      </c>
      <c r="AN661" s="106">
        <f t="shared" si="1327"/>
        <v>0</v>
      </c>
      <c r="AO661" s="106">
        <f t="shared" si="1327"/>
        <v>0</v>
      </c>
      <c r="AP661" s="106">
        <f t="shared" si="1327"/>
        <v>0</v>
      </c>
      <c r="AQ661" s="106">
        <f t="shared" si="1327"/>
        <v>0</v>
      </c>
      <c r="AR661" s="107">
        <f t="shared" si="1327"/>
        <v>0</v>
      </c>
      <c r="AS661" s="105">
        <f t="shared" ref="AS661:BE661" si="1338">IF(AND($B661=" ",$K661=AS$3),$O661,0)</f>
        <v>0</v>
      </c>
      <c r="AT661" s="106">
        <f t="shared" si="1338"/>
        <v>0</v>
      </c>
      <c r="AU661" s="106">
        <f t="shared" si="1338"/>
        <v>0</v>
      </c>
      <c r="AV661" s="106">
        <f t="shared" si="1338"/>
        <v>0</v>
      </c>
      <c r="AW661" s="106">
        <f t="shared" si="1338"/>
        <v>0</v>
      </c>
      <c r="AX661" s="106">
        <f t="shared" si="1338"/>
        <v>0</v>
      </c>
      <c r="AY661" s="108">
        <f t="shared" si="1338"/>
        <v>0</v>
      </c>
      <c r="AZ661" s="109">
        <f t="shared" si="1338"/>
        <v>0</v>
      </c>
      <c r="BA661" s="109">
        <f t="shared" si="1338"/>
        <v>0</v>
      </c>
      <c r="BB661" s="109">
        <f t="shared" si="1338"/>
        <v>0</v>
      </c>
      <c r="BC661" s="110">
        <f t="shared" si="1338"/>
        <v>0</v>
      </c>
      <c r="BD661" s="106">
        <f t="shared" si="1338"/>
        <v>0</v>
      </c>
      <c r="BE661" s="107">
        <f t="shared" si="1338"/>
        <v>0</v>
      </c>
      <c r="BF661" s="111">
        <f t="shared" si="1329"/>
        <v>0</v>
      </c>
      <c r="BG661" s="106">
        <f t="shared" si="1329"/>
        <v>0</v>
      </c>
      <c r="BH661" s="106">
        <f t="shared" si="1329"/>
        <v>0</v>
      </c>
      <c r="BI661" s="106">
        <f t="shared" si="1329"/>
        <v>0</v>
      </c>
      <c r="BJ661" s="106">
        <f t="shared" si="1329"/>
        <v>91.22</v>
      </c>
      <c r="BK661" s="106">
        <f t="shared" si="1329"/>
        <v>0</v>
      </c>
      <c r="BL661" s="106">
        <f t="shared" si="1329"/>
        <v>0</v>
      </c>
      <c r="BM661" s="108">
        <f t="shared" si="1329"/>
        <v>0</v>
      </c>
      <c r="BN661" s="109">
        <f t="shared" si="1329"/>
        <v>0</v>
      </c>
      <c r="BO661" s="109">
        <f t="shared" si="1329"/>
        <v>0</v>
      </c>
      <c r="BP661" s="109">
        <f t="shared" si="1329"/>
        <v>0</v>
      </c>
      <c r="BQ661" s="110">
        <f t="shared" si="1329"/>
        <v>0</v>
      </c>
      <c r="BR661" s="107">
        <f t="shared" si="1329"/>
        <v>0</v>
      </c>
      <c r="BS661" s="463">
        <f>IF($B661="LOSS",IF(AND($K661=BS$3,$C661="L"),-$O661,0)+IF(AND($K662=BS$3,$C662="L"),-$O662,0)+IF(AND($K663=BS$3,$C663="L"),-$O663,0),IF(OR(AND($K661=BS$3,OR($C661="W",$C661="1/2W")),AND($K662=BS$3,OR($C662="W",$C662="1/2W")),AND($K663=BS$3,OR($C663="W",$C663="1/2W"))),$S661,0))</f>
        <v>0</v>
      </c>
      <c r="BT661" s="462">
        <f>IF($B661="LOSS",IF(AND($K661=BT$3,$C661="L"),-$O661,0)+IF(AND($K662=BT$3,$C662="L"),-$O662,0)+IF(AND($K662=BT$3,$C663="L"),-$O663,0),IF(OR(AND($K662=BT$3,OR($C661="W",$C661="1/2W")),AND($K662=BT$3,OR($C662="W",$C662="1/2W")),AND($K662=BT$3,OR($C663="W",$C663="1/2W"))),$S661,0))</f>
        <v>0</v>
      </c>
      <c r="BU661" s="462">
        <f>IF($B661="LOSS",IF(AND($K661=BU$3,$C661="L"),-$O661,0)+IF(AND($K662=BU$3,$C662="L"),-$O662,0)+IF(AND($K662=BU$3,$C663="L"),-$O663,0),IF(OR(AND($K662=BU$3,OR($C661="W",$C661="1/2W")),AND($K662=BU$3,OR($C662="W",$C662="1/2W")),AND($K662=BU$3,OR($C663="W",$C663="1/2W"))),$S661,0))</f>
        <v>0</v>
      </c>
      <c r="BV661" s="462">
        <f t="shared" ref="BV661:CE661" si="1339">IF($B661="LOSS",IF(AND($K661=BV$3,$C661="L"),-$O661,0)+IF(AND($K662=BV$3,$C662="L"),-$O662,0)+IF(AND($K663=BV$3,$C663="L"),-$O663,0),IF(OR(AND($K661=BV$3,OR($C661="W",$C661="1/2W")),AND($K662=BV$3,OR($C662="W",$C662="1/2W")),AND($K663=BV$3,OR($C663="W",$C663="1/2W"))),$S661,0))</f>
        <v>0</v>
      </c>
      <c r="BW661" s="462">
        <f t="shared" si="1339"/>
        <v>0</v>
      </c>
      <c r="BX661" s="462">
        <f t="shared" si="1339"/>
        <v>0</v>
      </c>
      <c r="BY661" s="462">
        <f t="shared" si="1339"/>
        <v>0</v>
      </c>
      <c r="BZ661" s="460">
        <f t="shared" si="1339"/>
        <v>18.39</v>
      </c>
      <c r="CA661" s="460">
        <f t="shared" si="1339"/>
        <v>0</v>
      </c>
      <c r="CB661" s="460">
        <f t="shared" si="1339"/>
        <v>0</v>
      </c>
      <c r="CC661" s="460">
        <f t="shared" si="1339"/>
        <v>0</v>
      </c>
      <c r="CD661" s="473">
        <f t="shared" si="1339"/>
        <v>0</v>
      </c>
      <c r="CE661" s="479">
        <f t="shared" si="1339"/>
        <v>0</v>
      </c>
      <c r="CF661" s="113">
        <f t="shared" si="1285"/>
        <v>0</v>
      </c>
      <c r="CG661" s="114">
        <f t="shared" si="1286"/>
        <v>0</v>
      </c>
      <c r="CH661" s="114">
        <f t="shared" si="1287"/>
        <v>0</v>
      </c>
      <c r="CI661" s="114">
        <f t="shared" si="1288"/>
        <v>0</v>
      </c>
      <c r="CJ661" s="114">
        <f t="shared" si="1289"/>
        <v>0</v>
      </c>
      <c r="CK661" s="114">
        <f t="shared" si="1290"/>
        <v>0</v>
      </c>
      <c r="CL661" s="114">
        <f t="shared" si="1291"/>
        <v>0</v>
      </c>
      <c r="CM661" s="114">
        <f t="shared" si="1292"/>
        <v>0</v>
      </c>
      <c r="CN661" s="114">
        <f t="shared" si="1293"/>
        <v>0</v>
      </c>
      <c r="CO661" s="114">
        <f t="shared" si="1294"/>
        <v>1</v>
      </c>
      <c r="CP661" s="114">
        <f t="shared" si="1295"/>
        <v>0</v>
      </c>
      <c r="CQ661" s="114">
        <f t="shared" si="1296"/>
        <v>0</v>
      </c>
      <c r="CR661" s="114">
        <f t="shared" si="1297"/>
        <v>0</v>
      </c>
      <c r="CS661" s="114">
        <f t="shared" si="1298"/>
        <v>0</v>
      </c>
      <c r="CT661" s="115">
        <f t="shared" si="1299"/>
        <v>0</v>
      </c>
      <c r="CU661" s="116">
        <f t="shared" si="1300"/>
        <v>0</v>
      </c>
      <c r="CV661" s="116">
        <f t="shared" si="1301"/>
        <v>0</v>
      </c>
      <c r="CW661" s="116">
        <f t="shared" si="1302"/>
        <v>0</v>
      </c>
      <c r="CX661" s="116">
        <f t="shared" si="1303"/>
        <v>0</v>
      </c>
      <c r="CY661" s="116">
        <f t="shared" si="1304"/>
        <v>0</v>
      </c>
      <c r="CZ661" s="116">
        <f t="shared" si="1305"/>
        <v>0</v>
      </c>
      <c r="DA661" s="116">
        <f t="shared" si="1306"/>
        <v>0</v>
      </c>
      <c r="DB661" s="116">
        <f t="shared" si="1307"/>
        <v>0</v>
      </c>
      <c r="DC661" s="116">
        <f t="shared" si="1308"/>
        <v>0</v>
      </c>
      <c r="DD661" s="116">
        <f t="shared" si="1309"/>
        <v>0</v>
      </c>
      <c r="DE661" s="117">
        <f t="shared" si="1310"/>
        <v>0</v>
      </c>
      <c r="DF661" s="118">
        <f t="shared" si="1312"/>
        <v>39</v>
      </c>
      <c r="DG661" s="106">
        <f t="shared" si="1313"/>
        <v>51.577999999999996</v>
      </c>
      <c r="DH661" s="116">
        <f t="shared" si="1314"/>
        <v>14</v>
      </c>
      <c r="DI661" s="106">
        <f t="shared" si="1315"/>
        <v>60.05</v>
      </c>
      <c r="DJ661" s="201" t="str">
        <f>IF($D661="","",$D661)</f>
        <v>21</v>
      </c>
      <c r="DK661" s="465">
        <f>IF(AND($B661=" ",$D661&lt;&gt;""),1,0)</f>
        <v>0</v>
      </c>
    </row>
    <row r="662" spans="1:115" ht="14.5" customHeight="1" x14ac:dyDescent="0.2">
      <c r="A662" s="389"/>
      <c r="B662" s="456"/>
      <c r="C662" s="120" t="s">
        <v>54</v>
      </c>
      <c r="D662" s="374"/>
      <c r="E662" s="386"/>
      <c r="F662" s="377"/>
      <c r="G662" s="483"/>
      <c r="H662" s="476"/>
      <c r="I662" s="178">
        <v>2</v>
      </c>
      <c r="J662" s="179" t="str">
        <f>IF(OR(I661="TO",I661="TU",I661="TO1",I661="TU1",I661="TO2",I661="TU2"),J661,IF(OR(I661="AH1",I661="AH2"),IF(OR(I662="AH1",I662="AH2"),-J661,IF(OR(I662="EH1",I662="EH2"),-J661+0.5,"")),IF(OR(I661="EH1",I661="EH2"),IF(OR(I662="AH1",I662="AH2"),-J661+0.5,IF(OR(I662="EH1",I662="EH2"),-J661+1,"")),IF(AND(OR(I661="DNB1",I661="DNB2"),OR(I662="AH1",I662="AH2")),0,IF(AND(I661="Not ScoreBoth",OR(I662="TO1",I662="TO2")),0.5,"")))))</f>
        <v/>
      </c>
      <c r="K662" s="123" t="s">
        <v>43</v>
      </c>
      <c r="L662" s="124">
        <v>1.7290000000000001</v>
      </c>
      <c r="M662" s="125"/>
      <c r="N662" s="406"/>
      <c r="O662" s="126">
        <f>IF(OR(AE661="",AE662=""),"",ROUND(IF(L663&gt;0,IF(M662&gt;0,M662,IF(M661&gt;0,IF(N661=TRUE,ROUND((M661*AE662)/AE661,0),(M661*AE662)/AE661),IF(M662&gt;0,ROUND(M662,IF(N661=0,2,IF(N661=0.1,1,0))),IF(M663&gt;0,ROUND(O663*AE662/AE663,IF(N661=0,2,IF(N661=0.1,1,0))),0)))),IF(M662&gt;0,M662,ROUND((M661*AE662)/AE661,IF(N661=0,2,IF(N661=0.1,1,0))))),2))</f>
        <v>150.36000000000001</v>
      </c>
      <c r="P662" s="127">
        <f>IF(OR(L662="",O662=""),"",IF($C662="1/2W",O662/2+O662/2*L662,IF($C662="1/2L",O662/2,IF(I662="Lay",((O662*(L662/(L662-1)))-O662)*(1-_xlfn.XLOOKUP(K662,'Fevereiro 2023 - Valor Real'!A3:A15,'Fevereiro 2023 - Valor Real'!C3:C15,0))+O662,(O662*L662-O662)*(1-_xlfn.XLOOKUP(K662,'Fevereiro 2023 - Valor Real'!A3:A15,'Fevereiro 2023 - Valor Real'!C3:C15,0))+O662))))</f>
        <v>259.97244000000006</v>
      </c>
      <c r="Q662" s="128">
        <f>IF(K662="","",IF(_xlfn.XLOOKUP(K662,K$4:K661,$DJ$4:DJ661,0,,-1)=DJ662,_xlfn.XLOOKUP(K662,K$4:K661,Q$4:Q661,1,,-1)+1,1))</f>
        <v>5</v>
      </c>
      <c r="R662" s="129">
        <f>IF(K662="","",_xlfn.XLOOKUP(K662,K$4:K661,R$4:R661,0,,-1)+IF($C662=" ",1,0))</f>
        <v>0</v>
      </c>
      <c r="S662" s="403"/>
      <c r="T662" s="380"/>
      <c r="U662" s="380"/>
      <c r="V662" s="481"/>
      <c r="W662" s="380"/>
      <c r="X662" s="452"/>
      <c r="Y662" s="383"/>
      <c r="Z662" s="384"/>
      <c r="AA662" s="384"/>
      <c r="AB662" s="384"/>
      <c r="AC662" s="384"/>
      <c r="AD662" s="130">
        <f>(((L662/(L662-1)-1)*(1-_xlfn.XLOOKUP(K662,'Fevereiro 2023 - Valor Real'!A3:A15,'Fevereiro 2023 - Valor Real'!C3:C15,0))+1))</f>
        <v>2.371742112482853</v>
      </c>
      <c r="AE662" s="131">
        <f>IF(L662="","",IF(L663&gt;0,(SUM(((L661-1)*(1-_xlfn.XLOOKUP(K661,'Fevereiro 2023 - Valor Real'!A3:A15,'Fevereiro 2023 - Valor Real'!C3:C15,0))+1),((L662-1)*(1-_xlfn.XLOOKUP(K662,'Fevereiro 2023 - Valor Real'!A3:A15,'Fevereiro 2023 - Valor Real'!C3:C15,0))+1),((L663-1)*(1-_xlfn.XLOOKUP(K663,'Fevereiro 2023 - Valor Real'!A3:A15,'Fevereiro 2023 - Valor Real'!C3:C15,0))+1))/((L662-1)*(1-_xlfn.XLOOKUP(K662,'Fevereiro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Real'!C3:C15,0))+1))/((L661-1)*(1-_xlfn.XLOOKUP(K661,'Fevereiro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Real'!C3:C15,0))+1))/((L662-1)*(1-_xlfn.XLOOKUP(K662,'Fevereiro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Real'!C3:C15,0))+1))/((L663-1)*(1-_xlfn.XLOOKUP(K663,'Fevereiro 2023 - Valor Real'!A3:A15,'Fevereiro 2023 - Valor Real'!C3:C15,0))+1)),IF(I662="Lay",IF(I661="Lay",((L661/(L661-1)-1)*(1-_xlfn.XLOOKUP(K661,'Fevereiro 2023 - Valor Real'!A3:A15,'Fevereiro 2023 - Valor Real'!C3:C15,0))+1)/(((L661/(L661-1)-1)*(1-_xlfn.XLOOKUP(K661,'Fevereiro 2023 - Valor Real'!A3:A15,'Fevereiro 2023 - Valor Real'!C3:C15,0))+1)+((L662/(L662-1)-1)*(1-_xlfn.XLOOKUP(K662,'Fevereiro 2023 - Valor Real'!A3:A15,'Fevereiro 2023 - Valor Real'!C3:C15,0))+1)),((L661-1)*(1-_xlfn.XLOOKUP(K661,'Fevereiro 2023 - Valor Real'!A3:A15,'Fevereiro 2023 - Valor Real'!C3:C15,0))+1)/(((L661-1)*(1-_xlfn.XLOOKUP(K661,'Fevereiro 2023 - Valor Real'!A3:A15,'Fevereiro 2023 - Valor Real'!C3:C15,0))+1)+((L662/(L662-1)-1)*(1-_xlfn.XLOOKUP(K662,'Fevereiro 2023 - Valor Real'!A3:A15,'Fevereiro 2023 - Valor Real'!C3:C15,0))+1))),IF(I661="Lay",((L661/(L661-1)-1)*(1-_xlfn.XLOOKUP(K661,'Fevereiro 2023 - Valor Real'!A3:A15,'Fevereiro 2023 - Valor Real'!C3:C15,0))+1)/((((L661/(L661-1)-1)*(1-_xlfn.XLOOKUP(K661,'Fevereiro 2023 - Valor Real'!A3:A15,'Fevereiro 2023 - Valor Real'!C3:C15,0))+1))+((L662-1)*(1-_xlfn.XLOOKUP(K662,'Fevereiro 2023 - Valor Real'!A3:A15,'Fevereiro 2023 - Valor Real'!C3:C15,0))+1)),((L661-1)*(1-_xlfn.XLOOKUP(K661,'Fevereiro 2023 - Valor Real'!A3:A15,'Fevereiro 2023 - Valor Real'!C3:C15,0))+1)/(((L661-1)*(1-_xlfn.XLOOKUP(K661,'Fevereiro 2023 - Valor Real'!A3:A15,'Fevereiro 2023 - Valor Real'!C3:C15,0))+1)+((L662-1)*(1-_xlfn.XLOOKUP(K662,'Fevereiro 2023 - Valor Real'!A3:A15,'Fevereiro 2023 - Valor Real'!C3:C15,0))+1))))))</f>
        <v>0.62240663900414928</v>
      </c>
      <c r="AF662" s="105">
        <f t="shared" si="1327"/>
        <v>0</v>
      </c>
      <c r="AG662" s="106">
        <f t="shared" si="1327"/>
        <v>0</v>
      </c>
      <c r="AH662" s="106">
        <f t="shared" si="1327"/>
        <v>0</v>
      </c>
      <c r="AI662" s="106">
        <f t="shared" si="1327"/>
        <v>0</v>
      </c>
      <c r="AJ662" s="106">
        <f t="shared" si="1327"/>
        <v>0</v>
      </c>
      <c r="AK662" s="106">
        <f t="shared" si="1327"/>
        <v>0</v>
      </c>
      <c r="AL662" s="106">
        <f t="shared" si="1327"/>
        <v>0</v>
      </c>
      <c r="AM662" s="106">
        <f t="shared" si="1327"/>
        <v>109.61</v>
      </c>
      <c r="AN662" s="106">
        <f t="shared" si="1327"/>
        <v>0</v>
      </c>
      <c r="AO662" s="106">
        <f t="shared" si="1327"/>
        <v>0</v>
      </c>
      <c r="AP662" s="106">
        <f t="shared" si="1327"/>
        <v>0</v>
      </c>
      <c r="AQ662" s="106">
        <f t="shared" si="1327"/>
        <v>0</v>
      </c>
      <c r="AR662" s="107">
        <f t="shared" si="1327"/>
        <v>0</v>
      </c>
      <c r="AS662" s="105">
        <f>IF(AND($B661=" ",$K662=AS$3),$O662,0)</f>
        <v>0</v>
      </c>
      <c r="AT662" s="106">
        <f>IF(AND($B661=" ",K662=AT$3),$O662,0)</f>
        <v>0</v>
      </c>
      <c r="AU662" s="106">
        <f t="shared" ref="AU662:BE662" si="1340">IF(AND($B661=" ",$K662=AU$3),$O662,0)</f>
        <v>0</v>
      </c>
      <c r="AV662" s="106">
        <f t="shared" si="1340"/>
        <v>0</v>
      </c>
      <c r="AW662" s="106">
        <f t="shared" si="1340"/>
        <v>0</v>
      </c>
      <c r="AX662" s="106">
        <f t="shared" si="1340"/>
        <v>0</v>
      </c>
      <c r="AY662" s="108">
        <f t="shared" si="1340"/>
        <v>0</v>
      </c>
      <c r="AZ662" s="109">
        <f t="shared" si="1340"/>
        <v>0</v>
      </c>
      <c r="BA662" s="109">
        <f t="shared" si="1340"/>
        <v>0</v>
      </c>
      <c r="BB662" s="109">
        <f t="shared" si="1340"/>
        <v>0</v>
      </c>
      <c r="BC662" s="110">
        <f t="shared" si="1340"/>
        <v>0</v>
      </c>
      <c r="BD662" s="106">
        <f t="shared" si="1340"/>
        <v>0</v>
      </c>
      <c r="BE662" s="107">
        <f t="shared" si="1340"/>
        <v>0</v>
      </c>
      <c r="BF662" s="105">
        <f t="shared" si="1329"/>
        <v>0</v>
      </c>
      <c r="BG662" s="106">
        <f t="shared" si="1329"/>
        <v>0</v>
      </c>
      <c r="BH662" s="106">
        <f t="shared" si="1329"/>
        <v>0</v>
      </c>
      <c r="BI662" s="106">
        <f t="shared" si="1329"/>
        <v>0</v>
      </c>
      <c r="BJ662" s="106">
        <f t="shared" si="1329"/>
        <v>0</v>
      </c>
      <c r="BK662" s="106">
        <f t="shared" si="1329"/>
        <v>0</v>
      </c>
      <c r="BL662" s="106">
        <f t="shared" si="1329"/>
        <v>0</v>
      </c>
      <c r="BM662" s="132">
        <f t="shared" si="1329"/>
        <v>150.36000000000001</v>
      </c>
      <c r="BN662" s="112">
        <f t="shared" si="1329"/>
        <v>0</v>
      </c>
      <c r="BO662" s="112">
        <f t="shared" si="1329"/>
        <v>0</v>
      </c>
      <c r="BP662" s="112">
        <f t="shared" si="1329"/>
        <v>0</v>
      </c>
      <c r="BQ662" s="110">
        <f t="shared" si="1329"/>
        <v>0</v>
      </c>
      <c r="BR662" s="107">
        <f t="shared" si="1329"/>
        <v>0</v>
      </c>
      <c r="BS662" s="464"/>
      <c r="BT662" s="461"/>
      <c r="BU662" s="392"/>
      <c r="BV662" s="461"/>
      <c r="BW662" s="392"/>
      <c r="BX662" s="392"/>
      <c r="BY662" s="392"/>
      <c r="BZ662" s="461"/>
      <c r="CA662" s="392"/>
      <c r="CB662" s="392"/>
      <c r="CC662" s="392"/>
      <c r="CD662" s="401"/>
      <c r="CE662" s="409"/>
      <c r="CF662" s="133">
        <f t="shared" si="1285"/>
        <v>0</v>
      </c>
      <c r="CG662" s="134">
        <f t="shared" si="1286"/>
        <v>0</v>
      </c>
      <c r="CH662" s="134">
        <f t="shared" si="1287"/>
        <v>0</v>
      </c>
      <c r="CI662" s="134">
        <f t="shared" si="1288"/>
        <v>0</v>
      </c>
      <c r="CJ662" s="134">
        <f t="shared" si="1289"/>
        <v>0</v>
      </c>
      <c r="CK662" s="134">
        <f t="shared" si="1290"/>
        <v>0</v>
      </c>
      <c r="CL662" s="134">
        <f t="shared" si="1291"/>
        <v>0</v>
      </c>
      <c r="CM662" s="134">
        <f t="shared" si="1292"/>
        <v>0</v>
      </c>
      <c r="CN662" s="134">
        <f t="shared" si="1293"/>
        <v>0</v>
      </c>
      <c r="CO662" s="134">
        <f t="shared" si="1294"/>
        <v>0</v>
      </c>
      <c r="CP662" s="134">
        <f t="shared" si="1295"/>
        <v>0</v>
      </c>
      <c r="CQ662" s="134">
        <f t="shared" si="1296"/>
        <v>0</v>
      </c>
      <c r="CR662" s="134">
        <f t="shared" si="1297"/>
        <v>0</v>
      </c>
      <c r="CS662" s="134">
        <f t="shared" si="1298"/>
        <v>0</v>
      </c>
      <c r="CT662" s="115">
        <f t="shared" si="1299"/>
        <v>1</v>
      </c>
      <c r="CU662" s="116">
        <f t="shared" si="1300"/>
        <v>0</v>
      </c>
      <c r="CV662" s="116">
        <f t="shared" si="1301"/>
        <v>0</v>
      </c>
      <c r="CW662" s="116">
        <f t="shared" si="1302"/>
        <v>0</v>
      </c>
      <c r="CX662" s="116">
        <f t="shared" si="1303"/>
        <v>0</v>
      </c>
      <c r="CY662" s="116">
        <f t="shared" si="1304"/>
        <v>0</v>
      </c>
      <c r="CZ662" s="116">
        <f t="shared" si="1305"/>
        <v>0</v>
      </c>
      <c r="DA662" s="116">
        <f t="shared" si="1306"/>
        <v>0</v>
      </c>
      <c r="DB662" s="116">
        <f t="shared" si="1307"/>
        <v>0</v>
      </c>
      <c r="DC662" s="116">
        <f t="shared" si="1308"/>
        <v>0</v>
      </c>
      <c r="DD662" s="116">
        <f t="shared" si="1309"/>
        <v>0</v>
      </c>
      <c r="DE662" s="117">
        <f t="shared" si="1310"/>
        <v>0</v>
      </c>
      <c r="DF662" s="118">
        <f t="shared" si="1312"/>
        <v>39</v>
      </c>
      <c r="DG662" s="106">
        <f t="shared" si="1313"/>
        <v>51.577999999999996</v>
      </c>
      <c r="DH662" s="116">
        <f t="shared" si="1314"/>
        <v>14</v>
      </c>
      <c r="DI662" s="106">
        <f t="shared" si="1315"/>
        <v>60.05</v>
      </c>
      <c r="DJ662" s="201" t="str">
        <f>IF($D661="","",$D661)</f>
        <v>21</v>
      </c>
      <c r="DK662" s="466"/>
    </row>
    <row r="663" spans="1:115" ht="14.5" customHeight="1" x14ac:dyDescent="0.2">
      <c r="A663" s="390"/>
      <c r="B663" s="457"/>
      <c r="C663" s="135" t="s">
        <v>53</v>
      </c>
      <c r="D663" s="375"/>
      <c r="E663" s="387"/>
      <c r="F663" s="378"/>
      <c r="G663" s="484"/>
      <c r="H663" s="477"/>
      <c r="I663" s="136"/>
      <c r="J663" s="137"/>
      <c r="K663" s="138"/>
      <c r="L663" s="139"/>
      <c r="M663" s="140"/>
      <c r="N663" s="407"/>
      <c r="O663" s="141" t="str">
        <f>IF(OR(AE661="",AE662=""),"",IF(L663&gt;0,ROUND(IF(M663&gt;0,M663,IF(M661&gt;0,ROUND((M661*AE663)/AE661,IF(N661=0,2,IF(N661=0.1,1,0))),IF(M662&gt;0,ROUND((M662*AE663)/AE662,IF(N661=0,2,IF(N661=0.1,1,0))),IF(M663&gt;0,M663,0)))),2),""))</f>
        <v/>
      </c>
      <c r="P663" s="142" t="str">
        <f>IF(I662="Lay",O662*(L662/(L662-1))-O662,IF(I661="Lay",O661*(L661/(L661-1))-O661,IF(OR(L663="",O663=""),"",IF($C663="1/2W",O663/2+O663/2*L663,IF($C663="1/2L",O663/2,(O663*L663-O663)*(1-_xlfn.XLOOKUP(K663,'Fevereiro 2023 - Valor Real'!A3:A15,'Fevereiro 2023 - Valor Real'!C3:C15,0))+O663)))))</f>
        <v/>
      </c>
      <c r="Q663" s="143" t="str">
        <f>IF(K663="","",IF(_xlfn.XLOOKUP(K663,K$4:K662,$DJ$4:DJ662,0,,-1)=DJ663,_xlfn.XLOOKUP(K663,K$4:K662,Q$4:Q662,1,,-1)+1,1))</f>
        <v/>
      </c>
      <c r="R663" s="144" t="str">
        <f>IF(K663="","",_xlfn.XLOOKUP(K663,K$4:K662,R$4:R662,0,,-1)+IF($C663=" ",1,0))</f>
        <v/>
      </c>
      <c r="S663" s="404"/>
      <c r="T663" s="378"/>
      <c r="U663" s="378"/>
      <c r="V663" s="404"/>
      <c r="W663" s="378"/>
      <c r="X663" s="453"/>
      <c r="Y663" s="383"/>
      <c r="Z663" s="384"/>
      <c r="AA663" s="384"/>
      <c r="AB663" s="384"/>
      <c r="AC663" s="384"/>
      <c r="AD663" s="145">
        <f>((L662/(L662-1)-1))</f>
        <v>1.371742112482853</v>
      </c>
      <c r="AE663" s="146" t="str">
        <f>IF(L663="","",(SUM(((L661-1)*(1-_xlfn.XLOOKUP(K661,'Fevereiro 2023 - Valor Real'!A3:A15,'Fevereiro 2023 - Valor Real'!C3:C15,0))+1),((L662-1)*(1-_xlfn.XLOOKUP(K662,'Fevereiro 2023 - Valor Real'!A3:A15,'Fevereiro 2023 - Valor Real'!C3:C15,0))+1),((L663-1)*(1-_xlfn.XLOOKUP(K663,'Fevereiro 2023 - Valor Real'!A3:A15,'Fevereiro 2023 - Valor Real'!C3:C15,0))+1))/((L663-1)*(1-_xlfn.XLOOKUP(K663,'Fevereiro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Real'!C3:C15,0))+1))/((L661-1)*(1-_xlfn.XLOOKUP(K661,'Fevereiro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Real'!C3:C15,0))+1))/((L662-1)*(1-_xlfn.XLOOKUP(K662,'Fevereiro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Real'!C3:C15,0))+1))/((L663-1)*(1-_xlfn.XLOOKUP(K663,'Fevereiro 2023 - Valor Real'!A3:A15,'Fevereiro 2023 - Valor Real'!C3:C15,0))+1)))</f>
        <v/>
      </c>
      <c r="AF663" s="105">
        <f t="shared" si="1327"/>
        <v>0</v>
      </c>
      <c r="AG663" s="106">
        <f t="shared" si="1327"/>
        <v>0</v>
      </c>
      <c r="AH663" s="106">
        <f t="shared" si="1327"/>
        <v>0</v>
      </c>
      <c r="AI663" s="106">
        <f t="shared" si="1327"/>
        <v>0</v>
      </c>
      <c r="AJ663" s="106">
        <f t="shared" si="1327"/>
        <v>0</v>
      </c>
      <c r="AK663" s="106">
        <f t="shared" si="1327"/>
        <v>0</v>
      </c>
      <c r="AL663" s="106">
        <f t="shared" si="1327"/>
        <v>0</v>
      </c>
      <c r="AM663" s="106">
        <f t="shared" si="1327"/>
        <v>0</v>
      </c>
      <c r="AN663" s="106">
        <f t="shared" si="1327"/>
        <v>0</v>
      </c>
      <c r="AO663" s="106">
        <f t="shared" si="1327"/>
        <v>0</v>
      </c>
      <c r="AP663" s="106">
        <f t="shared" si="1327"/>
        <v>0</v>
      </c>
      <c r="AQ663" s="106">
        <f t="shared" si="1327"/>
        <v>0</v>
      </c>
      <c r="AR663" s="107">
        <f t="shared" si="1327"/>
        <v>0</v>
      </c>
      <c r="AS663" s="105">
        <f>IF(AND($B661=" ",$K663=AS$3),$O663,0)</f>
        <v>0</v>
      </c>
      <c r="AT663" s="106">
        <f>IF(AND($B661=" ",K663=AT$3),$O663,0)</f>
        <v>0</v>
      </c>
      <c r="AU663" s="106">
        <f t="shared" ref="AU663:BE663" si="1341">IF(AND($B661=" ",$K663=AU$3),$O663,0)</f>
        <v>0</v>
      </c>
      <c r="AV663" s="106">
        <f t="shared" si="1341"/>
        <v>0</v>
      </c>
      <c r="AW663" s="106">
        <f t="shared" si="1341"/>
        <v>0</v>
      </c>
      <c r="AX663" s="106">
        <f t="shared" si="1341"/>
        <v>0</v>
      </c>
      <c r="AY663" s="108">
        <f t="shared" si="1341"/>
        <v>0</v>
      </c>
      <c r="AZ663" s="109">
        <f t="shared" si="1341"/>
        <v>0</v>
      </c>
      <c r="BA663" s="109">
        <f t="shared" si="1341"/>
        <v>0</v>
      </c>
      <c r="BB663" s="109">
        <f t="shared" si="1341"/>
        <v>0</v>
      </c>
      <c r="BC663" s="110">
        <f t="shared" si="1341"/>
        <v>0</v>
      </c>
      <c r="BD663" s="106">
        <f t="shared" si="1341"/>
        <v>0</v>
      </c>
      <c r="BE663" s="107">
        <f t="shared" si="1341"/>
        <v>0</v>
      </c>
      <c r="BF663" s="105">
        <f t="shared" si="1329"/>
        <v>0</v>
      </c>
      <c r="BG663" s="106">
        <f t="shared" si="1329"/>
        <v>0</v>
      </c>
      <c r="BH663" s="106">
        <f t="shared" si="1329"/>
        <v>0</v>
      </c>
      <c r="BI663" s="106">
        <f t="shared" si="1329"/>
        <v>0</v>
      </c>
      <c r="BJ663" s="106">
        <f t="shared" si="1329"/>
        <v>0</v>
      </c>
      <c r="BK663" s="106">
        <f t="shared" si="1329"/>
        <v>0</v>
      </c>
      <c r="BL663" s="106">
        <f t="shared" si="1329"/>
        <v>0</v>
      </c>
      <c r="BM663" s="108">
        <f t="shared" si="1329"/>
        <v>0</v>
      </c>
      <c r="BN663" s="109">
        <f t="shared" si="1329"/>
        <v>0</v>
      </c>
      <c r="BO663" s="109">
        <f t="shared" si="1329"/>
        <v>0</v>
      </c>
      <c r="BP663" s="109">
        <f t="shared" si="1329"/>
        <v>0</v>
      </c>
      <c r="BQ663" s="110">
        <f t="shared" si="1329"/>
        <v>0</v>
      </c>
      <c r="BR663" s="107">
        <f t="shared" si="1329"/>
        <v>0</v>
      </c>
      <c r="BS663" s="464"/>
      <c r="BT663" s="461"/>
      <c r="BU663" s="392"/>
      <c r="BV663" s="461"/>
      <c r="BW663" s="392"/>
      <c r="BX663" s="392"/>
      <c r="BY663" s="392"/>
      <c r="BZ663" s="461"/>
      <c r="CA663" s="392"/>
      <c r="CB663" s="392"/>
      <c r="CC663" s="392"/>
      <c r="CD663" s="401"/>
      <c r="CE663" s="409"/>
      <c r="CF663" s="133">
        <f t="shared" si="1285"/>
        <v>0</v>
      </c>
      <c r="CG663" s="134">
        <f t="shared" si="1286"/>
        <v>0</v>
      </c>
      <c r="CH663" s="134">
        <f t="shared" si="1287"/>
        <v>0</v>
      </c>
      <c r="CI663" s="134">
        <f t="shared" si="1288"/>
        <v>0</v>
      </c>
      <c r="CJ663" s="134">
        <f t="shared" si="1289"/>
        <v>0</v>
      </c>
      <c r="CK663" s="134">
        <f t="shared" si="1290"/>
        <v>0</v>
      </c>
      <c r="CL663" s="134">
        <f t="shared" si="1291"/>
        <v>0</v>
      </c>
      <c r="CM663" s="134">
        <f t="shared" si="1292"/>
        <v>0</v>
      </c>
      <c r="CN663" s="134">
        <f t="shared" si="1293"/>
        <v>0</v>
      </c>
      <c r="CO663" s="134">
        <f t="shared" si="1294"/>
        <v>0</v>
      </c>
      <c r="CP663" s="134">
        <f t="shared" si="1295"/>
        <v>0</v>
      </c>
      <c r="CQ663" s="134">
        <f t="shared" si="1296"/>
        <v>0</v>
      </c>
      <c r="CR663" s="134">
        <f t="shared" si="1297"/>
        <v>0</v>
      </c>
      <c r="CS663" s="134">
        <f t="shared" si="1298"/>
        <v>0</v>
      </c>
      <c r="CT663" s="115">
        <f t="shared" si="1299"/>
        <v>0</v>
      </c>
      <c r="CU663" s="116">
        <f t="shared" si="1300"/>
        <v>0</v>
      </c>
      <c r="CV663" s="116">
        <f t="shared" si="1301"/>
        <v>0</v>
      </c>
      <c r="CW663" s="116">
        <f t="shared" si="1302"/>
        <v>0</v>
      </c>
      <c r="CX663" s="116">
        <f t="shared" si="1303"/>
        <v>0</v>
      </c>
      <c r="CY663" s="116">
        <f t="shared" si="1304"/>
        <v>0</v>
      </c>
      <c r="CZ663" s="116">
        <f t="shared" si="1305"/>
        <v>0</v>
      </c>
      <c r="DA663" s="116">
        <f t="shared" si="1306"/>
        <v>0</v>
      </c>
      <c r="DB663" s="116">
        <f t="shared" si="1307"/>
        <v>0</v>
      </c>
      <c r="DC663" s="116">
        <f t="shared" si="1308"/>
        <v>0</v>
      </c>
      <c r="DD663" s="116">
        <f t="shared" si="1309"/>
        <v>0</v>
      </c>
      <c r="DE663" s="117">
        <f t="shared" si="1310"/>
        <v>0</v>
      </c>
      <c r="DF663" s="118">
        <f t="shared" si="1312"/>
        <v>39</v>
      </c>
      <c r="DG663" s="106">
        <f t="shared" si="1313"/>
        <v>51.577999999999996</v>
      </c>
      <c r="DH663" s="116">
        <f t="shared" si="1314"/>
        <v>14</v>
      </c>
      <c r="DI663" s="106">
        <f t="shared" si="1315"/>
        <v>60.05</v>
      </c>
      <c r="DJ663" s="201" t="str">
        <f>IF($D661="","",$D661)</f>
        <v>21</v>
      </c>
      <c r="DK663" s="466"/>
    </row>
    <row r="664" spans="1:115" ht="14.5" customHeight="1" x14ac:dyDescent="0.2">
      <c r="A664" s="487">
        <f>$A661+1</f>
        <v>221</v>
      </c>
      <c r="B664" s="506" t="str">
        <f>IF(OR(C664="W",C665="W",C666="W",C664="1/2W",C665="1/2W",C666="1/2W",C664="1/2L",C665="1/2L",C666="1/2L"),"OK",IF(OR(C664="L",C665="L",C666="L"),"LOSS",IF(OR(C664="X",C665="X",C666="X"),"Anulado"," ")))</f>
        <v>OK</v>
      </c>
      <c r="C664" s="147" t="s">
        <v>55</v>
      </c>
      <c r="D664" s="494" t="str">
        <f>IF(G664="","",$D661)</f>
        <v>21</v>
      </c>
      <c r="E664" s="511" t="str">
        <f>IF(G664=""," ","– "&amp;COUNTIF(D$4:D666,$D664))</f>
        <v>– 17</v>
      </c>
      <c r="F664" s="510" t="str">
        <f ca="1">IF(G664="","",IF(OR(AND($C664&lt;&gt;" ",$C665=" "),AND($C665&lt;&gt;" ",$C664=" "),AND(L666&gt;0,OR(AND($C666&lt;&gt;" ",OR($C664=" ",$C665=" ")),AND($C666=" ",OR($C664&lt;&gt;" ",$C665&lt;&gt;" "))))),IF(SUM(F$4:F663)=0,1,LARGE(F$4:F663,1)+1),IF(MONTH(G664)=MONTH(TODAY()),IF(AND(DAY(G664)&lt;DAY(TODAY()),$B664=" "),IF(SUM(F$4:F663)=0,1,LARGE(F$4:F663,1)+1),IF($B664=" ",IF(AND(DAY(G664)=DAY(TODAY()),HOUR(G664)&lt;=HOUR(NOW())+1),IF(AND(HOUR(G664)+2&lt;=HOUR(NOW()),DAY(G664)&lt;=DAY(TODAY()),MINUTE(G664)&lt;=MINUTE(NOW())),IF(SUM(F$4:F663)=0,1,LARGE(F$4:F663,1)+1),IF(OR(MINUTE(G664)&lt;=MINUTE(NOW()),HOUR(G664)&lt;=HOUR(NOW())),"!!!","")),""),"")),"")))</f>
        <v/>
      </c>
      <c r="G664" s="508">
        <v>45006.604166666664</v>
      </c>
      <c r="H664" s="502" t="s">
        <v>240</v>
      </c>
      <c r="I664" s="148">
        <v>2</v>
      </c>
      <c r="J664" s="149"/>
      <c r="K664" s="150" t="s">
        <v>47</v>
      </c>
      <c r="L664" s="151">
        <v>1.37</v>
      </c>
      <c r="M664" s="152"/>
      <c r="N664" s="503">
        <v>1</v>
      </c>
      <c r="O664" s="153">
        <f>IF(OR(AE664="",AE665=""),"",ROUND(IF(L666&gt;0,IF(M664&gt;0,M664,IF(M665&gt;0,ROUND((M665*AE664)/AE665,IF(N664=0,2,IF(N664=0.1,1,0))),ROUND((M666*AE664)/AE666,IF(N664=0,2,IF(N664=0.1,1,0))))),IF(M664&gt;0,M664,ROUND((M665*AE664)/AE665,IF(N664=0,2,IF(N664=0.1,1,0))))),2))</f>
        <v>161</v>
      </c>
      <c r="P664" s="154">
        <f>IF(OR(L664="",O664=""),"",IF($C664="1/2W",O664/2+O664/2*L664,IF($C664="1/2L",O664/2,IF(I664="Lay",(O664*(L664/(L664-1))-O664)*(1-_xlfn.XLOOKUP(K664,'Fevereiro 2023 - Valor Real'!A3:A15,'Fevereiro 2023 - Valor Real'!C3:C15,0))+O664,(O664*L664-O664)*(1-_xlfn.XLOOKUP(K664,'Fevereiro 2023 - Valor Real'!A3:A15,'Fevereiro 2023 - Valor Real'!C3:C15,0))+O664))))</f>
        <v>220.57000000000002</v>
      </c>
      <c r="Q664" s="155">
        <f>IF(K664="","",IF(_xlfn.XLOOKUP(K664,K$9:K656,$DJ$9:DJ656,0,,-1)=DJ664,_xlfn.XLOOKUP(K664,K$9:K656,Q$9:Q656,1,,-1)+1,1))</f>
        <v>6</v>
      </c>
      <c r="R664" s="156">
        <f>IF(K664="","",_xlfn.XLOOKUP(K664,K$9:K656,R$9:R656,0,,-1)+IF($C664=" ",1,0))</f>
        <v>0</v>
      </c>
      <c r="S664" s="501">
        <f>IF($B664="Anulado",0,ROUND(IF(OR($B664="LOSS",$B664="OK"),IF(OR($C664="W",$C664="1/2W",$C664="1/2L"),P664-O664,IF($C664="L",-O664,0))+IF(OR($C665="W",$C665="1/2W",$C665="1/2L"),P665-O665,IF($C665="L",-O665,0))+IF(OR($C666="W",$C666="1/2W",$C666="1/2L"),P666-O666,IF($C666="L",-O666,0)),IF(AND(OR($C664="W",$C664="1/2W",$C664="1/2L"),C665="W"),P664+P665-SUM(O664:O666)+_xlfn.XLOOKUP("X",C664:C666,O664:O666,0),IF(AND(C664=TRUE,C666="W"),P664+P666-SUM(O664:O666),IF(AND(C665="W",C666="W"),P665+P666-SUM(O664:O666)+_xlfn.XLOOKUP("X",C664:C666,O664:O666,0),IF(L666&gt;0,IF(OR($C664="W",$C664="1/2W",$C664="1/2L"),P664-SUM(O664:O666)+_xlfn.XLOOKUP("X",C664:C666,O664:O666,0),IF(OR($C664="W",$C664="1/2W",$C664="1/2L"),P665-SUM(O664:O666)+_xlfn.XLOOKUP("X",C664:C666,O664:O666,0),IF(OR($C664="W",$C664="1/2W",$C664="1/2L"),P666-SUM(O664:O666)+_xlfn.XLOOKUP("X",C664:C666,O664:O666,0),IF(SUM(P664:P666)/3-SUM(O664:O666)+_xlfn.XLOOKUP("X",C664:C666,O664:O666,0)&gt;0,SUM(P664:P666)/3-SUM(O664:O666)+_xlfn.XLOOKUP("X",C664:C666,O664:O666,0),LARGE(P664:P666,1)-SUM(O664:O666))))),IF(OR($C664="W",$C664="1/2W",$C664="1/2L"),P664-SUM(O664:O665)+_xlfn.XLOOKUP("X",C664:C666,O664:O666,0),IF(OR($C664="W",$C664="1/2W",$C664="1/2L"),P665-SUM(O664:O665)+_xlfn.XLOOKUP("X",C664:C666,O664:O666,0),SUM(P664:P665)/2-SUM(O664:O665)+_xlfn.XLOOKUP("X",C664:C666,O664:O666,0)))))))),2))</f>
        <v>7.76</v>
      </c>
      <c r="T664" s="486">
        <f>IF(S664=0,0,S664/SUM(O664:O666))</f>
        <v>3.6579617233902142E-2</v>
      </c>
      <c r="U664" s="496">
        <f>IF($D664=$D661,IF(OR($B664="LOSS",$B664="OK",$B664="Anulada"),S664,0)+U661,IF(OR($B664="LOSS",$B664="OK",$B664="Anulada"),S664,0))</f>
        <v>75.34</v>
      </c>
      <c r="V664" s="496">
        <f>IF($D664="",0,IF($D664=$D661,IF($B664=" ",IF(I666="",IF(OR(AND(I664="DNB1",I665="DNB2"),AND(OR(I664="DNB1",I664="DNB2"),J665=0),AND(OR(I665="DNB1",I665="DNB2"),J664=0),AND(I664="DNB2",I665="DNB1"),AND(IF(J664=0,(J664+1)/ROUND(J664+1,0),J664/ROUND(J664,0))=1,IF(J665=0,(J665+1)/ROUND(IF(J665="",0,J665)+1,0),IF(J665="",0,J665)/ROUND(IF(J665="",1,J665),0))=1,OR(J664&lt;&gt;""),J665&lt;&gt;"")),0,IF(S664&lt;0,IF(I666="",SMALL(P664:P665,1)-SUM(O664:O665),0),SMALL(P664:P665,1)-SUM(O664:O665))),IF(S664&lt;0,IF(I666="",SMALL(P664:P666,1)-SUM(O664:O666),0),LARGE(P664:P666,1)-SUM(O664:O666))),S664)+V661,IF(I666="",IF(OR(AND(I664="DNB1",I665="DNB2"),AND(OR(I664="DNB1",I664="DNB2"),J665=0),AND(OR(I665="DNB1",I665="DNB2"),J664=0),AND(I664="DNB2",I665="DNB1"),AND(IF(J664=0,(J664+1)/ROUND(J664+1,0),J664/ROUND(J664,0))=1,IF(J665=0,(IF(J665="",0,J665)+1)/ROUND(IF(J665="",0,J665)+1,0),IF(J665="",0,J665)/ROUND(IF(J665="",0,J665)+1,0))=1,OR(J664&lt;&gt;""),J665&lt;&gt;"")),0,IF(S664&lt;0,IF(I666="",SMALL(P664:P665,1)-SUM(O664:O665),0),SMALL(P664:P666,1)-SUM(O664:O666))),IF(S664&lt;0,IF(I666="",SMALL(P664:P666,1)-SUM(O664:O666),0),LARGE(P664:P666,1)-SUM(O664:O666)))))</f>
        <v>75.338000000000008</v>
      </c>
      <c r="W664" s="496">
        <f>IF($D664=$D661,IF(S664&lt;0,IF(I666="",S664,0),S664)+W661,S664)</f>
        <v>75.34</v>
      </c>
      <c r="X664" s="505" t="str">
        <f>IF(OR(SUM(R664:R666)=0,V664=W664),ROUND(IF(W664=0,0,W664/Y664)*100,2)&amp;"%",ROUND(IF(V664=0,0,V664/Y664)*100,2)&amp;"% a "&amp;ROUND(IF(W664=0,0,W664/Y664)*100,2)&amp;"%")</f>
        <v>8,32%</v>
      </c>
      <c r="Y664" s="497">
        <f>IF($D664=$D661,Y661+SUM(O664:O666),SUM(O664:O666))</f>
        <v>905.69</v>
      </c>
      <c r="Z664" s="496">
        <f>IF($B664=" ",SUM(O664:O666),0)+Z661</f>
        <v>0</v>
      </c>
      <c r="AA664" s="496">
        <f>IF(G664="","",IF($B664="Anulado",LARGE(P664:P666,1)-SUM(O664:O666)+AA661,AA661))</f>
        <v>13.381099999999991</v>
      </c>
      <c r="AB664" s="496">
        <f>IF($D664="","",AB661+S664)</f>
        <v>752.97000000000048</v>
      </c>
      <c r="AC664" s="499">
        <f ca="1">IF($D664="","",IF($B664=" ",IF(DAY(G664)=DAY(TODAY()),1+AC661,0+AC661),0+AC661))</f>
        <v>0</v>
      </c>
      <c r="AD664" s="157">
        <f>(1-_xlfn.XLOOKUP(K662,'Fevereiro 2023 - Valor Real'!A3:A15,'Fevereiro 2023 - Valor Real'!C3:C15,0))+1</f>
        <v>2</v>
      </c>
      <c r="AE664" s="158">
        <f>IF(L664="","",IF(L666&gt;0,(SUM(((L664-1)*(1-_xlfn.XLOOKUP(K664,'Fevereiro 2023 - Valor Real'!A3:A15,'Fevereiro 2023 - Valor Real'!C3:C15,0))+1),((L665-1)*(1-_xlfn.XLOOKUP(K665,'Fevereiro 2023 - Valor Real'!A3:A15,'Fevereiro 2023 - Valor Real'!C3:C15,0))+1),((L666-1)*(1-_xlfn.XLOOKUP(K666,'Fevereiro 2023 - Valor Real'!A3:A15,'Fevereiro 2023 - Valor Real'!C3:C15,0))+1))/((L664-1)*(1-_xlfn.XLOOKUP(K664,'Fevereiro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Real'!C3:C15,0))+1))/((L664-1)*(1-_xlfn.XLOOKUP(K664,'Fevereiro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Real'!C3:C15,0))+1))/((L665-1)*(1-_xlfn.XLOOKUP(K665,'Fevereiro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Real'!C3:C15,0))+1))/((L666-1)*(1-_xlfn.XLOOKUP(K666,'Fevereiro 2023 - Valor Real'!A3:A15,'Fevereiro 2023 - Valor Real'!C3:C15,0))+1)),IF(I664="Lay",IF(I665="Lay",((L665/(L665-1)-1)*(1-_xlfn.XLOOKUP(K665,'Fevereiro 2023 - Valor Real'!A3:A15,'Fevereiro 2023 - Valor Real'!C3:C15,0))+1)/(((L665/(L665-1)-1)*(1-_xlfn.XLOOKUP(K665,'Fevereiro 2023 - Valor Real'!A3:A15,'Fevereiro 2023 - Valor Real'!C3:C15,0))+1)+((L664/(L664-1)-1)*(1-_xlfn.XLOOKUP(K664,'Fevereiro 2023 - Valor Real'!A3:A15,'Fevereiro 2023 - Valor Real'!C3:C15,0))+1)),((L665-1)*(1-_xlfn.XLOOKUP(K665,'Fevereiro 2023 - Valor Real'!A3:A15,'Fevereiro 2023 - Valor Real'!C3:C15,0))+1)/(((L665-1)*(1-_xlfn.XLOOKUP(K665,'Fevereiro 2023 - Valor Real'!A3:A15,'Fevereiro 2023 - Valor Real'!C3:C15,0))+1)+((L664/(L664-1)-1)*(1-_xlfn.XLOOKUP(K664,'Fevereiro 2023 - Valor Real'!A3:A15,'Fevereiro 2023 - Valor Real'!C3:C15,0))+1))),IF(I665="Lay",(((L665/(L665-1)-1)*(1-_xlfn.XLOOKUP(K665,'Fevereiro 2023 - Valor Real'!A3:A15,'Fevereiro 2023 - Valor Real'!C3:C15,0))+1))/(((L664-1)*(1-_xlfn.XLOOKUP(K664,'Fevereiro 2023 - Valor Real'!A3:A15,'Fevereiro 2023 - Valor Real'!C3:C15,0))+1)+((L665/(L665-1)-1)*(1-_xlfn.XLOOKUP(K665,'Fevereiro 2023 - Valor Real'!A3:A15,'Fevereiro 2023 - Valor Real'!C3:C15,0))+1)),((L665-1)*(1-_xlfn.XLOOKUP(K665,'Fevereiro 2023 - Valor Real'!A3:A15,'Fevereiro 2023 - Valor Real'!C3:C15,0))+1)/(((L665-1)*(1-_xlfn.XLOOKUP(K665,'Fevereiro 2023 - Valor Real'!A3:A15,'Fevereiro 2023 - Valor Real'!C3:C15,0))+1)+((L664-1)*(1-_xlfn.XLOOKUP(K664,'Fevereiro 2023 - Valor Real'!A3:A15,'Fevereiro 2023 - Valor Real'!C3:C15,0))+1))))))</f>
        <v>0.75837742504409167</v>
      </c>
      <c r="AF664" s="66">
        <f t="shared" ref="AF664:AR673" si="1342">IF($K664=AF$3,ROUND(IF(OR($C664="W",$C664="1/2W",$C664="1/2L"),$P664-$O664,IF($C664="X",0,-$O664)),2),0)</f>
        <v>0</v>
      </c>
      <c r="AG664" s="67">
        <f t="shared" si="1342"/>
        <v>0</v>
      </c>
      <c r="AH664" s="67">
        <f t="shared" si="1342"/>
        <v>0</v>
      </c>
      <c r="AI664" s="67">
        <f t="shared" si="1342"/>
        <v>0</v>
      </c>
      <c r="AJ664" s="67">
        <f t="shared" si="1342"/>
        <v>0</v>
      </c>
      <c r="AK664" s="67">
        <f t="shared" si="1342"/>
        <v>0</v>
      </c>
      <c r="AL664" s="67">
        <f t="shared" si="1342"/>
        <v>0</v>
      </c>
      <c r="AM664" s="67">
        <f t="shared" si="1342"/>
        <v>0</v>
      </c>
      <c r="AN664" s="67">
        <f t="shared" si="1342"/>
        <v>0</v>
      </c>
      <c r="AO664" s="67">
        <f t="shared" si="1342"/>
        <v>0</v>
      </c>
      <c r="AP664" s="67">
        <f t="shared" si="1342"/>
        <v>0</v>
      </c>
      <c r="AQ664" s="67">
        <f t="shared" si="1342"/>
        <v>-161</v>
      </c>
      <c r="AR664" s="68">
        <f t="shared" si="1342"/>
        <v>0</v>
      </c>
      <c r="AS664" s="66">
        <f t="shared" ref="AS664:BE664" si="1343">IF(AND($B664=" ",$K664=AS$3),$O664,0)</f>
        <v>0</v>
      </c>
      <c r="AT664" s="67">
        <f t="shared" si="1343"/>
        <v>0</v>
      </c>
      <c r="AU664" s="67">
        <f t="shared" si="1343"/>
        <v>0</v>
      </c>
      <c r="AV664" s="67">
        <f t="shared" si="1343"/>
        <v>0</v>
      </c>
      <c r="AW664" s="67">
        <f t="shared" si="1343"/>
        <v>0</v>
      </c>
      <c r="AX664" s="67">
        <f t="shared" si="1343"/>
        <v>0</v>
      </c>
      <c r="AY664" s="69">
        <f t="shared" si="1343"/>
        <v>0</v>
      </c>
      <c r="AZ664" s="70">
        <f t="shared" si="1343"/>
        <v>0</v>
      </c>
      <c r="BA664" s="70">
        <f t="shared" si="1343"/>
        <v>0</v>
      </c>
      <c r="BB664" s="70">
        <f t="shared" si="1343"/>
        <v>0</v>
      </c>
      <c r="BC664" s="71">
        <f t="shared" si="1343"/>
        <v>0</v>
      </c>
      <c r="BD664" s="67">
        <f t="shared" si="1343"/>
        <v>0</v>
      </c>
      <c r="BE664" s="68">
        <f t="shared" si="1343"/>
        <v>0</v>
      </c>
      <c r="BF664" s="66">
        <f t="shared" ref="BF664:BR673" si="1344">IF($K664=BF$3,IF($C664="X",0,$O664),0)</f>
        <v>0</v>
      </c>
      <c r="BG664" s="67">
        <f t="shared" si="1344"/>
        <v>0</v>
      </c>
      <c r="BH664" s="67">
        <f t="shared" si="1344"/>
        <v>0</v>
      </c>
      <c r="BI664" s="67">
        <f t="shared" si="1344"/>
        <v>0</v>
      </c>
      <c r="BJ664" s="67">
        <f t="shared" si="1344"/>
        <v>0</v>
      </c>
      <c r="BK664" s="67">
        <f t="shared" si="1344"/>
        <v>0</v>
      </c>
      <c r="BL664" s="67">
        <f t="shared" si="1344"/>
        <v>0</v>
      </c>
      <c r="BM664" s="69">
        <f t="shared" si="1344"/>
        <v>0</v>
      </c>
      <c r="BN664" s="70">
        <f t="shared" si="1344"/>
        <v>0</v>
      </c>
      <c r="BO664" s="70">
        <f t="shared" si="1344"/>
        <v>0</v>
      </c>
      <c r="BP664" s="70">
        <f t="shared" si="1344"/>
        <v>0</v>
      </c>
      <c r="BQ664" s="71">
        <f t="shared" si="1344"/>
        <v>161</v>
      </c>
      <c r="BR664" s="68">
        <f t="shared" si="1344"/>
        <v>0</v>
      </c>
      <c r="BS664" s="490">
        <f>IF($B664="LOSS",IF(AND($K664=BS$3,$C664="L"),-$O664,0)+IF(AND($K665=BS$3,$C665="L"),-$O665,0)+IF(AND($K666=BS$3,$C666="L"),-$O666,0),IF(OR(AND($K664=BS$3,OR($C664="W",$C664="1/2W")),AND($K665=BS$3,OR($C665="W",$C665="1/2W")),AND($K666=BS$3,OR($C666="W",$C666="1/2W"))),$S664,0))</f>
        <v>0</v>
      </c>
      <c r="BT664" s="498">
        <f>IF($B664="LOSS",IF(AND($K664=BT$3,$C664="L"),-$O664,0)+IF(AND($K665=BT$3,$C665="L"),-$O665,0)+IF(AND($K665=BT$3,$C666="L"),-$O666,0),IF(OR(AND($K665=BT$3,OR($C664="W",$C664="1/2W")),AND($K665=BT$3,OR($C665="W",$C665="1/2W")),AND($K665=BT$3,OR($C666="W",$C666="1/2W"))),$S664,0))</f>
        <v>0</v>
      </c>
      <c r="BU664" s="488">
        <f>IF($B664="LOSS",IF(AND($K664=BU$3,$C664="L"),-$O664,0)+IF(AND($K665=BU$3,$C665="L"),-$O665,0)+IF(AND($K665=BU$3,$C666="L"),-$O666,0),IF(OR(AND($K665=BU$3,OR($C664="W",$C664="1/2W")),AND($K665=BU$3,OR($C665="W",$C665="1/2W")),AND($K665=BU$3,OR($C666="W",$C666="1/2W"))),$S664,0))</f>
        <v>0</v>
      </c>
      <c r="BV664" s="488">
        <f t="shared" ref="BV664:CE664" si="1345">IF($B664="LOSS",IF(AND($K664=BV$3,$C664="L"),-$O664,0)+IF(AND($K665=BV$3,$C665="L"),-$O665,0)+IF(AND($K666=BV$3,$C666="L"),-$O666,0),IF(OR(AND($K664=BV$3,OR($C664="W",$C664="1/2W")),AND($K665=BV$3,OR($C665="W",$C665="1/2W")),AND($K666=BV$3,OR($C666="W",$C666="1/2W"))),$S664,0))</f>
        <v>0</v>
      </c>
      <c r="BW664" s="488">
        <f t="shared" si="1345"/>
        <v>7.76</v>
      </c>
      <c r="BX664" s="488">
        <f t="shared" si="1345"/>
        <v>0</v>
      </c>
      <c r="BY664" s="488">
        <f t="shared" si="1345"/>
        <v>0</v>
      </c>
      <c r="BZ664" s="488">
        <f t="shared" si="1345"/>
        <v>0</v>
      </c>
      <c r="CA664" s="488">
        <f t="shared" si="1345"/>
        <v>0</v>
      </c>
      <c r="CB664" s="488">
        <f t="shared" si="1345"/>
        <v>0</v>
      </c>
      <c r="CC664" s="488">
        <f t="shared" si="1345"/>
        <v>0</v>
      </c>
      <c r="CD664" s="500">
        <f t="shared" si="1345"/>
        <v>0</v>
      </c>
      <c r="CE664" s="504">
        <f t="shared" si="1345"/>
        <v>0</v>
      </c>
      <c r="CF664" s="160">
        <f t="shared" si="1285"/>
        <v>0</v>
      </c>
      <c r="CG664" s="161">
        <f t="shared" si="1286"/>
        <v>0</v>
      </c>
      <c r="CH664" s="161">
        <f t="shared" si="1287"/>
        <v>0</v>
      </c>
      <c r="CI664" s="161">
        <f t="shared" si="1288"/>
        <v>0</v>
      </c>
      <c r="CJ664" s="161">
        <f t="shared" si="1289"/>
        <v>0</v>
      </c>
      <c r="CK664" s="161">
        <f t="shared" si="1290"/>
        <v>0</v>
      </c>
      <c r="CL664" s="161">
        <f t="shared" si="1291"/>
        <v>0</v>
      </c>
      <c r="CM664" s="161">
        <f t="shared" si="1292"/>
        <v>0</v>
      </c>
      <c r="CN664" s="161">
        <f t="shared" si="1293"/>
        <v>0</v>
      </c>
      <c r="CO664" s="161">
        <f t="shared" si="1294"/>
        <v>0</v>
      </c>
      <c r="CP664" s="161">
        <f t="shared" si="1295"/>
        <v>0</v>
      </c>
      <c r="CQ664" s="161">
        <f t="shared" si="1296"/>
        <v>0</v>
      </c>
      <c r="CR664" s="161">
        <f t="shared" si="1297"/>
        <v>0</v>
      </c>
      <c r="CS664" s="161">
        <f t="shared" si="1298"/>
        <v>0</v>
      </c>
      <c r="CT664" s="75">
        <f t="shared" si="1299"/>
        <v>0</v>
      </c>
      <c r="CU664" s="76">
        <f t="shared" si="1300"/>
        <v>0</v>
      </c>
      <c r="CV664" s="76">
        <f t="shared" si="1301"/>
        <v>0</v>
      </c>
      <c r="CW664" s="76">
        <f t="shared" si="1302"/>
        <v>0</v>
      </c>
      <c r="CX664" s="76">
        <f t="shared" si="1303"/>
        <v>0</v>
      </c>
      <c r="CY664" s="76">
        <f t="shared" si="1304"/>
        <v>0</v>
      </c>
      <c r="CZ664" s="76">
        <f t="shared" si="1305"/>
        <v>0</v>
      </c>
      <c r="DA664" s="76">
        <f t="shared" si="1306"/>
        <v>0</v>
      </c>
      <c r="DB664" s="76">
        <f t="shared" si="1307"/>
        <v>0</v>
      </c>
      <c r="DC664" s="76">
        <f t="shared" si="1308"/>
        <v>1</v>
      </c>
      <c r="DD664" s="76">
        <f t="shared" si="1309"/>
        <v>0</v>
      </c>
      <c r="DE664" s="77">
        <f t="shared" si="1310"/>
        <v>0</v>
      </c>
      <c r="DF664" s="73">
        <f t="shared" si="1312"/>
        <v>39</v>
      </c>
      <c r="DG664" s="67">
        <f t="shared" si="1313"/>
        <v>51.577999999999996</v>
      </c>
      <c r="DH664" s="76">
        <f t="shared" si="1314"/>
        <v>14</v>
      </c>
      <c r="DI664" s="67">
        <f t="shared" si="1315"/>
        <v>60.05</v>
      </c>
      <c r="DJ664" s="202" t="str">
        <f>IF($D664="","",$D664)</f>
        <v>21</v>
      </c>
      <c r="DK664" s="492">
        <f>IF(AND($B664=" ",$D664&lt;&gt;""),1,0)</f>
        <v>0</v>
      </c>
    </row>
    <row r="665" spans="1:115" ht="14.5" customHeight="1" x14ac:dyDescent="0.2">
      <c r="A665" s="389"/>
      <c r="B665" s="456"/>
      <c r="C665" s="53" t="s">
        <v>54</v>
      </c>
      <c r="D665" s="374"/>
      <c r="E665" s="386"/>
      <c r="F665" s="377"/>
      <c r="G665" s="508"/>
      <c r="H665" s="476"/>
      <c r="I665" s="162">
        <v>1</v>
      </c>
      <c r="J665" s="163" t="str">
        <f>IF(OR(I664="TO",I664="TU",I664="TO1",I664="TU1",I664="TO2",I664="TU2"),J664,IF(OR(I664="AH1",I664="AH2"),IF(OR(I665="AH1",I665="AH2"),-J664,IF(OR(I665="EH1",I665="EH2"),-J664+0.5,"")),IF(OR(I664="EH1",I664="EH2"),IF(OR(I665="AH1",I665="AH2"),-J664+0.5,IF(OR(I665="EH1",I665="EH2"),-J664+1,"")),IF(AND(OR(I664="DNB1",I664="DNB2"),OR(I665="AH1",I665="AH2")),0,IF(AND(I664="Not ScoreBoth",OR(I665="TO1",I665="TO2")),0.5,"")))))</f>
        <v/>
      </c>
      <c r="K665" s="57" t="s">
        <v>40</v>
      </c>
      <c r="L665" s="164">
        <v>4.3</v>
      </c>
      <c r="M665" s="165">
        <v>51.14</v>
      </c>
      <c r="N665" s="406"/>
      <c r="O665" s="60">
        <f>IF(OR(AE664="",AE665=""),"",ROUND(IF(L666&gt;0,IF(M665&gt;0,M665,IF(M664&gt;0,IF(N664=TRUE,ROUND((M664*AE665)/AE664,0),(M664*AE665)/AE664),IF(M665&gt;0,ROUND(M665,IF(N664=0,2,IF(N664=0.1,1,0))),IF(M666&gt;0,ROUND(O666*AE665/AE666,IF(N664=0,2,IF(N664=0.1,1,0))),0)))),IF(M665&gt;0,M665,ROUND((M664*AE665)/AE664,IF(N664=0,2,IF(N664=0.1,1,0))))),2))</f>
        <v>51.14</v>
      </c>
      <c r="P665" s="61">
        <f>IF(OR(L665="",O665=""),"",IF($C665="1/2W",O665/2+O665/2*L665,IF($C665="1/2L",O665/2,IF(I665="Lay",((O665*(L665/(L665-1)))-O665)*(1-_xlfn.XLOOKUP(K665,'Fevereiro 2023 - Valor Real'!A3:A15,'Fevereiro 2023 - Valor Real'!C3:C15,0))+O665,(O665*L665-O665)*(1-_xlfn.XLOOKUP(K665,'Fevereiro 2023 - Valor Real'!A3:A15,'Fevereiro 2023 - Valor Real'!C3:C15,0))+O665))))</f>
        <v>219.90199999999999</v>
      </c>
      <c r="Q665" s="166">
        <f>IF(K665="","",IF(_xlfn.XLOOKUP(K665,K$10:K656,$DJ$10:DJ656,0,,-1)=DJ665,_xlfn.XLOOKUP(K665,K$10:K656,Q$10:Q656,1,,-1)+1,1))</f>
        <v>7</v>
      </c>
      <c r="R665" s="167">
        <f>IF(K665="","",_xlfn.XLOOKUP(K665,K$10:K656,R$10:R656,0,,-1)+IF($C665=" ",1,0))</f>
        <v>0</v>
      </c>
      <c r="S665" s="403"/>
      <c r="T665" s="380"/>
      <c r="U665" s="380"/>
      <c r="V665" s="481"/>
      <c r="W665" s="380"/>
      <c r="X665" s="452"/>
      <c r="Y665" s="383"/>
      <c r="Z665" s="384"/>
      <c r="AA665" s="384"/>
      <c r="AB665" s="384"/>
      <c r="AC665" s="384"/>
      <c r="AD665" s="64"/>
      <c r="AE665" s="65">
        <f>IF(L665="","",IF(L666&gt;0,(SUM(((L664-1)*(1-_xlfn.XLOOKUP(K664,'Fevereiro 2023 - Valor Real'!A3:A15,'Fevereiro 2023 - Valor Real'!C3:C15,0))+1),((L665-1)*(1-_xlfn.XLOOKUP(K665,'Fevereiro 2023 - Valor Real'!A3:A15,'Fevereiro 2023 - Valor Real'!C3:C15,0))+1),((L666-1)*(1-_xlfn.XLOOKUP(K666,'Fevereiro 2023 - Valor Real'!A3:A15,'Fevereiro 2023 - Valor Real'!C3:C15,0))+1))/((L665-1)*(1-_xlfn.XLOOKUP(K665,'Fevereiro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Real'!C3:C15,0))+1))/((L664-1)*(1-_xlfn.XLOOKUP(K664,'Fevereiro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Real'!C3:C15,0))+1))/((L665-1)*(1-_xlfn.XLOOKUP(K665,'Fevereiro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Real'!C3:C15,0))+1))/((L666-1)*(1-_xlfn.XLOOKUP(K666,'Fevereiro 2023 - Valor Real'!A3:A15,'Fevereiro 2023 - Valor Real'!C3:C15,0))+1)),IF(I665="Lay",IF(I664="Lay",((L664/(L664-1)-1)*(1-_xlfn.XLOOKUP(K664,'Fevereiro 2023 - Valor Real'!A3:A15,'Fevereiro 2023 - Valor Real'!C3:C15,0))+1)/(((L664/(L664-1)-1)*(1-_xlfn.XLOOKUP(K664,'Fevereiro 2023 - Valor Real'!A3:A15,'Fevereiro 2023 - Valor Real'!C3:C15,0))+1)+((L665/(L665-1)-1)*(1-_xlfn.XLOOKUP(K665,'Fevereiro 2023 - Valor Real'!A3:A15,'Fevereiro 2023 - Valor Real'!C3:C15,0))+1)),((L664-1)*(1-_xlfn.XLOOKUP(K664,'Fevereiro 2023 - Valor Real'!A3:A15,'Fevereiro 2023 - Valor Real'!C3:C15,0))+1)/(((L664-1)*(1-_xlfn.XLOOKUP(K664,'Fevereiro 2023 - Valor Real'!A3:A15,'Fevereiro 2023 - Valor Real'!C3:C15,0))+1)+((L665/(L665-1)-1)*(1-_xlfn.XLOOKUP(K665,'Fevereiro 2023 - Valor Real'!A3:A15,'Fevereiro 2023 - Valor Real'!C3:C15,0))+1))),IF(I664="Lay",((L664/(L664-1)-1)*(1-_xlfn.XLOOKUP(K664,'Fevereiro 2023 - Valor Real'!A3:A15,'Fevereiro 2023 - Valor Real'!C3:C15,0))+1)/((((L664/(L664-1)-1)*(1-_xlfn.XLOOKUP(K664,'Fevereiro 2023 - Valor Real'!A3:A15,'Fevereiro 2023 - Valor Real'!C3:C15,0))+1))+((L665-1)*(1-_xlfn.XLOOKUP(K665,'Fevereiro 2023 - Valor Real'!A3:A15,'Fevereiro 2023 - Valor Real'!C3:C15,0))+1)),((L664-1)*(1-_xlfn.XLOOKUP(K664,'Fevereiro 2023 - Valor Real'!A3:A15,'Fevereiro 2023 - Valor Real'!C3:C15,0))+1)/(((L664-1)*(1-_xlfn.XLOOKUP(K664,'Fevereiro 2023 - Valor Real'!A3:A15,'Fevereiro 2023 - Valor Real'!C3:C15,0))+1)+((L665-1)*(1-_xlfn.XLOOKUP(K665,'Fevereiro 2023 - Valor Real'!A3:A15,'Fevereiro 2023 - Valor Real'!C3:C15,0))+1))))))</f>
        <v>0.2416225749559083</v>
      </c>
      <c r="AF665" s="66">
        <f t="shared" si="1342"/>
        <v>0</v>
      </c>
      <c r="AG665" s="67">
        <f t="shared" si="1342"/>
        <v>0</v>
      </c>
      <c r="AH665" s="67">
        <f t="shared" si="1342"/>
        <v>0</v>
      </c>
      <c r="AI665" s="67">
        <f t="shared" si="1342"/>
        <v>0</v>
      </c>
      <c r="AJ665" s="67">
        <f t="shared" si="1342"/>
        <v>168.76</v>
      </c>
      <c r="AK665" s="67">
        <f t="shared" si="1342"/>
        <v>0</v>
      </c>
      <c r="AL665" s="67">
        <f t="shared" si="1342"/>
        <v>0</v>
      </c>
      <c r="AM665" s="67">
        <f t="shared" si="1342"/>
        <v>0</v>
      </c>
      <c r="AN665" s="67">
        <f t="shared" si="1342"/>
        <v>0</v>
      </c>
      <c r="AO665" s="67">
        <f t="shared" si="1342"/>
        <v>0</v>
      </c>
      <c r="AP665" s="67">
        <f t="shared" si="1342"/>
        <v>0</v>
      </c>
      <c r="AQ665" s="67">
        <f t="shared" si="1342"/>
        <v>0</v>
      </c>
      <c r="AR665" s="68">
        <f t="shared" si="1342"/>
        <v>0</v>
      </c>
      <c r="AS665" s="66">
        <f>IF(AND($B664=" ",$K665=AS$3),$O665,0)</f>
        <v>0</v>
      </c>
      <c r="AT665" s="67">
        <f>IF(AND($B664=" ",K665=AT$3),$O665,0)</f>
        <v>0</v>
      </c>
      <c r="AU665" s="67">
        <f t="shared" ref="AU665:BE665" si="1346">IF(AND($B664=" ",$K665=AU$3),$O665,0)</f>
        <v>0</v>
      </c>
      <c r="AV665" s="67">
        <f t="shared" si="1346"/>
        <v>0</v>
      </c>
      <c r="AW665" s="67">
        <f t="shared" si="1346"/>
        <v>0</v>
      </c>
      <c r="AX665" s="67">
        <f t="shared" si="1346"/>
        <v>0</v>
      </c>
      <c r="AY665" s="69">
        <f t="shared" si="1346"/>
        <v>0</v>
      </c>
      <c r="AZ665" s="70">
        <f t="shared" si="1346"/>
        <v>0</v>
      </c>
      <c r="BA665" s="70">
        <f t="shared" si="1346"/>
        <v>0</v>
      </c>
      <c r="BB665" s="70">
        <f t="shared" si="1346"/>
        <v>0</v>
      </c>
      <c r="BC665" s="71">
        <f t="shared" si="1346"/>
        <v>0</v>
      </c>
      <c r="BD665" s="67">
        <f t="shared" si="1346"/>
        <v>0</v>
      </c>
      <c r="BE665" s="68">
        <f t="shared" si="1346"/>
        <v>0</v>
      </c>
      <c r="BF665" s="66">
        <f t="shared" si="1344"/>
        <v>0</v>
      </c>
      <c r="BG665" s="168">
        <f t="shared" si="1344"/>
        <v>0</v>
      </c>
      <c r="BH665" s="67">
        <f t="shared" si="1344"/>
        <v>0</v>
      </c>
      <c r="BI665" s="67">
        <f t="shared" si="1344"/>
        <v>0</v>
      </c>
      <c r="BJ665" s="67">
        <f t="shared" si="1344"/>
        <v>51.14</v>
      </c>
      <c r="BK665" s="67">
        <f t="shared" si="1344"/>
        <v>0</v>
      </c>
      <c r="BL665" s="67">
        <f t="shared" si="1344"/>
        <v>0</v>
      </c>
      <c r="BM665" s="69">
        <f t="shared" si="1344"/>
        <v>0</v>
      </c>
      <c r="BN665" s="70">
        <f t="shared" si="1344"/>
        <v>0</v>
      </c>
      <c r="BO665" s="70">
        <f t="shared" si="1344"/>
        <v>0</v>
      </c>
      <c r="BP665" s="70">
        <f t="shared" si="1344"/>
        <v>0</v>
      </c>
      <c r="BQ665" s="71">
        <f t="shared" si="1344"/>
        <v>0</v>
      </c>
      <c r="BR665" s="68">
        <f t="shared" si="1344"/>
        <v>0</v>
      </c>
      <c r="BS665" s="491"/>
      <c r="BT665" s="489"/>
      <c r="BU665" s="392"/>
      <c r="BV665" s="489"/>
      <c r="BW665" s="392"/>
      <c r="BX665" s="392"/>
      <c r="BY665" s="392"/>
      <c r="BZ665" s="489"/>
      <c r="CA665" s="392"/>
      <c r="CB665" s="392"/>
      <c r="CC665" s="392"/>
      <c r="CD665" s="401"/>
      <c r="CE665" s="409"/>
      <c r="CF665" s="169">
        <f t="shared" si="1285"/>
        <v>0</v>
      </c>
      <c r="CG665" s="170">
        <f t="shared" si="1286"/>
        <v>0</v>
      </c>
      <c r="CH665" s="170">
        <f t="shared" si="1287"/>
        <v>0</v>
      </c>
      <c r="CI665" s="170">
        <f t="shared" si="1288"/>
        <v>0</v>
      </c>
      <c r="CJ665" s="170">
        <f t="shared" si="1289"/>
        <v>0</v>
      </c>
      <c r="CK665" s="170">
        <f t="shared" si="1290"/>
        <v>0</v>
      </c>
      <c r="CL665" s="170">
        <f t="shared" si="1291"/>
        <v>0</v>
      </c>
      <c r="CM665" s="170">
        <f t="shared" si="1292"/>
        <v>0</v>
      </c>
      <c r="CN665" s="170">
        <f t="shared" si="1293"/>
        <v>1</v>
      </c>
      <c r="CO665" s="170">
        <f t="shared" si="1294"/>
        <v>0</v>
      </c>
      <c r="CP665" s="170">
        <f t="shared" si="1295"/>
        <v>0</v>
      </c>
      <c r="CQ665" s="170">
        <f t="shared" si="1296"/>
        <v>0</v>
      </c>
      <c r="CR665" s="170">
        <f t="shared" si="1297"/>
        <v>0</v>
      </c>
      <c r="CS665" s="170">
        <f t="shared" si="1298"/>
        <v>0</v>
      </c>
      <c r="CT665" s="75">
        <f t="shared" si="1299"/>
        <v>0</v>
      </c>
      <c r="CU665" s="76">
        <f t="shared" si="1300"/>
        <v>0</v>
      </c>
      <c r="CV665" s="76">
        <f t="shared" si="1301"/>
        <v>0</v>
      </c>
      <c r="CW665" s="76">
        <f t="shared" si="1302"/>
        <v>0</v>
      </c>
      <c r="CX665" s="76">
        <f t="shared" si="1303"/>
        <v>0</v>
      </c>
      <c r="CY665" s="76">
        <f t="shared" si="1304"/>
        <v>0</v>
      </c>
      <c r="CZ665" s="76">
        <f t="shared" si="1305"/>
        <v>0</v>
      </c>
      <c r="DA665" s="76">
        <f t="shared" si="1306"/>
        <v>0</v>
      </c>
      <c r="DB665" s="76">
        <f t="shared" si="1307"/>
        <v>0</v>
      </c>
      <c r="DC665" s="76">
        <f t="shared" si="1308"/>
        <v>0</v>
      </c>
      <c r="DD665" s="76">
        <f t="shared" si="1309"/>
        <v>0</v>
      </c>
      <c r="DE665" s="77">
        <f t="shared" si="1310"/>
        <v>0</v>
      </c>
      <c r="DF665" s="73">
        <f t="shared" si="1312"/>
        <v>39</v>
      </c>
      <c r="DG665" s="67">
        <f t="shared" si="1313"/>
        <v>51.577999999999996</v>
      </c>
      <c r="DH665" s="76">
        <f t="shared" si="1314"/>
        <v>15</v>
      </c>
      <c r="DI665" s="67">
        <f t="shared" si="1315"/>
        <v>64.349999999999994</v>
      </c>
      <c r="DJ665" s="202" t="str">
        <f>IF($D664="","",$D664)</f>
        <v>21</v>
      </c>
      <c r="DK665" s="493"/>
    </row>
    <row r="666" spans="1:115" ht="14.5" customHeight="1" x14ac:dyDescent="0.2">
      <c r="A666" s="390"/>
      <c r="B666" s="457"/>
      <c r="C666" s="79" t="s">
        <v>53</v>
      </c>
      <c r="D666" s="375"/>
      <c r="E666" s="387"/>
      <c r="F666" s="378"/>
      <c r="G666" s="508"/>
      <c r="H666" s="477"/>
      <c r="I666" s="171"/>
      <c r="J666" s="172"/>
      <c r="K666" s="81"/>
      <c r="L666" s="173"/>
      <c r="M666" s="174"/>
      <c r="N666" s="407"/>
      <c r="O666" s="86" t="str">
        <f>IF(OR(AE664="",AE665=""),"",IF(L666&gt;0,ROUND(IF(M666&gt;0,M666,IF(M664&gt;0,ROUND((M664*AE666)/AE664,IF(N664=0,2,IF(N664=0.1,1,0))),IF(M665&gt;0,ROUND((M665*AE666)/AE665,IF(N664=0,2,IF(N664=0.1,1,0))),IF(M666&gt;0,M666,0)))),2),""))</f>
        <v/>
      </c>
      <c r="P666" s="87" t="str">
        <f>IF(I665="Lay",O665*(L665/(L665-1))-O665,IF(I664="Lay",O664*(L664/(L664-1))-O664,IF(OR(L666="",O666=""),"",IF($C666="1/2W",O666/2+O666/2*L666,IF($C666="1/2L",O666/2,(O666*L666-O666)*(1-_xlfn.XLOOKUP(K666,'Fevereiro 2023 - Valor Real'!A3:A15,'Fevereiro 2023 - Valor Real'!C3:C15,0))+O666)))))</f>
        <v/>
      </c>
      <c r="Q666" s="54" t="str">
        <f>IF(K666="","",IF(_xlfn.XLOOKUP(K666,K$11:K656,$DJ$11:DJ656,0,,-1)=DJ666,_xlfn.XLOOKUP(K666,K$11:K656,Q$11:Q656,1,,-1)+1,1))</f>
        <v/>
      </c>
      <c r="R666" s="87" t="str">
        <f>IF(K666="","",_xlfn.XLOOKUP(K666,K$11:K656,R$11:R656,0,,-1)+IF($C666=" ",1,0))</f>
        <v/>
      </c>
      <c r="S666" s="404"/>
      <c r="T666" s="378"/>
      <c r="U666" s="378"/>
      <c r="V666" s="404"/>
      <c r="W666" s="378"/>
      <c r="X666" s="453"/>
      <c r="Y666" s="383"/>
      <c r="Z666" s="384"/>
      <c r="AA666" s="384"/>
      <c r="AB666" s="384"/>
      <c r="AC666" s="384"/>
      <c r="AD666" s="90"/>
      <c r="AE666" s="91" t="str">
        <f>IF(L666="","",(SUM(((L664-1)*(1-_xlfn.XLOOKUP(K664,'Fevereiro 2023 - Valor Real'!A3:A15,'Fevereiro 2023 - Valor Real'!C3:C15,0))+1),((L665-1)*(1-_xlfn.XLOOKUP(K665,'Fevereiro 2023 - Valor Real'!A3:A15,'Fevereiro 2023 - Valor Real'!C3:C15,0))+1),((L666-1)*(1-_xlfn.XLOOKUP(K666,'Fevereiro 2023 - Valor Real'!A3:A15,'Fevereiro 2023 - Valor Real'!C3:C15,0))+1))/((L666-1)*(1-_xlfn.XLOOKUP(K666,'Fevereiro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Real'!C3:C15,0))+1))/((L664-1)*(1-_xlfn.XLOOKUP(K664,'Fevereiro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Real'!C3:C15,0))+1))/((L665-1)*(1-_xlfn.XLOOKUP(K665,'Fevereiro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Real'!C3:C15,0))+1))/((L666-1)*(1-_xlfn.XLOOKUP(K666,'Fevereiro 2023 - Valor Real'!A3:A15,'Fevereiro 2023 - Valor Real'!C3:C15,0))+1)))</f>
        <v/>
      </c>
      <c r="AF666" s="66">
        <f t="shared" si="1342"/>
        <v>0</v>
      </c>
      <c r="AG666" s="67">
        <f t="shared" si="1342"/>
        <v>0</v>
      </c>
      <c r="AH666" s="67">
        <f t="shared" si="1342"/>
        <v>0</v>
      </c>
      <c r="AI666" s="67">
        <f t="shared" si="1342"/>
        <v>0</v>
      </c>
      <c r="AJ666" s="67">
        <f t="shared" si="1342"/>
        <v>0</v>
      </c>
      <c r="AK666" s="67">
        <f t="shared" si="1342"/>
        <v>0</v>
      </c>
      <c r="AL666" s="67">
        <f t="shared" si="1342"/>
        <v>0</v>
      </c>
      <c r="AM666" s="67">
        <f t="shared" si="1342"/>
        <v>0</v>
      </c>
      <c r="AN666" s="67">
        <f t="shared" si="1342"/>
        <v>0</v>
      </c>
      <c r="AO666" s="67">
        <f t="shared" si="1342"/>
        <v>0</v>
      </c>
      <c r="AP666" s="67">
        <f t="shared" si="1342"/>
        <v>0</v>
      </c>
      <c r="AQ666" s="67">
        <f t="shared" si="1342"/>
        <v>0</v>
      </c>
      <c r="AR666" s="68">
        <f t="shared" si="1342"/>
        <v>0</v>
      </c>
      <c r="AS666" s="66">
        <f>IF(AND($B664=" ",$K666=AS$3),$O666,0)</f>
        <v>0</v>
      </c>
      <c r="AT666" s="67">
        <f>IF(AND($B664=" ",K666=AT$3),$O666,0)</f>
        <v>0</v>
      </c>
      <c r="AU666" s="67">
        <f t="shared" ref="AU666:BE666" si="1347">IF(AND($B664=" ",$K666=AU$3),$O666,0)</f>
        <v>0</v>
      </c>
      <c r="AV666" s="67">
        <f t="shared" si="1347"/>
        <v>0</v>
      </c>
      <c r="AW666" s="67">
        <f t="shared" si="1347"/>
        <v>0</v>
      </c>
      <c r="AX666" s="67">
        <f t="shared" si="1347"/>
        <v>0</v>
      </c>
      <c r="AY666" s="69">
        <f t="shared" si="1347"/>
        <v>0</v>
      </c>
      <c r="AZ666" s="70">
        <f t="shared" si="1347"/>
        <v>0</v>
      </c>
      <c r="BA666" s="70">
        <f t="shared" si="1347"/>
        <v>0</v>
      </c>
      <c r="BB666" s="70">
        <f t="shared" si="1347"/>
        <v>0</v>
      </c>
      <c r="BC666" s="71">
        <f t="shared" si="1347"/>
        <v>0</v>
      </c>
      <c r="BD666" s="67">
        <f t="shared" si="1347"/>
        <v>0</v>
      </c>
      <c r="BE666" s="68">
        <f t="shared" si="1347"/>
        <v>0</v>
      </c>
      <c r="BF666" s="66">
        <f t="shared" si="1344"/>
        <v>0</v>
      </c>
      <c r="BG666" s="168">
        <f t="shared" si="1344"/>
        <v>0</v>
      </c>
      <c r="BH666" s="67">
        <f t="shared" si="1344"/>
        <v>0</v>
      </c>
      <c r="BI666" s="67">
        <f t="shared" si="1344"/>
        <v>0</v>
      </c>
      <c r="BJ666" s="67">
        <f t="shared" si="1344"/>
        <v>0</v>
      </c>
      <c r="BK666" s="67">
        <f t="shared" si="1344"/>
        <v>0</v>
      </c>
      <c r="BL666" s="67">
        <f t="shared" si="1344"/>
        <v>0</v>
      </c>
      <c r="BM666" s="69">
        <f t="shared" si="1344"/>
        <v>0</v>
      </c>
      <c r="BN666" s="70">
        <f t="shared" si="1344"/>
        <v>0</v>
      </c>
      <c r="BO666" s="70">
        <f t="shared" si="1344"/>
        <v>0</v>
      </c>
      <c r="BP666" s="70">
        <f t="shared" si="1344"/>
        <v>0</v>
      </c>
      <c r="BQ666" s="71">
        <f t="shared" si="1344"/>
        <v>0</v>
      </c>
      <c r="BR666" s="68">
        <f t="shared" si="1344"/>
        <v>0</v>
      </c>
      <c r="BS666" s="491"/>
      <c r="BT666" s="489"/>
      <c r="BU666" s="392"/>
      <c r="BV666" s="489"/>
      <c r="BW666" s="392"/>
      <c r="BX666" s="392"/>
      <c r="BY666" s="392"/>
      <c r="BZ666" s="489"/>
      <c r="CA666" s="392"/>
      <c r="CB666" s="392"/>
      <c r="CC666" s="392"/>
      <c r="CD666" s="401"/>
      <c r="CE666" s="409"/>
      <c r="CF666" s="169">
        <f t="shared" si="1285"/>
        <v>0</v>
      </c>
      <c r="CG666" s="170">
        <f t="shared" si="1286"/>
        <v>0</v>
      </c>
      <c r="CH666" s="170">
        <f t="shared" si="1287"/>
        <v>0</v>
      </c>
      <c r="CI666" s="170">
        <f t="shared" si="1288"/>
        <v>0</v>
      </c>
      <c r="CJ666" s="170">
        <f t="shared" si="1289"/>
        <v>0</v>
      </c>
      <c r="CK666" s="170">
        <f t="shared" si="1290"/>
        <v>0</v>
      </c>
      <c r="CL666" s="170">
        <f t="shared" si="1291"/>
        <v>0</v>
      </c>
      <c r="CM666" s="170">
        <f t="shared" si="1292"/>
        <v>0</v>
      </c>
      <c r="CN666" s="170">
        <f t="shared" si="1293"/>
        <v>0</v>
      </c>
      <c r="CO666" s="170">
        <f t="shared" si="1294"/>
        <v>0</v>
      </c>
      <c r="CP666" s="170">
        <f t="shared" si="1295"/>
        <v>0</v>
      </c>
      <c r="CQ666" s="170">
        <f t="shared" si="1296"/>
        <v>0</v>
      </c>
      <c r="CR666" s="170">
        <f t="shared" si="1297"/>
        <v>0</v>
      </c>
      <c r="CS666" s="170">
        <f t="shared" si="1298"/>
        <v>0</v>
      </c>
      <c r="CT666" s="75">
        <f t="shared" si="1299"/>
        <v>0</v>
      </c>
      <c r="CU666" s="76">
        <f t="shared" si="1300"/>
        <v>0</v>
      </c>
      <c r="CV666" s="76">
        <f t="shared" si="1301"/>
        <v>0</v>
      </c>
      <c r="CW666" s="76">
        <f t="shared" si="1302"/>
        <v>0</v>
      </c>
      <c r="CX666" s="76">
        <f t="shared" si="1303"/>
        <v>0</v>
      </c>
      <c r="CY666" s="76">
        <f t="shared" si="1304"/>
        <v>0</v>
      </c>
      <c r="CZ666" s="76">
        <f t="shared" si="1305"/>
        <v>0</v>
      </c>
      <c r="DA666" s="76">
        <f t="shared" si="1306"/>
        <v>0</v>
      </c>
      <c r="DB666" s="76">
        <f t="shared" si="1307"/>
        <v>0</v>
      </c>
      <c r="DC666" s="76">
        <f t="shared" si="1308"/>
        <v>0</v>
      </c>
      <c r="DD666" s="76">
        <f t="shared" si="1309"/>
        <v>0</v>
      </c>
      <c r="DE666" s="77">
        <f t="shared" si="1310"/>
        <v>0</v>
      </c>
      <c r="DF666" s="73">
        <f t="shared" si="1312"/>
        <v>39</v>
      </c>
      <c r="DG666" s="67">
        <f t="shared" si="1313"/>
        <v>51.577999999999996</v>
      </c>
      <c r="DH666" s="76">
        <f t="shared" si="1314"/>
        <v>15</v>
      </c>
      <c r="DI666" s="67">
        <f t="shared" si="1315"/>
        <v>64.349999999999994</v>
      </c>
      <c r="DJ666" s="202" t="str">
        <f>IF($D664="","",$D664)</f>
        <v>21</v>
      </c>
      <c r="DK666" s="493"/>
    </row>
    <row r="667" spans="1:115" ht="14.5" customHeight="1" x14ac:dyDescent="0.2">
      <c r="A667" s="459">
        <f>$A664+1</f>
        <v>222</v>
      </c>
      <c r="B667" s="507" t="str">
        <f>IF(OR(C667="W",C668="W",C669="W",C667="1/2W",C668="1/2W",C669="1/2W",C667="1/2L",C668="1/2L",C669="1/2L"),"OK",IF(OR(C667="L",C668="L",C669="L"),"LOSS",IF(OR(C667="X",C668="X",C669="X"),"Anulado"," ")))</f>
        <v>OK</v>
      </c>
      <c r="C667" s="93" t="s">
        <v>55</v>
      </c>
      <c r="D667" s="468" t="str">
        <f>IF(G667="","",$D664)</f>
        <v>21</v>
      </c>
      <c r="E667" s="485" t="str">
        <f>IF(G667=""," ","– "&amp;COUNTIF(D$4:D669,$D667))</f>
        <v>– 18</v>
      </c>
      <c r="F667" s="509" t="str">
        <f ca="1">IF(G667="","",IF(OR(AND($C667&lt;&gt;" ",$C668=" "),AND($C668&lt;&gt;" ",$C667=" "),AND(L669&gt;0,OR(AND($C669&lt;&gt;" ",OR($C667=" ",$C668=" ")),AND($C669=" ",OR($C667&lt;&gt;" ",$C668&lt;&gt;" "))))),IF(SUM(F$4:F666)=0,1,LARGE(F$4:F666,1)+1),IF(MONTH(G667)=MONTH(TODAY()),IF(AND(DAY(G667)&lt;DAY(TODAY()),$B667=" "),IF(SUM(F$4:F666)=0,1,LARGE(F$4:F666,1)+1),IF($B667=" ",IF(AND(DAY(G667)=DAY(TODAY()),HOUR(G667)&lt;=HOUR(NOW())+1),IF(AND(HOUR(G667)+2&lt;=HOUR(NOW()),DAY(G667)&lt;=DAY(TODAY()),MINUTE(G667)&lt;=MINUTE(NOW())),IF(SUM(F$4:F666)=0,1,LARGE(F$4:F666,1)+1),IF(OR(MINUTE(G667)&lt;=MINUTE(NOW()),HOUR(G667)&lt;=HOUR(NOW())),"!!!","")),""),"")),"")))</f>
        <v/>
      </c>
      <c r="G667" s="482">
        <v>45009.416666666664</v>
      </c>
      <c r="H667" s="475" t="s">
        <v>241</v>
      </c>
      <c r="I667" s="175">
        <v>1</v>
      </c>
      <c r="J667" s="176"/>
      <c r="K667" s="96" t="s">
        <v>47</v>
      </c>
      <c r="L667" s="97">
        <v>1.95</v>
      </c>
      <c r="M667" s="98">
        <v>137.58000000000001</v>
      </c>
      <c r="N667" s="478">
        <v>1</v>
      </c>
      <c r="O667" s="99">
        <f>IF(OR(AE667="",AE668=""),"",ROUND(IF(L669&gt;0,IF(M667&gt;0,M667,IF(M668&gt;0,ROUND((M668*AE667)/AE668,IF(N667=0,2,IF(N667=0.1,1,0))),ROUND((M669*AE667)/AE669,IF(N667=0,2,IF(N667=0.1,1,0))))),IF(M667&gt;0,M667,ROUND((M668*AE667)/AE668,IF(N667=0,2,IF(N667=0.1,1,0))))),2))</f>
        <v>137.58000000000001</v>
      </c>
      <c r="P667" s="100">
        <f>IF(OR(L667="",O667=""),"",IF($C667="1/2W",O667/2+O667/2*L667,IF($C667="1/2L",O667/2,IF(I667="Lay",(O667*(L667/(L667-1))-O667)*(1-_xlfn.XLOOKUP(K667,'Fevereiro 2023 - Valor Real'!A3:A15,'Fevereiro 2023 - Valor Real'!C3:C15,0))+O667,(O667*L667-O667)*(1-_xlfn.XLOOKUP(K667,'Fevereiro 2023 - Valor Real'!A3:A15,'Fevereiro 2023 - Valor Real'!C3:C15,0))+O667))))</f>
        <v>268.28100000000001</v>
      </c>
      <c r="Q667" s="101">
        <f>IF(K667="","",IF(_xlfn.XLOOKUP(K667,K$4:K666,$DJ$4:DJ666,0,,-1)=DJ667,_xlfn.XLOOKUP(K667,K$4:K666,Q$4:Q666,1,,-1)+1,1))</f>
        <v>7</v>
      </c>
      <c r="R667" s="102">
        <f>IF(K667="","",_xlfn.XLOOKUP(K667,K$4:K666,R$4:R666,0,,-1)+IF($C667=" ",1,0))</f>
        <v>0</v>
      </c>
      <c r="S667" s="474">
        <f>IF($B667="Anulado",0,ROUND(IF(OR($B667="LOSS",$B667="OK"),IF(OR($C667="W",$C667="1/2W",$C667="1/2L"),P667-O667,IF($C667="L",-O667,0))+IF(OR($C668="W",$C668="1/2W",$C668="1/2L"),P668-O668,IF($C668="L",-O668,0))+IF(OR($C669="W",$C669="1/2W",$C669="1/2L"),P669-O669,IF($C669="L",-O669,0)),IF(AND(OR($C667="W",$C667="1/2W",$C667="1/2L"),C668="W"),P667+P668-SUM(O667:O669)+_xlfn.XLOOKUP("X",C667:C669,O667:O669,0),IF(AND(C667=TRUE,C669="W"),P667+P669-SUM(O667:O669),IF(AND(C668="W",C669="W"),P668+P669-SUM(O667:O669)+_xlfn.XLOOKUP("X",C667:C669,O667:O669,0),IF(L669&gt;0,IF(OR($C667="W",$C667="1/2W",$C667="1/2L"),P667-SUM(O667:O669)+_xlfn.XLOOKUP("X",C667:C669,O667:O669,0),IF(OR($C667="W",$C667="1/2W",$C667="1/2L"),P668-SUM(O667:O669)+_xlfn.XLOOKUP("X",C667:C669,O667:O669,0),IF(OR($C667="W",$C667="1/2W",$C667="1/2L"),P669-SUM(O667:O669)+_xlfn.XLOOKUP("X",C667:C669,O667:O669,0),IF(SUM(P667:P669)/3-SUM(O667:O669)+_xlfn.XLOOKUP("X",C667:C669,O667:O669,0)&gt;0,SUM(P667:P669)/3-SUM(O667:O669)+_xlfn.XLOOKUP("X",C667:C669,O667:O669,0),LARGE(P667:P669,1)-SUM(O667:O669))))),IF(OR($C667="W",$C667="1/2W",$C667="1/2L"),P667-SUM(O667:O668)+_xlfn.XLOOKUP("X",C667:C669,O667:O669,0),IF(OR($C667="W",$C667="1/2W",$C667="1/2L"),P668-SUM(O667:O668)+_xlfn.XLOOKUP("X",C667:C669,O667:O669,0),SUM(P667:P668)/2-SUM(O667:O668)+_xlfn.XLOOKUP("X",C667:C669,O667:O669,0)))))))),2))</f>
        <v>8.66</v>
      </c>
      <c r="T667" s="458">
        <f>IF(S667=0,0,S667/SUM(O667:O669))</f>
        <v>3.3361584097388083E-2</v>
      </c>
      <c r="U667" s="470">
        <f>IF($D667=$D664,IF(OR($B667="LOSS",$B667="OK",$B667="Anulada"),S667,0)+U664,IF(OR($B667="LOSS",$B667="OK",$B667="Anulada"),S667,0))</f>
        <v>84</v>
      </c>
      <c r="V667" s="470">
        <f>IF($D667="",0,IF($D667=$D664,IF($B667=" ",IF(I669="",IF(OR(AND(I667="DNB1",I668="DNB2"),AND(OR(I667="DNB1",I667="DNB2"),J668=0),AND(OR(I668="DNB1",I668="DNB2"),J667=0),AND(I667="DNB2",I668="DNB1"),AND(IF(J667=0,(J667+1)/ROUND(J667+1,0),J667/ROUND(J667,0))=1,IF(J668=0,(J668+1)/ROUND(IF(J668="",0,J668)+1,0),IF(J668="",0,J668)/ROUND(IF(J668="",1,J668),0))=1,OR(J667&lt;&gt;""),J668&lt;&gt;"")),0,IF(S667&lt;0,IF(I669="",SMALL(P667:P668,1)-SUM(O667:O668),0),SMALL(P667:P668,1)-SUM(O667:O668))),IF(S667&lt;0,IF(I669="",SMALL(P667:P669,1)-SUM(O667:O669),0),LARGE(P667:P669,1)-SUM(O667:O669))),S667)+V664,IF(I669="",IF(OR(AND(I667="DNB1",I668="DNB2"),AND(OR(I667="DNB1",I667="DNB2"),J668=0),AND(OR(I668="DNB1",I668="DNB2"),J667=0),AND(I667="DNB2",I668="DNB1"),AND(IF(J667=0,(J667+1)/ROUND(J667+1,0),J667/ROUND(J667,0))=1,IF(J668=0,(IF(J668="",0,J668)+1)/ROUND(IF(J668="",0,J668)+1,0),IF(J668="",0,J668)/ROUND(IF(J668="",0,J668)+1,0))=1,OR(J667&lt;&gt;""),J668&lt;&gt;"")),0,IF(S667&lt;0,IF(I669="",SMALL(P667:P668,1)-SUM(O667:O668),0),SMALL(P667:P669,1)-SUM(O667:O669))),IF(S667&lt;0,IF(I669="",SMALL(P667:P669,1)-SUM(O667:O669),0),LARGE(P667:P669,1)-SUM(O667:O669)))))</f>
        <v>83.998000000000005</v>
      </c>
      <c r="W667" s="470">
        <f>IF($D667=$D664,IF(S667&lt;0,IF(I669="",S667,0),S667)+W664,S667)</f>
        <v>84</v>
      </c>
      <c r="X667" s="480" t="str">
        <f>IF(OR(SUM(R667:R669)=0,V667=W667),ROUND(IF(W667=0,0,W667/Y667)*100,2)&amp;"%",ROUND(IF(V667=0,0,V667/Y667)*100,2)&amp;"% a "&amp;ROUND(IF(W667=0,0,W667/Y667)*100,2)&amp;"%")</f>
        <v>7,21%</v>
      </c>
      <c r="Y667" s="471">
        <f>IF($D667=$D664,Y664+SUM(O667:O669),SUM(O667:O669))</f>
        <v>1165.27</v>
      </c>
      <c r="Z667" s="470">
        <f>IF($B667=" ",SUM(O667:O669),0)+Z664</f>
        <v>0</v>
      </c>
      <c r="AA667" s="470">
        <f>IF(G667="","",IF($B667="Anulado",LARGE(P667:P669,1)-SUM(O667:O669)+AA664,AA664))</f>
        <v>13.381099999999991</v>
      </c>
      <c r="AB667" s="470">
        <f>IF($D667="","",AB664+S667)</f>
        <v>761.63000000000045</v>
      </c>
      <c r="AC667" s="472">
        <f ca="1">IF($D667="","",IF($B667=" ",IF(DAY(G667)=DAY(TODAY()),1+AC664,0+AC664),0+AC664))</f>
        <v>0</v>
      </c>
      <c r="AD667" s="103">
        <f>(((L668/(L668-1)-1)*(1-_xlfn.XLOOKUP(K668,'Fevereiro 2023 - Valor Real'!A3:A15,'Fevereiro 2023 - Valor Real'!C3:C15,0))+1))/(((L667-1)*(1-_xlfn.XLOOKUP(K667,'Fevereiro 2023 - Valor Real'!A3:A15,'Fevereiro 2023 - Valor Real'!C3:C15,0))+1)+((L668/(L668-1)-1)*(1-_xlfn.XLOOKUP(K668,'Fevereiro 2023 - Valor Real'!A3:A15,'Fevereiro 2023 - Valor Real'!C3:C15,0))+1))</f>
        <v>0.52997527812113721</v>
      </c>
      <c r="AE667" s="104">
        <f>IF(L667="","",IF(L669&gt;0,(SUM(((L667-1)*(1-_xlfn.XLOOKUP(K667,'Fevereiro 2023 - Valor Real'!A3:A15,'Fevereiro 2023 - Valor Real'!C3:C15,0))+1),((L668-1)*(1-_xlfn.XLOOKUP(K668,'Fevereiro 2023 - Valor Real'!A3:A15,'Fevereiro 2023 - Valor Real'!C3:C15,0))+1),((L669-1)*(1-_xlfn.XLOOKUP(K669,'Fevereiro 2023 - Valor Real'!A3:A15,'Fevereiro 2023 - Valor Real'!C3:C15,0))+1))/((L667-1)*(1-_xlfn.XLOOKUP(K667,'Fevereiro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Real'!C3:C15,0))+1))/((L667-1)*(1-_xlfn.XLOOKUP(K667,'Fevereiro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Real'!C3:C15,0))+1))/((L668-1)*(1-_xlfn.XLOOKUP(K668,'Fevereiro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Real'!C3:C15,0))+1))/((L669-1)*(1-_xlfn.XLOOKUP(K669,'Fevereiro 2023 - Valor Real'!A3:A15,'Fevereiro 2023 - Valor Real'!C3:C15,0))+1)),IF(I667="Lay",IF(I668="Lay",((L668/(L668-1)-1)*(1-_xlfn.XLOOKUP(K668,'Fevereiro 2023 - Valor Real'!A3:A15,'Fevereiro 2023 - Valor Real'!C3:C15,0))+1)/(((L668/(L668-1)-1)*(1-_xlfn.XLOOKUP(K668,'Fevereiro 2023 - Valor Real'!A3:A15,'Fevereiro 2023 - Valor Real'!C3:C15,0))+1)+((L667/(L667-1)-1)*(1-_xlfn.XLOOKUP(K667,'Fevereiro 2023 - Valor Real'!A3:A15,'Fevereiro 2023 - Valor Real'!C3:C15,0))+1)),((L668-1)*(1-_xlfn.XLOOKUP(K668,'Fevereiro 2023 - Valor Real'!A3:A15,'Fevereiro 2023 - Valor Real'!C3:C15,0))+1)/(((L668-1)*(1-_xlfn.XLOOKUP(K668,'Fevereiro 2023 - Valor Real'!A3:A15,'Fevereiro 2023 - Valor Real'!C3:C15,0))+1)+((L667/(L667-1)-1)*(1-_xlfn.XLOOKUP(K667,'Fevereiro 2023 - Valor Real'!A3:A15,'Fevereiro 2023 - Valor Real'!C3:C15,0))+1))),IF(I668="Lay",(((L668/(L668-1)-1)*(1-_xlfn.XLOOKUP(K668,'Fevereiro 2023 - Valor Real'!A3:A15,'Fevereiro 2023 - Valor Real'!C3:C15,0))+1))/(((L667-1)*(1-_xlfn.XLOOKUP(K667,'Fevereiro 2023 - Valor Real'!A3:A15,'Fevereiro 2023 - Valor Real'!C3:C15,0))+1)+((L668/(L668-1)-1)*(1-_xlfn.XLOOKUP(K668,'Fevereiro 2023 - Valor Real'!A3:A15,'Fevereiro 2023 - Valor Real'!C3:C15,0))+1)),((L668-1)*(1-_xlfn.XLOOKUP(K668,'Fevereiro 2023 - Valor Real'!A3:A15,'Fevereiro 2023 - Valor Real'!C3:C15,0))+1)/(((L668-1)*(1-_xlfn.XLOOKUP(K668,'Fevereiro 2023 - Valor Real'!A3:A15,'Fevereiro 2023 - Valor Real'!C3:C15,0))+1)+((L667-1)*(1-_xlfn.XLOOKUP(K667,'Fevereiro 2023 - Valor Real'!A3:A15,'Fevereiro 2023 - Valor Real'!C3:C15,0))+1))))))</f>
        <v>0.52997527812113721</v>
      </c>
      <c r="AF667" s="105">
        <f t="shared" si="1342"/>
        <v>0</v>
      </c>
      <c r="AG667" s="106">
        <f t="shared" si="1342"/>
        <v>0</v>
      </c>
      <c r="AH667" s="106">
        <f t="shared" si="1342"/>
        <v>0</v>
      </c>
      <c r="AI667" s="106">
        <f t="shared" si="1342"/>
        <v>0</v>
      </c>
      <c r="AJ667" s="106">
        <f t="shared" si="1342"/>
        <v>0</v>
      </c>
      <c r="AK667" s="106">
        <f t="shared" si="1342"/>
        <v>0</v>
      </c>
      <c r="AL667" s="106">
        <f t="shared" si="1342"/>
        <v>0</v>
      </c>
      <c r="AM667" s="106">
        <f t="shared" si="1342"/>
        <v>0</v>
      </c>
      <c r="AN667" s="106">
        <f t="shared" si="1342"/>
        <v>0</v>
      </c>
      <c r="AO667" s="106">
        <f t="shared" si="1342"/>
        <v>0</v>
      </c>
      <c r="AP667" s="106">
        <f t="shared" si="1342"/>
        <v>0</v>
      </c>
      <c r="AQ667" s="106">
        <f t="shared" si="1342"/>
        <v>-137.58000000000001</v>
      </c>
      <c r="AR667" s="107">
        <f t="shared" si="1342"/>
        <v>0</v>
      </c>
      <c r="AS667" s="105">
        <f t="shared" ref="AS667:BE667" si="1348">IF(AND($B667=" ",$K667=AS$3),$O667,0)</f>
        <v>0</v>
      </c>
      <c r="AT667" s="106">
        <f t="shared" si="1348"/>
        <v>0</v>
      </c>
      <c r="AU667" s="106">
        <f t="shared" si="1348"/>
        <v>0</v>
      </c>
      <c r="AV667" s="106">
        <f t="shared" si="1348"/>
        <v>0</v>
      </c>
      <c r="AW667" s="106">
        <f t="shared" si="1348"/>
        <v>0</v>
      </c>
      <c r="AX667" s="106">
        <f t="shared" si="1348"/>
        <v>0</v>
      </c>
      <c r="AY667" s="108">
        <f t="shared" si="1348"/>
        <v>0</v>
      </c>
      <c r="AZ667" s="109">
        <f t="shared" si="1348"/>
        <v>0</v>
      </c>
      <c r="BA667" s="109">
        <f t="shared" si="1348"/>
        <v>0</v>
      </c>
      <c r="BB667" s="109">
        <f t="shared" si="1348"/>
        <v>0</v>
      </c>
      <c r="BC667" s="110">
        <f t="shared" si="1348"/>
        <v>0</v>
      </c>
      <c r="BD667" s="106">
        <f t="shared" si="1348"/>
        <v>0</v>
      </c>
      <c r="BE667" s="107">
        <f t="shared" si="1348"/>
        <v>0</v>
      </c>
      <c r="BF667" s="111">
        <f t="shared" si="1344"/>
        <v>0</v>
      </c>
      <c r="BG667" s="106">
        <f t="shared" si="1344"/>
        <v>0</v>
      </c>
      <c r="BH667" s="106">
        <f t="shared" si="1344"/>
        <v>0</v>
      </c>
      <c r="BI667" s="106">
        <f t="shared" si="1344"/>
        <v>0</v>
      </c>
      <c r="BJ667" s="106">
        <f t="shared" si="1344"/>
        <v>0</v>
      </c>
      <c r="BK667" s="106">
        <f t="shared" si="1344"/>
        <v>0</v>
      </c>
      <c r="BL667" s="106">
        <f t="shared" si="1344"/>
        <v>0</v>
      </c>
      <c r="BM667" s="108">
        <f t="shared" si="1344"/>
        <v>0</v>
      </c>
      <c r="BN667" s="109">
        <f t="shared" si="1344"/>
        <v>0</v>
      </c>
      <c r="BO667" s="109">
        <f t="shared" si="1344"/>
        <v>0</v>
      </c>
      <c r="BP667" s="109">
        <f t="shared" si="1344"/>
        <v>0</v>
      </c>
      <c r="BQ667" s="110">
        <f t="shared" si="1344"/>
        <v>137.58000000000001</v>
      </c>
      <c r="BR667" s="107">
        <f t="shared" si="1344"/>
        <v>0</v>
      </c>
      <c r="BS667" s="463">
        <f>IF($B667="LOSS",IF(AND($K667=BS$3,$C667="L"),-$O667,0)+IF(AND($K668=BS$3,$C668="L"),-$O668,0)+IF(AND($K669=BS$3,$C669="L"),-$O669,0),IF(OR(AND($K667=BS$3,OR($C667="W",$C667="1/2W")),AND($K668=BS$3,OR($C668="W",$C668="1/2W")),AND($K669=BS$3,OR($C669="W",$C669="1/2W"))),$S667,0))</f>
        <v>0</v>
      </c>
      <c r="BT667" s="462">
        <f>IF($B667="LOSS",IF(AND($K667=BT$3,$C667="L"),-$O667,0)+IF(AND($K668=BT$3,$C668="L"),-$O668,0)+IF(AND($K668=BT$3,$C669="L"),-$O669,0),IF(OR(AND($K668=BT$3,OR($C667="W",$C667="1/2W")),AND($K668=BT$3,OR($C668="W",$C668="1/2W")),AND($K668=BT$3,OR($C669="W",$C669="1/2W"))),$S667,0))</f>
        <v>0</v>
      </c>
      <c r="BU667" s="462">
        <f>IF($B667="LOSS",IF(AND($K667=BU$3,$C667="L"),-$O667,0)+IF(AND($K668=BU$3,$C668="L"),-$O668,0)+IF(AND($K668=BU$3,$C669="L"),-$O669,0),IF(OR(AND($K668=BU$3,OR($C667="W",$C667="1/2W")),AND($K668=BU$3,OR($C668="W",$C668="1/2W")),AND($K668=BU$3,OR($C669="W",$C669="1/2W"))),$S667,0))</f>
        <v>8.66</v>
      </c>
      <c r="BV667" s="462">
        <f t="shared" ref="BV667:CE667" si="1349">IF($B667="LOSS",IF(AND($K667=BV$3,$C667="L"),-$O667,0)+IF(AND($K668=BV$3,$C668="L"),-$O668,0)+IF(AND($K669=BV$3,$C669="L"),-$O669,0),IF(OR(AND($K667=BV$3,OR($C667="W",$C667="1/2W")),AND($K668=BV$3,OR($C668="W",$C668="1/2W")),AND($K669=BV$3,OR($C669="W",$C669="1/2W"))),$S667,0))</f>
        <v>0</v>
      </c>
      <c r="BW667" s="462">
        <f t="shared" si="1349"/>
        <v>0</v>
      </c>
      <c r="BX667" s="462">
        <f t="shared" si="1349"/>
        <v>0</v>
      </c>
      <c r="BY667" s="462">
        <f t="shared" si="1349"/>
        <v>0</v>
      </c>
      <c r="BZ667" s="460">
        <f t="shared" si="1349"/>
        <v>0</v>
      </c>
      <c r="CA667" s="460">
        <f t="shared" si="1349"/>
        <v>0</v>
      </c>
      <c r="CB667" s="460">
        <f t="shared" si="1349"/>
        <v>0</v>
      </c>
      <c r="CC667" s="460">
        <f t="shared" si="1349"/>
        <v>0</v>
      </c>
      <c r="CD667" s="473">
        <f t="shared" si="1349"/>
        <v>0</v>
      </c>
      <c r="CE667" s="479">
        <f t="shared" si="1349"/>
        <v>0</v>
      </c>
      <c r="CF667" s="113">
        <f t="shared" si="1285"/>
        <v>0</v>
      </c>
      <c r="CG667" s="114">
        <f t="shared" si="1286"/>
        <v>0</v>
      </c>
      <c r="CH667" s="114">
        <f t="shared" si="1287"/>
        <v>0</v>
      </c>
      <c r="CI667" s="114">
        <f t="shared" si="1288"/>
        <v>0</v>
      </c>
      <c r="CJ667" s="114">
        <f t="shared" si="1289"/>
        <v>0</v>
      </c>
      <c r="CK667" s="114">
        <f t="shared" si="1290"/>
        <v>0</v>
      </c>
      <c r="CL667" s="114">
        <f t="shared" si="1291"/>
        <v>0</v>
      </c>
      <c r="CM667" s="114">
        <f t="shared" si="1292"/>
        <v>0</v>
      </c>
      <c r="CN667" s="114">
        <f t="shared" si="1293"/>
        <v>0</v>
      </c>
      <c r="CO667" s="114">
        <f t="shared" si="1294"/>
        <v>0</v>
      </c>
      <c r="CP667" s="114">
        <f t="shared" si="1295"/>
        <v>0</v>
      </c>
      <c r="CQ667" s="114">
        <f t="shared" si="1296"/>
        <v>0</v>
      </c>
      <c r="CR667" s="114">
        <f t="shared" si="1297"/>
        <v>0</v>
      </c>
      <c r="CS667" s="114">
        <f t="shared" si="1298"/>
        <v>0</v>
      </c>
      <c r="CT667" s="115">
        <f t="shared" si="1299"/>
        <v>0</v>
      </c>
      <c r="CU667" s="116">
        <f t="shared" si="1300"/>
        <v>0</v>
      </c>
      <c r="CV667" s="116">
        <f t="shared" si="1301"/>
        <v>0</v>
      </c>
      <c r="CW667" s="116">
        <f t="shared" si="1302"/>
        <v>0</v>
      </c>
      <c r="CX667" s="116">
        <f t="shared" si="1303"/>
        <v>0</v>
      </c>
      <c r="CY667" s="116">
        <f t="shared" si="1304"/>
        <v>0</v>
      </c>
      <c r="CZ667" s="116">
        <f t="shared" si="1305"/>
        <v>0</v>
      </c>
      <c r="DA667" s="116">
        <f t="shared" si="1306"/>
        <v>0</v>
      </c>
      <c r="DB667" s="116">
        <f t="shared" si="1307"/>
        <v>0</v>
      </c>
      <c r="DC667" s="116">
        <f t="shared" si="1308"/>
        <v>1</v>
      </c>
      <c r="DD667" s="116">
        <f t="shared" si="1309"/>
        <v>0</v>
      </c>
      <c r="DE667" s="117">
        <f t="shared" si="1310"/>
        <v>0</v>
      </c>
      <c r="DF667" s="118">
        <f t="shared" si="1312"/>
        <v>39</v>
      </c>
      <c r="DG667" s="106">
        <f t="shared" si="1313"/>
        <v>51.577999999999996</v>
      </c>
      <c r="DH667" s="116">
        <f t="shared" si="1314"/>
        <v>15</v>
      </c>
      <c r="DI667" s="106">
        <f t="shared" si="1315"/>
        <v>64.349999999999994</v>
      </c>
      <c r="DJ667" s="201" t="str">
        <f>IF($D667="","",$D667)</f>
        <v>21</v>
      </c>
      <c r="DK667" s="465">
        <f>IF(AND($B667=" ",$D667&lt;&gt;""),1,0)</f>
        <v>0</v>
      </c>
    </row>
    <row r="668" spans="1:115" ht="14.5" customHeight="1" x14ac:dyDescent="0.2">
      <c r="A668" s="389"/>
      <c r="B668" s="456"/>
      <c r="C668" s="120" t="s">
        <v>54</v>
      </c>
      <c r="D668" s="374"/>
      <c r="E668" s="386"/>
      <c r="F668" s="377"/>
      <c r="G668" s="483"/>
      <c r="H668" s="476"/>
      <c r="I668" s="121" t="s">
        <v>88</v>
      </c>
      <c r="J668" s="179" t="str">
        <f>IF(OR(I667="TO",I667="TU",I667="TO1",I667="TU1",I667="TO2",I667="TU2"),J667,IF(OR(I667="AH1",I667="AH2"),IF(OR(I668="AH1",I668="AH2"),-J667,IF(OR(I668="EH1",I668="EH2"),-J667+0.5,"")),IF(OR(I667="EH1",I667="EH2"),IF(OR(I668="AH1",I668="AH2"),-J667+0.5,IF(OR(I668="EH1",I668="EH2"),-J667+1,"")),IF(AND(OR(I667="DNB1",I667="DNB2"),OR(I668="AH1",I668="AH2")),0,IF(AND(I667="Not ScoreBoth",OR(I668="TO1",I668="TO2")),0.5,"")))))</f>
        <v/>
      </c>
      <c r="K668" s="123" t="s">
        <v>38</v>
      </c>
      <c r="L668" s="124">
        <v>1.78</v>
      </c>
      <c r="M668" s="125"/>
      <c r="N668" s="406"/>
      <c r="O668" s="126">
        <f>IF(OR(AE667="",AE668=""),"",ROUND(IF(L669&gt;0,IF(M668&gt;0,M668,IF(M667&gt;0,IF(N667=TRUE,ROUND((M667*AE668)/AE667,0),(M667*AE668)/AE667),IF(M668&gt;0,ROUND(M668,IF(N667=0,2,IF(N667=0.1,1,0))),IF(M669&gt;0,ROUND(O669*AE668/AE669,IF(N667=0,2,IF(N667=0.1,1,0))),0)))),IF(M668&gt;0,M668,ROUND((M667*AE668)/AE667,IF(N667=0,2,IF(N667=0.1,1,0))))),2))</f>
        <v>122</v>
      </c>
      <c r="P668" s="127">
        <f>IF(OR(L668="",O668=""),"",IF($C668="1/2W",O668/2+O668/2*L668,IF($C668="1/2L",O668/2,IF(I668="Lay",((O668*(L668/(L668-1)))-O668)*(1-_xlfn.XLOOKUP(K668,'Fevereiro 2023 - Valor Real'!A3:A15,'Fevereiro 2023 - Valor Real'!C3:C15,0))+O668,(O668*L668-O668)*(1-_xlfn.XLOOKUP(K668,'Fevereiro 2023 - Valor Real'!A3:A15,'Fevereiro 2023 - Valor Real'!C3:C15,0))+O668))))</f>
        <v>268.24358974358972</v>
      </c>
      <c r="Q668" s="128">
        <f>IF(K668="","",IF(_xlfn.XLOOKUP(K668,K$4:K667,$DJ$4:DJ667,0,,-1)=DJ668,_xlfn.XLOOKUP(K668,K$4:K667,Q$4:Q667,1,,-1)+1,1))</f>
        <v>4</v>
      </c>
      <c r="R668" s="129">
        <f>IF(K668="","",_xlfn.XLOOKUP(K668,K$4:K667,R$4:R667,0,,-1)+IF($C668=" ",1,0))</f>
        <v>0</v>
      </c>
      <c r="S668" s="403"/>
      <c r="T668" s="380"/>
      <c r="U668" s="380"/>
      <c r="V668" s="481"/>
      <c r="W668" s="380"/>
      <c r="X668" s="452"/>
      <c r="Y668" s="383"/>
      <c r="Z668" s="384"/>
      <c r="AA668" s="384"/>
      <c r="AB668" s="384"/>
      <c r="AC668" s="384"/>
      <c r="AD668" s="130">
        <f>(((L668/(L668-1)-1)*(1-_xlfn.XLOOKUP(K668,'Fevereiro 2023 - Valor Real'!A3:A15,'Fevereiro 2023 - Valor Real'!C3:C15,0))+1))</f>
        <v>2.1987179487179489</v>
      </c>
      <c r="AE668" s="131">
        <f>IF(L668="","",IF(L669&gt;0,(SUM(((L667-1)*(1-_xlfn.XLOOKUP(K667,'Fevereiro 2023 - Valor Real'!A3:A15,'Fevereiro 2023 - Valor Real'!C3:C15,0))+1),((L668-1)*(1-_xlfn.XLOOKUP(K668,'Fevereiro 2023 - Valor Real'!A3:A15,'Fevereiro 2023 - Valor Real'!C3:C15,0))+1),((L669-1)*(1-_xlfn.XLOOKUP(K669,'Fevereiro 2023 - Valor Real'!A3:A15,'Fevereiro 2023 - Valor Real'!C3:C15,0))+1))/((L668-1)*(1-_xlfn.XLOOKUP(K668,'Fevereiro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Real'!C3:C15,0))+1))/((L667-1)*(1-_xlfn.XLOOKUP(K667,'Fevereiro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Real'!C3:C15,0))+1))/((L668-1)*(1-_xlfn.XLOOKUP(K668,'Fevereiro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Real'!C3:C15,0))+1))/((L669-1)*(1-_xlfn.XLOOKUP(K669,'Fevereiro 2023 - Valor Real'!A3:A15,'Fevereiro 2023 - Valor Real'!C3:C15,0))+1)),IF(I668="Lay",IF(I667="Lay",((L667/(L667-1)-1)*(1-_xlfn.XLOOKUP(K667,'Fevereiro 2023 - Valor Real'!A3:A15,'Fevereiro 2023 - Valor Real'!C3:C15,0))+1)/(((L667/(L667-1)-1)*(1-_xlfn.XLOOKUP(K667,'Fevereiro 2023 - Valor Real'!A3:A15,'Fevereiro 2023 - Valor Real'!C3:C15,0))+1)+((L668/(L668-1)-1)*(1-_xlfn.XLOOKUP(K668,'Fevereiro 2023 - Valor Real'!A3:A15,'Fevereiro 2023 - Valor Real'!C3:C15,0))+1)),((L667-1)*(1-_xlfn.XLOOKUP(K667,'Fevereiro 2023 - Valor Real'!A3:A15,'Fevereiro 2023 - Valor Real'!C3:C15,0))+1)/(((L667-1)*(1-_xlfn.XLOOKUP(K667,'Fevereiro 2023 - Valor Real'!A3:A15,'Fevereiro 2023 - Valor Real'!C3:C15,0))+1)+((L668/(L668-1)-1)*(1-_xlfn.XLOOKUP(K668,'Fevereiro 2023 - Valor Real'!A3:A15,'Fevereiro 2023 - Valor Real'!C3:C15,0))+1))),IF(I667="Lay",((L667/(L667-1)-1)*(1-_xlfn.XLOOKUP(K667,'Fevereiro 2023 - Valor Real'!A3:A15,'Fevereiro 2023 - Valor Real'!C3:C15,0))+1)/((((L667/(L667-1)-1)*(1-_xlfn.XLOOKUP(K667,'Fevereiro 2023 - Valor Real'!A3:A15,'Fevereiro 2023 - Valor Real'!C3:C15,0))+1))+((L668-1)*(1-_xlfn.XLOOKUP(K668,'Fevereiro 2023 - Valor Real'!A3:A15,'Fevereiro 2023 - Valor Real'!C3:C15,0))+1)),((L667-1)*(1-_xlfn.XLOOKUP(K667,'Fevereiro 2023 - Valor Real'!A3:A15,'Fevereiro 2023 - Valor Real'!C3:C15,0))+1)/(((L667-1)*(1-_xlfn.XLOOKUP(K667,'Fevereiro 2023 - Valor Real'!A3:A15,'Fevereiro 2023 - Valor Real'!C3:C15,0))+1)+((L668-1)*(1-_xlfn.XLOOKUP(K668,'Fevereiro 2023 - Valor Real'!A3:A15,'Fevereiro 2023 - Valor Real'!C3:C15,0))+1))))))</f>
        <v>0.47002472187886274</v>
      </c>
      <c r="AF668" s="105">
        <f t="shared" si="1342"/>
        <v>0</v>
      </c>
      <c r="AG668" s="106">
        <f t="shared" si="1342"/>
        <v>0</v>
      </c>
      <c r="AH668" s="106">
        <f t="shared" si="1342"/>
        <v>146.24</v>
      </c>
      <c r="AI668" s="106">
        <f t="shared" si="1342"/>
        <v>0</v>
      </c>
      <c r="AJ668" s="106">
        <f t="shared" si="1342"/>
        <v>0</v>
      </c>
      <c r="AK668" s="106">
        <f t="shared" si="1342"/>
        <v>0</v>
      </c>
      <c r="AL668" s="106">
        <f t="shared" si="1342"/>
        <v>0</v>
      </c>
      <c r="AM668" s="106">
        <f t="shared" si="1342"/>
        <v>0</v>
      </c>
      <c r="AN668" s="106">
        <f t="shared" si="1342"/>
        <v>0</v>
      </c>
      <c r="AO668" s="106">
        <f t="shared" si="1342"/>
        <v>0</v>
      </c>
      <c r="AP668" s="106">
        <f t="shared" si="1342"/>
        <v>0</v>
      </c>
      <c r="AQ668" s="106">
        <f t="shared" si="1342"/>
        <v>0</v>
      </c>
      <c r="AR668" s="107">
        <f t="shared" si="1342"/>
        <v>0</v>
      </c>
      <c r="AS668" s="105">
        <f>IF(AND($B667=" ",$K668=AS$3),$O668,0)</f>
        <v>0</v>
      </c>
      <c r="AT668" s="106">
        <f>IF(AND($B667=" ",K668=AT$3),$O668,0)</f>
        <v>0</v>
      </c>
      <c r="AU668" s="106">
        <f t="shared" ref="AU668:BE668" si="1350">IF(AND($B667=" ",$K668=AU$3),$O668,0)</f>
        <v>0</v>
      </c>
      <c r="AV668" s="106">
        <f t="shared" si="1350"/>
        <v>0</v>
      </c>
      <c r="AW668" s="106">
        <f t="shared" si="1350"/>
        <v>0</v>
      </c>
      <c r="AX668" s="106">
        <f t="shared" si="1350"/>
        <v>0</v>
      </c>
      <c r="AY668" s="108">
        <f t="shared" si="1350"/>
        <v>0</v>
      </c>
      <c r="AZ668" s="109">
        <f t="shared" si="1350"/>
        <v>0</v>
      </c>
      <c r="BA668" s="109">
        <f t="shared" si="1350"/>
        <v>0</v>
      </c>
      <c r="BB668" s="109">
        <f t="shared" si="1350"/>
        <v>0</v>
      </c>
      <c r="BC668" s="110">
        <f t="shared" si="1350"/>
        <v>0</v>
      </c>
      <c r="BD668" s="106">
        <f t="shared" si="1350"/>
        <v>0</v>
      </c>
      <c r="BE668" s="107">
        <f t="shared" si="1350"/>
        <v>0</v>
      </c>
      <c r="BF668" s="105">
        <f t="shared" si="1344"/>
        <v>0</v>
      </c>
      <c r="BG668" s="106">
        <f t="shared" si="1344"/>
        <v>0</v>
      </c>
      <c r="BH668" s="106">
        <f t="shared" si="1344"/>
        <v>122</v>
      </c>
      <c r="BI668" s="106">
        <f t="shared" si="1344"/>
        <v>0</v>
      </c>
      <c r="BJ668" s="106">
        <f t="shared" si="1344"/>
        <v>0</v>
      </c>
      <c r="BK668" s="106">
        <f t="shared" si="1344"/>
        <v>0</v>
      </c>
      <c r="BL668" s="106">
        <f t="shared" si="1344"/>
        <v>0</v>
      </c>
      <c r="BM668" s="132">
        <f t="shared" si="1344"/>
        <v>0</v>
      </c>
      <c r="BN668" s="112">
        <f t="shared" si="1344"/>
        <v>0</v>
      </c>
      <c r="BO668" s="112">
        <f t="shared" si="1344"/>
        <v>0</v>
      </c>
      <c r="BP668" s="112">
        <f t="shared" si="1344"/>
        <v>0</v>
      </c>
      <c r="BQ668" s="110">
        <f t="shared" si="1344"/>
        <v>0</v>
      </c>
      <c r="BR668" s="107">
        <f t="shared" si="1344"/>
        <v>0</v>
      </c>
      <c r="BS668" s="464"/>
      <c r="BT668" s="461"/>
      <c r="BU668" s="392"/>
      <c r="BV668" s="461"/>
      <c r="BW668" s="392"/>
      <c r="BX668" s="392"/>
      <c r="BY668" s="392"/>
      <c r="BZ668" s="461"/>
      <c r="CA668" s="392"/>
      <c r="CB668" s="392"/>
      <c r="CC668" s="392"/>
      <c r="CD668" s="401"/>
      <c r="CE668" s="409"/>
      <c r="CF668" s="133">
        <f t="shared" si="1285"/>
        <v>0</v>
      </c>
      <c r="CG668" s="134">
        <f t="shared" si="1286"/>
        <v>0</v>
      </c>
      <c r="CH668" s="134">
        <f t="shared" si="1287"/>
        <v>0</v>
      </c>
      <c r="CI668" s="134">
        <f t="shared" si="1288"/>
        <v>0</v>
      </c>
      <c r="CJ668" s="134">
        <f t="shared" si="1289"/>
        <v>1</v>
      </c>
      <c r="CK668" s="134">
        <f t="shared" si="1290"/>
        <v>0</v>
      </c>
      <c r="CL668" s="134">
        <f t="shared" si="1291"/>
        <v>0</v>
      </c>
      <c r="CM668" s="134">
        <f t="shared" si="1292"/>
        <v>0</v>
      </c>
      <c r="CN668" s="134">
        <f t="shared" si="1293"/>
        <v>0</v>
      </c>
      <c r="CO668" s="134">
        <f t="shared" si="1294"/>
        <v>0</v>
      </c>
      <c r="CP668" s="134">
        <f t="shared" si="1295"/>
        <v>0</v>
      </c>
      <c r="CQ668" s="134">
        <f t="shared" si="1296"/>
        <v>0</v>
      </c>
      <c r="CR668" s="134">
        <f t="shared" si="1297"/>
        <v>0</v>
      </c>
      <c r="CS668" s="134">
        <f t="shared" si="1298"/>
        <v>0</v>
      </c>
      <c r="CT668" s="115">
        <f t="shared" si="1299"/>
        <v>0</v>
      </c>
      <c r="CU668" s="116">
        <f t="shared" si="1300"/>
        <v>0</v>
      </c>
      <c r="CV668" s="116">
        <f t="shared" si="1301"/>
        <v>0</v>
      </c>
      <c r="CW668" s="116">
        <f t="shared" si="1302"/>
        <v>0</v>
      </c>
      <c r="CX668" s="116">
        <f t="shared" si="1303"/>
        <v>0</v>
      </c>
      <c r="CY668" s="116">
        <f t="shared" si="1304"/>
        <v>0</v>
      </c>
      <c r="CZ668" s="116">
        <f t="shared" si="1305"/>
        <v>0</v>
      </c>
      <c r="DA668" s="116">
        <f t="shared" si="1306"/>
        <v>0</v>
      </c>
      <c r="DB668" s="116">
        <f t="shared" si="1307"/>
        <v>0</v>
      </c>
      <c r="DC668" s="116">
        <f t="shared" si="1308"/>
        <v>0</v>
      </c>
      <c r="DD668" s="116">
        <f t="shared" si="1309"/>
        <v>0</v>
      </c>
      <c r="DE668" s="117">
        <f t="shared" si="1310"/>
        <v>0</v>
      </c>
      <c r="DF668" s="118">
        <f t="shared" si="1312"/>
        <v>39</v>
      </c>
      <c r="DG668" s="106">
        <f t="shared" si="1313"/>
        <v>51.577999999999996</v>
      </c>
      <c r="DH668" s="116">
        <f t="shared" si="1314"/>
        <v>15</v>
      </c>
      <c r="DI668" s="106">
        <f t="shared" si="1315"/>
        <v>64.349999999999994</v>
      </c>
      <c r="DJ668" s="201" t="str">
        <f>IF($D667="","",$D667)</f>
        <v>21</v>
      </c>
      <c r="DK668" s="466"/>
    </row>
    <row r="669" spans="1:115" ht="14.5" customHeight="1" x14ac:dyDescent="0.2">
      <c r="A669" s="390"/>
      <c r="B669" s="457"/>
      <c r="C669" s="135" t="s">
        <v>53</v>
      </c>
      <c r="D669" s="375"/>
      <c r="E669" s="387"/>
      <c r="F669" s="378"/>
      <c r="G669" s="484"/>
      <c r="H669" s="477"/>
      <c r="I669" s="136"/>
      <c r="J669" s="137"/>
      <c r="K669" s="138"/>
      <c r="L669" s="139"/>
      <c r="M669" s="140"/>
      <c r="N669" s="407"/>
      <c r="O669" s="141" t="str">
        <f>IF(OR(AE667="",AE668=""),"",IF(L669&gt;0,ROUND(IF(M669&gt;0,M669,IF(M667&gt;0,ROUND((M667*AE669)/AE667,IF(N667=0,2,IF(N667=0.1,1,0))),IF(M668&gt;0,ROUND((M668*AE669)/AE668,IF(N667=0,2,IF(N667=0.1,1,0))),IF(M669&gt;0,M669,0)))),2),""))</f>
        <v/>
      </c>
      <c r="P669" s="196">
        <f>IF(I668="Lay",O668*(L668/(L668-1))-O668,IF(I667="Lay",O667*(L667/(L667-1))-O667,IF(OR(L669="",O669=""),"",IF($C669="1/2W",O669/2+O669/2*L669,IF($C669="1/2L",O669/2,(O669*L669-O669)*(1-_xlfn.XLOOKUP(K669,'Fevereiro 2023 - Valor Real'!A3:A15,'Fevereiro 2023 - Valor Real'!C3:C15,0))+O669)))))</f>
        <v>156.41025641025641</v>
      </c>
      <c r="Q669" s="143" t="str">
        <f>IF(K669="","",IF(_xlfn.XLOOKUP(K669,K$4:K668,$DJ$4:DJ668,0,,-1)=DJ669,_xlfn.XLOOKUP(K669,K$4:K668,Q$4:Q668,1,,-1)+1,1))</f>
        <v/>
      </c>
      <c r="R669" s="144" t="str">
        <f>IF(K669="","",_xlfn.XLOOKUP(K669,K$4:K668,R$4:R668,0,,-1)+IF($C669=" ",1,0))</f>
        <v/>
      </c>
      <c r="S669" s="404"/>
      <c r="T669" s="378"/>
      <c r="U669" s="378"/>
      <c r="V669" s="404"/>
      <c r="W669" s="378"/>
      <c r="X669" s="453"/>
      <c r="Y669" s="383"/>
      <c r="Z669" s="384"/>
      <c r="AA669" s="384"/>
      <c r="AB669" s="384"/>
      <c r="AC669" s="384"/>
      <c r="AD669" s="145">
        <f>((L668/(L668-1)-1))</f>
        <v>1.2820512820512819</v>
      </c>
      <c r="AE669" s="146" t="str">
        <f>IF(L669="","",(SUM(((L667-1)*(1-_xlfn.XLOOKUP(K667,'Fevereiro 2023 - Valor Real'!A3:A15,'Fevereiro 2023 - Valor Real'!C3:C15,0))+1),((L668-1)*(1-_xlfn.XLOOKUP(K668,'Fevereiro 2023 - Valor Real'!A3:A15,'Fevereiro 2023 - Valor Real'!C3:C15,0))+1),((L669-1)*(1-_xlfn.XLOOKUP(K669,'Fevereiro 2023 - Valor Real'!A3:A15,'Fevereiro 2023 - Valor Real'!C3:C15,0))+1))/((L669-1)*(1-_xlfn.XLOOKUP(K669,'Fevereiro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Real'!C3:C15,0))+1))/((L667-1)*(1-_xlfn.XLOOKUP(K667,'Fevereiro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Real'!C3:C15,0))+1))/((L668-1)*(1-_xlfn.XLOOKUP(K668,'Fevereiro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Real'!C3:C15,0))+1))/((L669-1)*(1-_xlfn.XLOOKUP(K669,'Fevereiro 2023 - Valor Real'!A3:A15,'Fevereiro 2023 - Valor Real'!C3:C15,0))+1)))</f>
        <v/>
      </c>
      <c r="AF669" s="105">
        <f t="shared" si="1342"/>
        <v>0</v>
      </c>
      <c r="AG669" s="106">
        <f t="shared" si="1342"/>
        <v>0</v>
      </c>
      <c r="AH669" s="106">
        <f t="shared" si="1342"/>
        <v>0</v>
      </c>
      <c r="AI669" s="106">
        <f t="shared" si="1342"/>
        <v>0</v>
      </c>
      <c r="AJ669" s="106">
        <f t="shared" si="1342"/>
        <v>0</v>
      </c>
      <c r="AK669" s="106">
        <f t="shared" si="1342"/>
        <v>0</v>
      </c>
      <c r="AL669" s="106">
        <f t="shared" si="1342"/>
        <v>0</v>
      </c>
      <c r="AM669" s="106">
        <f t="shared" si="1342"/>
        <v>0</v>
      </c>
      <c r="AN669" s="106">
        <f t="shared" si="1342"/>
        <v>0</v>
      </c>
      <c r="AO669" s="106">
        <f t="shared" si="1342"/>
        <v>0</v>
      </c>
      <c r="AP669" s="106">
        <f t="shared" si="1342"/>
        <v>0</v>
      </c>
      <c r="AQ669" s="106">
        <f t="shared" si="1342"/>
        <v>0</v>
      </c>
      <c r="AR669" s="107">
        <f t="shared" si="1342"/>
        <v>0</v>
      </c>
      <c r="AS669" s="105">
        <f>IF(AND($B667=" ",$K669=AS$3),$O669,0)</f>
        <v>0</v>
      </c>
      <c r="AT669" s="106">
        <f>IF(AND($B667=" ",K669=AT$3),$O669,0)</f>
        <v>0</v>
      </c>
      <c r="AU669" s="106">
        <f t="shared" ref="AU669:BE669" si="1351">IF(AND($B667=" ",$K669=AU$3),$O669,0)</f>
        <v>0</v>
      </c>
      <c r="AV669" s="106">
        <f t="shared" si="1351"/>
        <v>0</v>
      </c>
      <c r="AW669" s="106">
        <f t="shared" si="1351"/>
        <v>0</v>
      </c>
      <c r="AX669" s="106">
        <f t="shared" si="1351"/>
        <v>0</v>
      </c>
      <c r="AY669" s="108">
        <f t="shared" si="1351"/>
        <v>0</v>
      </c>
      <c r="AZ669" s="109">
        <f t="shared" si="1351"/>
        <v>0</v>
      </c>
      <c r="BA669" s="109">
        <f t="shared" si="1351"/>
        <v>0</v>
      </c>
      <c r="BB669" s="109">
        <f t="shared" si="1351"/>
        <v>0</v>
      </c>
      <c r="BC669" s="110">
        <f t="shared" si="1351"/>
        <v>0</v>
      </c>
      <c r="BD669" s="106">
        <f t="shared" si="1351"/>
        <v>0</v>
      </c>
      <c r="BE669" s="107">
        <f t="shared" si="1351"/>
        <v>0</v>
      </c>
      <c r="BF669" s="105">
        <f t="shared" si="1344"/>
        <v>0</v>
      </c>
      <c r="BG669" s="106">
        <f t="shared" si="1344"/>
        <v>0</v>
      </c>
      <c r="BH669" s="106">
        <f t="shared" si="1344"/>
        <v>0</v>
      </c>
      <c r="BI669" s="106">
        <f t="shared" si="1344"/>
        <v>0</v>
      </c>
      <c r="BJ669" s="106">
        <f t="shared" si="1344"/>
        <v>0</v>
      </c>
      <c r="BK669" s="106">
        <f t="shared" si="1344"/>
        <v>0</v>
      </c>
      <c r="BL669" s="106">
        <f t="shared" si="1344"/>
        <v>0</v>
      </c>
      <c r="BM669" s="108">
        <f t="shared" si="1344"/>
        <v>0</v>
      </c>
      <c r="BN669" s="109">
        <f t="shared" si="1344"/>
        <v>0</v>
      </c>
      <c r="BO669" s="109">
        <f t="shared" si="1344"/>
        <v>0</v>
      </c>
      <c r="BP669" s="109">
        <f t="shared" si="1344"/>
        <v>0</v>
      </c>
      <c r="BQ669" s="110">
        <f t="shared" si="1344"/>
        <v>0</v>
      </c>
      <c r="BR669" s="107">
        <f t="shared" si="1344"/>
        <v>0</v>
      </c>
      <c r="BS669" s="464"/>
      <c r="BT669" s="461"/>
      <c r="BU669" s="392"/>
      <c r="BV669" s="461"/>
      <c r="BW669" s="392"/>
      <c r="BX669" s="392"/>
      <c r="BY669" s="392"/>
      <c r="BZ669" s="461"/>
      <c r="CA669" s="392"/>
      <c r="CB669" s="392"/>
      <c r="CC669" s="392"/>
      <c r="CD669" s="401"/>
      <c r="CE669" s="409"/>
      <c r="CF669" s="133">
        <f t="shared" si="1285"/>
        <v>0</v>
      </c>
      <c r="CG669" s="134">
        <f t="shared" si="1286"/>
        <v>0</v>
      </c>
      <c r="CH669" s="134">
        <f t="shared" si="1287"/>
        <v>0</v>
      </c>
      <c r="CI669" s="134">
        <f t="shared" si="1288"/>
        <v>0</v>
      </c>
      <c r="CJ669" s="134">
        <f t="shared" si="1289"/>
        <v>0</v>
      </c>
      <c r="CK669" s="134">
        <f t="shared" si="1290"/>
        <v>0</v>
      </c>
      <c r="CL669" s="134">
        <f t="shared" si="1291"/>
        <v>0</v>
      </c>
      <c r="CM669" s="134">
        <f t="shared" si="1292"/>
        <v>0</v>
      </c>
      <c r="CN669" s="134">
        <f t="shared" si="1293"/>
        <v>0</v>
      </c>
      <c r="CO669" s="134">
        <f t="shared" si="1294"/>
        <v>0</v>
      </c>
      <c r="CP669" s="134">
        <f t="shared" si="1295"/>
        <v>0</v>
      </c>
      <c r="CQ669" s="134">
        <f t="shared" si="1296"/>
        <v>0</v>
      </c>
      <c r="CR669" s="134">
        <f t="shared" si="1297"/>
        <v>0</v>
      </c>
      <c r="CS669" s="134">
        <f t="shared" si="1298"/>
        <v>0</v>
      </c>
      <c r="CT669" s="115">
        <f t="shared" si="1299"/>
        <v>0</v>
      </c>
      <c r="CU669" s="116">
        <f t="shared" si="1300"/>
        <v>0</v>
      </c>
      <c r="CV669" s="116">
        <f t="shared" si="1301"/>
        <v>0</v>
      </c>
      <c r="CW669" s="116">
        <f t="shared" si="1302"/>
        <v>0</v>
      </c>
      <c r="CX669" s="116">
        <f t="shared" si="1303"/>
        <v>0</v>
      </c>
      <c r="CY669" s="116">
        <f t="shared" si="1304"/>
        <v>0</v>
      </c>
      <c r="CZ669" s="116">
        <f t="shared" si="1305"/>
        <v>0</v>
      </c>
      <c r="DA669" s="116">
        <f t="shared" si="1306"/>
        <v>0</v>
      </c>
      <c r="DB669" s="116">
        <f t="shared" si="1307"/>
        <v>0</v>
      </c>
      <c r="DC669" s="116">
        <f t="shared" si="1308"/>
        <v>0</v>
      </c>
      <c r="DD669" s="116">
        <f t="shared" si="1309"/>
        <v>0</v>
      </c>
      <c r="DE669" s="117">
        <f t="shared" si="1310"/>
        <v>0</v>
      </c>
      <c r="DF669" s="118">
        <f t="shared" si="1312"/>
        <v>39</v>
      </c>
      <c r="DG669" s="106">
        <f t="shared" si="1313"/>
        <v>51.577999999999996</v>
      </c>
      <c r="DH669" s="116">
        <f t="shared" si="1314"/>
        <v>15</v>
      </c>
      <c r="DI669" s="106">
        <f t="shared" si="1315"/>
        <v>64.349999999999994</v>
      </c>
      <c r="DJ669" s="201" t="str">
        <f>IF($D667="","",$D667)</f>
        <v>21</v>
      </c>
      <c r="DK669" s="466"/>
    </row>
    <row r="670" spans="1:115" ht="14.5" customHeight="1" x14ac:dyDescent="0.2">
      <c r="A670" s="487">
        <f>$A667+1</f>
        <v>223</v>
      </c>
      <c r="B670" s="506" t="str">
        <f>IF(OR(C670="W",C671="W",C672="W",C670="1/2W",C671="1/2W",C672="1/2W",C670="1/2L",C671="1/2L",C672="1/2L"),"OK",IF(OR(C670="L",C671="L",C672="L"),"LOSS",IF(OR(C670="X",C671="X",C672="X"),"Anulado"," ")))</f>
        <v>OK</v>
      </c>
      <c r="C670" s="147" t="s">
        <v>55</v>
      </c>
      <c r="D670" s="494" t="str">
        <f>IF(G670="","",$D667)</f>
        <v>21</v>
      </c>
      <c r="E670" s="511" t="str">
        <f>IF(G670=""," ","– "&amp;COUNTIF(D$4:D672,$D670))</f>
        <v>– 19</v>
      </c>
      <c r="F670" s="510" t="str">
        <f ca="1">IF(G670="","",IF(OR(AND($C670&lt;&gt;" ",$C671=" "),AND($C671&lt;&gt;" ",$C670=" "),AND(L672&gt;0,OR(AND($C672&lt;&gt;" ",OR($C670=" ",$C671=" ")),AND($C672=" ",OR($C670&lt;&gt;" ",$C671&lt;&gt;" "))))),IF(SUM(F$4:F669)=0,1,LARGE(F$4:F669,1)+1),IF(MONTH(G670)=MONTH(TODAY()),IF(AND(DAY(G670)&lt;DAY(TODAY()),$B670=" "),IF(SUM(F$4:F669)=0,1,LARGE(F$4:F669,1)+1),IF($B670=" ",IF(AND(DAY(G670)=DAY(TODAY()),HOUR(G670)&lt;=HOUR(NOW())+1),IF(AND(HOUR(G670)+2&lt;=HOUR(NOW()),DAY(G670)&lt;=DAY(TODAY()),MINUTE(G670)&lt;=MINUTE(NOW())),IF(SUM(F$4:F669)=0,1,LARGE(F$4:F669,1)+1),IF(OR(MINUTE(G670)&lt;=MINUTE(NOW()),HOUR(G670)&lt;=HOUR(NOW())),"!!!","")),""),"")),"")))</f>
        <v/>
      </c>
      <c r="G670" s="508">
        <v>45008.697916666664</v>
      </c>
      <c r="H670" s="502" t="s">
        <v>232</v>
      </c>
      <c r="I670" s="180" t="s">
        <v>242</v>
      </c>
      <c r="J670" s="149"/>
      <c r="K670" s="150" t="s">
        <v>37</v>
      </c>
      <c r="L670" s="151">
        <v>61</v>
      </c>
      <c r="M670" s="152">
        <v>1</v>
      </c>
      <c r="N670" s="503">
        <v>0</v>
      </c>
      <c r="O670" s="153">
        <f>IF(OR(AE670="",AE671=""),"",ROUND(IF(L672&gt;0,IF(M670&gt;0,M670,IF(M671&gt;0,ROUND((M671*AE670)/AE671,IF(N670=0,2,IF(N670=0.1,1,0))),ROUND((M672*AE670)/AE672,IF(N670=0,2,IF(N670=0.1,1,0))))),IF(M670&gt;0,M670,ROUND((M671*AE670)/AE671,IF(N670=0,2,IF(N670=0.1,1,0))))),2))</f>
        <v>1</v>
      </c>
      <c r="P670" s="154">
        <f>IF(OR(L670="",O670=""),"",IF($C670="1/2W",O670/2+O670/2*L670,IF($C670="1/2L",O670/2,IF(I670="Lay",(O670*(L670/(L670-1))-O670)*(1-_xlfn.XLOOKUP(K670,'Fevereiro 2023 - Valor Real'!A3:A15,'Fevereiro 2023 - Valor Real'!C3:C15,0))+O670,(O670*L670-O670)*(1-_xlfn.XLOOKUP(K670,'Fevereiro 2023 - Valor Real'!A3:A15,'Fevereiro 2023 - Valor Real'!C3:C15,0))+O670))))</f>
        <v>61</v>
      </c>
      <c r="Q670" s="155">
        <f>IF(K670="","",IF(_xlfn.XLOOKUP(K670,K$9:K662,$DJ$9:DJ662,0,,-1)=DJ670,_xlfn.XLOOKUP(K670,K$9:K662,Q$9:Q662,1,,-1)+1,1))</f>
        <v>3</v>
      </c>
      <c r="R670" s="156">
        <f>IF(K670="","",_xlfn.XLOOKUP(K670,K$9:K662,R$9:R662,0,,-1)+IF($C670=" ",1,0))</f>
        <v>0</v>
      </c>
      <c r="S670" s="501">
        <f>IF($B670="Anulado",0,ROUND(IF(OR($B670="LOSS",$B670="OK"),IF(OR($C670="W",$C670="1/2W",$C670="1/2L"),P670-O670,IF($C670="L",-O670,0))+IF(OR($C671="W",$C671="1/2W",$C671="1/2L"),P671-O671,IF($C671="L",-O671,0))+IF(OR($C672="W",$C672="1/2W",$C672="1/2L"),P672-O672,IF($C672="L",-O672,0)),IF(AND(OR($C670="W",$C670="1/2W",$C670="1/2L"),C671="W"),P670+P671-SUM(O670:O672)+_xlfn.XLOOKUP("X",C670:C672,O670:O672,0),IF(AND(C670=TRUE,C672="W"),P670+P672-SUM(O670:O672),IF(AND(C671="W",C672="W"),P671+P672-SUM(O670:O672)+_xlfn.XLOOKUP("X",C670:C672,O670:O672,0),IF(L672&gt;0,IF(OR($C670="W",$C670="1/2W",$C670="1/2L"),P670-SUM(O670:O672)+_xlfn.XLOOKUP("X",C670:C672,O670:O672,0),IF(OR($C670="W",$C670="1/2W",$C670="1/2L"),P671-SUM(O670:O672)+_xlfn.XLOOKUP("X",C670:C672,O670:O672,0),IF(OR($C670="W",$C670="1/2W",$C670="1/2L"),P672-SUM(O670:O672)+_xlfn.XLOOKUP("X",C670:C672,O670:O672,0),IF(SUM(P670:P672)/3-SUM(O670:O672)+_xlfn.XLOOKUP("X",C670:C672,O670:O672,0)&gt;0,SUM(P670:P672)/3-SUM(O670:O672)+_xlfn.XLOOKUP("X",C670:C672,O670:O672,0),LARGE(P670:P672,1)-SUM(O670:O672))))),IF(OR($C670="W",$C670="1/2W",$C670="1/2L"),P670-SUM(O670:O671)+_xlfn.XLOOKUP("X",C670:C672,O670:O672,0),IF(OR($C670="W",$C670="1/2W",$C670="1/2L"),P671-SUM(O670:O671)+_xlfn.XLOOKUP("X",C670:C672,O670:O672,0),SUM(P670:P671)/2-SUM(O670:O671)+_xlfn.XLOOKUP("X",C670:C672,O670:O672,0)))))))),2))</f>
        <v>2.4500000000000002</v>
      </c>
      <c r="T670" s="486">
        <f>IF(S670=0,0,S670/SUM(O670:O672))</f>
        <v>4.1995200548508742E-2</v>
      </c>
      <c r="U670" s="496">
        <f>IF($D670=$D667,IF(OR($B670="LOSS",$B670="OK",$B670="Anulada"),S670,0)+U667,IF(OR($B670="LOSS",$B670="OK",$B670="Anulada"),S670,0))</f>
        <v>86.45</v>
      </c>
      <c r="V670" s="496">
        <f>IF($D670="",0,IF($D670=$D667,IF($B670=" ",IF(I672="",IF(OR(AND(I670="DNB1",I671="DNB2"),AND(OR(I670="DNB1",I670="DNB2"),J671=0),AND(OR(I671="DNB1",I671="DNB2"),J670=0),AND(I670="DNB2",I671="DNB1"),AND(IF(J670=0,(J670+1)/ROUND(J670+1,0),J670/ROUND(J670,0))=1,IF(J671=0,(J671+1)/ROUND(IF(J671="",0,J671)+1,0),IF(J671="",0,J671)/ROUND(IF(J671="",1,J671),0))=1,OR(J670&lt;&gt;""),J671&lt;&gt;"")),0,IF(S670&lt;0,IF(I672="",SMALL(P670:P671,1)-SUM(O670:O671),0),SMALL(P670:P671,1)-SUM(O670:O671))),IF(S670&lt;0,IF(I672="",SMALL(P670:P672,1)-SUM(O670:O672),0),LARGE(P670:P672,1)-SUM(O670:O672))),S670)+V667,IF(I672="",IF(OR(AND(I670="DNB1",I671="DNB2"),AND(OR(I670="DNB1",I670="DNB2"),J671=0),AND(OR(I671="DNB1",I671="DNB2"),J670=0),AND(I670="DNB2",I671="DNB1"),AND(IF(J670=0,(J670+1)/ROUND(J670+1,0),J670/ROUND(J670,0))=1,IF(J671=0,(IF(J671="",0,J671)+1)/ROUND(IF(J671="",0,J671)+1,0),IF(J671="",0,J671)/ROUND(IF(J671="",0,J671)+1,0))=1,OR(J670&lt;&gt;""),J671&lt;&gt;"")),0,IF(S670&lt;0,IF(I672="",SMALL(P670:P671,1)-SUM(O670:O671),0),SMALL(P670:P672,1)-SUM(O670:O672))),IF(S670&lt;0,IF(I672="",SMALL(P670:P672,1)-SUM(O670:O672),0),LARGE(P670:P672,1)-SUM(O670:O672)))))</f>
        <v>86.448000000000008</v>
      </c>
      <c r="W670" s="496">
        <f>IF($D670=$D667,IF(S670&lt;0,IF(I672="",S670,0),S670)+W667,S670)</f>
        <v>86.45</v>
      </c>
      <c r="X670" s="505" t="str">
        <f>IF(OR(SUM(R670:R672)=0,V670=W670),ROUND(IF(W670=0,0,W670/Y670)*100,2)&amp;"%",ROUND(IF(V670=0,0,V670/Y670)*100,2)&amp;"% a "&amp;ROUND(IF(W670=0,0,W670/Y670)*100,2)&amp;"%")</f>
        <v>7,07%</v>
      </c>
      <c r="Y670" s="497">
        <f>IF($D670=$D667,Y667+SUM(O670:O672),SUM(O670:O672))</f>
        <v>1223.6099999999999</v>
      </c>
      <c r="Z670" s="496">
        <f>IF($B670=" ",SUM(O670:O672),0)+Z667</f>
        <v>0</v>
      </c>
      <c r="AA670" s="496">
        <f>IF(G670="","",IF($B670="Anulado",LARGE(P670:P672,1)-SUM(O670:O672)+AA667,AA667))</f>
        <v>13.381099999999991</v>
      </c>
      <c r="AB670" s="496">
        <f>IF($D670="","",AB667+S670)</f>
        <v>764.0800000000005</v>
      </c>
      <c r="AC670" s="499">
        <f ca="1">IF($D670="","",IF($B670=" ",IF(DAY(G670)=DAY(TODAY()),1+AC667,0+AC667),0+AC667))</f>
        <v>0</v>
      </c>
      <c r="AD670" s="157">
        <f>(1-_xlfn.XLOOKUP(K668,'Fevereiro 2023 - Valor Real'!A3:A15,'Fevereiro 2023 - Valor Real'!C3:C15,0))+1</f>
        <v>1.9350000000000001</v>
      </c>
      <c r="AE670" s="158">
        <f>IF(L670="","",IF(L672&gt;0,(SUM(((L670-1)*(1-_xlfn.XLOOKUP(K670,'Fevereiro 2023 - Valor Real'!A3:A15,'Fevereiro 2023 - Valor Real'!C3:C15,0))+1),((L671-1)*(1-_xlfn.XLOOKUP(K671,'Fevereiro 2023 - Valor Real'!A3:A15,'Fevereiro 2023 - Valor Real'!C3:C15,0))+1),((L672-1)*(1-_xlfn.XLOOKUP(K672,'Fevereiro 2023 - Valor Real'!A3:A15,'Fevereiro 2023 - Valor Real'!C3:C15,0))+1))/((L670-1)*(1-_xlfn.XLOOKUP(K670,'Fevereiro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Real'!C3:C15,0))+1))/((L670-1)*(1-_xlfn.XLOOKUP(K670,'Fevereiro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Real'!C3:C15,0))+1))/((L671-1)*(1-_xlfn.XLOOKUP(K671,'Fevereiro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Real'!C3:C15,0))+1))/((L672-1)*(1-_xlfn.XLOOKUP(K672,'Fevereiro 2023 - Valor Real'!A3:A15,'Fevereiro 2023 - Valor Real'!C3:C15,0))+1)),IF(I670="Lay",IF(I671="Lay",((L671/(L671-1)-1)*(1-_xlfn.XLOOKUP(K671,'Fevereiro 2023 - Valor Real'!A3:A15,'Fevereiro 2023 - Valor Real'!C3:C15,0))+1)/(((L671/(L671-1)-1)*(1-_xlfn.XLOOKUP(K671,'Fevereiro 2023 - Valor Real'!A3:A15,'Fevereiro 2023 - Valor Real'!C3:C15,0))+1)+((L670/(L670-1)-1)*(1-_xlfn.XLOOKUP(K670,'Fevereiro 2023 - Valor Real'!A3:A15,'Fevereiro 2023 - Valor Real'!C3:C15,0))+1)),((L671-1)*(1-_xlfn.XLOOKUP(K671,'Fevereiro 2023 - Valor Real'!A3:A15,'Fevereiro 2023 - Valor Real'!C3:C15,0))+1)/(((L671-1)*(1-_xlfn.XLOOKUP(K671,'Fevereiro 2023 - Valor Real'!A3:A15,'Fevereiro 2023 - Valor Real'!C3:C15,0))+1)+((L670/(L670-1)-1)*(1-_xlfn.XLOOKUP(K670,'Fevereiro 2023 - Valor Real'!A3:A15,'Fevereiro 2023 - Valor Real'!C3:C15,0))+1))),IF(I671="Lay",(((L671/(L671-1)-1)*(1-_xlfn.XLOOKUP(K671,'Fevereiro 2023 - Valor Real'!A3:A15,'Fevereiro 2023 - Valor Real'!C3:C15,0))+1))/(((L670-1)*(1-_xlfn.XLOOKUP(K670,'Fevereiro 2023 - Valor Real'!A3:A15,'Fevereiro 2023 - Valor Real'!C3:C15,0))+1)+((L671/(L671-1)-1)*(1-_xlfn.XLOOKUP(K671,'Fevereiro 2023 - Valor Real'!A3:A15,'Fevereiro 2023 - Valor Real'!C3:C15,0))+1)),((L671-1)*(1-_xlfn.XLOOKUP(K671,'Fevereiro 2023 - Valor Real'!A3:A15,'Fevereiro 2023 - Valor Real'!C3:C15,0))+1)/(((L671-1)*(1-_xlfn.XLOOKUP(K671,'Fevereiro 2023 - Valor Real'!A3:A15,'Fevereiro 2023 - Valor Real'!C3:C15,0))+1)+((L670-1)*(1-_xlfn.XLOOKUP(K670,'Fevereiro 2023 - Valor Real'!A3:A15,'Fevereiro 2023 - Valor Real'!C3:C15,0))+1))))))</f>
        <v>1.7081453527625877E-2</v>
      </c>
      <c r="AF670" s="66">
        <f t="shared" si="1342"/>
        <v>0</v>
      </c>
      <c r="AG670" s="67">
        <f t="shared" si="1342"/>
        <v>-1</v>
      </c>
      <c r="AH670" s="67">
        <f t="shared" si="1342"/>
        <v>0</v>
      </c>
      <c r="AI670" s="67">
        <f t="shared" si="1342"/>
        <v>0</v>
      </c>
      <c r="AJ670" s="67">
        <f t="shared" si="1342"/>
        <v>0</v>
      </c>
      <c r="AK670" s="67">
        <f t="shared" si="1342"/>
        <v>0</v>
      </c>
      <c r="AL670" s="67">
        <f t="shared" si="1342"/>
        <v>0</v>
      </c>
      <c r="AM670" s="67">
        <f t="shared" si="1342"/>
        <v>0</v>
      </c>
      <c r="AN670" s="67">
        <f t="shared" si="1342"/>
        <v>0</v>
      </c>
      <c r="AO670" s="67">
        <f t="shared" si="1342"/>
        <v>0</v>
      </c>
      <c r="AP670" s="67">
        <f t="shared" si="1342"/>
        <v>0</v>
      </c>
      <c r="AQ670" s="67">
        <f t="shared" si="1342"/>
        <v>0</v>
      </c>
      <c r="AR670" s="68">
        <f t="shared" si="1342"/>
        <v>0</v>
      </c>
      <c r="AS670" s="66">
        <f t="shared" ref="AS670:BE670" si="1352">IF(AND($B670=" ",$K670=AS$3),$O670,0)</f>
        <v>0</v>
      </c>
      <c r="AT670" s="67">
        <f t="shared" si="1352"/>
        <v>0</v>
      </c>
      <c r="AU670" s="67">
        <f t="shared" si="1352"/>
        <v>0</v>
      </c>
      <c r="AV670" s="67">
        <f t="shared" si="1352"/>
        <v>0</v>
      </c>
      <c r="AW670" s="67">
        <f t="shared" si="1352"/>
        <v>0</v>
      </c>
      <c r="AX670" s="67">
        <f t="shared" si="1352"/>
        <v>0</v>
      </c>
      <c r="AY670" s="69">
        <f t="shared" si="1352"/>
        <v>0</v>
      </c>
      <c r="AZ670" s="70">
        <f t="shared" si="1352"/>
        <v>0</v>
      </c>
      <c r="BA670" s="70">
        <f t="shared" si="1352"/>
        <v>0</v>
      </c>
      <c r="BB670" s="70">
        <f t="shared" si="1352"/>
        <v>0</v>
      </c>
      <c r="BC670" s="71">
        <f t="shared" si="1352"/>
        <v>0</v>
      </c>
      <c r="BD670" s="67">
        <f t="shared" si="1352"/>
        <v>0</v>
      </c>
      <c r="BE670" s="68">
        <f t="shared" si="1352"/>
        <v>0</v>
      </c>
      <c r="BF670" s="66">
        <f t="shared" si="1344"/>
        <v>0</v>
      </c>
      <c r="BG670" s="67">
        <f t="shared" si="1344"/>
        <v>1</v>
      </c>
      <c r="BH670" s="67">
        <f t="shared" si="1344"/>
        <v>0</v>
      </c>
      <c r="BI670" s="67">
        <f t="shared" si="1344"/>
        <v>0</v>
      </c>
      <c r="BJ670" s="67">
        <f t="shared" si="1344"/>
        <v>0</v>
      </c>
      <c r="BK670" s="67">
        <f t="shared" si="1344"/>
        <v>0</v>
      </c>
      <c r="BL670" s="67">
        <f t="shared" si="1344"/>
        <v>0</v>
      </c>
      <c r="BM670" s="69">
        <f t="shared" si="1344"/>
        <v>0</v>
      </c>
      <c r="BN670" s="70">
        <f t="shared" si="1344"/>
        <v>0</v>
      </c>
      <c r="BO670" s="70">
        <f t="shared" si="1344"/>
        <v>0</v>
      </c>
      <c r="BP670" s="70">
        <f t="shared" si="1344"/>
        <v>0</v>
      </c>
      <c r="BQ670" s="71">
        <f t="shared" si="1344"/>
        <v>0</v>
      </c>
      <c r="BR670" s="68">
        <f t="shared" si="1344"/>
        <v>0</v>
      </c>
      <c r="BS670" s="490">
        <f>IF($B670="LOSS",IF(AND($K670=BS$3,$C670="L"),-$O670,0)+IF(AND($K671=BS$3,$C671="L"),-$O671,0)+IF(AND($K672=BS$3,$C672="L"),-$O672,0),IF(OR(AND($K670=BS$3,OR($C670="W",$C670="1/2W")),AND($K671=BS$3,OR($C671="W",$C671="1/2W")),AND($K672=BS$3,OR($C672="W",$C672="1/2W"))),$S670,0))</f>
        <v>0</v>
      </c>
      <c r="BT670" s="498">
        <f>IF($B670="LOSS",IF(AND($K670=BT$3,$C670="L"),-$O670,0)+IF(AND($K671=BT$3,$C671="L"),-$O671,0)+IF(AND($K671=BT$3,$C672="L"),-$O672,0),IF(OR(AND($K671=BT$3,OR($C670="W",$C670="1/2W")),AND($K671=BT$3,OR($C671="W",$C671="1/2W")),AND($K671=BT$3,OR($C672="W",$C672="1/2W"))),$S670,0))</f>
        <v>2.4500000000000002</v>
      </c>
      <c r="BU670" s="488">
        <f>IF($B670="LOSS",IF(AND($K670=BU$3,$C670="L"),-$O670,0)+IF(AND($K671=BU$3,$C671="L"),-$O671,0)+IF(AND($K671=BU$3,$C672="L"),-$O672,0),IF(OR(AND($K671=BU$3,OR($C670="W",$C670="1/2W")),AND($K671=BU$3,OR($C671="W",$C671="1/2W")),AND($K671=BU$3,OR($C672="W",$C672="1/2W"))),$S670,0))</f>
        <v>0</v>
      </c>
      <c r="BV670" s="488">
        <f t="shared" ref="BV670:CE670" si="1353">IF($B670="LOSS",IF(AND($K670=BV$3,$C670="L"),-$O670,0)+IF(AND($K671=BV$3,$C671="L"),-$O671,0)+IF(AND($K672=BV$3,$C672="L"),-$O672,0),IF(OR(AND($K670=BV$3,OR($C670="W",$C670="1/2W")),AND($K671=BV$3,OR($C671="W",$C671="1/2W")),AND($K672=BV$3,OR($C672="W",$C672="1/2W"))),$S670,0))</f>
        <v>0</v>
      </c>
      <c r="BW670" s="488">
        <f t="shared" si="1353"/>
        <v>0</v>
      </c>
      <c r="BX670" s="488">
        <f t="shared" si="1353"/>
        <v>0</v>
      </c>
      <c r="BY670" s="488">
        <f t="shared" si="1353"/>
        <v>0</v>
      </c>
      <c r="BZ670" s="488">
        <f t="shared" si="1353"/>
        <v>0</v>
      </c>
      <c r="CA670" s="488">
        <f t="shared" si="1353"/>
        <v>0</v>
      </c>
      <c r="CB670" s="488">
        <f t="shared" si="1353"/>
        <v>0</v>
      </c>
      <c r="CC670" s="488">
        <f t="shared" si="1353"/>
        <v>0</v>
      </c>
      <c r="CD670" s="500">
        <f t="shared" si="1353"/>
        <v>0</v>
      </c>
      <c r="CE670" s="504">
        <f t="shared" si="1353"/>
        <v>0</v>
      </c>
      <c r="CF670" s="160">
        <f t="shared" si="1285"/>
        <v>0</v>
      </c>
      <c r="CG670" s="161">
        <f t="shared" si="1286"/>
        <v>0</v>
      </c>
      <c r="CH670" s="161">
        <f t="shared" si="1287"/>
        <v>0</v>
      </c>
      <c r="CI670" s="161">
        <f t="shared" si="1288"/>
        <v>1</v>
      </c>
      <c r="CJ670" s="161">
        <f t="shared" si="1289"/>
        <v>0</v>
      </c>
      <c r="CK670" s="161">
        <f t="shared" si="1290"/>
        <v>0</v>
      </c>
      <c r="CL670" s="161">
        <f t="shared" si="1291"/>
        <v>0</v>
      </c>
      <c r="CM670" s="161">
        <f t="shared" si="1292"/>
        <v>0</v>
      </c>
      <c r="CN670" s="161">
        <f t="shared" si="1293"/>
        <v>0</v>
      </c>
      <c r="CO670" s="161">
        <f t="shared" si="1294"/>
        <v>0</v>
      </c>
      <c r="CP670" s="161">
        <f t="shared" si="1295"/>
        <v>0</v>
      </c>
      <c r="CQ670" s="161">
        <f t="shared" si="1296"/>
        <v>0</v>
      </c>
      <c r="CR670" s="161">
        <f t="shared" si="1297"/>
        <v>0</v>
      </c>
      <c r="CS670" s="161">
        <f t="shared" si="1298"/>
        <v>0</v>
      </c>
      <c r="CT670" s="75">
        <f t="shared" si="1299"/>
        <v>0</v>
      </c>
      <c r="CU670" s="76">
        <f t="shared" si="1300"/>
        <v>0</v>
      </c>
      <c r="CV670" s="76">
        <f t="shared" si="1301"/>
        <v>0</v>
      </c>
      <c r="CW670" s="76">
        <f t="shared" si="1302"/>
        <v>0</v>
      </c>
      <c r="CX670" s="76">
        <f t="shared" si="1303"/>
        <v>0</v>
      </c>
      <c r="CY670" s="76">
        <f t="shared" si="1304"/>
        <v>0</v>
      </c>
      <c r="CZ670" s="76">
        <f t="shared" si="1305"/>
        <v>0</v>
      </c>
      <c r="DA670" s="76">
        <f t="shared" si="1306"/>
        <v>0</v>
      </c>
      <c r="DB670" s="76">
        <f t="shared" si="1307"/>
        <v>0</v>
      </c>
      <c r="DC670" s="76">
        <f t="shared" si="1308"/>
        <v>0</v>
      </c>
      <c r="DD670" s="76">
        <f t="shared" si="1309"/>
        <v>0</v>
      </c>
      <c r="DE670" s="77">
        <f t="shared" si="1310"/>
        <v>0</v>
      </c>
      <c r="DF670" s="73">
        <f t="shared" si="1312"/>
        <v>39</v>
      </c>
      <c r="DG670" s="67">
        <f t="shared" si="1313"/>
        <v>51.577999999999996</v>
      </c>
      <c r="DH670" s="76">
        <f t="shared" si="1314"/>
        <v>15</v>
      </c>
      <c r="DI670" s="67">
        <f t="shared" si="1315"/>
        <v>64.349999999999994</v>
      </c>
      <c r="DJ670" s="202" t="str">
        <f>IF($D670="","",$D670)</f>
        <v>21</v>
      </c>
      <c r="DK670" s="492">
        <f>IF(AND($B670=" ",$D670&lt;&gt;""),1,0)</f>
        <v>0</v>
      </c>
    </row>
    <row r="671" spans="1:115" ht="14.5" customHeight="1" x14ac:dyDescent="0.2">
      <c r="A671" s="389"/>
      <c r="B671" s="456"/>
      <c r="C671" s="53" t="s">
        <v>54</v>
      </c>
      <c r="D671" s="374"/>
      <c r="E671" s="386"/>
      <c r="F671" s="377"/>
      <c r="G671" s="508"/>
      <c r="H671" s="476"/>
      <c r="I671" s="182" t="s">
        <v>52</v>
      </c>
      <c r="J671" s="56">
        <v>0.5</v>
      </c>
      <c r="K671" s="57" t="s">
        <v>37</v>
      </c>
      <c r="L671" s="164">
        <v>1.4</v>
      </c>
      <c r="M671" s="165">
        <v>43.42</v>
      </c>
      <c r="N671" s="406"/>
      <c r="O671" s="60">
        <f>IF(OR(AE670="",AE671=""),"",ROUND(IF(L672&gt;0,IF(M671&gt;0,M671,IF(M670&gt;0,IF(N670=TRUE,ROUND((M670*AE671)/AE670,0),(M670*AE671)/AE670),IF(M671&gt;0,ROUND(M671,IF(N670=0,2,IF(N670=0.1,1,0))),IF(M672&gt;0,ROUND(O672*AE671/AE672,IF(N670=0,2,IF(N670=0.1,1,0))),0)))),IF(M671&gt;0,M671,ROUND((M670*AE671)/AE670,IF(N670=0,2,IF(N670=0.1,1,0))))),2))</f>
        <v>43.42</v>
      </c>
      <c r="P671" s="61">
        <f>IF(OR(L671="",O671=""),"",IF($C671="1/2W",O671/2+O671/2*L671,IF($C671="1/2L",O671/2,IF(I671="Lay",((O671*(L671/(L671-1)))-O671)*(1-_xlfn.XLOOKUP(K671,'Fevereiro 2023 - Valor Real'!A3:A15,'Fevereiro 2023 - Valor Real'!C3:C15,0))+O671,(O671*L671-O671)*(1-_xlfn.XLOOKUP(K671,'Fevereiro 2023 - Valor Real'!A3:A15,'Fevereiro 2023 - Valor Real'!C3:C15,0))+O671))))</f>
        <v>60.787999999999997</v>
      </c>
      <c r="Q671" s="166">
        <f>IF(K671="","",IF(_xlfn.XLOOKUP(K671,K$10:K662,$DJ$10:DJ662,0,,-1)=DJ671,_xlfn.XLOOKUP(K671,K$10:K662,Q$10:Q662,1,,-1)+1,1))</f>
        <v>3</v>
      </c>
      <c r="R671" s="167">
        <f>IF(K671="","",_xlfn.XLOOKUP(K671,K$10:K662,R$10:R662,0,,-1)+IF($C671=" ",1,0))</f>
        <v>0</v>
      </c>
      <c r="S671" s="403"/>
      <c r="T671" s="380"/>
      <c r="U671" s="380"/>
      <c r="V671" s="481"/>
      <c r="W671" s="380"/>
      <c r="X671" s="452"/>
      <c r="Y671" s="383"/>
      <c r="Z671" s="384"/>
      <c r="AA671" s="384"/>
      <c r="AB671" s="384"/>
      <c r="AC671" s="384"/>
      <c r="AD671" s="64"/>
      <c r="AE671" s="65">
        <f>IF(L671="","",IF(L672&gt;0,(SUM(((L670-1)*(1-_xlfn.XLOOKUP(K670,'Fevereiro 2023 - Valor Real'!A3:A15,'Fevereiro 2023 - Valor Real'!C3:C15,0))+1),((L671-1)*(1-_xlfn.XLOOKUP(K671,'Fevereiro 2023 - Valor Real'!A3:A15,'Fevereiro 2023 - Valor Real'!C3:C15,0))+1),((L672-1)*(1-_xlfn.XLOOKUP(K672,'Fevereiro 2023 - Valor Real'!A3:A15,'Fevereiro 2023 - Valor Real'!C3:C15,0))+1))/((L671-1)*(1-_xlfn.XLOOKUP(K671,'Fevereiro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Real'!C3:C15,0))+1))/((L670-1)*(1-_xlfn.XLOOKUP(K670,'Fevereiro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Real'!C3:C15,0))+1))/((L671-1)*(1-_xlfn.XLOOKUP(K671,'Fevereiro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Real'!C3:C15,0))+1))/((L672-1)*(1-_xlfn.XLOOKUP(K672,'Fevereiro 2023 - Valor Real'!A3:A15,'Fevereiro 2023 - Valor Real'!C3:C15,0))+1)),IF(I671="Lay",IF(I670="Lay",((L670/(L670-1)-1)*(1-_xlfn.XLOOKUP(K670,'Fevereiro 2023 - Valor Real'!A3:A15,'Fevereiro 2023 - Valor Real'!C3:C15,0))+1)/(((L670/(L670-1)-1)*(1-_xlfn.XLOOKUP(K670,'Fevereiro 2023 - Valor Real'!A3:A15,'Fevereiro 2023 - Valor Real'!C3:C15,0))+1)+((L671/(L671-1)-1)*(1-_xlfn.XLOOKUP(K671,'Fevereiro 2023 - Valor Real'!A3:A15,'Fevereiro 2023 - Valor Real'!C3:C15,0))+1)),((L670-1)*(1-_xlfn.XLOOKUP(K670,'Fevereiro 2023 - Valor Real'!A3:A15,'Fevereiro 2023 - Valor Real'!C3:C15,0))+1)/(((L670-1)*(1-_xlfn.XLOOKUP(K670,'Fevereiro 2023 - Valor Real'!A3:A15,'Fevereiro 2023 - Valor Real'!C3:C15,0))+1)+((L671/(L671-1)-1)*(1-_xlfn.XLOOKUP(K671,'Fevereiro 2023 - Valor Real'!A3:A15,'Fevereiro 2023 - Valor Real'!C3:C15,0))+1))),IF(I670="Lay",((L670/(L670-1)-1)*(1-_xlfn.XLOOKUP(K670,'Fevereiro 2023 - Valor Real'!A3:A15,'Fevereiro 2023 - Valor Real'!C3:C15,0))+1)/((((L670/(L670-1)-1)*(1-_xlfn.XLOOKUP(K670,'Fevereiro 2023 - Valor Real'!A3:A15,'Fevereiro 2023 - Valor Real'!C3:C15,0))+1))+((L671-1)*(1-_xlfn.XLOOKUP(K671,'Fevereiro 2023 - Valor Real'!A3:A15,'Fevereiro 2023 - Valor Real'!C3:C15,0))+1)),((L670-1)*(1-_xlfn.XLOOKUP(K670,'Fevereiro 2023 - Valor Real'!A3:A15,'Fevereiro 2023 - Valor Real'!C3:C15,0))+1)/(((L670-1)*(1-_xlfn.XLOOKUP(K670,'Fevereiro 2023 - Valor Real'!A3:A15,'Fevereiro 2023 - Valor Real'!C3:C15,0))+1)+((L671-1)*(1-_xlfn.XLOOKUP(K671,'Fevereiro 2023 - Valor Real'!A3:A15,'Fevereiro 2023 - Valor Real'!C3:C15,0))+1))))))</f>
        <v>0.74426333227512753</v>
      </c>
      <c r="AF671" s="66">
        <f t="shared" si="1342"/>
        <v>0</v>
      </c>
      <c r="AG671" s="67">
        <f t="shared" si="1342"/>
        <v>17.37</v>
      </c>
      <c r="AH671" s="67">
        <f t="shared" si="1342"/>
        <v>0</v>
      </c>
      <c r="AI671" s="67">
        <f t="shared" si="1342"/>
        <v>0</v>
      </c>
      <c r="AJ671" s="67">
        <f t="shared" si="1342"/>
        <v>0</v>
      </c>
      <c r="AK671" s="67">
        <f t="shared" si="1342"/>
        <v>0</v>
      </c>
      <c r="AL671" s="67">
        <f t="shared" si="1342"/>
        <v>0</v>
      </c>
      <c r="AM671" s="67">
        <f t="shared" si="1342"/>
        <v>0</v>
      </c>
      <c r="AN671" s="67">
        <f t="shared" si="1342"/>
        <v>0</v>
      </c>
      <c r="AO671" s="67">
        <f t="shared" si="1342"/>
        <v>0</v>
      </c>
      <c r="AP671" s="67">
        <f t="shared" si="1342"/>
        <v>0</v>
      </c>
      <c r="AQ671" s="67">
        <f t="shared" si="1342"/>
        <v>0</v>
      </c>
      <c r="AR671" s="68">
        <f t="shared" si="1342"/>
        <v>0</v>
      </c>
      <c r="AS671" s="66">
        <f>IF(AND($B670=" ",$K671=AS$3),$O671,0)</f>
        <v>0</v>
      </c>
      <c r="AT671" s="67">
        <f>IF(AND($B670=" ",K671=AT$3),$O671,0)</f>
        <v>0</v>
      </c>
      <c r="AU671" s="67">
        <f t="shared" ref="AU671:BE671" si="1354">IF(AND($B670=" ",$K671=AU$3),$O671,0)</f>
        <v>0</v>
      </c>
      <c r="AV671" s="67">
        <f t="shared" si="1354"/>
        <v>0</v>
      </c>
      <c r="AW671" s="67">
        <f t="shared" si="1354"/>
        <v>0</v>
      </c>
      <c r="AX671" s="67">
        <f t="shared" si="1354"/>
        <v>0</v>
      </c>
      <c r="AY671" s="69">
        <f t="shared" si="1354"/>
        <v>0</v>
      </c>
      <c r="AZ671" s="70">
        <f t="shared" si="1354"/>
        <v>0</v>
      </c>
      <c r="BA671" s="70">
        <f t="shared" si="1354"/>
        <v>0</v>
      </c>
      <c r="BB671" s="70">
        <f t="shared" si="1354"/>
        <v>0</v>
      </c>
      <c r="BC671" s="71">
        <f t="shared" si="1354"/>
        <v>0</v>
      </c>
      <c r="BD671" s="67">
        <f t="shared" si="1354"/>
        <v>0</v>
      </c>
      <c r="BE671" s="68">
        <f t="shared" si="1354"/>
        <v>0</v>
      </c>
      <c r="BF671" s="66">
        <f t="shared" si="1344"/>
        <v>0</v>
      </c>
      <c r="BG671" s="168">
        <f t="shared" si="1344"/>
        <v>43.42</v>
      </c>
      <c r="BH671" s="67">
        <f t="shared" si="1344"/>
        <v>0</v>
      </c>
      <c r="BI671" s="67">
        <f t="shared" si="1344"/>
        <v>0</v>
      </c>
      <c r="BJ671" s="67">
        <f t="shared" si="1344"/>
        <v>0</v>
      </c>
      <c r="BK671" s="67">
        <f t="shared" si="1344"/>
        <v>0</v>
      </c>
      <c r="BL671" s="67">
        <f t="shared" si="1344"/>
        <v>0</v>
      </c>
      <c r="BM671" s="69">
        <f t="shared" si="1344"/>
        <v>0</v>
      </c>
      <c r="BN671" s="70">
        <f t="shared" si="1344"/>
        <v>0</v>
      </c>
      <c r="BO671" s="70">
        <f t="shared" si="1344"/>
        <v>0</v>
      </c>
      <c r="BP671" s="70">
        <f t="shared" si="1344"/>
        <v>0</v>
      </c>
      <c r="BQ671" s="71">
        <f t="shared" si="1344"/>
        <v>0</v>
      </c>
      <c r="BR671" s="68">
        <f t="shared" si="1344"/>
        <v>0</v>
      </c>
      <c r="BS671" s="491"/>
      <c r="BT671" s="489"/>
      <c r="BU671" s="392"/>
      <c r="BV671" s="489"/>
      <c r="BW671" s="392"/>
      <c r="BX671" s="392"/>
      <c r="BY671" s="392"/>
      <c r="BZ671" s="489"/>
      <c r="CA671" s="392"/>
      <c r="CB671" s="392"/>
      <c r="CC671" s="392"/>
      <c r="CD671" s="401"/>
      <c r="CE671" s="409"/>
      <c r="CF671" s="169">
        <f t="shared" si="1285"/>
        <v>0</v>
      </c>
      <c r="CG671" s="170">
        <f t="shared" si="1286"/>
        <v>0</v>
      </c>
      <c r="CH671" s="170">
        <f t="shared" si="1287"/>
        <v>1</v>
      </c>
      <c r="CI671" s="170">
        <f t="shared" si="1288"/>
        <v>0</v>
      </c>
      <c r="CJ671" s="170">
        <f t="shared" si="1289"/>
        <v>0</v>
      </c>
      <c r="CK671" s="170">
        <f t="shared" si="1290"/>
        <v>0</v>
      </c>
      <c r="CL671" s="170">
        <f t="shared" si="1291"/>
        <v>0</v>
      </c>
      <c r="CM671" s="170">
        <f t="shared" si="1292"/>
        <v>0</v>
      </c>
      <c r="CN671" s="170">
        <f t="shared" si="1293"/>
        <v>0</v>
      </c>
      <c r="CO671" s="170">
        <f t="shared" si="1294"/>
        <v>0</v>
      </c>
      <c r="CP671" s="170">
        <f t="shared" si="1295"/>
        <v>0</v>
      </c>
      <c r="CQ671" s="170">
        <f t="shared" si="1296"/>
        <v>0</v>
      </c>
      <c r="CR671" s="170">
        <f t="shared" si="1297"/>
        <v>0</v>
      </c>
      <c r="CS671" s="170">
        <f t="shared" si="1298"/>
        <v>0</v>
      </c>
      <c r="CT671" s="75">
        <f t="shared" si="1299"/>
        <v>0</v>
      </c>
      <c r="CU671" s="76">
        <f t="shared" si="1300"/>
        <v>0</v>
      </c>
      <c r="CV671" s="76">
        <f t="shared" si="1301"/>
        <v>0</v>
      </c>
      <c r="CW671" s="76">
        <f t="shared" si="1302"/>
        <v>0</v>
      </c>
      <c r="CX671" s="76">
        <f t="shared" si="1303"/>
        <v>0</v>
      </c>
      <c r="CY671" s="76">
        <f t="shared" si="1304"/>
        <v>0</v>
      </c>
      <c r="CZ671" s="76">
        <f t="shared" si="1305"/>
        <v>0</v>
      </c>
      <c r="DA671" s="76">
        <f t="shared" si="1306"/>
        <v>0</v>
      </c>
      <c r="DB671" s="76">
        <f t="shared" si="1307"/>
        <v>0</v>
      </c>
      <c r="DC671" s="76">
        <f t="shared" si="1308"/>
        <v>0</v>
      </c>
      <c r="DD671" s="76">
        <f t="shared" si="1309"/>
        <v>0</v>
      </c>
      <c r="DE671" s="77">
        <f t="shared" si="1310"/>
        <v>0</v>
      </c>
      <c r="DF671" s="73">
        <f t="shared" si="1312"/>
        <v>40</v>
      </c>
      <c r="DG671" s="67">
        <f t="shared" si="1313"/>
        <v>52.977999999999994</v>
      </c>
      <c r="DH671" s="76">
        <f t="shared" si="1314"/>
        <v>15</v>
      </c>
      <c r="DI671" s="67">
        <f t="shared" si="1315"/>
        <v>64.349999999999994</v>
      </c>
      <c r="DJ671" s="202" t="str">
        <f>IF($D670="","",$D670)</f>
        <v>21</v>
      </c>
      <c r="DK671" s="493"/>
    </row>
    <row r="672" spans="1:115" ht="14.5" customHeight="1" x14ac:dyDescent="0.2">
      <c r="A672" s="390"/>
      <c r="B672" s="457"/>
      <c r="C672" s="79" t="s">
        <v>55</v>
      </c>
      <c r="D672" s="375"/>
      <c r="E672" s="387"/>
      <c r="F672" s="378"/>
      <c r="G672" s="508"/>
      <c r="H672" s="477"/>
      <c r="I672" s="183" t="s">
        <v>71</v>
      </c>
      <c r="J672" s="172"/>
      <c r="K672" s="185" t="s">
        <v>38</v>
      </c>
      <c r="L672" s="186">
        <v>4.5999999999999996</v>
      </c>
      <c r="M672" s="174">
        <v>13.92</v>
      </c>
      <c r="N672" s="407"/>
      <c r="O672" s="187">
        <f>IF(OR(AE670="",AE671=""),"",IF(L672&gt;0,ROUND(IF(M672&gt;0,M672,IF(M670&gt;0,ROUND((M670*AE672)/AE670,IF(N670=0,2,IF(N670=0.1,1,0))),IF(M671&gt;0,ROUND((M671*AE672)/AE671,IF(N670=0,2,IF(N670=0.1,1,0))),IF(M672&gt;0,M672,0)))),2),""))</f>
        <v>13.92</v>
      </c>
      <c r="P672" s="188">
        <f>IF(I671="Lay",O671*(L671/(L671-1))-O671,IF(I670="Lay",O670*(L670/(L670-1))-O670,IF(OR(L672="",O672=""),"",IF($C672="1/2W",O672/2+O672/2*L672,IF($C672="1/2L",O672/2,(O672*L672-O672)*(1-_xlfn.XLOOKUP(K672,'Fevereiro 2023 - Valor Real'!A3:A15,'Fevereiro 2023 - Valor Real'!C3:C15,0))+O672)))))</f>
        <v>60.774720000000002</v>
      </c>
      <c r="Q672" s="166">
        <f>IF(K672="","",IF(_xlfn.XLOOKUP(K672,K$11:K662,$DJ$11:DJ662,0,,-1)=DJ672,_xlfn.XLOOKUP(K672,K$11:K662,Q$11:Q662,1,,-1)+1,1))</f>
        <v>4</v>
      </c>
      <c r="R672" s="189">
        <f>IF(K672="","",_xlfn.XLOOKUP(K672,K$11:K662,R$11:R662,0,,-1)+IF($C672=" ",1,0))</f>
        <v>0</v>
      </c>
      <c r="S672" s="404"/>
      <c r="T672" s="378"/>
      <c r="U672" s="378"/>
      <c r="V672" s="404"/>
      <c r="W672" s="378"/>
      <c r="X672" s="453"/>
      <c r="Y672" s="383"/>
      <c r="Z672" s="384"/>
      <c r="AA672" s="384"/>
      <c r="AB672" s="384"/>
      <c r="AC672" s="384"/>
      <c r="AD672" s="90"/>
      <c r="AE672" s="190">
        <f>IF(L672="","",(SUM(((L670-1)*(1-_xlfn.XLOOKUP(K670,'Fevereiro 2023 - Valor Real'!A3:A15,'Fevereiro 2023 - Valor Real'!C3:C15,0))+1),((L671-1)*(1-_xlfn.XLOOKUP(K671,'Fevereiro 2023 - Valor Real'!A3:A15,'Fevereiro 2023 - Valor Real'!C3:C15,0))+1),((L672-1)*(1-_xlfn.XLOOKUP(K672,'Fevereiro 2023 - Valor Real'!A3:A15,'Fevereiro 2023 - Valor Real'!C3:C15,0))+1))/((L672-1)*(1-_xlfn.XLOOKUP(K672,'Fevereiro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Real'!C3:C15,0))+1))/((L670-1)*(1-_xlfn.XLOOKUP(K670,'Fevereiro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Real'!C3:C15,0))+1))/((L671-1)*(1-_xlfn.XLOOKUP(K671,'Fevereiro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Real'!C3:C15,0))+1))/((L672-1)*(1-_xlfn.XLOOKUP(K672,'Fevereiro 2023 - Valor Real'!A3:A15,'Fevereiro 2023 - Valor Real'!C3:C15,0))+1)))</f>
        <v>0.23865521419724658</v>
      </c>
      <c r="AF672" s="66">
        <f t="shared" si="1342"/>
        <v>0</v>
      </c>
      <c r="AG672" s="67">
        <f t="shared" si="1342"/>
        <v>0</v>
      </c>
      <c r="AH672" s="67">
        <f t="shared" si="1342"/>
        <v>-13.92</v>
      </c>
      <c r="AI672" s="67">
        <f t="shared" si="1342"/>
        <v>0</v>
      </c>
      <c r="AJ672" s="67">
        <f t="shared" si="1342"/>
        <v>0</v>
      </c>
      <c r="AK672" s="67">
        <f t="shared" si="1342"/>
        <v>0</v>
      </c>
      <c r="AL672" s="67">
        <f t="shared" si="1342"/>
        <v>0</v>
      </c>
      <c r="AM672" s="67">
        <f t="shared" si="1342"/>
        <v>0</v>
      </c>
      <c r="AN672" s="67">
        <f t="shared" si="1342"/>
        <v>0</v>
      </c>
      <c r="AO672" s="67">
        <f t="shared" si="1342"/>
        <v>0</v>
      </c>
      <c r="AP672" s="67">
        <f t="shared" si="1342"/>
        <v>0</v>
      </c>
      <c r="AQ672" s="67">
        <f t="shared" si="1342"/>
        <v>0</v>
      </c>
      <c r="AR672" s="68">
        <f t="shared" si="1342"/>
        <v>0</v>
      </c>
      <c r="AS672" s="66">
        <f>IF(AND($B670=" ",$K672=AS$3),$O672,0)</f>
        <v>0</v>
      </c>
      <c r="AT672" s="67">
        <f>IF(AND($B670=" ",K672=AT$3),$O672,0)</f>
        <v>0</v>
      </c>
      <c r="AU672" s="67">
        <f t="shared" ref="AU672:BE672" si="1355">IF(AND($B670=" ",$K672=AU$3),$O672,0)</f>
        <v>0</v>
      </c>
      <c r="AV672" s="67">
        <f t="shared" si="1355"/>
        <v>0</v>
      </c>
      <c r="AW672" s="67">
        <f t="shared" si="1355"/>
        <v>0</v>
      </c>
      <c r="AX672" s="67">
        <f t="shared" si="1355"/>
        <v>0</v>
      </c>
      <c r="AY672" s="69">
        <f t="shared" si="1355"/>
        <v>0</v>
      </c>
      <c r="AZ672" s="70">
        <f t="shared" si="1355"/>
        <v>0</v>
      </c>
      <c r="BA672" s="70">
        <f t="shared" si="1355"/>
        <v>0</v>
      </c>
      <c r="BB672" s="70">
        <f t="shared" si="1355"/>
        <v>0</v>
      </c>
      <c r="BC672" s="71">
        <f t="shared" si="1355"/>
        <v>0</v>
      </c>
      <c r="BD672" s="67">
        <f t="shared" si="1355"/>
        <v>0</v>
      </c>
      <c r="BE672" s="68">
        <f t="shared" si="1355"/>
        <v>0</v>
      </c>
      <c r="BF672" s="66">
        <f t="shared" si="1344"/>
        <v>0</v>
      </c>
      <c r="BG672" s="168">
        <f t="shared" si="1344"/>
        <v>0</v>
      </c>
      <c r="BH672" s="67">
        <f t="shared" si="1344"/>
        <v>13.92</v>
      </c>
      <c r="BI672" s="67">
        <f t="shared" si="1344"/>
        <v>0</v>
      </c>
      <c r="BJ672" s="67">
        <f t="shared" si="1344"/>
        <v>0</v>
      </c>
      <c r="BK672" s="67">
        <f t="shared" si="1344"/>
        <v>0</v>
      </c>
      <c r="BL672" s="67">
        <f t="shared" si="1344"/>
        <v>0</v>
      </c>
      <c r="BM672" s="69">
        <f t="shared" si="1344"/>
        <v>0</v>
      </c>
      <c r="BN672" s="70">
        <f t="shared" si="1344"/>
        <v>0</v>
      </c>
      <c r="BO672" s="70">
        <f t="shared" si="1344"/>
        <v>0</v>
      </c>
      <c r="BP672" s="70">
        <f t="shared" si="1344"/>
        <v>0</v>
      </c>
      <c r="BQ672" s="71">
        <f t="shared" si="1344"/>
        <v>0</v>
      </c>
      <c r="BR672" s="68">
        <f t="shared" si="1344"/>
        <v>0</v>
      </c>
      <c r="BS672" s="491"/>
      <c r="BT672" s="489"/>
      <c r="BU672" s="392"/>
      <c r="BV672" s="489"/>
      <c r="BW672" s="392"/>
      <c r="BX672" s="392"/>
      <c r="BY672" s="392"/>
      <c r="BZ672" s="489"/>
      <c r="CA672" s="392"/>
      <c r="CB672" s="392"/>
      <c r="CC672" s="392"/>
      <c r="CD672" s="401"/>
      <c r="CE672" s="409"/>
      <c r="CF672" s="169">
        <f t="shared" si="1285"/>
        <v>0</v>
      </c>
      <c r="CG672" s="170">
        <f t="shared" si="1286"/>
        <v>0</v>
      </c>
      <c r="CH672" s="170">
        <f t="shared" si="1287"/>
        <v>0</v>
      </c>
      <c r="CI672" s="170">
        <f t="shared" si="1288"/>
        <v>0</v>
      </c>
      <c r="CJ672" s="170">
        <f t="shared" si="1289"/>
        <v>0</v>
      </c>
      <c r="CK672" s="170">
        <f t="shared" si="1290"/>
        <v>1</v>
      </c>
      <c r="CL672" s="170">
        <f t="shared" si="1291"/>
        <v>0</v>
      </c>
      <c r="CM672" s="170">
        <f t="shared" si="1292"/>
        <v>0</v>
      </c>
      <c r="CN672" s="170">
        <f t="shared" si="1293"/>
        <v>0</v>
      </c>
      <c r="CO672" s="170">
        <f t="shared" si="1294"/>
        <v>0</v>
      </c>
      <c r="CP672" s="170">
        <f t="shared" si="1295"/>
        <v>0</v>
      </c>
      <c r="CQ672" s="170">
        <f t="shared" si="1296"/>
        <v>0</v>
      </c>
      <c r="CR672" s="170">
        <f t="shared" si="1297"/>
        <v>0</v>
      </c>
      <c r="CS672" s="170">
        <f t="shared" si="1298"/>
        <v>0</v>
      </c>
      <c r="CT672" s="75">
        <f t="shared" si="1299"/>
        <v>0</v>
      </c>
      <c r="CU672" s="76">
        <f t="shared" si="1300"/>
        <v>0</v>
      </c>
      <c r="CV672" s="76">
        <f t="shared" si="1301"/>
        <v>0</v>
      </c>
      <c r="CW672" s="76">
        <f t="shared" si="1302"/>
        <v>0</v>
      </c>
      <c r="CX672" s="76">
        <f t="shared" si="1303"/>
        <v>0</v>
      </c>
      <c r="CY672" s="76">
        <f t="shared" si="1304"/>
        <v>0</v>
      </c>
      <c r="CZ672" s="76">
        <f t="shared" si="1305"/>
        <v>0</v>
      </c>
      <c r="DA672" s="76">
        <f t="shared" si="1306"/>
        <v>0</v>
      </c>
      <c r="DB672" s="76">
        <f t="shared" si="1307"/>
        <v>0</v>
      </c>
      <c r="DC672" s="76">
        <f t="shared" si="1308"/>
        <v>0</v>
      </c>
      <c r="DD672" s="76">
        <f t="shared" si="1309"/>
        <v>0</v>
      </c>
      <c r="DE672" s="77">
        <f t="shared" si="1310"/>
        <v>0</v>
      </c>
      <c r="DF672" s="73">
        <f t="shared" si="1312"/>
        <v>40</v>
      </c>
      <c r="DG672" s="67">
        <f t="shared" si="1313"/>
        <v>52.977999999999994</v>
      </c>
      <c r="DH672" s="76">
        <f t="shared" si="1314"/>
        <v>15</v>
      </c>
      <c r="DI672" s="67">
        <f t="shared" si="1315"/>
        <v>64.349999999999994</v>
      </c>
      <c r="DJ672" s="202" t="str">
        <f>IF($D670="","",$D670)</f>
        <v>21</v>
      </c>
      <c r="DK672" s="493"/>
    </row>
    <row r="673" spans="1:115" ht="14.5" customHeight="1" x14ac:dyDescent="0.2">
      <c r="A673" s="459">
        <f>$A670+1</f>
        <v>224</v>
      </c>
      <c r="B673" s="507" t="str">
        <f>IF(OR(C673="W",C674="W",C675="W",C673="1/2W",C674="1/2W",C675="1/2W",C673="1/2L",C674="1/2L",C675="1/2L"),"OK",IF(OR(C673="L",C674="L",C675="L"),"LOSS",IF(OR(C673="X",C674="X",C675="X"),"Anulado"," ")))</f>
        <v>OK</v>
      </c>
      <c r="C673" s="93" t="s">
        <v>55</v>
      </c>
      <c r="D673" s="468" t="str">
        <f>IF(G673="","",$D670)</f>
        <v>21</v>
      </c>
      <c r="E673" s="485" t="str">
        <f>IF(G673=""," ","– "&amp;COUNTIF(D$4:D675,$D673))</f>
        <v>– 20</v>
      </c>
      <c r="F673" s="509" t="str">
        <f ca="1">IF(G673="","",IF(OR(AND($C673&lt;&gt;" ",$C674=" "),AND($C674&lt;&gt;" ",$C673=" "),AND(L675&gt;0,OR(AND($C675&lt;&gt;" ",OR($C673=" ",$C674=" ")),AND($C675=" ",OR($C673&lt;&gt;" ",$C674&lt;&gt;" "))))),IF(SUM(F$4:F672)=0,1,LARGE(F$4:F672,1)+1),IF(MONTH(G673)=MONTH(TODAY()),IF(AND(DAY(G673)&lt;DAY(TODAY()),$B673=" "),IF(SUM(F$4:F672)=0,1,LARGE(F$4:F672,1)+1),IF($B673=" ",IF(AND(DAY(G673)=DAY(TODAY()),HOUR(G673)&lt;=HOUR(NOW())+1),IF(AND(HOUR(G673)+2&lt;=HOUR(NOW()),DAY(G673)&lt;=DAY(TODAY()),MINUTE(G673)&lt;=MINUTE(NOW())),IF(SUM(F$4:F672)=0,1,LARGE(F$4:F672,1)+1),IF(OR(MINUTE(G673)&lt;=MINUTE(NOW()),HOUR(G673)&lt;=HOUR(NOW())),"!!!","")),""),"")),"")))</f>
        <v/>
      </c>
      <c r="G673" s="482">
        <v>45008.875</v>
      </c>
      <c r="H673" s="475" t="s">
        <v>236</v>
      </c>
      <c r="I673" s="94" t="s">
        <v>72</v>
      </c>
      <c r="J673" s="176"/>
      <c r="K673" s="96" t="s">
        <v>37</v>
      </c>
      <c r="L673" s="97">
        <v>1.65</v>
      </c>
      <c r="M673" s="98">
        <v>22.29</v>
      </c>
      <c r="N673" s="478">
        <v>0</v>
      </c>
      <c r="O673" s="99">
        <f>IF(OR(AE673="",AE674=""),"",ROUND(IF(L675&gt;0,IF(M673&gt;0,M673,IF(M674&gt;0,ROUND((M674*AE673)/AE674,IF(N673=0,2,IF(N673=0.1,1,0))),ROUND((M675*AE673)/AE675,IF(N673=0,2,IF(N673=0.1,1,0))))),IF(M673&gt;0,M673,ROUND((M674*AE673)/AE674,IF(N673=0,2,IF(N673=0.1,1,0))))),2))</f>
        <v>22.29</v>
      </c>
      <c r="P673" s="100">
        <f>IF(OR(L673="",O673=""),"",IF($C673="1/2W",O673/2+O673/2*L673,IF($C673="1/2L",O673/2,IF(I673="Lay",(O673*(L673/(L673-1))-O673)*(1-_xlfn.XLOOKUP(K673,'Fevereiro 2023 - Valor Real'!A3:A15,'Fevereiro 2023 - Valor Real'!C3:C15,0))+O673,(O673*L673-O673)*(1-_xlfn.XLOOKUP(K673,'Fevereiro 2023 - Valor Real'!A3:A15,'Fevereiro 2023 - Valor Real'!C3:C15,0))+O673))))</f>
        <v>36.778499999999994</v>
      </c>
      <c r="Q673" s="101">
        <f>IF(K673="","",IF(_xlfn.XLOOKUP(K673,K$4:K672,$DJ$4:DJ672,0,,-1)=DJ673,_xlfn.XLOOKUP(K673,K$4:K672,Q$4:Q672,1,,-1)+1,1))</f>
        <v>4</v>
      </c>
      <c r="R673" s="102">
        <f>IF(K673="","",_xlfn.XLOOKUP(K673,K$4:K672,R$4:R672,0,,-1)+IF($C673=" ",1,0))</f>
        <v>0</v>
      </c>
      <c r="S673" s="474">
        <f>IF($B673="Anulado",0,ROUND(IF(OR($B673="LOSS",$B673="OK"),IF(OR($C673="W",$C673="1/2W",$C673="1/2L"),P673-O673,IF($C673="L",-O673,0))+IF(OR($C674="W",$C674="1/2W",$C674="1/2L"),P674-O674,IF($C674="L",-O674,0))+IF(OR($C675="W",$C675="1/2W",$C675="1/2L"),P675-O675,IF($C675="L",-O675,0)),IF(AND(OR($C673="W",$C673="1/2W",$C673="1/2L"),C674="W"),P673+P674-SUM(O673:O675)+_xlfn.XLOOKUP("X",C673:C675,O673:O675,0),IF(AND(C673=TRUE,C675="W"),P673+P675-SUM(O673:O675),IF(AND(C674="W",C675="W"),P674+P675-SUM(O673:O675)+_xlfn.XLOOKUP("X",C673:C675,O673:O675,0),IF(L675&gt;0,IF(OR($C673="W",$C673="1/2W",$C673="1/2L"),P673-SUM(O673:O675)+_xlfn.XLOOKUP("X",C673:C675,O673:O675,0),IF(OR($C673="W",$C673="1/2W",$C673="1/2L"),P674-SUM(O673:O675)+_xlfn.XLOOKUP("X",C673:C675,O673:O675,0),IF(OR($C673="W",$C673="1/2W",$C673="1/2L"),P675-SUM(O673:O675)+_xlfn.XLOOKUP("X",C673:C675,O673:O675,0),IF(SUM(P673:P675)/3-SUM(O673:O675)+_xlfn.XLOOKUP("X",C673:C675,O673:O675,0)&gt;0,SUM(P673:P675)/3-SUM(O673:O675)+_xlfn.XLOOKUP("X",C673:C675,O673:O675,0),LARGE(P673:P675,1)-SUM(O673:O675))))),IF(OR($C673="W",$C673="1/2W",$C673="1/2L"),P673-SUM(O673:O674)+_xlfn.XLOOKUP("X",C673:C675,O673:O675,0),IF(OR($C673="W",$C673="1/2W",$C673="1/2L"),P674-SUM(O673:O674)+_xlfn.XLOOKUP("X",C673:C675,O673:O675,0),SUM(P673:P674)/2-SUM(O673:O674)+_xlfn.XLOOKUP("X",C673:C675,O673:O675,0)))))))),2))</f>
        <v>6.02</v>
      </c>
      <c r="T673" s="458">
        <f>IF(S673=0,0,S673/SUM(O673:O675))</f>
        <v>0.19583604424202991</v>
      </c>
      <c r="U673" s="470">
        <f>IF($D673=$D670,IF(OR($B673="LOSS",$B673="OK",$B673="Anulada"),S673,0)+U670,IF(OR($B673="LOSS",$B673="OK",$B673="Anulada"),S673,0))</f>
        <v>92.47</v>
      </c>
      <c r="V673" s="470">
        <f>IF($D673="",0,IF($D673=$D670,IF($B673=" ",IF(I675="",IF(OR(AND(I673="DNB1",I674="DNB2"),AND(OR(I673="DNB1",I673="DNB2"),J674=0),AND(OR(I674="DNB1",I674="DNB2"),J673=0),AND(I673="DNB2",I674="DNB1"),AND(IF(J673=0,(J673+1)/ROUND(J673+1,0),J673/ROUND(J673,0))=1,IF(J674=0,(J674+1)/ROUND(IF(J674="",0,J674)+1,0),IF(J674="",0,J674)/ROUND(IF(J674="",1,J674),0))=1,OR(J673&lt;&gt;""),J674&lt;&gt;"")),0,IF(S673&lt;0,IF(I675="",SMALL(P673:P674,1)-SUM(O673:O674),0),SMALL(P673:P674,1)-SUM(O673:O674))),IF(S673&lt;0,IF(I675="",SMALL(P673:P675,1)-SUM(O673:O675),0),LARGE(P673:P675,1)-SUM(O673:O675))),S673)+V670,IF(I675="",IF(OR(AND(I673="DNB1",I674="DNB2"),AND(OR(I673="DNB1",I673="DNB2"),J674=0),AND(OR(I674="DNB1",I674="DNB2"),J673=0),AND(I673="DNB2",I674="DNB1"),AND(IF(J673=0,(J673+1)/ROUND(J673+1,0),J673/ROUND(J673,0))=1,IF(J674=0,(IF(J674="",0,J674)+1)/ROUND(IF(J674="",0,J674)+1,0),IF(J674="",0,J674)/ROUND(IF(J674="",0,J674)+1,0))=1,OR(J673&lt;&gt;""),J674&lt;&gt;"")),0,IF(S673&lt;0,IF(I675="",SMALL(P673:P674,1)-SUM(O673:O674),0),SMALL(P673:P675,1)-SUM(O673:O675))),IF(S673&lt;0,IF(I675="",SMALL(P673:P675,1)-SUM(O673:O675),0),LARGE(P673:P675,1)-SUM(O673:O675)))))</f>
        <v>92.468000000000004</v>
      </c>
      <c r="W673" s="470">
        <f>IF($D673=$D670,IF(S673&lt;0,IF(I675="",S673,0),S673)+W670,S673)</f>
        <v>92.47</v>
      </c>
      <c r="X673" s="480" t="str">
        <f>IF(OR(SUM(R673:R675)=0,V673=W673),ROUND(IF(W673=0,0,W673/Y673)*100,2)&amp;"%",ROUND(IF(V673=0,0,V673/Y673)*100,2)&amp;"% a "&amp;ROUND(IF(W673=0,0,W673/Y673)*100,2)&amp;"%")</f>
        <v>7,37%</v>
      </c>
      <c r="Y673" s="471">
        <f>IF($D673=$D670,Y670+SUM(O673:O675),SUM(O673:O675))</f>
        <v>1254.3499999999999</v>
      </c>
      <c r="Z673" s="470">
        <f>IF($B673=" ",SUM(O673:O675),0)+Z670</f>
        <v>0</v>
      </c>
      <c r="AA673" s="470">
        <f>IF(G673="","",IF($B673="Anulado",LARGE(P673:P675,1)-SUM(O673:O675)+AA670,AA670))</f>
        <v>13.381099999999991</v>
      </c>
      <c r="AB673" s="470">
        <f>IF($D673="","",AB670+S673)</f>
        <v>770.10000000000048</v>
      </c>
      <c r="AC673" s="472">
        <f ca="1">IF($D673="","",IF($B673=" ",IF(DAY(G673)=DAY(TODAY()),1+AC670,0+AC670),0+AC670))</f>
        <v>0</v>
      </c>
      <c r="AD673" s="103">
        <f>(((L674/(L674-1)-1)*(1-_xlfn.XLOOKUP(K674,'Fevereiro 2023 - Valor Real'!A3:A15,'Fevereiro 2023 - Valor Real'!C3:C15,0))+1))/(((L673-1)*(1-_xlfn.XLOOKUP(K673,'Fevereiro 2023 - Valor Real'!A3:A15,'Fevereiro 2023 - Valor Real'!C3:C15,0))+1)+((L674/(L674-1)-1)*(1-_xlfn.XLOOKUP(K674,'Fevereiro 2023 - Valor Real'!A3:A15,'Fevereiro 2023 - Valor Real'!C3:C15,0))+1))</f>
        <v>0.44039483675018981</v>
      </c>
      <c r="AE673" s="104">
        <f>IF(L673="","",IF(L675&gt;0,(SUM(((L673-1)*(1-_xlfn.XLOOKUP(K673,'Fevereiro 2023 - Valor Real'!A3:A15,'Fevereiro 2023 - Valor Real'!C3:C15,0))+1),((L674-1)*(1-_xlfn.XLOOKUP(K674,'Fevereiro 2023 - Valor Real'!A3:A15,'Fevereiro 2023 - Valor Real'!C3:C15,0))+1),((L675-1)*(1-_xlfn.XLOOKUP(K675,'Fevereiro 2023 - Valor Real'!A3:A15,'Fevereiro 2023 - Valor Real'!C3:C15,0))+1))/((L673-1)*(1-_xlfn.XLOOKUP(K673,'Fevereiro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Real'!C3:C15,0))+1))/((L673-1)*(1-_xlfn.XLOOKUP(K673,'Fevereiro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Real'!C3:C15,0))+1))/((L674-1)*(1-_xlfn.XLOOKUP(K674,'Fevereiro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Real'!C3:C15,0))+1))/((L675-1)*(1-_xlfn.XLOOKUP(K675,'Fevereiro 2023 - Valor Real'!A3:A15,'Fevereiro 2023 - Valor Real'!C3:C15,0))+1)),IF(I673="Lay",IF(I674="Lay",((L674/(L674-1)-1)*(1-_xlfn.XLOOKUP(K674,'Fevereiro 2023 - Valor Real'!A3:A15,'Fevereiro 2023 - Valor Real'!C3:C15,0))+1)/(((L674/(L674-1)-1)*(1-_xlfn.XLOOKUP(K674,'Fevereiro 2023 - Valor Real'!A3:A15,'Fevereiro 2023 - Valor Real'!C3:C15,0))+1)+((L673/(L673-1)-1)*(1-_xlfn.XLOOKUP(K673,'Fevereiro 2023 - Valor Real'!A3:A15,'Fevereiro 2023 - Valor Real'!C3:C15,0))+1)),((L674-1)*(1-_xlfn.XLOOKUP(K674,'Fevereiro 2023 - Valor Real'!A3:A15,'Fevereiro 2023 - Valor Real'!C3:C15,0))+1)/(((L674-1)*(1-_xlfn.XLOOKUP(K674,'Fevereiro 2023 - Valor Real'!A3:A15,'Fevereiro 2023 - Valor Real'!C3:C15,0))+1)+((L673/(L673-1)-1)*(1-_xlfn.XLOOKUP(K673,'Fevereiro 2023 - Valor Real'!A3:A15,'Fevereiro 2023 - Valor Real'!C3:C15,0))+1))),IF(I674="Lay",(((L674/(L674-1)-1)*(1-_xlfn.XLOOKUP(K674,'Fevereiro 2023 - Valor Real'!A3:A15,'Fevereiro 2023 - Valor Real'!C3:C15,0))+1))/(((L673-1)*(1-_xlfn.XLOOKUP(K673,'Fevereiro 2023 - Valor Real'!A3:A15,'Fevereiro 2023 - Valor Real'!C3:C15,0))+1)+((L674/(L674-1)-1)*(1-_xlfn.XLOOKUP(K674,'Fevereiro 2023 - Valor Real'!A3:A15,'Fevereiro 2023 - Valor Real'!C3:C15,0))+1)),((L674-1)*(1-_xlfn.XLOOKUP(K674,'Fevereiro 2023 - Valor Real'!A3:A15,'Fevereiro 2023 - Valor Real'!C3:C15,0))+1)/(((L674-1)*(1-_xlfn.XLOOKUP(K674,'Fevereiro 2023 - Valor Real'!A3:A15,'Fevereiro 2023 - Valor Real'!C3:C15,0))+1)+((L673-1)*(1-_xlfn.XLOOKUP(K673,'Fevereiro 2023 - Valor Real'!A3:A15,'Fevereiro 2023 - Valor Real'!C3:C15,0))+1))))))</f>
        <v>0.72499999999999998</v>
      </c>
      <c r="AF673" s="105">
        <f t="shared" si="1342"/>
        <v>0</v>
      </c>
      <c r="AG673" s="106">
        <f t="shared" si="1342"/>
        <v>-22.29</v>
      </c>
      <c r="AH673" s="106">
        <f t="shared" si="1342"/>
        <v>0</v>
      </c>
      <c r="AI673" s="106">
        <f t="shared" si="1342"/>
        <v>0</v>
      </c>
      <c r="AJ673" s="106">
        <f t="shared" si="1342"/>
        <v>0</v>
      </c>
      <c r="AK673" s="106">
        <f t="shared" si="1342"/>
        <v>0</v>
      </c>
      <c r="AL673" s="106">
        <f t="shared" si="1342"/>
        <v>0</v>
      </c>
      <c r="AM673" s="106">
        <f t="shared" si="1342"/>
        <v>0</v>
      </c>
      <c r="AN673" s="106">
        <f t="shared" si="1342"/>
        <v>0</v>
      </c>
      <c r="AO673" s="106">
        <f t="shared" si="1342"/>
        <v>0</v>
      </c>
      <c r="AP673" s="106">
        <f t="shared" si="1342"/>
        <v>0</v>
      </c>
      <c r="AQ673" s="106">
        <f t="shared" si="1342"/>
        <v>0</v>
      </c>
      <c r="AR673" s="107">
        <f t="shared" si="1342"/>
        <v>0</v>
      </c>
      <c r="AS673" s="105">
        <f t="shared" ref="AS673:BE673" si="1356">IF(AND($B673=" ",$K673=AS$3),$O673,0)</f>
        <v>0</v>
      </c>
      <c r="AT673" s="106">
        <f t="shared" si="1356"/>
        <v>0</v>
      </c>
      <c r="AU673" s="106">
        <f t="shared" si="1356"/>
        <v>0</v>
      </c>
      <c r="AV673" s="106">
        <f t="shared" si="1356"/>
        <v>0</v>
      </c>
      <c r="AW673" s="106">
        <f t="shared" si="1356"/>
        <v>0</v>
      </c>
      <c r="AX673" s="106">
        <f t="shared" si="1356"/>
        <v>0</v>
      </c>
      <c r="AY673" s="108">
        <f t="shared" si="1356"/>
        <v>0</v>
      </c>
      <c r="AZ673" s="109">
        <f t="shared" si="1356"/>
        <v>0</v>
      </c>
      <c r="BA673" s="109">
        <f t="shared" si="1356"/>
        <v>0</v>
      </c>
      <c r="BB673" s="109">
        <f t="shared" si="1356"/>
        <v>0</v>
      </c>
      <c r="BC673" s="110">
        <f t="shared" si="1356"/>
        <v>0</v>
      </c>
      <c r="BD673" s="106">
        <f t="shared" si="1356"/>
        <v>0</v>
      </c>
      <c r="BE673" s="107">
        <f t="shared" si="1356"/>
        <v>0</v>
      </c>
      <c r="BF673" s="111">
        <f t="shared" si="1344"/>
        <v>0</v>
      </c>
      <c r="BG673" s="106">
        <f t="shared" si="1344"/>
        <v>22.29</v>
      </c>
      <c r="BH673" s="106">
        <f t="shared" si="1344"/>
        <v>0</v>
      </c>
      <c r="BI673" s="106">
        <f t="shared" si="1344"/>
        <v>0</v>
      </c>
      <c r="BJ673" s="106">
        <f t="shared" si="1344"/>
        <v>0</v>
      </c>
      <c r="BK673" s="106">
        <f t="shared" si="1344"/>
        <v>0</v>
      </c>
      <c r="BL673" s="106">
        <f t="shared" si="1344"/>
        <v>0</v>
      </c>
      <c r="BM673" s="108">
        <f t="shared" si="1344"/>
        <v>0</v>
      </c>
      <c r="BN673" s="109">
        <f t="shared" si="1344"/>
        <v>0</v>
      </c>
      <c r="BO673" s="109">
        <f t="shared" si="1344"/>
        <v>0</v>
      </c>
      <c r="BP673" s="109">
        <f t="shared" si="1344"/>
        <v>0</v>
      </c>
      <c r="BQ673" s="110">
        <f t="shared" si="1344"/>
        <v>0</v>
      </c>
      <c r="BR673" s="107">
        <f t="shared" si="1344"/>
        <v>0</v>
      </c>
      <c r="BS673" s="463">
        <f>IF($B673="LOSS",IF(AND($K673=BS$3,$C673="L"),-$O673,0)+IF(AND($K674=BS$3,$C674="L"),-$O674,0)+IF(AND($K675=BS$3,$C675="L"),-$O675,0),IF(OR(AND($K673=BS$3,OR($C673="W",$C673="1/2W")),AND($K674=BS$3,OR($C674="W",$C674="1/2W")),AND($K675=BS$3,OR($C675="W",$C675="1/2W"))),$S673,0))</f>
        <v>0</v>
      </c>
      <c r="BT673" s="462">
        <f>IF($B673="LOSS",IF(AND($K673=BT$3,$C673="L"),-$O673,0)+IF(AND($K674=BT$3,$C674="L"),-$O674,0)+IF(AND($K674=BT$3,$C675="L"),-$O675,0),IF(OR(AND($K674=BT$3,OR($C673="W",$C673="1/2W")),AND($K674=BT$3,OR($C674="W",$C674="1/2W")),AND($K674=BT$3,OR($C675="W",$C675="1/2W"))),$S673,0))</f>
        <v>0</v>
      </c>
      <c r="BU673" s="462">
        <f>IF($B673="LOSS",IF(AND($K673=BU$3,$C673="L"),-$O673,0)+IF(AND($K674=BU$3,$C674="L"),-$O674,0)+IF(AND($K674=BU$3,$C675="L"),-$O675,0),IF(OR(AND($K674=BU$3,OR($C673="W",$C673="1/2W")),AND($K674=BU$3,OR($C674="W",$C674="1/2W")),AND($K674=BU$3,OR($C675="W",$C675="1/2W"))),$S673,0))</f>
        <v>0</v>
      </c>
      <c r="BV673" s="462">
        <f t="shared" ref="BV673:CE673" si="1357">IF($B673="LOSS",IF(AND($K673=BV$3,$C673="L"),-$O673,0)+IF(AND($K674=BV$3,$C674="L"),-$O674,0)+IF(AND($K675=BV$3,$C675="L"),-$O675,0),IF(OR(AND($K673=BV$3,OR($C673="W",$C673="1/2W")),AND($K674=BV$3,OR($C674="W",$C674="1/2W")),AND($K675=BV$3,OR($C675="W",$C675="1/2W"))),$S673,0))</f>
        <v>0</v>
      </c>
      <c r="BW673" s="462">
        <f t="shared" si="1357"/>
        <v>6.02</v>
      </c>
      <c r="BX673" s="462">
        <f t="shared" si="1357"/>
        <v>0</v>
      </c>
      <c r="BY673" s="462">
        <f t="shared" si="1357"/>
        <v>0</v>
      </c>
      <c r="BZ673" s="460">
        <f t="shared" si="1357"/>
        <v>0</v>
      </c>
      <c r="CA673" s="460">
        <f t="shared" si="1357"/>
        <v>0</v>
      </c>
      <c r="CB673" s="460">
        <f t="shared" si="1357"/>
        <v>0</v>
      </c>
      <c r="CC673" s="460">
        <f t="shared" si="1357"/>
        <v>0</v>
      </c>
      <c r="CD673" s="473">
        <f t="shared" si="1357"/>
        <v>0</v>
      </c>
      <c r="CE673" s="479">
        <f t="shared" si="1357"/>
        <v>0</v>
      </c>
      <c r="CF673" s="113">
        <f t="shared" si="1285"/>
        <v>0</v>
      </c>
      <c r="CG673" s="114">
        <f t="shared" si="1286"/>
        <v>0</v>
      </c>
      <c r="CH673" s="114">
        <f t="shared" si="1287"/>
        <v>0</v>
      </c>
      <c r="CI673" s="114">
        <f t="shared" si="1288"/>
        <v>1</v>
      </c>
      <c r="CJ673" s="114">
        <f t="shared" si="1289"/>
        <v>0</v>
      </c>
      <c r="CK673" s="114">
        <f t="shared" si="1290"/>
        <v>0</v>
      </c>
      <c r="CL673" s="114">
        <f t="shared" si="1291"/>
        <v>0</v>
      </c>
      <c r="CM673" s="114">
        <f t="shared" si="1292"/>
        <v>0</v>
      </c>
      <c r="CN673" s="114">
        <f t="shared" si="1293"/>
        <v>0</v>
      </c>
      <c r="CO673" s="114">
        <f t="shared" si="1294"/>
        <v>0</v>
      </c>
      <c r="CP673" s="114">
        <f t="shared" si="1295"/>
        <v>0</v>
      </c>
      <c r="CQ673" s="114">
        <f t="shared" si="1296"/>
        <v>0</v>
      </c>
      <c r="CR673" s="114">
        <f t="shared" si="1297"/>
        <v>0</v>
      </c>
      <c r="CS673" s="114">
        <f t="shared" si="1298"/>
        <v>0</v>
      </c>
      <c r="CT673" s="115">
        <f t="shared" si="1299"/>
        <v>0</v>
      </c>
      <c r="CU673" s="116">
        <f t="shared" si="1300"/>
        <v>0</v>
      </c>
      <c r="CV673" s="116">
        <f t="shared" si="1301"/>
        <v>0</v>
      </c>
      <c r="CW673" s="116">
        <f t="shared" si="1302"/>
        <v>0</v>
      </c>
      <c r="CX673" s="116">
        <f t="shared" si="1303"/>
        <v>0</v>
      </c>
      <c r="CY673" s="116">
        <f t="shared" si="1304"/>
        <v>0</v>
      </c>
      <c r="CZ673" s="116">
        <f t="shared" si="1305"/>
        <v>0</v>
      </c>
      <c r="DA673" s="116">
        <f t="shared" si="1306"/>
        <v>0</v>
      </c>
      <c r="DB673" s="116">
        <f t="shared" si="1307"/>
        <v>0</v>
      </c>
      <c r="DC673" s="116">
        <f t="shared" si="1308"/>
        <v>0</v>
      </c>
      <c r="DD673" s="116">
        <f t="shared" si="1309"/>
        <v>0</v>
      </c>
      <c r="DE673" s="117">
        <f t="shared" si="1310"/>
        <v>0</v>
      </c>
      <c r="DF673" s="118">
        <f t="shared" si="1312"/>
        <v>40</v>
      </c>
      <c r="DG673" s="106">
        <f t="shared" si="1313"/>
        <v>52.977999999999994</v>
      </c>
      <c r="DH673" s="116">
        <f t="shared" si="1314"/>
        <v>15</v>
      </c>
      <c r="DI673" s="106">
        <f t="shared" si="1315"/>
        <v>64.349999999999994</v>
      </c>
      <c r="DJ673" s="201" t="str">
        <f>IF($D673="","",$D673)</f>
        <v>21</v>
      </c>
      <c r="DK673" s="465">
        <f>IF(AND($B673=" ",$D673&lt;&gt;""),1,0)</f>
        <v>0</v>
      </c>
    </row>
    <row r="674" spans="1:115" ht="14.5" customHeight="1" x14ac:dyDescent="0.2">
      <c r="A674" s="389"/>
      <c r="B674" s="456"/>
      <c r="C674" s="120" t="s">
        <v>54</v>
      </c>
      <c r="D674" s="374"/>
      <c r="E674" s="386"/>
      <c r="F674" s="377"/>
      <c r="G674" s="483"/>
      <c r="H674" s="476"/>
      <c r="I674" s="121" t="s">
        <v>51</v>
      </c>
      <c r="J674" s="179" t="str">
        <f>IF(OR(I673="TO",I673="TU",I673="TO1",I673="TU1",I673="TO2",I673="TU2"),J673,IF(OR(I673="AH1",I673="AH2"),IF(OR(I674="AH1",I674="AH2"),-J673,IF(OR(I674="EH1",I674="EH2"),-J673+0.5,"")),IF(OR(I673="EH1",I673="EH2"),IF(OR(I674="AH1",I674="AH2"),-J673+0.5,IF(OR(I674="EH1",I674="EH2"),-J673+1,"")),IF(AND(OR(I673="DNB1",I673="DNB2"),OR(I674="AH1",I674="AH2")),0,IF(AND(I673="Not ScoreBoth",OR(I674="TO1",I674="TO2")),0.5,"")))))</f>
        <v/>
      </c>
      <c r="K674" s="123" t="s">
        <v>40</v>
      </c>
      <c r="L674" s="124">
        <v>4.3499999999999996</v>
      </c>
      <c r="M674" s="125"/>
      <c r="N674" s="406"/>
      <c r="O674" s="126">
        <f>IF(OR(AE673="",AE674=""),"",ROUND(IF(L675&gt;0,IF(M674&gt;0,M674,IF(M673&gt;0,IF(N673=TRUE,ROUND((M673*AE674)/AE673,0),(M673*AE674)/AE673),IF(M674&gt;0,ROUND(M674,IF(N673=0,2,IF(N673=0.1,1,0))),IF(M675&gt;0,ROUND(O675*AE674/AE675,IF(N673=0,2,IF(N673=0.1,1,0))),0)))),IF(M674&gt;0,M674,ROUND((M673*AE674)/AE673,IF(N673=0,2,IF(N673=0.1,1,0))))),2))</f>
        <v>8.4499999999999993</v>
      </c>
      <c r="P674" s="127">
        <f>IF(OR(L674="",O674=""),"",IF($C674="1/2W",O674/2+O674/2*L674,IF($C674="1/2L",O674/2,IF(I674="Lay",((O674*(L674/(L674-1)))-O674)*(1-_xlfn.XLOOKUP(K674,'Fevereiro 2023 - Valor Real'!A3:A15,'Fevereiro 2023 - Valor Real'!C3:C15,0))+O674,(O674*L674-O674)*(1-_xlfn.XLOOKUP(K674,'Fevereiro 2023 - Valor Real'!A3:A15,'Fevereiro 2023 - Valor Real'!C3:C15,0))+O674))))</f>
        <v>36.757499999999993</v>
      </c>
      <c r="Q674" s="128">
        <f>IF(K674="","",IF(_xlfn.XLOOKUP(K674,K$4:K673,$DJ$4:DJ673,0,,-1)=DJ674,_xlfn.XLOOKUP(K674,K$4:K673,Q$4:Q673,1,,-1)+1,1))</f>
        <v>8</v>
      </c>
      <c r="R674" s="129">
        <f>IF(K674="","",_xlfn.XLOOKUP(K674,K$4:K673,R$4:R673,0,,-1)+IF($C674=" ",1,0))</f>
        <v>0</v>
      </c>
      <c r="S674" s="403"/>
      <c r="T674" s="380"/>
      <c r="U674" s="380"/>
      <c r="V674" s="481"/>
      <c r="W674" s="380"/>
      <c r="X674" s="452"/>
      <c r="Y674" s="383"/>
      <c r="Z674" s="384"/>
      <c r="AA674" s="384"/>
      <c r="AB674" s="384"/>
      <c r="AC674" s="384"/>
      <c r="AD674" s="130">
        <f>(((L674/(L674-1)-1)*(1-_xlfn.XLOOKUP(K674,'Fevereiro 2023 - Valor Real'!A3:A15,'Fevereiro 2023 - Valor Real'!C3:C15,0))+1))</f>
        <v>1.2985074626865671</v>
      </c>
      <c r="AE674" s="131">
        <f>IF(L674="","",IF(L675&gt;0,(SUM(((L673-1)*(1-_xlfn.XLOOKUP(K673,'Fevereiro 2023 - Valor Real'!A3:A15,'Fevereiro 2023 - Valor Real'!C3:C15,0))+1),((L674-1)*(1-_xlfn.XLOOKUP(K674,'Fevereiro 2023 - Valor Real'!A3:A15,'Fevereiro 2023 - Valor Real'!C3:C15,0))+1),((L675-1)*(1-_xlfn.XLOOKUP(K675,'Fevereiro 2023 - Valor Real'!A3:A15,'Fevereiro 2023 - Valor Real'!C3:C15,0))+1))/((L674-1)*(1-_xlfn.XLOOKUP(K674,'Fevereiro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Real'!C3:C15,0))+1))/((L673-1)*(1-_xlfn.XLOOKUP(K673,'Fevereiro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Real'!C3:C15,0))+1))/((L674-1)*(1-_xlfn.XLOOKUP(K674,'Fevereiro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Real'!C3:C15,0))+1))/((L675-1)*(1-_xlfn.XLOOKUP(K675,'Fevereiro 2023 - Valor Real'!A3:A15,'Fevereiro 2023 - Valor Real'!C3:C15,0))+1)),IF(I674="Lay",IF(I673="Lay",((L673/(L673-1)-1)*(1-_xlfn.XLOOKUP(K673,'Fevereiro 2023 - Valor Real'!A3:A15,'Fevereiro 2023 - Valor Real'!C3:C15,0))+1)/(((L673/(L673-1)-1)*(1-_xlfn.XLOOKUP(K673,'Fevereiro 2023 - Valor Real'!A3:A15,'Fevereiro 2023 - Valor Real'!C3:C15,0))+1)+((L674/(L674-1)-1)*(1-_xlfn.XLOOKUP(K674,'Fevereiro 2023 - Valor Real'!A3:A15,'Fevereiro 2023 - Valor Real'!C3:C15,0))+1)),((L673-1)*(1-_xlfn.XLOOKUP(K673,'Fevereiro 2023 - Valor Real'!A3:A15,'Fevereiro 2023 - Valor Real'!C3:C15,0))+1)/(((L673-1)*(1-_xlfn.XLOOKUP(K673,'Fevereiro 2023 - Valor Real'!A3:A15,'Fevereiro 2023 - Valor Real'!C3:C15,0))+1)+((L674/(L674-1)-1)*(1-_xlfn.XLOOKUP(K674,'Fevereiro 2023 - Valor Real'!A3:A15,'Fevereiro 2023 - Valor Real'!C3:C15,0))+1))),IF(I673="Lay",((L673/(L673-1)-1)*(1-_xlfn.XLOOKUP(K673,'Fevereiro 2023 - Valor Real'!A3:A15,'Fevereiro 2023 - Valor Real'!C3:C15,0))+1)/((((L673/(L673-1)-1)*(1-_xlfn.XLOOKUP(K673,'Fevereiro 2023 - Valor Real'!A3:A15,'Fevereiro 2023 - Valor Real'!C3:C15,0))+1))+((L674-1)*(1-_xlfn.XLOOKUP(K674,'Fevereiro 2023 - Valor Real'!A3:A15,'Fevereiro 2023 - Valor Real'!C3:C15,0))+1)),((L673-1)*(1-_xlfn.XLOOKUP(K673,'Fevereiro 2023 - Valor Real'!A3:A15,'Fevereiro 2023 - Valor Real'!C3:C15,0))+1)/(((L673-1)*(1-_xlfn.XLOOKUP(K673,'Fevereiro 2023 - Valor Real'!A3:A15,'Fevereiro 2023 - Valor Real'!C3:C15,0))+1)+((L674-1)*(1-_xlfn.XLOOKUP(K674,'Fevereiro 2023 - Valor Real'!A3:A15,'Fevereiro 2023 - Valor Real'!C3:C15,0))+1))))))</f>
        <v>0.27499999999999997</v>
      </c>
      <c r="AF674" s="105">
        <f t="shared" ref="AF674:AR683" si="1358">IF($K674=AF$3,ROUND(IF(OR($C674="W",$C674="1/2W",$C674="1/2L"),$P674-$O674,IF($C674="X",0,-$O674)),2),0)</f>
        <v>0</v>
      </c>
      <c r="AG674" s="106">
        <f t="shared" si="1358"/>
        <v>0</v>
      </c>
      <c r="AH674" s="106">
        <f t="shared" si="1358"/>
        <v>0</v>
      </c>
      <c r="AI674" s="106">
        <f t="shared" si="1358"/>
        <v>0</v>
      </c>
      <c r="AJ674" s="106">
        <f t="shared" si="1358"/>
        <v>28.31</v>
      </c>
      <c r="AK674" s="106">
        <f t="shared" si="1358"/>
        <v>0</v>
      </c>
      <c r="AL674" s="106">
        <f t="shared" si="1358"/>
        <v>0</v>
      </c>
      <c r="AM674" s="106">
        <f t="shared" si="1358"/>
        <v>0</v>
      </c>
      <c r="AN674" s="106">
        <f t="shared" si="1358"/>
        <v>0</v>
      </c>
      <c r="AO674" s="106">
        <f t="shared" si="1358"/>
        <v>0</v>
      </c>
      <c r="AP674" s="106">
        <f t="shared" si="1358"/>
        <v>0</v>
      </c>
      <c r="AQ674" s="106">
        <f t="shared" si="1358"/>
        <v>0</v>
      </c>
      <c r="AR674" s="107">
        <f t="shared" si="1358"/>
        <v>0</v>
      </c>
      <c r="AS674" s="105">
        <f>IF(AND($B673=" ",$K674=AS$3),$O674,0)</f>
        <v>0</v>
      </c>
      <c r="AT674" s="106">
        <f>IF(AND($B673=" ",K674=AT$3),$O674,0)</f>
        <v>0</v>
      </c>
      <c r="AU674" s="106">
        <f t="shared" ref="AU674:BE674" si="1359">IF(AND($B673=" ",$K674=AU$3),$O674,0)</f>
        <v>0</v>
      </c>
      <c r="AV674" s="106">
        <f t="shared" si="1359"/>
        <v>0</v>
      </c>
      <c r="AW674" s="106">
        <f t="shared" si="1359"/>
        <v>0</v>
      </c>
      <c r="AX674" s="106">
        <f t="shared" si="1359"/>
        <v>0</v>
      </c>
      <c r="AY674" s="108">
        <f t="shared" si="1359"/>
        <v>0</v>
      </c>
      <c r="AZ674" s="109">
        <f t="shared" si="1359"/>
        <v>0</v>
      </c>
      <c r="BA674" s="109">
        <f t="shared" si="1359"/>
        <v>0</v>
      </c>
      <c r="BB674" s="109">
        <f t="shared" si="1359"/>
        <v>0</v>
      </c>
      <c r="BC674" s="110">
        <f t="shared" si="1359"/>
        <v>0</v>
      </c>
      <c r="BD674" s="106">
        <f t="shared" si="1359"/>
        <v>0</v>
      </c>
      <c r="BE674" s="107">
        <f t="shared" si="1359"/>
        <v>0</v>
      </c>
      <c r="BF674" s="105">
        <f t="shared" ref="BF674:BR683" si="1360">IF($K674=BF$3,IF($C674="X",0,$O674),0)</f>
        <v>0</v>
      </c>
      <c r="BG674" s="106">
        <f t="shared" si="1360"/>
        <v>0</v>
      </c>
      <c r="BH674" s="106">
        <f t="shared" si="1360"/>
        <v>0</v>
      </c>
      <c r="BI674" s="106">
        <f t="shared" si="1360"/>
        <v>0</v>
      </c>
      <c r="BJ674" s="106">
        <f t="shared" si="1360"/>
        <v>8.4499999999999993</v>
      </c>
      <c r="BK674" s="106">
        <f t="shared" si="1360"/>
        <v>0</v>
      </c>
      <c r="BL674" s="106">
        <f t="shared" si="1360"/>
        <v>0</v>
      </c>
      <c r="BM674" s="132">
        <f t="shared" si="1360"/>
        <v>0</v>
      </c>
      <c r="BN674" s="112">
        <f t="shared" si="1360"/>
        <v>0</v>
      </c>
      <c r="BO674" s="112">
        <f t="shared" si="1360"/>
        <v>0</v>
      </c>
      <c r="BP674" s="112">
        <f t="shared" si="1360"/>
        <v>0</v>
      </c>
      <c r="BQ674" s="110">
        <f t="shared" si="1360"/>
        <v>0</v>
      </c>
      <c r="BR674" s="107">
        <f t="shared" si="1360"/>
        <v>0</v>
      </c>
      <c r="BS674" s="464"/>
      <c r="BT674" s="461"/>
      <c r="BU674" s="392"/>
      <c r="BV674" s="461"/>
      <c r="BW674" s="392"/>
      <c r="BX674" s="392"/>
      <c r="BY674" s="392"/>
      <c r="BZ674" s="461"/>
      <c r="CA674" s="392"/>
      <c r="CB674" s="392"/>
      <c r="CC674" s="392"/>
      <c r="CD674" s="401"/>
      <c r="CE674" s="409"/>
      <c r="CF674" s="133">
        <f t="shared" si="1285"/>
        <v>0</v>
      </c>
      <c r="CG674" s="134">
        <f t="shared" si="1286"/>
        <v>0</v>
      </c>
      <c r="CH674" s="134">
        <f t="shared" si="1287"/>
        <v>0</v>
      </c>
      <c r="CI674" s="134">
        <f t="shared" si="1288"/>
        <v>0</v>
      </c>
      <c r="CJ674" s="134">
        <f t="shared" si="1289"/>
        <v>0</v>
      </c>
      <c r="CK674" s="134">
        <f t="shared" si="1290"/>
        <v>0</v>
      </c>
      <c r="CL674" s="134">
        <f t="shared" si="1291"/>
        <v>0</v>
      </c>
      <c r="CM674" s="134">
        <f t="shared" si="1292"/>
        <v>0</v>
      </c>
      <c r="CN674" s="134">
        <f t="shared" si="1293"/>
        <v>1</v>
      </c>
      <c r="CO674" s="134">
        <f t="shared" si="1294"/>
        <v>0</v>
      </c>
      <c r="CP674" s="134">
        <f t="shared" si="1295"/>
        <v>0</v>
      </c>
      <c r="CQ674" s="134">
        <f t="shared" si="1296"/>
        <v>0</v>
      </c>
      <c r="CR674" s="134">
        <f t="shared" si="1297"/>
        <v>0</v>
      </c>
      <c r="CS674" s="134">
        <f t="shared" si="1298"/>
        <v>0</v>
      </c>
      <c r="CT674" s="115">
        <f t="shared" si="1299"/>
        <v>0</v>
      </c>
      <c r="CU674" s="116">
        <f t="shared" si="1300"/>
        <v>0</v>
      </c>
      <c r="CV674" s="116">
        <f t="shared" si="1301"/>
        <v>0</v>
      </c>
      <c r="CW674" s="116">
        <f t="shared" si="1302"/>
        <v>0</v>
      </c>
      <c r="CX674" s="116">
        <f t="shared" si="1303"/>
        <v>0</v>
      </c>
      <c r="CY674" s="116">
        <f t="shared" si="1304"/>
        <v>0</v>
      </c>
      <c r="CZ674" s="116">
        <f t="shared" si="1305"/>
        <v>0</v>
      </c>
      <c r="DA674" s="116">
        <f t="shared" si="1306"/>
        <v>0</v>
      </c>
      <c r="DB674" s="116">
        <f t="shared" si="1307"/>
        <v>0</v>
      </c>
      <c r="DC674" s="116">
        <f t="shared" si="1308"/>
        <v>0</v>
      </c>
      <c r="DD674" s="116">
        <f t="shared" si="1309"/>
        <v>0</v>
      </c>
      <c r="DE674" s="117">
        <f t="shared" si="1310"/>
        <v>0</v>
      </c>
      <c r="DF674" s="118">
        <f t="shared" si="1312"/>
        <v>40</v>
      </c>
      <c r="DG674" s="106">
        <f t="shared" si="1313"/>
        <v>52.977999999999994</v>
      </c>
      <c r="DH674" s="116">
        <f t="shared" si="1314"/>
        <v>16</v>
      </c>
      <c r="DI674" s="106">
        <f t="shared" si="1315"/>
        <v>68.699999999999989</v>
      </c>
      <c r="DJ674" s="201" t="str">
        <f>IF($D673="","",$D673)</f>
        <v>21</v>
      </c>
      <c r="DK674" s="466"/>
    </row>
    <row r="675" spans="1:115" ht="14.5" customHeight="1" x14ac:dyDescent="0.2">
      <c r="A675" s="390"/>
      <c r="B675" s="457"/>
      <c r="C675" s="135" t="s">
        <v>53</v>
      </c>
      <c r="D675" s="375"/>
      <c r="E675" s="387"/>
      <c r="F675" s="378"/>
      <c r="G675" s="484"/>
      <c r="H675" s="477"/>
      <c r="I675" s="136"/>
      <c r="J675" s="137"/>
      <c r="K675" s="138"/>
      <c r="L675" s="139"/>
      <c r="M675" s="140"/>
      <c r="N675" s="407"/>
      <c r="O675" s="141" t="str">
        <f>IF(OR(AE673="",AE674=""),"",IF(L675&gt;0,ROUND(IF(M675&gt;0,M675,IF(M673&gt;0,ROUND((M673*AE675)/AE673,IF(N673=0,2,IF(N673=0.1,1,0))),IF(M674&gt;0,ROUND((M674*AE675)/AE674,IF(N673=0,2,IF(N673=0.1,1,0))),IF(M675&gt;0,M675,0)))),2),""))</f>
        <v/>
      </c>
      <c r="P675" s="142" t="str">
        <f>IF(I674="Lay",O674*(L674/(L674-1))-O674,IF(I673="Lay",O673*(L673/(L673-1))-O673,IF(OR(L675="",O675=""),"",IF($C675="1/2W",O675/2+O675/2*L675,IF($C675="1/2L",O675/2,(O675*L675-O675)*(1-_xlfn.XLOOKUP(K675,'Fevereiro 2023 - Valor Real'!A3:A15,'Fevereiro 2023 - Valor Real'!C3:C15,0))+O675)))))</f>
        <v/>
      </c>
      <c r="Q675" s="143" t="str">
        <f>IF(K675="","",IF(_xlfn.XLOOKUP(K675,K$4:K674,$DJ$4:DJ674,0,,-1)=DJ675,_xlfn.XLOOKUP(K675,K$4:K674,Q$4:Q674,1,,-1)+1,1))</f>
        <v/>
      </c>
      <c r="R675" s="144" t="str">
        <f>IF(K675="","",_xlfn.XLOOKUP(K675,K$4:K674,R$4:R674,0,,-1)+IF($C675=" ",1,0))</f>
        <v/>
      </c>
      <c r="S675" s="404"/>
      <c r="T675" s="378"/>
      <c r="U675" s="378"/>
      <c r="V675" s="404"/>
      <c r="W675" s="378"/>
      <c r="X675" s="453"/>
      <c r="Y675" s="383"/>
      <c r="Z675" s="384"/>
      <c r="AA675" s="384"/>
      <c r="AB675" s="384"/>
      <c r="AC675" s="384"/>
      <c r="AD675" s="145">
        <f>((L674/(L674-1)-1))</f>
        <v>0.29850746268656714</v>
      </c>
      <c r="AE675" s="146" t="str">
        <f>IF(L675="","",(SUM(((L673-1)*(1-_xlfn.XLOOKUP(K673,'Fevereiro 2023 - Valor Real'!A3:A15,'Fevereiro 2023 - Valor Real'!C3:C15,0))+1),((L674-1)*(1-_xlfn.XLOOKUP(K674,'Fevereiro 2023 - Valor Real'!A3:A15,'Fevereiro 2023 - Valor Real'!C3:C15,0))+1),((L675-1)*(1-_xlfn.XLOOKUP(K675,'Fevereiro 2023 - Valor Real'!A3:A15,'Fevereiro 2023 - Valor Real'!C3:C15,0))+1))/((L675-1)*(1-_xlfn.XLOOKUP(K675,'Fevereiro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Real'!C3:C15,0))+1))/((L673-1)*(1-_xlfn.XLOOKUP(K673,'Fevereiro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Real'!C3:C15,0))+1))/((L674-1)*(1-_xlfn.XLOOKUP(K674,'Fevereiro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Real'!C3:C15,0))+1))/((L675-1)*(1-_xlfn.XLOOKUP(K675,'Fevereiro 2023 - Valor Real'!A3:A15,'Fevereiro 2023 - Valor Real'!C3:C15,0))+1)))</f>
        <v/>
      </c>
      <c r="AF675" s="105">
        <f t="shared" si="1358"/>
        <v>0</v>
      </c>
      <c r="AG675" s="106">
        <f t="shared" si="1358"/>
        <v>0</v>
      </c>
      <c r="AH675" s="106">
        <f t="shared" si="1358"/>
        <v>0</v>
      </c>
      <c r="AI675" s="106">
        <f t="shared" si="1358"/>
        <v>0</v>
      </c>
      <c r="AJ675" s="106">
        <f t="shared" si="1358"/>
        <v>0</v>
      </c>
      <c r="AK675" s="106">
        <f t="shared" si="1358"/>
        <v>0</v>
      </c>
      <c r="AL675" s="106">
        <f t="shared" si="1358"/>
        <v>0</v>
      </c>
      <c r="AM675" s="106">
        <f t="shared" si="1358"/>
        <v>0</v>
      </c>
      <c r="AN675" s="106">
        <f t="shared" si="1358"/>
        <v>0</v>
      </c>
      <c r="AO675" s="106">
        <f t="shared" si="1358"/>
        <v>0</v>
      </c>
      <c r="AP675" s="106">
        <f t="shared" si="1358"/>
        <v>0</v>
      </c>
      <c r="AQ675" s="106">
        <f t="shared" si="1358"/>
        <v>0</v>
      </c>
      <c r="AR675" s="107">
        <f t="shared" si="1358"/>
        <v>0</v>
      </c>
      <c r="AS675" s="105">
        <f>IF(AND($B673=" ",$K675=AS$3),$O675,0)</f>
        <v>0</v>
      </c>
      <c r="AT675" s="106">
        <f>IF(AND($B673=" ",K675=AT$3),$O675,0)</f>
        <v>0</v>
      </c>
      <c r="AU675" s="106">
        <f t="shared" ref="AU675:BE675" si="1361">IF(AND($B673=" ",$K675=AU$3),$O675,0)</f>
        <v>0</v>
      </c>
      <c r="AV675" s="106">
        <f t="shared" si="1361"/>
        <v>0</v>
      </c>
      <c r="AW675" s="106">
        <f t="shared" si="1361"/>
        <v>0</v>
      </c>
      <c r="AX675" s="106">
        <f t="shared" si="1361"/>
        <v>0</v>
      </c>
      <c r="AY675" s="108">
        <f t="shared" si="1361"/>
        <v>0</v>
      </c>
      <c r="AZ675" s="109">
        <f t="shared" si="1361"/>
        <v>0</v>
      </c>
      <c r="BA675" s="109">
        <f t="shared" si="1361"/>
        <v>0</v>
      </c>
      <c r="BB675" s="109">
        <f t="shared" si="1361"/>
        <v>0</v>
      </c>
      <c r="BC675" s="110">
        <f t="shared" si="1361"/>
        <v>0</v>
      </c>
      <c r="BD675" s="106">
        <f t="shared" si="1361"/>
        <v>0</v>
      </c>
      <c r="BE675" s="107">
        <f t="shared" si="1361"/>
        <v>0</v>
      </c>
      <c r="BF675" s="105">
        <f t="shared" si="1360"/>
        <v>0</v>
      </c>
      <c r="BG675" s="106">
        <f t="shared" si="1360"/>
        <v>0</v>
      </c>
      <c r="BH675" s="106">
        <f t="shared" si="1360"/>
        <v>0</v>
      </c>
      <c r="BI675" s="106">
        <f t="shared" si="1360"/>
        <v>0</v>
      </c>
      <c r="BJ675" s="106">
        <f t="shared" si="1360"/>
        <v>0</v>
      </c>
      <c r="BK675" s="106">
        <f t="shared" si="1360"/>
        <v>0</v>
      </c>
      <c r="BL675" s="106">
        <f t="shared" si="1360"/>
        <v>0</v>
      </c>
      <c r="BM675" s="108">
        <f t="shared" si="1360"/>
        <v>0</v>
      </c>
      <c r="BN675" s="109">
        <f t="shared" si="1360"/>
        <v>0</v>
      </c>
      <c r="BO675" s="109">
        <f t="shared" si="1360"/>
        <v>0</v>
      </c>
      <c r="BP675" s="109">
        <f t="shared" si="1360"/>
        <v>0</v>
      </c>
      <c r="BQ675" s="110">
        <f t="shared" si="1360"/>
        <v>0</v>
      </c>
      <c r="BR675" s="107">
        <f t="shared" si="1360"/>
        <v>0</v>
      </c>
      <c r="BS675" s="464"/>
      <c r="BT675" s="461"/>
      <c r="BU675" s="392"/>
      <c r="BV675" s="461"/>
      <c r="BW675" s="392"/>
      <c r="BX675" s="392"/>
      <c r="BY675" s="392"/>
      <c r="BZ675" s="461"/>
      <c r="CA675" s="392"/>
      <c r="CB675" s="392"/>
      <c r="CC675" s="392"/>
      <c r="CD675" s="401"/>
      <c r="CE675" s="409"/>
      <c r="CF675" s="133">
        <f t="shared" si="1285"/>
        <v>0</v>
      </c>
      <c r="CG675" s="134">
        <f t="shared" si="1286"/>
        <v>0</v>
      </c>
      <c r="CH675" s="134">
        <f t="shared" si="1287"/>
        <v>0</v>
      </c>
      <c r="CI675" s="134">
        <f t="shared" si="1288"/>
        <v>0</v>
      </c>
      <c r="CJ675" s="134">
        <f t="shared" si="1289"/>
        <v>0</v>
      </c>
      <c r="CK675" s="134">
        <f t="shared" si="1290"/>
        <v>0</v>
      </c>
      <c r="CL675" s="134">
        <f t="shared" si="1291"/>
        <v>0</v>
      </c>
      <c r="CM675" s="134">
        <f t="shared" si="1292"/>
        <v>0</v>
      </c>
      <c r="CN675" s="134">
        <f t="shared" si="1293"/>
        <v>0</v>
      </c>
      <c r="CO675" s="134">
        <f t="shared" si="1294"/>
        <v>0</v>
      </c>
      <c r="CP675" s="134">
        <f t="shared" si="1295"/>
        <v>0</v>
      </c>
      <c r="CQ675" s="134">
        <f t="shared" si="1296"/>
        <v>0</v>
      </c>
      <c r="CR675" s="134">
        <f t="shared" si="1297"/>
        <v>0</v>
      </c>
      <c r="CS675" s="134">
        <f t="shared" si="1298"/>
        <v>0</v>
      </c>
      <c r="CT675" s="115">
        <f t="shared" si="1299"/>
        <v>0</v>
      </c>
      <c r="CU675" s="116">
        <f t="shared" si="1300"/>
        <v>0</v>
      </c>
      <c r="CV675" s="116">
        <f t="shared" si="1301"/>
        <v>0</v>
      </c>
      <c r="CW675" s="116">
        <f t="shared" si="1302"/>
        <v>0</v>
      </c>
      <c r="CX675" s="116">
        <f t="shared" si="1303"/>
        <v>0</v>
      </c>
      <c r="CY675" s="116">
        <f t="shared" si="1304"/>
        <v>0</v>
      </c>
      <c r="CZ675" s="116">
        <f t="shared" si="1305"/>
        <v>0</v>
      </c>
      <c r="DA675" s="116">
        <f t="shared" si="1306"/>
        <v>0</v>
      </c>
      <c r="DB675" s="116">
        <f t="shared" si="1307"/>
        <v>0</v>
      </c>
      <c r="DC675" s="116">
        <f t="shared" si="1308"/>
        <v>0</v>
      </c>
      <c r="DD675" s="116">
        <f t="shared" si="1309"/>
        <v>0</v>
      </c>
      <c r="DE675" s="117">
        <f t="shared" si="1310"/>
        <v>0</v>
      </c>
      <c r="DF675" s="118">
        <f t="shared" si="1312"/>
        <v>40</v>
      </c>
      <c r="DG675" s="106">
        <f t="shared" si="1313"/>
        <v>52.977999999999994</v>
      </c>
      <c r="DH675" s="116">
        <f t="shared" si="1314"/>
        <v>16</v>
      </c>
      <c r="DI675" s="106">
        <f t="shared" si="1315"/>
        <v>68.699999999999989</v>
      </c>
      <c r="DJ675" s="201" t="str">
        <f>IF($D673="","",$D673)</f>
        <v>21</v>
      </c>
      <c r="DK675" s="466"/>
    </row>
    <row r="676" spans="1:115" ht="14.5" customHeight="1" x14ac:dyDescent="0.2">
      <c r="A676" s="487">
        <f>$A673+1</f>
        <v>225</v>
      </c>
      <c r="B676" s="506" t="str">
        <f>IF(OR(C676="W",C677="W",C678="W",C676="1/2W",C677="1/2W",C678="1/2W",C676="1/2L",C677="1/2L",C678="1/2L"),"OK",IF(OR(C676="L",C677="L",C678="L"),"LOSS",IF(OR(C676="X",C677="X",C678="X"),"Anulado"," ")))</f>
        <v>OK</v>
      </c>
      <c r="C676" s="147" t="s">
        <v>55</v>
      </c>
      <c r="D676" s="494" t="str">
        <f>IF(G676="","",$D673)</f>
        <v>21</v>
      </c>
      <c r="E676" s="511" t="str">
        <f>IF(G676=""," ","– "&amp;COUNTIF(D$4:D678,$D676))</f>
        <v>– 21</v>
      </c>
      <c r="F676" s="510" t="str">
        <f ca="1">IF(G676="","",IF(OR(AND($C676&lt;&gt;" ",$C677=" "),AND($C677&lt;&gt;" ",$C676=" "),AND(L678&gt;0,OR(AND($C678&lt;&gt;" ",OR($C676=" ",$C677=" ")),AND($C678=" ",OR($C676&lt;&gt;" ",$C677&lt;&gt;" "))))),IF(SUM(F$4:F675)=0,1,LARGE(F$4:F675,1)+1),IF(MONTH(G676)=MONTH(TODAY()),IF(AND(DAY(G676)&lt;DAY(TODAY()),$B676=" "),IF(SUM(F$4:F675)=0,1,LARGE(F$4:F675,1)+1),IF($B676=" ",IF(AND(DAY(G676)=DAY(TODAY()),HOUR(G676)&lt;=HOUR(NOW())+1),IF(AND(HOUR(G676)+2&lt;=HOUR(NOW()),DAY(G676)&lt;=DAY(TODAY()),MINUTE(G676)&lt;=MINUTE(NOW())),IF(SUM(F$4:F675)=0,1,LARGE(F$4:F675,1)+1),IF(OR(MINUTE(G676)&lt;=MINUTE(NOW()),HOUR(G676)&lt;=HOUR(NOW())),"!!!","")),""),"")),"")))</f>
        <v/>
      </c>
      <c r="G676" s="508">
        <v>45013.614583333336</v>
      </c>
      <c r="H676" s="502" t="s">
        <v>243</v>
      </c>
      <c r="I676" s="148">
        <v>2</v>
      </c>
      <c r="J676" s="149"/>
      <c r="K676" s="150" t="s">
        <v>40</v>
      </c>
      <c r="L676" s="151">
        <v>2.44</v>
      </c>
      <c r="M676" s="152"/>
      <c r="N676" s="503">
        <v>0.1</v>
      </c>
      <c r="O676" s="153">
        <f>IF(OR(AE676="",AE677=""),"",ROUND(IF(L678&gt;0,IF(M676&gt;0,M676,IF(M677&gt;0,ROUND((M677*AE676)/AE677,IF(N676=0,2,IF(N676=0.1,1,0))),ROUND((M678*AE676)/AE678,IF(N676=0,2,IF(N676=0.1,1,0))))),IF(M676&gt;0,M676,ROUND((M677*AE676)/AE677,IF(N676=0,2,IF(N676=0.1,1,0))))),2))</f>
        <v>23.8</v>
      </c>
      <c r="P676" s="154">
        <f>IF(OR(L676="",O676=""),"",IF($C676="1/2W",O676/2+O676/2*L676,IF($C676="1/2L",O676/2,IF(I676="Lay",(O676*(L676/(L676-1))-O676)*(1-_xlfn.XLOOKUP(K676,'Fevereiro 2023 - Valor Real'!A3:A15,'Fevereiro 2023 - Valor Real'!C3:C15,0))+O676,(O676*L676-O676)*(1-_xlfn.XLOOKUP(K676,'Fevereiro 2023 - Valor Real'!A3:A15,'Fevereiro 2023 - Valor Real'!C3:C15,0))+O676))))</f>
        <v>58.072000000000003</v>
      </c>
      <c r="Q676" s="155">
        <f>IF(K676="","",IF(_xlfn.XLOOKUP(K676,K$9:K668,$DJ$9:DJ668,0,,-1)=DJ676,_xlfn.XLOOKUP(K676,K$9:K668,Q$9:Q668,1,,-1)+1,1))</f>
        <v>8</v>
      </c>
      <c r="R676" s="156">
        <f>IF(K676="","",_xlfn.XLOOKUP(K676,K$9:K668,R$9:R668,0,,-1)+IF($C676=" ",1,0))</f>
        <v>0</v>
      </c>
      <c r="S676" s="501">
        <f>IF($B676="Anulado",0,ROUND(IF(OR($B676="LOSS",$B676="OK"),IF(OR($C676="W",$C676="1/2W",$C676="1/2L"),P676-O676,IF($C676="L",-O676,0))+IF(OR($C677="W",$C677="1/2W",$C677="1/2L"),P677-O677,IF($C677="L",-O677,0))+IF(OR($C678="W",$C678="1/2W",$C678="1/2L"),P678-O678,IF($C678="L",-O678,0)),IF(AND(OR($C676="W",$C676="1/2W",$C676="1/2L"),C677="W"),P676+P677-SUM(O676:O678)+_xlfn.XLOOKUP("X",C676:C678,O676:O678,0),IF(AND(C676=TRUE,C678="W"),P676+P678-SUM(O676:O678),IF(AND(C677="W",C678="W"),P677+P678-SUM(O676:O678)+_xlfn.XLOOKUP("X",C676:C678,O676:O678,0),IF(L678&gt;0,IF(OR($C676="W",$C676="1/2W",$C676="1/2L"),P676-SUM(O676:O678)+_xlfn.XLOOKUP("X",C676:C678,O676:O678,0),IF(OR($C676="W",$C676="1/2W",$C676="1/2L"),P677-SUM(O676:O678)+_xlfn.XLOOKUP("X",C676:C678,O676:O678,0),IF(OR($C676="W",$C676="1/2W",$C676="1/2L"),P678-SUM(O676:O678)+_xlfn.XLOOKUP("X",C676:C678,O676:O678,0),IF(SUM(P676:P678)/3-SUM(O676:O678)+_xlfn.XLOOKUP("X",C676:C678,O676:O678,0)&gt;0,SUM(P676:P678)/3-SUM(O676:O678)+_xlfn.XLOOKUP("X",C676:C678,O676:O678,0),LARGE(P676:P678,1)-SUM(O676:O678))))),IF(OR($C676="W",$C676="1/2W",$C676="1/2L"),P676-SUM(O676:O677)+_xlfn.XLOOKUP("X",C676:C678,O676:O678,0),IF(OR($C676="W",$C676="1/2W",$C676="1/2L"),P677-SUM(O676:O677)+_xlfn.XLOOKUP("X",C676:C678,O676:O678,0),SUM(P676:P677)/2-SUM(O676:O677)+_xlfn.XLOOKUP("X",C676:C678,O676:O678,0)))))))),2))</f>
        <v>2.34</v>
      </c>
      <c r="T676" s="486">
        <f>IF(S676=0,0,S676/SUM(O676:O678))</f>
        <v>4.2025862068965518E-2</v>
      </c>
      <c r="U676" s="496">
        <f>IF($D676=$D673,IF(OR($B676="LOSS",$B676="OK",$B676="Anulada"),S676,0)+U673,IF(OR($B676="LOSS",$B676="OK",$B676="Anulada"),S676,0))</f>
        <v>94.81</v>
      </c>
      <c r="V676" s="496">
        <f>IF($D676="",0,IF($D676=$D673,IF($B676=" ",IF(I678="",IF(OR(AND(I676="DNB1",I677="DNB2"),AND(OR(I676="DNB1",I676="DNB2"),J677=0),AND(OR(I677="DNB1",I677="DNB2"),J676=0),AND(I676="DNB2",I677="DNB1"),AND(IF(J676=0,(J676+1)/ROUND(J676+1,0),J676/ROUND(J676,0))=1,IF(J677=0,(J677+1)/ROUND(IF(J677="",0,J677)+1,0),IF(J677="",0,J677)/ROUND(IF(J677="",1,J677),0))=1,OR(J676&lt;&gt;""),J677&lt;&gt;"")),0,IF(S676&lt;0,IF(I678="",SMALL(P676:P677,1)-SUM(O676:O677),0),SMALL(P676:P677,1)-SUM(O676:O677))),IF(S676&lt;0,IF(I678="",SMALL(P676:P678,1)-SUM(O676:O678),0),LARGE(P676:P678,1)-SUM(O676:O678))),S676)+V673,IF(I678="",IF(OR(AND(I676="DNB1",I677="DNB2"),AND(OR(I676="DNB1",I676="DNB2"),J677=0),AND(OR(I677="DNB1",I677="DNB2"),J676=0),AND(I676="DNB2",I677="DNB1"),AND(IF(J676=0,(J676+1)/ROUND(J676+1,0),J676/ROUND(J676,0))=1,IF(J677=0,(IF(J677="",0,J677)+1)/ROUND(IF(J677="",0,J677)+1,0),IF(J677="",0,J677)/ROUND(IF(J677="",0,J677)+1,0))=1,OR(J676&lt;&gt;""),J677&lt;&gt;"")),0,IF(S676&lt;0,IF(I678="",SMALL(P676:P677,1)-SUM(O676:O677),0),SMALL(P676:P678,1)-SUM(O676:O678))),IF(S676&lt;0,IF(I678="",SMALL(P676:P678,1)-SUM(O676:O678),0),LARGE(P676:P678,1)-SUM(O676:O678)))))</f>
        <v>94.808000000000007</v>
      </c>
      <c r="W676" s="496">
        <f>IF($D676=$D673,IF(S676&lt;0,IF(I678="",S676,0),S676)+W673,S676)</f>
        <v>94.81</v>
      </c>
      <c r="X676" s="505" t="str">
        <f>IF(OR(SUM(R676:R678)=0,V676=W676),ROUND(IF(W676=0,0,W676/Y676)*100,2)&amp;"%",ROUND(IF(V676=0,0,V676/Y676)*100,2)&amp;"% a "&amp;ROUND(IF(W676=0,0,W676/Y676)*100,2)&amp;"%")</f>
        <v>7,24%</v>
      </c>
      <c r="Y676" s="497">
        <f>IF($D676=$D673,Y673+SUM(O676:O678),SUM(O676:O678))</f>
        <v>1310.03</v>
      </c>
      <c r="Z676" s="496">
        <f>IF($B676=" ",SUM(O676:O678),0)+Z673</f>
        <v>0</v>
      </c>
      <c r="AA676" s="496">
        <f>IF(G676="","",IF($B676="Anulado",LARGE(P676:P678,1)-SUM(O676:O678)+AA673,AA673))</f>
        <v>13.381099999999991</v>
      </c>
      <c r="AB676" s="496">
        <f>IF($D676="","",AB673+S676)</f>
        <v>772.44000000000051</v>
      </c>
      <c r="AC676" s="499">
        <f ca="1">IF($D676="","",IF($B676=" ",IF(DAY(G676)=DAY(TODAY()),1+AC673,0+AC673),0+AC673))</f>
        <v>0</v>
      </c>
      <c r="AD676" s="157">
        <f>(1-_xlfn.XLOOKUP(K674,'Fevereiro 2023 - Valor Real'!A3:A15,'Fevereiro 2023 - Valor Real'!C3:C15,0))+1</f>
        <v>2</v>
      </c>
      <c r="AE676" s="158">
        <f>IF(L676="","",IF(L678&gt;0,(SUM(((L676-1)*(1-_xlfn.XLOOKUP(K676,'Fevereiro 2023 - Valor Real'!A3:A15,'Fevereiro 2023 - Valor Real'!C3:C15,0))+1),((L677-1)*(1-_xlfn.XLOOKUP(K677,'Fevereiro 2023 - Valor Real'!A3:A15,'Fevereiro 2023 - Valor Real'!C3:C15,0))+1),((L678-1)*(1-_xlfn.XLOOKUP(K678,'Fevereiro 2023 - Valor Real'!A3:A15,'Fevereiro 2023 - Valor Real'!C3:C15,0))+1))/((L676-1)*(1-_xlfn.XLOOKUP(K676,'Fevereiro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Real'!C3:C15,0))+1))/((L676-1)*(1-_xlfn.XLOOKUP(K676,'Fevereiro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Real'!C3:C15,0))+1))/((L677-1)*(1-_xlfn.XLOOKUP(K677,'Fevereiro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Real'!C3:C15,0))+1))/((L678-1)*(1-_xlfn.XLOOKUP(K678,'Fevereiro 2023 - Valor Real'!A3:A15,'Fevereiro 2023 - Valor Real'!C3:C15,0))+1)),IF(I676="Lay",IF(I677="Lay",((L677/(L677-1)-1)*(1-_xlfn.XLOOKUP(K677,'Fevereiro 2023 - Valor Real'!A3:A15,'Fevereiro 2023 - Valor Real'!C3:C15,0))+1)/(((L677/(L677-1)-1)*(1-_xlfn.XLOOKUP(K677,'Fevereiro 2023 - Valor Real'!A3:A15,'Fevereiro 2023 - Valor Real'!C3:C15,0))+1)+((L676/(L676-1)-1)*(1-_xlfn.XLOOKUP(K676,'Fevereiro 2023 - Valor Real'!A3:A15,'Fevereiro 2023 - Valor Real'!C3:C15,0))+1)),((L677-1)*(1-_xlfn.XLOOKUP(K677,'Fevereiro 2023 - Valor Real'!A3:A15,'Fevereiro 2023 - Valor Real'!C3:C15,0))+1)/(((L677-1)*(1-_xlfn.XLOOKUP(K677,'Fevereiro 2023 - Valor Real'!A3:A15,'Fevereiro 2023 - Valor Real'!C3:C15,0))+1)+((L676/(L676-1)-1)*(1-_xlfn.XLOOKUP(K676,'Fevereiro 2023 - Valor Real'!A3:A15,'Fevereiro 2023 - Valor Real'!C3:C15,0))+1))),IF(I677="Lay",(((L677/(L677-1)-1)*(1-_xlfn.XLOOKUP(K677,'Fevereiro 2023 - Valor Real'!A3:A15,'Fevereiro 2023 - Valor Real'!C3:C15,0))+1))/(((L676-1)*(1-_xlfn.XLOOKUP(K676,'Fevereiro 2023 - Valor Real'!A3:A15,'Fevereiro 2023 - Valor Real'!C3:C15,0))+1)+((L677/(L677-1)-1)*(1-_xlfn.XLOOKUP(K677,'Fevereiro 2023 - Valor Real'!A3:A15,'Fevereiro 2023 - Valor Real'!C3:C15,0))+1)),((L677-1)*(1-_xlfn.XLOOKUP(K677,'Fevereiro 2023 - Valor Real'!A3:A15,'Fevereiro 2023 - Valor Real'!C3:C15,0))+1)/(((L677-1)*(1-_xlfn.XLOOKUP(K677,'Fevereiro 2023 - Valor Real'!A3:A15,'Fevereiro 2023 - Valor Real'!C3:C15,0))+1)+((L676-1)*(1-_xlfn.XLOOKUP(K676,'Fevereiro 2023 - Valor Real'!A3:A15,'Fevereiro 2023 - Valor Real'!C3:C15,0))+1))))))</f>
        <v>0.42723004694835687</v>
      </c>
      <c r="AF676" s="66">
        <f t="shared" si="1358"/>
        <v>0</v>
      </c>
      <c r="AG676" s="67">
        <f t="shared" si="1358"/>
        <v>0</v>
      </c>
      <c r="AH676" s="67">
        <f t="shared" si="1358"/>
        <v>0</v>
      </c>
      <c r="AI676" s="67">
        <f t="shared" si="1358"/>
        <v>0</v>
      </c>
      <c r="AJ676" s="67">
        <f t="shared" si="1358"/>
        <v>-23.8</v>
      </c>
      <c r="AK676" s="67">
        <f t="shared" si="1358"/>
        <v>0</v>
      </c>
      <c r="AL676" s="67">
        <f t="shared" si="1358"/>
        <v>0</v>
      </c>
      <c r="AM676" s="67">
        <f t="shared" si="1358"/>
        <v>0</v>
      </c>
      <c r="AN676" s="67">
        <f t="shared" si="1358"/>
        <v>0</v>
      </c>
      <c r="AO676" s="67">
        <f t="shared" si="1358"/>
        <v>0</v>
      </c>
      <c r="AP676" s="67">
        <f t="shared" si="1358"/>
        <v>0</v>
      </c>
      <c r="AQ676" s="67">
        <f t="shared" si="1358"/>
        <v>0</v>
      </c>
      <c r="AR676" s="68">
        <f t="shared" si="1358"/>
        <v>0</v>
      </c>
      <c r="AS676" s="66">
        <f t="shared" ref="AS676:BE676" si="1362">IF(AND($B676=" ",$K676=AS$3),$O676,0)</f>
        <v>0</v>
      </c>
      <c r="AT676" s="67">
        <f t="shared" si="1362"/>
        <v>0</v>
      </c>
      <c r="AU676" s="67">
        <f t="shared" si="1362"/>
        <v>0</v>
      </c>
      <c r="AV676" s="67">
        <f t="shared" si="1362"/>
        <v>0</v>
      </c>
      <c r="AW676" s="67">
        <f t="shared" si="1362"/>
        <v>0</v>
      </c>
      <c r="AX676" s="67">
        <f t="shared" si="1362"/>
        <v>0</v>
      </c>
      <c r="AY676" s="69">
        <f t="shared" si="1362"/>
        <v>0</v>
      </c>
      <c r="AZ676" s="70">
        <f t="shared" si="1362"/>
        <v>0</v>
      </c>
      <c r="BA676" s="70">
        <f t="shared" si="1362"/>
        <v>0</v>
      </c>
      <c r="BB676" s="70">
        <f t="shared" si="1362"/>
        <v>0</v>
      </c>
      <c r="BC676" s="71">
        <f t="shared" si="1362"/>
        <v>0</v>
      </c>
      <c r="BD676" s="67">
        <f t="shared" si="1362"/>
        <v>0</v>
      </c>
      <c r="BE676" s="68">
        <f t="shared" si="1362"/>
        <v>0</v>
      </c>
      <c r="BF676" s="66">
        <f t="shared" si="1360"/>
        <v>0</v>
      </c>
      <c r="BG676" s="67">
        <f t="shared" si="1360"/>
        <v>0</v>
      </c>
      <c r="BH676" s="67">
        <f t="shared" si="1360"/>
        <v>0</v>
      </c>
      <c r="BI676" s="67">
        <f t="shared" si="1360"/>
        <v>0</v>
      </c>
      <c r="BJ676" s="67">
        <f t="shared" si="1360"/>
        <v>23.8</v>
      </c>
      <c r="BK676" s="67">
        <f t="shared" si="1360"/>
        <v>0</v>
      </c>
      <c r="BL676" s="67">
        <f t="shared" si="1360"/>
        <v>0</v>
      </c>
      <c r="BM676" s="69">
        <f t="shared" si="1360"/>
        <v>0</v>
      </c>
      <c r="BN676" s="70">
        <f t="shared" si="1360"/>
        <v>0</v>
      </c>
      <c r="BO676" s="70">
        <f t="shared" si="1360"/>
        <v>0</v>
      </c>
      <c r="BP676" s="70">
        <f t="shared" si="1360"/>
        <v>0</v>
      </c>
      <c r="BQ676" s="71">
        <f t="shared" si="1360"/>
        <v>0</v>
      </c>
      <c r="BR676" s="68">
        <f t="shared" si="1360"/>
        <v>0</v>
      </c>
      <c r="BS676" s="490">
        <f>IF($B676="LOSS",IF(AND($K676=BS$3,$C676="L"),-$O676,0)+IF(AND($K677=BS$3,$C677="L"),-$O677,0)+IF(AND($K678=BS$3,$C678="L"),-$O678,0),IF(OR(AND($K676=BS$3,OR($C676="W",$C676="1/2W")),AND($K677=BS$3,OR($C677="W",$C677="1/2W")),AND($K678=BS$3,OR($C678="W",$C678="1/2W"))),$S676,0))</f>
        <v>0</v>
      </c>
      <c r="BT676" s="498">
        <f>IF($B676="LOSS",IF(AND($K676=BT$3,$C676="L"),-$O676,0)+IF(AND($K677=BT$3,$C677="L"),-$O677,0)+IF(AND($K677=BT$3,$C678="L"),-$O678,0),IF(OR(AND($K677=BT$3,OR($C676="W",$C676="1/2W")),AND($K677=BT$3,OR($C677="W",$C677="1/2W")),AND($K677=BT$3,OR($C678="W",$C678="1/2W"))),$S676,0))</f>
        <v>0</v>
      </c>
      <c r="BU676" s="488">
        <f>IF($B676="LOSS",IF(AND($K676=BU$3,$C676="L"),-$O676,0)+IF(AND($K677=BU$3,$C677="L"),-$O677,0)+IF(AND($K677=BU$3,$C678="L"),-$O678,0),IF(OR(AND($K677=BU$3,OR($C676="W",$C676="1/2W")),AND($K677=BU$3,OR($C677="W",$C677="1/2W")),AND($K677=BU$3,OR($C678="W",$C678="1/2W"))),$S676,0))</f>
        <v>0</v>
      </c>
      <c r="BV676" s="488">
        <f t="shared" ref="BV676:CE676" si="1363">IF($B676="LOSS",IF(AND($K676=BV$3,$C676="L"),-$O676,0)+IF(AND($K677=BV$3,$C677="L"),-$O677,0)+IF(AND($K678=BV$3,$C678="L"),-$O678,0),IF(OR(AND($K676=BV$3,OR($C676="W",$C676="1/2W")),AND($K677=BV$3,OR($C677="W",$C677="1/2W")),AND($K678=BV$3,OR($C678="W",$C678="1/2W"))),$S676,0))</f>
        <v>0</v>
      </c>
      <c r="BW676" s="488">
        <f t="shared" si="1363"/>
        <v>0</v>
      </c>
      <c r="BX676" s="488">
        <f t="shared" si="1363"/>
        <v>0</v>
      </c>
      <c r="BY676" s="488">
        <f t="shared" si="1363"/>
        <v>0</v>
      </c>
      <c r="BZ676" s="488">
        <f t="shared" si="1363"/>
        <v>0</v>
      </c>
      <c r="CA676" s="488">
        <f t="shared" si="1363"/>
        <v>0</v>
      </c>
      <c r="CB676" s="488">
        <f t="shared" si="1363"/>
        <v>0</v>
      </c>
      <c r="CC676" s="488">
        <f t="shared" si="1363"/>
        <v>0</v>
      </c>
      <c r="CD676" s="500">
        <f t="shared" si="1363"/>
        <v>2.34</v>
      </c>
      <c r="CE676" s="504">
        <f t="shared" si="1363"/>
        <v>0</v>
      </c>
      <c r="CF676" s="160">
        <f t="shared" si="1285"/>
        <v>0</v>
      </c>
      <c r="CG676" s="161">
        <f t="shared" si="1286"/>
        <v>0</v>
      </c>
      <c r="CH676" s="161">
        <f t="shared" si="1287"/>
        <v>0</v>
      </c>
      <c r="CI676" s="161">
        <f t="shared" si="1288"/>
        <v>0</v>
      </c>
      <c r="CJ676" s="161">
        <f t="shared" si="1289"/>
        <v>0</v>
      </c>
      <c r="CK676" s="161">
        <f t="shared" si="1290"/>
        <v>0</v>
      </c>
      <c r="CL676" s="161">
        <f t="shared" si="1291"/>
        <v>0</v>
      </c>
      <c r="CM676" s="161">
        <f t="shared" si="1292"/>
        <v>0</v>
      </c>
      <c r="CN676" s="161">
        <f t="shared" si="1293"/>
        <v>0</v>
      </c>
      <c r="CO676" s="161">
        <f t="shared" si="1294"/>
        <v>1</v>
      </c>
      <c r="CP676" s="161">
        <f t="shared" si="1295"/>
        <v>0</v>
      </c>
      <c r="CQ676" s="161">
        <f t="shared" si="1296"/>
        <v>0</v>
      </c>
      <c r="CR676" s="161">
        <f t="shared" si="1297"/>
        <v>0</v>
      </c>
      <c r="CS676" s="161">
        <f t="shared" si="1298"/>
        <v>0</v>
      </c>
      <c r="CT676" s="75">
        <f t="shared" si="1299"/>
        <v>0</v>
      </c>
      <c r="CU676" s="76">
        <f t="shared" si="1300"/>
        <v>0</v>
      </c>
      <c r="CV676" s="76">
        <f t="shared" si="1301"/>
        <v>0</v>
      </c>
      <c r="CW676" s="76">
        <f t="shared" si="1302"/>
        <v>0</v>
      </c>
      <c r="CX676" s="76">
        <f t="shared" si="1303"/>
        <v>0</v>
      </c>
      <c r="CY676" s="76">
        <f t="shared" si="1304"/>
        <v>0</v>
      </c>
      <c r="CZ676" s="76">
        <f t="shared" si="1305"/>
        <v>0</v>
      </c>
      <c r="DA676" s="76">
        <f t="shared" si="1306"/>
        <v>0</v>
      </c>
      <c r="DB676" s="76">
        <f t="shared" si="1307"/>
        <v>0</v>
      </c>
      <c r="DC676" s="76">
        <f t="shared" si="1308"/>
        <v>0</v>
      </c>
      <c r="DD676" s="76">
        <f t="shared" si="1309"/>
        <v>0</v>
      </c>
      <c r="DE676" s="77">
        <f t="shared" si="1310"/>
        <v>0</v>
      </c>
      <c r="DF676" s="73">
        <f t="shared" si="1312"/>
        <v>40</v>
      </c>
      <c r="DG676" s="67">
        <f t="shared" si="1313"/>
        <v>52.977999999999994</v>
      </c>
      <c r="DH676" s="76">
        <f t="shared" si="1314"/>
        <v>16</v>
      </c>
      <c r="DI676" s="67">
        <f t="shared" si="1315"/>
        <v>68.699999999999989</v>
      </c>
      <c r="DJ676" s="202" t="str">
        <f>IF($D676="","",$D676)</f>
        <v>21</v>
      </c>
      <c r="DK676" s="492">
        <f>IF(AND($B676=" ",$D676&lt;&gt;""),1,0)</f>
        <v>0</v>
      </c>
    </row>
    <row r="677" spans="1:115" ht="14.5" customHeight="1" x14ac:dyDescent="0.2">
      <c r="A677" s="389"/>
      <c r="B677" s="456"/>
      <c r="C677" s="53" t="s">
        <v>54</v>
      </c>
      <c r="D677" s="374"/>
      <c r="E677" s="386"/>
      <c r="F677" s="377"/>
      <c r="G677" s="508"/>
      <c r="H677" s="476"/>
      <c r="I677" s="162">
        <v>1</v>
      </c>
      <c r="J677" s="163" t="str">
        <f>IF(OR(I676="TO",I676="TU",I676="TO1",I676="TU1",I676="TO2",I676="TU2"),J676,IF(OR(I676="AH1",I676="AH2"),IF(OR(I677="AH1",I677="AH2"),-J676,IF(OR(I677="EH1",I677="EH2"),-J676+0.5,"")),IF(OR(I676="EH1",I676="EH2"),IF(OR(I677="AH1",I677="AH2"),-J676+0.5,IF(OR(I677="EH1",I677="EH2"),-J676+1,"")),IF(AND(OR(I676="DNB1",I676="DNB2"),OR(I677="AH1",I677="AH2")),0,IF(AND(I676="Not ScoreBoth",OR(I677="TO1",I677="TO2")),0.5,"")))))</f>
        <v/>
      </c>
      <c r="K677" s="57" t="s">
        <v>47</v>
      </c>
      <c r="L677" s="164">
        <v>1.82</v>
      </c>
      <c r="M677" s="165">
        <v>31.88</v>
      </c>
      <c r="N677" s="406"/>
      <c r="O677" s="60">
        <f>IF(OR(AE676="",AE677=""),"",ROUND(IF(L678&gt;0,IF(M677&gt;0,M677,IF(M676&gt;0,IF(N676=TRUE,ROUND((M676*AE677)/AE676,0),(M676*AE677)/AE676),IF(M677&gt;0,ROUND(M677,IF(N676=0,2,IF(N676=0.1,1,0))),IF(M678&gt;0,ROUND(O678*AE677/AE678,IF(N676=0,2,IF(N676=0.1,1,0))),0)))),IF(M677&gt;0,M677,ROUND((M676*AE677)/AE676,IF(N676=0,2,IF(N676=0.1,1,0))))),2))</f>
        <v>31.88</v>
      </c>
      <c r="P677" s="61">
        <f>IF(OR(L677="",O677=""),"",IF($C677="1/2W",O677/2+O677/2*L677,IF($C677="1/2L",O677/2,IF(I677="Lay",((O677*(L677/(L677-1)))-O677)*(1-_xlfn.XLOOKUP(K677,'Fevereiro 2023 - Valor Real'!A3:A15,'Fevereiro 2023 - Valor Real'!C3:C15,0))+O677,(O677*L677-O677)*(1-_xlfn.XLOOKUP(K677,'Fevereiro 2023 - Valor Real'!A3:A15,'Fevereiro 2023 - Valor Real'!C3:C15,0))+O677))))</f>
        <v>58.021599999999999</v>
      </c>
      <c r="Q677" s="166">
        <f>IF(K677="","",IF(_xlfn.XLOOKUP(K677,K$10:K668,$DJ$10:DJ668,0,,-1)=DJ677,_xlfn.XLOOKUP(K677,K$10:K668,Q$10:Q668,1,,-1)+1,1))</f>
        <v>8</v>
      </c>
      <c r="R677" s="167">
        <f>IF(K677="","",_xlfn.XLOOKUP(K677,K$10:K668,R$10:R668,0,,-1)+IF($C677=" ",1,0))</f>
        <v>0</v>
      </c>
      <c r="S677" s="403"/>
      <c r="T677" s="380"/>
      <c r="U677" s="380"/>
      <c r="V677" s="481"/>
      <c r="W677" s="380"/>
      <c r="X677" s="452"/>
      <c r="Y677" s="383"/>
      <c r="Z677" s="384"/>
      <c r="AA677" s="384"/>
      <c r="AB677" s="384"/>
      <c r="AC677" s="384"/>
      <c r="AD677" s="64"/>
      <c r="AE677" s="65">
        <f>IF(L677="","",IF(L678&gt;0,(SUM(((L676-1)*(1-_xlfn.XLOOKUP(K676,'Fevereiro 2023 - Valor Real'!A3:A15,'Fevereiro 2023 - Valor Real'!C3:C15,0))+1),((L677-1)*(1-_xlfn.XLOOKUP(K677,'Fevereiro 2023 - Valor Real'!A3:A15,'Fevereiro 2023 - Valor Real'!C3:C15,0))+1),((L678-1)*(1-_xlfn.XLOOKUP(K678,'Fevereiro 2023 - Valor Real'!A3:A15,'Fevereiro 2023 - Valor Real'!C3:C15,0))+1))/((L677-1)*(1-_xlfn.XLOOKUP(K677,'Fevereiro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Real'!C3:C15,0))+1))/((L676-1)*(1-_xlfn.XLOOKUP(K676,'Fevereiro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Real'!C3:C15,0))+1))/((L677-1)*(1-_xlfn.XLOOKUP(K677,'Fevereiro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Real'!C3:C15,0))+1))/((L678-1)*(1-_xlfn.XLOOKUP(K678,'Fevereiro 2023 - Valor Real'!A3:A15,'Fevereiro 2023 - Valor Real'!C3:C15,0))+1)),IF(I677="Lay",IF(I676="Lay",((L676/(L676-1)-1)*(1-_xlfn.XLOOKUP(K676,'Fevereiro 2023 - Valor Real'!A3:A15,'Fevereiro 2023 - Valor Real'!C3:C15,0))+1)/(((L676/(L676-1)-1)*(1-_xlfn.XLOOKUP(K676,'Fevereiro 2023 - Valor Real'!A3:A15,'Fevereiro 2023 - Valor Real'!C3:C15,0))+1)+((L677/(L677-1)-1)*(1-_xlfn.XLOOKUP(K677,'Fevereiro 2023 - Valor Real'!A3:A15,'Fevereiro 2023 - Valor Real'!C3:C15,0))+1)),((L676-1)*(1-_xlfn.XLOOKUP(K676,'Fevereiro 2023 - Valor Real'!A3:A15,'Fevereiro 2023 - Valor Real'!C3:C15,0))+1)/(((L676-1)*(1-_xlfn.XLOOKUP(K676,'Fevereiro 2023 - Valor Real'!A3:A15,'Fevereiro 2023 - Valor Real'!C3:C15,0))+1)+((L677/(L677-1)-1)*(1-_xlfn.XLOOKUP(K677,'Fevereiro 2023 - Valor Real'!A3:A15,'Fevereiro 2023 - Valor Real'!C3:C15,0))+1))),IF(I676="Lay",((L676/(L676-1)-1)*(1-_xlfn.XLOOKUP(K676,'Fevereiro 2023 - Valor Real'!A3:A15,'Fevereiro 2023 - Valor Real'!C3:C15,0))+1)/((((L676/(L676-1)-1)*(1-_xlfn.XLOOKUP(K676,'Fevereiro 2023 - Valor Real'!A3:A15,'Fevereiro 2023 - Valor Real'!C3:C15,0))+1))+((L677-1)*(1-_xlfn.XLOOKUP(K677,'Fevereiro 2023 - Valor Real'!A3:A15,'Fevereiro 2023 - Valor Real'!C3:C15,0))+1)),((L676-1)*(1-_xlfn.XLOOKUP(K676,'Fevereiro 2023 - Valor Real'!A3:A15,'Fevereiro 2023 - Valor Real'!C3:C15,0))+1)/(((L676-1)*(1-_xlfn.XLOOKUP(K676,'Fevereiro 2023 - Valor Real'!A3:A15,'Fevereiro 2023 - Valor Real'!C3:C15,0))+1)+((L677-1)*(1-_xlfn.XLOOKUP(K677,'Fevereiro 2023 - Valor Real'!A3:A15,'Fevereiro 2023 - Valor Real'!C3:C15,0))+1))))))</f>
        <v>0.57276995305164324</v>
      </c>
      <c r="AF677" s="66">
        <f t="shared" si="1358"/>
        <v>0</v>
      </c>
      <c r="AG677" s="67">
        <f t="shared" si="1358"/>
        <v>0</v>
      </c>
      <c r="AH677" s="67">
        <f t="shared" si="1358"/>
        <v>0</v>
      </c>
      <c r="AI677" s="67">
        <f t="shared" si="1358"/>
        <v>0</v>
      </c>
      <c r="AJ677" s="67">
        <f t="shared" si="1358"/>
        <v>0</v>
      </c>
      <c r="AK677" s="67">
        <f t="shared" si="1358"/>
        <v>0</v>
      </c>
      <c r="AL677" s="67">
        <f t="shared" si="1358"/>
        <v>0</v>
      </c>
      <c r="AM677" s="67">
        <f t="shared" si="1358"/>
        <v>0</v>
      </c>
      <c r="AN677" s="67">
        <f t="shared" si="1358"/>
        <v>0</v>
      </c>
      <c r="AO677" s="67">
        <f t="shared" si="1358"/>
        <v>0</v>
      </c>
      <c r="AP677" s="67">
        <f t="shared" si="1358"/>
        <v>0</v>
      </c>
      <c r="AQ677" s="67">
        <f t="shared" si="1358"/>
        <v>26.14</v>
      </c>
      <c r="AR677" s="68">
        <f t="shared" si="1358"/>
        <v>0</v>
      </c>
      <c r="AS677" s="66">
        <f>IF(AND($B676=" ",$K677=AS$3),$O677,0)</f>
        <v>0</v>
      </c>
      <c r="AT677" s="67">
        <f>IF(AND($B676=" ",K677=AT$3),$O677,0)</f>
        <v>0</v>
      </c>
      <c r="AU677" s="67">
        <f t="shared" ref="AU677:BE677" si="1364">IF(AND($B676=" ",$K677=AU$3),$O677,0)</f>
        <v>0</v>
      </c>
      <c r="AV677" s="67">
        <f t="shared" si="1364"/>
        <v>0</v>
      </c>
      <c r="AW677" s="67">
        <f t="shared" si="1364"/>
        <v>0</v>
      </c>
      <c r="AX677" s="67">
        <f t="shared" si="1364"/>
        <v>0</v>
      </c>
      <c r="AY677" s="69">
        <f t="shared" si="1364"/>
        <v>0</v>
      </c>
      <c r="AZ677" s="70">
        <f t="shared" si="1364"/>
        <v>0</v>
      </c>
      <c r="BA677" s="70">
        <f t="shared" si="1364"/>
        <v>0</v>
      </c>
      <c r="BB677" s="70">
        <f t="shared" si="1364"/>
        <v>0</v>
      </c>
      <c r="BC677" s="71">
        <f t="shared" si="1364"/>
        <v>0</v>
      </c>
      <c r="BD677" s="67">
        <f t="shared" si="1364"/>
        <v>0</v>
      </c>
      <c r="BE677" s="68">
        <f t="shared" si="1364"/>
        <v>0</v>
      </c>
      <c r="BF677" s="66">
        <f t="shared" si="1360"/>
        <v>0</v>
      </c>
      <c r="BG677" s="168">
        <f t="shared" si="1360"/>
        <v>0</v>
      </c>
      <c r="BH677" s="67">
        <f t="shared" si="1360"/>
        <v>0</v>
      </c>
      <c r="BI677" s="67">
        <f t="shared" si="1360"/>
        <v>0</v>
      </c>
      <c r="BJ677" s="67">
        <f t="shared" si="1360"/>
        <v>0</v>
      </c>
      <c r="BK677" s="67">
        <f t="shared" si="1360"/>
        <v>0</v>
      </c>
      <c r="BL677" s="67">
        <f t="shared" si="1360"/>
        <v>0</v>
      </c>
      <c r="BM677" s="69">
        <f t="shared" si="1360"/>
        <v>0</v>
      </c>
      <c r="BN677" s="70">
        <f t="shared" si="1360"/>
        <v>0</v>
      </c>
      <c r="BO677" s="70">
        <f t="shared" si="1360"/>
        <v>0</v>
      </c>
      <c r="BP677" s="70">
        <f t="shared" si="1360"/>
        <v>0</v>
      </c>
      <c r="BQ677" s="71">
        <f t="shared" si="1360"/>
        <v>31.88</v>
      </c>
      <c r="BR677" s="68">
        <f t="shared" si="1360"/>
        <v>0</v>
      </c>
      <c r="BS677" s="491"/>
      <c r="BT677" s="489"/>
      <c r="BU677" s="392"/>
      <c r="BV677" s="489"/>
      <c r="BW677" s="392"/>
      <c r="BX677" s="392"/>
      <c r="BY677" s="392"/>
      <c r="BZ677" s="489"/>
      <c r="CA677" s="392"/>
      <c r="CB677" s="392"/>
      <c r="CC677" s="392"/>
      <c r="CD677" s="401"/>
      <c r="CE677" s="409"/>
      <c r="CF677" s="169">
        <f t="shared" si="1285"/>
        <v>0</v>
      </c>
      <c r="CG677" s="170">
        <f t="shared" si="1286"/>
        <v>0</v>
      </c>
      <c r="CH677" s="170">
        <f t="shared" si="1287"/>
        <v>0</v>
      </c>
      <c r="CI677" s="170">
        <f t="shared" si="1288"/>
        <v>0</v>
      </c>
      <c r="CJ677" s="170">
        <f t="shared" si="1289"/>
        <v>0</v>
      </c>
      <c r="CK677" s="170">
        <f t="shared" si="1290"/>
        <v>0</v>
      </c>
      <c r="CL677" s="170">
        <f t="shared" si="1291"/>
        <v>0</v>
      </c>
      <c r="CM677" s="170">
        <f t="shared" si="1292"/>
        <v>0</v>
      </c>
      <c r="CN677" s="170">
        <f t="shared" si="1293"/>
        <v>0</v>
      </c>
      <c r="CO677" s="170">
        <f t="shared" si="1294"/>
        <v>0</v>
      </c>
      <c r="CP677" s="170">
        <f t="shared" si="1295"/>
        <v>0</v>
      </c>
      <c r="CQ677" s="170">
        <f t="shared" si="1296"/>
        <v>0</v>
      </c>
      <c r="CR677" s="170">
        <f t="shared" si="1297"/>
        <v>0</v>
      </c>
      <c r="CS677" s="170">
        <f t="shared" si="1298"/>
        <v>0</v>
      </c>
      <c r="CT677" s="75">
        <f t="shared" si="1299"/>
        <v>0</v>
      </c>
      <c r="CU677" s="76">
        <f t="shared" si="1300"/>
        <v>0</v>
      </c>
      <c r="CV677" s="76">
        <f t="shared" si="1301"/>
        <v>0</v>
      </c>
      <c r="CW677" s="76">
        <f t="shared" si="1302"/>
        <v>0</v>
      </c>
      <c r="CX677" s="76">
        <f t="shared" si="1303"/>
        <v>0</v>
      </c>
      <c r="CY677" s="76">
        <f t="shared" si="1304"/>
        <v>0</v>
      </c>
      <c r="CZ677" s="76">
        <f t="shared" si="1305"/>
        <v>0</v>
      </c>
      <c r="DA677" s="76">
        <f t="shared" si="1306"/>
        <v>0</v>
      </c>
      <c r="DB677" s="76">
        <f t="shared" si="1307"/>
        <v>1</v>
      </c>
      <c r="DC677" s="76">
        <f t="shared" si="1308"/>
        <v>0</v>
      </c>
      <c r="DD677" s="76">
        <f t="shared" si="1309"/>
        <v>0</v>
      </c>
      <c r="DE677" s="77">
        <f t="shared" si="1310"/>
        <v>0</v>
      </c>
      <c r="DF677" s="73">
        <f t="shared" si="1312"/>
        <v>40</v>
      </c>
      <c r="DG677" s="67">
        <f t="shared" si="1313"/>
        <v>52.977999999999994</v>
      </c>
      <c r="DH677" s="76">
        <f t="shared" si="1314"/>
        <v>16</v>
      </c>
      <c r="DI677" s="67">
        <f t="shared" si="1315"/>
        <v>68.699999999999989</v>
      </c>
      <c r="DJ677" s="202" t="str">
        <f>IF($D676="","",$D676)</f>
        <v>21</v>
      </c>
      <c r="DK677" s="493"/>
    </row>
    <row r="678" spans="1:115" ht="14.5" customHeight="1" x14ac:dyDescent="0.2">
      <c r="A678" s="390"/>
      <c r="B678" s="457"/>
      <c r="C678" s="79" t="s">
        <v>53</v>
      </c>
      <c r="D678" s="375"/>
      <c r="E678" s="387"/>
      <c r="F678" s="378"/>
      <c r="G678" s="508"/>
      <c r="H678" s="477"/>
      <c r="I678" s="171"/>
      <c r="J678" s="172"/>
      <c r="K678" s="81"/>
      <c r="L678" s="173"/>
      <c r="M678" s="174"/>
      <c r="N678" s="407"/>
      <c r="O678" s="86" t="str">
        <f>IF(OR(AE676="",AE677=""),"",IF(L678&gt;0,ROUND(IF(M678&gt;0,M678,IF(M676&gt;0,ROUND((M676*AE678)/AE676,IF(N676=0,2,IF(N676=0.1,1,0))),IF(M677&gt;0,ROUND((M677*AE678)/AE677,IF(N676=0,2,IF(N676=0.1,1,0))),IF(M678&gt;0,M678,0)))),2),""))</f>
        <v/>
      </c>
      <c r="P678" s="87" t="str">
        <f>IF(I677="Lay",O677*(L677/(L677-1))-O677,IF(I676="Lay",O676*(L676/(L676-1))-O676,IF(OR(L678="",O678=""),"",IF($C678="1/2W",O678/2+O678/2*L678,IF($C678="1/2L",O678/2,(O678*L678-O678)*(1-_xlfn.XLOOKUP(K678,'Fevereiro 2023 - Valor Real'!A3:A15,'Fevereiro 2023 - Valor Real'!C3:C15,0))+O678)))))</f>
        <v/>
      </c>
      <c r="Q678" s="54" t="str">
        <f>IF(K678="","",IF(_xlfn.XLOOKUP(K678,K$11:K668,$DJ$11:DJ668,0,,-1)=DJ678,_xlfn.XLOOKUP(K678,K$11:K668,Q$11:Q668,1,,-1)+1,1))</f>
        <v/>
      </c>
      <c r="R678" s="87" t="str">
        <f>IF(K678="","",_xlfn.XLOOKUP(K678,K$11:K668,R$11:R668,0,,-1)+IF($C678=" ",1,0))</f>
        <v/>
      </c>
      <c r="S678" s="404"/>
      <c r="T678" s="378"/>
      <c r="U678" s="378"/>
      <c r="V678" s="404"/>
      <c r="W678" s="378"/>
      <c r="X678" s="453"/>
      <c r="Y678" s="383"/>
      <c r="Z678" s="384"/>
      <c r="AA678" s="384"/>
      <c r="AB678" s="384"/>
      <c r="AC678" s="384"/>
      <c r="AD678" s="90"/>
      <c r="AE678" s="91" t="str">
        <f>IF(L678="","",(SUM(((L676-1)*(1-_xlfn.XLOOKUP(K676,'Fevereiro 2023 - Valor Real'!A3:A15,'Fevereiro 2023 - Valor Real'!C3:C15,0))+1),((L677-1)*(1-_xlfn.XLOOKUP(K677,'Fevereiro 2023 - Valor Real'!A3:A15,'Fevereiro 2023 - Valor Real'!C3:C15,0))+1),((L678-1)*(1-_xlfn.XLOOKUP(K678,'Fevereiro 2023 - Valor Real'!A3:A15,'Fevereiro 2023 - Valor Real'!C3:C15,0))+1))/((L678-1)*(1-_xlfn.XLOOKUP(K678,'Fevereiro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Real'!C3:C15,0))+1))/((L676-1)*(1-_xlfn.XLOOKUP(K676,'Fevereiro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Real'!C3:C15,0))+1))/((L677-1)*(1-_xlfn.XLOOKUP(K677,'Fevereiro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Real'!C3:C15,0))+1))/((L678-1)*(1-_xlfn.XLOOKUP(K678,'Fevereiro 2023 - Valor Real'!A3:A15,'Fevereiro 2023 - Valor Real'!C3:C15,0))+1)))</f>
        <v/>
      </c>
      <c r="AF678" s="66">
        <f t="shared" si="1358"/>
        <v>0</v>
      </c>
      <c r="AG678" s="67">
        <f t="shared" si="1358"/>
        <v>0</v>
      </c>
      <c r="AH678" s="67">
        <f t="shared" si="1358"/>
        <v>0</v>
      </c>
      <c r="AI678" s="67">
        <f t="shared" si="1358"/>
        <v>0</v>
      </c>
      <c r="AJ678" s="67">
        <f t="shared" si="1358"/>
        <v>0</v>
      </c>
      <c r="AK678" s="67">
        <f t="shared" si="1358"/>
        <v>0</v>
      </c>
      <c r="AL678" s="67">
        <f t="shared" si="1358"/>
        <v>0</v>
      </c>
      <c r="AM678" s="67">
        <f t="shared" si="1358"/>
        <v>0</v>
      </c>
      <c r="AN678" s="67">
        <f t="shared" si="1358"/>
        <v>0</v>
      </c>
      <c r="AO678" s="67">
        <f t="shared" si="1358"/>
        <v>0</v>
      </c>
      <c r="AP678" s="67">
        <f t="shared" si="1358"/>
        <v>0</v>
      </c>
      <c r="AQ678" s="67">
        <f t="shared" si="1358"/>
        <v>0</v>
      </c>
      <c r="AR678" s="68">
        <f t="shared" si="1358"/>
        <v>0</v>
      </c>
      <c r="AS678" s="66">
        <f>IF(AND($B676=" ",$K678=AS$3),$O678,0)</f>
        <v>0</v>
      </c>
      <c r="AT678" s="67">
        <f>IF(AND($B676=" ",K678=AT$3),$O678,0)</f>
        <v>0</v>
      </c>
      <c r="AU678" s="67">
        <f t="shared" ref="AU678:BE678" si="1365">IF(AND($B676=" ",$K678=AU$3),$O678,0)</f>
        <v>0</v>
      </c>
      <c r="AV678" s="67">
        <f t="shared" si="1365"/>
        <v>0</v>
      </c>
      <c r="AW678" s="67">
        <f t="shared" si="1365"/>
        <v>0</v>
      </c>
      <c r="AX678" s="67">
        <f t="shared" si="1365"/>
        <v>0</v>
      </c>
      <c r="AY678" s="69">
        <f t="shared" si="1365"/>
        <v>0</v>
      </c>
      <c r="AZ678" s="70">
        <f t="shared" si="1365"/>
        <v>0</v>
      </c>
      <c r="BA678" s="70">
        <f t="shared" si="1365"/>
        <v>0</v>
      </c>
      <c r="BB678" s="70">
        <f t="shared" si="1365"/>
        <v>0</v>
      </c>
      <c r="BC678" s="71">
        <f t="shared" si="1365"/>
        <v>0</v>
      </c>
      <c r="BD678" s="67">
        <f t="shared" si="1365"/>
        <v>0</v>
      </c>
      <c r="BE678" s="68">
        <f t="shared" si="1365"/>
        <v>0</v>
      </c>
      <c r="BF678" s="66">
        <f t="shared" si="1360"/>
        <v>0</v>
      </c>
      <c r="BG678" s="168">
        <f t="shared" si="1360"/>
        <v>0</v>
      </c>
      <c r="BH678" s="67">
        <f t="shared" si="1360"/>
        <v>0</v>
      </c>
      <c r="BI678" s="67">
        <f t="shared" si="1360"/>
        <v>0</v>
      </c>
      <c r="BJ678" s="67">
        <f t="shared" si="1360"/>
        <v>0</v>
      </c>
      <c r="BK678" s="67">
        <f t="shared" si="1360"/>
        <v>0</v>
      </c>
      <c r="BL678" s="67">
        <f t="shared" si="1360"/>
        <v>0</v>
      </c>
      <c r="BM678" s="69">
        <f t="shared" si="1360"/>
        <v>0</v>
      </c>
      <c r="BN678" s="70">
        <f t="shared" si="1360"/>
        <v>0</v>
      </c>
      <c r="BO678" s="70">
        <f t="shared" si="1360"/>
        <v>0</v>
      </c>
      <c r="BP678" s="70">
        <f t="shared" si="1360"/>
        <v>0</v>
      </c>
      <c r="BQ678" s="71">
        <f t="shared" si="1360"/>
        <v>0</v>
      </c>
      <c r="BR678" s="68">
        <f t="shared" si="1360"/>
        <v>0</v>
      </c>
      <c r="BS678" s="491"/>
      <c r="BT678" s="489"/>
      <c r="BU678" s="392"/>
      <c r="BV678" s="489"/>
      <c r="BW678" s="392"/>
      <c r="BX678" s="392"/>
      <c r="BY678" s="392"/>
      <c r="BZ678" s="489"/>
      <c r="CA678" s="392"/>
      <c r="CB678" s="392"/>
      <c r="CC678" s="392"/>
      <c r="CD678" s="401"/>
      <c r="CE678" s="409"/>
      <c r="CF678" s="169">
        <f t="shared" si="1285"/>
        <v>0</v>
      </c>
      <c r="CG678" s="170">
        <f t="shared" si="1286"/>
        <v>0</v>
      </c>
      <c r="CH678" s="170">
        <f t="shared" si="1287"/>
        <v>0</v>
      </c>
      <c r="CI678" s="170">
        <f t="shared" si="1288"/>
        <v>0</v>
      </c>
      <c r="CJ678" s="170">
        <f t="shared" si="1289"/>
        <v>0</v>
      </c>
      <c r="CK678" s="170">
        <f t="shared" si="1290"/>
        <v>0</v>
      </c>
      <c r="CL678" s="170">
        <f t="shared" si="1291"/>
        <v>0</v>
      </c>
      <c r="CM678" s="170">
        <f t="shared" si="1292"/>
        <v>0</v>
      </c>
      <c r="CN678" s="170">
        <f t="shared" si="1293"/>
        <v>0</v>
      </c>
      <c r="CO678" s="170">
        <f t="shared" si="1294"/>
        <v>0</v>
      </c>
      <c r="CP678" s="170">
        <f t="shared" si="1295"/>
        <v>0</v>
      </c>
      <c r="CQ678" s="170">
        <f t="shared" si="1296"/>
        <v>0</v>
      </c>
      <c r="CR678" s="170">
        <f t="shared" si="1297"/>
        <v>0</v>
      </c>
      <c r="CS678" s="170">
        <f t="shared" si="1298"/>
        <v>0</v>
      </c>
      <c r="CT678" s="75">
        <f t="shared" si="1299"/>
        <v>0</v>
      </c>
      <c r="CU678" s="76">
        <f t="shared" si="1300"/>
        <v>0</v>
      </c>
      <c r="CV678" s="76">
        <f t="shared" si="1301"/>
        <v>0</v>
      </c>
      <c r="CW678" s="76">
        <f t="shared" si="1302"/>
        <v>0</v>
      </c>
      <c r="CX678" s="76">
        <f t="shared" si="1303"/>
        <v>0</v>
      </c>
      <c r="CY678" s="76">
        <f t="shared" si="1304"/>
        <v>0</v>
      </c>
      <c r="CZ678" s="76">
        <f t="shared" si="1305"/>
        <v>0</v>
      </c>
      <c r="DA678" s="76">
        <f t="shared" si="1306"/>
        <v>0</v>
      </c>
      <c r="DB678" s="76">
        <f t="shared" si="1307"/>
        <v>0</v>
      </c>
      <c r="DC678" s="76">
        <f t="shared" si="1308"/>
        <v>0</v>
      </c>
      <c r="DD678" s="76">
        <f t="shared" si="1309"/>
        <v>0</v>
      </c>
      <c r="DE678" s="77">
        <f t="shared" si="1310"/>
        <v>0</v>
      </c>
      <c r="DF678" s="73">
        <f t="shared" si="1312"/>
        <v>40</v>
      </c>
      <c r="DG678" s="67">
        <f t="shared" si="1313"/>
        <v>52.977999999999994</v>
      </c>
      <c r="DH678" s="76">
        <f t="shared" si="1314"/>
        <v>16</v>
      </c>
      <c r="DI678" s="67">
        <f t="shared" si="1315"/>
        <v>68.699999999999989</v>
      </c>
      <c r="DJ678" s="202" t="str">
        <f>IF($D676="","",$D676)</f>
        <v>21</v>
      </c>
      <c r="DK678" s="493"/>
    </row>
    <row r="679" spans="1:115" ht="14.5" customHeight="1" x14ac:dyDescent="0.2">
      <c r="A679" s="459">
        <f>$A676+1</f>
        <v>226</v>
      </c>
      <c r="B679" s="507" t="str">
        <f>IF(OR(C679="W",C680="W",C681="W",C679="1/2W",C680="1/2W",C681="1/2W",C679="1/2L",C680="1/2L",C681="1/2L"),"OK",IF(OR(C679="L",C680="L",C681="L"),"LOSS",IF(OR(C679="X",C680="X",C681="X"),"Anulado"," ")))</f>
        <v>OK</v>
      </c>
      <c r="C679" s="93" t="s">
        <v>49</v>
      </c>
      <c r="D679" s="468" t="str">
        <f>IF(G679="","",$D676)</f>
        <v>21</v>
      </c>
      <c r="E679" s="485" t="str">
        <f>IF(G679=""," ","– "&amp;COUNTIF(D$4:D681,$D679))</f>
        <v>– 22</v>
      </c>
      <c r="F679" s="509" t="str">
        <f ca="1">IF(G679="","",IF(OR(AND($C679&lt;&gt;" ",$C680=" "),AND($C680&lt;&gt;" ",$C679=" "),AND(L681&gt;0,OR(AND($C681&lt;&gt;" ",OR($C679=" ",$C680=" ")),AND($C681=" ",OR($C679&lt;&gt;" ",$C680&lt;&gt;" "))))),IF(SUM(F$4:F678)=0,1,LARGE(F$4:F678,1)+1),IF(MONTH(G679)=MONTH(TODAY()),IF(AND(DAY(G679)&lt;DAY(TODAY()),$B679=" "),IF(SUM(F$4:F678)=0,1,LARGE(F$4:F678,1)+1),IF($B679=" ",IF(AND(DAY(G679)=DAY(TODAY()),HOUR(G679)&lt;=HOUR(NOW())+1),IF(AND(HOUR(G679)+2&lt;=HOUR(NOW()),DAY(G679)&lt;=DAY(TODAY()),MINUTE(G679)&lt;=MINUTE(NOW())),IF(SUM(F$4:F678)=0,1,LARGE(F$4:F678,1)+1),IF(OR(MINUTE(G679)&lt;=MINUTE(NOW()),HOUR(G679)&lt;=HOUR(NOW())),"!!!","")),""),"")),"")))</f>
        <v/>
      </c>
      <c r="G679" s="482">
        <f>IF(H679="","",_xlfn.XLOOKUP(H679,$H$4:H678,$G$4:G678,""))</f>
        <v>45006.458333333336</v>
      </c>
      <c r="H679" s="475" t="s">
        <v>238</v>
      </c>
      <c r="I679" s="175">
        <v>2</v>
      </c>
      <c r="J679" s="176"/>
      <c r="K679" s="96" t="s">
        <v>40</v>
      </c>
      <c r="L679" s="97">
        <v>2.4900000000000002</v>
      </c>
      <c r="M679" s="98">
        <v>15.1</v>
      </c>
      <c r="N679" s="478">
        <v>0</v>
      </c>
      <c r="O679" s="99">
        <f>IF(OR(AE679="",AE680=""),"",ROUND(IF(L681&gt;0,IF(M679&gt;0,M679,IF(M680&gt;0,ROUND((M680*AE679)/AE680,IF(N679=0,2,IF(N679=0.1,1,0))),ROUND((M681*AE679)/AE681,IF(N679=0,2,IF(N679=0.1,1,0))))),IF(M679&gt;0,M679,ROUND((M680*AE679)/AE680,IF(N679=0,2,IF(N679=0.1,1,0))))),2))</f>
        <v>15.1</v>
      </c>
      <c r="P679" s="100">
        <f>IF(OR(L679="",O679=""),"",IF($C679="1/2W",O679/2+O679/2*L679,IF($C679="1/2L",O679/2,IF(I679="Lay",(O679*(L679/(L679-1))-O679)*(1-_xlfn.XLOOKUP(K679,'Fevereiro 2023 - Valor Real'!A3:A15,'Fevereiro 2023 - Valor Real'!C3:C15,0))+O679,(O679*L679-O679)*(1-_xlfn.XLOOKUP(K679,'Fevereiro 2023 - Valor Real'!A3:A15,'Fevereiro 2023 - Valor Real'!C3:C15,0))+O679))))</f>
        <v>37.599000000000004</v>
      </c>
      <c r="Q679" s="101">
        <f>IF(K679="","",IF(_xlfn.XLOOKUP(K679,K$4:K678,$DJ$4:DJ678,0,,-1)=DJ679,_xlfn.XLOOKUP(K679,K$4:K678,Q$4:Q678,1,,-1)+1,1))</f>
        <v>9</v>
      </c>
      <c r="R679" s="102">
        <f>IF(K679="","",_xlfn.XLOOKUP(K679,K$4:K678,R$4:R678,0,,-1)+IF($C679=" ",1,0))</f>
        <v>0</v>
      </c>
      <c r="S679" s="474">
        <f>IF($B679="Anulado",0,ROUND(IF(OR($B679="LOSS",$B679="OK"),IF(OR($C679="W",$C679="1/2W",$C679="1/2L"),P679-O679,IF($C679="L",-O679,0))+IF(OR($C680="W",$C680="1/2W",$C680="1/2L"),P680-O680,IF($C680="L",-O680,0))+IF(OR($C681="W",$C681="1/2W",$C681="1/2L"),P681-O681,IF($C681="L",-O681,0)),IF(AND(OR($C679="W",$C679="1/2W",$C679="1/2L"),C680="W"),P679+P680-SUM(O679:O681)+_xlfn.XLOOKUP("X",C679:C681,O679:O681,0),IF(AND(C679=TRUE,C681="W"),P679+P681-SUM(O679:O681),IF(AND(C680="W",C681="W"),P680+P681-SUM(O679:O681)+_xlfn.XLOOKUP("X",C679:C681,O679:O681,0),IF(L681&gt;0,IF(OR($C679="W",$C679="1/2W",$C679="1/2L"),P679-SUM(O679:O681)+_xlfn.XLOOKUP("X",C679:C681,O679:O681,0),IF(OR($C679="W",$C679="1/2W",$C679="1/2L"),P680-SUM(O679:O681)+_xlfn.XLOOKUP("X",C679:C681,O679:O681,0),IF(OR($C679="W",$C679="1/2W",$C679="1/2L"),P681-SUM(O679:O681)+_xlfn.XLOOKUP("X",C679:C681,O679:O681,0),IF(SUM(P679:P681)/3-SUM(O679:O681)+_xlfn.XLOOKUP("X",C679:C681,O679:O681,0)&gt;0,SUM(P679:P681)/3-SUM(O679:O681)+_xlfn.XLOOKUP("X",C679:C681,O679:O681,0),LARGE(P679:P681,1)-SUM(O679:O681))))),IF(OR($C679="W",$C679="1/2W",$C679="1/2L"),P679-SUM(O679:O680)+_xlfn.XLOOKUP("X",C679:C681,O679:O681,0),IF(OR($C679="W",$C679="1/2W",$C679="1/2L"),P680-SUM(O679:O680)+_xlfn.XLOOKUP("X",C679:C681,O679:O681,0),SUM(P679:P680)/2-SUM(O679:O680)+_xlfn.XLOOKUP("X",C679:C681,O679:O681,0)))))))),2))</f>
        <v>22.32</v>
      </c>
      <c r="T679" s="458">
        <f>IF(S679=0,0,S679/SUM(O679:O681))</f>
        <v>0.74054412740544129</v>
      </c>
      <c r="U679" s="470">
        <f>IF($D679=$D676,IF(OR($B679="LOSS",$B679="OK",$B679="Anulada"),S679,0)+U676,IF(OR($B679="LOSS",$B679="OK",$B679="Anulada"),S679,0))</f>
        <v>117.13</v>
      </c>
      <c r="V679" s="470">
        <f>IF($D679="",0,IF($D679=$D676,IF($B679=" ",IF(I681="",IF(OR(AND(I679="DNB1",I680="DNB2"),AND(OR(I679="DNB1",I679="DNB2"),J680=0),AND(OR(I680="DNB1",I680="DNB2"),J679=0),AND(I679="DNB2",I680="DNB1"),AND(IF(J679=0,(J679+1)/ROUND(J679+1,0),J679/ROUND(J679,0))=1,IF(J680=0,(J680+1)/ROUND(IF(J680="",0,J680)+1,0),IF(J680="",0,J680)/ROUND(IF(J680="",1,J680),0))=1,OR(J679&lt;&gt;""),J680&lt;&gt;"")),0,IF(S679&lt;0,IF(I681="",SMALL(P679:P680,1)-SUM(O679:O680),0),SMALL(P679:P680,1)-SUM(O679:O680))),IF(S679&lt;0,IF(I681="",SMALL(P679:P681,1)-SUM(O679:O681),0),LARGE(P679:P681,1)-SUM(O679:O681))),S679)+V676,IF(I681="",IF(OR(AND(I679="DNB1",I680="DNB2"),AND(OR(I679="DNB1",I679="DNB2"),J680=0),AND(OR(I680="DNB1",I680="DNB2"),J679=0),AND(I679="DNB2",I680="DNB1"),AND(IF(J679=0,(J679+1)/ROUND(J679+1,0),J679/ROUND(J679,0))=1,IF(J680=0,(IF(J680="",0,J680)+1)/ROUND(IF(J680="",0,J680)+1,0),IF(J680="",0,J680)/ROUND(IF(J680="",0,J680)+1,0))=1,OR(J679&lt;&gt;""),J680&lt;&gt;"")),0,IF(S679&lt;0,IF(I681="",SMALL(P679:P680,1)-SUM(O679:O680),0),SMALL(P679:P681,1)-SUM(O679:O681))),IF(S679&lt;0,IF(I681="",SMALL(P679:P681,1)-SUM(O679:O681),0),LARGE(P679:P681,1)-SUM(O679:O681)))))</f>
        <v>117.12800000000001</v>
      </c>
      <c r="W679" s="470">
        <f>IF($D679=$D676,IF(S679&lt;0,IF(I681="",S679,0),S679)+W676,S679)</f>
        <v>117.13</v>
      </c>
      <c r="X679" s="480" t="str">
        <f>IF(OR(SUM(R679:R681)=0,V679=W679),ROUND(IF(W679=0,0,W679/Y679)*100,2)&amp;"%",ROUND(IF(V679=0,0,V679/Y679)*100,2)&amp;"% a "&amp;ROUND(IF(W679=0,0,W679/Y679)*100,2)&amp;"%")</f>
        <v>8,74%</v>
      </c>
      <c r="Y679" s="471">
        <f>IF($D679=$D676,Y676+SUM(O679:O681),SUM(O679:O681))</f>
        <v>1340.17</v>
      </c>
      <c r="Z679" s="470">
        <f>IF($B679=" ",SUM(O679:O681),0)+Z676</f>
        <v>0</v>
      </c>
      <c r="AA679" s="470">
        <f>IF(G679="","",IF($B679="Anulado",LARGE(P679:P681,1)-SUM(O679:O681)+AA676,AA676))</f>
        <v>13.381099999999991</v>
      </c>
      <c r="AB679" s="470">
        <f>IF($D679="","",AB676+S679)</f>
        <v>794.76000000000056</v>
      </c>
      <c r="AC679" s="472">
        <f ca="1">IF($D679="","",IF($B679=" ",IF(DAY(G679)=DAY(TODAY()),1+AC676,0+AC676),0+AC676))</f>
        <v>0</v>
      </c>
      <c r="AD679" s="103">
        <f>(((L680/(L680-1)-1)*(1-_xlfn.XLOOKUP(K680,'Fevereiro 2023 - Valor Real'!A3:A15,'Fevereiro 2023 - Valor Real'!C3:C15,0))+1))/(((L679-1)*(1-_xlfn.XLOOKUP(K679,'Fevereiro 2023 - Valor Real'!A3:A15,'Fevereiro 2023 - Valor Real'!C3:C15,0))+1)+((L680/(L680-1)-1)*(1-_xlfn.XLOOKUP(K680,'Fevereiro 2023 - Valor Real'!A3:A15,'Fevereiro 2023 - Valor Real'!C3:C15,0))+1))</f>
        <v>0.49940964355235024</v>
      </c>
      <c r="AE679" s="104">
        <f>IF(L679="","",IF(L681&gt;0,(SUM(((L679-1)*(1-_xlfn.XLOOKUP(K679,'Fevereiro 2023 - Valor Real'!A3:A15,'Fevereiro 2023 - Valor Real'!C3:C15,0))+1),((L680-1)*(1-_xlfn.XLOOKUP(K680,'Fevereiro 2023 - Valor Real'!A3:A15,'Fevereiro 2023 - Valor Real'!C3:C15,0))+1),((L681-1)*(1-_xlfn.XLOOKUP(K681,'Fevereiro 2023 - Valor Real'!A3:A15,'Fevereiro 2023 - Valor Real'!C3:C15,0))+1))/((L679-1)*(1-_xlfn.XLOOKUP(K679,'Fevereiro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Real'!C3:C15,0))+1))/((L679-1)*(1-_xlfn.XLOOKUP(K679,'Fevereiro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Real'!C3:C15,0))+1))/((L680-1)*(1-_xlfn.XLOOKUP(K680,'Fevereiro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Real'!C3:C15,0))+1))/((L681-1)*(1-_xlfn.XLOOKUP(K681,'Fevereiro 2023 - Valor Real'!A3:A15,'Fevereiro 2023 - Valor Real'!C3:C15,0))+1)),IF(I679="Lay",IF(I680="Lay",((L680/(L680-1)-1)*(1-_xlfn.XLOOKUP(K680,'Fevereiro 2023 - Valor Real'!A3:A15,'Fevereiro 2023 - Valor Real'!C3:C15,0))+1)/(((L680/(L680-1)-1)*(1-_xlfn.XLOOKUP(K680,'Fevereiro 2023 - Valor Real'!A3:A15,'Fevereiro 2023 - Valor Real'!C3:C15,0))+1)+((L679/(L679-1)-1)*(1-_xlfn.XLOOKUP(K679,'Fevereiro 2023 - Valor Real'!A3:A15,'Fevereiro 2023 - Valor Real'!C3:C15,0))+1)),((L680-1)*(1-_xlfn.XLOOKUP(K680,'Fevereiro 2023 - Valor Real'!A3:A15,'Fevereiro 2023 - Valor Real'!C3:C15,0))+1)/(((L680-1)*(1-_xlfn.XLOOKUP(K680,'Fevereiro 2023 - Valor Real'!A3:A15,'Fevereiro 2023 - Valor Real'!C3:C15,0))+1)+((L679/(L679-1)-1)*(1-_xlfn.XLOOKUP(K679,'Fevereiro 2023 - Valor Real'!A3:A15,'Fevereiro 2023 - Valor Real'!C3:C15,0))+1))),IF(I680="Lay",(((L680/(L680-1)-1)*(1-_xlfn.XLOOKUP(K680,'Fevereiro 2023 - Valor Real'!A3:A15,'Fevereiro 2023 - Valor Real'!C3:C15,0))+1))/(((L679-1)*(1-_xlfn.XLOOKUP(K679,'Fevereiro 2023 - Valor Real'!A3:A15,'Fevereiro 2023 - Valor Real'!C3:C15,0))+1)+((L680/(L680-1)-1)*(1-_xlfn.XLOOKUP(K680,'Fevereiro 2023 - Valor Real'!A3:A15,'Fevereiro 2023 - Valor Real'!C3:C15,0))+1)),((L680-1)*(1-_xlfn.XLOOKUP(K680,'Fevereiro 2023 - Valor Real'!A3:A15,'Fevereiro 2023 - Valor Real'!C3:C15,0))+1)/(((L680-1)*(1-_xlfn.XLOOKUP(K680,'Fevereiro 2023 - Valor Real'!A3:A15,'Fevereiro 2023 - Valor Real'!C3:C15,0))+1)+((L679-1)*(1-_xlfn.XLOOKUP(K679,'Fevereiro 2023 - Valor Real'!A3:A15,'Fevereiro 2023 - Valor Real'!C3:C15,0))+1))))))</f>
        <v>0.49940964355235024</v>
      </c>
      <c r="AF679" s="105">
        <f t="shared" si="1358"/>
        <v>0</v>
      </c>
      <c r="AG679" s="106">
        <f t="shared" si="1358"/>
        <v>0</v>
      </c>
      <c r="AH679" s="106">
        <f t="shared" si="1358"/>
        <v>0</v>
      </c>
      <c r="AI679" s="106">
        <f t="shared" si="1358"/>
        <v>0</v>
      </c>
      <c r="AJ679" s="106">
        <f t="shared" si="1358"/>
        <v>0</v>
      </c>
      <c r="AK679" s="106">
        <f t="shared" si="1358"/>
        <v>0</v>
      </c>
      <c r="AL679" s="106">
        <f t="shared" si="1358"/>
        <v>0</v>
      </c>
      <c r="AM679" s="106">
        <f t="shared" si="1358"/>
        <v>0</v>
      </c>
      <c r="AN679" s="106">
        <f t="shared" si="1358"/>
        <v>0</v>
      </c>
      <c r="AO679" s="106">
        <f t="shared" si="1358"/>
        <v>0</v>
      </c>
      <c r="AP679" s="106">
        <f t="shared" si="1358"/>
        <v>0</v>
      </c>
      <c r="AQ679" s="106">
        <f t="shared" si="1358"/>
        <v>0</v>
      </c>
      <c r="AR679" s="107">
        <f t="shared" si="1358"/>
        <v>0</v>
      </c>
      <c r="AS679" s="105">
        <f t="shared" ref="AS679:BE679" si="1366">IF(AND($B679=" ",$K679=AS$3),$O679,0)</f>
        <v>0</v>
      </c>
      <c r="AT679" s="106">
        <f t="shared" si="1366"/>
        <v>0</v>
      </c>
      <c r="AU679" s="106">
        <f t="shared" si="1366"/>
        <v>0</v>
      </c>
      <c r="AV679" s="106">
        <f t="shared" si="1366"/>
        <v>0</v>
      </c>
      <c r="AW679" s="106">
        <f t="shared" si="1366"/>
        <v>0</v>
      </c>
      <c r="AX679" s="106">
        <f t="shared" si="1366"/>
        <v>0</v>
      </c>
      <c r="AY679" s="108">
        <f t="shared" si="1366"/>
        <v>0</v>
      </c>
      <c r="AZ679" s="109">
        <f t="shared" si="1366"/>
        <v>0</v>
      </c>
      <c r="BA679" s="109">
        <f t="shared" si="1366"/>
        <v>0</v>
      </c>
      <c r="BB679" s="109">
        <f t="shared" si="1366"/>
        <v>0</v>
      </c>
      <c r="BC679" s="110">
        <f t="shared" si="1366"/>
        <v>0</v>
      </c>
      <c r="BD679" s="106">
        <f t="shared" si="1366"/>
        <v>0</v>
      </c>
      <c r="BE679" s="107">
        <f t="shared" si="1366"/>
        <v>0</v>
      </c>
      <c r="BF679" s="111">
        <f t="shared" si="1360"/>
        <v>0</v>
      </c>
      <c r="BG679" s="106">
        <f t="shared" si="1360"/>
        <v>0</v>
      </c>
      <c r="BH679" s="106">
        <f t="shared" si="1360"/>
        <v>0</v>
      </c>
      <c r="BI679" s="106">
        <f t="shared" si="1360"/>
        <v>0</v>
      </c>
      <c r="BJ679" s="106">
        <f t="shared" si="1360"/>
        <v>0</v>
      </c>
      <c r="BK679" s="106">
        <f t="shared" si="1360"/>
        <v>0</v>
      </c>
      <c r="BL679" s="106">
        <f t="shared" si="1360"/>
        <v>0</v>
      </c>
      <c r="BM679" s="108">
        <f t="shared" si="1360"/>
        <v>0</v>
      </c>
      <c r="BN679" s="109">
        <f t="shared" si="1360"/>
        <v>0</v>
      </c>
      <c r="BO679" s="109">
        <f t="shared" si="1360"/>
        <v>0</v>
      </c>
      <c r="BP679" s="109">
        <f t="shared" si="1360"/>
        <v>0</v>
      </c>
      <c r="BQ679" s="110">
        <f t="shared" si="1360"/>
        <v>0</v>
      </c>
      <c r="BR679" s="107">
        <f t="shared" si="1360"/>
        <v>0</v>
      </c>
      <c r="BS679" s="463">
        <f>IF($B679="LOSS",IF(AND($K679=BS$3,$C679="L"),-$O679,0)+IF(AND($K680=BS$3,$C680="L"),-$O680,0)+IF(AND($K681=BS$3,$C681="L"),-$O681,0),IF(OR(AND($K679=BS$3,OR($C679="W",$C679="1/2W")),AND($K680=BS$3,OR($C680="W",$C680="1/2W")),AND($K681=BS$3,OR($C681="W",$C681="1/2W"))),$S679,0))</f>
        <v>0</v>
      </c>
      <c r="BT679" s="462">
        <f>IF($B679="LOSS",IF(AND($K679=BT$3,$C679="L"),-$O679,0)+IF(AND($K680=BT$3,$C680="L"),-$O680,0)+IF(AND($K680=BT$3,$C681="L"),-$O681,0),IF(OR(AND($K680=BT$3,OR($C679="W",$C679="1/2W")),AND($K680=BT$3,OR($C680="W",$C680="1/2W")),AND($K680=BT$3,OR($C681="W",$C681="1/2W"))),$S679,0))</f>
        <v>0</v>
      </c>
      <c r="BU679" s="462">
        <f>IF($B679="LOSS",IF(AND($K679=BU$3,$C679="L"),-$O679,0)+IF(AND($K680=BU$3,$C680="L"),-$O680,0)+IF(AND($K680=BU$3,$C681="L"),-$O681,0),IF(OR(AND($K680=BU$3,OR($C679="W",$C679="1/2W")),AND($K680=BU$3,OR($C680="W",$C680="1/2W")),AND($K680=BU$3,OR($C681="W",$C681="1/2W"))),$S679,0))</f>
        <v>22.32</v>
      </c>
      <c r="BV679" s="462">
        <f t="shared" ref="BV679:CE679" si="1367">IF($B679="LOSS",IF(AND($K679=BV$3,$C679="L"),-$O679,0)+IF(AND($K680=BV$3,$C680="L"),-$O680,0)+IF(AND($K681=BV$3,$C681="L"),-$O681,0),IF(OR(AND($K679=BV$3,OR($C679="W",$C679="1/2W")),AND($K680=BV$3,OR($C680="W",$C680="1/2W")),AND($K681=BV$3,OR($C681="W",$C681="1/2W"))),$S679,0))</f>
        <v>0</v>
      </c>
      <c r="BW679" s="462">
        <f t="shared" si="1367"/>
        <v>0</v>
      </c>
      <c r="BX679" s="462">
        <f t="shared" si="1367"/>
        <v>0</v>
      </c>
      <c r="BY679" s="462">
        <f t="shared" si="1367"/>
        <v>0</v>
      </c>
      <c r="BZ679" s="460">
        <f t="shared" si="1367"/>
        <v>0</v>
      </c>
      <c r="CA679" s="460">
        <f t="shared" si="1367"/>
        <v>0</v>
      </c>
      <c r="CB679" s="460">
        <f t="shared" si="1367"/>
        <v>0</v>
      </c>
      <c r="CC679" s="460">
        <f t="shared" si="1367"/>
        <v>0</v>
      </c>
      <c r="CD679" s="473">
        <f t="shared" si="1367"/>
        <v>0</v>
      </c>
      <c r="CE679" s="479">
        <f t="shared" si="1367"/>
        <v>0</v>
      </c>
      <c r="CF679" s="113">
        <f t="shared" si="1285"/>
        <v>0</v>
      </c>
      <c r="CG679" s="114">
        <f t="shared" si="1286"/>
        <v>0</v>
      </c>
      <c r="CH679" s="114">
        <f t="shared" si="1287"/>
        <v>0</v>
      </c>
      <c r="CI679" s="114">
        <f t="shared" si="1288"/>
        <v>0</v>
      </c>
      <c r="CJ679" s="114">
        <f t="shared" si="1289"/>
        <v>0</v>
      </c>
      <c r="CK679" s="114">
        <f t="shared" si="1290"/>
        <v>0</v>
      </c>
      <c r="CL679" s="114">
        <f t="shared" si="1291"/>
        <v>0</v>
      </c>
      <c r="CM679" s="114">
        <f t="shared" si="1292"/>
        <v>0</v>
      </c>
      <c r="CN679" s="114">
        <f t="shared" si="1293"/>
        <v>0</v>
      </c>
      <c r="CO679" s="114">
        <f t="shared" si="1294"/>
        <v>0</v>
      </c>
      <c r="CP679" s="114">
        <f t="shared" si="1295"/>
        <v>0</v>
      </c>
      <c r="CQ679" s="114">
        <f t="shared" si="1296"/>
        <v>0</v>
      </c>
      <c r="CR679" s="114">
        <f t="shared" si="1297"/>
        <v>0</v>
      </c>
      <c r="CS679" s="114">
        <f t="shared" si="1298"/>
        <v>0</v>
      </c>
      <c r="CT679" s="115">
        <f t="shared" si="1299"/>
        <v>0</v>
      </c>
      <c r="CU679" s="116">
        <f t="shared" si="1300"/>
        <v>0</v>
      </c>
      <c r="CV679" s="116">
        <f t="shared" si="1301"/>
        <v>0</v>
      </c>
      <c r="CW679" s="116">
        <f t="shared" si="1302"/>
        <v>0</v>
      </c>
      <c r="CX679" s="116">
        <f t="shared" si="1303"/>
        <v>0</v>
      </c>
      <c r="CY679" s="116">
        <f t="shared" si="1304"/>
        <v>0</v>
      </c>
      <c r="CZ679" s="116">
        <f t="shared" si="1305"/>
        <v>0</v>
      </c>
      <c r="DA679" s="116">
        <f t="shared" si="1306"/>
        <v>0</v>
      </c>
      <c r="DB679" s="116">
        <f t="shared" si="1307"/>
        <v>0</v>
      </c>
      <c r="DC679" s="116">
        <f t="shared" si="1308"/>
        <v>0</v>
      </c>
      <c r="DD679" s="116">
        <f t="shared" si="1309"/>
        <v>0</v>
      </c>
      <c r="DE679" s="117">
        <f t="shared" si="1310"/>
        <v>0</v>
      </c>
      <c r="DF679" s="118">
        <f t="shared" si="1312"/>
        <v>40</v>
      </c>
      <c r="DG679" s="106">
        <f t="shared" si="1313"/>
        <v>52.977999999999994</v>
      </c>
      <c r="DH679" s="116">
        <f t="shared" si="1314"/>
        <v>16</v>
      </c>
      <c r="DI679" s="106">
        <f t="shared" si="1315"/>
        <v>68.699999999999989</v>
      </c>
      <c r="DJ679" s="201" t="str">
        <f>IF($D679="","",$D679)</f>
        <v>21</v>
      </c>
      <c r="DK679" s="465">
        <f>IF(AND($B679=" ",$D679&lt;&gt;""),1,0)</f>
        <v>0</v>
      </c>
    </row>
    <row r="680" spans="1:115" ht="14.5" customHeight="1" x14ac:dyDescent="0.2">
      <c r="A680" s="389"/>
      <c r="B680" s="456"/>
      <c r="C680" s="120" t="s">
        <v>54</v>
      </c>
      <c r="D680" s="374"/>
      <c r="E680" s="386"/>
      <c r="F680" s="377"/>
      <c r="G680" s="483"/>
      <c r="H680" s="476"/>
      <c r="I680" s="121" t="s">
        <v>88</v>
      </c>
      <c r="J680" s="179" t="str">
        <f>IF(OR(I679="TO",I679="TU",I679="TO1",I679="TU1",I679="TO2",I679="TU2"),J679,IF(OR(I679="AH1",I679="AH2"),IF(OR(I680="AH1",I680="AH2"),-J679,IF(OR(I680="EH1",I680="EH2"),-J679+0.5,"")),IF(OR(I679="EH1",I679="EH2"),IF(OR(I680="AH1",I680="AH2"),-J679+0.5,IF(OR(I680="EH1",I680="EH2"),-J679+1,"")),IF(AND(OR(I679="DNB1",I679="DNB2"),OR(I680="AH1",I680="AH2")),0,IF(AND(I679="Not ScoreBoth",OR(I680="TO1",I680="TO2")),0.5,"")))))</f>
        <v/>
      </c>
      <c r="K680" s="123" t="s">
        <v>38</v>
      </c>
      <c r="L680" s="124">
        <v>1.63</v>
      </c>
      <c r="M680" s="125">
        <v>15.04</v>
      </c>
      <c r="N680" s="406"/>
      <c r="O680" s="126">
        <f>IF(OR(AE679="",AE680=""),"",ROUND(IF(L681&gt;0,IF(M680&gt;0,M680,IF(M679&gt;0,IF(N679=TRUE,ROUND((M679*AE680)/AE679,0),(M679*AE680)/AE679),IF(M680&gt;0,ROUND(M680,IF(N679=0,2,IF(N679=0.1,1,0))),IF(M681&gt;0,ROUND(O681*AE680/AE681,IF(N679=0,2,IF(N679=0.1,1,0))),0)))),IF(M680&gt;0,M680,ROUND((M679*AE680)/AE679,IF(N679=0,2,IF(N679=0.1,1,0))))),2))</f>
        <v>15.04</v>
      </c>
      <c r="P680" s="127">
        <f>IF(OR(L680="",O680=""),"",IF($C680="1/2W",O680/2+O680/2*L680,IF($C680="1/2L",O680/2,IF(I680="Lay",((O680*(L680/(L680-1)))-O680)*(1-_xlfn.XLOOKUP(K680,'Fevereiro 2023 - Valor Real'!A3:A15,'Fevereiro 2023 - Valor Real'!C3:C15,0))+O680,(O680*L680-O680)*(1-_xlfn.XLOOKUP(K680,'Fevereiro 2023 - Valor Real'!A3:A15,'Fevereiro 2023 - Valor Real'!C3:C15,0))+O680))))</f>
        <v>37.361269841269845</v>
      </c>
      <c r="Q680" s="128">
        <f>IF(K680="","",IF(_xlfn.XLOOKUP(K680,K$4:K679,$DJ$4:DJ679,0,,-1)=DJ680,_xlfn.XLOOKUP(K680,K$4:K679,Q$4:Q679,1,,-1)+1,1))</f>
        <v>5</v>
      </c>
      <c r="R680" s="129">
        <f>IF(K680="","",_xlfn.XLOOKUP(K680,K$4:K679,R$4:R679,0,,-1)+IF($C680=" ",1,0))</f>
        <v>0</v>
      </c>
      <c r="S680" s="403"/>
      <c r="T680" s="380"/>
      <c r="U680" s="380"/>
      <c r="V680" s="481"/>
      <c r="W680" s="380"/>
      <c r="X680" s="452"/>
      <c r="Y680" s="383"/>
      <c r="Z680" s="384"/>
      <c r="AA680" s="384"/>
      <c r="AB680" s="384"/>
      <c r="AC680" s="384"/>
      <c r="AD680" s="130">
        <f>(((L680/(L680-1)-1)*(1-_xlfn.XLOOKUP(K680,'Fevereiro 2023 - Valor Real'!A3:A15,'Fevereiro 2023 - Valor Real'!C3:C15,0))+1))</f>
        <v>2.4841269841269842</v>
      </c>
      <c r="AE680" s="131">
        <f>IF(L680="","",IF(L681&gt;0,(SUM(((L679-1)*(1-_xlfn.XLOOKUP(K679,'Fevereiro 2023 - Valor Real'!A3:A15,'Fevereiro 2023 - Valor Real'!C3:C15,0))+1),((L680-1)*(1-_xlfn.XLOOKUP(K680,'Fevereiro 2023 - Valor Real'!A3:A15,'Fevereiro 2023 - Valor Real'!C3:C15,0))+1),((L681-1)*(1-_xlfn.XLOOKUP(K681,'Fevereiro 2023 - Valor Real'!A3:A15,'Fevereiro 2023 - Valor Real'!C3:C15,0))+1))/((L680-1)*(1-_xlfn.XLOOKUP(K680,'Fevereiro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Real'!C3:C15,0))+1))/((L679-1)*(1-_xlfn.XLOOKUP(K679,'Fevereiro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Real'!C3:C15,0))+1))/((L680-1)*(1-_xlfn.XLOOKUP(K680,'Fevereiro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Real'!C3:C15,0))+1))/((L681-1)*(1-_xlfn.XLOOKUP(K681,'Fevereiro 2023 - Valor Real'!A3:A15,'Fevereiro 2023 - Valor Real'!C3:C15,0))+1)),IF(I680="Lay",IF(I679="Lay",((L679/(L679-1)-1)*(1-_xlfn.XLOOKUP(K679,'Fevereiro 2023 - Valor Real'!A3:A15,'Fevereiro 2023 - Valor Real'!C3:C15,0))+1)/(((L679/(L679-1)-1)*(1-_xlfn.XLOOKUP(K679,'Fevereiro 2023 - Valor Real'!A3:A15,'Fevereiro 2023 - Valor Real'!C3:C15,0))+1)+((L680/(L680-1)-1)*(1-_xlfn.XLOOKUP(K680,'Fevereiro 2023 - Valor Real'!A3:A15,'Fevereiro 2023 - Valor Real'!C3:C15,0))+1)),((L679-1)*(1-_xlfn.XLOOKUP(K679,'Fevereiro 2023 - Valor Real'!A3:A15,'Fevereiro 2023 - Valor Real'!C3:C15,0))+1)/(((L679-1)*(1-_xlfn.XLOOKUP(K679,'Fevereiro 2023 - Valor Real'!A3:A15,'Fevereiro 2023 - Valor Real'!C3:C15,0))+1)+((L680/(L680-1)-1)*(1-_xlfn.XLOOKUP(K680,'Fevereiro 2023 - Valor Real'!A3:A15,'Fevereiro 2023 - Valor Real'!C3:C15,0))+1))),IF(I679="Lay",((L679/(L679-1)-1)*(1-_xlfn.XLOOKUP(K679,'Fevereiro 2023 - Valor Real'!A3:A15,'Fevereiro 2023 - Valor Real'!C3:C15,0))+1)/((((L679/(L679-1)-1)*(1-_xlfn.XLOOKUP(K679,'Fevereiro 2023 - Valor Real'!A3:A15,'Fevereiro 2023 - Valor Real'!C3:C15,0))+1))+((L680-1)*(1-_xlfn.XLOOKUP(K680,'Fevereiro 2023 - Valor Real'!A3:A15,'Fevereiro 2023 - Valor Real'!C3:C15,0))+1)),((L679-1)*(1-_xlfn.XLOOKUP(K679,'Fevereiro 2023 - Valor Real'!A3:A15,'Fevereiro 2023 - Valor Real'!C3:C15,0))+1)/(((L679-1)*(1-_xlfn.XLOOKUP(K679,'Fevereiro 2023 - Valor Real'!A3:A15,'Fevereiro 2023 - Valor Real'!C3:C15,0))+1)+((L680-1)*(1-_xlfn.XLOOKUP(K680,'Fevereiro 2023 - Valor Real'!A3:A15,'Fevereiro 2023 - Valor Real'!C3:C15,0))+1))))))</f>
        <v>0.50059035644764971</v>
      </c>
      <c r="AF680" s="105">
        <f t="shared" si="1358"/>
        <v>0</v>
      </c>
      <c r="AG680" s="106">
        <f t="shared" si="1358"/>
        <v>0</v>
      </c>
      <c r="AH680" s="106">
        <f t="shared" si="1358"/>
        <v>22.32</v>
      </c>
      <c r="AI680" s="106">
        <f t="shared" si="1358"/>
        <v>0</v>
      </c>
      <c r="AJ680" s="106">
        <f t="shared" si="1358"/>
        <v>0</v>
      </c>
      <c r="AK680" s="106">
        <f t="shared" si="1358"/>
        <v>0</v>
      </c>
      <c r="AL680" s="106">
        <f t="shared" si="1358"/>
        <v>0</v>
      </c>
      <c r="AM680" s="106">
        <f t="shared" si="1358"/>
        <v>0</v>
      </c>
      <c r="AN680" s="106">
        <f t="shared" si="1358"/>
        <v>0</v>
      </c>
      <c r="AO680" s="106">
        <f t="shared" si="1358"/>
        <v>0</v>
      </c>
      <c r="AP680" s="106">
        <f t="shared" si="1358"/>
        <v>0</v>
      </c>
      <c r="AQ680" s="106">
        <f t="shared" si="1358"/>
        <v>0</v>
      </c>
      <c r="AR680" s="107">
        <f t="shared" si="1358"/>
        <v>0</v>
      </c>
      <c r="AS680" s="105">
        <f>IF(AND($B679=" ",$K680=AS$3),$O680,0)</f>
        <v>0</v>
      </c>
      <c r="AT680" s="106">
        <f>IF(AND($B679=" ",K680=AT$3),$O680,0)</f>
        <v>0</v>
      </c>
      <c r="AU680" s="106">
        <f t="shared" ref="AU680:BE680" si="1368">IF(AND($B679=" ",$K680=AU$3),$O680,0)</f>
        <v>0</v>
      </c>
      <c r="AV680" s="106">
        <f t="shared" si="1368"/>
        <v>0</v>
      </c>
      <c r="AW680" s="106">
        <f t="shared" si="1368"/>
        <v>0</v>
      </c>
      <c r="AX680" s="106">
        <f t="shared" si="1368"/>
        <v>0</v>
      </c>
      <c r="AY680" s="108">
        <f t="shared" si="1368"/>
        <v>0</v>
      </c>
      <c r="AZ680" s="109">
        <f t="shared" si="1368"/>
        <v>0</v>
      </c>
      <c r="BA680" s="109">
        <f t="shared" si="1368"/>
        <v>0</v>
      </c>
      <c r="BB680" s="109">
        <f t="shared" si="1368"/>
        <v>0</v>
      </c>
      <c r="BC680" s="110">
        <f t="shared" si="1368"/>
        <v>0</v>
      </c>
      <c r="BD680" s="106">
        <f t="shared" si="1368"/>
        <v>0</v>
      </c>
      <c r="BE680" s="107">
        <f t="shared" si="1368"/>
        <v>0</v>
      </c>
      <c r="BF680" s="105">
        <f t="shared" si="1360"/>
        <v>0</v>
      </c>
      <c r="BG680" s="106">
        <f t="shared" si="1360"/>
        <v>0</v>
      </c>
      <c r="BH680" s="106">
        <f t="shared" si="1360"/>
        <v>15.04</v>
      </c>
      <c r="BI680" s="106">
        <f t="shared" si="1360"/>
        <v>0</v>
      </c>
      <c r="BJ680" s="106">
        <f t="shared" si="1360"/>
        <v>0</v>
      </c>
      <c r="BK680" s="106">
        <f t="shared" si="1360"/>
        <v>0</v>
      </c>
      <c r="BL680" s="106">
        <f t="shared" si="1360"/>
        <v>0</v>
      </c>
      <c r="BM680" s="132">
        <f t="shared" si="1360"/>
        <v>0</v>
      </c>
      <c r="BN680" s="112">
        <f t="shared" si="1360"/>
        <v>0</v>
      </c>
      <c r="BO680" s="112">
        <f t="shared" si="1360"/>
        <v>0</v>
      </c>
      <c r="BP680" s="112">
        <f t="shared" si="1360"/>
        <v>0</v>
      </c>
      <c r="BQ680" s="110">
        <f t="shared" si="1360"/>
        <v>0</v>
      </c>
      <c r="BR680" s="107">
        <f t="shared" si="1360"/>
        <v>0</v>
      </c>
      <c r="BS680" s="464"/>
      <c r="BT680" s="461"/>
      <c r="BU680" s="392"/>
      <c r="BV680" s="461"/>
      <c r="BW680" s="392"/>
      <c r="BX680" s="392"/>
      <c r="BY680" s="392"/>
      <c r="BZ680" s="461"/>
      <c r="CA680" s="392"/>
      <c r="CB680" s="392"/>
      <c r="CC680" s="392"/>
      <c r="CD680" s="401"/>
      <c r="CE680" s="409"/>
      <c r="CF680" s="133">
        <f t="shared" si="1285"/>
        <v>0</v>
      </c>
      <c r="CG680" s="134">
        <f t="shared" si="1286"/>
        <v>0</v>
      </c>
      <c r="CH680" s="134">
        <f t="shared" si="1287"/>
        <v>0</v>
      </c>
      <c r="CI680" s="134">
        <f t="shared" si="1288"/>
        <v>0</v>
      </c>
      <c r="CJ680" s="134">
        <f t="shared" si="1289"/>
        <v>1</v>
      </c>
      <c r="CK680" s="134">
        <f t="shared" si="1290"/>
        <v>0</v>
      </c>
      <c r="CL680" s="134">
        <f t="shared" si="1291"/>
        <v>0</v>
      </c>
      <c r="CM680" s="134">
        <f t="shared" si="1292"/>
        <v>0</v>
      </c>
      <c r="CN680" s="134">
        <f t="shared" si="1293"/>
        <v>0</v>
      </c>
      <c r="CO680" s="134">
        <f t="shared" si="1294"/>
        <v>0</v>
      </c>
      <c r="CP680" s="134">
        <f t="shared" si="1295"/>
        <v>0</v>
      </c>
      <c r="CQ680" s="134">
        <f t="shared" si="1296"/>
        <v>0</v>
      </c>
      <c r="CR680" s="134">
        <f t="shared" si="1297"/>
        <v>0</v>
      </c>
      <c r="CS680" s="134">
        <f t="shared" si="1298"/>
        <v>0</v>
      </c>
      <c r="CT680" s="115">
        <f t="shared" si="1299"/>
        <v>0</v>
      </c>
      <c r="CU680" s="116">
        <f t="shared" si="1300"/>
        <v>0</v>
      </c>
      <c r="CV680" s="116">
        <f t="shared" si="1301"/>
        <v>0</v>
      </c>
      <c r="CW680" s="116">
        <f t="shared" si="1302"/>
        <v>0</v>
      </c>
      <c r="CX680" s="116">
        <f t="shared" si="1303"/>
        <v>0</v>
      </c>
      <c r="CY680" s="116">
        <f t="shared" si="1304"/>
        <v>0</v>
      </c>
      <c r="CZ680" s="116">
        <f t="shared" si="1305"/>
        <v>0</v>
      </c>
      <c r="DA680" s="116">
        <f t="shared" si="1306"/>
        <v>0</v>
      </c>
      <c r="DB680" s="116">
        <f t="shared" si="1307"/>
        <v>0</v>
      </c>
      <c r="DC680" s="116">
        <f t="shared" si="1308"/>
        <v>0</v>
      </c>
      <c r="DD680" s="116">
        <f t="shared" si="1309"/>
        <v>0</v>
      </c>
      <c r="DE680" s="117">
        <f t="shared" si="1310"/>
        <v>0</v>
      </c>
      <c r="DF680" s="118">
        <f t="shared" si="1312"/>
        <v>40</v>
      </c>
      <c r="DG680" s="106">
        <f t="shared" si="1313"/>
        <v>52.977999999999994</v>
      </c>
      <c r="DH680" s="116">
        <f t="shared" si="1314"/>
        <v>16</v>
      </c>
      <c r="DI680" s="106">
        <f t="shared" si="1315"/>
        <v>68.699999999999989</v>
      </c>
      <c r="DJ680" s="201" t="str">
        <f>IF($D679="","",$D679)</f>
        <v>21</v>
      </c>
      <c r="DK680" s="466"/>
    </row>
    <row r="681" spans="1:115" ht="14.5" customHeight="1" x14ac:dyDescent="0.2">
      <c r="A681" s="390"/>
      <c r="B681" s="457"/>
      <c r="C681" s="135" t="s">
        <v>53</v>
      </c>
      <c r="D681" s="375"/>
      <c r="E681" s="387"/>
      <c r="F681" s="378"/>
      <c r="G681" s="484"/>
      <c r="H681" s="477"/>
      <c r="I681" s="136"/>
      <c r="J681" s="137"/>
      <c r="K681" s="138"/>
      <c r="L681" s="139"/>
      <c r="M681" s="140"/>
      <c r="N681" s="407"/>
      <c r="O681" s="141" t="str">
        <f>IF(OR(AE679="",AE680=""),"",IF(L681&gt;0,ROUND(IF(M681&gt;0,M681,IF(M679&gt;0,ROUND((M679*AE681)/AE679,IF(N679=0,2,IF(N679=0.1,1,0))),IF(M680&gt;0,ROUND((M680*AE681)/AE680,IF(N679=0,2,IF(N679=0.1,1,0))),IF(M681&gt;0,M681,0)))),2),""))</f>
        <v/>
      </c>
      <c r="P681" s="196">
        <f>IF(I680="Lay",O680*(L680/(L680-1))-O680,IF(I679="Lay",O679*(L679/(L679-1))-O679,IF(OR(L681="",O681=""),"",IF($C681="1/2W",O681/2+O681/2*L681,IF($C681="1/2L",O681/2,(O681*L681-O681)*(1-_xlfn.XLOOKUP(K681,'Fevereiro 2023 - Valor Real'!A3:A15,'Fevereiro 2023 - Valor Real'!C3:C15,0))+O681)))))</f>
        <v>23.873015873015873</v>
      </c>
      <c r="Q681" s="143" t="str">
        <f>IF(K681="","",IF(_xlfn.XLOOKUP(K681,K$4:K680,$DJ$4:DJ680,0,,-1)=DJ681,_xlfn.XLOOKUP(K681,K$4:K680,Q$4:Q680,1,,-1)+1,1))</f>
        <v/>
      </c>
      <c r="R681" s="144" t="str">
        <f>IF(K681="","",_xlfn.XLOOKUP(K681,K$4:K680,R$4:R680,0,,-1)+IF($C681=" ",1,0))</f>
        <v/>
      </c>
      <c r="S681" s="404"/>
      <c r="T681" s="378"/>
      <c r="U681" s="378"/>
      <c r="V681" s="404"/>
      <c r="W681" s="378"/>
      <c r="X681" s="453"/>
      <c r="Y681" s="383"/>
      <c r="Z681" s="384"/>
      <c r="AA681" s="384"/>
      <c r="AB681" s="384"/>
      <c r="AC681" s="384"/>
      <c r="AD681" s="145">
        <f>((L680/(L680-1)-1))</f>
        <v>1.5873015873015874</v>
      </c>
      <c r="AE681" s="146" t="str">
        <f>IF(L681="","",(SUM(((L679-1)*(1-_xlfn.XLOOKUP(K679,'Fevereiro 2023 - Valor Real'!A3:A15,'Fevereiro 2023 - Valor Real'!C3:C15,0))+1),((L680-1)*(1-_xlfn.XLOOKUP(K680,'Fevereiro 2023 - Valor Real'!A3:A15,'Fevereiro 2023 - Valor Real'!C3:C15,0))+1),((L681-1)*(1-_xlfn.XLOOKUP(K681,'Fevereiro 2023 - Valor Real'!A3:A15,'Fevereiro 2023 - Valor Real'!C3:C15,0))+1))/((L681-1)*(1-_xlfn.XLOOKUP(K681,'Fevereiro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Real'!C3:C15,0))+1))/((L679-1)*(1-_xlfn.XLOOKUP(K679,'Fevereiro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Real'!C3:C15,0))+1))/((L680-1)*(1-_xlfn.XLOOKUP(K680,'Fevereiro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Real'!C3:C15,0))+1))/((L681-1)*(1-_xlfn.XLOOKUP(K681,'Fevereiro 2023 - Valor Real'!A3:A15,'Fevereiro 2023 - Valor Real'!C3:C15,0))+1)))</f>
        <v/>
      </c>
      <c r="AF681" s="105">
        <f t="shared" si="1358"/>
        <v>0</v>
      </c>
      <c r="AG681" s="106">
        <f t="shared" si="1358"/>
        <v>0</v>
      </c>
      <c r="AH681" s="106">
        <f t="shared" si="1358"/>
        <v>0</v>
      </c>
      <c r="AI681" s="106">
        <f t="shared" si="1358"/>
        <v>0</v>
      </c>
      <c r="AJ681" s="106">
        <f t="shared" si="1358"/>
        <v>0</v>
      </c>
      <c r="AK681" s="106">
        <f t="shared" si="1358"/>
        <v>0</v>
      </c>
      <c r="AL681" s="106">
        <f t="shared" si="1358"/>
        <v>0</v>
      </c>
      <c r="AM681" s="106">
        <f t="shared" si="1358"/>
        <v>0</v>
      </c>
      <c r="AN681" s="106">
        <f t="shared" si="1358"/>
        <v>0</v>
      </c>
      <c r="AO681" s="106">
        <f t="shared" si="1358"/>
        <v>0</v>
      </c>
      <c r="AP681" s="106">
        <f t="shared" si="1358"/>
        <v>0</v>
      </c>
      <c r="AQ681" s="106">
        <f t="shared" si="1358"/>
        <v>0</v>
      </c>
      <c r="AR681" s="107">
        <f t="shared" si="1358"/>
        <v>0</v>
      </c>
      <c r="AS681" s="105">
        <f>IF(AND($B679=" ",$K681=AS$3),$O681,0)</f>
        <v>0</v>
      </c>
      <c r="AT681" s="106">
        <f>IF(AND($B679=" ",K681=AT$3),$O681,0)</f>
        <v>0</v>
      </c>
      <c r="AU681" s="106">
        <f t="shared" ref="AU681:BE681" si="1369">IF(AND($B679=" ",$K681=AU$3),$O681,0)</f>
        <v>0</v>
      </c>
      <c r="AV681" s="106">
        <f t="shared" si="1369"/>
        <v>0</v>
      </c>
      <c r="AW681" s="106">
        <f t="shared" si="1369"/>
        <v>0</v>
      </c>
      <c r="AX681" s="106">
        <f t="shared" si="1369"/>
        <v>0</v>
      </c>
      <c r="AY681" s="108">
        <f t="shared" si="1369"/>
        <v>0</v>
      </c>
      <c r="AZ681" s="109">
        <f t="shared" si="1369"/>
        <v>0</v>
      </c>
      <c r="BA681" s="109">
        <f t="shared" si="1369"/>
        <v>0</v>
      </c>
      <c r="BB681" s="109">
        <f t="shared" si="1369"/>
        <v>0</v>
      </c>
      <c r="BC681" s="110">
        <f t="shared" si="1369"/>
        <v>0</v>
      </c>
      <c r="BD681" s="106">
        <f t="shared" si="1369"/>
        <v>0</v>
      </c>
      <c r="BE681" s="107">
        <f t="shared" si="1369"/>
        <v>0</v>
      </c>
      <c r="BF681" s="105">
        <f t="shared" si="1360"/>
        <v>0</v>
      </c>
      <c r="BG681" s="106">
        <f t="shared" si="1360"/>
        <v>0</v>
      </c>
      <c r="BH681" s="106">
        <f t="shared" si="1360"/>
        <v>0</v>
      </c>
      <c r="BI681" s="106">
        <f t="shared" si="1360"/>
        <v>0</v>
      </c>
      <c r="BJ681" s="106">
        <f t="shared" si="1360"/>
        <v>0</v>
      </c>
      <c r="BK681" s="106">
        <f t="shared" si="1360"/>
        <v>0</v>
      </c>
      <c r="BL681" s="106">
        <f t="shared" si="1360"/>
        <v>0</v>
      </c>
      <c r="BM681" s="108">
        <f t="shared" si="1360"/>
        <v>0</v>
      </c>
      <c r="BN681" s="109">
        <f t="shared" si="1360"/>
        <v>0</v>
      </c>
      <c r="BO681" s="109">
        <f t="shared" si="1360"/>
        <v>0</v>
      </c>
      <c r="BP681" s="109">
        <f t="shared" si="1360"/>
        <v>0</v>
      </c>
      <c r="BQ681" s="110">
        <f t="shared" si="1360"/>
        <v>0</v>
      </c>
      <c r="BR681" s="107">
        <f t="shared" si="1360"/>
        <v>0</v>
      </c>
      <c r="BS681" s="464"/>
      <c r="BT681" s="461"/>
      <c r="BU681" s="392"/>
      <c r="BV681" s="461"/>
      <c r="BW681" s="392"/>
      <c r="BX681" s="392"/>
      <c r="BY681" s="392"/>
      <c r="BZ681" s="461"/>
      <c r="CA681" s="392"/>
      <c r="CB681" s="392"/>
      <c r="CC681" s="392"/>
      <c r="CD681" s="401"/>
      <c r="CE681" s="409"/>
      <c r="CF681" s="133">
        <f t="shared" si="1285"/>
        <v>0</v>
      </c>
      <c r="CG681" s="134">
        <f t="shared" si="1286"/>
        <v>0</v>
      </c>
      <c r="CH681" s="134">
        <f t="shared" si="1287"/>
        <v>0</v>
      </c>
      <c r="CI681" s="134">
        <f t="shared" si="1288"/>
        <v>0</v>
      </c>
      <c r="CJ681" s="134">
        <f t="shared" si="1289"/>
        <v>0</v>
      </c>
      <c r="CK681" s="134">
        <f t="shared" si="1290"/>
        <v>0</v>
      </c>
      <c r="CL681" s="134">
        <f t="shared" si="1291"/>
        <v>0</v>
      </c>
      <c r="CM681" s="134">
        <f t="shared" si="1292"/>
        <v>0</v>
      </c>
      <c r="CN681" s="134">
        <f t="shared" si="1293"/>
        <v>0</v>
      </c>
      <c r="CO681" s="134">
        <f t="shared" si="1294"/>
        <v>0</v>
      </c>
      <c r="CP681" s="134">
        <f t="shared" si="1295"/>
        <v>0</v>
      </c>
      <c r="CQ681" s="134">
        <f t="shared" si="1296"/>
        <v>0</v>
      </c>
      <c r="CR681" s="134">
        <f t="shared" si="1297"/>
        <v>0</v>
      </c>
      <c r="CS681" s="134">
        <f t="shared" si="1298"/>
        <v>0</v>
      </c>
      <c r="CT681" s="115">
        <f t="shared" si="1299"/>
        <v>0</v>
      </c>
      <c r="CU681" s="116">
        <f t="shared" si="1300"/>
        <v>0</v>
      </c>
      <c r="CV681" s="116">
        <f t="shared" si="1301"/>
        <v>0</v>
      </c>
      <c r="CW681" s="116">
        <f t="shared" si="1302"/>
        <v>0</v>
      </c>
      <c r="CX681" s="116">
        <f t="shared" si="1303"/>
        <v>0</v>
      </c>
      <c r="CY681" s="116">
        <f t="shared" si="1304"/>
        <v>0</v>
      </c>
      <c r="CZ681" s="116">
        <f t="shared" si="1305"/>
        <v>0</v>
      </c>
      <c r="DA681" s="116">
        <f t="shared" si="1306"/>
        <v>0</v>
      </c>
      <c r="DB681" s="116">
        <f t="shared" si="1307"/>
        <v>0</v>
      </c>
      <c r="DC681" s="116">
        <f t="shared" si="1308"/>
        <v>0</v>
      </c>
      <c r="DD681" s="116">
        <f t="shared" si="1309"/>
        <v>0</v>
      </c>
      <c r="DE681" s="117">
        <f t="shared" si="1310"/>
        <v>0</v>
      </c>
      <c r="DF681" s="118">
        <f t="shared" si="1312"/>
        <v>40</v>
      </c>
      <c r="DG681" s="106">
        <f t="shared" si="1313"/>
        <v>52.977999999999994</v>
      </c>
      <c r="DH681" s="116">
        <f t="shared" si="1314"/>
        <v>16</v>
      </c>
      <c r="DI681" s="106">
        <f t="shared" si="1315"/>
        <v>68.699999999999989</v>
      </c>
      <c r="DJ681" s="201" t="str">
        <f>IF($D679="","",$D679)</f>
        <v>21</v>
      </c>
      <c r="DK681" s="466"/>
    </row>
    <row r="682" spans="1:115" ht="14.5" customHeight="1" x14ac:dyDescent="0.2">
      <c r="A682" s="487">
        <f>$A679+1</f>
        <v>227</v>
      </c>
      <c r="B682" s="506" t="str">
        <f>IF(OR(C682="W",C683="W",C684="W",C682="1/2W",C683="1/2W",C684="1/2W",C682="1/2L",C683="1/2L",C684="1/2L"),"OK",IF(OR(C682="L",C683="L",C684="L"),"LOSS",IF(OR(C682="X",C683="X",C684="X"),"Anulado"," ")))</f>
        <v>OK</v>
      </c>
      <c r="C682" s="147" t="s">
        <v>55</v>
      </c>
      <c r="D682" s="494" t="s">
        <v>244</v>
      </c>
      <c r="E682" s="511" t="str">
        <f>IF(G682=""," ","– "&amp;COUNTIF(D$4:D684,$D682))</f>
        <v>– 1</v>
      </c>
      <c r="F682" s="510" t="str">
        <f ca="1">IF(G682="","",IF(OR(AND($C682&lt;&gt;" ",$C683=" "),AND($C683&lt;&gt;" ",$C682=" "),AND(L684&gt;0,OR(AND($C684&lt;&gt;" ",OR($C682=" ",$C683=" ")),AND($C684=" ",OR($C682&lt;&gt;" ",$C683&lt;&gt;" "))))),IF(SUM(F$4:F681)=0,1,LARGE(F$4:F681,1)+1),IF(MONTH(G682)=MONTH(TODAY()),IF(AND(DAY(G682)&lt;DAY(TODAY()),$B682=" "),IF(SUM(F$4:F681)=0,1,LARGE(F$4:F681,1)+1),IF($B682=" ",IF(AND(DAY(G682)=DAY(TODAY()),HOUR(G682)&lt;=HOUR(NOW())+1),IF(AND(HOUR(G682)+2&lt;=HOUR(NOW()),DAY(G682)&lt;=DAY(TODAY()),MINUTE(G682)&lt;=MINUTE(NOW())),IF(SUM(F$4:F681)=0,1,LARGE(F$4:F681,1)+1),IF(OR(MINUTE(G682)&lt;=MINUTE(NOW()),HOUR(G682)&lt;=HOUR(NOW())),"!!!","")),""),"")),"")))</f>
        <v/>
      </c>
      <c r="G682" s="508">
        <v>45007.229166666664</v>
      </c>
      <c r="H682" s="502" t="s">
        <v>245</v>
      </c>
      <c r="I682" s="180" t="s">
        <v>51</v>
      </c>
      <c r="J682" s="181">
        <v>1</v>
      </c>
      <c r="K682" s="150" t="s">
        <v>47</v>
      </c>
      <c r="L682" s="151">
        <v>3.8</v>
      </c>
      <c r="M682" s="152"/>
      <c r="N682" s="503">
        <v>0</v>
      </c>
      <c r="O682" s="153">
        <f>IF(OR(AE682="",AE683=""),"",ROUND(IF(L684&gt;0,IF(M682&gt;0,M682,IF(M683&gt;0,ROUND((M683*AE682)/AE683,IF(N682=0,2,IF(N682=0.1,1,0))),ROUND((M684*AE682)/AE684,IF(N682=0,2,IF(N682=0.1,1,0))))),IF(M682&gt;0,M682,ROUND((M683*AE682)/AE683,IF(N682=0,2,IF(N682=0.1,1,0))))),2))</f>
        <v>9</v>
      </c>
      <c r="P682" s="154">
        <f>IF(OR(L682="",O682=""),"",IF($C682="1/2W",O682/2+O682/2*L682,IF($C682="1/2L",O682/2,IF(I682="Lay",(O682*(L682/(L682-1))-O682)*(1-_xlfn.XLOOKUP(K682,'Fevereiro 2023 - Valor Real'!A3:A15,'Fevereiro 2023 - Valor Real'!C3:C15,0))+O682,(O682*L682-O682)*(1-_xlfn.XLOOKUP(K682,'Fevereiro 2023 - Valor Real'!A3:A15,'Fevereiro 2023 - Valor Real'!C3:C15,0))+O682))))</f>
        <v>34.199999999999996</v>
      </c>
      <c r="Q682" s="155">
        <f>IF(K682="","",IF(_xlfn.XLOOKUP(K682,K$9:K674,$DJ$9:DJ674,0,,-1)=DJ682,_xlfn.XLOOKUP(K682,K$9:K674,Q$9:Q674,1,,-1)+1,1))</f>
        <v>1</v>
      </c>
      <c r="R682" s="156">
        <f>IF(K682="","",_xlfn.XLOOKUP(K682,K$9:K674,R$9:R674,0,,-1)+IF($C682=" ",1,0))</f>
        <v>0</v>
      </c>
      <c r="S682" s="501">
        <f>IF($B682="Anulado",0,ROUND(IF(OR($B682="LOSS",$B682="OK"),IF(OR($C682="W",$C682="1/2W",$C682="1/2L"),P682-O682,IF($C682="L",-O682,0))+IF(OR($C683="W",$C683="1/2W",$C683="1/2L"),P683-O683,IF($C683="L",-O683,0))+IF(OR($C684="W",$C684="1/2W",$C684="1/2L"),P684-O684,IF($C684="L",-O684,0)),IF(AND(OR($C682="W",$C682="1/2W",$C682="1/2L"),C683="W"),P682+P683-SUM(O682:O684)+_xlfn.XLOOKUP("X",C682:C684,O682:O684,0),IF(AND(C682=TRUE,C684="W"),P682+P684-SUM(O682:O684),IF(AND(C683="W",C684="W"),P683+P684-SUM(O682:O684)+_xlfn.XLOOKUP("X",C682:C684,O682:O684,0),IF(L684&gt;0,IF(OR($C682="W",$C682="1/2W",$C682="1/2L"),P682-SUM(O682:O684)+_xlfn.XLOOKUP("X",C682:C684,O682:O684,0),IF(OR($C682="W",$C682="1/2W",$C682="1/2L"),P683-SUM(O682:O684)+_xlfn.XLOOKUP("X",C682:C684,O682:O684,0),IF(OR($C682="W",$C682="1/2W",$C682="1/2L"),P684-SUM(O682:O684)+_xlfn.XLOOKUP("X",C682:C684,O682:O684,0),IF(SUM(P682:P684)/3-SUM(O682:O684)+_xlfn.XLOOKUP("X",C682:C684,O682:O684,0)&gt;0,SUM(P682:P684)/3-SUM(O682:O684)+_xlfn.XLOOKUP("X",C682:C684,O682:O684,0),LARGE(P682:P684,1)-SUM(O682:O684))))),IF(OR($C682="W",$C682="1/2W",$C682="1/2L"),P682-SUM(O682:O683)+_xlfn.XLOOKUP("X",C682:C684,O682:O684,0),IF(OR($C682="W",$C682="1/2W",$C682="1/2L"),P683-SUM(O682:O683)+_xlfn.XLOOKUP("X",C682:C684,O682:O684,0),SUM(P682:P683)/2-SUM(O682:O683)+_xlfn.XLOOKUP("X",C682:C684,O682:O684,0)))))))),2))</f>
        <v>2.25</v>
      </c>
      <c r="T682" s="486">
        <f>IF(S682=0,0,S682/SUM(O682:O684))</f>
        <v>7.0400500625782222E-2</v>
      </c>
      <c r="U682" s="496">
        <f>IF($D682=$D679,IF(OR($B682="LOSS",$B682="OK",$B682="Anulada"),S682,0)+U679,IF(OR($B682="LOSS",$B682="OK",$B682="Anulada"),S682,0))</f>
        <v>2.25</v>
      </c>
      <c r="V682" s="496">
        <f>IF($D682="",0,IF($D682=$D679,IF($B682=" ",IF(I684="",IF(OR(AND(I682="DNB1",I683="DNB2"),AND(OR(I682="DNB1",I682="DNB2"),J683=0),AND(OR(I683="DNB1",I683="DNB2"),J682=0),AND(I682="DNB2",I683="DNB1"),AND(IF(J682=0,(J682+1)/ROUND(J682+1,0),J682/ROUND(J682,0))=1,IF(J683=0,(J683+1)/ROUND(IF(J683="",0,J683)+1,0),IF(J683="",0,J683)/ROUND(IF(J683="",1,J683),0))=1,OR(J682&lt;&gt;""),J683&lt;&gt;"")),0,IF(S682&lt;0,IF(I684="",SMALL(P682:P683,1)-SUM(O682:O683),0),SMALL(P682:P683,1)-SUM(O682:O683))),IF(S682&lt;0,IF(I684="",SMALL(P682:P684,1)-SUM(O682:O684),0),LARGE(P682:P684,1)-SUM(O682:O684))),S682)+V679,IF(I684="",IF(OR(AND(I682="DNB1",I683="DNB2"),AND(OR(I682="DNB1",I682="DNB2"),J683=0),AND(OR(I683="DNB1",I683="DNB2"),J682=0),AND(I682="DNB2",I683="DNB1"),AND(IF(J682=0,(J682+1)/ROUND(J682+1,0),J682/ROUND(J682,0))=1,IF(J683=0,(IF(J683="",0,J683)+1)/ROUND(IF(J683="",0,J683)+1,0),IF(J683="",0,J683)/ROUND(IF(J683="",0,J683)+1,0))=1,OR(J682&lt;&gt;""),J683&lt;&gt;"")),0,IF(S682&lt;0,IF(I684="",SMALL(P682:P683,1)-SUM(O682:O683),0),SMALL(P682:P684,1)-SUM(O682:O684))),IF(S682&lt;0,IF(I684="",SMALL(P682:P684,1)-SUM(O682:O684),0),LARGE(P682:P684,1)-SUM(O682:O684)))))</f>
        <v>2.2399999999999949</v>
      </c>
      <c r="W682" s="496">
        <f>IF($D682=$D679,IF(S682&lt;0,IF(I684="",S682,0),S682)+W679,S682)</f>
        <v>2.25</v>
      </c>
      <c r="X682" s="505" t="str">
        <f>IF(OR(SUM(R682:R684)=0,V682=W682),ROUND(IF(W682=0,0,W682/Y682)*100,2)&amp;"%",ROUND(IF(V682=0,0,V682/Y682)*100,2)&amp;"% a "&amp;ROUND(IF(W682=0,0,W682/Y682)*100,2)&amp;"%")</f>
        <v>7,04%</v>
      </c>
      <c r="Y682" s="497">
        <f>IF($D682=$D679,Y679+SUM(O682:O684),SUM(O682:O684))</f>
        <v>31.96</v>
      </c>
      <c r="Z682" s="496">
        <f>IF($B682=" ",SUM(O682:O684),0)+Z679</f>
        <v>0</v>
      </c>
      <c r="AA682" s="496">
        <f>IF(G682="","",IF($B682="Anulado",LARGE(P682:P684,1)-SUM(O682:O684)+AA679,AA679))</f>
        <v>13.381099999999991</v>
      </c>
      <c r="AB682" s="496">
        <f>IF($D682="","",AB679+S682)</f>
        <v>797.01000000000056</v>
      </c>
      <c r="AC682" s="499">
        <f ca="1">IF($D682="","",IF($B682=" ",IF(DAY(G682)=DAY(TODAY()),1+AC679,0+AC679),0+AC679))</f>
        <v>0</v>
      </c>
      <c r="AD682" s="157">
        <f>(1-_xlfn.XLOOKUP(K680,'Fevereiro 2023 - Valor Real'!A3:A15,'Fevereiro 2023 - Valor Real'!C3:C15,0))+1</f>
        <v>1.9350000000000001</v>
      </c>
      <c r="AE682" s="158">
        <f>IF(L682="","",IF(L684&gt;0,(SUM(((L682-1)*(1-_xlfn.XLOOKUP(K682,'Fevereiro 2023 - Valor Real'!A3:A15,'Fevereiro 2023 - Valor Real'!C3:C15,0))+1),((L683-1)*(1-_xlfn.XLOOKUP(K683,'Fevereiro 2023 - Valor Real'!A3:A15,'Fevereiro 2023 - Valor Real'!C3:C15,0))+1),((L684-1)*(1-_xlfn.XLOOKUP(K684,'Fevereiro 2023 - Valor Real'!A3:A15,'Fevereiro 2023 - Valor Real'!C3:C15,0))+1))/((L682-1)*(1-_xlfn.XLOOKUP(K682,'Fevereiro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Real'!C3:C15,0))+1))/((L682-1)*(1-_xlfn.XLOOKUP(K682,'Fevereiro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Real'!C3:C15,0))+1))/((L683-1)*(1-_xlfn.XLOOKUP(K683,'Fevereiro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Real'!C3:C15,0))+1))/((L684-1)*(1-_xlfn.XLOOKUP(K684,'Fevereiro 2023 - Valor Real'!A3:A15,'Fevereiro 2023 - Valor Real'!C3:C15,0))+1)),IF(I682="Lay",IF(I683="Lay",((L683/(L683-1)-1)*(1-_xlfn.XLOOKUP(K683,'Fevereiro 2023 - Valor Real'!A3:A15,'Fevereiro 2023 - Valor Real'!C3:C15,0))+1)/(((L683/(L683-1)-1)*(1-_xlfn.XLOOKUP(K683,'Fevereiro 2023 - Valor Real'!A3:A15,'Fevereiro 2023 - Valor Real'!C3:C15,0))+1)+((L682/(L682-1)-1)*(1-_xlfn.XLOOKUP(K682,'Fevereiro 2023 - Valor Real'!A3:A15,'Fevereiro 2023 - Valor Real'!C3:C15,0))+1)),((L683-1)*(1-_xlfn.XLOOKUP(K683,'Fevereiro 2023 - Valor Real'!A3:A15,'Fevereiro 2023 - Valor Real'!C3:C15,0))+1)/(((L683-1)*(1-_xlfn.XLOOKUP(K683,'Fevereiro 2023 - Valor Real'!A3:A15,'Fevereiro 2023 - Valor Real'!C3:C15,0))+1)+((L682/(L682-1)-1)*(1-_xlfn.XLOOKUP(K682,'Fevereiro 2023 - Valor Real'!A3:A15,'Fevereiro 2023 - Valor Real'!C3:C15,0))+1))),IF(I683="Lay",(((L683/(L683-1)-1)*(1-_xlfn.XLOOKUP(K683,'Fevereiro 2023 - Valor Real'!A3:A15,'Fevereiro 2023 - Valor Real'!C3:C15,0))+1))/(((L682-1)*(1-_xlfn.XLOOKUP(K682,'Fevereiro 2023 - Valor Real'!A3:A15,'Fevereiro 2023 - Valor Real'!C3:C15,0))+1)+((L683/(L683-1)-1)*(1-_xlfn.XLOOKUP(K683,'Fevereiro 2023 - Valor Real'!A3:A15,'Fevereiro 2023 - Valor Real'!C3:C15,0))+1)),((L683-1)*(1-_xlfn.XLOOKUP(K683,'Fevereiro 2023 - Valor Real'!A3:A15,'Fevereiro 2023 - Valor Real'!C3:C15,0))+1)/(((L683-1)*(1-_xlfn.XLOOKUP(K683,'Fevereiro 2023 - Valor Real'!A3:A15,'Fevereiro 2023 - Valor Real'!C3:C15,0))+1)+((L682-1)*(1-_xlfn.XLOOKUP(K682,'Fevereiro 2023 - Valor Real'!A3:A15,'Fevereiro 2023 - Valor Real'!C3:C15,0))+1))))))</f>
        <v>0.2816635160680529</v>
      </c>
      <c r="AF682" s="66">
        <f t="shared" si="1358"/>
        <v>0</v>
      </c>
      <c r="AG682" s="67">
        <f t="shared" si="1358"/>
        <v>0</v>
      </c>
      <c r="AH682" s="67">
        <f t="shared" si="1358"/>
        <v>0</v>
      </c>
      <c r="AI682" s="67">
        <f t="shared" si="1358"/>
        <v>0</v>
      </c>
      <c r="AJ682" s="67">
        <f t="shared" si="1358"/>
        <v>0</v>
      </c>
      <c r="AK682" s="67">
        <f t="shared" si="1358"/>
        <v>0</v>
      </c>
      <c r="AL682" s="67">
        <f t="shared" si="1358"/>
        <v>0</v>
      </c>
      <c r="AM682" s="67">
        <f t="shared" si="1358"/>
        <v>0</v>
      </c>
      <c r="AN682" s="67">
        <f t="shared" si="1358"/>
        <v>0</v>
      </c>
      <c r="AO682" s="67">
        <f t="shared" si="1358"/>
        <v>0</v>
      </c>
      <c r="AP682" s="67">
        <f t="shared" si="1358"/>
        <v>0</v>
      </c>
      <c r="AQ682" s="67">
        <f t="shared" si="1358"/>
        <v>-9</v>
      </c>
      <c r="AR682" s="68">
        <f t="shared" si="1358"/>
        <v>0</v>
      </c>
      <c r="AS682" s="66">
        <f t="shared" ref="AS682:BE682" si="1370">IF(AND($B682=" ",$K682=AS$3),$O682,0)</f>
        <v>0</v>
      </c>
      <c r="AT682" s="67">
        <f t="shared" si="1370"/>
        <v>0</v>
      </c>
      <c r="AU682" s="67">
        <f t="shared" si="1370"/>
        <v>0</v>
      </c>
      <c r="AV682" s="67">
        <f t="shared" si="1370"/>
        <v>0</v>
      </c>
      <c r="AW682" s="67">
        <f t="shared" si="1370"/>
        <v>0</v>
      </c>
      <c r="AX682" s="67">
        <f t="shared" si="1370"/>
        <v>0</v>
      </c>
      <c r="AY682" s="69">
        <f t="shared" si="1370"/>
        <v>0</v>
      </c>
      <c r="AZ682" s="70">
        <f t="shared" si="1370"/>
        <v>0</v>
      </c>
      <c r="BA682" s="70">
        <f t="shared" si="1370"/>
        <v>0</v>
      </c>
      <c r="BB682" s="70">
        <f t="shared" si="1370"/>
        <v>0</v>
      </c>
      <c r="BC682" s="71">
        <f t="shared" si="1370"/>
        <v>0</v>
      </c>
      <c r="BD682" s="67">
        <f t="shared" si="1370"/>
        <v>0</v>
      </c>
      <c r="BE682" s="68">
        <f t="shared" si="1370"/>
        <v>0</v>
      </c>
      <c r="BF682" s="66">
        <f t="shared" si="1360"/>
        <v>0</v>
      </c>
      <c r="BG682" s="67">
        <f t="shared" si="1360"/>
        <v>0</v>
      </c>
      <c r="BH682" s="67">
        <f t="shared" si="1360"/>
        <v>0</v>
      </c>
      <c r="BI682" s="67">
        <f t="shared" si="1360"/>
        <v>0</v>
      </c>
      <c r="BJ682" s="67">
        <f t="shared" si="1360"/>
        <v>0</v>
      </c>
      <c r="BK682" s="67">
        <f t="shared" si="1360"/>
        <v>0</v>
      </c>
      <c r="BL682" s="67">
        <f t="shared" si="1360"/>
        <v>0</v>
      </c>
      <c r="BM682" s="69">
        <f t="shared" si="1360"/>
        <v>0</v>
      </c>
      <c r="BN682" s="70">
        <f t="shared" si="1360"/>
        <v>0</v>
      </c>
      <c r="BO682" s="70">
        <f t="shared" si="1360"/>
        <v>0</v>
      </c>
      <c r="BP682" s="70">
        <f t="shared" si="1360"/>
        <v>0</v>
      </c>
      <c r="BQ682" s="71">
        <f t="shared" si="1360"/>
        <v>9</v>
      </c>
      <c r="BR682" s="68">
        <f t="shared" si="1360"/>
        <v>0</v>
      </c>
      <c r="BS682" s="490">
        <f>IF($B682="LOSS",IF(AND($K682=BS$3,$C682="L"),-$O682,0)+IF(AND($K683=BS$3,$C683="L"),-$O683,0)+IF(AND($K684=BS$3,$C684="L"),-$O684,0),IF(OR(AND($K682=BS$3,OR($C682="W",$C682="1/2W")),AND($K683=BS$3,OR($C683="W",$C683="1/2W")),AND($K684=BS$3,OR($C684="W",$C684="1/2W"))),$S682,0))</f>
        <v>0</v>
      </c>
      <c r="BT682" s="498">
        <f>IF($B682="LOSS",IF(AND($K682=BT$3,$C682="L"),-$O682,0)+IF(AND($K683=BT$3,$C683="L"),-$O683,0)+IF(AND($K683=BT$3,$C684="L"),-$O684,0),IF(OR(AND($K683=BT$3,OR($C682="W",$C682="1/2W")),AND($K683=BT$3,OR($C683="W",$C683="1/2W")),AND($K683=BT$3,OR($C684="W",$C684="1/2W"))),$S682,0))</f>
        <v>0</v>
      </c>
      <c r="BU682" s="488">
        <f>IF($B682="LOSS",IF(AND($K682=BU$3,$C682="L"),-$O682,0)+IF(AND($K683=BU$3,$C683="L"),-$O683,0)+IF(AND($K683=BU$3,$C684="L"),-$O684,0),IF(OR(AND($K683=BU$3,OR($C682="W",$C682="1/2W")),AND($K683=BU$3,OR($C683="W",$C683="1/2W")),AND($K683=BU$3,OR($C684="W",$C684="1/2W"))),$S682,0))</f>
        <v>0</v>
      </c>
      <c r="BV682" s="488">
        <f t="shared" ref="BV682:CE682" si="1371">IF($B682="LOSS",IF(AND($K682=BV$3,$C682="L"),-$O682,0)+IF(AND($K683=BV$3,$C683="L"),-$O683,0)+IF(AND($K684=BV$3,$C684="L"),-$O684,0),IF(OR(AND($K682=BV$3,OR($C682="W",$C682="1/2W")),AND($K683=BV$3,OR($C683="W",$C683="1/2W")),AND($K684=BV$3,OR($C684="W",$C684="1/2W"))),$S682,0))</f>
        <v>0</v>
      </c>
      <c r="BW682" s="488">
        <f t="shared" si="1371"/>
        <v>2.25</v>
      </c>
      <c r="BX682" s="488">
        <f t="shared" si="1371"/>
        <v>0</v>
      </c>
      <c r="BY682" s="488">
        <f t="shared" si="1371"/>
        <v>0</v>
      </c>
      <c r="BZ682" s="488">
        <f t="shared" si="1371"/>
        <v>0</v>
      </c>
      <c r="CA682" s="488">
        <f t="shared" si="1371"/>
        <v>0</v>
      </c>
      <c r="CB682" s="488">
        <f t="shared" si="1371"/>
        <v>0</v>
      </c>
      <c r="CC682" s="488">
        <f t="shared" si="1371"/>
        <v>0</v>
      </c>
      <c r="CD682" s="500">
        <f t="shared" si="1371"/>
        <v>0</v>
      </c>
      <c r="CE682" s="504">
        <f t="shared" si="1371"/>
        <v>0</v>
      </c>
      <c r="CF682" s="160">
        <f t="shared" si="1285"/>
        <v>0</v>
      </c>
      <c r="CG682" s="161">
        <f t="shared" si="1286"/>
        <v>0</v>
      </c>
      <c r="CH682" s="161">
        <f t="shared" si="1287"/>
        <v>0</v>
      </c>
      <c r="CI682" s="161">
        <f t="shared" si="1288"/>
        <v>0</v>
      </c>
      <c r="CJ682" s="161">
        <f t="shared" si="1289"/>
        <v>0</v>
      </c>
      <c r="CK682" s="161">
        <f t="shared" si="1290"/>
        <v>0</v>
      </c>
      <c r="CL682" s="161">
        <f t="shared" si="1291"/>
        <v>0</v>
      </c>
      <c r="CM682" s="161">
        <f t="shared" si="1292"/>
        <v>0</v>
      </c>
      <c r="CN682" s="161">
        <f t="shared" si="1293"/>
        <v>0</v>
      </c>
      <c r="CO682" s="161">
        <f t="shared" si="1294"/>
        <v>0</v>
      </c>
      <c r="CP682" s="161">
        <f t="shared" si="1295"/>
        <v>0</v>
      </c>
      <c r="CQ682" s="161">
        <f t="shared" si="1296"/>
        <v>0</v>
      </c>
      <c r="CR682" s="161">
        <f t="shared" si="1297"/>
        <v>0</v>
      </c>
      <c r="CS682" s="161">
        <f t="shared" si="1298"/>
        <v>0</v>
      </c>
      <c r="CT682" s="75">
        <f t="shared" si="1299"/>
        <v>0</v>
      </c>
      <c r="CU682" s="76">
        <f t="shared" si="1300"/>
        <v>0</v>
      </c>
      <c r="CV682" s="76">
        <f t="shared" si="1301"/>
        <v>0</v>
      </c>
      <c r="CW682" s="76">
        <f t="shared" si="1302"/>
        <v>0</v>
      </c>
      <c r="CX682" s="76">
        <f t="shared" si="1303"/>
        <v>0</v>
      </c>
      <c r="CY682" s="76">
        <f t="shared" si="1304"/>
        <v>0</v>
      </c>
      <c r="CZ682" s="76">
        <f t="shared" si="1305"/>
        <v>0</v>
      </c>
      <c r="DA682" s="76">
        <f t="shared" si="1306"/>
        <v>0</v>
      </c>
      <c r="DB682" s="76">
        <f t="shared" si="1307"/>
        <v>0</v>
      </c>
      <c r="DC682" s="76">
        <f t="shared" si="1308"/>
        <v>1</v>
      </c>
      <c r="DD682" s="76">
        <f t="shared" si="1309"/>
        <v>0</v>
      </c>
      <c r="DE682" s="77">
        <f t="shared" si="1310"/>
        <v>0</v>
      </c>
      <c r="DF682" s="73">
        <f t="shared" si="1312"/>
        <v>40</v>
      </c>
      <c r="DG682" s="67">
        <f t="shared" si="1313"/>
        <v>52.977999999999994</v>
      </c>
      <c r="DH682" s="76">
        <f t="shared" si="1314"/>
        <v>16</v>
      </c>
      <c r="DI682" s="67">
        <f t="shared" si="1315"/>
        <v>68.699999999999989</v>
      </c>
      <c r="DJ682" s="202" t="str">
        <f>IF($D682="","",$D682)</f>
        <v>22</v>
      </c>
      <c r="DK682" s="492">
        <f>IF(AND($B682=" ",$D682&lt;&gt;""),1,0)</f>
        <v>0</v>
      </c>
    </row>
    <row r="683" spans="1:115" ht="14.5" customHeight="1" x14ac:dyDescent="0.2">
      <c r="A683" s="389"/>
      <c r="B683" s="456"/>
      <c r="C683" s="53" t="s">
        <v>54</v>
      </c>
      <c r="D683" s="374"/>
      <c r="E683" s="386"/>
      <c r="F683" s="377"/>
      <c r="G683" s="508"/>
      <c r="H683" s="476"/>
      <c r="I683" s="182" t="s">
        <v>52</v>
      </c>
      <c r="J683" s="56">
        <f>IF(OR(I682="TO",I682="TU",I682="TO1",I682="TU1",I682="TO2",I682="TU2"),J682,IF(OR(I682="AH1",I682="AH2"),IF(OR(I683="AH1",I683="AH2"),-J682,IF(OR(I683="EH1",I683="EH2"),-J682+0.5,"")),IF(OR(I682="EH1",I682="EH2"),IF(OR(I683="AH1",I683="AH2"),-J682+0.5,IF(OR(I683="EH1",I683="EH2"),-J682+1,"")),IF(AND(OR(I682="DNB1",I682="DNB2"),OR(I683="AH1",I683="AH2")),0,IF(AND(I682="Not ScoreBoth",OR(I683="TO1",I683="TO2")),0.5,"")))))</f>
        <v>1</v>
      </c>
      <c r="K683" s="57" t="s">
        <v>40</v>
      </c>
      <c r="L683" s="164">
        <v>1.49</v>
      </c>
      <c r="M683" s="165">
        <v>22.96</v>
      </c>
      <c r="N683" s="406"/>
      <c r="O683" s="60">
        <f>IF(OR(AE682="",AE683=""),"",ROUND(IF(L684&gt;0,IF(M683&gt;0,M683,IF(M682&gt;0,IF(N682=TRUE,ROUND((M682*AE683)/AE682,0),(M682*AE683)/AE682),IF(M683&gt;0,ROUND(M683,IF(N682=0,2,IF(N682=0.1,1,0))),IF(M684&gt;0,ROUND(O684*AE683/AE684,IF(N682=0,2,IF(N682=0.1,1,0))),0)))),IF(M683&gt;0,M683,ROUND((M682*AE683)/AE682,IF(N682=0,2,IF(N682=0.1,1,0))))),2))</f>
        <v>22.96</v>
      </c>
      <c r="P683" s="61">
        <f>IF(OR(L683="",O683=""),"",IF($C683="1/2W",O683/2+O683/2*L683,IF($C683="1/2L",O683/2,IF(I683="Lay",((O683*(L683/(L683-1)))-O683)*(1-_xlfn.XLOOKUP(K683,'Fevereiro 2023 - Valor Real'!A3:A15,'Fevereiro 2023 - Valor Real'!C3:C15,0))+O683,(O683*L683-O683)*(1-_xlfn.XLOOKUP(K683,'Fevereiro 2023 - Valor Real'!A3:A15,'Fevereiro 2023 - Valor Real'!C3:C15,0))+O683))))</f>
        <v>34.2104</v>
      </c>
      <c r="Q683" s="166">
        <f>IF(K683="","",IF(_xlfn.XLOOKUP(K683,K$10:K674,$DJ$10:DJ674,0,,-1)=DJ683,_xlfn.XLOOKUP(K683,K$10:K674,Q$10:Q674,1,,-1)+1,1))</f>
        <v>1</v>
      </c>
      <c r="R683" s="167">
        <f>IF(K683="","",_xlfn.XLOOKUP(K683,K$10:K674,R$10:R674,0,,-1)+IF($C683=" ",1,0))</f>
        <v>0</v>
      </c>
      <c r="S683" s="403"/>
      <c r="T683" s="380"/>
      <c r="U683" s="380"/>
      <c r="V683" s="481"/>
      <c r="W683" s="380"/>
      <c r="X683" s="452"/>
      <c r="Y683" s="383"/>
      <c r="Z683" s="384"/>
      <c r="AA683" s="384"/>
      <c r="AB683" s="384"/>
      <c r="AC683" s="384"/>
      <c r="AD683" s="64"/>
      <c r="AE683" s="65">
        <f>IF(L683="","",IF(L684&gt;0,(SUM(((L682-1)*(1-_xlfn.XLOOKUP(K682,'Fevereiro 2023 - Valor Real'!A3:A15,'Fevereiro 2023 - Valor Real'!C3:C15,0))+1),((L683-1)*(1-_xlfn.XLOOKUP(K683,'Fevereiro 2023 - Valor Real'!A3:A15,'Fevereiro 2023 - Valor Real'!C3:C15,0))+1),((L684-1)*(1-_xlfn.XLOOKUP(K684,'Fevereiro 2023 - Valor Real'!A3:A15,'Fevereiro 2023 - Valor Real'!C3:C15,0))+1))/((L683-1)*(1-_xlfn.XLOOKUP(K683,'Fevereiro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Real'!C3:C15,0))+1))/((L682-1)*(1-_xlfn.XLOOKUP(K682,'Fevereiro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Real'!C3:C15,0))+1))/((L683-1)*(1-_xlfn.XLOOKUP(K683,'Fevereiro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Real'!C3:C15,0))+1))/((L684-1)*(1-_xlfn.XLOOKUP(K684,'Fevereiro 2023 - Valor Real'!A3:A15,'Fevereiro 2023 - Valor Real'!C3:C15,0))+1)),IF(I683="Lay",IF(I682="Lay",((L682/(L682-1)-1)*(1-_xlfn.XLOOKUP(K682,'Fevereiro 2023 - Valor Real'!A3:A15,'Fevereiro 2023 - Valor Real'!C3:C15,0))+1)/(((L682/(L682-1)-1)*(1-_xlfn.XLOOKUP(K682,'Fevereiro 2023 - Valor Real'!A3:A15,'Fevereiro 2023 - Valor Real'!C3:C15,0))+1)+((L683/(L683-1)-1)*(1-_xlfn.XLOOKUP(K683,'Fevereiro 2023 - Valor Real'!A3:A15,'Fevereiro 2023 - Valor Real'!C3:C15,0))+1)),((L682-1)*(1-_xlfn.XLOOKUP(K682,'Fevereiro 2023 - Valor Real'!A3:A15,'Fevereiro 2023 - Valor Real'!C3:C15,0))+1)/(((L682-1)*(1-_xlfn.XLOOKUP(K682,'Fevereiro 2023 - Valor Real'!A3:A15,'Fevereiro 2023 - Valor Real'!C3:C15,0))+1)+((L683/(L683-1)-1)*(1-_xlfn.XLOOKUP(K683,'Fevereiro 2023 - Valor Real'!A3:A15,'Fevereiro 2023 - Valor Real'!C3:C15,0))+1))),IF(I682="Lay",((L682/(L682-1)-1)*(1-_xlfn.XLOOKUP(K682,'Fevereiro 2023 - Valor Real'!A3:A15,'Fevereiro 2023 - Valor Real'!C3:C15,0))+1)/((((L682/(L682-1)-1)*(1-_xlfn.XLOOKUP(K682,'Fevereiro 2023 - Valor Real'!A3:A15,'Fevereiro 2023 - Valor Real'!C3:C15,0))+1))+((L683-1)*(1-_xlfn.XLOOKUP(K683,'Fevereiro 2023 - Valor Real'!A3:A15,'Fevereiro 2023 - Valor Real'!C3:C15,0))+1)),((L682-1)*(1-_xlfn.XLOOKUP(K682,'Fevereiro 2023 - Valor Real'!A3:A15,'Fevereiro 2023 - Valor Real'!C3:C15,0))+1)/(((L682-1)*(1-_xlfn.XLOOKUP(K682,'Fevereiro 2023 - Valor Real'!A3:A15,'Fevereiro 2023 - Valor Real'!C3:C15,0))+1)+((L683-1)*(1-_xlfn.XLOOKUP(K683,'Fevereiro 2023 - Valor Real'!A3:A15,'Fevereiro 2023 - Valor Real'!C3:C15,0))+1))))))</f>
        <v>0.71833648393194705</v>
      </c>
      <c r="AF683" s="66">
        <f t="shared" si="1358"/>
        <v>0</v>
      </c>
      <c r="AG683" s="67">
        <f t="shared" si="1358"/>
        <v>0</v>
      </c>
      <c r="AH683" s="67">
        <f t="shared" si="1358"/>
        <v>0</v>
      </c>
      <c r="AI683" s="67">
        <f t="shared" si="1358"/>
        <v>0</v>
      </c>
      <c r="AJ683" s="67">
        <f t="shared" si="1358"/>
        <v>11.25</v>
      </c>
      <c r="AK683" s="67">
        <f t="shared" si="1358"/>
        <v>0</v>
      </c>
      <c r="AL683" s="67">
        <f t="shared" si="1358"/>
        <v>0</v>
      </c>
      <c r="AM683" s="67">
        <f t="shared" si="1358"/>
        <v>0</v>
      </c>
      <c r="AN683" s="67">
        <f t="shared" si="1358"/>
        <v>0</v>
      </c>
      <c r="AO683" s="67">
        <f t="shared" si="1358"/>
        <v>0</v>
      </c>
      <c r="AP683" s="67">
        <f t="shared" si="1358"/>
        <v>0</v>
      </c>
      <c r="AQ683" s="67">
        <f t="shared" si="1358"/>
        <v>0</v>
      </c>
      <c r="AR683" s="68">
        <f t="shared" si="1358"/>
        <v>0</v>
      </c>
      <c r="AS683" s="66">
        <f>IF(AND($B682=" ",$K683=AS$3),$O683,0)</f>
        <v>0</v>
      </c>
      <c r="AT683" s="67">
        <f>IF(AND($B682=" ",K683=AT$3),$O683,0)</f>
        <v>0</v>
      </c>
      <c r="AU683" s="67">
        <f t="shared" ref="AU683:BE683" si="1372">IF(AND($B682=" ",$K683=AU$3),$O683,0)</f>
        <v>0</v>
      </c>
      <c r="AV683" s="67">
        <f t="shared" si="1372"/>
        <v>0</v>
      </c>
      <c r="AW683" s="67">
        <f t="shared" si="1372"/>
        <v>0</v>
      </c>
      <c r="AX683" s="67">
        <f t="shared" si="1372"/>
        <v>0</v>
      </c>
      <c r="AY683" s="69">
        <f t="shared" si="1372"/>
        <v>0</v>
      </c>
      <c r="AZ683" s="70">
        <f t="shared" si="1372"/>
        <v>0</v>
      </c>
      <c r="BA683" s="70">
        <f t="shared" si="1372"/>
        <v>0</v>
      </c>
      <c r="BB683" s="70">
        <f t="shared" si="1372"/>
        <v>0</v>
      </c>
      <c r="BC683" s="71">
        <f t="shared" si="1372"/>
        <v>0</v>
      </c>
      <c r="BD683" s="67">
        <f t="shared" si="1372"/>
        <v>0</v>
      </c>
      <c r="BE683" s="68">
        <f t="shared" si="1372"/>
        <v>0</v>
      </c>
      <c r="BF683" s="66">
        <f t="shared" si="1360"/>
        <v>0</v>
      </c>
      <c r="BG683" s="168">
        <f t="shared" si="1360"/>
        <v>0</v>
      </c>
      <c r="BH683" s="67">
        <f t="shared" si="1360"/>
        <v>0</v>
      </c>
      <c r="BI683" s="67">
        <f t="shared" si="1360"/>
        <v>0</v>
      </c>
      <c r="BJ683" s="67">
        <f t="shared" si="1360"/>
        <v>22.96</v>
      </c>
      <c r="BK683" s="67">
        <f t="shared" si="1360"/>
        <v>0</v>
      </c>
      <c r="BL683" s="67">
        <f t="shared" si="1360"/>
        <v>0</v>
      </c>
      <c r="BM683" s="69">
        <f t="shared" si="1360"/>
        <v>0</v>
      </c>
      <c r="BN683" s="70">
        <f t="shared" si="1360"/>
        <v>0</v>
      </c>
      <c r="BO683" s="70">
        <f t="shared" si="1360"/>
        <v>0</v>
      </c>
      <c r="BP683" s="70">
        <f t="shared" si="1360"/>
        <v>0</v>
      </c>
      <c r="BQ683" s="71">
        <f t="shared" si="1360"/>
        <v>0</v>
      </c>
      <c r="BR683" s="68">
        <f t="shared" si="1360"/>
        <v>0</v>
      </c>
      <c r="BS683" s="491"/>
      <c r="BT683" s="489"/>
      <c r="BU683" s="392"/>
      <c r="BV683" s="489"/>
      <c r="BW683" s="392"/>
      <c r="BX683" s="392"/>
      <c r="BY683" s="392"/>
      <c r="BZ683" s="489"/>
      <c r="CA683" s="392"/>
      <c r="CB683" s="392"/>
      <c r="CC683" s="392"/>
      <c r="CD683" s="401"/>
      <c r="CE683" s="409"/>
      <c r="CF683" s="169">
        <f t="shared" si="1285"/>
        <v>0</v>
      </c>
      <c r="CG683" s="170">
        <f t="shared" si="1286"/>
        <v>0</v>
      </c>
      <c r="CH683" s="170">
        <f t="shared" si="1287"/>
        <v>0</v>
      </c>
      <c r="CI683" s="170">
        <f t="shared" si="1288"/>
        <v>0</v>
      </c>
      <c r="CJ683" s="170">
        <f t="shared" si="1289"/>
        <v>0</v>
      </c>
      <c r="CK683" s="170">
        <f t="shared" si="1290"/>
        <v>0</v>
      </c>
      <c r="CL683" s="170">
        <f t="shared" si="1291"/>
        <v>0</v>
      </c>
      <c r="CM683" s="170">
        <f t="shared" si="1292"/>
        <v>0</v>
      </c>
      <c r="CN683" s="170">
        <f t="shared" si="1293"/>
        <v>1</v>
      </c>
      <c r="CO683" s="170">
        <f t="shared" si="1294"/>
        <v>0</v>
      </c>
      <c r="CP683" s="170">
        <f t="shared" si="1295"/>
        <v>0</v>
      </c>
      <c r="CQ683" s="170">
        <f t="shared" si="1296"/>
        <v>0</v>
      </c>
      <c r="CR683" s="170">
        <f t="shared" si="1297"/>
        <v>0</v>
      </c>
      <c r="CS683" s="170">
        <f t="shared" si="1298"/>
        <v>0</v>
      </c>
      <c r="CT683" s="75">
        <f t="shared" si="1299"/>
        <v>0</v>
      </c>
      <c r="CU683" s="76">
        <f t="shared" si="1300"/>
        <v>0</v>
      </c>
      <c r="CV683" s="76">
        <f t="shared" si="1301"/>
        <v>0</v>
      </c>
      <c r="CW683" s="76">
        <f t="shared" si="1302"/>
        <v>0</v>
      </c>
      <c r="CX683" s="76">
        <f t="shared" si="1303"/>
        <v>0</v>
      </c>
      <c r="CY683" s="76">
        <f t="shared" si="1304"/>
        <v>0</v>
      </c>
      <c r="CZ683" s="76">
        <f t="shared" si="1305"/>
        <v>0</v>
      </c>
      <c r="DA683" s="76">
        <f t="shared" si="1306"/>
        <v>0</v>
      </c>
      <c r="DB683" s="76">
        <f t="shared" si="1307"/>
        <v>0</v>
      </c>
      <c r="DC683" s="76">
        <f t="shared" si="1308"/>
        <v>0</v>
      </c>
      <c r="DD683" s="76">
        <f t="shared" si="1309"/>
        <v>0</v>
      </c>
      <c r="DE683" s="77">
        <f t="shared" si="1310"/>
        <v>0</v>
      </c>
      <c r="DF683" s="73">
        <f t="shared" si="1312"/>
        <v>41</v>
      </c>
      <c r="DG683" s="67">
        <f t="shared" si="1313"/>
        <v>54.467999999999996</v>
      </c>
      <c r="DH683" s="76">
        <f t="shared" si="1314"/>
        <v>16</v>
      </c>
      <c r="DI683" s="67">
        <f t="shared" si="1315"/>
        <v>68.699999999999989</v>
      </c>
      <c r="DJ683" s="202" t="str">
        <f>IF($D682="","",$D682)</f>
        <v>22</v>
      </c>
      <c r="DK683" s="493"/>
    </row>
    <row r="684" spans="1:115" ht="14.5" customHeight="1" x14ac:dyDescent="0.2">
      <c r="A684" s="390"/>
      <c r="B684" s="457"/>
      <c r="C684" s="79" t="s">
        <v>53</v>
      </c>
      <c r="D684" s="375"/>
      <c r="E684" s="387"/>
      <c r="F684" s="378"/>
      <c r="G684" s="508"/>
      <c r="H684" s="477"/>
      <c r="I684" s="171"/>
      <c r="J684" s="172"/>
      <c r="K684" s="81"/>
      <c r="L684" s="173"/>
      <c r="M684" s="174"/>
      <c r="N684" s="407"/>
      <c r="O684" s="86" t="str">
        <f>IF(OR(AE682="",AE683=""),"",IF(L684&gt;0,ROUND(IF(M684&gt;0,M684,IF(M682&gt;0,ROUND((M682*AE684)/AE682,IF(N682=0,2,IF(N682=0.1,1,0))),IF(M683&gt;0,ROUND((M683*AE684)/AE683,IF(N682=0,2,IF(N682=0.1,1,0))),IF(M684&gt;0,M684,0)))),2),""))</f>
        <v/>
      </c>
      <c r="P684" s="87" t="str">
        <f>IF(I683="Lay",O683*(L683/(L683-1))-O683,IF(I682="Lay",O682*(L682/(L682-1))-O682,IF(OR(L684="",O684=""),"",IF($C684="1/2W",O684/2+O684/2*L684,IF($C684="1/2L",O684/2,(O684*L684-O684)*(1-_xlfn.XLOOKUP(K684,'Fevereiro 2023 - Valor Real'!A3:A15,'Fevereiro 2023 - Valor Real'!C3:C15,0))+O684)))))</f>
        <v/>
      </c>
      <c r="Q684" s="54" t="str">
        <f>IF(K684="","",IF(_xlfn.XLOOKUP(K684,K$11:K674,$DJ$11:DJ674,0,,-1)=DJ684,_xlfn.XLOOKUP(K684,K$11:K674,Q$11:Q674,1,,-1)+1,1))</f>
        <v/>
      </c>
      <c r="R684" s="87" t="str">
        <f>IF(K684="","",_xlfn.XLOOKUP(K684,K$11:K674,R$11:R674,0,,-1)+IF($C684=" ",1,0))</f>
        <v/>
      </c>
      <c r="S684" s="404"/>
      <c r="T684" s="378"/>
      <c r="U684" s="378"/>
      <c r="V684" s="404"/>
      <c r="W684" s="378"/>
      <c r="X684" s="453"/>
      <c r="Y684" s="383"/>
      <c r="Z684" s="384"/>
      <c r="AA684" s="384"/>
      <c r="AB684" s="384"/>
      <c r="AC684" s="384"/>
      <c r="AD684" s="90"/>
      <c r="AE684" s="91" t="str">
        <f>IF(L684="","",(SUM(((L682-1)*(1-_xlfn.XLOOKUP(K682,'Fevereiro 2023 - Valor Real'!A3:A15,'Fevereiro 2023 - Valor Real'!C3:C15,0))+1),((L683-1)*(1-_xlfn.XLOOKUP(K683,'Fevereiro 2023 - Valor Real'!A3:A15,'Fevereiro 2023 - Valor Real'!C3:C15,0))+1),((L684-1)*(1-_xlfn.XLOOKUP(K684,'Fevereiro 2023 - Valor Real'!A3:A15,'Fevereiro 2023 - Valor Real'!C3:C15,0))+1))/((L684-1)*(1-_xlfn.XLOOKUP(K684,'Fevereiro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Real'!C3:C15,0))+1))/((L682-1)*(1-_xlfn.XLOOKUP(K682,'Fevereiro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Real'!C3:C15,0))+1))/((L683-1)*(1-_xlfn.XLOOKUP(K683,'Fevereiro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Real'!C3:C15,0))+1))/((L684-1)*(1-_xlfn.XLOOKUP(K684,'Fevereiro 2023 - Valor Real'!A3:A15,'Fevereiro 2023 - Valor Real'!C3:C15,0))+1)))</f>
        <v/>
      </c>
      <c r="AF684" s="66">
        <f t="shared" ref="AF684:AR693" si="1373">IF($K684=AF$3,ROUND(IF(OR($C684="W",$C684="1/2W",$C684="1/2L"),$P684-$O684,IF($C684="X",0,-$O684)),2),0)</f>
        <v>0</v>
      </c>
      <c r="AG684" s="67">
        <f t="shared" si="1373"/>
        <v>0</v>
      </c>
      <c r="AH684" s="67">
        <f t="shared" si="1373"/>
        <v>0</v>
      </c>
      <c r="AI684" s="67">
        <f t="shared" si="1373"/>
        <v>0</v>
      </c>
      <c r="AJ684" s="67">
        <f t="shared" si="1373"/>
        <v>0</v>
      </c>
      <c r="AK684" s="67">
        <f t="shared" si="1373"/>
        <v>0</v>
      </c>
      <c r="AL684" s="67">
        <f t="shared" si="1373"/>
        <v>0</v>
      </c>
      <c r="AM684" s="67">
        <f t="shared" si="1373"/>
        <v>0</v>
      </c>
      <c r="AN684" s="67">
        <f t="shared" si="1373"/>
        <v>0</v>
      </c>
      <c r="AO684" s="67">
        <f t="shared" si="1373"/>
        <v>0</v>
      </c>
      <c r="AP684" s="67">
        <f t="shared" si="1373"/>
        <v>0</v>
      </c>
      <c r="AQ684" s="67">
        <f t="shared" si="1373"/>
        <v>0</v>
      </c>
      <c r="AR684" s="68">
        <f t="shared" si="1373"/>
        <v>0</v>
      </c>
      <c r="AS684" s="66">
        <f>IF(AND($B682=" ",$K684=AS$3),$O684,0)</f>
        <v>0</v>
      </c>
      <c r="AT684" s="67">
        <f>IF(AND($B682=" ",K684=AT$3),$O684,0)</f>
        <v>0</v>
      </c>
      <c r="AU684" s="67">
        <f t="shared" ref="AU684:BE684" si="1374">IF(AND($B682=" ",$K684=AU$3),$O684,0)</f>
        <v>0</v>
      </c>
      <c r="AV684" s="67">
        <f t="shared" si="1374"/>
        <v>0</v>
      </c>
      <c r="AW684" s="67">
        <f t="shared" si="1374"/>
        <v>0</v>
      </c>
      <c r="AX684" s="67">
        <f t="shared" si="1374"/>
        <v>0</v>
      </c>
      <c r="AY684" s="69">
        <f t="shared" si="1374"/>
        <v>0</v>
      </c>
      <c r="AZ684" s="70">
        <f t="shared" si="1374"/>
        <v>0</v>
      </c>
      <c r="BA684" s="70">
        <f t="shared" si="1374"/>
        <v>0</v>
      </c>
      <c r="BB684" s="70">
        <f t="shared" si="1374"/>
        <v>0</v>
      </c>
      <c r="BC684" s="71">
        <f t="shared" si="1374"/>
        <v>0</v>
      </c>
      <c r="BD684" s="67">
        <f t="shared" si="1374"/>
        <v>0</v>
      </c>
      <c r="BE684" s="68">
        <f t="shared" si="1374"/>
        <v>0</v>
      </c>
      <c r="BF684" s="66">
        <f t="shared" ref="BF684:BR693" si="1375">IF($K684=BF$3,IF($C684="X",0,$O684),0)</f>
        <v>0</v>
      </c>
      <c r="BG684" s="168">
        <f t="shared" si="1375"/>
        <v>0</v>
      </c>
      <c r="BH684" s="67">
        <f t="shared" si="1375"/>
        <v>0</v>
      </c>
      <c r="BI684" s="67">
        <f t="shared" si="1375"/>
        <v>0</v>
      </c>
      <c r="BJ684" s="67">
        <f t="shared" si="1375"/>
        <v>0</v>
      </c>
      <c r="BK684" s="67">
        <f t="shared" si="1375"/>
        <v>0</v>
      </c>
      <c r="BL684" s="67">
        <f t="shared" si="1375"/>
        <v>0</v>
      </c>
      <c r="BM684" s="69">
        <f t="shared" si="1375"/>
        <v>0</v>
      </c>
      <c r="BN684" s="70">
        <f t="shared" si="1375"/>
        <v>0</v>
      </c>
      <c r="BO684" s="70">
        <f t="shared" si="1375"/>
        <v>0</v>
      </c>
      <c r="BP684" s="70">
        <f t="shared" si="1375"/>
        <v>0</v>
      </c>
      <c r="BQ684" s="71">
        <f t="shared" si="1375"/>
        <v>0</v>
      </c>
      <c r="BR684" s="68">
        <f t="shared" si="1375"/>
        <v>0</v>
      </c>
      <c r="BS684" s="491"/>
      <c r="BT684" s="489"/>
      <c r="BU684" s="392"/>
      <c r="BV684" s="489"/>
      <c r="BW684" s="392"/>
      <c r="BX684" s="392"/>
      <c r="BY684" s="392"/>
      <c r="BZ684" s="489"/>
      <c r="CA684" s="392"/>
      <c r="CB684" s="392"/>
      <c r="CC684" s="392"/>
      <c r="CD684" s="401"/>
      <c r="CE684" s="409"/>
      <c r="CF684" s="169">
        <f t="shared" si="1285"/>
        <v>0</v>
      </c>
      <c r="CG684" s="170">
        <f t="shared" si="1286"/>
        <v>0</v>
      </c>
      <c r="CH684" s="170">
        <f t="shared" si="1287"/>
        <v>0</v>
      </c>
      <c r="CI684" s="170">
        <f t="shared" si="1288"/>
        <v>0</v>
      </c>
      <c r="CJ684" s="170">
        <f t="shared" si="1289"/>
        <v>0</v>
      </c>
      <c r="CK684" s="170">
        <f t="shared" si="1290"/>
        <v>0</v>
      </c>
      <c r="CL684" s="170">
        <f t="shared" si="1291"/>
        <v>0</v>
      </c>
      <c r="CM684" s="170">
        <f t="shared" si="1292"/>
        <v>0</v>
      </c>
      <c r="CN684" s="170">
        <f t="shared" si="1293"/>
        <v>0</v>
      </c>
      <c r="CO684" s="170">
        <f t="shared" si="1294"/>
        <v>0</v>
      </c>
      <c r="CP684" s="170">
        <f t="shared" si="1295"/>
        <v>0</v>
      </c>
      <c r="CQ684" s="170">
        <f t="shared" si="1296"/>
        <v>0</v>
      </c>
      <c r="CR684" s="170">
        <f t="shared" si="1297"/>
        <v>0</v>
      </c>
      <c r="CS684" s="170">
        <f t="shared" si="1298"/>
        <v>0</v>
      </c>
      <c r="CT684" s="75">
        <f t="shared" si="1299"/>
        <v>0</v>
      </c>
      <c r="CU684" s="76">
        <f t="shared" si="1300"/>
        <v>0</v>
      </c>
      <c r="CV684" s="76">
        <f t="shared" si="1301"/>
        <v>0</v>
      </c>
      <c r="CW684" s="76">
        <f t="shared" si="1302"/>
        <v>0</v>
      </c>
      <c r="CX684" s="76">
        <f t="shared" si="1303"/>
        <v>0</v>
      </c>
      <c r="CY684" s="76">
        <f t="shared" si="1304"/>
        <v>0</v>
      </c>
      <c r="CZ684" s="76">
        <f t="shared" si="1305"/>
        <v>0</v>
      </c>
      <c r="DA684" s="76">
        <f t="shared" si="1306"/>
        <v>0</v>
      </c>
      <c r="DB684" s="76">
        <f t="shared" si="1307"/>
        <v>0</v>
      </c>
      <c r="DC684" s="76">
        <f t="shared" si="1308"/>
        <v>0</v>
      </c>
      <c r="DD684" s="76">
        <f t="shared" si="1309"/>
        <v>0</v>
      </c>
      <c r="DE684" s="77">
        <f t="shared" si="1310"/>
        <v>0</v>
      </c>
      <c r="DF684" s="73">
        <f t="shared" si="1312"/>
        <v>41</v>
      </c>
      <c r="DG684" s="67">
        <f t="shared" si="1313"/>
        <v>54.467999999999996</v>
      </c>
      <c r="DH684" s="76">
        <f t="shared" si="1314"/>
        <v>16</v>
      </c>
      <c r="DI684" s="67">
        <f t="shared" si="1315"/>
        <v>68.699999999999989</v>
      </c>
      <c r="DJ684" s="202" t="str">
        <f>IF($D682="","",$D682)</f>
        <v>22</v>
      </c>
      <c r="DK684" s="493"/>
    </row>
    <row r="685" spans="1:115" ht="14.5" customHeight="1" x14ac:dyDescent="0.2">
      <c r="A685" s="459">
        <f>$A682+1</f>
        <v>228</v>
      </c>
      <c r="B685" s="507" t="str">
        <f>IF(OR(C685="W",C686="W",C687="W",C685="1/2W",C686="1/2W",C687="1/2W",C685="1/2L",C686="1/2L",C687="1/2L"),"OK",IF(OR(C685="L",C686="L",C687="L"),"LOSS",IF(OR(C685="X",C686="X",C687="X"),"Anulado"," ")))</f>
        <v>OK</v>
      </c>
      <c r="C685" s="93" t="s">
        <v>55</v>
      </c>
      <c r="D685" s="468" t="str">
        <f>IF(G685="","",$D682)</f>
        <v>22</v>
      </c>
      <c r="E685" s="485" t="str">
        <f>IF(G685=""," ","– "&amp;COUNTIF(D$4:D687,$D685))</f>
        <v>– 2</v>
      </c>
      <c r="F685" s="509" t="str">
        <f ca="1">IF(G685="","",IF(OR(AND($C685&lt;&gt;" ",$C686=" "),AND($C686&lt;&gt;" ",$C685=" "),AND(L687&gt;0,OR(AND($C687&lt;&gt;" ",OR($C685=" ",$C686=" ")),AND($C687=" ",OR($C685&lt;&gt;" ",$C686&lt;&gt;" "))))),IF(SUM(F$4:F684)=0,1,LARGE(F$4:F684,1)+1),IF(MONTH(G685)=MONTH(TODAY()),IF(AND(DAY(G685)&lt;DAY(TODAY()),$B685=" "),IF(SUM(F$4:F684)=0,1,LARGE(F$4:F684,1)+1),IF($B685=" ",IF(AND(DAY(G685)=DAY(TODAY()),HOUR(G685)&lt;=HOUR(NOW())+1),IF(AND(HOUR(G685)+2&lt;=HOUR(NOW()),DAY(G685)&lt;=DAY(TODAY()),MINUTE(G685)&lt;=MINUTE(NOW())),IF(SUM(F$4:F684)=0,1,LARGE(F$4:F684,1)+1),IF(OR(MINUTE(G685)&lt;=MINUTE(NOW()),HOUR(G685)&lt;=HOUR(NOW())),"!!!","")),""),"")),"")))</f>
        <v/>
      </c>
      <c r="G685" s="482">
        <f>IF(H685="","",_xlfn.XLOOKUP(H685,$H$4:H684,$G$4:G684,""))</f>
        <v>45007.229166666664</v>
      </c>
      <c r="H685" s="475" t="s">
        <v>245</v>
      </c>
      <c r="I685" s="94" t="s">
        <v>51</v>
      </c>
      <c r="J685" s="95">
        <v>3.5</v>
      </c>
      <c r="K685" s="96" t="s">
        <v>37</v>
      </c>
      <c r="L685" s="97">
        <v>1.82</v>
      </c>
      <c r="M685" s="98">
        <v>17.489999999999998</v>
      </c>
      <c r="N685" s="478">
        <v>0</v>
      </c>
      <c r="O685" s="99">
        <f>IF(OR(AE685="",AE686=""),"",ROUND(IF(L687&gt;0,IF(M685&gt;0,M685,IF(M686&gt;0,ROUND((M686*AE685)/AE686,IF(N685=0,2,IF(N685=0.1,1,0))),ROUND((M687*AE685)/AE687,IF(N685=0,2,IF(N685=0.1,1,0))))),IF(M685&gt;0,M685,ROUND((M686*AE685)/AE686,IF(N685=0,2,IF(N685=0.1,1,0))))),2))</f>
        <v>17.489999999999998</v>
      </c>
      <c r="P685" s="100">
        <f>IF(OR(L685="",O685=""),"",IF($C685="1/2W",O685/2+O685/2*L685,IF($C685="1/2L",O685/2,IF(I685="Lay",(O685*(L685/(L685-1))-O685)*(1-_xlfn.XLOOKUP(K685,'Fevereiro 2023 - Valor Real'!A3:A15,'Fevereiro 2023 - Valor Real'!C3:C15,0))+O685,(O685*L685-O685)*(1-_xlfn.XLOOKUP(K685,'Fevereiro 2023 - Valor Real'!A3:A15,'Fevereiro 2023 - Valor Real'!C3:C15,0))+O685))))</f>
        <v>31.831799999999998</v>
      </c>
      <c r="Q685" s="101">
        <f>IF(K685="","",IF(_xlfn.XLOOKUP(K685,K$4:K684,$DJ$4:DJ684,0,,-1)=DJ685,_xlfn.XLOOKUP(K685,K$4:K684,Q$4:Q684,1,,-1)+1,1))</f>
        <v>1</v>
      </c>
      <c r="R685" s="102">
        <f>IF(K685="","",_xlfn.XLOOKUP(K685,K$4:K684,R$4:R684,0,,-1)+IF($C685=" ",1,0))</f>
        <v>0</v>
      </c>
      <c r="S685" s="474">
        <f>IF($B685="Anulado",0,ROUND(IF(OR($B685="LOSS",$B685="OK"),IF(OR($C685="W",$C685="1/2W",$C685="1/2L"),P685-O685,IF($C685="L",-O685,0))+IF(OR($C686="W",$C686="1/2W",$C686="1/2L"),P686-O686,IF($C686="L",-O686,0))+IF(OR($C687="W",$C687="1/2W",$C687="1/2L"),P687-O687,IF($C687="L",-O687,0)),IF(AND(OR($C685="W",$C685="1/2W",$C685="1/2L"),C686="W"),P685+P686-SUM(O685:O687)+_xlfn.XLOOKUP("X",C685:C687,O685:O687,0),IF(AND(C685=TRUE,C687="W"),P685+P687-SUM(O685:O687),IF(AND(C686="W",C687="W"),P686+P687-SUM(O685:O687)+_xlfn.XLOOKUP("X",C685:C687,O685:O687,0),IF(L687&gt;0,IF(OR($C685="W",$C685="1/2W",$C685="1/2L"),P685-SUM(O685:O687)+_xlfn.XLOOKUP("X",C685:C687,O685:O687,0),IF(OR($C685="W",$C685="1/2W",$C685="1/2L"),P686-SUM(O685:O687)+_xlfn.XLOOKUP("X",C685:C687,O685:O687,0),IF(OR($C685="W",$C685="1/2W",$C685="1/2L"),P687-SUM(O685:O687)+_xlfn.XLOOKUP("X",C685:C687,O685:O687,0),IF(SUM(P685:P687)/3-SUM(O685:O687)+_xlfn.XLOOKUP("X",C685:C687,O685:O687,0)&gt;0,SUM(P685:P687)/3-SUM(O685:O687)+_xlfn.XLOOKUP("X",C685:C687,O685:O687,0),LARGE(P685:P687,1)-SUM(O685:O687))))),IF(OR($C685="W",$C685="1/2W",$C685="1/2L"),P685-SUM(O685:O686)+_xlfn.XLOOKUP("X",C685:C687,O685:O687,0),IF(OR($C685="W",$C685="1/2W",$C685="1/2L"),P686-SUM(O685:O686)+_xlfn.XLOOKUP("X",C685:C687,O685:O687,0),SUM(P685:P686)/2-SUM(O685:O686)+_xlfn.XLOOKUP("X",C685:C687,O685:O687,0)))))))),2))</f>
        <v>1.02</v>
      </c>
      <c r="T685" s="458">
        <f>IF(S685=0,0,S685/SUM(O685:O687))</f>
        <v>3.3106134371957162E-2</v>
      </c>
      <c r="U685" s="470">
        <f>IF($D685=$D682,IF(OR($B685="LOSS",$B685="OK",$B685="Anulada"),S685,0)+U682,IF(OR($B685="LOSS",$B685="OK",$B685="Anulada"),S685,0))</f>
        <v>3.27</v>
      </c>
      <c r="V685" s="470">
        <f>IF($D685="",0,IF($D685=$D682,IF($B685=" ",IF(I687="",IF(OR(AND(I685="DNB1",I686="DNB2"),AND(OR(I685="DNB1",I685="DNB2"),J686=0),AND(OR(I686="DNB1",I686="DNB2"),J685=0),AND(I685="DNB2",I686="DNB1"),AND(IF(J685=0,(J685+1)/ROUND(J685+1,0),J685/ROUND(J685,0))=1,IF(J686=0,(J686+1)/ROUND(IF(J686="",0,J686)+1,0),IF(J686="",0,J686)/ROUND(IF(J686="",1,J686),0))=1,OR(J685&lt;&gt;""),J686&lt;&gt;"")),0,IF(S685&lt;0,IF(I687="",SMALL(P685:P686,1)-SUM(O685:O686),0),SMALL(P685:P686,1)-SUM(O685:O686))),IF(S685&lt;0,IF(I687="",SMALL(P685:P687,1)-SUM(O685:O687),0),LARGE(P685:P687,1)-SUM(O685:O687))),S685)+V682,IF(I687="",IF(OR(AND(I685="DNB1",I686="DNB2"),AND(OR(I685="DNB1",I685="DNB2"),J686=0),AND(OR(I686="DNB1",I686="DNB2"),J685=0),AND(I685="DNB2",I686="DNB1"),AND(IF(J685=0,(J685+1)/ROUND(J685+1,0),J685/ROUND(J685,0))=1,IF(J686=0,(IF(J686="",0,J686)+1)/ROUND(IF(J686="",0,J686)+1,0),IF(J686="",0,J686)/ROUND(IF(J686="",0,J686)+1,0))=1,OR(J685&lt;&gt;""),J686&lt;&gt;"")),0,IF(S685&lt;0,IF(I687="",SMALL(P685:P686,1)-SUM(O685:O686),0),SMALL(P685:P687,1)-SUM(O685:O687))),IF(S685&lt;0,IF(I687="",SMALL(P685:P687,1)-SUM(O685:O687),0),LARGE(P685:P687,1)-SUM(O685:O687)))))</f>
        <v>3.2599999999999949</v>
      </c>
      <c r="W685" s="470">
        <f>IF($D685=$D682,IF(S685&lt;0,IF(I687="",S685,0),S685)+W682,S685)</f>
        <v>3.27</v>
      </c>
      <c r="X685" s="480" t="str">
        <f>IF(OR(SUM(R685:R687)=0,V685=W685),ROUND(IF(W685=0,0,W685/Y685)*100,2)&amp;"%",ROUND(IF(V685=0,0,V685/Y685)*100,2)&amp;"% a "&amp;ROUND(IF(W685=0,0,W685/Y685)*100,2)&amp;"%")</f>
        <v>5,21%</v>
      </c>
      <c r="Y685" s="471">
        <f>IF($D685=$D682,Y682+SUM(O685:O687),SUM(O685:O687))</f>
        <v>62.769999999999996</v>
      </c>
      <c r="Z685" s="470">
        <f>IF($B685=" ",SUM(O685:O687),0)+Z682</f>
        <v>0</v>
      </c>
      <c r="AA685" s="470">
        <f>IF(G685="","",IF($B685="Anulado",LARGE(P685:P687,1)-SUM(O685:O687)+AA682,AA682))</f>
        <v>13.381099999999991</v>
      </c>
      <c r="AB685" s="470">
        <f>IF($D685="","",AB682+S685)</f>
        <v>798.03000000000054</v>
      </c>
      <c r="AC685" s="472">
        <f ca="1">IF($D685="","",IF($B685=" ",IF(DAY(G685)=DAY(TODAY()),1+AC682,0+AC682),0+AC682))</f>
        <v>0</v>
      </c>
      <c r="AD685" s="103">
        <f>(((L686/(L686-1)-1)*(1-_xlfn.XLOOKUP(K686,'Fevereiro 2023 - Valor Real'!A3:A15,'Fevereiro 2023 - Valor Real'!C3:C15,0))+1))/(((L685-1)*(1-_xlfn.XLOOKUP(K685,'Fevereiro 2023 - Valor Real'!A3:A15,'Fevereiro 2023 - Valor Real'!C3:C15,0))+1)+((L686/(L686-1)-1)*(1-_xlfn.XLOOKUP(K686,'Fevereiro 2023 - Valor Real'!A3:A15,'Fevereiro 2023 - Valor Real'!C3:C15,0))+1))</f>
        <v>0.48579210537013695</v>
      </c>
      <c r="AE685" s="104">
        <f>IF(L685="","",IF(L687&gt;0,(SUM(((L685-1)*(1-_xlfn.XLOOKUP(K685,'Fevereiro 2023 - Valor Real'!A3:A15,'Fevereiro 2023 - Valor Real'!C3:C15,0))+1),((L686-1)*(1-_xlfn.XLOOKUP(K686,'Fevereiro 2023 - Valor Real'!A3:A15,'Fevereiro 2023 - Valor Real'!C3:C15,0))+1),((L687-1)*(1-_xlfn.XLOOKUP(K687,'Fevereiro 2023 - Valor Real'!A3:A15,'Fevereiro 2023 - Valor Real'!C3:C15,0))+1))/((L685-1)*(1-_xlfn.XLOOKUP(K685,'Fevereiro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Real'!C3:C15,0))+1))/((L685-1)*(1-_xlfn.XLOOKUP(K685,'Fevereiro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Real'!C3:C15,0))+1))/((L686-1)*(1-_xlfn.XLOOKUP(K686,'Fevereiro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Real'!C3:C15,0))+1))/((L687-1)*(1-_xlfn.XLOOKUP(K687,'Fevereiro 2023 - Valor Real'!A3:A15,'Fevereiro 2023 - Valor Real'!C3:C15,0))+1)),IF(I685="Lay",IF(I686="Lay",((L686/(L686-1)-1)*(1-_xlfn.XLOOKUP(K686,'Fevereiro 2023 - Valor Real'!A3:A15,'Fevereiro 2023 - Valor Real'!C3:C15,0))+1)/(((L686/(L686-1)-1)*(1-_xlfn.XLOOKUP(K686,'Fevereiro 2023 - Valor Real'!A3:A15,'Fevereiro 2023 - Valor Real'!C3:C15,0))+1)+((L685/(L685-1)-1)*(1-_xlfn.XLOOKUP(K685,'Fevereiro 2023 - Valor Real'!A3:A15,'Fevereiro 2023 - Valor Real'!C3:C15,0))+1)),((L686-1)*(1-_xlfn.XLOOKUP(K686,'Fevereiro 2023 - Valor Real'!A3:A15,'Fevereiro 2023 - Valor Real'!C3:C15,0))+1)/(((L686-1)*(1-_xlfn.XLOOKUP(K686,'Fevereiro 2023 - Valor Real'!A3:A15,'Fevereiro 2023 - Valor Real'!C3:C15,0))+1)+((L685/(L685-1)-1)*(1-_xlfn.XLOOKUP(K685,'Fevereiro 2023 - Valor Real'!A3:A15,'Fevereiro 2023 - Valor Real'!C3:C15,0))+1))),IF(I686="Lay",(((L686/(L686-1)-1)*(1-_xlfn.XLOOKUP(K686,'Fevereiro 2023 - Valor Real'!A3:A15,'Fevereiro 2023 - Valor Real'!C3:C15,0))+1))/(((L685-1)*(1-_xlfn.XLOOKUP(K685,'Fevereiro 2023 - Valor Real'!A3:A15,'Fevereiro 2023 - Valor Real'!C3:C15,0))+1)+((L686/(L686-1)-1)*(1-_xlfn.XLOOKUP(K686,'Fevereiro 2023 - Valor Real'!A3:A15,'Fevereiro 2023 - Valor Real'!C3:C15,0))+1)),((L686-1)*(1-_xlfn.XLOOKUP(K686,'Fevereiro 2023 - Valor Real'!A3:A15,'Fevereiro 2023 - Valor Real'!C3:C15,0))+1)/(((L686-1)*(1-_xlfn.XLOOKUP(K686,'Fevereiro 2023 - Valor Real'!A3:A15,'Fevereiro 2023 - Valor Real'!C3:C15,0))+1)+((L685-1)*(1-_xlfn.XLOOKUP(K685,'Fevereiro 2023 - Valor Real'!A3:A15,'Fevereiro 2023 - Valor Real'!C3:C15,0))+1))))))</f>
        <v>0.56769596199524941</v>
      </c>
      <c r="AF685" s="105">
        <f t="shared" si="1373"/>
        <v>0</v>
      </c>
      <c r="AG685" s="106">
        <f t="shared" si="1373"/>
        <v>-17.489999999999998</v>
      </c>
      <c r="AH685" s="106">
        <f t="shared" si="1373"/>
        <v>0</v>
      </c>
      <c r="AI685" s="106">
        <f t="shared" si="1373"/>
        <v>0</v>
      </c>
      <c r="AJ685" s="106">
        <f t="shared" si="1373"/>
        <v>0</v>
      </c>
      <c r="AK685" s="106">
        <f t="shared" si="1373"/>
        <v>0</v>
      </c>
      <c r="AL685" s="106">
        <f t="shared" si="1373"/>
        <v>0</v>
      </c>
      <c r="AM685" s="106">
        <f t="shared" si="1373"/>
        <v>0</v>
      </c>
      <c r="AN685" s="106">
        <f t="shared" si="1373"/>
        <v>0</v>
      </c>
      <c r="AO685" s="106">
        <f t="shared" si="1373"/>
        <v>0</v>
      </c>
      <c r="AP685" s="106">
        <f t="shared" si="1373"/>
        <v>0</v>
      </c>
      <c r="AQ685" s="106">
        <f t="shared" si="1373"/>
        <v>0</v>
      </c>
      <c r="AR685" s="107">
        <f t="shared" si="1373"/>
        <v>0</v>
      </c>
      <c r="AS685" s="105">
        <f t="shared" ref="AS685:BE685" si="1376">IF(AND($B685=" ",$K685=AS$3),$O685,0)</f>
        <v>0</v>
      </c>
      <c r="AT685" s="106">
        <f t="shared" si="1376"/>
        <v>0</v>
      </c>
      <c r="AU685" s="106">
        <f t="shared" si="1376"/>
        <v>0</v>
      </c>
      <c r="AV685" s="106">
        <f t="shared" si="1376"/>
        <v>0</v>
      </c>
      <c r="AW685" s="106">
        <f t="shared" si="1376"/>
        <v>0</v>
      </c>
      <c r="AX685" s="106">
        <f t="shared" si="1376"/>
        <v>0</v>
      </c>
      <c r="AY685" s="108">
        <f t="shared" si="1376"/>
        <v>0</v>
      </c>
      <c r="AZ685" s="109">
        <f t="shared" si="1376"/>
        <v>0</v>
      </c>
      <c r="BA685" s="109">
        <f t="shared" si="1376"/>
        <v>0</v>
      </c>
      <c r="BB685" s="109">
        <f t="shared" si="1376"/>
        <v>0</v>
      </c>
      <c r="BC685" s="110">
        <f t="shared" si="1376"/>
        <v>0</v>
      </c>
      <c r="BD685" s="106">
        <f t="shared" si="1376"/>
        <v>0</v>
      </c>
      <c r="BE685" s="107">
        <f t="shared" si="1376"/>
        <v>0</v>
      </c>
      <c r="BF685" s="111">
        <f t="shared" si="1375"/>
        <v>0</v>
      </c>
      <c r="BG685" s="106">
        <f t="shared" si="1375"/>
        <v>17.489999999999998</v>
      </c>
      <c r="BH685" s="106">
        <f t="shared" si="1375"/>
        <v>0</v>
      </c>
      <c r="BI685" s="106">
        <f t="shared" si="1375"/>
        <v>0</v>
      </c>
      <c r="BJ685" s="106">
        <f t="shared" si="1375"/>
        <v>0</v>
      </c>
      <c r="BK685" s="106">
        <f t="shared" si="1375"/>
        <v>0</v>
      </c>
      <c r="BL685" s="106">
        <f t="shared" si="1375"/>
        <v>0</v>
      </c>
      <c r="BM685" s="108">
        <f t="shared" si="1375"/>
        <v>0</v>
      </c>
      <c r="BN685" s="109">
        <f t="shared" si="1375"/>
        <v>0</v>
      </c>
      <c r="BO685" s="109">
        <f t="shared" si="1375"/>
        <v>0</v>
      </c>
      <c r="BP685" s="109">
        <f t="shared" si="1375"/>
        <v>0</v>
      </c>
      <c r="BQ685" s="110">
        <f t="shared" si="1375"/>
        <v>0</v>
      </c>
      <c r="BR685" s="107">
        <f t="shared" si="1375"/>
        <v>0</v>
      </c>
      <c r="BS685" s="463">
        <f>IF($B685="LOSS",IF(AND($K685=BS$3,$C685="L"),-$O685,0)+IF(AND($K686=BS$3,$C686="L"),-$O686,0)+IF(AND($K687=BS$3,$C687="L"),-$O687,0),IF(OR(AND($K685=BS$3,OR($C685="W",$C685="1/2W")),AND($K686=BS$3,OR($C686="W",$C686="1/2W")),AND($K687=BS$3,OR($C687="W",$C687="1/2W"))),$S685,0))</f>
        <v>0</v>
      </c>
      <c r="BT685" s="462">
        <f>IF($B685="LOSS",IF(AND($K685=BT$3,$C685="L"),-$O685,0)+IF(AND($K686=BT$3,$C686="L"),-$O686,0)+IF(AND($K686=BT$3,$C687="L"),-$O687,0),IF(OR(AND($K686=BT$3,OR($C685="W",$C685="1/2W")),AND($K686=BT$3,OR($C686="W",$C686="1/2W")),AND($K686=BT$3,OR($C687="W",$C687="1/2W"))),$S685,0))</f>
        <v>0</v>
      </c>
      <c r="BU685" s="462">
        <f>IF($B685="LOSS",IF(AND($K685=BU$3,$C685="L"),-$O685,0)+IF(AND($K686=BU$3,$C686="L"),-$O686,0)+IF(AND($K686=BU$3,$C687="L"),-$O687,0),IF(OR(AND($K686=BU$3,OR($C685="W",$C685="1/2W")),AND($K686=BU$3,OR($C686="W",$C686="1/2W")),AND($K686=BU$3,OR($C687="W",$C687="1/2W"))),$S685,0))</f>
        <v>0</v>
      </c>
      <c r="BV685" s="462">
        <f t="shared" ref="BV685:CE685" si="1377">IF($B685="LOSS",IF(AND($K685=BV$3,$C685="L"),-$O685,0)+IF(AND($K686=BV$3,$C686="L"),-$O686,0)+IF(AND($K687=BV$3,$C687="L"),-$O687,0),IF(OR(AND($K685=BV$3,OR($C685="W",$C685="1/2W")),AND($K686=BV$3,OR($C686="W",$C686="1/2W")),AND($K687=BV$3,OR($C687="W",$C687="1/2W"))),$S685,0))</f>
        <v>0</v>
      </c>
      <c r="BW685" s="462">
        <f t="shared" si="1377"/>
        <v>0</v>
      </c>
      <c r="BX685" s="462">
        <f t="shared" si="1377"/>
        <v>0</v>
      </c>
      <c r="BY685" s="462">
        <f t="shared" si="1377"/>
        <v>0</v>
      </c>
      <c r="BZ685" s="460">
        <f t="shared" si="1377"/>
        <v>1.02</v>
      </c>
      <c r="CA685" s="460">
        <f t="shared" si="1377"/>
        <v>0</v>
      </c>
      <c r="CB685" s="460">
        <f t="shared" si="1377"/>
        <v>0</v>
      </c>
      <c r="CC685" s="460">
        <f t="shared" si="1377"/>
        <v>0</v>
      </c>
      <c r="CD685" s="473">
        <f t="shared" si="1377"/>
        <v>0</v>
      </c>
      <c r="CE685" s="479">
        <f t="shared" si="1377"/>
        <v>0</v>
      </c>
      <c r="CF685" s="113">
        <f t="shared" si="1285"/>
        <v>0</v>
      </c>
      <c r="CG685" s="114">
        <f t="shared" si="1286"/>
        <v>0</v>
      </c>
      <c r="CH685" s="114">
        <f t="shared" si="1287"/>
        <v>0</v>
      </c>
      <c r="CI685" s="114">
        <f t="shared" si="1288"/>
        <v>1</v>
      </c>
      <c r="CJ685" s="114">
        <f t="shared" si="1289"/>
        <v>0</v>
      </c>
      <c r="CK685" s="114">
        <f t="shared" si="1290"/>
        <v>0</v>
      </c>
      <c r="CL685" s="114">
        <f t="shared" si="1291"/>
        <v>0</v>
      </c>
      <c r="CM685" s="114">
        <f t="shared" si="1292"/>
        <v>0</v>
      </c>
      <c r="CN685" s="114">
        <f t="shared" si="1293"/>
        <v>0</v>
      </c>
      <c r="CO685" s="114">
        <f t="shared" si="1294"/>
        <v>0</v>
      </c>
      <c r="CP685" s="114">
        <f t="shared" si="1295"/>
        <v>0</v>
      </c>
      <c r="CQ685" s="114">
        <f t="shared" si="1296"/>
        <v>0</v>
      </c>
      <c r="CR685" s="114">
        <f t="shared" si="1297"/>
        <v>0</v>
      </c>
      <c r="CS685" s="114">
        <f t="shared" si="1298"/>
        <v>0</v>
      </c>
      <c r="CT685" s="115">
        <f t="shared" si="1299"/>
        <v>0</v>
      </c>
      <c r="CU685" s="116">
        <f t="shared" si="1300"/>
        <v>0</v>
      </c>
      <c r="CV685" s="116">
        <f t="shared" si="1301"/>
        <v>0</v>
      </c>
      <c r="CW685" s="116">
        <f t="shared" si="1302"/>
        <v>0</v>
      </c>
      <c r="CX685" s="116">
        <f t="shared" si="1303"/>
        <v>0</v>
      </c>
      <c r="CY685" s="116">
        <f t="shared" si="1304"/>
        <v>0</v>
      </c>
      <c r="CZ685" s="116">
        <f t="shared" si="1305"/>
        <v>0</v>
      </c>
      <c r="DA685" s="116">
        <f t="shared" si="1306"/>
        <v>0</v>
      </c>
      <c r="DB685" s="116">
        <f t="shared" si="1307"/>
        <v>0</v>
      </c>
      <c r="DC685" s="116">
        <f t="shared" si="1308"/>
        <v>0</v>
      </c>
      <c r="DD685" s="116">
        <f t="shared" si="1309"/>
        <v>0</v>
      </c>
      <c r="DE685" s="117">
        <f t="shared" si="1310"/>
        <v>0</v>
      </c>
      <c r="DF685" s="118">
        <f t="shared" si="1312"/>
        <v>41</v>
      </c>
      <c r="DG685" s="106">
        <f t="shared" si="1313"/>
        <v>54.467999999999996</v>
      </c>
      <c r="DH685" s="116">
        <f t="shared" si="1314"/>
        <v>16</v>
      </c>
      <c r="DI685" s="106">
        <f t="shared" si="1315"/>
        <v>68.699999999999989</v>
      </c>
      <c r="DJ685" s="201" t="str">
        <f>IF($D685="","",$D685)</f>
        <v>22</v>
      </c>
      <c r="DK685" s="465">
        <f>IF(AND($B685=" ",$D685&lt;&gt;""),1,0)</f>
        <v>0</v>
      </c>
    </row>
    <row r="686" spans="1:115" ht="14.5" customHeight="1" x14ac:dyDescent="0.2">
      <c r="A686" s="389"/>
      <c r="B686" s="456"/>
      <c r="C686" s="120" t="s">
        <v>54</v>
      </c>
      <c r="D686" s="374"/>
      <c r="E686" s="386"/>
      <c r="F686" s="377"/>
      <c r="G686" s="483"/>
      <c r="H686" s="476"/>
      <c r="I686" s="121" t="s">
        <v>52</v>
      </c>
      <c r="J686" s="122">
        <f>IF(OR(I685="TO",I685="TU",I685="TO1",I685="TU1",I685="TO2",I685="TU2"),J685,IF(OR(I685="AH1",I685="AH2"),IF(OR(I686="AH1",I686="AH2"),-J685,IF(OR(I686="EH1",I686="EH2"),-J685+0.5,"")),IF(OR(I685="EH1",I685="EH2"),IF(OR(I686="AH1",I686="AH2"),-J685+0.5,IF(OR(I686="EH1",I686="EH2"),-J685+1,"")),IF(AND(OR(I685="DNB1",I685="DNB2"),OR(I686="AH1",I686="AH2")),0,IF(AND(I685="Not ScoreBoth",OR(I686="TO1",I686="TO2")),0.5,"")))))</f>
        <v>3.5</v>
      </c>
      <c r="K686" s="123" t="s">
        <v>43</v>
      </c>
      <c r="L686" s="124">
        <v>2.39</v>
      </c>
      <c r="M686" s="125"/>
      <c r="N686" s="406"/>
      <c r="O686" s="126">
        <f>IF(OR(AE685="",AE686=""),"",ROUND(IF(L687&gt;0,IF(M686&gt;0,M686,IF(M685&gt;0,IF(N685=TRUE,ROUND((M685*AE686)/AE685,0),(M685*AE686)/AE685),IF(M686&gt;0,ROUND(M686,IF(N685=0,2,IF(N685=0.1,1,0))),IF(M687&gt;0,ROUND(O687*AE686/AE687,IF(N685=0,2,IF(N685=0.1,1,0))),0)))),IF(M686&gt;0,M686,ROUND((M685*AE686)/AE685,IF(N685=0,2,IF(N685=0.1,1,0))))),2))</f>
        <v>13.32</v>
      </c>
      <c r="P686" s="127">
        <f>IF(OR(L686="",O686=""),"",IF($C686="1/2W",O686/2+O686/2*L686,IF($C686="1/2L",O686/2,IF(I686="Lay",((O686*(L686/(L686-1)))-O686)*(1-_xlfn.XLOOKUP(K686,'Fevereiro 2023 - Valor Real'!A3:A15,'Fevereiro 2023 - Valor Real'!C3:C15,0))+O686,(O686*L686-O686)*(1-_xlfn.XLOOKUP(K686,'Fevereiro 2023 - Valor Real'!A3:A15,'Fevereiro 2023 - Valor Real'!C3:C15,0))+O686))))</f>
        <v>31.834800000000001</v>
      </c>
      <c r="Q686" s="128">
        <f>IF(K686="","",IF(_xlfn.XLOOKUP(K686,K$4:K685,$DJ$4:DJ685,0,,-1)=DJ686,_xlfn.XLOOKUP(K686,K$4:K685,Q$4:Q685,1,,-1)+1,1))</f>
        <v>1</v>
      </c>
      <c r="R686" s="129">
        <f>IF(K686="","",_xlfn.XLOOKUP(K686,K$4:K685,R$4:R685,0,,-1)+IF($C686=" ",1,0))</f>
        <v>0</v>
      </c>
      <c r="S686" s="403"/>
      <c r="T686" s="380"/>
      <c r="U686" s="380"/>
      <c r="V686" s="481"/>
      <c r="W686" s="380"/>
      <c r="X686" s="452"/>
      <c r="Y686" s="383"/>
      <c r="Z686" s="384"/>
      <c r="AA686" s="384"/>
      <c r="AB686" s="384"/>
      <c r="AC686" s="384"/>
      <c r="AD686" s="130">
        <f>(((L686/(L686-1)-1)*(1-_xlfn.XLOOKUP(K686,'Fevereiro 2023 - Valor Real'!A3:A15,'Fevereiro 2023 - Valor Real'!C3:C15,0))+1))</f>
        <v>1.7194244604316546</v>
      </c>
      <c r="AE686" s="131">
        <f>IF(L686="","",IF(L687&gt;0,(SUM(((L685-1)*(1-_xlfn.XLOOKUP(K685,'Fevereiro 2023 - Valor Real'!A3:A15,'Fevereiro 2023 - Valor Real'!C3:C15,0))+1),((L686-1)*(1-_xlfn.XLOOKUP(K686,'Fevereiro 2023 - Valor Real'!A3:A15,'Fevereiro 2023 - Valor Real'!C3:C15,0))+1),((L687-1)*(1-_xlfn.XLOOKUP(K687,'Fevereiro 2023 - Valor Real'!A3:A15,'Fevereiro 2023 - Valor Real'!C3:C15,0))+1))/((L686-1)*(1-_xlfn.XLOOKUP(K686,'Fevereiro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Real'!C3:C15,0))+1))/((L685-1)*(1-_xlfn.XLOOKUP(K685,'Fevereiro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Real'!C3:C15,0))+1))/((L686-1)*(1-_xlfn.XLOOKUP(K686,'Fevereiro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Real'!C3:C15,0))+1))/((L687-1)*(1-_xlfn.XLOOKUP(K687,'Fevereiro 2023 - Valor Real'!A3:A15,'Fevereiro 2023 - Valor Real'!C3:C15,0))+1)),IF(I686="Lay",IF(I685="Lay",((L685/(L685-1)-1)*(1-_xlfn.XLOOKUP(K685,'Fevereiro 2023 - Valor Real'!A3:A15,'Fevereiro 2023 - Valor Real'!C3:C15,0))+1)/(((L685/(L685-1)-1)*(1-_xlfn.XLOOKUP(K685,'Fevereiro 2023 - Valor Real'!A3:A15,'Fevereiro 2023 - Valor Real'!C3:C15,0))+1)+((L686/(L686-1)-1)*(1-_xlfn.XLOOKUP(K686,'Fevereiro 2023 - Valor Real'!A3:A15,'Fevereiro 2023 - Valor Real'!C3:C15,0))+1)),((L685-1)*(1-_xlfn.XLOOKUP(K685,'Fevereiro 2023 - Valor Real'!A3:A15,'Fevereiro 2023 - Valor Real'!C3:C15,0))+1)/(((L685-1)*(1-_xlfn.XLOOKUP(K685,'Fevereiro 2023 - Valor Real'!A3:A15,'Fevereiro 2023 - Valor Real'!C3:C15,0))+1)+((L686/(L686-1)-1)*(1-_xlfn.XLOOKUP(K686,'Fevereiro 2023 - Valor Real'!A3:A15,'Fevereiro 2023 - Valor Real'!C3:C15,0))+1))),IF(I685="Lay",((L685/(L685-1)-1)*(1-_xlfn.XLOOKUP(K685,'Fevereiro 2023 - Valor Real'!A3:A15,'Fevereiro 2023 - Valor Real'!C3:C15,0))+1)/((((L685/(L685-1)-1)*(1-_xlfn.XLOOKUP(K685,'Fevereiro 2023 - Valor Real'!A3:A15,'Fevereiro 2023 - Valor Real'!C3:C15,0))+1))+((L686-1)*(1-_xlfn.XLOOKUP(K686,'Fevereiro 2023 - Valor Real'!A3:A15,'Fevereiro 2023 - Valor Real'!C3:C15,0))+1)),((L685-1)*(1-_xlfn.XLOOKUP(K685,'Fevereiro 2023 - Valor Real'!A3:A15,'Fevereiro 2023 - Valor Real'!C3:C15,0))+1)/(((L685-1)*(1-_xlfn.XLOOKUP(K685,'Fevereiro 2023 - Valor Real'!A3:A15,'Fevereiro 2023 - Valor Real'!C3:C15,0))+1)+((L686-1)*(1-_xlfn.XLOOKUP(K686,'Fevereiro 2023 - Valor Real'!A3:A15,'Fevereiro 2023 - Valor Real'!C3:C15,0))+1))))))</f>
        <v>0.43230403800475059</v>
      </c>
      <c r="AF686" s="105">
        <f t="shared" si="1373"/>
        <v>0</v>
      </c>
      <c r="AG686" s="106">
        <f t="shared" si="1373"/>
        <v>0</v>
      </c>
      <c r="AH686" s="106">
        <f t="shared" si="1373"/>
        <v>0</v>
      </c>
      <c r="AI686" s="106">
        <f t="shared" si="1373"/>
        <v>0</v>
      </c>
      <c r="AJ686" s="106">
        <f t="shared" si="1373"/>
        <v>0</v>
      </c>
      <c r="AK686" s="106">
        <f t="shared" si="1373"/>
        <v>0</v>
      </c>
      <c r="AL686" s="106">
        <f t="shared" si="1373"/>
        <v>0</v>
      </c>
      <c r="AM686" s="106">
        <f t="shared" si="1373"/>
        <v>18.510000000000002</v>
      </c>
      <c r="AN686" s="106">
        <f t="shared" si="1373"/>
        <v>0</v>
      </c>
      <c r="AO686" s="106">
        <f t="shared" si="1373"/>
        <v>0</v>
      </c>
      <c r="AP686" s="106">
        <f t="shared" si="1373"/>
        <v>0</v>
      </c>
      <c r="AQ686" s="106">
        <f t="shared" si="1373"/>
        <v>0</v>
      </c>
      <c r="AR686" s="107">
        <f t="shared" si="1373"/>
        <v>0</v>
      </c>
      <c r="AS686" s="105">
        <f>IF(AND($B685=" ",$K686=AS$3),$O686,0)</f>
        <v>0</v>
      </c>
      <c r="AT686" s="106">
        <f>IF(AND($B685=" ",K686=AT$3),$O686,0)</f>
        <v>0</v>
      </c>
      <c r="AU686" s="106">
        <f t="shared" ref="AU686:BE686" si="1378">IF(AND($B685=" ",$K686=AU$3),$O686,0)</f>
        <v>0</v>
      </c>
      <c r="AV686" s="106">
        <f t="shared" si="1378"/>
        <v>0</v>
      </c>
      <c r="AW686" s="106">
        <f t="shared" si="1378"/>
        <v>0</v>
      </c>
      <c r="AX686" s="106">
        <f t="shared" si="1378"/>
        <v>0</v>
      </c>
      <c r="AY686" s="108">
        <f t="shared" si="1378"/>
        <v>0</v>
      </c>
      <c r="AZ686" s="109">
        <f t="shared" si="1378"/>
        <v>0</v>
      </c>
      <c r="BA686" s="109">
        <f t="shared" si="1378"/>
        <v>0</v>
      </c>
      <c r="BB686" s="109">
        <f t="shared" si="1378"/>
        <v>0</v>
      </c>
      <c r="BC686" s="110">
        <f t="shared" si="1378"/>
        <v>0</v>
      </c>
      <c r="BD686" s="106">
        <f t="shared" si="1378"/>
        <v>0</v>
      </c>
      <c r="BE686" s="107">
        <f t="shared" si="1378"/>
        <v>0</v>
      </c>
      <c r="BF686" s="105">
        <f t="shared" si="1375"/>
        <v>0</v>
      </c>
      <c r="BG686" s="106">
        <f t="shared" si="1375"/>
        <v>0</v>
      </c>
      <c r="BH686" s="106">
        <f t="shared" si="1375"/>
        <v>0</v>
      </c>
      <c r="BI686" s="106">
        <f t="shared" si="1375"/>
        <v>0</v>
      </c>
      <c r="BJ686" s="106">
        <f t="shared" si="1375"/>
        <v>0</v>
      </c>
      <c r="BK686" s="106">
        <f t="shared" si="1375"/>
        <v>0</v>
      </c>
      <c r="BL686" s="106">
        <f t="shared" si="1375"/>
        <v>0</v>
      </c>
      <c r="BM686" s="132">
        <f t="shared" si="1375"/>
        <v>13.32</v>
      </c>
      <c r="BN686" s="112">
        <f t="shared" si="1375"/>
        <v>0</v>
      </c>
      <c r="BO686" s="112">
        <f t="shared" si="1375"/>
        <v>0</v>
      </c>
      <c r="BP686" s="112">
        <f t="shared" si="1375"/>
        <v>0</v>
      </c>
      <c r="BQ686" s="110">
        <f t="shared" si="1375"/>
        <v>0</v>
      </c>
      <c r="BR686" s="107">
        <f t="shared" si="1375"/>
        <v>0</v>
      </c>
      <c r="BS686" s="464"/>
      <c r="BT686" s="461"/>
      <c r="BU686" s="392"/>
      <c r="BV686" s="461"/>
      <c r="BW686" s="392"/>
      <c r="BX686" s="392"/>
      <c r="BY686" s="392"/>
      <c r="BZ686" s="461"/>
      <c r="CA686" s="392"/>
      <c r="CB686" s="392"/>
      <c r="CC686" s="392"/>
      <c r="CD686" s="401"/>
      <c r="CE686" s="409"/>
      <c r="CF686" s="133">
        <f t="shared" si="1285"/>
        <v>0</v>
      </c>
      <c r="CG686" s="134">
        <f t="shared" si="1286"/>
        <v>0</v>
      </c>
      <c r="CH686" s="134">
        <f t="shared" si="1287"/>
        <v>0</v>
      </c>
      <c r="CI686" s="134">
        <f t="shared" si="1288"/>
        <v>0</v>
      </c>
      <c r="CJ686" s="134">
        <f t="shared" si="1289"/>
        <v>0</v>
      </c>
      <c r="CK686" s="134">
        <f t="shared" si="1290"/>
        <v>0</v>
      </c>
      <c r="CL686" s="134">
        <f t="shared" si="1291"/>
        <v>0</v>
      </c>
      <c r="CM686" s="134">
        <f t="shared" si="1292"/>
        <v>0</v>
      </c>
      <c r="CN686" s="134">
        <f t="shared" si="1293"/>
        <v>0</v>
      </c>
      <c r="CO686" s="134">
        <f t="shared" si="1294"/>
        <v>0</v>
      </c>
      <c r="CP686" s="134">
        <f t="shared" si="1295"/>
        <v>0</v>
      </c>
      <c r="CQ686" s="134">
        <f t="shared" si="1296"/>
        <v>0</v>
      </c>
      <c r="CR686" s="134">
        <f t="shared" si="1297"/>
        <v>0</v>
      </c>
      <c r="CS686" s="134">
        <f t="shared" si="1298"/>
        <v>0</v>
      </c>
      <c r="CT686" s="115">
        <f t="shared" si="1299"/>
        <v>1</v>
      </c>
      <c r="CU686" s="116">
        <f t="shared" si="1300"/>
        <v>0</v>
      </c>
      <c r="CV686" s="116">
        <f t="shared" si="1301"/>
        <v>0</v>
      </c>
      <c r="CW686" s="116">
        <f t="shared" si="1302"/>
        <v>0</v>
      </c>
      <c r="CX686" s="116">
        <f t="shared" si="1303"/>
        <v>0</v>
      </c>
      <c r="CY686" s="116">
        <f t="shared" si="1304"/>
        <v>0</v>
      </c>
      <c r="CZ686" s="116">
        <f t="shared" si="1305"/>
        <v>0</v>
      </c>
      <c r="DA686" s="116">
        <f t="shared" si="1306"/>
        <v>0</v>
      </c>
      <c r="DB686" s="116">
        <f t="shared" si="1307"/>
        <v>0</v>
      </c>
      <c r="DC686" s="116">
        <f t="shared" si="1308"/>
        <v>0</v>
      </c>
      <c r="DD686" s="116">
        <f t="shared" si="1309"/>
        <v>0</v>
      </c>
      <c r="DE686" s="117">
        <f t="shared" si="1310"/>
        <v>0</v>
      </c>
      <c r="DF686" s="118">
        <f t="shared" si="1312"/>
        <v>41</v>
      </c>
      <c r="DG686" s="106">
        <f t="shared" si="1313"/>
        <v>54.467999999999996</v>
      </c>
      <c r="DH686" s="116">
        <f t="shared" si="1314"/>
        <v>16</v>
      </c>
      <c r="DI686" s="106">
        <f t="shared" si="1315"/>
        <v>68.699999999999989</v>
      </c>
      <c r="DJ686" s="201" t="str">
        <f>IF($D685="","",$D685)</f>
        <v>22</v>
      </c>
      <c r="DK686" s="466"/>
    </row>
    <row r="687" spans="1:115" ht="14.5" customHeight="1" x14ac:dyDescent="0.2">
      <c r="A687" s="390"/>
      <c r="B687" s="457"/>
      <c r="C687" s="135" t="s">
        <v>53</v>
      </c>
      <c r="D687" s="375"/>
      <c r="E687" s="387"/>
      <c r="F687" s="378"/>
      <c r="G687" s="484"/>
      <c r="H687" s="477"/>
      <c r="I687" s="136"/>
      <c r="J687" s="137"/>
      <c r="K687" s="138"/>
      <c r="L687" s="139"/>
      <c r="M687" s="140"/>
      <c r="N687" s="407"/>
      <c r="O687" s="141" t="str">
        <f>IF(OR(AE685="",AE686=""),"",IF(L687&gt;0,ROUND(IF(M687&gt;0,M687,IF(M685&gt;0,ROUND((M685*AE687)/AE685,IF(N685=0,2,IF(N685=0.1,1,0))),IF(M686&gt;0,ROUND((M686*AE687)/AE686,IF(N685=0,2,IF(N685=0.1,1,0))),IF(M687&gt;0,M687,0)))),2),""))</f>
        <v/>
      </c>
      <c r="P687" s="142" t="str">
        <f>IF(I686="Lay",O686*(L686/(L686-1))-O686,IF(I685="Lay",O685*(L685/(L685-1))-O685,IF(OR(L687="",O687=""),"",IF($C687="1/2W",O687/2+O687/2*L687,IF($C687="1/2L",O687/2,(O687*L687-O687)*(1-_xlfn.XLOOKUP(K687,'Fevereiro 2023 - Valor Real'!A3:A15,'Fevereiro 2023 - Valor Real'!C3:C15,0))+O687)))))</f>
        <v/>
      </c>
      <c r="Q687" s="143" t="str">
        <f>IF(K687="","",IF(_xlfn.XLOOKUP(K687,K$4:K686,$DJ$4:DJ686,0,,-1)=DJ687,_xlfn.XLOOKUP(K687,K$4:K686,Q$4:Q686,1,,-1)+1,1))</f>
        <v/>
      </c>
      <c r="R687" s="144" t="str">
        <f>IF(K687="","",_xlfn.XLOOKUP(K687,K$4:K686,R$4:R686,0,,-1)+IF($C687=" ",1,0))</f>
        <v/>
      </c>
      <c r="S687" s="404"/>
      <c r="T687" s="378"/>
      <c r="U687" s="378"/>
      <c r="V687" s="404"/>
      <c r="W687" s="378"/>
      <c r="X687" s="453"/>
      <c r="Y687" s="383"/>
      <c r="Z687" s="384"/>
      <c r="AA687" s="384"/>
      <c r="AB687" s="384"/>
      <c r="AC687" s="384"/>
      <c r="AD687" s="145">
        <f>((L686/(L686-1)-1))</f>
        <v>0.71942446043165464</v>
      </c>
      <c r="AE687" s="146" t="str">
        <f>IF(L687="","",(SUM(((L685-1)*(1-_xlfn.XLOOKUP(K685,'Fevereiro 2023 - Valor Real'!A3:A15,'Fevereiro 2023 - Valor Real'!C3:C15,0))+1),((L686-1)*(1-_xlfn.XLOOKUP(K686,'Fevereiro 2023 - Valor Real'!A3:A15,'Fevereiro 2023 - Valor Real'!C3:C15,0))+1),((L687-1)*(1-_xlfn.XLOOKUP(K687,'Fevereiro 2023 - Valor Real'!A3:A15,'Fevereiro 2023 - Valor Real'!C3:C15,0))+1))/((L687-1)*(1-_xlfn.XLOOKUP(K687,'Fevereiro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Real'!C3:C15,0))+1))/((L685-1)*(1-_xlfn.XLOOKUP(K685,'Fevereiro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Real'!C3:C15,0))+1))/((L686-1)*(1-_xlfn.XLOOKUP(K686,'Fevereiro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Real'!C3:C15,0))+1))/((L687-1)*(1-_xlfn.XLOOKUP(K687,'Fevereiro 2023 - Valor Real'!A3:A15,'Fevereiro 2023 - Valor Real'!C3:C15,0))+1)))</f>
        <v/>
      </c>
      <c r="AF687" s="105">
        <f t="shared" si="1373"/>
        <v>0</v>
      </c>
      <c r="AG687" s="106">
        <f t="shared" si="1373"/>
        <v>0</v>
      </c>
      <c r="AH687" s="106">
        <f t="shared" si="1373"/>
        <v>0</v>
      </c>
      <c r="AI687" s="106">
        <f t="shared" si="1373"/>
        <v>0</v>
      </c>
      <c r="AJ687" s="106">
        <f t="shared" si="1373"/>
        <v>0</v>
      </c>
      <c r="AK687" s="106">
        <f t="shared" si="1373"/>
        <v>0</v>
      </c>
      <c r="AL687" s="106">
        <f t="shared" si="1373"/>
        <v>0</v>
      </c>
      <c r="AM687" s="106">
        <f t="shared" si="1373"/>
        <v>0</v>
      </c>
      <c r="AN687" s="106">
        <f t="shared" si="1373"/>
        <v>0</v>
      </c>
      <c r="AO687" s="106">
        <f t="shared" si="1373"/>
        <v>0</v>
      </c>
      <c r="AP687" s="106">
        <f t="shared" si="1373"/>
        <v>0</v>
      </c>
      <c r="AQ687" s="106">
        <f t="shared" si="1373"/>
        <v>0</v>
      </c>
      <c r="AR687" s="107">
        <f t="shared" si="1373"/>
        <v>0</v>
      </c>
      <c r="AS687" s="105">
        <f>IF(AND($B685=" ",$K687=AS$3),$O687,0)</f>
        <v>0</v>
      </c>
      <c r="AT687" s="106">
        <f>IF(AND($B685=" ",K687=AT$3),$O687,0)</f>
        <v>0</v>
      </c>
      <c r="AU687" s="106">
        <f t="shared" ref="AU687:BE687" si="1379">IF(AND($B685=" ",$K687=AU$3),$O687,0)</f>
        <v>0</v>
      </c>
      <c r="AV687" s="106">
        <f t="shared" si="1379"/>
        <v>0</v>
      </c>
      <c r="AW687" s="106">
        <f t="shared" si="1379"/>
        <v>0</v>
      </c>
      <c r="AX687" s="106">
        <f t="shared" si="1379"/>
        <v>0</v>
      </c>
      <c r="AY687" s="108">
        <f t="shared" si="1379"/>
        <v>0</v>
      </c>
      <c r="AZ687" s="109">
        <f t="shared" si="1379"/>
        <v>0</v>
      </c>
      <c r="BA687" s="109">
        <f t="shared" si="1379"/>
        <v>0</v>
      </c>
      <c r="BB687" s="109">
        <f t="shared" si="1379"/>
        <v>0</v>
      </c>
      <c r="BC687" s="110">
        <f t="shared" si="1379"/>
        <v>0</v>
      </c>
      <c r="BD687" s="106">
        <f t="shared" si="1379"/>
        <v>0</v>
      </c>
      <c r="BE687" s="107">
        <f t="shared" si="1379"/>
        <v>0</v>
      </c>
      <c r="BF687" s="105">
        <f t="shared" si="1375"/>
        <v>0</v>
      </c>
      <c r="BG687" s="106">
        <f t="shared" si="1375"/>
        <v>0</v>
      </c>
      <c r="BH687" s="106">
        <f t="shared" si="1375"/>
        <v>0</v>
      </c>
      <c r="BI687" s="106">
        <f t="shared" si="1375"/>
        <v>0</v>
      </c>
      <c r="BJ687" s="106">
        <f t="shared" si="1375"/>
        <v>0</v>
      </c>
      <c r="BK687" s="106">
        <f t="shared" si="1375"/>
        <v>0</v>
      </c>
      <c r="BL687" s="106">
        <f t="shared" si="1375"/>
        <v>0</v>
      </c>
      <c r="BM687" s="108">
        <f t="shared" si="1375"/>
        <v>0</v>
      </c>
      <c r="BN687" s="109">
        <f t="shared" si="1375"/>
        <v>0</v>
      </c>
      <c r="BO687" s="109">
        <f t="shared" si="1375"/>
        <v>0</v>
      </c>
      <c r="BP687" s="109">
        <f t="shared" si="1375"/>
        <v>0</v>
      </c>
      <c r="BQ687" s="110">
        <f t="shared" si="1375"/>
        <v>0</v>
      </c>
      <c r="BR687" s="107">
        <f t="shared" si="1375"/>
        <v>0</v>
      </c>
      <c r="BS687" s="464"/>
      <c r="BT687" s="461"/>
      <c r="BU687" s="392"/>
      <c r="BV687" s="461"/>
      <c r="BW687" s="392"/>
      <c r="BX687" s="392"/>
      <c r="BY687" s="392"/>
      <c r="BZ687" s="461"/>
      <c r="CA687" s="392"/>
      <c r="CB687" s="392"/>
      <c r="CC687" s="392"/>
      <c r="CD687" s="401"/>
      <c r="CE687" s="409"/>
      <c r="CF687" s="133">
        <f t="shared" si="1285"/>
        <v>0</v>
      </c>
      <c r="CG687" s="134">
        <f t="shared" si="1286"/>
        <v>0</v>
      </c>
      <c r="CH687" s="134">
        <f t="shared" si="1287"/>
        <v>0</v>
      </c>
      <c r="CI687" s="134">
        <f t="shared" si="1288"/>
        <v>0</v>
      </c>
      <c r="CJ687" s="134">
        <f t="shared" si="1289"/>
        <v>0</v>
      </c>
      <c r="CK687" s="134">
        <f t="shared" si="1290"/>
        <v>0</v>
      </c>
      <c r="CL687" s="134">
        <f t="shared" si="1291"/>
        <v>0</v>
      </c>
      <c r="CM687" s="134">
        <f t="shared" si="1292"/>
        <v>0</v>
      </c>
      <c r="CN687" s="134">
        <f t="shared" si="1293"/>
        <v>0</v>
      </c>
      <c r="CO687" s="134">
        <f t="shared" si="1294"/>
        <v>0</v>
      </c>
      <c r="CP687" s="134">
        <f t="shared" si="1295"/>
        <v>0</v>
      </c>
      <c r="CQ687" s="134">
        <f t="shared" si="1296"/>
        <v>0</v>
      </c>
      <c r="CR687" s="134">
        <f t="shared" si="1297"/>
        <v>0</v>
      </c>
      <c r="CS687" s="134">
        <f t="shared" si="1298"/>
        <v>0</v>
      </c>
      <c r="CT687" s="115">
        <f t="shared" si="1299"/>
        <v>0</v>
      </c>
      <c r="CU687" s="116">
        <f t="shared" si="1300"/>
        <v>0</v>
      </c>
      <c r="CV687" s="116">
        <f t="shared" si="1301"/>
        <v>0</v>
      </c>
      <c r="CW687" s="116">
        <f t="shared" si="1302"/>
        <v>0</v>
      </c>
      <c r="CX687" s="116">
        <f t="shared" si="1303"/>
        <v>0</v>
      </c>
      <c r="CY687" s="116">
        <f t="shared" si="1304"/>
        <v>0</v>
      </c>
      <c r="CZ687" s="116">
        <f t="shared" si="1305"/>
        <v>0</v>
      </c>
      <c r="DA687" s="116">
        <f t="shared" si="1306"/>
        <v>0</v>
      </c>
      <c r="DB687" s="116">
        <f t="shared" si="1307"/>
        <v>0</v>
      </c>
      <c r="DC687" s="116">
        <f t="shared" si="1308"/>
        <v>0</v>
      </c>
      <c r="DD687" s="116">
        <f t="shared" si="1309"/>
        <v>0</v>
      </c>
      <c r="DE687" s="117">
        <f t="shared" si="1310"/>
        <v>0</v>
      </c>
      <c r="DF687" s="118">
        <f t="shared" si="1312"/>
        <v>41</v>
      </c>
      <c r="DG687" s="106">
        <f t="shared" si="1313"/>
        <v>54.467999999999996</v>
      </c>
      <c r="DH687" s="116">
        <f t="shared" si="1314"/>
        <v>16</v>
      </c>
      <c r="DI687" s="106">
        <f t="shared" si="1315"/>
        <v>68.699999999999989</v>
      </c>
      <c r="DJ687" s="201" t="str">
        <f>IF($D685="","",$D685)</f>
        <v>22</v>
      </c>
      <c r="DK687" s="466"/>
    </row>
    <row r="688" spans="1:115" ht="14.5" customHeight="1" x14ac:dyDescent="0.2">
      <c r="A688" s="487">
        <f>$A685+1</f>
        <v>229</v>
      </c>
      <c r="B688" s="506" t="str">
        <f>IF(OR(C688="W",C689="W",C690="W",C688="1/2W",C689="1/2W",C690="1/2W",C688="1/2L",C689="1/2L",C690="1/2L"),"OK",IF(OR(C688="L",C689="L",C690="L"),"LOSS",IF(OR(C688="X",C689="X",C690="X"),"Anulado"," ")))</f>
        <v>OK</v>
      </c>
      <c r="C688" s="147" t="s">
        <v>55</v>
      </c>
      <c r="D688" s="494" t="str">
        <f>IF(G688="","",$D685)</f>
        <v>22</v>
      </c>
      <c r="E688" s="511" t="str">
        <f>IF(G688=""," ","– "&amp;COUNTIF(D$4:D690,$D688))</f>
        <v>– 3</v>
      </c>
      <c r="F688" s="510" t="str">
        <f ca="1">IF(G688="","",IF(OR(AND($C688&lt;&gt;" ",$C689=" "),AND($C689&lt;&gt;" ",$C688=" "),AND(L690&gt;0,OR(AND($C690&lt;&gt;" ",OR($C688=" ",$C689=" ")),AND($C690=" ",OR($C688&lt;&gt;" ",$C689&lt;&gt;" "))))),IF(SUM(F$4:F687)=0,1,LARGE(F$4:F687,1)+1),IF(MONTH(G688)=MONTH(TODAY()),IF(AND(DAY(G688)&lt;DAY(TODAY()),$B688=" "),IF(SUM(F$4:F687)=0,1,LARGE(F$4:F687,1)+1),IF($B688=" ",IF(AND(DAY(G688)=DAY(TODAY()),HOUR(G688)&lt;=HOUR(NOW())+1),IF(AND(HOUR(G688)+2&lt;=HOUR(NOW()),DAY(G688)&lt;=DAY(TODAY()),MINUTE(G688)&lt;=MINUTE(NOW())),IF(SUM(F$4:F687)=0,1,LARGE(F$4:F687,1)+1),IF(OR(MINUTE(G688)&lt;=MINUTE(NOW()),HOUR(G688)&lt;=HOUR(NOW())),"!!!","")),""),"")),"")))</f>
        <v/>
      </c>
      <c r="G688" s="508">
        <v>45007.958333333336</v>
      </c>
      <c r="H688" s="502" t="s">
        <v>246</v>
      </c>
      <c r="I688" s="180" t="s">
        <v>66</v>
      </c>
      <c r="J688" s="181">
        <v>-1</v>
      </c>
      <c r="K688" s="150" t="s">
        <v>40</v>
      </c>
      <c r="L688" s="151">
        <v>2.4300000000000002</v>
      </c>
      <c r="M688" s="152">
        <v>7.87</v>
      </c>
      <c r="N688" s="503">
        <v>0.1</v>
      </c>
      <c r="O688" s="153">
        <f>IF(OR(AE688="",AE689=""),"",ROUND(IF(L690&gt;0,IF(M688&gt;0,M688,IF(M689&gt;0,ROUND((M689*AE688)/AE689,IF(N688=0,2,IF(N688=0.1,1,0))),ROUND((M690*AE688)/AE690,IF(N688=0,2,IF(N688=0.1,1,0))))),IF(M688&gt;0,M688,ROUND((M689*AE688)/AE689,IF(N688=0,2,IF(N688=0.1,1,0))))),2))</f>
        <v>7.87</v>
      </c>
      <c r="P688" s="154">
        <f>IF(OR(L688="",O688=""),"",IF($C688="1/2W",O688/2+O688/2*L688,IF($C688="1/2L",O688/2,IF(I688="Lay",(O688*(L688/(L688-1))-O688)*(1-_xlfn.XLOOKUP(K688,'Fevereiro 2023 - Valor Real'!A3:A15,'Fevereiro 2023 - Valor Real'!C3:C15,0))+O688,(O688*L688-O688)*(1-_xlfn.XLOOKUP(K688,'Fevereiro 2023 - Valor Real'!A3:A15,'Fevereiro 2023 - Valor Real'!C3:C15,0))+O688))))</f>
        <v>19.124100000000002</v>
      </c>
      <c r="Q688" s="155">
        <f>IF(K688="","",IF(_xlfn.XLOOKUP(K688,K$9:K680,$DJ$9:DJ680,0,,-1)=DJ688,_xlfn.XLOOKUP(K688,K$9:K680,Q$9:Q680,1,,-1)+1,1))</f>
        <v>1</v>
      </c>
      <c r="R688" s="156">
        <f>IF(K688="","",_xlfn.XLOOKUP(K688,K$9:K680,R$9:R680,0,,-1)+IF($C688=" ",1,0))</f>
        <v>0</v>
      </c>
      <c r="S688" s="501">
        <f>IF($B688="Anulado",0,ROUND(IF(OR($B688="LOSS",$B688="OK"),IF(OR($C688="W",$C688="1/2W",$C688="1/2L"),P688-O688,IF($C688="L",-O688,0))+IF(OR($C689="W",$C689="1/2W",$C689="1/2L"),P689-O689,IF($C689="L",-O689,0))+IF(OR($C690="W",$C690="1/2W",$C690="1/2L"),P690-O690,IF($C690="L",-O690,0)),IF(AND(OR($C688="W",$C688="1/2W",$C688="1/2L"),C689="W"),P688+P689-SUM(O688:O690)+_xlfn.XLOOKUP("X",C688:C690,O688:O690,0),IF(AND(C688=TRUE,C690="W"),P688+P690-SUM(O688:O690),IF(AND(C689="W",C690="W"),P689+P690-SUM(O688:O690)+_xlfn.XLOOKUP("X",C688:C690,O688:O690,0),IF(L690&gt;0,IF(OR($C688="W",$C688="1/2W",$C688="1/2L"),P688-SUM(O688:O690)+_xlfn.XLOOKUP("X",C688:C690,O688:O690,0),IF(OR($C688="W",$C688="1/2W",$C688="1/2L"),P689-SUM(O688:O690)+_xlfn.XLOOKUP("X",C688:C690,O688:O690,0),IF(OR($C688="W",$C688="1/2W",$C688="1/2L"),P690-SUM(O688:O690)+_xlfn.XLOOKUP("X",C688:C690,O688:O690,0),IF(SUM(P688:P690)/3-SUM(O688:O690)+_xlfn.XLOOKUP("X",C688:C690,O688:O690,0)&gt;0,SUM(P688:P690)/3-SUM(O688:O690)+_xlfn.XLOOKUP("X",C688:C690,O688:O690,0),LARGE(P688:P690,1)-SUM(O688:O690))))),IF(OR($C688="W",$C688="1/2W",$C688="1/2L"),P688-SUM(O688:O689)+_xlfn.XLOOKUP("X",C688:C690,O688:O690,0),IF(OR($C688="W",$C688="1/2W",$C688="1/2L"),P689-SUM(O688:O689)+_xlfn.XLOOKUP("X",C688:C690,O688:O690,0),SUM(P688:P689)/2-SUM(O688:O689)+_xlfn.XLOOKUP("X",C688:C690,O688:O690,0)))))))),2))</f>
        <v>1.33</v>
      </c>
      <c r="T688" s="486">
        <f>IF(S688=0,0,S688/SUM(O688:O690))</f>
        <v>7.4426412982652485E-2</v>
      </c>
      <c r="U688" s="496">
        <f>IF($D688=$D685,IF(OR($B688="LOSS",$B688="OK",$B688="Anulada"),S688,0)+U685,IF(OR($B688="LOSS",$B688="OK",$B688="Anulada"),S688,0))</f>
        <v>4.5999999999999996</v>
      </c>
      <c r="V688" s="496">
        <f>IF($D688="",0,IF($D688=$D685,IF($B688=" ",IF(I690="",IF(OR(AND(I688="DNB1",I689="DNB2"),AND(OR(I688="DNB1",I688="DNB2"),J689=0),AND(OR(I689="DNB1",I689="DNB2"),J688=0),AND(I688="DNB2",I689="DNB1"),AND(IF(J688=0,(J688+1)/ROUND(J688+1,0),J688/ROUND(J688,0))=1,IF(J689=0,(J689+1)/ROUND(IF(J689="",0,J689)+1,0),IF(J689="",0,J689)/ROUND(IF(J689="",1,J689),0))=1,OR(J688&lt;&gt;""),J689&lt;&gt;"")),0,IF(S688&lt;0,IF(I690="",SMALL(P688:P689,1)-SUM(O688:O689),0),SMALL(P688:P689,1)-SUM(O688:O689))),IF(S688&lt;0,IF(I690="",SMALL(P688:P690,1)-SUM(O688:O690),0),LARGE(P688:P690,1)-SUM(O688:O690))),S688)+V685,IF(I690="",IF(OR(AND(I688="DNB1",I689="DNB2"),AND(OR(I688="DNB1",I688="DNB2"),J689=0),AND(OR(I689="DNB1",I689="DNB2"),J688=0),AND(I688="DNB2",I689="DNB1"),AND(IF(J688=0,(J688+1)/ROUND(J688+1,0),J688/ROUND(J688,0))=1,IF(J689=0,(IF(J689="",0,J689)+1)/ROUND(IF(J689="",0,J689)+1,0),IF(J689="",0,J689)/ROUND(IF(J689="",0,J689)+1,0))=1,OR(J688&lt;&gt;""),J689&lt;&gt;"")),0,IF(S688&lt;0,IF(I690="",SMALL(P688:P689,1)-SUM(O688:O689),0),SMALL(P688:P690,1)-SUM(O688:O690))),IF(S688&lt;0,IF(I690="",SMALL(P688:P690,1)-SUM(O688:O690),0),LARGE(P688:P690,1)-SUM(O688:O690)))))</f>
        <v>4.5899999999999945</v>
      </c>
      <c r="W688" s="496">
        <f>IF($D688=$D685,IF(S688&lt;0,IF(I690="",S688,0),S688)+W685,S688)</f>
        <v>4.5999999999999996</v>
      </c>
      <c r="X688" s="505" t="str">
        <f>IF(OR(SUM(R688:R690)=0,V688=W688),ROUND(IF(W688=0,0,W688/Y688)*100,2)&amp;"%",ROUND(IF(V688=0,0,V688/Y688)*100,2)&amp;"% a "&amp;ROUND(IF(W688=0,0,W688/Y688)*100,2)&amp;"%")</f>
        <v>5,7%</v>
      </c>
      <c r="Y688" s="497">
        <f>IF($D688=$D685,Y685+SUM(O688:O690),SUM(O688:O690))</f>
        <v>80.64</v>
      </c>
      <c r="Z688" s="496">
        <f>IF($B688=" ",SUM(O688:O690),0)+Z685</f>
        <v>0</v>
      </c>
      <c r="AA688" s="496">
        <f>IF(G688="","",IF($B688="Anulado",LARGE(P688:P690,1)-SUM(O688:O690)+AA685,AA685))</f>
        <v>13.381099999999991</v>
      </c>
      <c r="AB688" s="496">
        <f>IF($D688="","",AB685+S688)</f>
        <v>799.36000000000058</v>
      </c>
      <c r="AC688" s="499">
        <f ca="1">IF($D688="","",IF($B688=" ",IF(DAY(G688)=DAY(TODAY()),1+AC685,0+AC685),0+AC685))</f>
        <v>0</v>
      </c>
      <c r="AD688" s="157">
        <f>(1-_xlfn.XLOOKUP(K686,'Fevereiro 2023 - Valor Real'!A3:A15,'Fevereiro 2023 - Valor Real'!C3:C15,0))+1</f>
        <v>2</v>
      </c>
      <c r="AE688" s="158">
        <f>IF(L688="","",IF(L690&gt;0,(SUM(((L688-1)*(1-_xlfn.XLOOKUP(K688,'Fevereiro 2023 - Valor Real'!A3:A15,'Fevereiro 2023 - Valor Real'!C3:C15,0))+1),((L689-1)*(1-_xlfn.XLOOKUP(K689,'Fevereiro 2023 - Valor Real'!A3:A15,'Fevereiro 2023 - Valor Real'!C3:C15,0))+1),((L690-1)*(1-_xlfn.XLOOKUP(K690,'Fevereiro 2023 - Valor Real'!A3:A15,'Fevereiro 2023 - Valor Real'!C3:C15,0))+1))/((L688-1)*(1-_xlfn.XLOOKUP(K688,'Fevereiro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Real'!C3:C15,0))+1))/((L688-1)*(1-_xlfn.XLOOKUP(K688,'Fevereiro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Real'!C3:C15,0))+1))/((L689-1)*(1-_xlfn.XLOOKUP(K689,'Fevereiro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Real'!C3:C15,0))+1))/((L690-1)*(1-_xlfn.XLOOKUP(K690,'Fevereiro 2023 - Valor Real'!A3:A15,'Fevereiro 2023 - Valor Real'!C3:C15,0))+1)),IF(I688="Lay",IF(I689="Lay",((L689/(L689-1)-1)*(1-_xlfn.XLOOKUP(K689,'Fevereiro 2023 - Valor Real'!A3:A15,'Fevereiro 2023 - Valor Real'!C3:C15,0))+1)/(((L689/(L689-1)-1)*(1-_xlfn.XLOOKUP(K689,'Fevereiro 2023 - Valor Real'!A3:A15,'Fevereiro 2023 - Valor Real'!C3:C15,0))+1)+((L688/(L688-1)-1)*(1-_xlfn.XLOOKUP(K688,'Fevereiro 2023 - Valor Real'!A3:A15,'Fevereiro 2023 - Valor Real'!C3:C15,0))+1)),((L689-1)*(1-_xlfn.XLOOKUP(K689,'Fevereiro 2023 - Valor Real'!A3:A15,'Fevereiro 2023 - Valor Real'!C3:C15,0))+1)/(((L689-1)*(1-_xlfn.XLOOKUP(K689,'Fevereiro 2023 - Valor Real'!A3:A15,'Fevereiro 2023 - Valor Real'!C3:C15,0))+1)+((L688/(L688-1)-1)*(1-_xlfn.XLOOKUP(K688,'Fevereiro 2023 - Valor Real'!A3:A15,'Fevereiro 2023 - Valor Real'!C3:C15,0))+1))),IF(I689="Lay",(((L689/(L689-1)-1)*(1-_xlfn.XLOOKUP(K689,'Fevereiro 2023 - Valor Real'!A3:A15,'Fevereiro 2023 - Valor Real'!C3:C15,0))+1))/(((L688-1)*(1-_xlfn.XLOOKUP(K688,'Fevereiro 2023 - Valor Real'!A3:A15,'Fevereiro 2023 - Valor Real'!C3:C15,0))+1)+((L689/(L689-1)-1)*(1-_xlfn.XLOOKUP(K689,'Fevereiro 2023 - Valor Real'!A3:A15,'Fevereiro 2023 - Valor Real'!C3:C15,0))+1)),((L689-1)*(1-_xlfn.XLOOKUP(K689,'Fevereiro 2023 - Valor Real'!A3:A15,'Fevereiro 2023 - Valor Real'!C3:C15,0))+1)/(((L689-1)*(1-_xlfn.XLOOKUP(K689,'Fevereiro 2023 - Valor Real'!A3:A15,'Fevereiro 2023 - Valor Real'!C3:C15,0))+1)+((L688-1)*(1-_xlfn.XLOOKUP(K688,'Fevereiro 2023 - Valor Real'!A3:A15,'Fevereiro 2023 - Valor Real'!C3:C15,0))+1))))))</f>
        <v>0.44137931034482758</v>
      </c>
      <c r="AF688" s="66">
        <f t="shared" si="1373"/>
        <v>0</v>
      </c>
      <c r="AG688" s="67">
        <f t="shared" si="1373"/>
        <v>0</v>
      </c>
      <c r="AH688" s="67">
        <f t="shared" si="1373"/>
        <v>0</v>
      </c>
      <c r="AI688" s="67">
        <f t="shared" si="1373"/>
        <v>0</v>
      </c>
      <c r="AJ688" s="67">
        <f t="shared" si="1373"/>
        <v>-7.87</v>
      </c>
      <c r="AK688" s="67">
        <f t="shared" si="1373"/>
        <v>0</v>
      </c>
      <c r="AL688" s="67">
        <f t="shared" si="1373"/>
        <v>0</v>
      </c>
      <c r="AM688" s="67">
        <f t="shared" si="1373"/>
        <v>0</v>
      </c>
      <c r="AN688" s="67">
        <f t="shared" si="1373"/>
        <v>0</v>
      </c>
      <c r="AO688" s="67">
        <f t="shared" si="1373"/>
        <v>0</v>
      </c>
      <c r="AP688" s="67">
        <f t="shared" si="1373"/>
        <v>0</v>
      </c>
      <c r="AQ688" s="67">
        <f t="shared" si="1373"/>
        <v>0</v>
      </c>
      <c r="AR688" s="68">
        <f t="shared" si="1373"/>
        <v>0</v>
      </c>
      <c r="AS688" s="66">
        <f t="shared" ref="AS688:BE688" si="1380">IF(AND($B688=" ",$K688=AS$3),$O688,0)</f>
        <v>0</v>
      </c>
      <c r="AT688" s="67">
        <f t="shared" si="1380"/>
        <v>0</v>
      </c>
      <c r="AU688" s="67">
        <f t="shared" si="1380"/>
        <v>0</v>
      </c>
      <c r="AV688" s="67">
        <f t="shared" si="1380"/>
        <v>0</v>
      </c>
      <c r="AW688" s="67">
        <f t="shared" si="1380"/>
        <v>0</v>
      </c>
      <c r="AX688" s="67">
        <f t="shared" si="1380"/>
        <v>0</v>
      </c>
      <c r="AY688" s="69">
        <f t="shared" si="1380"/>
        <v>0</v>
      </c>
      <c r="AZ688" s="70">
        <f t="shared" si="1380"/>
        <v>0</v>
      </c>
      <c r="BA688" s="70">
        <f t="shared" si="1380"/>
        <v>0</v>
      </c>
      <c r="BB688" s="70">
        <f t="shared" si="1380"/>
        <v>0</v>
      </c>
      <c r="BC688" s="71">
        <f t="shared" si="1380"/>
        <v>0</v>
      </c>
      <c r="BD688" s="67">
        <f t="shared" si="1380"/>
        <v>0</v>
      </c>
      <c r="BE688" s="68">
        <f t="shared" si="1380"/>
        <v>0</v>
      </c>
      <c r="BF688" s="66">
        <f t="shared" si="1375"/>
        <v>0</v>
      </c>
      <c r="BG688" s="67">
        <f t="shared" si="1375"/>
        <v>0</v>
      </c>
      <c r="BH688" s="67">
        <f t="shared" si="1375"/>
        <v>0</v>
      </c>
      <c r="BI688" s="67">
        <f t="shared" si="1375"/>
        <v>0</v>
      </c>
      <c r="BJ688" s="67">
        <f t="shared" si="1375"/>
        <v>7.87</v>
      </c>
      <c r="BK688" s="67">
        <f t="shared" si="1375"/>
        <v>0</v>
      </c>
      <c r="BL688" s="67">
        <f t="shared" si="1375"/>
        <v>0</v>
      </c>
      <c r="BM688" s="69">
        <f t="shared" si="1375"/>
        <v>0</v>
      </c>
      <c r="BN688" s="70">
        <f t="shared" si="1375"/>
        <v>0</v>
      </c>
      <c r="BO688" s="70">
        <f t="shared" si="1375"/>
        <v>0</v>
      </c>
      <c r="BP688" s="70">
        <f t="shared" si="1375"/>
        <v>0</v>
      </c>
      <c r="BQ688" s="71">
        <f t="shared" si="1375"/>
        <v>0</v>
      </c>
      <c r="BR688" s="68">
        <f t="shared" si="1375"/>
        <v>0</v>
      </c>
      <c r="BS688" s="490">
        <f>IF($B688="LOSS",IF(AND($K688=BS$3,$C688="L"),-$O688,0)+IF(AND($K689=BS$3,$C689="L"),-$O689,0)+IF(AND($K690=BS$3,$C690="L"),-$O690,0),IF(OR(AND($K688=BS$3,OR($C688="W",$C688="1/2W")),AND($K689=BS$3,OR($C689="W",$C689="1/2W")),AND($K690=BS$3,OR($C690="W",$C690="1/2W"))),$S688,0))</f>
        <v>0</v>
      </c>
      <c r="BT688" s="498">
        <f>IF($B688="LOSS",IF(AND($K688=BT$3,$C688="L"),-$O688,0)+IF(AND($K689=BT$3,$C689="L"),-$O689,0)+IF(AND($K689=BT$3,$C690="L"),-$O690,0),IF(OR(AND($K689=BT$3,OR($C688="W",$C688="1/2W")),AND($K689=BT$3,OR($C689="W",$C689="1/2W")),AND($K689=BT$3,OR($C690="W",$C690="1/2W"))),$S688,0))</f>
        <v>0</v>
      </c>
      <c r="BU688" s="488">
        <f>IF($B688="LOSS",IF(AND($K688=BU$3,$C688="L"),-$O688,0)+IF(AND($K689=BU$3,$C689="L"),-$O689,0)+IF(AND($K689=BU$3,$C690="L"),-$O690,0),IF(OR(AND($K689=BU$3,OR($C688="W",$C688="1/2W")),AND($K689=BU$3,OR($C689="W",$C689="1/2W")),AND($K689=BU$3,OR($C690="W",$C690="1/2W"))),$S688,0))</f>
        <v>0</v>
      </c>
      <c r="BV688" s="488">
        <f t="shared" ref="BV688:CE688" si="1381">IF($B688="LOSS",IF(AND($K688=BV$3,$C688="L"),-$O688,0)+IF(AND($K689=BV$3,$C689="L"),-$O689,0)+IF(AND($K690=BV$3,$C690="L"),-$O690,0),IF(OR(AND($K688=BV$3,OR($C688="W",$C688="1/2W")),AND($K689=BV$3,OR($C689="W",$C689="1/2W")),AND($K690=BV$3,OR($C690="W",$C690="1/2W"))),$S688,0))</f>
        <v>0</v>
      </c>
      <c r="BW688" s="488">
        <f t="shared" si="1381"/>
        <v>0</v>
      </c>
      <c r="BX688" s="488">
        <f t="shared" si="1381"/>
        <v>0</v>
      </c>
      <c r="BY688" s="488">
        <f t="shared" si="1381"/>
        <v>0</v>
      </c>
      <c r="BZ688" s="488">
        <f t="shared" si="1381"/>
        <v>0</v>
      </c>
      <c r="CA688" s="488">
        <f t="shared" si="1381"/>
        <v>0</v>
      </c>
      <c r="CB688" s="488">
        <f t="shared" si="1381"/>
        <v>0</v>
      </c>
      <c r="CC688" s="488">
        <f t="shared" si="1381"/>
        <v>0</v>
      </c>
      <c r="CD688" s="500">
        <f t="shared" si="1381"/>
        <v>1.33</v>
      </c>
      <c r="CE688" s="504">
        <f t="shared" si="1381"/>
        <v>0</v>
      </c>
      <c r="CF688" s="160">
        <f t="shared" si="1285"/>
        <v>0</v>
      </c>
      <c r="CG688" s="161">
        <f t="shared" si="1286"/>
        <v>0</v>
      </c>
      <c r="CH688" s="161">
        <f t="shared" si="1287"/>
        <v>0</v>
      </c>
      <c r="CI688" s="161">
        <f t="shared" si="1288"/>
        <v>0</v>
      </c>
      <c r="CJ688" s="161">
        <f t="shared" si="1289"/>
        <v>0</v>
      </c>
      <c r="CK688" s="161">
        <f t="shared" si="1290"/>
        <v>0</v>
      </c>
      <c r="CL688" s="161">
        <f t="shared" si="1291"/>
        <v>0</v>
      </c>
      <c r="CM688" s="161">
        <f t="shared" si="1292"/>
        <v>0</v>
      </c>
      <c r="CN688" s="161">
        <f t="shared" si="1293"/>
        <v>0</v>
      </c>
      <c r="CO688" s="161">
        <f t="shared" si="1294"/>
        <v>1</v>
      </c>
      <c r="CP688" s="161">
        <f t="shared" si="1295"/>
        <v>0</v>
      </c>
      <c r="CQ688" s="161">
        <f t="shared" si="1296"/>
        <v>0</v>
      </c>
      <c r="CR688" s="161">
        <f t="shared" si="1297"/>
        <v>0</v>
      </c>
      <c r="CS688" s="161">
        <f t="shared" si="1298"/>
        <v>0</v>
      </c>
      <c r="CT688" s="75">
        <f t="shared" si="1299"/>
        <v>0</v>
      </c>
      <c r="CU688" s="76">
        <f t="shared" si="1300"/>
        <v>0</v>
      </c>
      <c r="CV688" s="76">
        <f t="shared" si="1301"/>
        <v>0</v>
      </c>
      <c r="CW688" s="76">
        <f t="shared" si="1302"/>
        <v>0</v>
      </c>
      <c r="CX688" s="76">
        <f t="shared" si="1303"/>
        <v>0</v>
      </c>
      <c r="CY688" s="76">
        <f t="shared" si="1304"/>
        <v>0</v>
      </c>
      <c r="CZ688" s="76">
        <f t="shared" si="1305"/>
        <v>0</v>
      </c>
      <c r="DA688" s="76">
        <f t="shared" si="1306"/>
        <v>0</v>
      </c>
      <c r="DB688" s="76">
        <f t="shared" si="1307"/>
        <v>0</v>
      </c>
      <c r="DC688" s="76">
        <f t="shared" si="1308"/>
        <v>0</v>
      </c>
      <c r="DD688" s="76">
        <f t="shared" si="1309"/>
        <v>0</v>
      </c>
      <c r="DE688" s="77">
        <f t="shared" si="1310"/>
        <v>0</v>
      </c>
      <c r="DF688" s="73">
        <f t="shared" si="1312"/>
        <v>41</v>
      </c>
      <c r="DG688" s="67">
        <f t="shared" si="1313"/>
        <v>54.467999999999996</v>
      </c>
      <c r="DH688" s="76">
        <f t="shared" si="1314"/>
        <v>16</v>
      </c>
      <c r="DI688" s="67">
        <f t="shared" si="1315"/>
        <v>68.699999999999989</v>
      </c>
      <c r="DJ688" s="202" t="str">
        <f>IF($D688="","",$D688)</f>
        <v>22</v>
      </c>
      <c r="DK688" s="492">
        <f>IF(AND($B688=" ",$D688&lt;&gt;""),1,0)</f>
        <v>0</v>
      </c>
    </row>
    <row r="689" spans="1:115" ht="14.5" customHeight="1" x14ac:dyDescent="0.2">
      <c r="A689" s="389"/>
      <c r="B689" s="456"/>
      <c r="C689" s="53" t="s">
        <v>54</v>
      </c>
      <c r="D689" s="374"/>
      <c r="E689" s="386"/>
      <c r="F689" s="377"/>
      <c r="G689" s="508"/>
      <c r="H689" s="476"/>
      <c r="I689" s="182" t="s">
        <v>76</v>
      </c>
      <c r="J689" s="56">
        <f>IF(OR(I688="TO",I688="TU",I688="TO1",I688="TU1",I688="TO2",I688="TU2"),J688,IF(OR(I688="AH1",I688="AH2"),IF(OR(I689="AH1",I689="AH2"),-J688,IF(OR(I689="EH1",I689="EH2"),-J688+0.5,"")),IF(OR(I688="EH1",I688="EH2"),IF(OR(I689="AH1",I689="AH2"),-J688+0.5,IF(OR(I689="EH1",I689="EH2"),-J688+1,"")),IF(AND(OR(I688="DNB1",I688="DNB2"),OR(I689="AH1",I689="AH2")),0,IF(AND(I688="Not ScoreBoth",OR(I689="TO1",I689="TO2")),0.5,"")))))</f>
        <v>1</v>
      </c>
      <c r="K689" s="57" t="s">
        <v>47</v>
      </c>
      <c r="L689" s="164">
        <v>1.92</v>
      </c>
      <c r="M689" s="165"/>
      <c r="N689" s="406"/>
      <c r="O689" s="60">
        <f>IF(OR(AE688="",AE689=""),"",ROUND(IF(L690&gt;0,IF(M689&gt;0,M689,IF(M688&gt;0,IF(N688=TRUE,ROUND((M688*AE689)/AE688,0),(M688*AE689)/AE688),IF(M689&gt;0,ROUND(M689,IF(N688=0,2,IF(N688=0.1,1,0))),IF(M690&gt;0,ROUND(O690*AE689/AE690,IF(N688=0,2,IF(N688=0.1,1,0))),0)))),IF(M689&gt;0,M689,ROUND((M688*AE689)/AE688,IF(N688=0,2,IF(N688=0.1,1,0))))),2))</f>
        <v>10</v>
      </c>
      <c r="P689" s="61">
        <f>IF(OR(L689="",O689=""),"",IF($C689="1/2W",O689/2+O689/2*L689,IF($C689="1/2L",O689/2,IF(I689="Lay",((O689*(L689/(L689-1)))-O689)*(1-_xlfn.XLOOKUP(K689,'Fevereiro 2023 - Valor Real'!A3:A15,'Fevereiro 2023 - Valor Real'!C3:C15,0))+O689,(O689*L689-O689)*(1-_xlfn.XLOOKUP(K689,'Fevereiro 2023 - Valor Real'!A3:A15,'Fevereiro 2023 - Valor Real'!C3:C15,0))+O689))))</f>
        <v>19.2</v>
      </c>
      <c r="Q689" s="166">
        <f>IF(K689="","",IF(_xlfn.XLOOKUP(K689,K$10:K680,$DJ$10:DJ680,0,,-1)=DJ689,_xlfn.XLOOKUP(K689,K$10:K680,Q$10:Q680,1,,-1)+1,1))</f>
        <v>1</v>
      </c>
      <c r="R689" s="167">
        <f>IF(K689="","",_xlfn.XLOOKUP(K689,K$10:K680,R$10:R680,0,,-1)+IF($C689=" ",1,0))</f>
        <v>0</v>
      </c>
      <c r="S689" s="403"/>
      <c r="T689" s="380"/>
      <c r="U689" s="380"/>
      <c r="V689" s="481"/>
      <c r="W689" s="380"/>
      <c r="X689" s="452"/>
      <c r="Y689" s="383"/>
      <c r="Z689" s="384"/>
      <c r="AA689" s="384"/>
      <c r="AB689" s="384"/>
      <c r="AC689" s="384"/>
      <c r="AD689" s="64"/>
      <c r="AE689" s="65">
        <f>IF(L689="","",IF(L690&gt;0,(SUM(((L688-1)*(1-_xlfn.XLOOKUP(K688,'Fevereiro 2023 - Valor Real'!A3:A15,'Fevereiro 2023 - Valor Real'!C3:C15,0))+1),((L689-1)*(1-_xlfn.XLOOKUP(K689,'Fevereiro 2023 - Valor Real'!A3:A15,'Fevereiro 2023 - Valor Real'!C3:C15,0))+1),((L690-1)*(1-_xlfn.XLOOKUP(K690,'Fevereiro 2023 - Valor Real'!A3:A15,'Fevereiro 2023 - Valor Real'!C3:C15,0))+1))/((L689-1)*(1-_xlfn.XLOOKUP(K689,'Fevereiro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Real'!C3:C15,0))+1))/((L688-1)*(1-_xlfn.XLOOKUP(K688,'Fevereiro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Real'!C3:C15,0))+1))/((L689-1)*(1-_xlfn.XLOOKUP(K689,'Fevereiro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Real'!C3:C15,0))+1))/((L690-1)*(1-_xlfn.XLOOKUP(K690,'Fevereiro 2023 - Valor Real'!A3:A15,'Fevereiro 2023 - Valor Real'!C3:C15,0))+1)),IF(I689="Lay",IF(I688="Lay",((L688/(L688-1)-1)*(1-_xlfn.XLOOKUP(K688,'Fevereiro 2023 - Valor Real'!A3:A15,'Fevereiro 2023 - Valor Real'!C3:C15,0))+1)/(((L688/(L688-1)-1)*(1-_xlfn.XLOOKUP(K688,'Fevereiro 2023 - Valor Real'!A3:A15,'Fevereiro 2023 - Valor Real'!C3:C15,0))+1)+((L689/(L689-1)-1)*(1-_xlfn.XLOOKUP(K689,'Fevereiro 2023 - Valor Real'!A3:A15,'Fevereiro 2023 - Valor Real'!C3:C15,0))+1)),((L688-1)*(1-_xlfn.XLOOKUP(K688,'Fevereiro 2023 - Valor Real'!A3:A15,'Fevereiro 2023 - Valor Real'!C3:C15,0))+1)/(((L688-1)*(1-_xlfn.XLOOKUP(K688,'Fevereiro 2023 - Valor Real'!A3:A15,'Fevereiro 2023 - Valor Real'!C3:C15,0))+1)+((L689/(L689-1)-1)*(1-_xlfn.XLOOKUP(K689,'Fevereiro 2023 - Valor Real'!A3:A15,'Fevereiro 2023 - Valor Real'!C3:C15,0))+1))),IF(I688="Lay",((L688/(L688-1)-1)*(1-_xlfn.XLOOKUP(K688,'Fevereiro 2023 - Valor Real'!A3:A15,'Fevereiro 2023 - Valor Real'!C3:C15,0))+1)/((((L688/(L688-1)-1)*(1-_xlfn.XLOOKUP(K688,'Fevereiro 2023 - Valor Real'!A3:A15,'Fevereiro 2023 - Valor Real'!C3:C15,0))+1))+((L689-1)*(1-_xlfn.XLOOKUP(K689,'Fevereiro 2023 - Valor Real'!A3:A15,'Fevereiro 2023 - Valor Real'!C3:C15,0))+1)),((L688-1)*(1-_xlfn.XLOOKUP(K688,'Fevereiro 2023 - Valor Real'!A3:A15,'Fevereiro 2023 - Valor Real'!C3:C15,0))+1)/(((L688-1)*(1-_xlfn.XLOOKUP(K688,'Fevereiro 2023 - Valor Real'!A3:A15,'Fevereiro 2023 - Valor Real'!C3:C15,0))+1)+((L689-1)*(1-_xlfn.XLOOKUP(K689,'Fevereiro 2023 - Valor Real'!A3:A15,'Fevereiro 2023 - Valor Real'!C3:C15,0))+1))))))</f>
        <v>0.55862068965517253</v>
      </c>
      <c r="AF689" s="66">
        <f t="shared" si="1373"/>
        <v>0</v>
      </c>
      <c r="AG689" s="67">
        <f t="shared" si="1373"/>
        <v>0</v>
      </c>
      <c r="AH689" s="67">
        <f t="shared" si="1373"/>
        <v>0</v>
      </c>
      <c r="AI689" s="67">
        <f t="shared" si="1373"/>
        <v>0</v>
      </c>
      <c r="AJ689" s="67">
        <f t="shared" si="1373"/>
        <v>0</v>
      </c>
      <c r="AK689" s="67">
        <f t="shared" si="1373"/>
        <v>0</v>
      </c>
      <c r="AL689" s="67">
        <f t="shared" si="1373"/>
        <v>0</v>
      </c>
      <c r="AM689" s="67">
        <f t="shared" si="1373"/>
        <v>0</v>
      </c>
      <c r="AN689" s="67">
        <f t="shared" si="1373"/>
        <v>0</v>
      </c>
      <c r="AO689" s="67">
        <f t="shared" si="1373"/>
        <v>0</v>
      </c>
      <c r="AP689" s="67">
        <f t="shared" si="1373"/>
        <v>0</v>
      </c>
      <c r="AQ689" s="67">
        <f t="shared" si="1373"/>
        <v>9.1999999999999993</v>
      </c>
      <c r="AR689" s="68">
        <f t="shared" si="1373"/>
        <v>0</v>
      </c>
      <c r="AS689" s="66">
        <f>IF(AND($B688=" ",$K689=AS$3),$O689,0)</f>
        <v>0</v>
      </c>
      <c r="AT689" s="67">
        <f>IF(AND($B688=" ",K689=AT$3),$O689,0)</f>
        <v>0</v>
      </c>
      <c r="AU689" s="67">
        <f t="shared" ref="AU689:BE689" si="1382">IF(AND($B688=" ",$K689=AU$3),$O689,0)</f>
        <v>0</v>
      </c>
      <c r="AV689" s="67">
        <f t="shared" si="1382"/>
        <v>0</v>
      </c>
      <c r="AW689" s="67">
        <f t="shared" si="1382"/>
        <v>0</v>
      </c>
      <c r="AX689" s="67">
        <f t="shared" si="1382"/>
        <v>0</v>
      </c>
      <c r="AY689" s="69">
        <f t="shared" si="1382"/>
        <v>0</v>
      </c>
      <c r="AZ689" s="70">
        <f t="shared" si="1382"/>
        <v>0</v>
      </c>
      <c r="BA689" s="70">
        <f t="shared" si="1382"/>
        <v>0</v>
      </c>
      <c r="BB689" s="70">
        <f t="shared" si="1382"/>
        <v>0</v>
      </c>
      <c r="BC689" s="71">
        <f t="shared" si="1382"/>
        <v>0</v>
      </c>
      <c r="BD689" s="67">
        <f t="shared" si="1382"/>
        <v>0</v>
      </c>
      <c r="BE689" s="68">
        <f t="shared" si="1382"/>
        <v>0</v>
      </c>
      <c r="BF689" s="66">
        <f t="shared" si="1375"/>
        <v>0</v>
      </c>
      <c r="BG689" s="168">
        <f t="shared" si="1375"/>
        <v>0</v>
      </c>
      <c r="BH689" s="67">
        <f t="shared" si="1375"/>
        <v>0</v>
      </c>
      <c r="BI689" s="67">
        <f t="shared" si="1375"/>
        <v>0</v>
      </c>
      <c r="BJ689" s="67">
        <f t="shared" si="1375"/>
        <v>0</v>
      </c>
      <c r="BK689" s="67">
        <f t="shared" si="1375"/>
        <v>0</v>
      </c>
      <c r="BL689" s="67">
        <f t="shared" si="1375"/>
        <v>0</v>
      </c>
      <c r="BM689" s="69">
        <f t="shared" si="1375"/>
        <v>0</v>
      </c>
      <c r="BN689" s="70">
        <f t="shared" si="1375"/>
        <v>0</v>
      </c>
      <c r="BO689" s="70">
        <f t="shared" si="1375"/>
        <v>0</v>
      </c>
      <c r="BP689" s="70">
        <f t="shared" si="1375"/>
        <v>0</v>
      </c>
      <c r="BQ689" s="71">
        <f t="shared" si="1375"/>
        <v>10</v>
      </c>
      <c r="BR689" s="68">
        <f t="shared" si="1375"/>
        <v>0</v>
      </c>
      <c r="BS689" s="491"/>
      <c r="BT689" s="489"/>
      <c r="BU689" s="392"/>
      <c r="BV689" s="489"/>
      <c r="BW689" s="392"/>
      <c r="BX689" s="392"/>
      <c r="BY689" s="392"/>
      <c r="BZ689" s="489"/>
      <c r="CA689" s="392"/>
      <c r="CB689" s="392"/>
      <c r="CC689" s="392"/>
      <c r="CD689" s="401"/>
      <c r="CE689" s="409"/>
      <c r="CF689" s="169">
        <f t="shared" si="1285"/>
        <v>0</v>
      </c>
      <c r="CG689" s="170">
        <f t="shared" si="1286"/>
        <v>0</v>
      </c>
      <c r="CH689" s="170">
        <f t="shared" si="1287"/>
        <v>0</v>
      </c>
      <c r="CI689" s="170">
        <f t="shared" si="1288"/>
        <v>0</v>
      </c>
      <c r="CJ689" s="170">
        <f t="shared" si="1289"/>
        <v>0</v>
      </c>
      <c r="CK689" s="170">
        <f t="shared" si="1290"/>
        <v>0</v>
      </c>
      <c r="CL689" s="170">
        <f t="shared" si="1291"/>
        <v>0</v>
      </c>
      <c r="CM689" s="170">
        <f t="shared" si="1292"/>
        <v>0</v>
      </c>
      <c r="CN689" s="170">
        <f t="shared" si="1293"/>
        <v>0</v>
      </c>
      <c r="CO689" s="170">
        <f t="shared" si="1294"/>
        <v>0</v>
      </c>
      <c r="CP689" s="170">
        <f t="shared" si="1295"/>
        <v>0</v>
      </c>
      <c r="CQ689" s="170">
        <f t="shared" si="1296"/>
        <v>0</v>
      </c>
      <c r="CR689" s="170">
        <f t="shared" si="1297"/>
        <v>0</v>
      </c>
      <c r="CS689" s="170">
        <f t="shared" si="1298"/>
        <v>0</v>
      </c>
      <c r="CT689" s="75">
        <f t="shared" si="1299"/>
        <v>0</v>
      </c>
      <c r="CU689" s="76">
        <f t="shared" si="1300"/>
        <v>0</v>
      </c>
      <c r="CV689" s="76">
        <f t="shared" si="1301"/>
        <v>0</v>
      </c>
      <c r="CW689" s="76">
        <f t="shared" si="1302"/>
        <v>0</v>
      </c>
      <c r="CX689" s="76">
        <f t="shared" si="1303"/>
        <v>0</v>
      </c>
      <c r="CY689" s="76">
        <f t="shared" si="1304"/>
        <v>0</v>
      </c>
      <c r="CZ689" s="76">
        <f t="shared" si="1305"/>
        <v>0</v>
      </c>
      <c r="DA689" s="76">
        <f t="shared" si="1306"/>
        <v>0</v>
      </c>
      <c r="DB689" s="76">
        <f t="shared" si="1307"/>
        <v>1</v>
      </c>
      <c r="DC689" s="76">
        <f t="shared" si="1308"/>
        <v>0</v>
      </c>
      <c r="DD689" s="76">
        <f t="shared" si="1309"/>
        <v>0</v>
      </c>
      <c r="DE689" s="77">
        <f t="shared" si="1310"/>
        <v>0</v>
      </c>
      <c r="DF689" s="73">
        <f t="shared" si="1312"/>
        <v>41</v>
      </c>
      <c r="DG689" s="67">
        <f t="shared" si="1313"/>
        <v>54.467999999999996</v>
      </c>
      <c r="DH689" s="76">
        <f t="shared" si="1314"/>
        <v>16</v>
      </c>
      <c r="DI689" s="67">
        <f t="shared" si="1315"/>
        <v>68.699999999999989</v>
      </c>
      <c r="DJ689" s="202" t="str">
        <f>IF($D688="","",$D688)</f>
        <v>22</v>
      </c>
      <c r="DK689" s="493"/>
    </row>
    <row r="690" spans="1:115" ht="14.5" customHeight="1" x14ac:dyDescent="0.2">
      <c r="A690" s="390"/>
      <c r="B690" s="457"/>
      <c r="C690" s="79" t="s">
        <v>53</v>
      </c>
      <c r="D690" s="375"/>
      <c r="E690" s="387"/>
      <c r="F690" s="378"/>
      <c r="G690" s="508"/>
      <c r="H690" s="477"/>
      <c r="I690" s="171"/>
      <c r="J690" s="172"/>
      <c r="K690" s="81"/>
      <c r="L690" s="173"/>
      <c r="M690" s="174"/>
      <c r="N690" s="407"/>
      <c r="O690" s="86" t="str">
        <f>IF(OR(AE688="",AE689=""),"",IF(L690&gt;0,ROUND(IF(M690&gt;0,M690,IF(M688&gt;0,ROUND((M688*AE690)/AE688,IF(N688=0,2,IF(N688=0.1,1,0))),IF(M689&gt;0,ROUND((M689*AE690)/AE689,IF(N688=0,2,IF(N688=0.1,1,0))),IF(M690&gt;0,M690,0)))),2),""))</f>
        <v/>
      </c>
      <c r="P690" s="87" t="str">
        <f>IF(I689="Lay",O689*(L689/(L689-1))-O689,IF(I688="Lay",O688*(L688/(L688-1))-O688,IF(OR(L690="",O690=""),"",IF($C690="1/2W",O690/2+O690/2*L690,IF($C690="1/2L",O690/2,(O690*L690-O690)*(1-_xlfn.XLOOKUP(K690,'Fevereiro 2023 - Valor Real'!A3:A15,'Fevereiro 2023 - Valor Real'!C3:C15,0))+O690)))))</f>
        <v/>
      </c>
      <c r="Q690" s="54" t="str">
        <f>IF(K690="","",IF(_xlfn.XLOOKUP(K690,K$11:K680,$DJ$11:DJ680,0,,-1)=DJ690,_xlfn.XLOOKUP(K690,K$11:K680,Q$11:Q680,1,,-1)+1,1))</f>
        <v/>
      </c>
      <c r="R690" s="87" t="str">
        <f>IF(K690="","",_xlfn.XLOOKUP(K690,K$11:K680,R$11:R680,0,,-1)+IF($C690=" ",1,0))</f>
        <v/>
      </c>
      <c r="S690" s="404"/>
      <c r="T690" s="378"/>
      <c r="U690" s="378"/>
      <c r="V690" s="404"/>
      <c r="W690" s="378"/>
      <c r="X690" s="453"/>
      <c r="Y690" s="383"/>
      <c r="Z690" s="384"/>
      <c r="AA690" s="384"/>
      <c r="AB690" s="384"/>
      <c r="AC690" s="384"/>
      <c r="AD690" s="90"/>
      <c r="AE690" s="91" t="str">
        <f>IF(L690="","",(SUM(((L688-1)*(1-_xlfn.XLOOKUP(K688,'Fevereiro 2023 - Valor Real'!A3:A15,'Fevereiro 2023 - Valor Real'!C3:C15,0))+1),((L689-1)*(1-_xlfn.XLOOKUP(K689,'Fevereiro 2023 - Valor Real'!A3:A15,'Fevereiro 2023 - Valor Real'!C3:C15,0))+1),((L690-1)*(1-_xlfn.XLOOKUP(K690,'Fevereiro 2023 - Valor Real'!A3:A15,'Fevereiro 2023 - Valor Real'!C3:C15,0))+1))/((L690-1)*(1-_xlfn.XLOOKUP(K690,'Fevereiro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Real'!C3:C15,0))+1))/((L688-1)*(1-_xlfn.XLOOKUP(K688,'Fevereiro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Real'!C3:C15,0))+1))/((L689-1)*(1-_xlfn.XLOOKUP(K689,'Fevereiro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Real'!C3:C15,0))+1))/((L690-1)*(1-_xlfn.XLOOKUP(K690,'Fevereiro 2023 - Valor Real'!A3:A15,'Fevereiro 2023 - Valor Real'!C3:C15,0))+1)))</f>
        <v/>
      </c>
      <c r="AF690" s="66">
        <f t="shared" si="1373"/>
        <v>0</v>
      </c>
      <c r="AG690" s="67">
        <f t="shared" si="1373"/>
        <v>0</v>
      </c>
      <c r="AH690" s="67">
        <f t="shared" si="1373"/>
        <v>0</v>
      </c>
      <c r="AI690" s="67">
        <f t="shared" si="1373"/>
        <v>0</v>
      </c>
      <c r="AJ690" s="67">
        <f t="shared" si="1373"/>
        <v>0</v>
      </c>
      <c r="AK690" s="67">
        <f t="shared" si="1373"/>
        <v>0</v>
      </c>
      <c r="AL690" s="67">
        <f t="shared" si="1373"/>
        <v>0</v>
      </c>
      <c r="AM690" s="67">
        <f t="shared" si="1373"/>
        <v>0</v>
      </c>
      <c r="AN690" s="67">
        <f t="shared" si="1373"/>
        <v>0</v>
      </c>
      <c r="AO690" s="67">
        <f t="shared" si="1373"/>
        <v>0</v>
      </c>
      <c r="AP690" s="67">
        <f t="shared" si="1373"/>
        <v>0</v>
      </c>
      <c r="AQ690" s="67">
        <f t="shared" si="1373"/>
        <v>0</v>
      </c>
      <c r="AR690" s="68">
        <f t="shared" si="1373"/>
        <v>0</v>
      </c>
      <c r="AS690" s="66">
        <f>IF(AND($B688=" ",$K690=AS$3),$O690,0)</f>
        <v>0</v>
      </c>
      <c r="AT690" s="67">
        <f>IF(AND($B688=" ",K690=AT$3),$O690,0)</f>
        <v>0</v>
      </c>
      <c r="AU690" s="67">
        <f t="shared" ref="AU690:BE690" si="1383">IF(AND($B688=" ",$K690=AU$3),$O690,0)</f>
        <v>0</v>
      </c>
      <c r="AV690" s="67">
        <f t="shared" si="1383"/>
        <v>0</v>
      </c>
      <c r="AW690" s="67">
        <f t="shared" si="1383"/>
        <v>0</v>
      </c>
      <c r="AX690" s="67">
        <f t="shared" si="1383"/>
        <v>0</v>
      </c>
      <c r="AY690" s="69">
        <f t="shared" si="1383"/>
        <v>0</v>
      </c>
      <c r="AZ690" s="70">
        <f t="shared" si="1383"/>
        <v>0</v>
      </c>
      <c r="BA690" s="70">
        <f t="shared" si="1383"/>
        <v>0</v>
      </c>
      <c r="BB690" s="70">
        <f t="shared" si="1383"/>
        <v>0</v>
      </c>
      <c r="BC690" s="71">
        <f t="shared" si="1383"/>
        <v>0</v>
      </c>
      <c r="BD690" s="67">
        <f t="shared" si="1383"/>
        <v>0</v>
      </c>
      <c r="BE690" s="68">
        <f t="shared" si="1383"/>
        <v>0</v>
      </c>
      <c r="BF690" s="66">
        <f t="shared" si="1375"/>
        <v>0</v>
      </c>
      <c r="BG690" s="168">
        <f t="shared" si="1375"/>
        <v>0</v>
      </c>
      <c r="BH690" s="67">
        <f t="shared" si="1375"/>
        <v>0</v>
      </c>
      <c r="BI690" s="67">
        <f t="shared" si="1375"/>
        <v>0</v>
      </c>
      <c r="BJ690" s="67">
        <f t="shared" si="1375"/>
        <v>0</v>
      </c>
      <c r="BK690" s="67">
        <f t="shared" si="1375"/>
        <v>0</v>
      </c>
      <c r="BL690" s="67">
        <f t="shared" si="1375"/>
        <v>0</v>
      </c>
      <c r="BM690" s="69">
        <f t="shared" si="1375"/>
        <v>0</v>
      </c>
      <c r="BN690" s="70">
        <f t="shared" si="1375"/>
        <v>0</v>
      </c>
      <c r="BO690" s="70">
        <f t="shared" si="1375"/>
        <v>0</v>
      </c>
      <c r="BP690" s="70">
        <f t="shared" si="1375"/>
        <v>0</v>
      </c>
      <c r="BQ690" s="71">
        <f t="shared" si="1375"/>
        <v>0</v>
      </c>
      <c r="BR690" s="68">
        <f t="shared" si="1375"/>
        <v>0</v>
      </c>
      <c r="BS690" s="491"/>
      <c r="BT690" s="489"/>
      <c r="BU690" s="392"/>
      <c r="BV690" s="489"/>
      <c r="BW690" s="392"/>
      <c r="BX690" s="392"/>
      <c r="BY690" s="392"/>
      <c r="BZ690" s="489"/>
      <c r="CA690" s="392"/>
      <c r="CB690" s="392"/>
      <c r="CC690" s="392"/>
      <c r="CD690" s="401"/>
      <c r="CE690" s="409"/>
      <c r="CF690" s="169">
        <f t="shared" si="1285"/>
        <v>0</v>
      </c>
      <c r="CG690" s="170">
        <f t="shared" si="1286"/>
        <v>0</v>
      </c>
      <c r="CH690" s="170">
        <f t="shared" si="1287"/>
        <v>0</v>
      </c>
      <c r="CI690" s="170">
        <f t="shared" si="1288"/>
        <v>0</v>
      </c>
      <c r="CJ690" s="170">
        <f t="shared" si="1289"/>
        <v>0</v>
      </c>
      <c r="CK690" s="170">
        <f t="shared" si="1290"/>
        <v>0</v>
      </c>
      <c r="CL690" s="170">
        <f t="shared" si="1291"/>
        <v>0</v>
      </c>
      <c r="CM690" s="170">
        <f t="shared" si="1292"/>
        <v>0</v>
      </c>
      <c r="CN690" s="170">
        <f t="shared" si="1293"/>
        <v>0</v>
      </c>
      <c r="CO690" s="170">
        <f t="shared" si="1294"/>
        <v>0</v>
      </c>
      <c r="CP690" s="170">
        <f t="shared" si="1295"/>
        <v>0</v>
      </c>
      <c r="CQ690" s="170">
        <f t="shared" si="1296"/>
        <v>0</v>
      </c>
      <c r="CR690" s="170">
        <f t="shared" si="1297"/>
        <v>0</v>
      </c>
      <c r="CS690" s="170">
        <f t="shared" si="1298"/>
        <v>0</v>
      </c>
      <c r="CT690" s="75">
        <f t="shared" si="1299"/>
        <v>0</v>
      </c>
      <c r="CU690" s="76">
        <f t="shared" si="1300"/>
        <v>0</v>
      </c>
      <c r="CV690" s="76">
        <f t="shared" si="1301"/>
        <v>0</v>
      </c>
      <c r="CW690" s="76">
        <f t="shared" si="1302"/>
        <v>0</v>
      </c>
      <c r="CX690" s="76">
        <f t="shared" si="1303"/>
        <v>0</v>
      </c>
      <c r="CY690" s="76">
        <f t="shared" si="1304"/>
        <v>0</v>
      </c>
      <c r="CZ690" s="76">
        <f t="shared" si="1305"/>
        <v>0</v>
      </c>
      <c r="DA690" s="76">
        <f t="shared" si="1306"/>
        <v>0</v>
      </c>
      <c r="DB690" s="76">
        <f t="shared" si="1307"/>
        <v>0</v>
      </c>
      <c r="DC690" s="76">
        <f t="shared" si="1308"/>
        <v>0</v>
      </c>
      <c r="DD690" s="76">
        <f t="shared" si="1309"/>
        <v>0</v>
      </c>
      <c r="DE690" s="77">
        <f t="shared" si="1310"/>
        <v>0</v>
      </c>
      <c r="DF690" s="73">
        <f t="shared" si="1312"/>
        <v>41</v>
      </c>
      <c r="DG690" s="67">
        <f t="shared" si="1313"/>
        <v>54.467999999999996</v>
      </c>
      <c r="DH690" s="76">
        <f t="shared" si="1314"/>
        <v>16</v>
      </c>
      <c r="DI690" s="67">
        <f t="shared" si="1315"/>
        <v>68.699999999999989</v>
      </c>
      <c r="DJ690" s="202" t="str">
        <f>IF($D688="","",$D688)</f>
        <v>22</v>
      </c>
      <c r="DK690" s="493"/>
    </row>
    <row r="691" spans="1:115" ht="14.5" customHeight="1" x14ac:dyDescent="0.2">
      <c r="A691" s="459">
        <f>$A688+1</f>
        <v>230</v>
      </c>
      <c r="B691" s="507" t="str">
        <f>IF(OR(C691="W",C692="W",C693="W",C691="1/2W",C692="1/2W",C693="1/2W",C691="1/2L",C692="1/2L",C693="1/2L"),"OK",IF(OR(C691="L",C692="L",C693="L"),"LOSS",IF(OR(C691="X",C692="X",C693="X"),"Anulado"," ")))</f>
        <v>OK</v>
      </c>
      <c r="C691" s="93" t="s">
        <v>55</v>
      </c>
      <c r="D691" s="468" t="str">
        <f>IF(G691="","",$D688)</f>
        <v>22</v>
      </c>
      <c r="E691" s="485" t="str">
        <f>IF(G691=""," ","– "&amp;COUNTIF(D$4:D693,$D691))</f>
        <v>– 4</v>
      </c>
      <c r="F691" s="509" t="str">
        <f ca="1">IF(G691="","",IF(OR(AND($C691&lt;&gt;" ",$C692=" "),AND($C692&lt;&gt;" ",$C691=" "),AND(L693&gt;0,OR(AND($C693&lt;&gt;" ",OR($C691=" ",$C692=" ")),AND($C693=" ",OR($C691&lt;&gt;" ",$C692&lt;&gt;" "))))),IF(SUM(F$4:F690)=0,1,LARGE(F$4:F690,1)+1),IF(MONTH(G691)=MONTH(TODAY()),IF(AND(DAY(G691)&lt;DAY(TODAY()),$B691=" "),IF(SUM(F$4:F690)=0,1,LARGE(F$4:F690,1)+1),IF($B691=" ",IF(AND(DAY(G691)=DAY(TODAY()),HOUR(G691)&lt;=HOUR(NOW())+1),IF(AND(HOUR(G691)+2&lt;=HOUR(NOW()),DAY(G691)&lt;=DAY(TODAY()),MINUTE(G691)&lt;=MINUTE(NOW())),IF(SUM(F$4:F690)=0,1,LARGE(F$4:F690,1)+1),IF(OR(MINUTE(G691)&lt;=MINUTE(NOW()),HOUR(G691)&lt;=HOUR(NOW())),"!!!","")),""),"")),"")))</f>
        <v/>
      </c>
      <c r="G691" s="482">
        <v>45007.270833333336</v>
      </c>
      <c r="H691" s="475" t="s">
        <v>247</v>
      </c>
      <c r="I691" s="94" t="s">
        <v>51</v>
      </c>
      <c r="J691" s="95">
        <v>3.5</v>
      </c>
      <c r="K691" s="96" t="s">
        <v>37</v>
      </c>
      <c r="L691" s="97">
        <v>1.6</v>
      </c>
      <c r="M691" s="98">
        <v>23.91</v>
      </c>
      <c r="N691" s="478">
        <v>0</v>
      </c>
      <c r="O691" s="99">
        <f>IF(OR(AE691="",AE692=""),"",ROUND(IF(L693&gt;0,IF(M691&gt;0,M691,IF(M692&gt;0,ROUND((M692*AE691)/AE692,IF(N691=0,2,IF(N691=0.1,1,0))),ROUND((M693*AE691)/AE693,IF(N691=0,2,IF(N691=0.1,1,0))))),IF(M691&gt;0,M691,ROUND((M692*AE691)/AE692,IF(N691=0,2,IF(N691=0.1,1,0))))),2))</f>
        <v>23.91</v>
      </c>
      <c r="P691" s="100">
        <f>IF(OR(L691="",O691=""),"",IF($C691="1/2W",O691/2+O691/2*L691,IF($C691="1/2L",O691/2,IF(I691="Lay",(O691*(L691/(L691-1))-O691)*(1-_xlfn.XLOOKUP(K691,'Fevereiro 2023 - Valor Real'!A3:A15,'Fevereiro 2023 - Valor Real'!C3:C15,0))+O691,(O691*L691-O691)*(1-_xlfn.XLOOKUP(K691,'Fevereiro 2023 - Valor Real'!A3:A15,'Fevereiro 2023 - Valor Real'!C3:C15,0))+O691))))</f>
        <v>38.256</v>
      </c>
      <c r="Q691" s="101">
        <f>IF(K691="","",IF(_xlfn.XLOOKUP(K691,K$4:K690,$DJ$4:DJ690,0,,-1)=DJ691,_xlfn.XLOOKUP(K691,K$4:K690,Q$4:Q690,1,,-1)+1,1))</f>
        <v>2</v>
      </c>
      <c r="R691" s="102">
        <f>IF(K691="","",_xlfn.XLOOKUP(K691,K$4:K690,R$4:R690,0,,-1)+IF($C691=" ",1,0))</f>
        <v>0</v>
      </c>
      <c r="S691" s="474">
        <f>IF($B691="Anulado",0,ROUND(IF(OR($B691="LOSS",$B691="OK"),IF(OR($C691="W",$C691="1/2W",$C691="1/2L"),P691-O691,IF($C691="L",-O691,0))+IF(OR($C692="W",$C692="1/2W",$C692="1/2L"),P692-O692,IF($C692="L",-O692,0))+IF(OR($C693="W",$C693="1/2W",$C693="1/2L"),P693-O693,IF($C693="L",-O693,0)),IF(AND(OR($C691="W",$C691="1/2W",$C691="1/2L"),C692="W"),P691+P692-SUM(O691:O693)+_xlfn.XLOOKUP("X",C691:C693,O691:O693,0),IF(AND(C691=TRUE,C693="W"),P691+P693-SUM(O691:O693),IF(AND(C692="W",C693="W"),P692+P693-SUM(O691:O693)+_xlfn.XLOOKUP("X",C691:C693,O691:O693,0),IF(L693&gt;0,IF(OR($C691="W",$C691="1/2W",$C691="1/2L"),P691-SUM(O691:O693)+_xlfn.XLOOKUP("X",C691:C693,O691:O693,0),IF(OR($C691="W",$C691="1/2W",$C691="1/2L"),P692-SUM(O691:O693)+_xlfn.XLOOKUP("X",C691:C693,O691:O693,0),IF(OR($C691="W",$C691="1/2W",$C691="1/2L"),P693-SUM(O691:O693)+_xlfn.XLOOKUP("X",C691:C693,O691:O693,0),IF(SUM(P691:P693)/3-SUM(O691:O693)+_xlfn.XLOOKUP("X",C691:C693,O691:O693,0)&gt;0,SUM(P691:P693)/3-SUM(O691:O693)+_xlfn.XLOOKUP("X",C691:C693,O691:O693,0),LARGE(P691:P693,1)-SUM(O691:O693))))),IF(OR($C691="W",$C691="1/2W",$C691="1/2L"),P691-SUM(O691:O692)+_xlfn.XLOOKUP("X",C691:C693,O691:O693,0),IF(OR($C691="W",$C691="1/2W",$C691="1/2L"),P692-SUM(O691:O692)+_xlfn.XLOOKUP("X",C691:C693,O691:O693,0),SUM(P691:P692)/2-SUM(O691:O692)+_xlfn.XLOOKUP("X",C691:C693,O691:O693,0)))))))),2))</f>
        <v>2.2200000000000002</v>
      </c>
      <c r="T691" s="458">
        <f>IF(S691=0,0,S691/SUM(O691:O693))</f>
        <v>6.3374250642306604E-2</v>
      </c>
      <c r="U691" s="470">
        <f>IF($D691=$D688,IF(OR($B691="LOSS",$B691="OK",$B691="Anulada"),S691,0)+U688,IF(OR($B691="LOSS",$B691="OK",$B691="Anulada"),S691,0))</f>
        <v>6.82</v>
      </c>
      <c r="V691" s="470">
        <f>IF($D691="",0,IF($D691=$D688,IF($B691=" ",IF(I693="",IF(OR(AND(I691="DNB1",I692="DNB2"),AND(OR(I691="DNB1",I691="DNB2"),J692=0),AND(OR(I692="DNB1",I692="DNB2"),J691=0),AND(I691="DNB2",I692="DNB1"),AND(IF(J691=0,(J691+1)/ROUND(J691+1,0),J691/ROUND(J691,0))=1,IF(J692=0,(J692+1)/ROUND(IF(J692="",0,J692)+1,0),IF(J692="",0,J692)/ROUND(IF(J692="",1,J692),0))=1,OR(J691&lt;&gt;""),J692&lt;&gt;"")),0,IF(S691&lt;0,IF(I693="",SMALL(P691:P692,1)-SUM(O691:O692),0),SMALL(P691:P692,1)-SUM(O691:O692))),IF(S691&lt;0,IF(I693="",SMALL(P691:P693,1)-SUM(O691:O693),0),LARGE(P691:P693,1)-SUM(O691:O693))),S691)+V688,IF(I693="",IF(OR(AND(I691="DNB1",I692="DNB2"),AND(OR(I691="DNB1",I691="DNB2"),J692=0),AND(OR(I692="DNB1",I692="DNB2"),J691=0),AND(I691="DNB2",I692="DNB1"),AND(IF(J691=0,(J691+1)/ROUND(J691+1,0),J691/ROUND(J691,0))=1,IF(J692=0,(IF(J692="",0,J692)+1)/ROUND(IF(J692="",0,J692)+1,0),IF(J692="",0,J692)/ROUND(IF(J692="",0,J692)+1,0))=1,OR(J691&lt;&gt;""),J692&lt;&gt;"")),0,IF(S691&lt;0,IF(I693="",SMALL(P691:P692,1)-SUM(O691:O692),0),SMALL(P691:P693,1)-SUM(O691:O693))),IF(S691&lt;0,IF(I693="",SMALL(P691:P693,1)-SUM(O691:O693),0),LARGE(P691:P693,1)-SUM(O691:O693)))))</f>
        <v>6.8099999999999952</v>
      </c>
      <c r="W691" s="470">
        <f>IF($D691=$D688,IF(S691&lt;0,IF(I693="",S691,0),S691)+W688,S691)</f>
        <v>6.82</v>
      </c>
      <c r="X691" s="480" t="str">
        <f>IF(OR(SUM(R691:R693)=0,V691=W691),ROUND(IF(W691=0,0,W691/Y691)*100,2)&amp;"%",ROUND(IF(V691=0,0,V691/Y691)*100,2)&amp;"% a "&amp;ROUND(IF(W691=0,0,W691/Y691)*100,2)&amp;"%")</f>
        <v>5,9%</v>
      </c>
      <c r="Y691" s="471">
        <f>IF($D691=$D688,Y688+SUM(O691:O693),SUM(O691:O693))</f>
        <v>115.67</v>
      </c>
      <c r="Z691" s="470">
        <f>IF($B691=" ",SUM(O691:O693),0)+Z688</f>
        <v>0</v>
      </c>
      <c r="AA691" s="470">
        <f>IF(G691="","",IF($B691="Anulado",LARGE(P691:P693,1)-SUM(O691:O693)+AA688,AA688))</f>
        <v>13.381099999999991</v>
      </c>
      <c r="AB691" s="470">
        <f>IF($D691="","",AB688+S691)</f>
        <v>801.58000000000061</v>
      </c>
      <c r="AC691" s="472">
        <f ca="1">IF($D691="","",IF($B691=" ",IF(DAY(G691)=DAY(TODAY()),1+AC688,0+AC688),0+AC688))</f>
        <v>0</v>
      </c>
      <c r="AD691" s="103">
        <f>(((L692/(L692-1)-1)*(1-_xlfn.XLOOKUP(K692,'Fevereiro 2023 - Valor Real'!A3:A15,'Fevereiro 2023 - Valor Real'!C3:C15,0))+1))/(((L691-1)*(1-_xlfn.XLOOKUP(K691,'Fevereiro 2023 - Valor Real'!A3:A15,'Fevereiro 2023 - Valor Real'!C3:C15,0))+1)+((L692/(L692-1)-1)*(1-_xlfn.XLOOKUP(K692,'Fevereiro 2023 - Valor Real'!A3:A15,'Fevereiro 2023 - Valor Real'!C3:C15,0))+1))</f>
        <v>0.47116736990154712</v>
      </c>
      <c r="AE691" s="104">
        <f>IF(L691="","",IF(L693&gt;0,(SUM(((L691-1)*(1-_xlfn.XLOOKUP(K691,'Fevereiro 2023 - Valor Real'!A3:A15,'Fevereiro 2023 - Valor Real'!C3:C15,0))+1),((L692-1)*(1-_xlfn.XLOOKUP(K692,'Fevereiro 2023 - Valor Real'!A3:A15,'Fevereiro 2023 - Valor Real'!C3:C15,0))+1),((L693-1)*(1-_xlfn.XLOOKUP(K693,'Fevereiro 2023 - Valor Real'!A3:A15,'Fevereiro 2023 - Valor Real'!C3:C15,0))+1))/((L691-1)*(1-_xlfn.XLOOKUP(K691,'Fevereiro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Real'!C3:C15,0))+1))/((L691-1)*(1-_xlfn.XLOOKUP(K691,'Fevereiro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Real'!C3:C15,0))+1))/((L692-1)*(1-_xlfn.XLOOKUP(K692,'Fevereiro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Real'!C3:C15,0))+1))/((L693-1)*(1-_xlfn.XLOOKUP(K693,'Fevereiro 2023 - Valor Real'!A3:A15,'Fevereiro 2023 - Valor Real'!C3:C15,0))+1)),IF(I691="Lay",IF(I692="Lay",((L692/(L692-1)-1)*(1-_xlfn.XLOOKUP(K692,'Fevereiro 2023 - Valor Real'!A3:A15,'Fevereiro 2023 - Valor Real'!C3:C15,0))+1)/(((L692/(L692-1)-1)*(1-_xlfn.XLOOKUP(K692,'Fevereiro 2023 - Valor Real'!A3:A15,'Fevereiro 2023 - Valor Real'!C3:C15,0))+1)+((L691/(L691-1)-1)*(1-_xlfn.XLOOKUP(K691,'Fevereiro 2023 - Valor Real'!A3:A15,'Fevereiro 2023 - Valor Real'!C3:C15,0))+1)),((L692-1)*(1-_xlfn.XLOOKUP(K692,'Fevereiro 2023 - Valor Real'!A3:A15,'Fevereiro 2023 - Valor Real'!C3:C15,0))+1)/(((L692-1)*(1-_xlfn.XLOOKUP(K692,'Fevereiro 2023 - Valor Real'!A3:A15,'Fevereiro 2023 - Valor Real'!C3:C15,0))+1)+((L691/(L691-1)-1)*(1-_xlfn.XLOOKUP(K691,'Fevereiro 2023 - Valor Real'!A3:A15,'Fevereiro 2023 - Valor Real'!C3:C15,0))+1))),IF(I692="Lay",(((L692/(L692-1)-1)*(1-_xlfn.XLOOKUP(K692,'Fevereiro 2023 - Valor Real'!A3:A15,'Fevereiro 2023 - Valor Real'!C3:C15,0))+1))/(((L691-1)*(1-_xlfn.XLOOKUP(K691,'Fevereiro 2023 - Valor Real'!A3:A15,'Fevereiro 2023 - Valor Real'!C3:C15,0))+1)+((L692/(L692-1)-1)*(1-_xlfn.XLOOKUP(K692,'Fevereiro 2023 - Valor Real'!A3:A15,'Fevereiro 2023 - Valor Real'!C3:C15,0))+1)),((L692-1)*(1-_xlfn.XLOOKUP(K692,'Fevereiro 2023 - Valor Real'!A3:A15,'Fevereiro 2023 - Valor Real'!C3:C15,0))+1)/(((L692-1)*(1-_xlfn.XLOOKUP(K692,'Fevereiro 2023 - Valor Real'!A3:A15,'Fevereiro 2023 - Valor Real'!C3:C15,0))+1)+((L691-1)*(1-_xlfn.XLOOKUP(K691,'Fevereiro 2023 - Valor Real'!A3:A15,'Fevereiro 2023 - Valor Real'!C3:C15,0))+1))))))</f>
        <v>0.6767676767676768</v>
      </c>
      <c r="AF691" s="105">
        <f t="shared" si="1373"/>
        <v>0</v>
      </c>
      <c r="AG691" s="106">
        <f t="shared" si="1373"/>
        <v>-23.91</v>
      </c>
      <c r="AH691" s="106">
        <f t="shared" si="1373"/>
        <v>0</v>
      </c>
      <c r="AI691" s="106">
        <f t="shared" si="1373"/>
        <v>0</v>
      </c>
      <c r="AJ691" s="106">
        <f t="shared" si="1373"/>
        <v>0</v>
      </c>
      <c r="AK691" s="106">
        <f t="shared" si="1373"/>
        <v>0</v>
      </c>
      <c r="AL691" s="106">
        <f t="shared" si="1373"/>
        <v>0</v>
      </c>
      <c r="AM691" s="106">
        <f t="shared" si="1373"/>
        <v>0</v>
      </c>
      <c r="AN691" s="106">
        <f t="shared" si="1373"/>
        <v>0</v>
      </c>
      <c r="AO691" s="106">
        <f t="shared" si="1373"/>
        <v>0</v>
      </c>
      <c r="AP691" s="106">
        <f t="shared" si="1373"/>
        <v>0</v>
      </c>
      <c r="AQ691" s="106">
        <f t="shared" si="1373"/>
        <v>0</v>
      </c>
      <c r="AR691" s="107">
        <f t="shared" si="1373"/>
        <v>0</v>
      </c>
      <c r="AS691" s="105">
        <f t="shared" ref="AS691:BE691" si="1384">IF(AND($B691=" ",$K691=AS$3),$O691,0)</f>
        <v>0</v>
      </c>
      <c r="AT691" s="106">
        <f t="shared" si="1384"/>
        <v>0</v>
      </c>
      <c r="AU691" s="106">
        <f t="shared" si="1384"/>
        <v>0</v>
      </c>
      <c r="AV691" s="106">
        <f t="shared" si="1384"/>
        <v>0</v>
      </c>
      <c r="AW691" s="106">
        <f t="shared" si="1384"/>
        <v>0</v>
      </c>
      <c r="AX691" s="106">
        <f t="shared" si="1384"/>
        <v>0</v>
      </c>
      <c r="AY691" s="108">
        <f t="shared" si="1384"/>
        <v>0</v>
      </c>
      <c r="AZ691" s="109">
        <f t="shared" si="1384"/>
        <v>0</v>
      </c>
      <c r="BA691" s="109">
        <f t="shared" si="1384"/>
        <v>0</v>
      </c>
      <c r="BB691" s="109">
        <f t="shared" si="1384"/>
        <v>0</v>
      </c>
      <c r="BC691" s="110">
        <f t="shared" si="1384"/>
        <v>0</v>
      </c>
      <c r="BD691" s="106">
        <f t="shared" si="1384"/>
        <v>0</v>
      </c>
      <c r="BE691" s="107">
        <f t="shared" si="1384"/>
        <v>0</v>
      </c>
      <c r="BF691" s="111">
        <f t="shared" si="1375"/>
        <v>0</v>
      </c>
      <c r="BG691" s="106">
        <f t="shared" si="1375"/>
        <v>23.91</v>
      </c>
      <c r="BH691" s="106">
        <f t="shared" si="1375"/>
        <v>0</v>
      </c>
      <c r="BI691" s="106">
        <f t="shared" si="1375"/>
        <v>0</v>
      </c>
      <c r="BJ691" s="106">
        <f t="shared" si="1375"/>
        <v>0</v>
      </c>
      <c r="BK691" s="106">
        <f t="shared" si="1375"/>
        <v>0</v>
      </c>
      <c r="BL691" s="106">
        <f t="shared" si="1375"/>
        <v>0</v>
      </c>
      <c r="BM691" s="108">
        <f t="shared" si="1375"/>
        <v>0</v>
      </c>
      <c r="BN691" s="109">
        <f t="shared" si="1375"/>
        <v>0</v>
      </c>
      <c r="BO691" s="109">
        <f t="shared" si="1375"/>
        <v>0</v>
      </c>
      <c r="BP691" s="109">
        <f t="shared" si="1375"/>
        <v>0</v>
      </c>
      <c r="BQ691" s="110">
        <f t="shared" si="1375"/>
        <v>0</v>
      </c>
      <c r="BR691" s="107">
        <f t="shared" si="1375"/>
        <v>0</v>
      </c>
      <c r="BS691" s="463">
        <f>IF($B691="LOSS",IF(AND($K691=BS$3,$C691="L"),-$O691,0)+IF(AND($K692=BS$3,$C692="L"),-$O692,0)+IF(AND($K693=BS$3,$C693="L"),-$O693,0),IF(OR(AND($K691=BS$3,OR($C691="W",$C691="1/2W")),AND($K692=BS$3,OR($C692="W",$C692="1/2W")),AND($K693=BS$3,OR($C693="W",$C693="1/2W"))),$S691,0))</f>
        <v>0</v>
      </c>
      <c r="BT691" s="462">
        <f>IF($B691="LOSS",IF(AND($K691=BT$3,$C691="L"),-$O691,0)+IF(AND($K692=BT$3,$C692="L"),-$O692,0)+IF(AND($K692=BT$3,$C693="L"),-$O693,0),IF(OR(AND($K692=BT$3,OR($C691="W",$C691="1/2W")),AND($K692=BT$3,OR($C692="W",$C692="1/2W")),AND($K692=BT$3,OR($C693="W",$C693="1/2W"))),$S691,0))</f>
        <v>0</v>
      </c>
      <c r="BU691" s="462">
        <f>IF($B691="LOSS",IF(AND($K691=BU$3,$C691="L"),-$O691,0)+IF(AND($K692=BU$3,$C692="L"),-$O692,0)+IF(AND($K692=BU$3,$C693="L"),-$O693,0),IF(OR(AND($K692=BU$3,OR($C691="W",$C691="1/2W")),AND($K692=BU$3,OR($C692="W",$C692="1/2W")),AND($K692=BU$3,OR($C693="W",$C693="1/2W"))),$S691,0))</f>
        <v>0</v>
      </c>
      <c r="BV691" s="462">
        <f t="shared" ref="BV691:CE691" si="1385">IF($B691="LOSS",IF(AND($K691=BV$3,$C691="L"),-$O691,0)+IF(AND($K692=BV$3,$C692="L"),-$O692,0)+IF(AND($K693=BV$3,$C693="L"),-$O693,0),IF(OR(AND($K691=BV$3,OR($C691="W",$C691="1/2W")),AND($K692=BV$3,OR($C692="W",$C692="1/2W")),AND($K693=BV$3,OR($C693="W",$C693="1/2W"))),$S691,0))</f>
        <v>0</v>
      </c>
      <c r="BW691" s="462">
        <f t="shared" si="1385"/>
        <v>0</v>
      </c>
      <c r="BX691" s="462">
        <f t="shared" si="1385"/>
        <v>0</v>
      </c>
      <c r="BY691" s="462">
        <f t="shared" si="1385"/>
        <v>0</v>
      </c>
      <c r="BZ691" s="460">
        <f t="shared" si="1385"/>
        <v>0</v>
      </c>
      <c r="CA691" s="460">
        <f t="shared" si="1385"/>
        <v>0</v>
      </c>
      <c r="CB691" s="460">
        <f t="shared" si="1385"/>
        <v>0</v>
      </c>
      <c r="CC691" s="460">
        <f t="shared" si="1385"/>
        <v>0</v>
      </c>
      <c r="CD691" s="473">
        <f t="shared" si="1385"/>
        <v>2.2200000000000002</v>
      </c>
      <c r="CE691" s="479">
        <f t="shared" si="1385"/>
        <v>0</v>
      </c>
      <c r="CF691" s="113">
        <f t="shared" si="1285"/>
        <v>0</v>
      </c>
      <c r="CG691" s="114">
        <f t="shared" si="1286"/>
        <v>0</v>
      </c>
      <c r="CH691" s="114">
        <f t="shared" si="1287"/>
        <v>0</v>
      </c>
      <c r="CI691" s="114">
        <f t="shared" si="1288"/>
        <v>1</v>
      </c>
      <c r="CJ691" s="114">
        <f t="shared" si="1289"/>
        <v>0</v>
      </c>
      <c r="CK691" s="114">
        <f t="shared" si="1290"/>
        <v>0</v>
      </c>
      <c r="CL691" s="114">
        <f t="shared" si="1291"/>
        <v>0</v>
      </c>
      <c r="CM691" s="114">
        <f t="shared" si="1292"/>
        <v>0</v>
      </c>
      <c r="CN691" s="114">
        <f t="shared" si="1293"/>
        <v>0</v>
      </c>
      <c r="CO691" s="114">
        <f t="shared" si="1294"/>
        <v>0</v>
      </c>
      <c r="CP691" s="114">
        <f t="shared" si="1295"/>
        <v>0</v>
      </c>
      <c r="CQ691" s="114">
        <f t="shared" si="1296"/>
        <v>0</v>
      </c>
      <c r="CR691" s="114">
        <f t="shared" si="1297"/>
        <v>0</v>
      </c>
      <c r="CS691" s="114">
        <f t="shared" si="1298"/>
        <v>0</v>
      </c>
      <c r="CT691" s="115">
        <f t="shared" si="1299"/>
        <v>0</v>
      </c>
      <c r="CU691" s="116">
        <f t="shared" si="1300"/>
        <v>0</v>
      </c>
      <c r="CV691" s="116">
        <f t="shared" si="1301"/>
        <v>0</v>
      </c>
      <c r="CW691" s="116">
        <f t="shared" si="1302"/>
        <v>0</v>
      </c>
      <c r="CX691" s="116">
        <f t="shared" si="1303"/>
        <v>0</v>
      </c>
      <c r="CY691" s="116">
        <f t="shared" si="1304"/>
        <v>0</v>
      </c>
      <c r="CZ691" s="116">
        <f t="shared" si="1305"/>
        <v>0</v>
      </c>
      <c r="DA691" s="116">
        <f t="shared" si="1306"/>
        <v>0</v>
      </c>
      <c r="DB691" s="116">
        <f t="shared" si="1307"/>
        <v>0</v>
      </c>
      <c r="DC691" s="116">
        <f t="shared" si="1308"/>
        <v>0</v>
      </c>
      <c r="DD691" s="116">
        <f t="shared" si="1309"/>
        <v>0</v>
      </c>
      <c r="DE691" s="117">
        <f t="shared" si="1310"/>
        <v>0</v>
      </c>
      <c r="DF691" s="118">
        <f t="shared" si="1312"/>
        <v>41</v>
      </c>
      <c r="DG691" s="106">
        <f t="shared" si="1313"/>
        <v>54.467999999999996</v>
      </c>
      <c r="DH691" s="116">
        <f t="shared" si="1314"/>
        <v>16</v>
      </c>
      <c r="DI691" s="106">
        <f t="shared" si="1315"/>
        <v>68.699999999999989</v>
      </c>
      <c r="DJ691" s="201" t="str">
        <f>IF($D691="","",$D691)</f>
        <v>22</v>
      </c>
      <c r="DK691" s="465">
        <f>IF(AND($B691=" ",$D691&lt;&gt;""),1,0)</f>
        <v>0</v>
      </c>
    </row>
    <row r="692" spans="1:115" ht="14.5" customHeight="1" x14ac:dyDescent="0.2">
      <c r="A692" s="389"/>
      <c r="B692" s="456"/>
      <c r="C692" s="120" t="s">
        <v>54</v>
      </c>
      <c r="D692" s="374"/>
      <c r="E692" s="386"/>
      <c r="F692" s="377"/>
      <c r="G692" s="483"/>
      <c r="H692" s="476"/>
      <c r="I692" s="121" t="s">
        <v>52</v>
      </c>
      <c r="J692" s="122">
        <f>IF(OR(I691="TO",I691="TU",I691="TO1",I691="TU1",I691="TO2",I691="TU2"),J691,IF(OR(I691="AH1",I691="AH2"),IF(OR(I692="AH1",I692="AH2"),-J691,IF(OR(I692="EH1",I692="EH2"),-J691+0.5,"")),IF(OR(I691="EH1",I691="EH2"),IF(OR(I692="AH1",I692="AH2"),-J691+0.5,IF(OR(I692="EH1",I692="EH2"),-J691+1,"")),IF(AND(OR(I691="DNB1",I691="DNB2"),OR(I692="AH1",I692="AH2")),0,IF(AND(I691="Not ScoreBoth",OR(I692="TO1",I692="TO2")),0.5,"")))))</f>
        <v>3.5</v>
      </c>
      <c r="K692" s="123" t="s">
        <v>47</v>
      </c>
      <c r="L692" s="124">
        <v>3.35</v>
      </c>
      <c r="M692" s="125">
        <v>11.12</v>
      </c>
      <c r="N692" s="406"/>
      <c r="O692" s="126">
        <f>IF(OR(AE691="",AE692=""),"",ROUND(IF(L693&gt;0,IF(M692&gt;0,M692,IF(M691&gt;0,IF(N691=TRUE,ROUND((M691*AE692)/AE691,0),(M691*AE692)/AE691),IF(M692&gt;0,ROUND(M692,IF(N691=0,2,IF(N691=0.1,1,0))),IF(M693&gt;0,ROUND(O693*AE692/AE693,IF(N691=0,2,IF(N691=0.1,1,0))),0)))),IF(M692&gt;0,M692,ROUND((M691*AE692)/AE691,IF(N691=0,2,IF(N691=0.1,1,0))))),2))</f>
        <v>11.12</v>
      </c>
      <c r="P692" s="127">
        <f>IF(OR(L692="",O692=""),"",IF($C692="1/2W",O692/2+O692/2*L692,IF($C692="1/2L",O692/2,IF(I692="Lay",((O692*(L692/(L692-1)))-O692)*(1-_xlfn.XLOOKUP(K692,'Fevereiro 2023 - Valor Real'!A3:A15,'Fevereiro 2023 - Valor Real'!C3:C15,0))+O692,(O692*L692-O692)*(1-_xlfn.XLOOKUP(K692,'Fevereiro 2023 - Valor Real'!A3:A15,'Fevereiro 2023 - Valor Real'!C3:C15,0))+O692))))</f>
        <v>37.251999999999995</v>
      </c>
      <c r="Q692" s="128">
        <f>IF(K692="","",IF(_xlfn.XLOOKUP(K692,K$4:K691,$DJ$4:DJ691,0,,-1)=DJ692,_xlfn.XLOOKUP(K692,K$4:K691,Q$4:Q691,1,,-1)+1,1))</f>
        <v>2</v>
      </c>
      <c r="R692" s="129">
        <f>IF(K692="","",_xlfn.XLOOKUP(K692,K$4:K691,R$4:R691,0,,-1)+IF($C692=" ",1,0))</f>
        <v>0</v>
      </c>
      <c r="S692" s="403"/>
      <c r="T692" s="380"/>
      <c r="U692" s="380"/>
      <c r="V692" s="481"/>
      <c r="W692" s="380"/>
      <c r="X692" s="452"/>
      <c r="Y692" s="383"/>
      <c r="Z692" s="384"/>
      <c r="AA692" s="384"/>
      <c r="AB692" s="384"/>
      <c r="AC692" s="384"/>
      <c r="AD692" s="130">
        <f>(((L692/(L692-1)-1)*(1-_xlfn.XLOOKUP(K692,'Fevereiro 2023 - Valor Real'!A3:A15,'Fevereiro 2023 - Valor Real'!C3:C15,0))+1))</f>
        <v>1.425531914893617</v>
      </c>
      <c r="AE692" s="131">
        <f>IF(L692="","",IF(L693&gt;0,(SUM(((L691-1)*(1-_xlfn.XLOOKUP(K691,'Fevereiro 2023 - Valor Real'!A3:A15,'Fevereiro 2023 - Valor Real'!C3:C15,0))+1),((L692-1)*(1-_xlfn.XLOOKUP(K692,'Fevereiro 2023 - Valor Real'!A3:A15,'Fevereiro 2023 - Valor Real'!C3:C15,0))+1),((L693-1)*(1-_xlfn.XLOOKUP(K693,'Fevereiro 2023 - Valor Real'!A3:A15,'Fevereiro 2023 - Valor Real'!C3:C15,0))+1))/((L692-1)*(1-_xlfn.XLOOKUP(K692,'Fevereiro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Real'!C3:C15,0))+1))/((L691-1)*(1-_xlfn.XLOOKUP(K691,'Fevereiro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Real'!C3:C15,0))+1))/((L692-1)*(1-_xlfn.XLOOKUP(K692,'Fevereiro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Real'!C3:C15,0))+1))/((L693-1)*(1-_xlfn.XLOOKUP(K693,'Fevereiro 2023 - Valor Real'!A3:A15,'Fevereiro 2023 - Valor Real'!C3:C15,0))+1)),IF(I692="Lay",IF(I691="Lay",((L691/(L691-1)-1)*(1-_xlfn.XLOOKUP(K691,'Fevereiro 2023 - Valor Real'!A3:A15,'Fevereiro 2023 - Valor Real'!C3:C15,0))+1)/(((L691/(L691-1)-1)*(1-_xlfn.XLOOKUP(K691,'Fevereiro 2023 - Valor Real'!A3:A15,'Fevereiro 2023 - Valor Real'!C3:C15,0))+1)+((L692/(L692-1)-1)*(1-_xlfn.XLOOKUP(K692,'Fevereiro 2023 - Valor Real'!A3:A15,'Fevereiro 2023 - Valor Real'!C3:C15,0))+1)),((L691-1)*(1-_xlfn.XLOOKUP(K691,'Fevereiro 2023 - Valor Real'!A3:A15,'Fevereiro 2023 - Valor Real'!C3:C15,0))+1)/(((L691-1)*(1-_xlfn.XLOOKUP(K691,'Fevereiro 2023 - Valor Real'!A3:A15,'Fevereiro 2023 - Valor Real'!C3:C15,0))+1)+((L692/(L692-1)-1)*(1-_xlfn.XLOOKUP(K692,'Fevereiro 2023 - Valor Real'!A3:A15,'Fevereiro 2023 - Valor Real'!C3:C15,0))+1))),IF(I691="Lay",((L691/(L691-1)-1)*(1-_xlfn.XLOOKUP(K691,'Fevereiro 2023 - Valor Real'!A3:A15,'Fevereiro 2023 - Valor Real'!C3:C15,0))+1)/((((L691/(L691-1)-1)*(1-_xlfn.XLOOKUP(K691,'Fevereiro 2023 - Valor Real'!A3:A15,'Fevereiro 2023 - Valor Real'!C3:C15,0))+1))+((L692-1)*(1-_xlfn.XLOOKUP(K692,'Fevereiro 2023 - Valor Real'!A3:A15,'Fevereiro 2023 - Valor Real'!C3:C15,0))+1)),((L691-1)*(1-_xlfn.XLOOKUP(K691,'Fevereiro 2023 - Valor Real'!A3:A15,'Fevereiro 2023 - Valor Real'!C3:C15,0))+1)/(((L691-1)*(1-_xlfn.XLOOKUP(K691,'Fevereiro 2023 - Valor Real'!A3:A15,'Fevereiro 2023 - Valor Real'!C3:C15,0))+1)+((L692-1)*(1-_xlfn.XLOOKUP(K692,'Fevereiro 2023 - Valor Real'!A3:A15,'Fevereiro 2023 - Valor Real'!C3:C15,0))+1))))))</f>
        <v>0.32323232323232326</v>
      </c>
      <c r="AF692" s="105">
        <f t="shared" si="1373"/>
        <v>0</v>
      </c>
      <c r="AG692" s="106">
        <f t="shared" si="1373"/>
        <v>0</v>
      </c>
      <c r="AH692" s="106">
        <f t="shared" si="1373"/>
        <v>0</v>
      </c>
      <c r="AI692" s="106">
        <f t="shared" si="1373"/>
        <v>0</v>
      </c>
      <c r="AJ692" s="106">
        <f t="shared" si="1373"/>
        <v>0</v>
      </c>
      <c r="AK692" s="106">
        <f t="shared" si="1373"/>
        <v>0</v>
      </c>
      <c r="AL692" s="106">
        <f t="shared" si="1373"/>
        <v>0</v>
      </c>
      <c r="AM692" s="106">
        <f t="shared" si="1373"/>
        <v>0</v>
      </c>
      <c r="AN692" s="106">
        <f t="shared" si="1373"/>
        <v>0</v>
      </c>
      <c r="AO692" s="106">
        <f t="shared" si="1373"/>
        <v>0</v>
      </c>
      <c r="AP692" s="106">
        <f t="shared" si="1373"/>
        <v>0</v>
      </c>
      <c r="AQ692" s="106">
        <f t="shared" si="1373"/>
        <v>26.13</v>
      </c>
      <c r="AR692" s="107">
        <f t="shared" si="1373"/>
        <v>0</v>
      </c>
      <c r="AS692" s="105">
        <f>IF(AND($B691=" ",$K692=AS$3),$O692,0)</f>
        <v>0</v>
      </c>
      <c r="AT692" s="106">
        <f>IF(AND($B691=" ",K692=AT$3),$O692,0)</f>
        <v>0</v>
      </c>
      <c r="AU692" s="106">
        <f t="shared" ref="AU692:BE692" si="1386">IF(AND($B691=" ",$K692=AU$3),$O692,0)</f>
        <v>0</v>
      </c>
      <c r="AV692" s="106">
        <f t="shared" si="1386"/>
        <v>0</v>
      </c>
      <c r="AW692" s="106">
        <f t="shared" si="1386"/>
        <v>0</v>
      </c>
      <c r="AX692" s="106">
        <f t="shared" si="1386"/>
        <v>0</v>
      </c>
      <c r="AY692" s="108">
        <f t="shared" si="1386"/>
        <v>0</v>
      </c>
      <c r="AZ692" s="109">
        <f t="shared" si="1386"/>
        <v>0</v>
      </c>
      <c r="BA692" s="109">
        <f t="shared" si="1386"/>
        <v>0</v>
      </c>
      <c r="BB692" s="109">
        <f t="shared" si="1386"/>
        <v>0</v>
      </c>
      <c r="BC692" s="110">
        <f t="shared" si="1386"/>
        <v>0</v>
      </c>
      <c r="BD692" s="106">
        <f t="shared" si="1386"/>
        <v>0</v>
      </c>
      <c r="BE692" s="107">
        <f t="shared" si="1386"/>
        <v>0</v>
      </c>
      <c r="BF692" s="105">
        <f t="shared" si="1375"/>
        <v>0</v>
      </c>
      <c r="BG692" s="106">
        <f t="shared" si="1375"/>
        <v>0</v>
      </c>
      <c r="BH692" s="106">
        <f t="shared" si="1375"/>
        <v>0</v>
      </c>
      <c r="BI692" s="106">
        <f t="shared" si="1375"/>
        <v>0</v>
      </c>
      <c r="BJ692" s="106">
        <f t="shared" si="1375"/>
        <v>0</v>
      </c>
      <c r="BK692" s="106">
        <f t="shared" si="1375"/>
        <v>0</v>
      </c>
      <c r="BL692" s="106">
        <f t="shared" si="1375"/>
        <v>0</v>
      </c>
      <c r="BM692" s="132">
        <f t="shared" si="1375"/>
        <v>0</v>
      </c>
      <c r="BN692" s="112">
        <f t="shared" si="1375"/>
        <v>0</v>
      </c>
      <c r="BO692" s="112">
        <f t="shared" si="1375"/>
        <v>0</v>
      </c>
      <c r="BP692" s="112">
        <f t="shared" si="1375"/>
        <v>0</v>
      </c>
      <c r="BQ692" s="110">
        <f t="shared" si="1375"/>
        <v>11.12</v>
      </c>
      <c r="BR692" s="107">
        <f t="shared" si="1375"/>
        <v>0</v>
      </c>
      <c r="BS692" s="464"/>
      <c r="BT692" s="461"/>
      <c r="BU692" s="392"/>
      <c r="BV692" s="461"/>
      <c r="BW692" s="392"/>
      <c r="BX692" s="392"/>
      <c r="BY692" s="392"/>
      <c r="BZ692" s="461"/>
      <c r="CA692" s="392"/>
      <c r="CB692" s="392"/>
      <c r="CC692" s="392"/>
      <c r="CD692" s="401"/>
      <c r="CE692" s="409"/>
      <c r="CF692" s="133">
        <f t="shared" si="1285"/>
        <v>0</v>
      </c>
      <c r="CG692" s="134">
        <f t="shared" si="1286"/>
        <v>0</v>
      </c>
      <c r="CH692" s="134">
        <f t="shared" si="1287"/>
        <v>0</v>
      </c>
      <c r="CI692" s="134">
        <f t="shared" si="1288"/>
        <v>0</v>
      </c>
      <c r="CJ692" s="134">
        <f t="shared" si="1289"/>
        <v>0</v>
      </c>
      <c r="CK692" s="134">
        <f t="shared" si="1290"/>
        <v>0</v>
      </c>
      <c r="CL692" s="134">
        <f t="shared" si="1291"/>
        <v>0</v>
      </c>
      <c r="CM692" s="134">
        <f t="shared" si="1292"/>
        <v>0</v>
      </c>
      <c r="CN692" s="134">
        <f t="shared" si="1293"/>
        <v>0</v>
      </c>
      <c r="CO692" s="134">
        <f t="shared" si="1294"/>
        <v>0</v>
      </c>
      <c r="CP692" s="134">
        <f t="shared" si="1295"/>
        <v>0</v>
      </c>
      <c r="CQ692" s="134">
        <f t="shared" si="1296"/>
        <v>0</v>
      </c>
      <c r="CR692" s="134">
        <f t="shared" si="1297"/>
        <v>0</v>
      </c>
      <c r="CS692" s="134">
        <f t="shared" si="1298"/>
        <v>0</v>
      </c>
      <c r="CT692" s="115">
        <f t="shared" si="1299"/>
        <v>0</v>
      </c>
      <c r="CU692" s="116">
        <f t="shared" si="1300"/>
        <v>0</v>
      </c>
      <c r="CV692" s="116">
        <f t="shared" si="1301"/>
        <v>0</v>
      </c>
      <c r="CW692" s="116">
        <f t="shared" si="1302"/>
        <v>0</v>
      </c>
      <c r="CX692" s="116">
        <f t="shared" si="1303"/>
        <v>0</v>
      </c>
      <c r="CY692" s="116">
        <f t="shared" si="1304"/>
        <v>0</v>
      </c>
      <c r="CZ692" s="116">
        <f t="shared" si="1305"/>
        <v>0</v>
      </c>
      <c r="DA692" s="116">
        <f t="shared" si="1306"/>
        <v>0</v>
      </c>
      <c r="DB692" s="116">
        <f t="shared" si="1307"/>
        <v>1</v>
      </c>
      <c r="DC692" s="116">
        <f t="shared" si="1308"/>
        <v>0</v>
      </c>
      <c r="DD692" s="116">
        <f t="shared" si="1309"/>
        <v>0</v>
      </c>
      <c r="DE692" s="117">
        <f t="shared" si="1310"/>
        <v>0</v>
      </c>
      <c r="DF692" s="118">
        <f t="shared" si="1312"/>
        <v>41</v>
      </c>
      <c r="DG692" s="106">
        <f t="shared" si="1313"/>
        <v>54.467999999999996</v>
      </c>
      <c r="DH692" s="116">
        <f t="shared" si="1314"/>
        <v>16</v>
      </c>
      <c r="DI692" s="106">
        <f t="shared" si="1315"/>
        <v>68.699999999999989</v>
      </c>
      <c r="DJ692" s="201" t="str">
        <f>IF($D691="","",$D691)</f>
        <v>22</v>
      </c>
      <c r="DK692" s="466"/>
    </row>
    <row r="693" spans="1:115" ht="14.5" customHeight="1" x14ac:dyDescent="0.2">
      <c r="A693" s="390"/>
      <c r="B693" s="457"/>
      <c r="C693" s="135" t="s">
        <v>53</v>
      </c>
      <c r="D693" s="375"/>
      <c r="E693" s="387"/>
      <c r="F693" s="378"/>
      <c r="G693" s="484"/>
      <c r="H693" s="477"/>
      <c r="I693" s="136"/>
      <c r="J693" s="137"/>
      <c r="K693" s="138"/>
      <c r="L693" s="139"/>
      <c r="M693" s="140"/>
      <c r="N693" s="407"/>
      <c r="O693" s="141" t="str">
        <f>IF(OR(AE691="",AE692=""),"",IF(L693&gt;0,ROUND(IF(M693&gt;0,M693,IF(M691&gt;0,ROUND((M691*AE693)/AE691,IF(N691=0,2,IF(N691=0.1,1,0))),IF(M692&gt;0,ROUND((M692*AE693)/AE692,IF(N691=0,2,IF(N691=0.1,1,0))),IF(M693&gt;0,M693,0)))),2),""))</f>
        <v/>
      </c>
      <c r="P693" s="142" t="str">
        <f>IF(I692="Lay",O692*(L692/(L692-1))-O692,IF(I691="Lay",O691*(L691/(L691-1))-O691,IF(OR(L693="",O693=""),"",IF($C693="1/2W",O693/2+O693/2*L693,IF($C693="1/2L",O693/2,(O693*L693-O693)*(1-_xlfn.XLOOKUP(K693,'Fevereiro 2023 - Valor Real'!A3:A15,'Fevereiro 2023 - Valor Real'!C3:C15,0))+O693)))))</f>
        <v/>
      </c>
      <c r="Q693" s="143" t="str">
        <f>IF(K693="","",IF(_xlfn.XLOOKUP(K693,K$4:K692,$DJ$4:DJ692,0,,-1)=DJ693,_xlfn.XLOOKUP(K693,K$4:K692,Q$4:Q692,1,,-1)+1,1))</f>
        <v/>
      </c>
      <c r="R693" s="144" t="str">
        <f>IF(K693="","",_xlfn.XLOOKUP(K693,K$4:K692,R$4:R692,0,,-1)+IF($C693=" ",1,0))</f>
        <v/>
      </c>
      <c r="S693" s="404"/>
      <c r="T693" s="378"/>
      <c r="U693" s="378"/>
      <c r="V693" s="404"/>
      <c r="W693" s="378"/>
      <c r="X693" s="453"/>
      <c r="Y693" s="383"/>
      <c r="Z693" s="384"/>
      <c r="AA693" s="384"/>
      <c r="AB693" s="384"/>
      <c r="AC693" s="384"/>
      <c r="AD693" s="145">
        <f>((L692/(L692-1)-1))</f>
        <v>0.42553191489361697</v>
      </c>
      <c r="AE693" s="146" t="str">
        <f>IF(L693="","",(SUM(((L691-1)*(1-_xlfn.XLOOKUP(K691,'Fevereiro 2023 - Valor Real'!A3:A15,'Fevereiro 2023 - Valor Real'!C3:C15,0))+1),((L692-1)*(1-_xlfn.XLOOKUP(K692,'Fevereiro 2023 - Valor Real'!A3:A15,'Fevereiro 2023 - Valor Real'!C3:C15,0))+1),((L693-1)*(1-_xlfn.XLOOKUP(K693,'Fevereiro 2023 - Valor Real'!A3:A15,'Fevereiro 2023 - Valor Real'!C3:C15,0))+1))/((L693-1)*(1-_xlfn.XLOOKUP(K693,'Fevereiro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Real'!C3:C15,0))+1))/((L691-1)*(1-_xlfn.XLOOKUP(K691,'Fevereiro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Real'!C3:C15,0))+1))/((L692-1)*(1-_xlfn.XLOOKUP(K692,'Fevereiro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Real'!C3:C15,0))+1))/((L693-1)*(1-_xlfn.XLOOKUP(K693,'Fevereiro 2023 - Valor Real'!A3:A15,'Fevereiro 2023 - Valor Real'!C3:C15,0))+1)))</f>
        <v/>
      </c>
      <c r="AF693" s="105">
        <f t="shared" si="1373"/>
        <v>0</v>
      </c>
      <c r="AG693" s="106">
        <f t="shared" si="1373"/>
        <v>0</v>
      </c>
      <c r="AH693" s="106">
        <f t="shared" si="1373"/>
        <v>0</v>
      </c>
      <c r="AI693" s="106">
        <f t="shared" si="1373"/>
        <v>0</v>
      </c>
      <c r="AJ693" s="106">
        <f t="shared" si="1373"/>
        <v>0</v>
      </c>
      <c r="AK693" s="106">
        <f t="shared" si="1373"/>
        <v>0</v>
      </c>
      <c r="AL693" s="106">
        <f t="shared" si="1373"/>
        <v>0</v>
      </c>
      <c r="AM693" s="106">
        <f t="shared" si="1373"/>
        <v>0</v>
      </c>
      <c r="AN693" s="106">
        <f t="shared" si="1373"/>
        <v>0</v>
      </c>
      <c r="AO693" s="106">
        <f t="shared" si="1373"/>
        <v>0</v>
      </c>
      <c r="AP693" s="106">
        <f t="shared" si="1373"/>
        <v>0</v>
      </c>
      <c r="AQ693" s="106">
        <f t="shared" si="1373"/>
        <v>0</v>
      </c>
      <c r="AR693" s="107">
        <f t="shared" si="1373"/>
        <v>0</v>
      </c>
      <c r="AS693" s="105">
        <f>IF(AND($B691=" ",$K693=AS$3),$O693,0)</f>
        <v>0</v>
      </c>
      <c r="AT693" s="106">
        <f>IF(AND($B691=" ",K693=AT$3),$O693,0)</f>
        <v>0</v>
      </c>
      <c r="AU693" s="106">
        <f t="shared" ref="AU693:BE693" si="1387">IF(AND($B691=" ",$K693=AU$3),$O693,0)</f>
        <v>0</v>
      </c>
      <c r="AV693" s="106">
        <f t="shared" si="1387"/>
        <v>0</v>
      </c>
      <c r="AW693" s="106">
        <f t="shared" si="1387"/>
        <v>0</v>
      </c>
      <c r="AX693" s="106">
        <f t="shared" si="1387"/>
        <v>0</v>
      </c>
      <c r="AY693" s="108">
        <f t="shared" si="1387"/>
        <v>0</v>
      </c>
      <c r="AZ693" s="109">
        <f t="shared" si="1387"/>
        <v>0</v>
      </c>
      <c r="BA693" s="109">
        <f t="shared" si="1387"/>
        <v>0</v>
      </c>
      <c r="BB693" s="109">
        <f t="shared" si="1387"/>
        <v>0</v>
      </c>
      <c r="BC693" s="110">
        <f t="shared" si="1387"/>
        <v>0</v>
      </c>
      <c r="BD693" s="106">
        <f t="shared" si="1387"/>
        <v>0</v>
      </c>
      <c r="BE693" s="107">
        <f t="shared" si="1387"/>
        <v>0</v>
      </c>
      <c r="BF693" s="105">
        <f t="shared" si="1375"/>
        <v>0</v>
      </c>
      <c r="BG693" s="106">
        <f t="shared" si="1375"/>
        <v>0</v>
      </c>
      <c r="BH693" s="106">
        <f t="shared" si="1375"/>
        <v>0</v>
      </c>
      <c r="BI693" s="106">
        <f t="shared" si="1375"/>
        <v>0</v>
      </c>
      <c r="BJ693" s="106">
        <f t="shared" si="1375"/>
        <v>0</v>
      </c>
      <c r="BK693" s="106">
        <f t="shared" si="1375"/>
        <v>0</v>
      </c>
      <c r="BL693" s="106">
        <f t="shared" si="1375"/>
        <v>0</v>
      </c>
      <c r="BM693" s="108">
        <f t="shared" si="1375"/>
        <v>0</v>
      </c>
      <c r="BN693" s="109">
        <f t="shared" si="1375"/>
        <v>0</v>
      </c>
      <c r="BO693" s="109">
        <f t="shared" si="1375"/>
        <v>0</v>
      </c>
      <c r="BP693" s="109">
        <f t="shared" si="1375"/>
        <v>0</v>
      </c>
      <c r="BQ693" s="110">
        <f t="shared" si="1375"/>
        <v>0</v>
      </c>
      <c r="BR693" s="107">
        <f t="shared" si="1375"/>
        <v>0</v>
      </c>
      <c r="BS693" s="464"/>
      <c r="BT693" s="461"/>
      <c r="BU693" s="392"/>
      <c r="BV693" s="461"/>
      <c r="BW693" s="392"/>
      <c r="BX693" s="392"/>
      <c r="BY693" s="392"/>
      <c r="BZ693" s="461"/>
      <c r="CA693" s="392"/>
      <c r="CB693" s="392"/>
      <c r="CC693" s="392"/>
      <c r="CD693" s="401"/>
      <c r="CE693" s="409"/>
      <c r="CF693" s="133">
        <f t="shared" si="1285"/>
        <v>0</v>
      </c>
      <c r="CG693" s="134">
        <f t="shared" si="1286"/>
        <v>0</v>
      </c>
      <c r="CH693" s="134">
        <f t="shared" si="1287"/>
        <v>0</v>
      </c>
      <c r="CI693" s="134">
        <f t="shared" si="1288"/>
        <v>0</v>
      </c>
      <c r="CJ693" s="134">
        <f t="shared" si="1289"/>
        <v>0</v>
      </c>
      <c r="CK693" s="134">
        <f t="shared" si="1290"/>
        <v>0</v>
      </c>
      <c r="CL693" s="134">
        <f t="shared" si="1291"/>
        <v>0</v>
      </c>
      <c r="CM693" s="134">
        <f t="shared" si="1292"/>
        <v>0</v>
      </c>
      <c r="CN693" s="134">
        <f t="shared" si="1293"/>
        <v>0</v>
      </c>
      <c r="CO693" s="134">
        <f t="shared" si="1294"/>
        <v>0</v>
      </c>
      <c r="CP693" s="134">
        <f t="shared" si="1295"/>
        <v>0</v>
      </c>
      <c r="CQ693" s="134">
        <f t="shared" si="1296"/>
        <v>0</v>
      </c>
      <c r="CR693" s="134">
        <f t="shared" si="1297"/>
        <v>0</v>
      </c>
      <c r="CS693" s="134">
        <f t="shared" si="1298"/>
        <v>0</v>
      </c>
      <c r="CT693" s="115">
        <f t="shared" si="1299"/>
        <v>0</v>
      </c>
      <c r="CU693" s="116">
        <f t="shared" si="1300"/>
        <v>0</v>
      </c>
      <c r="CV693" s="116">
        <f t="shared" si="1301"/>
        <v>0</v>
      </c>
      <c r="CW693" s="116">
        <f t="shared" si="1302"/>
        <v>0</v>
      </c>
      <c r="CX693" s="116">
        <f t="shared" si="1303"/>
        <v>0</v>
      </c>
      <c r="CY693" s="116">
        <f t="shared" si="1304"/>
        <v>0</v>
      </c>
      <c r="CZ693" s="116">
        <f t="shared" si="1305"/>
        <v>0</v>
      </c>
      <c r="DA693" s="116">
        <f t="shared" si="1306"/>
        <v>0</v>
      </c>
      <c r="DB693" s="116">
        <f t="shared" si="1307"/>
        <v>0</v>
      </c>
      <c r="DC693" s="116">
        <f t="shared" si="1308"/>
        <v>0</v>
      </c>
      <c r="DD693" s="116">
        <f t="shared" si="1309"/>
        <v>0</v>
      </c>
      <c r="DE693" s="117">
        <f t="shared" si="1310"/>
        <v>0</v>
      </c>
      <c r="DF693" s="118">
        <f t="shared" si="1312"/>
        <v>41</v>
      </c>
      <c r="DG693" s="106">
        <f t="shared" si="1313"/>
        <v>54.467999999999996</v>
      </c>
      <c r="DH693" s="116">
        <f t="shared" si="1314"/>
        <v>16</v>
      </c>
      <c r="DI693" s="106">
        <f t="shared" si="1315"/>
        <v>68.699999999999989</v>
      </c>
      <c r="DJ693" s="201" t="str">
        <f>IF($D691="","",$D691)</f>
        <v>22</v>
      </c>
      <c r="DK693" s="466"/>
    </row>
    <row r="694" spans="1:115" ht="14.5" customHeight="1" x14ac:dyDescent="0.2">
      <c r="A694" s="487">
        <f>$A691+1</f>
        <v>231</v>
      </c>
      <c r="B694" s="506" t="str">
        <f>IF(OR(C694="W",C695="W",C696="W",C694="1/2W",C695="1/2W",C696="1/2W",C694="1/2L",C695="1/2L",C696="1/2L"),"OK",IF(OR(C694="L",C695="L",C696="L"),"LOSS",IF(OR(C694="X",C695="X",C696="X"),"Anulado"," ")))</f>
        <v>OK</v>
      </c>
      <c r="C694" s="147" t="s">
        <v>55</v>
      </c>
      <c r="D694" s="494" t="str">
        <f>IF(G694="","",$D691)</f>
        <v>22</v>
      </c>
      <c r="E694" s="511" t="str">
        <f>IF(G694=""," ","– "&amp;COUNTIF(D$4:D696,$D694))</f>
        <v>– 5</v>
      </c>
      <c r="F694" s="510" t="str">
        <f ca="1">IF(G694="","",IF(OR(AND($C694&lt;&gt;" ",$C695=" "),AND($C695&lt;&gt;" ",$C694=" "),AND(L696&gt;0,OR(AND($C696&lt;&gt;" ",OR($C694=" ",$C695=" ")),AND($C696=" ",OR($C694&lt;&gt;" ",$C695&lt;&gt;" "))))),IF(SUM(F$4:F693)=0,1,LARGE(F$4:F693,1)+1),IF(MONTH(G694)=MONTH(TODAY()),IF(AND(DAY(G694)&lt;DAY(TODAY()),$B694=" "),IF(SUM(F$4:F693)=0,1,LARGE(F$4:F693,1)+1),IF($B694=" ",IF(AND(DAY(G694)=DAY(TODAY()),HOUR(G694)&lt;=HOUR(NOW())+1),IF(AND(HOUR(G694)+2&lt;=HOUR(NOW()),DAY(G694)&lt;=DAY(TODAY()),MINUTE(G694)&lt;=MINUTE(NOW())),IF(SUM(F$4:F693)=0,1,LARGE(F$4:F693,1)+1),IF(OR(MINUTE(G694)&lt;=MINUTE(NOW()),HOUR(G694)&lt;=HOUR(NOW())),"!!!","")),""),"")),"")))</f>
        <v/>
      </c>
      <c r="G694" s="508">
        <v>45009.083333333336</v>
      </c>
      <c r="H694" s="502" t="s">
        <v>248</v>
      </c>
      <c r="I694" s="180" t="s">
        <v>51</v>
      </c>
      <c r="J694" s="181">
        <v>18.5</v>
      </c>
      <c r="K694" s="150" t="s">
        <v>40</v>
      </c>
      <c r="L694" s="151">
        <v>2.2999999999999998</v>
      </c>
      <c r="M694" s="152">
        <v>12.98</v>
      </c>
      <c r="N694" s="503">
        <v>0</v>
      </c>
      <c r="O694" s="153">
        <f>IF(OR(AE694="",AE695=""),"",ROUND(IF(L696&gt;0,IF(M694&gt;0,M694,IF(M695&gt;0,ROUND((M695*AE694)/AE695,IF(N694=0,2,IF(N694=0.1,1,0))),ROUND((M696*AE694)/AE696,IF(N694=0,2,IF(N694=0.1,1,0))))),IF(M694&gt;0,M694,ROUND((M695*AE694)/AE695,IF(N694=0,2,IF(N694=0.1,1,0))))),2))</f>
        <v>12.98</v>
      </c>
      <c r="P694" s="154">
        <f>IF(OR(L694="",O694=""),"",IF($C694="1/2W",O694/2+O694/2*L694,IF($C694="1/2L",O694/2,IF(I694="Lay",(O694*(L694/(L694-1))-O694)*(1-_xlfn.XLOOKUP(K694,'Fevereiro 2023 - Valor Real'!A3:A15,'Fevereiro 2023 - Valor Real'!C3:C15,0))+O694,(O694*L694-O694)*(1-_xlfn.XLOOKUP(K694,'Fevereiro 2023 - Valor Real'!A3:A15,'Fevereiro 2023 - Valor Real'!C3:C15,0))+O694))))</f>
        <v>29.853999999999999</v>
      </c>
      <c r="Q694" s="155">
        <f>IF(K694="","",IF(_xlfn.XLOOKUP(K694,K$9:K686,$DJ$9:DJ686,0,,-1)=DJ694,_xlfn.XLOOKUP(K694,K$9:K686,Q$9:Q686,1,,-1)+1,1))</f>
        <v>2</v>
      </c>
      <c r="R694" s="156">
        <f>IF(K694="","",_xlfn.XLOOKUP(K694,K$9:K686,R$9:R686,0,,-1)+IF($C694=" ",1,0))</f>
        <v>0</v>
      </c>
      <c r="S694" s="501">
        <f>IF($B694="Anulado",0,ROUND(IF(OR($B694="LOSS",$B694="OK"),IF(OR($C694="W",$C694="1/2W",$C694="1/2L"),P694-O694,IF($C694="L",-O694,0))+IF(OR($C695="W",$C695="1/2W",$C695="1/2L"),P695-O695,IF($C695="L",-O695,0))+IF(OR($C696="W",$C696="1/2W",$C696="1/2L"),P696-O696,IF($C696="L",-O696,0)),IF(AND(OR($C694="W",$C694="1/2W",$C694="1/2L"),C695="W"),P694+P695-SUM(O694:O696)+_xlfn.XLOOKUP("X",C694:C696,O694:O696,0),IF(AND(C694=TRUE,C696="W"),P694+P696-SUM(O694:O696),IF(AND(C695="W",C696="W"),P695+P696-SUM(O694:O696)+_xlfn.XLOOKUP("X",C694:C696,O694:O696,0),IF(L696&gt;0,IF(OR($C694="W",$C694="1/2W",$C694="1/2L"),P694-SUM(O694:O696)+_xlfn.XLOOKUP("X",C694:C696,O694:O696,0),IF(OR($C694="W",$C694="1/2W",$C694="1/2L"),P695-SUM(O694:O696)+_xlfn.XLOOKUP("X",C694:C696,O694:O696,0),IF(OR($C694="W",$C694="1/2W",$C694="1/2L"),P696-SUM(O694:O696)+_xlfn.XLOOKUP("X",C694:C696,O694:O696,0),IF(SUM(P694:P696)/3-SUM(O694:O696)+_xlfn.XLOOKUP("X",C694:C696,O694:O696,0)&gt;0,SUM(P694:P696)/3-SUM(O694:O696)+_xlfn.XLOOKUP("X",C694:C696,O694:O696,0),LARGE(P694:P696,1)-SUM(O694:O696))))),IF(OR($C694="W",$C694="1/2W",$C694="1/2L"),P694-SUM(O694:O695)+_xlfn.XLOOKUP("X",C694:C696,O694:O696,0),IF(OR($C694="W",$C694="1/2W",$C694="1/2L"),P695-SUM(O694:O695)+_xlfn.XLOOKUP("X",C694:C696,O694:O696,0),SUM(P694:P695)/2-SUM(O694:O695)+_xlfn.XLOOKUP("X",C694:C696,O694:O696,0)))))))),2))</f>
        <v>1.24</v>
      </c>
      <c r="T694" s="486">
        <f>IF(S694=0,0,S694/SUM(O694:O696))</f>
        <v>4.3326345213137663E-2</v>
      </c>
      <c r="U694" s="496">
        <f>IF($D694=$D691,IF(OR($B694="LOSS",$B694="OK",$B694="Anulada"),S694,0)+U691,IF(OR($B694="LOSS",$B694="OK",$B694="Anulada"),S694,0))</f>
        <v>8.06</v>
      </c>
      <c r="V694" s="496">
        <f>IF($D694="",0,IF($D694=$D691,IF($B694=" ",IF(I696="",IF(OR(AND(I694="DNB1",I695="DNB2"),AND(OR(I694="DNB1",I694="DNB2"),J695=0),AND(OR(I695="DNB1",I695="DNB2"),J694=0),AND(I694="DNB2",I695="DNB1"),AND(IF(J694=0,(J694+1)/ROUND(J694+1,0),J694/ROUND(J694,0))=1,IF(J695=0,(J695+1)/ROUND(IF(J695="",0,J695)+1,0),IF(J695="",0,J695)/ROUND(IF(J695="",1,J695),0))=1,OR(J694&lt;&gt;""),J695&lt;&gt;"")),0,IF(S694&lt;0,IF(I696="",SMALL(P694:P695,1)-SUM(O694:O695),0),SMALL(P694:P695,1)-SUM(O694:O695))),IF(S694&lt;0,IF(I696="",SMALL(P694:P696,1)-SUM(O694:O696),0),LARGE(P694:P696,1)-SUM(O694:O696))),S694)+V691,IF(I696="",IF(OR(AND(I694="DNB1",I695="DNB2"),AND(OR(I694="DNB1",I694="DNB2"),J695=0),AND(OR(I695="DNB1",I695="DNB2"),J694=0),AND(I694="DNB2",I695="DNB1"),AND(IF(J694=0,(J694+1)/ROUND(J694+1,0),J694/ROUND(J694,0))=1,IF(J695=0,(IF(J695="",0,J695)+1)/ROUND(IF(J695="",0,J695)+1,0),IF(J695="",0,J695)/ROUND(IF(J695="",0,J695)+1,0))=1,OR(J694&lt;&gt;""),J695&lt;&gt;"")),0,IF(S694&lt;0,IF(I696="",SMALL(P694:P695,1)-SUM(O694:O695),0),SMALL(P694:P696,1)-SUM(O694:O696))),IF(S694&lt;0,IF(I696="",SMALL(P694:P696,1)-SUM(O694:O696),0),LARGE(P694:P696,1)-SUM(O694:O696)))))</f>
        <v>8.0499999999999954</v>
      </c>
      <c r="W694" s="496">
        <f>IF($D694=$D691,IF(S694&lt;0,IF(I696="",S694,0),S694)+W691,S694)</f>
        <v>8.06</v>
      </c>
      <c r="X694" s="505" t="str">
        <f>IF(OR(SUM(R694:R696)=0,V694=W694),ROUND(IF(W694=0,0,W694/Y694)*100,2)&amp;"%",ROUND(IF(V694=0,0,V694/Y694)*100,2)&amp;"% a "&amp;ROUND(IF(W694=0,0,W694/Y694)*100,2)&amp;"%")</f>
        <v>5,59%</v>
      </c>
      <c r="Y694" s="497">
        <f>IF($D694=$D691,Y691+SUM(O694:O696),SUM(O694:O696))</f>
        <v>144.29</v>
      </c>
      <c r="Z694" s="496">
        <f>IF($B694=" ",SUM(O694:O696),0)+Z691</f>
        <v>0</v>
      </c>
      <c r="AA694" s="496">
        <f>IF(G694="","",IF($B694="Anulado",LARGE(P694:P696,1)-SUM(O694:O696)+AA691,AA691))</f>
        <v>13.381099999999991</v>
      </c>
      <c r="AB694" s="496">
        <f>IF($D694="","",AB691+S694)</f>
        <v>802.82000000000062</v>
      </c>
      <c r="AC694" s="499">
        <f ca="1">IF($D694="","",IF($B694=" ",IF(DAY(G694)=DAY(TODAY()),1+AC691,0+AC691),0+AC691))</f>
        <v>0</v>
      </c>
      <c r="AD694" s="157">
        <f>(1-_xlfn.XLOOKUP(K692,'Fevereiro 2023 - Valor Real'!A3:A15,'Fevereiro 2023 - Valor Real'!C3:C15,0))+1</f>
        <v>2</v>
      </c>
      <c r="AE694" s="158">
        <f>IF(L694="","",IF(L696&gt;0,(SUM(((L694-1)*(1-_xlfn.XLOOKUP(K694,'Fevereiro 2023 - Valor Real'!A3:A15,'Fevereiro 2023 - Valor Real'!C3:C15,0))+1),((L695-1)*(1-_xlfn.XLOOKUP(K695,'Fevereiro 2023 - Valor Real'!A3:A15,'Fevereiro 2023 - Valor Real'!C3:C15,0))+1),((L696-1)*(1-_xlfn.XLOOKUP(K696,'Fevereiro 2023 - Valor Real'!A3:A15,'Fevereiro 2023 - Valor Real'!C3:C15,0))+1))/((L694-1)*(1-_xlfn.XLOOKUP(K694,'Fevereiro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Real'!C3:C15,0))+1))/((L694-1)*(1-_xlfn.XLOOKUP(K694,'Fevereiro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Real'!C3:C15,0))+1))/((L695-1)*(1-_xlfn.XLOOKUP(K695,'Fevereiro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Real'!C3:C15,0))+1))/((L696-1)*(1-_xlfn.XLOOKUP(K696,'Fevereiro 2023 - Valor Real'!A3:A15,'Fevereiro 2023 - Valor Real'!C3:C15,0))+1)),IF(I694="Lay",IF(I695="Lay",((L695/(L695-1)-1)*(1-_xlfn.XLOOKUP(K695,'Fevereiro 2023 - Valor Real'!A3:A15,'Fevereiro 2023 - Valor Real'!C3:C15,0))+1)/(((L695/(L695-1)-1)*(1-_xlfn.XLOOKUP(K695,'Fevereiro 2023 - Valor Real'!A3:A15,'Fevereiro 2023 - Valor Real'!C3:C15,0))+1)+((L694/(L694-1)-1)*(1-_xlfn.XLOOKUP(K694,'Fevereiro 2023 - Valor Real'!A3:A15,'Fevereiro 2023 - Valor Real'!C3:C15,0))+1)),((L695-1)*(1-_xlfn.XLOOKUP(K695,'Fevereiro 2023 - Valor Real'!A3:A15,'Fevereiro 2023 - Valor Real'!C3:C15,0))+1)/(((L695-1)*(1-_xlfn.XLOOKUP(K695,'Fevereiro 2023 - Valor Real'!A3:A15,'Fevereiro 2023 - Valor Real'!C3:C15,0))+1)+((L694/(L694-1)-1)*(1-_xlfn.XLOOKUP(K694,'Fevereiro 2023 - Valor Real'!A3:A15,'Fevereiro 2023 - Valor Real'!C3:C15,0))+1))),IF(I695="Lay",(((L695/(L695-1)-1)*(1-_xlfn.XLOOKUP(K695,'Fevereiro 2023 - Valor Real'!A3:A15,'Fevereiro 2023 - Valor Real'!C3:C15,0))+1))/(((L694-1)*(1-_xlfn.XLOOKUP(K694,'Fevereiro 2023 - Valor Real'!A3:A15,'Fevereiro 2023 - Valor Real'!C3:C15,0))+1)+((L695/(L695-1)-1)*(1-_xlfn.XLOOKUP(K695,'Fevereiro 2023 - Valor Real'!A3:A15,'Fevereiro 2023 - Valor Real'!C3:C15,0))+1)),((L695-1)*(1-_xlfn.XLOOKUP(K695,'Fevereiro 2023 - Valor Real'!A3:A15,'Fevereiro 2023 - Valor Real'!C3:C15,0))+1)/(((L695-1)*(1-_xlfn.XLOOKUP(K695,'Fevereiro 2023 - Valor Real'!A3:A15,'Fevereiro 2023 - Valor Real'!C3:C15,0))+1)+((L694-1)*(1-_xlfn.XLOOKUP(K694,'Fevereiro 2023 - Valor Real'!A3:A15,'Fevereiro 2023 - Valor Real'!C3:C15,0))+1))))))</f>
        <v>0.45355191256830607</v>
      </c>
      <c r="AF694" s="66">
        <f t="shared" ref="AF694:AR703" si="1388">IF($K694=AF$3,ROUND(IF(OR($C694="W",$C694="1/2W",$C694="1/2L"),$P694-$O694,IF($C694="X",0,-$O694)),2),0)</f>
        <v>0</v>
      </c>
      <c r="AG694" s="67">
        <f t="shared" si="1388"/>
        <v>0</v>
      </c>
      <c r="AH694" s="67">
        <f t="shared" si="1388"/>
        <v>0</v>
      </c>
      <c r="AI694" s="67">
        <f t="shared" si="1388"/>
        <v>0</v>
      </c>
      <c r="AJ694" s="67">
        <f t="shared" si="1388"/>
        <v>-12.98</v>
      </c>
      <c r="AK694" s="67">
        <f t="shared" si="1388"/>
        <v>0</v>
      </c>
      <c r="AL694" s="67">
        <f t="shared" si="1388"/>
        <v>0</v>
      </c>
      <c r="AM694" s="67">
        <f t="shared" si="1388"/>
        <v>0</v>
      </c>
      <c r="AN694" s="67">
        <f t="shared" si="1388"/>
        <v>0</v>
      </c>
      <c r="AO694" s="67">
        <f t="shared" si="1388"/>
        <v>0</v>
      </c>
      <c r="AP694" s="67">
        <f t="shared" si="1388"/>
        <v>0</v>
      </c>
      <c r="AQ694" s="67">
        <f t="shared" si="1388"/>
        <v>0</v>
      </c>
      <c r="AR694" s="68">
        <f t="shared" si="1388"/>
        <v>0</v>
      </c>
      <c r="AS694" s="66">
        <f t="shared" ref="AS694:BE694" si="1389">IF(AND($B694=" ",$K694=AS$3),$O694,0)</f>
        <v>0</v>
      </c>
      <c r="AT694" s="67">
        <f t="shared" si="1389"/>
        <v>0</v>
      </c>
      <c r="AU694" s="67">
        <f t="shared" si="1389"/>
        <v>0</v>
      </c>
      <c r="AV694" s="67">
        <f t="shared" si="1389"/>
        <v>0</v>
      </c>
      <c r="AW694" s="67">
        <f t="shared" si="1389"/>
        <v>0</v>
      </c>
      <c r="AX694" s="67">
        <f t="shared" si="1389"/>
        <v>0</v>
      </c>
      <c r="AY694" s="69">
        <f t="shared" si="1389"/>
        <v>0</v>
      </c>
      <c r="AZ694" s="70">
        <f t="shared" si="1389"/>
        <v>0</v>
      </c>
      <c r="BA694" s="70">
        <f t="shared" si="1389"/>
        <v>0</v>
      </c>
      <c r="BB694" s="70">
        <f t="shared" si="1389"/>
        <v>0</v>
      </c>
      <c r="BC694" s="71">
        <f t="shared" si="1389"/>
        <v>0</v>
      </c>
      <c r="BD694" s="67">
        <f t="shared" si="1389"/>
        <v>0</v>
      </c>
      <c r="BE694" s="68">
        <f t="shared" si="1389"/>
        <v>0</v>
      </c>
      <c r="BF694" s="66">
        <f t="shared" ref="BF694:BR703" si="1390">IF($K694=BF$3,IF($C694="X",0,$O694),0)</f>
        <v>0</v>
      </c>
      <c r="BG694" s="67">
        <f t="shared" si="1390"/>
        <v>0</v>
      </c>
      <c r="BH694" s="67">
        <f t="shared" si="1390"/>
        <v>0</v>
      </c>
      <c r="BI694" s="67">
        <f t="shared" si="1390"/>
        <v>0</v>
      </c>
      <c r="BJ694" s="67">
        <f t="shared" si="1390"/>
        <v>12.98</v>
      </c>
      <c r="BK694" s="67">
        <f t="shared" si="1390"/>
        <v>0</v>
      </c>
      <c r="BL694" s="67">
        <f t="shared" si="1390"/>
        <v>0</v>
      </c>
      <c r="BM694" s="69">
        <f t="shared" si="1390"/>
        <v>0</v>
      </c>
      <c r="BN694" s="70">
        <f t="shared" si="1390"/>
        <v>0</v>
      </c>
      <c r="BO694" s="70">
        <f t="shared" si="1390"/>
        <v>0</v>
      </c>
      <c r="BP694" s="70">
        <f t="shared" si="1390"/>
        <v>0</v>
      </c>
      <c r="BQ694" s="71">
        <f t="shared" si="1390"/>
        <v>0</v>
      </c>
      <c r="BR694" s="68">
        <f t="shared" si="1390"/>
        <v>0</v>
      </c>
      <c r="BS694" s="490">
        <f>IF($B694="LOSS",IF(AND($K694=BS$3,$C694="L"),-$O694,0)+IF(AND($K695=BS$3,$C695="L"),-$O695,0)+IF(AND($K696=BS$3,$C696="L"),-$O696,0),IF(OR(AND($K694=BS$3,OR($C694="W",$C694="1/2W")),AND($K695=BS$3,OR($C695="W",$C695="1/2W")),AND($K696=BS$3,OR($C696="W",$C696="1/2W"))),$S694,0))</f>
        <v>0</v>
      </c>
      <c r="BT694" s="498">
        <f>IF($B694="LOSS",IF(AND($K694=BT$3,$C694="L"),-$O694,0)+IF(AND($K695=BT$3,$C695="L"),-$O695,0)+IF(AND($K695=BT$3,$C696="L"),-$O696,0),IF(OR(AND($K695=BT$3,OR($C694="W",$C694="1/2W")),AND($K695=BT$3,OR($C695="W",$C695="1/2W")),AND($K695=BT$3,OR($C696="W",$C696="1/2W"))),$S694,0))</f>
        <v>0</v>
      </c>
      <c r="BU694" s="488">
        <f>IF($B694="LOSS",IF(AND($K694=BU$3,$C694="L"),-$O694,0)+IF(AND($K695=BU$3,$C695="L"),-$O695,0)+IF(AND($K695=BU$3,$C696="L"),-$O696,0),IF(OR(AND($K695=BU$3,OR($C694="W",$C694="1/2W")),AND($K695=BU$3,OR($C695="W",$C695="1/2W")),AND($K695=BU$3,OR($C696="W",$C696="1/2W"))),$S694,0))</f>
        <v>0</v>
      </c>
      <c r="BV694" s="488">
        <f t="shared" ref="BV694:CE694" si="1391">IF($B694="LOSS",IF(AND($K694=BV$3,$C694="L"),-$O694,0)+IF(AND($K695=BV$3,$C695="L"),-$O695,0)+IF(AND($K696=BV$3,$C696="L"),-$O696,0),IF(OR(AND($K694=BV$3,OR($C694="W",$C694="1/2W")),AND($K695=BV$3,OR($C695="W",$C695="1/2W")),AND($K696=BV$3,OR($C696="W",$C696="1/2W"))),$S694,0))</f>
        <v>0</v>
      </c>
      <c r="BW694" s="488">
        <f t="shared" si="1391"/>
        <v>0</v>
      </c>
      <c r="BX694" s="488">
        <f t="shared" si="1391"/>
        <v>0</v>
      </c>
      <c r="BY694" s="488">
        <f t="shared" si="1391"/>
        <v>0</v>
      </c>
      <c r="BZ694" s="488">
        <f t="shared" si="1391"/>
        <v>1.24</v>
      </c>
      <c r="CA694" s="488">
        <f t="shared" si="1391"/>
        <v>0</v>
      </c>
      <c r="CB694" s="488">
        <f t="shared" si="1391"/>
        <v>0</v>
      </c>
      <c r="CC694" s="488">
        <f t="shared" si="1391"/>
        <v>0</v>
      </c>
      <c r="CD694" s="500">
        <f t="shared" si="1391"/>
        <v>0</v>
      </c>
      <c r="CE694" s="504">
        <f t="shared" si="1391"/>
        <v>0</v>
      </c>
      <c r="CF694" s="160">
        <f t="shared" si="1285"/>
        <v>0</v>
      </c>
      <c r="CG694" s="161">
        <f t="shared" si="1286"/>
        <v>0</v>
      </c>
      <c r="CH694" s="161">
        <f t="shared" si="1287"/>
        <v>0</v>
      </c>
      <c r="CI694" s="161">
        <f t="shared" si="1288"/>
        <v>0</v>
      </c>
      <c r="CJ694" s="161">
        <f t="shared" si="1289"/>
        <v>0</v>
      </c>
      <c r="CK694" s="161">
        <f t="shared" si="1290"/>
        <v>0</v>
      </c>
      <c r="CL694" s="161">
        <f t="shared" si="1291"/>
        <v>0</v>
      </c>
      <c r="CM694" s="161">
        <f t="shared" si="1292"/>
        <v>0</v>
      </c>
      <c r="CN694" s="161">
        <f t="shared" si="1293"/>
        <v>0</v>
      </c>
      <c r="CO694" s="161">
        <f t="shared" si="1294"/>
        <v>1</v>
      </c>
      <c r="CP694" s="161">
        <f t="shared" si="1295"/>
        <v>0</v>
      </c>
      <c r="CQ694" s="161">
        <f t="shared" si="1296"/>
        <v>0</v>
      </c>
      <c r="CR694" s="161">
        <f t="shared" si="1297"/>
        <v>0</v>
      </c>
      <c r="CS694" s="161">
        <f t="shared" si="1298"/>
        <v>0</v>
      </c>
      <c r="CT694" s="75">
        <f t="shared" si="1299"/>
        <v>0</v>
      </c>
      <c r="CU694" s="76">
        <f t="shared" si="1300"/>
        <v>0</v>
      </c>
      <c r="CV694" s="76">
        <f t="shared" si="1301"/>
        <v>0</v>
      </c>
      <c r="CW694" s="76">
        <f t="shared" si="1302"/>
        <v>0</v>
      </c>
      <c r="CX694" s="76">
        <f t="shared" si="1303"/>
        <v>0</v>
      </c>
      <c r="CY694" s="76">
        <f t="shared" si="1304"/>
        <v>0</v>
      </c>
      <c r="CZ694" s="76">
        <f t="shared" si="1305"/>
        <v>0</v>
      </c>
      <c r="DA694" s="76">
        <f t="shared" si="1306"/>
        <v>0</v>
      </c>
      <c r="DB694" s="76">
        <f t="shared" si="1307"/>
        <v>0</v>
      </c>
      <c r="DC694" s="76">
        <f t="shared" si="1308"/>
        <v>0</v>
      </c>
      <c r="DD694" s="76">
        <f t="shared" si="1309"/>
        <v>0</v>
      </c>
      <c r="DE694" s="77">
        <f t="shared" si="1310"/>
        <v>0</v>
      </c>
      <c r="DF694" s="73">
        <f t="shared" si="1312"/>
        <v>41</v>
      </c>
      <c r="DG694" s="67">
        <f t="shared" si="1313"/>
        <v>54.467999999999996</v>
      </c>
      <c r="DH694" s="76">
        <f t="shared" si="1314"/>
        <v>16</v>
      </c>
      <c r="DI694" s="67">
        <f t="shared" si="1315"/>
        <v>68.699999999999989</v>
      </c>
      <c r="DJ694" s="202" t="str">
        <f>IF($D694="","",$D694)</f>
        <v>22</v>
      </c>
      <c r="DK694" s="492">
        <f>IF(AND($B694=" ",$D694&lt;&gt;""),1,0)</f>
        <v>0</v>
      </c>
    </row>
    <row r="695" spans="1:115" ht="14.5" customHeight="1" x14ac:dyDescent="0.2">
      <c r="A695" s="389"/>
      <c r="B695" s="456"/>
      <c r="C695" s="53" t="s">
        <v>54</v>
      </c>
      <c r="D695" s="374"/>
      <c r="E695" s="386"/>
      <c r="F695" s="377"/>
      <c r="G695" s="508"/>
      <c r="H695" s="476"/>
      <c r="I695" s="182" t="s">
        <v>52</v>
      </c>
      <c r="J695" s="56">
        <f>IF(OR(I694="TO",I694="TU",I694="TO1",I694="TU1",I694="TO2",I694="TU2"),J694,IF(OR(I694="AH1",I694="AH2"),IF(OR(I695="AH1",I695="AH2"),-J694,IF(OR(I695="EH1",I695="EH2"),-J694+0.5,"")),IF(OR(I694="EH1",I694="EH2"),IF(OR(I695="AH1",I695="AH2"),-J694+0.5,IF(OR(I695="EH1",I695="EH2"),-J694+1,"")),IF(AND(OR(I694="DNB1",I694="DNB2"),OR(I695="AH1",I695="AH2")),0,IF(AND(I694="Not ScoreBoth",OR(I695="TO1",I695="TO2")),0.5,"")))))</f>
        <v>18.5</v>
      </c>
      <c r="K695" s="57" t="s">
        <v>43</v>
      </c>
      <c r="L695" s="164">
        <v>1.909</v>
      </c>
      <c r="M695" s="165"/>
      <c r="N695" s="406"/>
      <c r="O695" s="60">
        <f>IF(OR(AE694="",AE695=""),"",ROUND(IF(L696&gt;0,IF(M695&gt;0,M695,IF(M694&gt;0,IF(N694=TRUE,ROUND((M694*AE695)/AE694,0),(M694*AE695)/AE694),IF(M695&gt;0,ROUND(M695,IF(N694=0,2,IF(N694=0.1,1,0))),IF(M696&gt;0,ROUND(O696*AE695/AE696,IF(N694=0,2,IF(N694=0.1,1,0))),0)))),IF(M695&gt;0,M695,ROUND((M694*AE695)/AE694,IF(N694=0,2,IF(N694=0.1,1,0))))),2))</f>
        <v>15.64</v>
      </c>
      <c r="P695" s="61">
        <f>IF(OR(L695="",O695=""),"",IF($C695="1/2W",O695/2+O695/2*L695,IF($C695="1/2L",O695/2,IF(I695="Lay",((O695*(L695/(L695-1)))-O695)*(1-_xlfn.XLOOKUP(K695,'Fevereiro 2023 - Valor Real'!A3:A15,'Fevereiro 2023 - Valor Real'!C3:C15,0))+O695,(O695*L695-O695)*(1-_xlfn.XLOOKUP(K695,'Fevereiro 2023 - Valor Real'!A3:A15,'Fevereiro 2023 - Valor Real'!C3:C15,0))+O695))))</f>
        <v>29.856760000000001</v>
      </c>
      <c r="Q695" s="166">
        <f>IF(K695="","",IF(_xlfn.XLOOKUP(K695,K$10:K686,$DJ$10:DJ686,0,,-1)=DJ695,_xlfn.XLOOKUP(K695,K$10:K686,Q$10:Q686,1,,-1)+1,1))</f>
        <v>2</v>
      </c>
      <c r="R695" s="167">
        <f>IF(K695="","",_xlfn.XLOOKUP(K695,K$10:K686,R$10:R686,0,,-1)+IF($C695=" ",1,0))</f>
        <v>0</v>
      </c>
      <c r="S695" s="403"/>
      <c r="T695" s="380"/>
      <c r="U695" s="380"/>
      <c r="V695" s="481"/>
      <c r="W695" s="380"/>
      <c r="X695" s="452"/>
      <c r="Y695" s="383"/>
      <c r="Z695" s="384"/>
      <c r="AA695" s="384"/>
      <c r="AB695" s="384"/>
      <c r="AC695" s="384"/>
      <c r="AD695" s="64"/>
      <c r="AE695" s="65">
        <f>IF(L695="","",IF(L696&gt;0,(SUM(((L694-1)*(1-_xlfn.XLOOKUP(K694,'Fevereiro 2023 - Valor Real'!A3:A15,'Fevereiro 2023 - Valor Real'!C3:C15,0))+1),((L695-1)*(1-_xlfn.XLOOKUP(K695,'Fevereiro 2023 - Valor Real'!A3:A15,'Fevereiro 2023 - Valor Real'!C3:C15,0))+1),((L696-1)*(1-_xlfn.XLOOKUP(K696,'Fevereiro 2023 - Valor Real'!A3:A15,'Fevereiro 2023 - Valor Real'!C3:C15,0))+1))/((L695-1)*(1-_xlfn.XLOOKUP(K695,'Fevereiro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Real'!C3:C15,0))+1))/((L694-1)*(1-_xlfn.XLOOKUP(K694,'Fevereiro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Real'!C3:C15,0))+1))/((L695-1)*(1-_xlfn.XLOOKUP(K695,'Fevereiro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Real'!C3:C15,0))+1))/((L696-1)*(1-_xlfn.XLOOKUP(K696,'Fevereiro 2023 - Valor Real'!A3:A15,'Fevereiro 2023 - Valor Real'!C3:C15,0))+1)),IF(I695="Lay",IF(I694="Lay",((L694/(L694-1)-1)*(1-_xlfn.XLOOKUP(K694,'Fevereiro 2023 - Valor Real'!A3:A15,'Fevereiro 2023 - Valor Real'!C3:C15,0))+1)/(((L694/(L694-1)-1)*(1-_xlfn.XLOOKUP(K694,'Fevereiro 2023 - Valor Real'!A3:A15,'Fevereiro 2023 - Valor Real'!C3:C15,0))+1)+((L695/(L695-1)-1)*(1-_xlfn.XLOOKUP(K695,'Fevereiro 2023 - Valor Real'!A3:A15,'Fevereiro 2023 - Valor Real'!C3:C15,0))+1)),((L694-1)*(1-_xlfn.XLOOKUP(K694,'Fevereiro 2023 - Valor Real'!A3:A15,'Fevereiro 2023 - Valor Real'!C3:C15,0))+1)/(((L694-1)*(1-_xlfn.XLOOKUP(K694,'Fevereiro 2023 - Valor Real'!A3:A15,'Fevereiro 2023 - Valor Real'!C3:C15,0))+1)+((L695/(L695-1)-1)*(1-_xlfn.XLOOKUP(K695,'Fevereiro 2023 - Valor Real'!A3:A15,'Fevereiro 2023 - Valor Real'!C3:C15,0))+1))),IF(I694="Lay",((L694/(L694-1)-1)*(1-_xlfn.XLOOKUP(K694,'Fevereiro 2023 - Valor Real'!A3:A15,'Fevereiro 2023 - Valor Real'!C3:C15,0))+1)/((((L694/(L694-1)-1)*(1-_xlfn.XLOOKUP(K694,'Fevereiro 2023 - Valor Real'!A3:A15,'Fevereiro 2023 - Valor Real'!C3:C15,0))+1))+((L695-1)*(1-_xlfn.XLOOKUP(K695,'Fevereiro 2023 - Valor Real'!A3:A15,'Fevereiro 2023 - Valor Real'!C3:C15,0))+1)),((L694-1)*(1-_xlfn.XLOOKUP(K694,'Fevereiro 2023 - Valor Real'!A3:A15,'Fevereiro 2023 - Valor Real'!C3:C15,0))+1)/(((L694-1)*(1-_xlfn.XLOOKUP(K694,'Fevereiro 2023 - Valor Real'!A3:A15,'Fevereiro 2023 - Valor Real'!C3:C15,0))+1)+((L695-1)*(1-_xlfn.XLOOKUP(K695,'Fevereiro 2023 - Valor Real'!A3:A15,'Fevereiro 2023 - Valor Real'!C3:C15,0))+1))))))</f>
        <v>0.54644808743169404</v>
      </c>
      <c r="AF695" s="66">
        <f t="shared" si="1388"/>
        <v>0</v>
      </c>
      <c r="AG695" s="67">
        <f t="shared" si="1388"/>
        <v>0</v>
      </c>
      <c r="AH695" s="67">
        <f t="shared" si="1388"/>
        <v>0</v>
      </c>
      <c r="AI695" s="67">
        <f t="shared" si="1388"/>
        <v>0</v>
      </c>
      <c r="AJ695" s="67">
        <f t="shared" si="1388"/>
        <v>0</v>
      </c>
      <c r="AK695" s="67">
        <f t="shared" si="1388"/>
        <v>0</v>
      </c>
      <c r="AL695" s="67">
        <f t="shared" si="1388"/>
        <v>0</v>
      </c>
      <c r="AM695" s="67">
        <f t="shared" si="1388"/>
        <v>14.22</v>
      </c>
      <c r="AN695" s="67">
        <f t="shared" si="1388"/>
        <v>0</v>
      </c>
      <c r="AO695" s="67">
        <f t="shared" si="1388"/>
        <v>0</v>
      </c>
      <c r="AP695" s="67">
        <f t="shared" si="1388"/>
        <v>0</v>
      </c>
      <c r="AQ695" s="67">
        <f t="shared" si="1388"/>
        <v>0</v>
      </c>
      <c r="AR695" s="68">
        <f t="shared" si="1388"/>
        <v>0</v>
      </c>
      <c r="AS695" s="66">
        <f>IF(AND($B694=" ",$K695=AS$3),$O695,0)</f>
        <v>0</v>
      </c>
      <c r="AT695" s="67">
        <f>IF(AND($B694=" ",K695=AT$3),$O695,0)</f>
        <v>0</v>
      </c>
      <c r="AU695" s="67">
        <f t="shared" ref="AU695:BE695" si="1392">IF(AND($B694=" ",$K695=AU$3),$O695,0)</f>
        <v>0</v>
      </c>
      <c r="AV695" s="67">
        <f t="shared" si="1392"/>
        <v>0</v>
      </c>
      <c r="AW695" s="67">
        <f t="shared" si="1392"/>
        <v>0</v>
      </c>
      <c r="AX695" s="67">
        <f t="shared" si="1392"/>
        <v>0</v>
      </c>
      <c r="AY695" s="69">
        <f t="shared" si="1392"/>
        <v>0</v>
      </c>
      <c r="AZ695" s="70">
        <f t="shared" si="1392"/>
        <v>0</v>
      </c>
      <c r="BA695" s="70">
        <f t="shared" si="1392"/>
        <v>0</v>
      </c>
      <c r="BB695" s="70">
        <f t="shared" si="1392"/>
        <v>0</v>
      </c>
      <c r="BC695" s="71">
        <f t="shared" si="1392"/>
        <v>0</v>
      </c>
      <c r="BD695" s="67">
        <f t="shared" si="1392"/>
        <v>0</v>
      </c>
      <c r="BE695" s="68">
        <f t="shared" si="1392"/>
        <v>0</v>
      </c>
      <c r="BF695" s="66">
        <f t="shared" si="1390"/>
        <v>0</v>
      </c>
      <c r="BG695" s="168">
        <f t="shared" si="1390"/>
        <v>0</v>
      </c>
      <c r="BH695" s="67">
        <f t="shared" si="1390"/>
        <v>0</v>
      </c>
      <c r="BI695" s="67">
        <f t="shared" si="1390"/>
        <v>0</v>
      </c>
      <c r="BJ695" s="67">
        <f t="shared" si="1390"/>
        <v>0</v>
      </c>
      <c r="BK695" s="67">
        <f t="shared" si="1390"/>
        <v>0</v>
      </c>
      <c r="BL695" s="67">
        <f t="shared" si="1390"/>
        <v>0</v>
      </c>
      <c r="BM695" s="69">
        <f t="shared" si="1390"/>
        <v>15.64</v>
      </c>
      <c r="BN695" s="70">
        <f t="shared" si="1390"/>
        <v>0</v>
      </c>
      <c r="BO695" s="70">
        <f t="shared" si="1390"/>
        <v>0</v>
      </c>
      <c r="BP695" s="70">
        <f t="shared" si="1390"/>
        <v>0</v>
      </c>
      <c r="BQ695" s="71">
        <f t="shared" si="1390"/>
        <v>0</v>
      </c>
      <c r="BR695" s="68">
        <f t="shared" si="1390"/>
        <v>0</v>
      </c>
      <c r="BS695" s="491"/>
      <c r="BT695" s="489"/>
      <c r="BU695" s="392"/>
      <c r="BV695" s="489"/>
      <c r="BW695" s="392"/>
      <c r="BX695" s="392"/>
      <c r="BY695" s="392"/>
      <c r="BZ695" s="489"/>
      <c r="CA695" s="392"/>
      <c r="CB695" s="392"/>
      <c r="CC695" s="392"/>
      <c r="CD695" s="401"/>
      <c r="CE695" s="409"/>
      <c r="CF695" s="169">
        <f t="shared" si="1285"/>
        <v>0</v>
      </c>
      <c r="CG695" s="170">
        <f t="shared" si="1286"/>
        <v>0</v>
      </c>
      <c r="CH695" s="170">
        <f t="shared" si="1287"/>
        <v>0</v>
      </c>
      <c r="CI695" s="170">
        <f t="shared" si="1288"/>
        <v>0</v>
      </c>
      <c r="CJ695" s="170">
        <f t="shared" si="1289"/>
        <v>0</v>
      </c>
      <c r="CK695" s="170">
        <f t="shared" si="1290"/>
        <v>0</v>
      </c>
      <c r="CL695" s="170">
        <f t="shared" si="1291"/>
        <v>0</v>
      </c>
      <c r="CM695" s="170">
        <f t="shared" si="1292"/>
        <v>0</v>
      </c>
      <c r="CN695" s="170">
        <f t="shared" si="1293"/>
        <v>0</v>
      </c>
      <c r="CO695" s="170">
        <f t="shared" si="1294"/>
        <v>0</v>
      </c>
      <c r="CP695" s="170">
        <f t="shared" si="1295"/>
        <v>0</v>
      </c>
      <c r="CQ695" s="170">
        <f t="shared" si="1296"/>
        <v>0</v>
      </c>
      <c r="CR695" s="170">
        <f t="shared" si="1297"/>
        <v>0</v>
      </c>
      <c r="CS695" s="170">
        <f t="shared" si="1298"/>
        <v>0</v>
      </c>
      <c r="CT695" s="75">
        <f t="shared" si="1299"/>
        <v>1</v>
      </c>
      <c r="CU695" s="76">
        <f t="shared" si="1300"/>
        <v>0</v>
      </c>
      <c r="CV695" s="76">
        <f t="shared" si="1301"/>
        <v>0</v>
      </c>
      <c r="CW695" s="76">
        <f t="shared" si="1302"/>
        <v>0</v>
      </c>
      <c r="CX695" s="76">
        <f t="shared" si="1303"/>
        <v>0</v>
      </c>
      <c r="CY695" s="76">
        <f t="shared" si="1304"/>
        <v>0</v>
      </c>
      <c r="CZ695" s="76">
        <f t="shared" si="1305"/>
        <v>0</v>
      </c>
      <c r="DA695" s="76">
        <f t="shared" si="1306"/>
        <v>0</v>
      </c>
      <c r="DB695" s="76">
        <f t="shared" si="1307"/>
        <v>0</v>
      </c>
      <c r="DC695" s="76">
        <f t="shared" si="1308"/>
        <v>0</v>
      </c>
      <c r="DD695" s="76">
        <f t="shared" si="1309"/>
        <v>0</v>
      </c>
      <c r="DE695" s="77">
        <f t="shared" si="1310"/>
        <v>0</v>
      </c>
      <c r="DF695" s="73">
        <f t="shared" si="1312"/>
        <v>41</v>
      </c>
      <c r="DG695" s="67">
        <f t="shared" si="1313"/>
        <v>54.467999999999996</v>
      </c>
      <c r="DH695" s="76">
        <f t="shared" si="1314"/>
        <v>16</v>
      </c>
      <c r="DI695" s="67">
        <f t="shared" si="1315"/>
        <v>68.699999999999989</v>
      </c>
      <c r="DJ695" s="202" t="str">
        <f>IF($D694="","",$D694)</f>
        <v>22</v>
      </c>
      <c r="DK695" s="493"/>
    </row>
    <row r="696" spans="1:115" ht="14.5" customHeight="1" x14ac:dyDescent="0.2">
      <c r="A696" s="390"/>
      <c r="B696" s="457"/>
      <c r="C696" s="79" t="s">
        <v>53</v>
      </c>
      <c r="D696" s="375"/>
      <c r="E696" s="387"/>
      <c r="F696" s="378"/>
      <c r="G696" s="508"/>
      <c r="H696" s="477"/>
      <c r="I696" s="171"/>
      <c r="J696" s="172"/>
      <c r="K696" s="81"/>
      <c r="L696" s="173"/>
      <c r="M696" s="174"/>
      <c r="N696" s="407"/>
      <c r="O696" s="86" t="str">
        <f>IF(OR(AE694="",AE695=""),"",IF(L696&gt;0,ROUND(IF(M696&gt;0,M696,IF(M694&gt;0,ROUND((M694*AE696)/AE694,IF(N694=0,2,IF(N694=0.1,1,0))),IF(M695&gt;0,ROUND((M695*AE696)/AE695,IF(N694=0,2,IF(N694=0.1,1,0))),IF(M696&gt;0,M696,0)))),2),""))</f>
        <v/>
      </c>
      <c r="P696" s="87" t="str">
        <f>IF(I695="Lay",O695*(L695/(L695-1))-O695,IF(I694="Lay",O694*(L694/(L694-1))-O694,IF(OR(L696="",O696=""),"",IF($C696="1/2W",O696/2+O696/2*L696,IF($C696="1/2L",O696/2,(O696*L696-O696)*(1-_xlfn.XLOOKUP(K696,'Fevereiro 2023 - Valor Real'!A3:A15,'Fevereiro 2023 - Valor Real'!C3:C15,0))+O696)))))</f>
        <v/>
      </c>
      <c r="Q696" s="54" t="str">
        <f>IF(K696="","",IF(_xlfn.XLOOKUP(K696,K$11:K686,$DJ$11:DJ686,0,,-1)=DJ696,_xlfn.XLOOKUP(K696,K$11:K686,Q$11:Q686,1,,-1)+1,1))</f>
        <v/>
      </c>
      <c r="R696" s="87" t="str">
        <f>IF(K696="","",_xlfn.XLOOKUP(K696,K$11:K686,R$11:R686,0,,-1)+IF($C696=" ",1,0))</f>
        <v/>
      </c>
      <c r="S696" s="404"/>
      <c r="T696" s="378"/>
      <c r="U696" s="378"/>
      <c r="V696" s="404"/>
      <c r="W696" s="378"/>
      <c r="X696" s="453"/>
      <c r="Y696" s="383"/>
      <c r="Z696" s="384"/>
      <c r="AA696" s="384"/>
      <c r="AB696" s="384"/>
      <c r="AC696" s="384"/>
      <c r="AD696" s="90"/>
      <c r="AE696" s="91" t="str">
        <f>IF(L696="","",(SUM(((L694-1)*(1-_xlfn.XLOOKUP(K694,'Fevereiro 2023 - Valor Real'!A3:A15,'Fevereiro 2023 - Valor Real'!C3:C15,0))+1),((L695-1)*(1-_xlfn.XLOOKUP(K695,'Fevereiro 2023 - Valor Real'!A3:A15,'Fevereiro 2023 - Valor Real'!C3:C15,0))+1),((L696-1)*(1-_xlfn.XLOOKUP(K696,'Fevereiro 2023 - Valor Real'!A3:A15,'Fevereiro 2023 - Valor Real'!C3:C15,0))+1))/((L696-1)*(1-_xlfn.XLOOKUP(K696,'Fevereiro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Real'!C3:C15,0))+1))/((L694-1)*(1-_xlfn.XLOOKUP(K694,'Fevereiro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Real'!C3:C15,0))+1))/((L695-1)*(1-_xlfn.XLOOKUP(K695,'Fevereiro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Real'!C3:C15,0))+1))/((L696-1)*(1-_xlfn.XLOOKUP(K696,'Fevereiro 2023 - Valor Real'!A3:A15,'Fevereiro 2023 - Valor Real'!C3:C15,0))+1)))</f>
        <v/>
      </c>
      <c r="AF696" s="66">
        <f t="shared" si="1388"/>
        <v>0</v>
      </c>
      <c r="AG696" s="67">
        <f t="shared" si="1388"/>
        <v>0</v>
      </c>
      <c r="AH696" s="67">
        <f t="shared" si="1388"/>
        <v>0</v>
      </c>
      <c r="AI696" s="67">
        <f t="shared" si="1388"/>
        <v>0</v>
      </c>
      <c r="AJ696" s="67">
        <f t="shared" si="1388"/>
        <v>0</v>
      </c>
      <c r="AK696" s="67">
        <f t="shared" si="1388"/>
        <v>0</v>
      </c>
      <c r="AL696" s="67">
        <f t="shared" si="1388"/>
        <v>0</v>
      </c>
      <c r="AM696" s="67">
        <f t="shared" si="1388"/>
        <v>0</v>
      </c>
      <c r="AN696" s="67">
        <f t="shared" si="1388"/>
        <v>0</v>
      </c>
      <c r="AO696" s="67">
        <f t="shared" si="1388"/>
        <v>0</v>
      </c>
      <c r="AP696" s="67">
        <f t="shared" si="1388"/>
        <v>0</v>
      </c>
      <c r="AQ696" s="67">
        <f t="shared" si="1388"/>
        <v>0</v>
      </c>
      <c r="AR696" s="68">
        <f t="shared" si="1388"/>
        <v>0</v>
      </c>
      <c r="AS696" s="66">
        <f>IF(AND($B694=" ",$K696=AS$3),$O696,0)</f>
        <v>0</v>
      </c>
      <c r="AT696" s="67">
        <f>IF(AND($B694=" ",K696=AT$3),$O696,0)</f>
        <v>0</v>
      </c>
      <c r="AU696" s="67">
        <f t="shared" ref="AU696:BE696" si="1393">IF(AND($B694=" ",$K696=AU$3),$O696,0)</f>
        <v>0</v>
      </c>
      <c r="AV696" s="67">
        <f t="shared" si="1393"/>
        <v>0</v>
      </c>
      <c r="AW696" s="67">
        <f t="shared" si="1393"/>
        <v>0</v>
      </c>
      <c r="AX696" s="67">
        <f t="shared" si="1393"/>
        <v>0</v>
      </c>
      <c r="AY696" s="69">
        <f t="shared" si="1393"/>
        <v>0</v>
      </c>
      <c r="AZ696" s="70">
        <f t="shared" si="1393"/>
        <v>0</v>
      </c>
      <c r="BA696" s="70">
        <f t="shared" si="1393"/>
        <v>0</v>
      </c>
      <c r="BB696" s="70">
        <f t="shared" si="1393"/>
        <v>0</v>
      </c>
      <c r="BC696" s="71">
        <f t="shared" si="1393"/>
        <v>0</v>
      </c>
      <c r="BD696" s="67">
        <f t="shared" si="1393"/>
        <v>0</v>
      </c>
      <c r="BE696" s="68">
        <f t="shared" si="1393"/>
        <v>0</v>
      </c>
      <c r="BF696" s="66">
        <f t="shared" si="1390"/>
        <v>0</v>
      </c>
      <c r="BG696" s="168">
        <f t="shared" si="1390"/>
        <v>0</v>
      </c>
      <c r="BH696" s="67">
        <f t="shared" si="1390"/>
        <v>0</v>
      </c>
      <c r="BI696" s="67">
        <f t="shared" si="1390"/>
        <v>0</v>
      </c>
      <c r="BJ696" s="67">
        <f t="shared" si="1390"/>
        <v>0</v>
      </c>
      <c r="BK696" s="67">
        <f t="shared" si="1390"/>
        <v>0</v>
      </c>
      <c r="BL696" s="67">
        <f t="shared" si="1390"/>
        <v>0</v>
      </c>
      <c r="BM696" s="69">
        <f t="shared" si="1390"/>
        <v>0</v>
      </c>
      <c r="BN696" s="70">
        <f t="shared" si="1390"/>
        <v>0</v>
      </c>
      <c r="BO696" s="70">
        <f t="shared" si="1390"/>
        <v>0</v>
      </c>
      <c r="BP696" s="70">
        <f t="shared" si="1390"/>
        <v>0</v>
      </c>
      <c r="BQ696" s="71">
        <f t="shared" si="1390"/>
        <v>0</v>
      </c>
      <c r="BR696" s="68">
        <f t="shared" si="1390"/>
        <v>0</v>
      </c>
      <c r="BS696" s="491"/>
      <c r="BT696" s="489"/>
      <c r="BU696" s="392"/>
      <c r="BV696" s="489"/>
      <c r="BW696" s="392"/>
      <c r="BX696" s="392"/>
      <c r="BY696" s="392"/>
      <c r="BZ696" s="489"/>
      <c r="CA696" s="392"/>
      <c r="CB696" s="392"/>
      <c r="CC696" s="392"/>
      <c r="CD696" s="401"/>
      <c r="CE696" s="409"/>
      <c r="CF696" s="169">
        <f t="shared" si="1285"/>
        <v>0</v>
      </c>
      <c r="CG696" s="170">
        <f t="shared" si="1286"/>
        <v>0</v>
      </c>
      <c r="CH696" s="170">
        <f t="shared" si="1287"/>
        <v>0</v>
      </c>
      <c r="CI696" s="170">
        <f t="shared" si="1288"/>
        <v>0</v>
      </c>
      <c r="CJ696" s="170">
        <f t="shared" si="1289"/>
        <v>0</v>
      </c>
      <c r="CK696" s="170">
        <f t="shared" si="1290"/>
        <v>0</v>
      </c>
      <c r="CL696" s="170">
        <f t="shared" si="1291"/>
        <v>0</v>
      </c>
      <c r="CM696" s="170">
        <f t="shared" si="1292"/>
        <v>0</v>
      </c>
      <c r="CN696" s="170">
        <f t="shared" si="1293"/>
        <v>0</v>
      </c>
      <c r="CO696" s="170">
        <f t="shared" si="1294"/>
        <v>0</v>
      </c>
      <c r="CP696" s="170">
        <f t="shared" si="1295"/>
        <v>0</v>
      </c>
      <c r="CQ696" s="170">
        <f t="shared" si="1296"/>
        <v>0</v>
      </c>
      <c r="CR696" s="170">
        <f t="shared" si="1297"/>
        <v>0</v>
      </c>
      <c r="CS696" s="170">
        <f t="shared" si="1298"/>
        <v>0</v>
      </c>
      <c r="CT696" s="75">
        <f t="shared" si="1299"/>
        <v>0</v>
      </c>
      <c r="CU696" s="76">
        <f t="shared" si="1300"/>
        <v>0</v>
      </c>
      <c r="CV696" s="76">
        <f t="shared" si="1301"/>
        <v>0</v>
      </c>
      <c r="CW696" s="76">
        <f t="shared" si="1302"/>
        <v>0</v>
      </c>
      <c r="CX696" s="76">
        <f t="shared" si="1303"/>
        <v>0</v>
      </c>
      <c r="CY696" s="76">
        <f t="shared" si="1304"/>
        <v>0</v>
      </c>
      <c r="CZ696" s="76">
        <f t="shared" si="1305"/>
        <v>0</v>
      </c>
      <c r="DA696" s="76">
        <f t="shared" si="1306"/>
        <v>0</v>
      </c>
      <c r="DB696" s="76">
        <f t="shared" si="1307"/>
        <v>0</v>
      </c>
      <c r="DC696" s="76">
        <f t="shared" si="1308"/>
        <v>0</v>
      </c>
      <c r="DD696" s="76">
        <f t="shared" si="1309"/>
        <v>0</v>
      </c>
      <c r="DE696" s="77">
        <f t="shared" si="1310"/>
        <v>0</v>
      </c>
      <c r="DF696" s="73">
        <f t="shared" si="1312"/>
        <v>41</v>
      </c>
      <c r="DG696" s="67">
        <f t="shared" si="1313"/>
        <v>54.467999999999996</v>
      </c>
      <c r="DH696" s="76">
        <f t="shared" si="1314"/>
        <v>16</v>
      </c>
      <c r="DI696" s="67">
        <f t="shared" si="1315"/>
        <v>68.699999999999989</v>
      </c>
      <c r="DJ696" s="202" t="str">
        <f>IF($D694="","",$D694)</f>
        <v>22</v>
      </c>
      <c r="DK696" s="493"/>
    </row>
    <row r="697" spans="1:115" ht="14.5" customHeight="1" x14ac:dyDescent="0.2">
      <c r="A697" s="459">
        <f>$A694+1</f>
        <v>232</v>
      </c>
      <c r="B697" s="507" t="str">
        <f>IF(OR(C697="W",C698="W",C699="W",C697="1/2W",C698="1/2W",C699="1/2W",C697="1/2L",C698="1/2L",C699="1/2L"),"OK",IF(OR(C697="L",C698="L",C699="L"),"LOSS",IF(OR(C697="X",C698="X",C699="X"),"Anulado"," ")))</f>
        <v>OK</v>
      </c>
      <c r="C697" s="93" t="s">
        <v>55</v>
      </c>
      <c r="D697" s="468" t="str">
        <f>IF(G697="","",$D694)</f>
        <v>22</v>
      </c>
      <c r="E697" s="485" t="str">
        <f>IF(G697=""," ","– "&amp;COUNTIF(D$4:D699,$D697))</f>
        <v>– 6</v>
      </c>
      <c r="F697" s="509" t="str">
        <f ca="1">IF(G697="","",IF(OR(AND($C697&lt;&gt;" ",$C698=" "),AND($C698&lt;&gt;" ",$C697=" "),AND(L699&gt;0,OR(AND($C699&lt;&gt;" ",OR($C697=" ",$C698=" ")),AND($C699=" ",OR($C697&lt;&gt;" ",$C698&lt;&gt;" "))))),IF(SUM(F$4:F696)=0,1,LARGE(F$4:F696,1)+1),IF(MONTH(G697)=MONTH(TODAY()),IF(AND(DAY(G697)&lt;DAY(TODAY()),$B697=" "),IF(SUM(F$4:F696)=0,1,LARGE(F$4:F696,1)+1),IF($B697=" ",IF(AND(DAY(G697)=DAY(TODAY()),HOUR(G697)&lt;=HOUR(NOW())+1),IF(AND(HOUR(G697)+2&lt;=HOUR(NOW()),DAY(G697)&lt;=DAY(TODAY()),MINUTE(G697)&lt;=MINUTE(NOW())),IF(SUM(F$4:F696)=0,1,LARGE(F$4:F696,1)+1),IF(OR(MINUTE(G697)&lt;=MINUTE(NOW()),HOUR(G697)&lt;=HOUR(NOW())),"!!!","")),""),"")),"")))</f>
        <v/>
      </c>
      <c r="G697" s="482">
        <f>IF(H697="","",_xlfn.XLOOKUP(H697,$H$4:H696,$G$4:G696,""))</f>
        <v>45009.083333333336</v>
      </c>
      <c r="H697" s="475" t="s">
        <v>248</v>
      </c>
      <c r="I697" s="94" t="s">
        <v>51</v>
      </c>
      <c r="J697" s="95">
        <v>18.5</v>
      </c>
      <c r="K697" s="96" t="s">
        <v>40</v>
      </c>
      <c r="L697" s="97">
        <v>2.2999999999999998</v>
      </c>
      <c r="M697" s="98">
        <v>12.98</v>
      </c>
      <c r="N697" s="478">
        <v>0</v>
      </c>
      <c r="O697" s="99">
        <f>IF(OR(AE697="",AE698=""),"",ROUND(IF(L699&gt;0,IF(M697&gt;0,M697,IF(M698&gt;0,ROUND((M698*AE697)/AE698,IF(N697=0,2,IF(N697=0.1,1,0))),ROUND((M699*AE697)/AE699,IF(N697=0,2,IF(N697=0.1,1,0))))),IF(M697&gt;0,M697,ROUND((M698*AE697)/AE698,IF(N697=0,2,IF(N697=0.1,1,0))))),2))</f>
        <v>12.98</v>
      </c>
      <c r="P697" s="100">
        <f>IF(OR(L697="",O697=""),"",IF($C697="1/2W",O697/2+O697/2*L697,IF($C697="1/2L",O697/2,IF(I697="Lay",(O697*(L697/(L697-1))-O697)*(1-_xlfn.XLOOKUP(K697,'Fevereiro 2023 - Valor Real'!A3:A15,'Fevereiro 2023 - Valor Real'!C3:C15,0))+O697,(O697*L697-O697)*(1-_xlfn.XLOOKUP(K697,'Fevereiro 2023 - Valor Real'!A3:A15,'Fevereiro 2023 - Valor Real'!C3:C15,0))+O697))))</f>
        <v>29.853999999999999</v>
      </c>
      <c r="Q697" s="101">
        <f>IF(K697="","",IF(_xlfn.XLOOKUP(K697,K$4:K696,$DJ$4:DJ696,0,,-1)=DJ697,_xlfn.XLOOKUP(K697,K$4:K696,Q$4:Q696,1,,-1)+1,1))</f>
        <v>3</v>
      </c>
      <c r="R697" s="102">
        <f>IF(K697="","",_xlfn.XLOOKUP(K697,K$4:K696,R$4:R696,0,,-1)+IF($C697=" ",1,0))</f>
        <v>0</v>
      </c>
      <c r="S697" s="474">
        <f>IF($B697="Anulado",0,ROUND(IF(OR($B697="LOSS",$B697="OK"),IF(OR($C697="W",$C697="1/2W",$C697="1/2L"),P697-O697,IF($C697="L",-O697,0))+IF(OR($C698="W",$C698="1/2W",$C698="1/2L"),P698-O698,IF($C698="L",-O698,0))+IF(OR($C699="W",$C699="1/2W",$C699="1/2L"),P699-O699,IF($C699="L",-O699,0)),IF(AND(OR($C697="W",$C697="1/2W",$C697="1/2L"),C698="W"),P697+P698-SUM(O697:O699)+_xlfn.XLOOKUP("X",C697:C699,O697:O699,0),IF(AND(C697=TRUE,C699="W"),P697+P699-SUM(O697:O699),IF(AND(C698="W",C699="W"),P698+P699-SUM(O697:O699)+_xlfn.XLOOKUP("X",C697:C699,O697:O699,0),IF(L699&gt;0,IF(OR($C697="W",$C697="1/2W",$C697="1/2L"),P697-SUM(O697:O699)+_xlfn.XLOOKUP("X",C697:C699,O697:O699,0),IF(OR($C697="W",$C697="1/2W",$C697="1/2L"),P698-SUM(O697:O699)+_xlfn.XLOOKUP("X",C697:C699,O697:O699,0),IF(OR($C697="W",$C697="1/2W",$C697="1/2L"),P699-SUM(O697:O699)+_xlfn.XLOOKUP("X",C697:C699,O697:O699,0),IF(SUM(P697:P699)/3-SUM(O697:O699)+_xlfn.XLOOKUP("X",C697:C699,O697:O699,0)&gt;0,SUM(P697:P699)/3-SUM(O697:O699)+_xlfn.XLOOKUP("X",C697:C699,O697:O699,0),LARGE(P697:P699,1)-SUM(O697:O699))))),IF(OR($C697="W",$C697="1/2W",$C697="1/2L"),P697-SUM(O697:O698)+_xlfn.XLOOKUP("X",C697:C699,O697:O699,0),IF(OR($C697="W",$C697="1/2W",$C697="1/2L"),P698-SUM(O697:O698)+_xlfn.XLOOKUP("X",C697:C699,O697:O699,0),SUM(P697:P698)/2-SUM(O697:O698)+_xlfn.XLOOKUP("X",C697:C699,O697:O699,0)))))))),2))</f>
        <v>1.1599999999999999</v>
      </c>
      <c r="T697" s="458">
        <f>IF(S697=0,0,S697/SUM(O697:O699))</f>
        <v>4.0432206343673747E-2</v>
      </c>
      <c r="U697" s="470">
        <f>IF($D697=$D694,IF(OR($B697="LOSS",$B697="OK",$B697="Anulada"),S697,0)+U694,IF(OR($B697="LOSS",$B697="OK",$B697="Anulada"),S697,0))</f>
        <v>9.2200000000000006</v>
      </c>
      <c r="V697" s="470">
        <f>IF($D697="",0,IF($D697=$D694,IF($B697=" ",IF(I699="",IF(OR(AND(I697="DNB1",I698="DNB2"),AND(OR(I697="DNB1",I697="DNB2"),J698=0),AND(OR(I698="DNB1",I698="DNB2"),J697=0),AND(I697="DNB2",I698="DNB1"),AND(IF(J697=0,(J697+1)/ROUND(J697+1,0),J697/ROUND(J697,0))=1,IF(J698=0,(J698+1)/ROUND(IF(J698="",0,J698)+1,0),IF(J698="",0,J698)/ROUND(IF(J698="",1,J698),0))=1,OR(J697&lt;&gt;""),J698&lt;&gt;"")),0,IF(S697&lt;0,IF(I699="",SMALL(P697:P698,1)-SUM(O697:O698),0),SMALL(P697:P698,1)-SUM(O697:O698))),IF(S697&lt;0,IF(I699="",SMALL(P697:P699,1)-SUM(O697:O699),0),LARGE(P697:P699,1)-SUM(O697:O699))),S697)+V694,IF(I699="",IF(OR(AND(I697="DNB1",I698="DNB2"),AND(OR(I697="DNB1",I697="DNB2"),J698=0),AND(OR(I698="DNB1",I698="DNB2"),J697=0),AND(I697="DNB2",I698="DNB1"),AND(IF(J697=0,(J697+1)/ROUND(J697+1,0),J697/ROUND(J697,0))=1,IF(J698=0,(IF(J698="",0,J698)+1)/ROUND(IF(J698="",0,J698)+1,0),IF(J698="",0,J698)/ROUND(IF(J698="",0,J698)+1,0))=1,OR(J697&lt;&gt;""),J698&lt;&gt;"")),0,IF(S697&lt;0,IF(I699="",SMALL(P697:P698,1)-SUM(O697:O698),0),SMALL(P697:P699,1)-SUM(O697:O699))),IF(S697&lt;0,IF(I699="",SMALL(P697:P699,1)-SUM(O697:O699),0),LARGE(P697:P699,1)-SUM(O697:O699)))))</f>
        <v>9.2099999999999955</v>
      </c>
      <c r="W697" s="470">
        <f>IF($D697=$D694,IF(S697&lt;0,IF(I699="",S697,0),S697)+W694,S697)</f>
        <v>9.2200000000000006</v>
      </c>
      <c r="X697" s="480" t="str">
        <f>IF(OR(SUM(R697:R699)=0,V697=W697),ROUND(IF(W697=0,0,W697/Y697)*100,2)&amp;"%",ROUND(IF(V697=0,0,V697/Y697)*100,2)&amp;"% a "&amp;ROUND(IF(W697=0,0,W697/Y697)*100,2)&amp;"%")</f>
        <v>5,33%</v>
      </c>
      <c r="Y697" s="471">
        <f>IF($D697=$D694,Y694+SUM(O697:O699),SUM(O697:O699))</f>
        <v>172.98</v>
      </c>
      <c r="Z697" s="470">
        <f>IF($B697=" ",SUM(O697:O699),0)+Z694</f>
        <v>0</v>
      </c>
      <c r="AA697" s="470">
        <f>IF(G697="","",IF($B697="Anulado",LARGE(P697:P699,1)-SUM(O697:O699)+AA694,AA694))</f>
        <v>13.381099999999991</v>
      </c>
      <c r="AB697" s="470">
        <f>IF($D697="","",AB694+S697)</f>
        <v>803.98000000000059</v>
      </c>
      <c r="AC697" s="472">
        <f ca="1">IF($D697="","",IF($B697=" ",IF(DAY(G697)=DAY(TODAY()),1+AC694,0+AC694),0+AC694))</f>
        <v>0</v>
      </c>
      <c r="AD697" s="103">
        <f>(((L698/(L698-1)-1)*(1-_xlfn.XLOOKUP(K698,'Fevereiro 2023 - Valor Real'!A3:A15,'Fevereiro 2023 - Valor Real'!C3:C15,0))+1))/(((L697-1)*(1-_xlfn.XLOOKUP(K697,'Fevereiro 2023 - Valor Real'!A3:A15,'Fevereiro 2023 - Valor Real'!C3:C15,0))+1)+((L698/(L698-1)-1)*(1-_xlfn.XLOOKUP(K698,'Fevereiro 2023 - Valor Real'!A3:A15,'Fevereiro 2023 - Valor Real'!C3:C15,0))+1))</f>
        <v>0.47858942065491183</v>
      </c>
      <c r="AE697" s="104">
        <f>IF(L697="","",IF(L699&gt;0,(SUM(((L697-1)*(1-_xlfn.XLOOKUP(K697,'Fevereiro 2023 - Valor Real'!A3:A15,'Fevereiro 2023 - Valor Real'!C3:C15,0))+1),((L698-1)*(1-_xlfn.XLOOKUP(K698,'Fevereiro 2023 - Valor Real'!A3:A15,'Fevereiro 2023 - Valor Real'!C3:C15,0))+1),((L699-1)*(1-_xlfn.XLOOKUP(K699,'Fevereiro 2023 - Valor Real'!A3:A15,'Fevereiro 2023 - Valor Real'!C3:C15,0))+1))/((L697-1)*(1-_xlfn.XLOOKUP(K697,'Fevereiro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Real'!C3:C15,0))+1))/((L697-1)*(1-_xlfn.XLOOKUP(K697,'Fevereiro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Real'!C3:C15,0))+1))/((L698-1)*(1-_xlfn.XLOOKUP(K698,'Fevereiro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Real'!C3:C15,0))+1))/((L699-1)*(1-_xlfn.XLOOKUP(K699,'Fevereiro 2023 - Valor Real'!A3:A15,'Fevereiro 2023 - Valor Real'!C3:C15,0))+1)),IF(I697="Lay",IF(I698="Lay",((L698/(L698-1)-1)*(1-_xlfn.XLOOKUP(K698,'Fevereiro 2023 - Valor Real'!A3:A15,'Fevereiro 2023 - Valor Real'!C3:C15,0))+1)/(((L698/(L698-1)-1)*(1-_xlfn.XLOOKUP(K698,'Fevereiro 2023 - Valor Real'!A3:A15,'Fevereiro 2023 - Valor Real'!C3:C15,0))+1)+((L697/(L697-1)-1)*(1-_xlfn.XLOOKUP(K697,'Fevereiro 2023 - Valor Real'!A3:A15,'Fevereiro 2023 - Valor Real'!C3:C15,0))+1)),((L698-1)*(1-_xlfn.XLOOKUP(K698,'Fevereiro 2023 - Valor Real'!A3:A15,'Fevereiro 2023 - Valor Real'!C3:C15,0))+1)/(((L698-1)*(1-_xlfn.XLOOKUP(K698,'Fevereiro 2023 - Valor Real'!A3:A15,'Fevereiro 2023 - Valor Real'!C3:C15,0))+1)+((L697/(L697-1)-1)*(1-_xlfn.XLOOKUP(K697,'Fevereiro 2023 - Valor Real'!A3:A15,'Fevereiro 2023 - Valor Real'!C3:C15,0))+1))),IF(I698="Lay",(((L698/(L698-1)-1)*(1-_xlfn.XLOOKUP(K698,'Fevereiro 2023 - Valor Real'!A3:A15,'Fevereiro 2023 - Valor Real'!C3:C15,0))+1))/(((L697-1)*(1-_xlfn.XLOOKUP(K697,'Fevereiro 2023 - Valor Real'!A3:A15,'Fevereiro 2023 - Valor Real'!C3:C15,0))+1)+((L698/(L698-1)-1)*(1-_xlfn.XLOOKUP(K698,'Fevereiro 2023 - Valor Real'!A3:A15,'Fevereiro 2023 - Valor Real'!C3:C15,0))+1)),((L698-1)*(1-_xlfn.XLOOKUP(K698,'Fevereiro 2023 - Valor Real'!A3:A15,'Fevereiro 2023 - Valor Real'!C3:C15,0))+1)/(((L698-1)*(1-_xlfn.XLOOKUP(K698,'Fevereiro 2023 - Valor Real'!A3:A15,'Fevereiro 2023 - Valor Real'!C3:C15,0))+1)+((L697-1)*(1-_xlfn.XLOOKUP(K697,'Fevereiro 2023 - Valor Real'!A3:A15,'Fevereiro 2023 - Valor Real'!C3:C15,0))+1))))))</f>
        <v>0.45238095238095244</v>
      </c>
      <c r="AF697" s="105">
        <f t="shared" si="1388"/>
        <v>0</v>
      </c>
      <c r="AG697" s="106">
        <f t="shared" si="1388"/>
        <v>0</v>
      </c>
      <c r="AH697" s="106">
        <f t="shared" si="1388"/>
        <v>0</v>
      </c>
      <c r="AI697" s="106">
        <f t="shared" si="1388"/>
        <v>0</v>
      </c>
      <c r="AJ697" s="106">
        <f t="shared" si="1388"/>
        <v>-12.98</v>
      </c>
      <c r="AK697" s="106">
        <f t="shared" si="1388"/>
        <v>0</v>
      </c>
      <c r="AL697" s="106">
        <f t="shared" si="1388"/>
        <v>0</v>
      </c>
      <c r="AM697" s="106">
        <f t="shared" si="1388"/>
        <v>0</v>
      </c>
      <c r="AN697" s="106">
        <f t="shared" si="1388"/>
        <v>0</v>
      </c>
      <c r="AO697" s="106">
        <f t="shared" si="1388"/>
        <v>0</v>
      </c>
      <c r="AP697" s="106">
        <f t="shared" si="1388"/>
        <v>0</v>
      </c>
      <c r="AQ697" s="106">
        <f t="shared" si="1388"/>
        <v>0</v>
      </c>
      <c r="AR697" s="107">
        <f t="shared" si="1388"/>
        <v>0</v>
      </c>
      <c r="AS697" s="105">
        <f t="shared" ref="AS697:BE697" si="1394">IF(AND($B697=" ",$K697=AS$3),$O697,0)</f>
        <v>0</v>
      </c>
      <c r="AT697" s="106">
        <f t="shared" si="1394"/>
        <v>0</v>
      </c>
      <c r="AU697" s="106">
        <f t="shared" si="1394"/>
        <v>0</v>
      </c>
      <c r="AV697" s="106">
        <f t="shared" si="1394"/>
        <v>0</v>
      </c>
      <c r="AW697" s="106">
        <f t="shared" si="1394"/>
        <v>0</v>
      </c>
      <c r="AX697" s="106">
        <f t="shared" si="1394"/>
        <v>0</v>
      </c>
      <c r="AY697" s="108">
        <f t="shared" si="1394"/>
        <v>0</v>
      </c>
      <c r="AZ697" s="109">
        <f t="shared" si="1394"/>
        <v>0</v>
      </c>
      <c r="BA697" s="109">
        <f t="shared" si="1394"/>
        <v>0</v>
      </c>
      <c r="BB697" s="109">
        <f t="shared" si="1394"/>
        <v>0</v>
      </c>
      <c r="BC697" s="110">
        <f t="shared" si="1394"/>
        <v>0</v>
      </c>
      <c r="BD697" s="106">
        <f t="shared" si="1394"/>
        <v>0</v>
      </c>
      <c r="BE697" s="107">
        <f t="shared" si="1394"/>
        <v>0</v>
      </c>
      <c r="BF697" s="111">
        <f t="shared" si="1390"/>
        <v>0</v>
      </c>
      <c r="BG697" s="106">
        <f t="shared" si="1390"/>
        <v>0</v>
      </c>
      <c r="BH697" s="106">
        <f t="shared" si="1390"/>
        <v>0</v>
      </c>
      <c r="BI697" s="106">
        <f t="shared" si="1390"/>
        <v>0</v>
      </c>
      <c r="BJ697" s="106">
        <f t="shared" si="1390"/>
        <v>12.98</v>
      </c>
      <c r="BK697" s="106">
        <f t="shared" si="1390"/>
        <v>0</v>
      </c>
      <c r="BL697" s="106">
        <f t="shared" si="1390"/>
        <v>0</v>
      </c>
      <c r="BM697" s="108">
        <f t="shared" si="1390"/>
        <v>0</v>
      </c>
      <c r="BN697" s="109">
        <f t="shared" si="1390"/>
        <v>0</v>
      </c>
      <c r="BO697" s="109">
        <f t="shared" si="1390"/>
        <v>0</v>
      </c>
      <c r="BP697" s="109">
        <f t="shared" si="1390"/>
        <v>0</v>
      </c>
      <c r="BQ697" s="110">
        <f t="shared" si="1390"/>
        <v>0</v>
      </c>
      <c r="BR697" s="107">
        <f t="shared" si="1390"/>
        <v>0</v>
      </c>
      <c r="BS697" s="463">
        <f>IF($B697="LOSS",IF(AND($K697=BS$3,$C697="L"),-$O697,0)+IF(AND($K698=BS$3,$C698="L"),-$O698,0)+IF(AND($K699=BS$3,$C699="L"),-$O699,0),IF(OR(AND($K697=BS$3,OR($C697="W",$C697="1/2W")),AND($K698=BS$3,OR($C698="W",$C698="1/2W")),AND($K699=BS$3,OR($C699="W",$C699="1/2W"))),$S697,0))</f>
        <v>0</v>
      </c>
      <c r="BT697" s="462">
        <f>IF($B697="LOSS",IF(AND($K697=BT$3,$C697="L"),-$O697,0)+IF(AND($K698=BT$3,$C698="L"),-$O698,0)+IF(AND($K698=BT$3,$C699="L"),-$O699,0),IF(OR(AND($K698=BT$3,OR($C697="W",$C697="1/2W")),AND($K698=BT$3,OR($C698="W",$C698="1/2W")),AND($K698=BT$3,OR($C699="W",$C699="1/2W"))),$S697,0))</f>
        <v>0</v>
      </c>
      <c r="BU697" s="462">
        <f>IF($B697="LOSS",IF(AND($K697=BU$3,$C697="L"),-$O697,0)+IF(AND($K698=BU$3,$C698="L"),-$O698,0)+IF(AND($K698=BU$3,$C699="L"),-$O699,0),IF(OR(AND($K698=BU$3,OR($C697="W",$C697="1/2W")),AND($K698=BU$3,OR($C698="W",$C698="1/2W")),AND($K698=BU$3,OR($C699="W",$C699="1/2W"))),$S697,0))</f>
        <v>0</v>
      </c>
      <c r="BV697" s="462">
        <f t="shared" ref="BV697:CE697" si="1395">IF($B697="LOSS",IF(AND($K697=BV$3,$C697="L"),-$O697,0)+IF(AND($K698=BV$3,$C698="L"),-$O698,0)+IF(AND($K699=BV$3,$C699="L"),-$O699,0),IF(OR(AND($K697=BV$3,OR($C697="W",$C697="1/2W")),AND($K698=BV$3,OR($C698="W",$C698="1/2W")),AND($K699=BV$3,OR($C699="W",$C699="1/2W"))),$S697,0))</f>
        <v>0</v>
      </c>
      <c r="BW697" s="462">
        <f t="shared" si="1395"/>
        <v>0</v>
      </c>
      <c r="BX697" s="462">
        <f t="shared" si="1395"/>
        <v>0</v>
      </c>
      <c r="BY697" s="462">
        <f t="shared" si="1395"/>
        <v>0</v>
      </c>
      <c r="BZ697" s="460">
        <f t="shared" si="1395"/>
        <v>1.1599999999999999</v>
      </c>
      <c r="CA697" s="460">
        <f t="shared" si="1395"/>
        <v>0</v>
      </c>
      <c r="CB697" s="460">
        <f t="shared" si="1395"/>
        <v>0</v>
      </c>
      <c r="CC697" s="460">
        <f t="shared" si="1395"/>
        <v>0</v>
      </c>
      <c r="CD697" s="473">
        <f t="shared" si="1395"/>
        <v>0</v>
      </c>
      <c r="CE697" s="479">
        <f t="shared" si="1395"/>
        <v>0</v>
      </c>
      <c r="CF697" s="113">
        <f t="shared" si="1285"/>
        <v>0</v>
      </c>
      <c r="CG697" s="114">
        <f t="shared" si="1286"/>
        <v>0</v>
      </c>
      <c r="CH697" s="114">
        <f t="shared" si="1287"/>
        <v>0</v>
      </c>
      <c r="CI697" s="114">
        <f t="shared" si="1288"/>
        <v>0</v>
      </c>
      <c r="CJ697" s="114">
        <f t="shared" si="1289"/>
        <v>0</v>
      </c>
      <c r="CK697" s="114">
        <f t="shared" si="1290"/>
        <v>0</v>
      </c>
      <c r="CL697" s="114">
        <f t="shared" si="1291"/>
        <v>0</v>
      </c>
      <c r="CM697" s="114">
        <f t="shared" si="1292"/>
        <v>0</v>
      </c>
      <c r="CN697" s="114">
        <f t="shared" si="1293"/>
        <v>0</v>
      </c>
      <c r="CO697" s="114">
        <f t="shared" si="1294"/>
        <v>1</v>
      </c>
      <c r="CP697" s="114">
        <f t="shared" si="1295"/>
        <v>0</v>
      </c>
      <c r="CQ697" s="114">
        <f t="shared" si="1296"/>
        <v>0</v>
      </c>
      <c r="CR697" s="114">
        <f t="shared" si="1297"/>
        <v>0</v>
      </c>
      <c r="CS697" s="114">
        <f t="shared" si="1298"/>
        <v>0</v>
      </c>
      <c r="CT697" s="115">
        <f t="shared" si="1299"/>
        <v>0</v>
      </c>
      <c r="CU697" s="116">
        <f t="shared" si="1300"/>
        <v>0</v>
      </c>
      <c r="CV697" s="116">
        <f t="shared" si="1301"/>
        <v>0</v>
      </c>
      <c r="CW697" s="116">
        <f t="shared" si="1302"/>
        <v>0</v>
      </c>
      <c r="CX697" s="116">
        <f t="shared" si="1303"/>
        <v>0</v>
      </c>
      <c r="CY697" s="116">
        <f t="shared" si="1304"/>
        <v>0</v>
      </c>
      <c r="CZ697" s="116">
        <f t="shared" si="1305"/>
        <v>0</v>
      </c>
      <c r="DA697" s="116">
        <f t="shared" si="1306"/>
        <v>0</v>
      </c>
      <c r="DB697" s="116">
        <f t="shared" si="1307"/>
        <v>0</v>
      </c>
      <c r="DC697" s="116">
        <f t="shared" si="1308"/>
        <v>0</v>
      </c>
      <c r="DD697" s="116">
        <f t="shared" si="1309"/>
        <v>0</v>
      </c>
      <c r="DE697" s="117">
        <f t="shared" si="1310"/>
        <v>0</v>
      </c>
      <c r="DF697" s="118">
        <f t="shared" si="1312"/>
        <v>41</v>
      </c>
      <c r="DG697" s="106">
        <f t="shared" si="1313"/>
        <v>54.467999999999996</v>
      </c>
      <c r="DH697" s="116">
        <f t="shared" si="1314"/>
        <v>16</v>
      </c>
      <c r="DI697" s="106">
        <f t="shared" si="1315"/>
        <v>68.699999999999989</v>
      </c>
      <c r="DJ697" s="201" t="str">
        <f>IF($D697="","",$D697)</f>
        <v>22</v>
      </c>
      <c r="DK697" s="465">
        <f>IF(AND($B697=" ",$D697&lt;&gt;""),1,0)</f>
        <v>0</v>
      </c>
    </row>
    <row r="698" spans="1:115" ht="14.5" customHeight="1" x14ac:dyDescent="0.2">
      <c r="A698" s="389"/>
      <c r="B698" s="456"/>
      <c r="C698" s="120" t="s">
        <v>54</v>
      </c>
      <c r="D698" s="374"/>
      <c r="E698" s="386"/>
      <c r="F698" s="377"/>
      <c r="G698" s="483"/>
      <c r="H698" s="476"/>
      <c r="I698" s="121" t="s">
        <v>52</v>
      </c>
      <c r="J698" s="122">
        <f>IF(OR(I697="TO",I697="TU",I697="TO1",I697="TU1",I697="TO2",I697="TU2"),J697,IF(OR(I697="AH1",I697="AH2"),IF(OR(I698="AH1",I698="AH2"),-J697,IF(OR(I698="EH1",I698="EH2"),-J697+0.5,"")),IF(OR(I697="EH1",I697="EH2"),IF(OR(I698="AH1",I698="AH2"),-J697+0.5,IF(OR(I698="EH1",I698="EH2"),-J697+1,"")),IF(AND(OR(I697="DNB1",I697="DNB2"),OR(I698="AH1",I698="AH2")),0,IF(AND(I697="Not ScoreBoth",OR(I698="TO1",I698="TO2")),0.5,"")))))</f>
        <v>18.5</v>
      </c>
      <c r="K698" s="123" t="s">
        <v>43</v>
      </c>
      <c r="L698" s="124">
        <v>1.9</v>
      </c>
      <c r="M698" s="125"/>
      <c r="N698" s="406"/>
      <c r="O698" s="126">
        <f>IF(OR(AE697="",AE698=""),"",ROUND(IF(L699&gt;0,IF(M698&gt;0,M698,IF(M697&gt;0,IF(N697=TRUE,ROUND((M697*AE698)/AE697,0),(M697*AE698)/AE697),IF(M698&gt;0,ROUND(M698,IF(N697=0,2,IF(N697=0.1,1,0))),IF(M699&gt;0,ROUND(O699*AE698/AE699,IF(N697=0,2,IF(N697=0.1,1,0))),0)))),IF(M698&gt;0,M698,ROUND((M697*AE698)/AE697,IF(N697=0,2,IF(N697=0.1,1,0))))),2))</f>
        <v>15.71</v>
      </c>
      <c r="P698" s="127">
        <f>IF(OR(L698="",O698=""),"",IF($C698="1/2W",O698/2+O698/2*L698,IF($C698="1/2L",O698/2,IF(I698="Lay",((O698*(L698/(L698-1)))-O698)*(1-_xlfn.XLOOKUP(K698,'Fevereiro 2023 - Valor Real'!A3:A15,'Fevereiro 2023 - Valor Real'!C3:C15,0))+O698,(O698*L698-O698)*(1-_xlfn.XLOOKUP(K698,'Fevereiro 2023 - Valor Real'!A3:A15,'Fevereiro 2023 - Valor Real'!C3:C15,0))+O698))))</f>
        <v>29.849</v>
      </c>
      <c r="Q698" s="128">
        <f>IF(K698="","",IF(_xlfn.XLOOKUP(K698,K$4:K697,$DJ$4:DJ697,0,,-1)=DJ698,_xlfn.XLOOKUP(K698,K$4:K697,Q$4:Q697,1,,-1)+1,1))</f>
        <v>3</v>
      </c>
      <c r="R698" s="129">
        <f>IF(K698="","",_xlfn.XLOOKUP(K698,K$4:K697,R$4:R697,0,,-1)+IF($C698=" ",1,0))</f>
        <v>0</v>
      </c>
      <c r="S698" s="403"/>
      <c r="T698" s="380"/>
      <c r="U698" s="380"/>
      <c r="V698" s="481"/>
      <c r="W698" s="380"/>
      <c r="X698" s="452"/>
      <c r="Y698" s="383"/>
      <c r="Z698" s="384"/>
      <c r="AA698" s="384"/>
      <c r="AB698" s="384"/>
      <c r="AC698" s="384"/>
      <c r="AD698" s="130">
        <f>(((L698/(L698-1)-1)*(1-_xlfn.XLOOKUP(K698,'Fevereiro 2023 - Valor Real'!A3:A15,'Fevereiro 2023 - Valor Real'!C3:C15,0))+1))</f>
        <v>2.1111111111111112</v>
      </c>
      <c r="AE698" s="131">
        <f>IF(L698="","",IF(L699&gt;0,(SUM(((L697-1)*(1-_xlfn.XLOOKUP(K697,'Fevereiro 2023 - Valor Real'!A3:A15,'Fevereiro 2023 - Valor Real'!C3:C15,0))+1),((L698-1)*(1-_xlfn.XLOOKUP(K698,'Fevereiro 2023 - Valor Real'!A3:A15,'Fevereiro 2023 - Valor Real'!C3:C15,0))+1),((L699-1)*(1-_xlfn.XLOOKUP(K699,'Fevereiro 2023 - Valor Real'!A3:A15,'Fevereiro 2023 - Valor Real'!C3:C15,0))+1))/((L698-1)*(1-_xlfn.XLOOKUP(K698,'Fevereiro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Real'!C3:C15,0))+1))/((L697-1)*(1-_xlfn.XLOOKUP(K697,'Fevereiro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Real'!C3:C15,0))+1))/((L698-1)*(1-_xlfn.XLOOKUP(K698,'Fevereiro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Real'!C3:C15,0))+1))/((L699-1)*(1-_xlfn.XLOOKUP(K699,'Fevereiro 2023 - Valor Real'!A3:A15,'Fevereiro 2023 - Valor Real'!C3:C15,0))+1)),IF(I698="Lay",IF(I697="Lay",((L697/(L697-1)-1)*(1-_xlfn.XLOOKUP(K697,'Fevereiro 2023 - Valor Real'!A3:A15,'Fevereiro 2023 - Valor Real'!C3:C15,0))+1)/(((L697/(L697-1)-1)*(1-_xlfn.XLOOKUP(K697,'Fevereiro 2023 - Valor Real'!A3:A15,'Fevereiro 2023 - Valor Real'!C3:C15,0))+1)+((L698/(L698-1)-1)*(1-_xlfn.XLOOKUP(K698,'Fevereiro 2023 - Valor Real'!A3:A15,'Fevereiro 2023 - Valor Real'!C3:C15,0))+1)),((L697-1)*(1-_xlfn.XLOOKUP(K697,'Fevereiro 2023 - Valor Real'!A3:A15,'Fevereiro 2023 - Valor Real'!C3:C15,0))+1)/(((L697-1)*(1-_xlfn.XLOOKUP(K697,'Fevereiro 2023 - Valor Real'!A3:A15,'Fevereiro 2023 - Valor Real'!C3:C15,0))+1)+((L698/(L698-1)-1)*(1-_xlfn.XLOOKUP(K698,'Fevereiro 2023 - Valor Real'!A3:A15,'Fevereiro 2023 - Valor Real'!C3:C15,0))+1))),IF(I697="Lay",((L697/(L697-1)-1)*(1-_xlfn.XLOOKUP(K697,'Fevereiro 2023 - Valor Real'!A3:A15,'Fevereiro 2023 - Valor Real'!C3:C15,0))+1)/((((L697/(L697-1)-1)*(1-_xlfn.XLOOKUP(K697,'Fevereiro 2023 - Valor Real'!A3:A15,'Fevereiro 2023 - Valor Real'!C3:C15,0))+1))+((L698-1)*(1-_xlfn.XLOOKUP(K698,'Fevereiro 2023 - Valor Real'!A3:A15,'Fevereiro 2023 - Valor Real'!C3:C15,0))+1)),((L697-1)*(1-_xlfn.XLOOKUP(K697,'Fevereiro 2023 - Valor Real'!A3:A15,'Fevereiro 2023 - Valor Real'!C3:C15,0))+1)/(((L697-1)*(1-_xlfn.XLOOKUP(K697,'Fevereiro 2023 - Valor Real'!A3:A15,'Fevereiro 2023 - Valor Real'!C3:C15,0))+1)+((L698-1)*(1-_xlfn.XLOOKUP(K698,'Fevereiro 2023 - Valor Real'!A3:A15,'Fevereiro 2023 - Valor Real'!C3:C15,0))+1))))))</f>
        <v>0.54761904761904767</v>
      </c>
      <c r="AF698" s="105">
        <f t="shared" si="1388"/>
        <v>0</v>
      </c>
      <c r="AG698" s="106">
        <f t="shared" si="1388"/>
        <v>0</v>
      </c>
      <c r="AH698" s="106">
        <f t="shared" si="1388"/>
        <v>0</v>
      </c>
      <c r="AI698" s="106">
        <f t="shared" si="1388"/>
        <v>0</v>
      </c>
      <c r="AJ698" s="106">
        <f t="shared" si="1388"/>
        <v>0</v>
      </c>
      <c r="AK698" s="106">
        <f t="shared" si="1388"/>
        <v>0</v>
      </c>
      <c r="AL698" s="106">
        <f t="shared" si="1388"/>
        <v>0</v>
      </c>
      <c r="AM698" s="106">
        <f t="shared" si="1388"/>
        <v>14.14</v>
      </c>
      <c r="AN698" s="106">
        <f t="shared" si="1388"/>
        <v>0</v>
      </c>
      <c r="AO698" s="106">
        <f t="shared" si="1388"/>
        <v>0</v>
      </c>
      <c r="AP698" s="106">
        <f t="shared" si="1388"/>
        <v>0</v>
      </c>
      <c r="AQ698" s="106">
        <f t="shared" si="1388"/>
        <v>0</v>
      </c>
      <c r="AR698" s="107">
        <f t="shared" si="1388"/>
        <v>0</v>
      </c>
      <c r="AS698" s="105">
        <f>IF(AND($B697=" ",$K698=AS$3),$O698,0)</f>
        <v>0</v>
      </c>
      <c r="AT698" s="106">
        <f>IF(AND($B697=" ",K698=AT$3),$O698,0)</f>
        <v>0</v>
      </c>
      <c r="AU698" s="106">
        <f t="shared" ref="AU698:BE698" si="1396">IF(AND($B697=" ",$K698=AU$3),$O698,0)</f>
        <v>0</v>
      </c>
      <c r="AV698" s="106">
        <f t="shared" si="1396"/>
        <v>0</v>
      </c>
      <c r="AW698" s="106">
        <f t="shared" si="1396"/>
        <v>0</v>
      </c>
      <c r="AX698" s="106">
        <f t="shared" si="1396"/>
        <v>0</v>
      </c>
      <c r="AY698" s="108">
        <f t="shared" si="1396"/>
        <v>0</v>
      </c>
      <c r="AZ698" s="109">
        <f t="shared" si="1396"/>
        <v>0</v>
      </c>
      <c r="BA698" s="109">
        <f t="shared" si="1396"/>
        <v>0</v>
      </c>
      <c r="BB698" s="109">
        <f t="shared" si="1396"/>
        <v>0</v>
      </c>
      <c r="BC698" s="110">
        <f t="shared" si="1396"/>
        <v>0</v>
      </c>
      <c r="BD698" s="106">
        <f t="shared" si="1396"/>
        <v>0</v>
      </c>
      <c r="BE698" s="107">
        <f t="shared" si="1396"/>
        <v>0</v>
      </c>
      <c r="BF698" s="105">
        <f t="shared" si="1390"/>
        <v>0</v>
      </c>
      <c r="BG698" s="106">
        <f t="shared" si="1390"/>
        <v>0</v>
      </c>
      <c r="BH698" s="106">
        <f t="shared" si="1390"/>
        <v>0</v>
      </c>
      <c r="BI698" s="106">
        <f t="shared" si="1390"/>
        <v>0</v>
      </c>
      <c r="BJ698" s="106">
        <f t="shared" si="1390"/>
        <v>0</v>
      </c>
      <c r="BK698" s="106">
        <f t="shared" si="1390"/>
        <v>0</v>
      </c>
      <c r="BL698" s="106">
        <f t="shared" si="1390"/>
        <v>0</v>
      </c>
      <c r="BM698" s="132">
        <f t="shared" si="1390"/>
        <v>15.71</v>
      </c>
      <c r="BN698" s="112">
        <f t="shared" si="1390"/>
        <v>0</v>
      </c>
      <c r="BO698" s="112">
        <f t="shared" si="1390"/>
        <v>0</v>
      </c>
      <c r="BP698" s="112">
        <f t="shared" si="1390"/>
        <v>0</v>
      </c>
      <c r="BQ698" s="110">
        <f t="shared" si="1390"/>
        <v>0</v>
      </c>
      <c r="BR698" s="107">
        <f t="shared" si="1390"/>
        <v>0</v>
      </c>
      <c r="BS698" s="464"/>
      <c r="BT698" s="461"/>
      <c r="BU698" s="392"/>
      <c r="BV698" s="461"/>
      <c r="BW698" s="392"/>
      <c r="BX698" s="392"/>
      <c r="BY698" s="392"/>
      <c r="BZ698" s="461"/>
      <c r="CA698" s="392"/>
      <c r="CB698" s="392"/>
      <c r="CC698" s="392"/>
      <c r="CD698" s="401"/>
      <c r="CE698" s="409"/>
      <c r="CF698" s="133">
        <f t="shared" si="1285"/>
        <v>0</v>
      </c>
      <c r="CG698" s="134">
        <f t="shared" si="1286"/>
        <v>0</v>
      </c>
      <c r="CH698" s="134">
        <f t="shared" si="1287"/>
        <v>0</v>
      </c>
      <c r="CI698" s="134">
        <f t="shared" si="1288"/>
        <v>0</v>
      </c>
      <c r="CJ698" s="134">
        <f t="shared" si="1289"/>
        <v>0</v>
      </c>
      <c r="CK698" s="134">
        <f t="shared" si="1290"/>
        <v>0</v>
      </c>
      <c r="CL698" s="134">
        <f t="shared" si="1291"/>
        <v>0</v>
      </c>
      <c r="CM698" s="134">
        <f t="shared" si="1292"/>
        <v>0</v>
      </c>
      <c r="CN698" s="134">
        <f t="shared" si="1293"/>
        <v>0</v>
      </c>
      <c r="CO698" s="134">
        <f t="shared" si="1294"/>
        <v>0</v>
      </c>
      <c r="CP698" s="134">
        <f t="shared" si="1295"/>
        <v>0</v>
      </c>
      <c r="CQ698" s="134">
        <f t="shared" si="1296"/>
        <v>0</v>
      </c>
      <c r="CR698" s="134">
        <f t="shared" si="1297"/>
        <v>0</v>
      </c>
      <c r="CS698" s="134">
        <f t="shared" si="1298"/>
        <v>0</v>
      </c>
      <c r="CT698" s="115">
        <f t="shared" si="1299"/>
        <v>1</v>
      </c>
      <c r="CU698" s="116">
        <f t="shared" si="1300"/>
        <v>0</v>
      </c>
      <c r="CV698" s="116">
        <f t="shared" si="1301"/>
        <v>0</v>
      </c>
      <c r="CW698" s="116">
        <f t="shared" si="1302"/>
        <v>0</v>
      </c>
      <c r="CX698" s="116">
        <f t="shared" si="1303"/>
        <v>0</v>
      </c>
      <c r="CY698" s="116">
        <f t="shared" si="1304"/>
        <v>0</v>
      </c>
      <c r="CZ698" s="116">
        <f t="shared" si="1305"/>
        <v>0</v>
      </c>
      <c r="DA698" s="116">
        <f t="shared" si="1306"/>
        <v>0</v>
      </c>
      <c r="DB698" s="116">
        <f t="shared" si="1307"/>
        <v>0</v>
      </c>
      <c r="DC698" s="116">
        <f t="shared" si="1308"/>
        <v>0</v>
      </c>
      <c r="DD698" s="116">
        <f t="shared" si="1309"/>
        <v>0</v>
      </c>
      <c r="DE698" s="117">
        <f t="shared" si="1310"/>
        <v>0</v>
      </c>
      <c r="DF698" s="118">
        <f t="shared" si="1312"/>
        <v>41</v>
      </c>
      <c r="DG698" s="106">
        <f t="shared" si="1313"/>
        <v>54.467999999999996</v>
      </c>
      <c r="DH698" s="116">
        <f t="shared" si="1314"/>
        <v>16</v>
      </c>
      <c r="DI698" s="106">
        <f t="shared" si="1315"/>
        <v>68.699999999999989</v>
      </c>
      <c r="DJ698" s="201" t="str">
        <f>IF($D697="","",$D697)</f>
        <v>22</v>
      </c>
      <c r="DK698" s="466"/>
    </row>
    <row r="699" spans="1:115" ht="14.5" customHeight="1" x14ac:dyDescent="0.2">
      <c r="A699" s="390"/>
      <c r="B699" s="457"/>
      <c r="C699" s="135" t="s">
        <v>53</v>
      </c>
      <c r="D699" s="375"/>
      <c r="E699" s="387"/>
      <c r="F699" s="378"/>
      <c r="G699" s="484"/>
      <c r="H699" s="477"/>
      <c r="I699" s="136"/>
      <c r="J699" s="137"/>
      <c r="K699" s="138"/>
      <c r="L699" s="139"/>
      <c r="M699" s="140"/>
      <c r="N699" s="407"/>
      <c r="O699" s="141" t="str">
        <f>IF(OR(AE697="",AE698=""),"",IF(L699&gt;0,ROUND(IF(M699&gt;0,M699,IF(M697&gt;0,ROUND((M697*AE699)/AE697,IF(N697=0,2,IF(N697=0.1,1,0))),IF(M698&gt;0,ROUND((M698*AE699)/AE698,IF(N697=0,2,IF(N697=0.1,1,0))),IF(M699&gt;0,M699,0)))),2),""))</f>
        <v/>
      </c>
      <c r="P699" s="142" t="str">
        <f>IF(I698="Lay",O698*(L698/(L698-1))-O698,IF(I697="Lay",O697*(L697/(L697-1))-O697,IF(OR(L699="",O699=""),"",IF($C699="1/2W",O699/2+O699/2*L699,IF($C699="1/2L",O699/2,(O699*L699-O699)*(1-_xlfn.XLOOKUP(K699,'Fevereiro 2023 - Valor Real'!A3:A15,'Fevereiro 2023 - Valor Real'!C3:C15,0))+O699)))))</f>
        <v/>
      </c>
      <c r="Q699" s="143" t="str">
        <f>IF(K699="","",IF(_xlfn.XLOOKUP(K699,K$4:K698,$DJ$4:DJ698,0,,-1)=DJ699,_xlfn.XLOOKUP(K699,K$4:K698,Q$4:Q698,1,,-1)+1,1))</f>
        <v/>
      </c>
      <c r="R699" s="144" t="str">
        <f>IF(K699="","",_xlfn.XLOOKUP(K699,K$4:K698,R$4:R698,0,,-1)+IF($C699=" ",1,0))</f>
        <v/>
      </c>
      <c r="S699" s="404"/>
      <c r="T699" s="378"/>
      <c r="U699" s="378"/>
      <c r="V699" s="404"/>
      <c r="W699" s="378"/>
      <c r="X699" s="453"/>
      <c r="Y699" s="383"/>
      <c r="Z699" s="384"/>
      <c r="AA699" s="384"/>
      <c r="AB699" s="384"/>
      <c r="AC699" s="384"/>
      <c r="AD699" s="145">
        <f>((L698/(L698-1)-1))</f>
        <v>1.1111111111111112</v>
      </c>
      <c r="AE699" s="146" t="str">
        <f>IF(L699="","",(SUM(((L697-1)*(1-_xlfn.XLOOKUP(K697,'Fevereiro 2023 - Valor Real'!A3:A15,'Fevereiro 2023 - Valor Real'!C3:C15,0))+1),((L698-1)*(1-_xlfn.XLOOKUP(K698,'Fevereiro 2023 - Valor Real'!A3:A15,'Fevereiro 2023 - Valor Real'!C3:C15,0))+1),((L699-1)*(1-_xlfn.XLOOKUP(K699,'Fevereiro 2023 - Valor Real'!A3:A15,'Fevereiro 2023 - Valor Real'!C3:C15,0))+1))/((L699-1)*(1-_xlfn.XLOOKUP(K699,'Fevereiro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Real'!C3:C15,0))+1))/((L697-1)*(1-_xlfn.XLOOKUP(K697,'Fevereiro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Real'!C3:C15,0))+1))/((L698-1)*(1-_xlfn.XLOOKUP(K698,'Fevereiro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Real'!C3:C15,0))+1))/((L699-1)*(1-_xlfn.XLOOKUP(K699,'Fevereiro 2023 - Valor Real'!A3:A15,'Fevereiro 2023 - Valor Real'!C3:C15,0))+1)))</f>
        <v/>
      </c>
      <c r="AF699" s="105">
        <f t="shared" si="1388"/>
        <v>0</v>
      </c>
      <c r="AG699" s="106">
        <f t="shared" si="1388"/>
        <v>0</v>
      </c>
      <c r="AH699" s="106">
        <f t="shared" si="1388"/>
        <v>0</v>
      </c>
      <c r="AI699" s="106">
        <f t="shared" si="1388"/>
        <v>0</v>
      </c>
      <c r="AJ699" s="106">
        <f t="shared" si="1388"/>
        <v>0</v>
      </c>
      <c r="AK699" s="106">
        <f t="shared" si="1388"/>
        <v>0</v>
      </c>
      <c r="AL699" s="106">
        <f t="shared" si="1388"/>
        <v>0</v>
      </c>
      <c r="AM699" s="106">
        <f t="shared" si="1388"/>
        <v>0</v>
      </c>
      <c r="AN699" s="106">
        <f t="shared" si="1388"/>
        <v>0</v>
      </c>
      <c r="AO699" s="106">
        <f t="shared" si="1388"/>
        <v>0</v>
      </c>
      <c r="AP699" s="106">
        <f t="shared" si="1388"/>
        <v>0</v>
      </c>
      <c r="AQ699" s="106">
        <f t="shared" si="1388"/>
        <v>0</v>
      </c>
      <c r="AR699" s="107">
        <f t="shared" si="1388"/>
        <v>0</v>
      </c>
      <c r="AS699" s="105">
        <f>IF(AND($B697=" ",$K699=AS$3),$O699,0)</f>
        <v>0</v>
      </c>
      <c r="AT699" s="106">
        <f>IF(AND($B697=" ",K699=AT$3),$O699,0)</f>
        <v>0</v>
      </c>
      <c r="AU699" s="106">
        <f t="shared" ref="AU699:BE699" si="1397">IF(AND($B697=" ",$K699=AU$3),$O699,0)</f>
        <v>0</v>
      </c>
      <c r="AV699" s="106">
        <f t="shared" si="1397"/>
        <v>0</v>
      </c>
      <c r="AW699" s="106">
        <f t="shared" si="1397"/>
        <v>0</v>
      </c>
      <c r="AX699" s="106">
        <f t="shared" si="1397"/>
        <v>0</v>
      </c>
      <c r="AY699" s="108">
        <f t="shared" si="1397"/>
        <v>0</v>
      </c>
      <c r="AZ699" s="109">
        <f t="shared" si="1397"/>
        <v>0</v>
      </c>
      <c r="BA699" s="109">
        <f t="shared" si="1397"/>
        <v>0</v>
      </c>
      <c r="BB699" s="109">
        <f t="shared" si="1397"/>
        <v>0</v>
      </c>
      <c r="BC699" s="110">
        <f t="shared" si="1397"/>
        <v>0</v>
      </c>
      <c r="BD699" s="106">
        <f t="shared" si="1397"/>
        <v>0</v>
      </c>
      <c r="BE699" s="107">
        <f t="shared" si="1397"/>
        <v>0</v>
      </c>
      <c r="BF699" s="105">
        <f t="shared" si="1390"/>
        <v>0</v>
      </c>
      <c r="BG699" s="106">
        <f t="shared" si="1390"/>
        <v>0</v>
      </c>
      <c r="BH699" s="106">
        <f t="shared" si="1390"/>
        <v>0</v>
      </c>
      <c r="BI699" s="106">
        <f t="shared" si="1390"/>
        <v>0</v>
      </c>
      <c r="BJ699" s="106">
        <f t="shared" si="1390"/>
        <v>0</v>
      </c>
      <c r="BK699" s="106">
        <f t="shared" si="1390"/>
        <v>0</v>
      </c>
      <c r="BL699" s="106">
        <f t="shared" si="1390"/>
        <v>0</v>
      </c>
      <c r="BM699" s="108">
        <f t="shared" si="1390"/>
        <v>0</v>
      </c>
      <c r="BN699" s="109">
        <f t="shared" si="1390"/>
        <v>0</v>
      </c>
      <c r="BO699" s="109">
        <f t="shared" si="1390"/>
        <v>0</v>
      </c>
      <c r="BP699" s="109">
        <f t="shared" si="1390"/>
        <v>0</v>
      </c>
      <c r="BQ699" s="110">
        <f t="shared" si="1390"/>
        <v>0</v>
      </c>
      <c r="BR699" s="107">
        <f t="shared" si="1390"/>
        <v>0</v>
      </c>
      <c r="BS699" s="464"/>
      <c r="BT699" s="461"/>
      <c r="BU699" s="392"/>
      <c r="BV699" s="461"/>
      <c r="BW699" s="392"/>
      <c r="BX699" s="392"/>
      <c r="BY699" s="392"/>
      <c r="BZ699" s="461"/>
      <c r="CA699" s="392"/>
      <c r="CB699" s="392"/>
      <c r="CC699" s="392"/>
      <c r="CD699" s="401"/>
      <c r="CE699" s="409"/>
      <c r="CF699" s="133">
        <f t="shared" si="1285"/>
        <v>0</v>
      </c>
      <c r="CG699" s="134">
        <f t="shared" si="1286"/>
        <v>0</v>
      </c>
      <c r="CH699" s="134">
        <f t="shared" si="1287"/>
        <v>0</v>
      </c>
      <c r="CI699" s="134">
        <f t="shared" si="1288"/>
        <v>0</v>
      </c>
      <c r="CJ699" s="134">
        <f t="shared" si="1289"/>
        <v>0</v>
      </c>
      <c r="CK699" s="134">
        <f t="shared" si="1290"/>
        <v>0</v>
      </c>
      <c r="CL699" s="134">
        <f t="shared" si="1291"/>
        <v>0</v>
      </c>
      <c r="CM699" s="134">
        <f t="shared" si="1292"/>
        <v>0</v>
      </c>
      <c r="CN699" s="134">
        <f t="shared" si="1293"/>
        <v>0</v>
      </c>
      <c r="CO699" s="134">
        <f t="shared" si="1294"/>
        <v>0</v>
      </c>
      <c r="CP699" s="134">
        <f t="shared" si="1295"/>
        <v>0</v>
      </c>
      <c r="CQ699" s="134">
        <f t="shared" si="1296"/>
        <v>0</v>
      </c>
      <c r="CR699" s="134">
        <f t="shared" si="1297"/>
        <v>0</v>
      </c>
      <c r="CS699" s="134">
        <f t="shared" si="1298"/>
        <v>0</v>
      </c>
      <c r="CT699" s="115">
        <f t="shared" si="1299"/>
        <v>0</v>
      </c>
      <c r="CU699" s="116">
        <f t="shared" si="1300"/>
        <v>0</v>
      </c>
      <c r="CV699" s="116">
        <f t="shared" si="1301"/>
        <v>0</v>
      </c>
      <c r="CW699" s="116">
        <f t="shared" si="1302"/>
        <v>0</v>
      </c>
      <c r="CX699" s="116">
        <f t="shared" si="1303"/>
        <v>0</v>
      </c>
      <c r="CY699" s="116">
        <f t="shared" si="1304"/>
        <v>0</v>
      </c>
      <c r="CZ699" s="116">
        <f t="shared" si="1305"/>
        <v>0</v>
      </c>
      <c r="DA699" s="116">
        <f t="shared" si="1306"/>
        <v>0</v>
      </c>
      <c r="DB699" s="116">
        <f t="shared" si="1307"/>
        <v>0</v>
      </c>
      <c r="DC699" s="116">
        <f t="shared" si="1308"/>
        <v>0</v>
      </c>
      <c r="DD699" s="116">
        <f t="shared" si="1309"/>
        <v>0</v>
      </c>
      <c r="DE699" s="117">
        <f t="shared" si="1310"/>
        <v>0</v>
      </c>
      <c r="DF699" s="118">
        <f t="shared" si="1312"/>
        <v>41</v>
      </c>
      <c r="DG699" s="106">
        <f t="shared" si="1313"/>
        <v>54.467999999999996</v>
      </c>
      <c r="DH699" s="116">
        <f t="shared" si="1314"/>
        <v>16</v>
      </c>
      <c r="DI699" s="106">
        <f t="shared" si="1315"/>
        <v>68.699999999999989</v>
      </c>
      <c r="DJ699" s="201" t="str">
        <f>IF($D697="","",$D697)</f>
        <v>22</v>
      </c>
      <c r="DK699" s="466"/>
    </row>
    <row r="700" spans="1:115" ht="14.5" customHeight="1" x14ac:dyDescent="0.2">
      <c r="A700" s="487">
        <f>$A697+1</f>
        <v>233</v>
      </c>
      <c r="B700" s="506" t="str">
        <f>IF(OR(C700="W",C701="W",C702="W",C700="1/2W",C701="1/2W",C702="1/2W",C700="1/2L",C701="1/2L",C702="1/2L"),"OK",IF(OR(C700="L",C701="L",C702="L"),"LOSS",IF(OR(C700="X",C701="X",C702="X"),"Anulado"," ")))</f>
        <v>OK</v>
      </c>
      <c r="C700" s="147" t="s">
        <v>55</v>
      </c>
      <c r="D700" s="494" t="str">
        <f>IF(G700="","",$D697)</f>
        <v>22</v>
      </c>
      <c r="E700" s="511" t="str">
        <f>IF(G700=""," ","– "&amp;COUNTIF(D$4:D702,$D700))</f>
        <v>– 7</v>
      </c>
      <c r="F700" s="510" t="str">
        <f ca="1">IF(G700="","",IF(OR(AND($C700&lt;&gt;" ",$C701=" "),AND($C701&lt;&gt;" ",$C700=" "),AND(L702&gt;0,OR(AND($C702&lt;&gt;" ",OR($C700=" ",$C701=" ")),AND($C702=" ",OR($C700&lt;&gt;" ",$C701&lt;&gt;" "))))),IF(SUM(F$4:F699)=0,1,LARGE(F$4:F699,1)+1),IF(MONTH(G700)=MONTH(TODAY()),IF(AND(DAY(G700)&lt;DAY(TODAY()),$B700=" "),IF(SUM(F$4:F699)=0,1,LARGE(F$4:F699,1)+1),IF($B700=" ",IF(AND(DAY(G700)=DAY(TODAY()),HOUR(G700)&lt;=HOUR(NOW())+1),IF(AND(HOUR(G700)+2&lt;=HOUR(NOW()),DAY(G700)&lt;=DAY(TODAY()),MINUTE(G700)&lt;=MINUTE(NOW())),IF(SUM(F$4:F699)=0,1,LARGE(F$4:F699,1)+1),IF(OR(MINUTE(G700)&lt;=MINUTE(NOW()),HOUR(G700)&lt;=HOUR(NOW())),"!!!","")),""),"")),"")))</f>
        <v/>
      </c>
      <c r="G700" s="508">
        <v>45007.4375</v>
      </c>
      <c r="H700" s="502" t="s">
        <v>249</v>
      </c>
      <c r="I700" s="148">
        <v>1</v>
      </c>
      <c r="J700" s="149"/>
      <c r="K700" s="150" t="s">
        <v>47</v>
      </c>
      <c r="L700" s="151">
        <v>4.75</v>
      </c>
      <c r="M700" s="152">
        <v>6.97</v>
      </c>
      <c r="N700" s="503">
        <v>1</v>
      </c>
      <c r="O700" s="153">
        <f>IF(OR(AE700="",AE701=""),"",ROUND(IF(L702&gt;0,IF(M700&gt;0,M700,IF(M701&gt;0,ROUND((M701*AE700)/AE701,IF(N700=0,2,IF(N700=0.1,1,0))),ROUND((M702*AE700)/AE702,IF(N700=0,2,IF(N700=0.1,1,0))))),IF(M700&gt;0,M700,ROUND((M701*AE700)/AE701,IF(N700=0,2,IF(N700=0.1,1,0))))),2))</f>
        <v>6.97</v>
      </c>
      <c r="P700" s="154">
        <f>IF(OR(L700="",O700=""),"",IF($C700="1/2W",O700/2+O700/2*L700,IF($C700="1/2L",O700/2,IF(I700="Lay",(O700*(L700/(L700-1))-O700)*(1-_xlfn.XLOOKUP(K700,'Fevereiro 2023 - Valor Real'!A3:A15,'Fevereiro 2023 - Valor Real'!C3:C15,0))+O700,(O700*L700-O700)*(1-_xlfn.XLOOKUP(K700,'Fevereiro 2023 - Valor Real'!A3:A15,'Fevereiro 2023 - Valor Real'!C3:C15,0))+O700))))</f>
        <v>33.107500000000002</v>
      </c>
      <c r="Q700" s="155">
        <f>IF(K700="","",IF(_xlfn.XLOOKUP(K700,K$9:K692,$DJ$9:DJ692,0,,-1)=DJ700,_xlfn.XLOOKUP(K700,K$9:K692,Q$9:Q692,1,,-1)+1,1))</f>
        <v>3</v>
      </c>
      <c r="R700" s="156">
        <f>IF(K700="","",_xlfn.XLOOKUP(K700,K$9:K692,R$9:R692,0,,-1)+IF($C700=" ",1,0))</f>
        <v>0</v>
      </c>
      <c r="S700" s="501">
        <f>IF($B700="Anulado",0,ROUND(IF(OR($B700="LOSS",$B700="OK"),IF(OR($C700="W",$C700="1/2W",$C700="1/2L"),P700-O700,IF($C700="L",-O700,0))+IF(OR($C701="W",$C701="1/2W",$C701="1/2L"),P701-O701,IF($C701="L",-O701,0))+IF(OR($C702="W",$C702="1/2W",$C702="1/2L"),P702-O702,IF($C702="L",-O702,0)),IF(AND(OR($C700="W",$C700="1/2W",$C700="1/2L"),C701="W"),P700+P701-SUM(O700:O702)+_xlfn.XLOOKUP("X",C700:C702,O700:O702,0),IF(AND(C700=TRUE,C702="W"),P700+P702-SUM(O700:O702),IF(AND(C701="W",C702="W"),P701+P702-SUM(O700:O702)+_xlfn.XLOOKUP("X",C700:C702,O700:O702,0),IF(L702&gt;0,IF(OR($C700="W",$C700="1/2W",$C700="1/2L"),P700-SUM(O700:O702)+_xlfn.XLOOKUP("X",C700:C702,O700:O702,0),IF(OR($C700="W",$C700="1/2W",$C700="1/2L"),P701-SUM(O700:O702)+_xlfn.XLOOKUP("X",C700:C702,O700:O702,0),IF(OR($C700="W",$C700="1/2W",$C700="1/2L"),P702-SUM(O700:O702)+_xlfn.XLOOKUP("X",C700:C702,O700:O702,0),IF(SUM(P700:P702)/3-SUM(O700:O702)+_xlfn.XLOOKUP("X",C700:C702,O700:O702,0)&gt;0,SUM(P700:P702)/3-SUM(O700:O702)+_xlfn.XLOOKUP("X",C700:C702,O700:O702,0),LARGE(P700:P702,1)-SUM(O700:O702))))),IF(OR($C700="W",$C700="1/2W",$C700="1/2L"),P700-SUM(O700:O701)+_xlfn.XLOOKUP("X",C700:C702,O700:O702,0),IF(OR($C700="W",$C700="1/2W",$C700="1/2L"),P701-SUM(O700:O701)+_xlfn.XLOOKUP("X",C700:C702,O700:O702,0),SUM(P700:P701)/2-SUM(O700:O701)+_xlfn.XLOOKUP("X",C700:C702,O700:O702,0)))))))),2))</f>
        <v>0.83</v>
      </c>
      <c r="T700" s="486">
        <f>IF(S700=0,0,S700/SUM(O700:O702))</f>
        <v>2.5174400970579314E-2</v>
      </c>
      <c r="U700" s="496">
        <f>IF($D700=$D697,IF(OR($B700="LOSS",$B700="OK",$B700="Anulada"),S700,0)+U697,IF(OR($B700="LOSS",$B700="OK",$B700="Anulada"),S700,0))</f>
        <v>10.050000000000001</v>
      </c>
      <c r="V700" s="496">
        <f>IF($D700="",0,IF($D700=$D697,IF($B700=" ",IF(I702="",IF(OR(AND(I700="DNB1",I701="DNB2"),AND(OR(I700="DNB1",I700="DNB2"),J701=0),AND(OR(I701="DNB1",I701="DNB2"),J700=0),AND(I700="DNB2",I701="DNB1"),AND(IF(J700=0,(J700+1)/ROUND(J700+1,0),J700/ROUND(J700,0))=1,IF(J701=0,(J701+1)/ROUND(IF(J701="",0,J701)+1,0),IF(J701="",0,J701)/ROUND(IF(J701="",1,J701),0))=1,OR(J700&lt;&gt;""),J701&lt;&gt;"")),0,IF(S700&lt;0,IF(I702="",SMALL(P700:P701,1)-SUM(O700:O701),0),SMALL(P700:P701,1)-SUM(O700:O701))),IF(S700&lt;0,IF(I702="",SMALL(P700:P702,1)-SUM(O700:O702),0),LARGE(P700:P702,1)-SUM(O700:O702))),S700)+V697,IF(I702="",IF(OR(AND(I700="DNB1",I701="DNB2"),AND(OR(I700="DNB1",I700="DNB2"),J701=0),AND(OR(I701="DNB1",I701="DNB2"),J700=0),AND(I700="DNB2",I701="DNB1"),AND(IF(J700=0,(J700+1)/ROUND(J700+1,0),J700/ROUND(J700,0))=1,IF(J701=0,(IF(J701="",0,J701)+1)/ROUND(IF(J701="",0,J701)+1,0),IF(J701="",0,J701)/ROUND(IF(J701="",0,J701)+1,0))=1,OR(J700&lt;&gt;""),J701&lt;&gt;"")),0,IF(S700&lt;0,IF(I702="",SMALL(P700:P701,1)-SUM(O700:O701),0),SMALL(P700:P702,1)-SUM(O700:O702))),IF(S700&lt;0,IF(I702="",SMALL(P700:P702,1)-SUM(O700:O702),0),LARGE(P700:P702,1)-SUM(O700:O702)))))</f>
        <v>10.039999999999996</v>
      </c>
      <c r="W700" s="496">
        <f>IF($D700=$D697,IF(S700&lt;0,IF(I702="",S700,0),S700)+W697,S700)</f>
        <v>10.050000000000001</v>
      </c>
      <c r="X700" s="505" t="str">
        <f>IF(OR(SUM(R700:R702)=0,V700=W700),ROUND(IF(W700=0,0,W700/Y700)*100,2)&amp;"%",ROUND(IF(V700=0,0,V700/Y700)*100,2)&amp;"% a "&amp;ROUND(IF(W700=0,0,W700/Y700)*100,2)&amp;"%")</f>
        <v>4,88%</v>
      </c>
      <c r="Y700" s="497">
        <f>IF($D700=$D697,Y697+SUM(O700:O702),SUM(O700:O702))</f>
        <v>205.95</v>
      </c>
      <c r="Z700" s="496">
        <f>IF($B700=" ",SUM(O700:O702),0)+Z697</f>
        <v>0</v>
      </c>
      <c r="AA700" s="496">
        <f>IF(G700="","",IF($B700="Anulado",LARGE(P700:P702,1)-SUM(O700:O702)+AA697,AA697))</f>
        <v>13.381099999999991</v>
      </c>
      <c r="AB700" s="496">
        <f>IF($D700="","",AB697+S700)</f>
        <v>804.81000000000063</v>
      </c>
      <c r="AC700" s="499">
        <f ca="1">IF($D700="","",IF($B700=" ",IF(DAY(G700)=DAY(TODAY()),1+AC697,0+AC697),0+AC697))</f>
        <v>0</v>
      </c>
      <c r="AD700" s="157">
        <f>(1-_xlfn.XLOOKUP(K698,'Fevereiro 2023 - Valor Real'!A3:A15,'Fevereiro 2023 - Valor Real'!C3:C15,0))+1</f>
        <v>2</v>
      </c>
      <c r="AE700" s="158">
        <f>IF(L700="","",IF(L702&gt;0,(SUM(((L700-1)*(1-_xlfn.XLOOKUP(K700,'Fevereiro 2023 - Valor Real'!A3:A15,'Fevereiro 2023 - Valor Real'!C3:C15,0))+1),((L701-1)*(1-_xlfn.XLOOKUP(K701,'Fevereiro 2023 - Valor Real'!A3:A15,'Fevereiro 2023 - Valor Real'!C3:C15,0))+1),((L702-1)*(1-_xlfn.XLOOKUP(K702,'Fevereiro 2023 - Valor Real'!A3:A15,'Fevereiro 2023 - Valor Real'!C3:C15,0))+1))/((L700-1)*(1-_xlfn.XLOOKUP(K700,'Fevereiro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Real'!C3:C15,0))+1))/((L700-1)*(1-_xlfn.XLOOKUP(K700,'Fevereiro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Real'!C3:C15,0))+1))/((L701-1)*(1-_xlfn.XLOOKUP(K701,'Fevereiro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Real'!C3:C15,0))+1))/((L702-1)*(1-_xlfn.XLOOKUP(K702,'Fevereiro 2023 - Valor Real'!A3:A15,'Fevereiro 2023 - Valor Real'!C3:C15,0))+1)),IF(I700="Lay",IF(I701="Lay",((L701/(L701-1)-1)*(1-_xlfn.XLOOKUP(K701,'Fevereiro 2023 - Valor Real'!A3:A15,'Fevereiro 2023 - Valor Real'!C3:C15,0))+1)/(((L701/(L701-1)-1)*(1-_xlfn.XLOOKUP(K701,'Fevereiro 2023 - Valor Real'!A3:A15,'Fevereiro 2023 - Valor Real'!C3:C15,0))+1)+((L700/(L700-1)-1)*(1-_xlfn.XLOOKUP(K700,'Fevereiro 2023 - Valor Real'!A3:A15,'Fevereiro 2023 - Valor Real'!C3:C15,0))+1)),((L701-1)*(1-_xlfn.XLOOKUP(K701,'Fevereiro 2023 - Valor Real'!A3:A15,'Fevereiro 2023 - Valor Real'!C3:C15,0))+1)/(((L701-1)*(1-_xlfn.XLOOKUP(K701,'Fevereiro 2023 - Valor Real'!A3:A15,'Fevereiro 2023 - Valor Real'!C3:C15,0))+1)+((L700/(L700-1)-1)*(1-_xlfn.XLOOKUP(K700,'Fevereiro 2023 - Valor Real'!A3:A15,'Fevereiro 2023 - Valor Real'!C3:C15,0))+1))),IF(I701="Lay",(((L701/(L701-1)-1)*(1-_xlfn.XLOOKUP(K701,'Fevereiro 2023 - Valor Real'!A3:A15,'Fevereiro 2023 - Valor Real'!C3:C15,0))+1))/(((L700-1)*(1-_xlfn.XLOOKUP(K700,'Fevereiro 2023 - Valor Real'!A3:A15,'Fevereiro 2023 - Valor Real'!C3:C15,0))+1)+((L701/(L701-1)-1)*(1-_xlfn.XLOOKUP(K701,'Fevereiro 2023 - Valor Real'!A3:A15,'Fevereiro 2023 - Valor Real'!C3:C15,0))+1)),((L701-1)*(1-_xlfn.XLOOKUP(K701,'Fevereiro 2023 - Valor Real'!A3:A15,'Fevereiro 2023 - Valor Real'!C3:C15,0))+1)/(((L701-1)*(1-_xlfn.XLOOKUP(K701,'Fevereiro 2023 - Valor Real'!A3:A15,'Fevereiro 2023 - Valor Real'!C3:C15,0))+1)+((L700-1)*(1-_xlfn.XLOOKUP(K700,'Fevereiro 2023 - Valor Real'!A3:A15,'Fevereiro 2023 - Valor Real'!C3:C15,0))+1))))))</f>
        <v>0.21487603305785125</v>
      </c>
      <c r="AF700" s="66">
        <f t="shared" si="1388"/>
        <v>0</v>
      </c>
      <c r="AG700" s="67">
        <f t="shared" si="1388"/>
        <v>0</v>
      </c>
      <c r="AH700" s="67">
        <f t="shared" si="1388"/>
        <v>0</v>
      </c>
      <c r="AI700" s="67">
        <f t="shared" si="1388"/>
        <v>0</v>
      </c>
      <c r="AJ700" s="67">
        <f t="shared" si="1388"/>
        <v>0</v>
      </c>
      <c r="AK700" s="67">
        <f t="shared" si="1388"/>
        <v>0</v>
      </c>
      <c r="AL700" s="67">
        <f t="shared" si="1388"/>
        <v>0</v>
      </c>
      <c r="AM700" s="67">
        <f t="shared" si="1388"/>
        <v>0</v>
      </c>
      <c r="AN700" s="67">
        <f t="shared" si="1388"/>
        <v>0</v>
      </c>
      <c r="AO700" s="67">
        <f t="shared" si="1388"/>
        <v>0</v>
      </c>
      <c r="AP700" s="67">
        <f t="shared" si="1388"/>
        <v>0</v>
      </c>
      <c r="AQ700" s="67">
        <f t="shared" si="1388"/>
        <v>-6.97</v>
      </c>
      <c r="AR700" s="68">
        <f t="shared" si="1388"/>
        <v>0</v>
      </c>
      <c r="AS700" s="66">
        <f t="shared" ref="AS700:BE700" si="1398">IF(AND($B700=" ",$K700=AS$3),$O700,0)</f>
        <v>0</v>
      </c>
      <c r="AT700" s="67">
        <f t="shared" si="1398"/>
        <v>0</v>
      </c>
      <c r="AU700" s="67">
        <f t="shared" si="1398"/>
        <v>0</v>
      </c>
      <c r="AV700" s="67">
        <f t="shared" si="1398"/>
        <v>0</v>
      </c>
      <c r="AW700" s="67">
        <f t="shared" si="1398"/>
        <v>0</v>
      </c>
      <c r="AX700" s="67">
        <f t="shared" si="1398"/>
        <v>0</v>
      </c>
      <c r="AY700" s="69">
        <f t="shared" si="1398"/>
        <v>0</v>
      </c>
      <c r="AZ700" s="70">
        <f t="shared" si="1398"/>
        <v>0</v>
      </c>
      <c r="BA700" s="70">
        <f t="shared" si="1398"/>
        <v>0</v>
      </c>
      <c r="BB700" s="70">
        <f t="shared" si="1398"/>
        <v>0</v>
      </c>
      <c r="BC700" s="71">
        <f t="shared" si="1398"/>
        <v>0</v>
      </c>
      <c r="BD700" s="67">
        <f t="shared" si="1398"/>
        <v>0</v>
      </c>
      <c r="BE700" s="68">
        <f t="shared" si="1398"/>
        <v>0</v>
      </c>
      <c r="BF700" s="66">
        <f t="shared" si="1390"/>
        <v>0</v>
      </c>
      <c r="BG700" s="67">
        <f t="shared" si="1390"/>
        <v>0</v>
      </c>
      <c r="BH700" s="67">
        <f t="shared" si="1390"/>
        <v>0</v>
      </c>
      <c r="BI700" s="67">
        <f t="shared" si="1390"/>
        <v>0</v>
      </c>
      <c r="BJ700" s="67">
        <f t="shared" si="1390"/>
        <v>0</v>
      </c>
      <c r="BK700" s="67">
        <f t="shared" si="1390"/>
        <v>0</v>
      </c>
      <c r="BL700" s="67">
        <f t="shared" si="1390"/>
        <v>0</v>
      </c>
      <c r="BM700" s="69">
        <f t="shared" si="1390"/>
        <v>0</v>
      </c>
      <c r="BN700" s="70">
        <f t="shared" si="1390"/>
        <v>0</v>
      </c>
      <c r="BO700" s="70">
        <f t="shared" si="1390"/>
        <v>0</v>
      </c>
      <c r="BP700" s="70">
        <f t="shared" si="1390"/>
        <v>0</v>
      </c>
      <c r="BQ700" s="71">
        <f t="shared" si="1390"/>
        <v>6.97</v>
      </c>
      <c r="BR700" s="68">
        <f t="shared" si="1390"/>
        <v>0</v>
      </c>
      <c r="BS700" s="490">
        <f>IF($B700="LOSS",IF(AND($K700=BS$3,$C700="L"),-$O700,0)+IF(AND($K701=BS$3,$C701="L"),-$O701,0)+IF(AND($K702=BS$3,$C702="L"),-$O702,0),IF(OR(AND($K700=BS$3,OR($C700="W",$C700="1/2W")),AND($K701=BS$3,OR($C701="W",$C701="1/2W")),AND($K702=BS$3,OR($C702="W",$C702="1/2W"))),$S700,0))</f>
        <v>0</v>
      </c>
      <c r="BT700" s="498">
        <f>IF($B700="LOSS",IF(AND($K700=BT$3,$C700="L"),-$O700,0)+IF(AND($K701=BT$3,$C701="L"),-$O701,0)+IF(AND($K701=BT$3,$C702="L"),-$O702,0),IF(OR(AND($K701=BT$3,OR($C700="W",$C700="1/2W")),AND($K701=BT$3,OR($C701="W",$C701="1/2W")),AND($K701=BT$3,OR($C702="W",$C702="1/2W"))),$S700,0))</f>
        <v>0.83</v>
      </c>
      <c r="BU700" s="488">
        <f>IF($B700="LOSS",IF(AND($K700=BU$3,$C700="L"),-$O700,0)+IF(AND($K701=BU$3,$C701="L"),-$O701,0)+IF(AND($K701=BU$3,$C702="L"),-$O702,0),IF(OR(AND($K701=BU$3,OR($C700="W",$C700="1/2W")),AND($K701=BU$3,OR($C701="W",$C701="1/2W")),AND($K701=BU$3,OR($C702="W",$C702="1/2W"))),$S700,0))</f>
        <v>0</v>
      </c>
      <c r="BV700" s="488">
        <f t="shared" ref="BV700:CE700" si="1399">IF($B700="LOSS",IF(AND($K700=BV$3,$C700="L"),-$O700,0)+IF(AND($K701=BV$3,$C701="L"),-$O701,0)+IF(AND($K702=BV$3,$C702="L"),-$O702,0),IF(OR(AND($K700=BV$3,OR($C700="W",$C700="1/2W")),AND($K701=BV$3,OR($C701="W",$C701="1/2W")),AND($K702=BV$3,OR($C702="W",$C702="1/2W"))),$S700,0))</f>
        <v>0</v>
      </c>
      <c r="BW700" s="488">
        <f t="shared" si="1399"/>
        <v>0</v>
      </c>
      <c r="BX700" s="488">
        <f t="shared" si="1399"/>
        <v>0</v>
      </c>
      <c r="BY700" s="488">
        <f t="shared" si="1399"/>
        <v>0</v>
      </c>
      <c r="BZ700" s="488">
        <f t="shared" si="1399"/>
        <v>0</v>
      </c>
      <c r="CA700" s="488">
        <f t="shared" si="1399"/>
        <v>0</v>
      </c>
      <c r="CB700" s="488">
        <f t="shared" si="1399"/>
        <v>0</v>
      </c>
      <c r="CC700" s="488">
        <f t="shared" si="1399"/>
        <v>0</v>
      </c>
      <c r="CD700" s="500">
        <f t="shared" si="1399"/>
        <v>0</v>
      </c>
      <c r="CE700" s="504">
        <f t="shared" si="1399"/>
        <v>0</v>
      </c>
      <c r="CF700" s="160">
        <f t="shared" si="1285"/>
        <v>0</v>
      </c>
      <c r="CG700" s="161">
        <f t="shared" si="1286"/>
        <v>0</v>
      </c>
      <c r="CH700" s="161">
        <f t="shared" si="1287"/>
        <v>0</v>
      </c>
      <c r="CI700" s="161">
        <f t="shared" si="1288"/>
        <v>0</v>
      </c>
      <c r="CJ700" s="161">
        <f t="shared" si="1289"/>
        <v>0</v>
      </c>
      <c r="CK700" s="161">
        <f t="shared" si="1290"/>
        <v>0</v>
      </c>
      <c r="CL700" s="161">
        <f t="shared" si="1291"/>
        <v>0</v>
      </c>
      <c r="CM700" s="161">
        <f t="shared" si="1292"/>
        <v>0</v>
      </c>
      <c r="CN700" s="161">
        <f t="shared" si="1293"/>
        <v>0</v>
      </c>
      <c r="CO700" s="161">
        <f t="shared" si="1294"/>
        <v>0</v>
      </c>
      <c r="CP700" s="161">
        <f t="shared" si="1295"/>
        <v>0</v>
      </c>
      <c r="CQ700" s="161">
        <f t="shared" si="1296"/>
        <v>0</v>
      </c>
      <c r="CR700" s="161">
        <f t="shared" si="1297"/>
        <v>0</v>
      </c>
      <c r="CS700" s="161">
        <f t="shared" si="1298"/>
        <v>0</v>
      </c>
      <c r="CT700" s="75">
        <f t="shared" si="1299"/>
        <v>0</v>
      </c>
      <c r="CU700" s="76">
        <f t="shared" si="1300"/>
        <v>0</v>
      </c>
      <c r="CV700" s="76">
        <f t="shared" si="1301"/>
        <v>0</v>
      </c>
      <c r="CW700" s="76">
        <f t="shared" si="1302"/>
        <v>0</v>
      </c>
      <c r="CX700" s="76">
        <f t="shared" si="1303"/>
        <v>0</v>
      </c>
      <c r="CY700" s="76">
        <f t="shared" si="1304"/>
        <v>0</v>
      </c>
      <c r="CZ700" s="76">
        <f t="shared" si="1305"/>
        <v>0</v>
      </c>
      <c r="DA700" s="76">
        <f t="shared" si="1306"/>
        <v>0</v>
      </c>
      <c r="DB700" s="76">
        <f t="shared" si="1307"/>
        <v>0</v>
      </c>
      <c r="DC700" s="76">
        <f t="shared" si="1308"/>
        <v>1</v>
      </c>
      <c r="DD700" s="76">
        <f t="shared" si="1309"/>
        <v>0</v>
      </c>
      <c r="DE700" s="77">
        <f t="shared" si="1310"/>
        <v>0</v>
      </c>
      <c r="DF700" s="73">
        <f t="shared" si="1312"/>
        <v>41</v>
      </c>
      <c r="DG700" s="67">
        <f t="shared" si="1313"/>
        <v>54.467999999999996</v>
      </c>
      <c r="DH700" s="76">
        <f t="shared" si="1314"/>
        <v>16</v>
      </c>
      <c r="DI700" s="67">
        <f t="shared" si="1315"/>
        <v>68.699999999999989</v>
      </c>
      <c r="DJ700" s="202" t="str">
        <f>IF($D700="","",$D700)</f>
        <v>22</v>
      </c>
      <c r="DK700" s="492">
        <f>IF(AND($B700=" ",$D700&lt;&gt;""),1,0)</f>
        <v>0</v>
      </c>
    </row>
    <row r="701" spans="1:115" ht="14.5" customHeight="1" x14ac:dyDescent="0.2">
      <c r="A701" s="389"/>
      <c r="B701" s="456"/>
      <c r="C701" s="53" t="s">
        <v>54</v>
      </c>
      <c r="D701" s="374"/>
      <c r="E701" s="386"/>
      <c r="F701" s="377"/>
      <c r="G701" s="508"/>
      <c r="H701" s="476"/>
      <c r="I701" s="182" t="s">
        <v>64</v>
      </c>
      <c r="J701" s="163" t="str">
        <f>IF(OR(I700="TO",I700="TU",I700="TO1",I700="TU1",I700="TO2",I700="TU2"),J700,IF(OR(I700="AH1",I700="AH2"),IF(OR(I701="AH1",I701="AH2"),-J700,IF(OR(I701="EH1",I701="EH2"),-J700+0.5,"")),IF(OR(I700="EH1",I700="EH2"),IF(OR(I701="AH1",I701="AH2"),-J700+0.5,IF(OR(I701="EH1",I701="EH2"),-J700+1,"")),IF(AND(OR(I700="DNB1",I700="DNB2"),OR(I701="AH1",I701="AH2")),0,IF(AND(I700="Not ScoreBoth",OR(I701="TO1",I701="TO2")),0.5,"")))))</f>
        <v/>
      </c>
      <c r="K701" s="57" t="s">
        <v>37</v>
      </c>
      <c r="L701" s="164">
        <v>1.3</v>
      </c>
      <c r="M701" s="165">
        <v>26</v>
      </c>
      <c r="N701" s="406"/>
      <c r="O701" s="60">
        <f>IF(OR(AE700="",AE701=""),"",ROUND(IF(L702&gt;0,IF(M701&gt;0,M701,IF(M700&gt;0,IF(N700=TRUE,ROUND((M700*AE701)/AE700,0),(M700*AE701)/AE700),IF(M701&gt;0,ROUND(M701,IF(N700=0,2,IF(N700=0.1,1,0))),IF(M702&gt;0,ROUND(O702*AE701/AE702,IF(N700=0,2,IF(N700=0.1,1,0))),0)))),IF(M701&gt;0,M701,ROUND((M700*AE701)/AE700,IF(N700=0,2,IF(N700=0.1,1,0))))),2))</f>
        <v>26</v>
      </c>
      <c r="P701" s="61">
        <f>IF(OR(L701="",O701=""),"",IF($C701="1/2W",O701/2+O701/2*L701,IF($C701="1/2L",O701/2,IF(I701="Lay",((O701*(L701/(L701-1)))-O701)*(1-_xlfn.XLOOKUP(K701,'Fevereiro 2023 - Valor Real'!A3:A15,'Fevereiro 2023 - Valor Real'!C3:C15,0))+O701,(O701*L701-O701)*(1-_xlfn.XLOOKUP(K701,'Fevereiro 2023 - Valor Real'!A3:A15,'Fevereiro 2023 - Valor Real'!C3:C15,0))+O701))))</f>
        <v>33.800000000000004</v>
      </c>
      <c r="Q701" s="166">
        <f>IF(K701="","",IF(_xlfn.XLOOKUP(K701,K$10:K692,$DJ$10:DJ692,0,,-1)=DJ701,_xlfn.XLOOKUP(K701,K$10:K692,Q$10:Q692,1,,-1)+1,1))</f>
        <v>3</v>
      </c>
      <c r="R701" s="167">
        <f>IF(K701="","",_xlfn.XLOOKUP(K701,K$10:K692,R$10:R692,0,,-1)+IF($C701=" ",1,0))</f>
        <v>0</v>
      </c>
      <c r="S701" s="403"/>
      <c r="T701" s="380"/>
      <c r="U701" s="380"/>
      <c r="V701" s="481"/>
      <c r="W701" s="380"/>
      <c r="X701" s="452"/>
      <c r="Y701" s="383"/>
      <c r="Z701" s="384"/>
      <c r="AA701" s="384"/>
      <c r="AB701" s="384"/>
      <c r="AC701" s="384"/>
      <c r="AD701" s="64"/>
      <c r="AE701" s="65">
        <f>IF(L701="","",IF(L702&gt;0,(SUM(((L700-1)*(1-_xlfn.XLOOKUP(K700,'Fevereiro 2023 - Valor Real'!A3:A15,'Fevereiro 2023 - Valor Real'!C3:C15,0))+1),((L701-1)*(1-_xlfn.XLOOKUP(K701,'Fevereiro 2023 - Valor Real'!A3:A15,'Fevereiro 2023 - Valor Real'!C3:C15,0))+1),((L702-1)*(1-_xlfn.XLOOKUP(K702,'Fevereiro 2023 - Valor Real'!A3:A15,'Fevereiro 2023 - Valor Real'!C3:C15,0))+1))/((L701-1)*(1-_xlfn.XLOOKUP(K701,'Fevereiro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Real'!C3:C15,0))+1))/((L700-1)*(1-_xlfn.XLOOKUP(K700,'Fevereiro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Real'!C3:C15,0))+1))/((L701-1)*(1-_xlfn.XLOOKUP(K701,'Fevereiro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Real'!C3:C15,0))+1))/((L702-1)*(1-_xlfn.XLOOKUP(K702,'Fevereiro 2023 - Valor Real'!A3:A15,'Fevereiro 2023 - Valor Real'!C3:C15,0))+1)),IF(I701="Lay",IF(I700="Lay",((L700/(L700-1)-1)*(1-_xlfn.XLOOKUP(K700,'Fevereiro 2023 - Valor Real'!A3:A15,'Fevereiro 2023 - Valor Real'!C3:C15,0))+1)/(((L700/(L700-1)-1)*(1-_xlfn.XLOOKUP(K700,'Fevereiro 2023 - Valor Real'!A3:A15,'Fevereiro 2023 - Valor Real'!C3:C15,0))+1)+((L701/(L701-1)-1)*(1-_xlfn.XLOOKUP(K701,'Fevereiro 2023 - Valor Real'!A3:A15,'Fevereiro 2023 - Valor Real'!C3:C15,0))+1)),((L700-1)*(1-_xlfn.XLOOKUP(K700,'Fevereiro 2023 - Valor Real'!A3:A15,'Fevereiro 2023 - Valor Real'!C3:C15,0))+1)/(((L700-1)*(1-_xlfn.XLOOKUP(K700,'Fevereiro 2023 - Valor Real'!A3:A15,'Fevereiro 2023 - Valor Real'!C3:C15,0))+1)+((L701/(L701-1)-1)*(1-_xlfn.XLOOKUP(K701,'Fevereiro 2023 - Valor Real'!A3:A15,'Fevereiro 2023 - Valor Real'!C3:C15,0))+1))),IF(I700="Lay",((L700/(L700-1)-1)*(1-_xlfn.XLOOKUP(K700,'Fevereiro 2023 - Valor Real'!A3:A15,'Fevereiro 2023 - Valor Real'!C3:C15,0))+1)/((((L700/(L700-1)-1)*(1-_xlfn.XLOOKUP(K700,'Fevereiro 2023 - Valor Real'!A3:A15,'Fevereiro 2023 - Valor Real'!C3:C15,0))+1))+((L701-1)*(1-_xlfn.XLOOKUP(K701,'Fevereiro 2023 - Valor Real'!A3:A15,'Fevereiro 2023 - Valor Real'!C3:C15,0))+1)),((L700-1)*(1-_xlfn.XLOOKUP(K700,'Fevereiro 2023 - Valor Real'!A3:A15,'Fevereiro 2023 - Valor Real'!C3:C15,0))+1)/(((L700-1)*(1-_xlfn.XLOOKUP(K700,'Fevereiro 2023 - Valor Real'!A3:A15,'Fevereiro 2023 - Valor Real'!C3:C15,0))+1)+((L701-1)*(1-_xlfn.XLOOKUP(K701,'Fevereiro 2023 - Valor Real'!A3:A15,'Fevereiro 2023 - Valor Real'!C3:C15,0))+1))))))</f>
        <v>0.78512396694214881</v>
      </c>
      <c r="AF701" s="66">
        <f t="shared" si="1388"/>
        <v>0</v>
      </c>
      <c r="AG701" s="67">
        <f t="shared" si="1388"/>
        <v>7.8</v>
      </c>
      <c r="AH701" s="67">
        <f t="shared" si="1388"/>
        <v>0</v>
      </c>
      <c r="AI701" s="67">
        <f t="shared" si="1388"/>
        <v>0</v>
      </c>
      <c r="AJ701" s="67">
        <f t="shared" si="1388"/>
        <v>0</v>
      </c>
      <c r="AK701" s="67">
        <f t="shared" si="1388"/>
        <v>0</v>
      </c>
      <c r="AL701" s="67">
        <f t="shared" si="1388"/>
        <v>0</v>
      </c>
      <c r="AM701" s="67">
        <f t="shared" si="1388"/>
        <v>0</v>
      </c>
      <c r="AN701" s="67">
        <f t="shared" si="1388"/>
        <v>0</v>
      </c>
      <c r="AO701" s="67">
        <f t="shared" si="1388"/>
        <v>0</v>
      </c>
      <c r="AP701" s="67">
        <f t="shared" si="1388"/>
        <v>0</v>
      </c>
      <c r="AQ701" s="67">
        <f t="shared" si="1388"/>
        <v>0</v>
      </c>
      <c r="AR701" s="68">
        <f t="shared" si="1388"/>
        <v>0</v>
      </c>
      <c r="AS701" s="66">
        <f>IF(AND($B700=" ",$K701=AS$3),$O701,0)</f>
        <v>0</v>
      </c>
      <c r="AT701" s="67">
        <f>IF(AND($B700=" ",K701=AT$3),$O701,0)</f>
        <v>0</v>
      </c>
      <c r="AU701" s="67">
        <f t="shared" ref="AU701:BE701" si="1400">IF(AND($B700=" ",$K701=AU$3),$O701,0)</f>
        <v>0</v>
      </c>
      <c r="AV701" s="67">
        <f t="shared" si="1400"/>
        <v>0</v>
      </c>
      <c r="AW701" s="67">
        <f t="shared" si="1400"/>
        <v>0</v>
      </c>
      <c r="AX701" s="67">
        <f t="shared" si="1400"/>
        <v>0</v>
      </c>
      <c r="AY701" s="69">
        <f t="shared" si="1400"/>
        <v>0</v>
      </c>
      <c r="AZ701" s="70">
        <f t="shared" si="1400"/>
        <v>0</v>
      </c>
      <c r="BA701" s="70">
        <f t="shared" si="1400"/>
        <v>0</v>
      </c>
      <c r="BB701" s="70">
        <f t="shared" si="1400"/>
        <v>0</v>
      </c>
      <c r="BC701" s="71">
        <f t="shared" si="1400"/>
        <v>0</v>
      </c>
      <c r="BD701" s="67">
        <f t="shared" si="1400"/>
        <v>0</v>
      </c>
      <c r="BE701" s="68">
        <f t="shared" si="1400"/>
        <v>0</v>
      </c>
      <c r="BF701" s="66">
        <f t="shared" si="1390"/>
        <v>0</v>
      </c>
      <c r="BG701" s="168">
        <f t="shared" si="1390"/>
        <v>26</v>
      </c>
      <c r="BH701" s="67">
        <f t="shared" si="1390"/>
        <v>0</v>
      </c>
      <c r="BI701" s="67">
        <f t="shared" si="1390"/>
        <v>0</v>
      </c>
      <c r="BJ701" s="67">
        <f t="shared" si="1390"/>
        <v>0</v>
      </c>
      <c r="BK701" s="67">
        <f t="shared" si="1390"/>
        <v>0</v>
      </c>
      <c r="BL701" s="67">
        <f t="shared" si="1390"/>
        <v>0</v>
      </c>
      <c r="BM701" s="69">
        <f t="shared" si="1390"/>
        <v>0</v>
      </c>
      <c r="BN701" s="70">
        <f t="shared" si="1390"/>
        <v>0</v>
      </c>
      <c r="BO701" s="70">
        <f t="shared" si="1390"/>
        <v>0</v>
      </c>
      <c r="BP701" s="70">
        <f t="shared" si="1390"/>
        <v>0</v>
      </c>
      <c r="BQ701" s="71">
        <f t="shared" si="1390"/>
        <v>0</v>
      </c>
      <c r="BR701" s="68">
        <f t="shared" si="1390"/>
        <v>0</v>
      </c>
      <c r="BS701" s="491"/>
      <c r="BT701" s="489"/>
      <c r="BU701" s="392"/>
      <c r="BV701" s="489"/>
      <c r="BW701" s="392"/>
      <c r="BX701" s="392"/>
      <c r="BY701" s="392"/>
      <c r="BZ701" s="489"/>
      <c r="CA701" s="392"/>
      <c r="CB701" s="392"/>
      <c r="CC701" s="392"/>
      <c r="CD701" s="401"/>
      <c r="CE701" s="409"/>
      <c r="CF701" s="169">
        <f t="shared" si="1285"/>
        <v>0</v>
      </c>
      <c r="CG701" s="170">
        <f t="shared" si="1286"/>
        <v>0</v>
      </c>
      <c r="CH701" s="170">
        <f t="shared" si="1287"/>
        <v>1</v>
      </c>
      <c r="CI701" s="170">
        <f t="shared" si="1288"/>
        <v>0</v>
      </c>
      <c r="CJ701" s="170">
        <f t="shared" si="1289"/>
        <v>0</v>
      </c>
      <c r="CK701" s="170">
        <f t="shared" si="1290"/>
        <v>0</v>
      </c>
      <c r="CL701" s="170">
        <f t="shared" si="1291"/>
        <v>0</v>
      </c>
      <c r="CM701" s="170">
        <f t="shared" si="1292"/>
        <v>0</v>
      </c>
      <c r="CN701" s="170">
        <f t="shared" si="1293"/>
        <v>0</v>
      </c>
      <c r="CO701" s="170">
        <f t="shared" si="1294"/>
        <v>0</v>
      </c>
      <c r="CP701" s="170">
        <f t="shared" si="1295"/>
        <v>0</v>
      </c>
      <c r="CQ701" s="170">
        <f t="shared" si="1296"/>
        <v>0</v>
      </c>
      <c r="CR701" s="170">
        <f t="shared" si="1297"/>
        <v>0</v>
      </c>
      <c r="CS701" s="170">
        <f t="shared" si="1298"/>
        <v>0</v>
      </c>
      <c r="CT701" s="75">
        <f t="shared" si="1299"/>
        <v>0</v>
      </c>
      <c r="CU701" s="76">
        <f t="shared" si="1300"/>
        <v>0</v>
      </c>
      <c r="CV701" s="76">
        <f t="shared" si="1301"/>
        <v>0</v>
      </c>
      <c r="CW701" s="76">
        <f t="shared" si="1302"/>
        <v>0</v>
      </c>
      <c r="CX701" s="76">
        <f t="shared" si="1303"/>
        <v>0</v>
      </c>
      <c r="CY701" s="76">
        <f t="shared" si="1304"/>
        <v>0</v>
      </c>
      <c r="CZ701" s="76">
        <f t="shared" si="1305"/>
        <v>0</v>
      </c>
      <c r="DA701" s="76">
        <f t="shared" si="1306"/>
        <v>0</v>
      </c>
      <c r="DB701" s="76">
        <f t="shared" si="1307"/>
        <v>0</v>
      </c>
      <c r="DC701" s="76">
        <f t="shared" si="1308"/>
        <v>0</v>
      </c>
      <c r="DD701" s="76">
        <f t="shared" si="1309"/>
        <v>0</v>
      </c>
      <c r="DE701" s="77">
        <f t="shared" si="1310"/>
        <v>0</v>
      </c>
      <c r="DF701" s="73">
        <f t="shared" si="1312"/>
        <v>42</v>
      </c>
      <c r="DG701" s="67">
        <f t="shared" si="1313"/>
        <v>55.767999999999994</v>
      </c>
      <c r="DH701" s="76">
        <f t="shared" si="1314"/>
        <v>16</v>
      </c>
      <c r="DI701" s="67">
        <f t="shared" si="1315"/>
        <v>68.699999999999989</v>
      </c>
      <c r="DJ701" s="202" t="str">
        <f>IF($D700="","",$D700)</f>
        <v>22</v>
      </c>
      <c r="DK701" s="493"/>
    </row>
    <row r="702" spans="1:115" ht="14.5" customHeight="1" x14ac:dyDescent="0.2">
      <c r="A702" s="390"/>
      <c r="B702" s="457"/>
      <c r="C702" s="79" t="s">
        <v>53</v>
      </c>
      <c r="D702" s="375"/>
      <c r="E702" s="387"/>
      <c r="F702" s="378"/>
      <c r="G702" s="508"/>
      <c r="H702" s="477"/>
      <c r="I702" s="171"/>
      <c r="J702" s="172"/>
      <c r="K702" s="81"/>
      <c r="L702" s="173"/>
      <c r="M702" s="174"/>
      <c r="N702" s="407"/>
      <c r="O702" s="86" t="str">
        <f>IF(OR(AE700="",AE701=""),"",IF(L702&gt;0,ROUND(IF(M702&gt;0,M702,IF(M700&gt;0,ROUND((M700*AE702)/AE700,IF(N700=0,2,IF(N700=0.1,1,0))),IF(M701&gt;0,ROUND((M701*AE702)/AE701,IF(N700=0,2,IF(N700=0.1,1,0))),IF(M702&gt;0,M702,0)))),2),""))</f>
        <v/>
      </c>
      <c r="P702" s="87" t="str">
        <f>IF(I701="Lay",O701*(L701/(L701-1))-O701,IF(I700="Lay",O700*(L700/(L700-1))-O700,IF(OR(L702="",O702=""),"",IF($C702="1/2W",O702/2+O702/2*L702,IF($C702="1/2L",O702/2,(O702*L702-O702)*(1-_xlfn.XLOOKUP(K702,'Fevereiro 2023 - Valor Real'!A3:A15,'Fevereiro 2023 - Valor Real'!C3:C15,0))+O702)))))</f>
        <v/>
      </c>
      <c r="Q702" s="54" t="str">
        <f>IF(K702="","",IF(_xlfn.XLOOKUP(K702,K$11:K692,$DJ$11:DJ692,0,,-1)=DJ702,_xlfn.XLOOKUP(K702,K$11:K692,Q$11:Q692,1,,-1)+1,1))</f>
        <v/>
      </c>
      <c r="R702" s="87" t="str">
        <f>IF(K702="","",_xlfn.XLOOKUP(K702,K$11:K692,R$11:R692,0,,-1)+IF($C702=" ",1,0))</f>
        <v/>
      </c>
      <c r="S702" s="404"/>
      <c r="T702" s="378"/>
      <c r="U702" s="378"/>
      <c r="V702" s="404"/>
      <c r="W702" s="378"/>
      <c r="X702" s="453"/>
      <c r="Y702" s="383"/>
      <c r="Z702" s="384"/>
      <c r="AA702" s="384"/>
      <c r="AB702" s="384"/>
      <c r="AC702" s="384"/>
      <c r="AD702" s="90"/>
      <c r="AE702" s="91" t="str">
        <f>IF(L702="","",(SUM(((L700-1)*(1-_xlfn.XLOOKUP(K700,'Fevereiro 2023 - Valor Real'!A3:A15,'Fevereiro 2023 - Valor Real'!C3:C15,0))+1),((L701-1)*(1-_xlfn.XLOOKUP(K701,'Fevereiro 2023 - Valor Real'!A3:A15,'Fevereiro 2023 - Valor Real'!C3:C15,0))+1),((L702-1)*(1-_xlfn.XLOOKUP(K702,'Fevereiro 2023 - Valor Real'!A3:A15,'Fevereiro 2023 - Valor Real'!C3:C15,0))+1))/((L702-1)*(1-_xlfn.XLOOKUP(K702,'Fevereiro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Real'!C3:C15,0))+1))/((L700-1)*(1-_xlfn.XLOOKUP(K700,'Fevereiro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Real'!C3:C15,0))+1))/((L701-1)*(1-_xlfn.XLOOKUP(K701,'Fevereiro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Real'!C3:C15,0))+1))/((L702-1)*(1-_xlfn.XLOOKUP(K702,'Fevereiro 2023 - Valor Real'!A3:A15,'Fevereiro 2023 - Valor Real'!C3:C15,0))+1)))</f>
        <v/>
      </c>
      <c r="AF702" s="66">
        <f t="shared" si="1388"/>
        <v>0</v>
      </c>
      <c r="AG702" s="67">
        <f t="shared" si="1388"/>
        <v>0</v>
      </c>
      <c r="AH702" s="67">
        <f t="shared" si="1388"/>
        <v>0</v>
      </c>
      <c r="AI702" s="67">
        <f t="shared" si="1388"/>
        <v>0</v>
      </c>
      <c r="AJ702" s="67">
        <f t="shared" si="1388"/>
        <v>0</v>
      </c>
      <c r="AK702" s="67">
        <f t="shared" si="1388"/>
        <v>0</v>
      </c>
      <c r="AL702" s="67">
        <f t="shared" si="1388"/>
        <v>0</v>
      </c>
      <c r="AM702" s="67">
        <f t="shared" si="1388"/>
        <v>0</v>
      </c>
      <c r="AN702" s="67">
        <f t="shared" si="1388"/>
        <v>0</v>
      </c>
      <c r="AO702" s="67">
        <f t="shared" si="1388"/>
        <v>0</v>
      </c>
      <c r="AP702" s="67">
        <f t="shared" si="1388"/>
        <v>0</v>
      </c>
      <c r="AQ702" s="67">
        <f t="shared" si="1388"/>
        <v>0</v>
      </c>
      <c r="AR702" s="68">
        <f t="shared" si="1388"/>
        <v>0</v>
      </c>
      <c r="AS702" s="66">
        <f>IF(AND($B700=" ",$K702=AS$3),$O702,0)</f>
        <v>0</v>
      </c>
      <c r="AT702" s="67">
        <f>IF(AND($B700=" ",K702=AT$3),$O702,0)</f>
        <v>0</v>
      </c>
      <c r="AU702" s="67">
        <f t="shared" ref="AU702:BE702" si="1401">IF(AND($B700=" ",$K702=AU$3),$O702,0)</f>
        <v>0</v>
      </c>
      <c r="AV702" s="67">
        <f t="shared" si="1401"/>
        <v>0</v>
      </c>
      <c r="AW702" s="67">
        <f t="shared" si="1401"/>
        <v>0</v>
      </c>
      <c r="AX702" s="67">
        <f t="shared" si="1401"/>
        <v>0</v>
      </c>
      <c r="AY702" s="69">
        <f t="shared" si="1401"/>
        <v>0</v>
      </c>
      <c r="AZ702" s="70">
        <f t="shared" si="1401"/>
        <v>0</v>
      </c>
      <c r="BA702" s="70">
        <f t="shared" si="1401"/>
        <v>0</v>
      </c>
      <c r="BB702" s="70">
        <f t="shared" si="1401"/>
        <v>0</v>
      </c>
      <c r="BC702" s="71">
        <f t="shared" si="1401"/>
        <v>0</v>
      </c>
      <c r="BD702" s="67">
        <f t="shared" si="1401"/>
        <v>0</v>
      </c>
      <c r="BE702" s="68">
        <f t="shared" si="1401"/>
        <v>0</v>
      </c>
      <c r="BF702" s="66">
        <f t="shared" si="1390"/>
        <v>0</v>
      </c>
      <c r="BG702" s="168">
        <f t="shared" si="1390"/>
        <v>0</v>
      </c>
      <c r="BH702" s="67">
        <f t="shared" si="1390"/>
        <v>0</v>
      </c>
      <c r="BI702" s="67">
        <f t="shared" si="1390"/>
        <v>0</v>
      </c>
      <c r="BJ702" s="67">
        <f t="shared" si="1390"/>
        <v>0</v>
      </c>
      <c r="BK702" s="67">
        <f t="shared" si="1390"/>
        <v>0</v>
      </c>
      <c r="BL702" s="67">
        <f t="shared" si="1390"/>
        <v>0</v>
      </c>
      <c r="BM702" s="69">
        <f t="shared" si="1390"/>
        <v>0</v>
      </c>
      <c r="BN702" s="70">
        <f t="shared" si="1390"/>
        <v>0</v>
      </c>
      <c r="BO702" s="70">
        <f t="shared" si="1390"/>
        <v>0</v>
      </c>
      <c r="BP702" s="70">
        <f t="shared" si="1390"/>
        <v>0</v>
      </c>
      <c r="BQ702" s="71">
        <f t="shared" si="1390"/>
        <v>0</v>
      </c>
      <c r="BR702" s="68">
        <f t="shared" si="1390"/>
        <v>0</v>
      </c>
      <c r="BS702" s="491"/>
      <c r="BT702" s="489"/>
      <c r="BU702" s="392"/>
      <c r="BV702" s="489"/>
      <c r="BW702" s="392"/>
      <c r="BX702" s="392"/>
      <c r="BY702" s="392"/>
      <c r="BZ702" s="489"/>
      <c r="CA702" s="392"/>
      <c r="CB702" s="392"/>
      <c r="CC702" s="392"/>
      <c r="CD702" s="401"/>
      <c r="CE702" s="409"/>
      <c r="CF702" s="169">
        <f t="shared" si="1285"/>
        <v>0</v>
      </c>
      <c r="CG702" s="170">
        <f t="shared" si="1286"/>
        <v>0</v>
      </c>
      <c r="CH702" s="170">
        <f t="shared" si="1287"/>
        <v>0</v>
      </c>
      <c r="CI702" s="170">
        <f t="shared" si="1288"/>
        <v>0</v>
      </c>
      <c r="CJ702" s="170">
        <f t="shared" si="1289"/>
        <v>0</v>
      </c>
      <c r="CK702" s="170">
        <f t="shared" si="1290"/>
        <v>0</v>
      </c>
      <c r="CL702" s="170">
        <f t="shared" si="1291"/>
        <v>0</v>
      </c>
      <c r="CM702" s="170">
        <f t="shared" si="1292"/>
        <v>0</v>
      </c>
      <c r="CN702" s="170">
        <f t="shared" si="1293"/>
        <v>0</v>
      </c>
      <c r="CO702" s="170">
        <f t="shared" si="1294"/>
        <v>0</v>
      </c>
      <c r="CP702" s="170">
        <f t="shared" si="1295"/>
        <v>0</v>
      </c>
      <c r="CQ702" s="170">
        <f t="shared" si="1296"/>
        <v>0</v>
      </c>
      <c r="CR702" s="170">
        <f t="shared" si="1297"/>
        <v>0</v>
      </c>
      <c r="CS702" s="170">
        <f t="shared" si="1298"/>
        <v>0</v>
      </c>
      <c r="CT702" s="75">
        <f t="shared" si="1299"/>
        <v>0</v>
      </c>
      <c r="CU702" s="76">
        <f t="shared" si="1300"/>
        <v>0</v>
      </c>
      <c r="CV702" s="76">
        <f t="shared" si="1301"/>
        <v>0</v>
      </c>
      <c r="CW702" s="76">
        <f t="shared" si="1302"/>
        <v>0</v>
      </c>
      <c r="CX702" s="76">
        <f t="shared" si="1303"/>
        <v>0</v>
      </c>
      <c r="CY702" s="76">
        <f t="shared" si="1304"/>
        <v>0</v>
      </c>
      <c r="CZ702" s="76">
        <f t="shared" si="1305"/>
        <v>0</v>
      </c>
      <c r="DA702" s="76">
        <f t="shared" si="1306"/>
        <v>0</v>
      </c>
      <c r="DB702" s="76">
        <f t="shared" si="1307"/>
        <v>0</v>
      </c>
      <c r="DC702" s="76">
        <f t="shared" si="1308"/>
        <v>0</v>
      </c>
      <c r="DD702" s="76">
        <f t="shared" si="1309"/>
        <v>0</v>
      </c>
      <c r="DE702" s="77">
        <f t="shared" si="1310"/>
        <v>0</v>
      </c>
      <c r="DF702" s="73">
        <f t="shared" si="1312"/>
        <v>42</v>
      </c>
      <c r="DG702" s="67">
        <f t="shared" si="1313"/>
        <v>55.767999999999994</v>
      </c>
      <c r="DH702" s="76">
        <f t="shared" si="1314"/>
        <v>16</v>
      </c>
      <c r="DI702" s="67">
        <f t="shared" si="1315"/>
        <v>68.699999999999989</v>
      </c>
      <c r="DJ702" s="202" t="str">
        <f>IF($D700="","",$D700)</f>
        <v>22</v>
      </c>
      <c r="DK702" s="493"/>
    </row>
    <row r="703" spans="1:115" ht="14.5" customHeight="1" x14ac:dyDescent="0.2">
      <c r="A703" s="459">
        <f>$A700+1</f>
        <v>234</v>
      </c>
      <c r="B703" s="507" t="str">
        <f>IF(OR(C703="W",C704="W",C705="W",C703="1/2W",C704="1/2W",C705="1/2W",C703="1/2L",C704="1/2L",C705="1/2L"),"OK",IF(OR(C703="L",C704="L",C705="L"),"LOSS",IF(OR(C703="X",C704="X",C705="X"),"Anulado"," ")))</f>
        <v>OK</v>
      </c>
      <c r="C703" s="93" t="s">
        <v>55</v>
      </c>
      <c r="D703" s="468" t="str">
        <f>IF(G703="","",$D700)</f>
        <v>22</v>
      </c>
      <c r="E703" s="485" t="str">
        <f>IF(G703=""," ","– "&amp;COUNTIF(D$4:D705,$D703))</f>
        <v>– 8</v>
      </c>
      <c r="F703" s="509" t="str">
        <f ca="1">IF(G703="","",IF(OR(AND($C703&lt;&gt;" ",$C704=" "),AND($C704&lt;&gt;" ",$C703=" "),AND(L705&gt;0,OR(AND($C705&lt;&gt;" ",OR($C703=" ",$C704=" ")),AND($C705=" ",OR($C703&lt;&gt;" ",$C704&lt;&gt;" "))))),IF(SUM(F$4:F702)=0,1,LARGE(F$4:F702,1)+1),IF(MONTH(G703)=MONTH(TODAY()),IF(AND(DAY(G703)&lt;DAY(TODAY()),$B703=" "),IF(SUM(F$4:F702)=0,1,LARGE(F$4:F702,1)+1),IF($B703=" ",IF(AND(DAY(G703)=DAY(TODAY()),HOUR(G703)&lt;=HOUR(NOW())+1),IF(AND(HOUR(G703)+2&lt;=HOUR(NOW()),DAY(G703)&lt;=DAY(TODAY()),MINUTE(G703)&lt;=MINUTE(NOW())),IF(SUM(F$4:F702)=0,1,LARGE(F$4:F702,1)+1),IF(OR(MINUTE(G703)&lt;=MINUTE(NOW()),HOUR(G703)&lt;=HOUR(NOW())),"!!!","")),""),"")),"")))</f>
        <v/>
      </c>
      <c r="G703" s="482">
        <v>45008.697916666664</v>
      </c>
      <c r="H703" s="475" t="s">
        <v>232</v>
      </c>
      <c r="I703" s="94" t="s">
        <v>66</v>
      </c>
      <c r="J703" s="95">
        <v>-3</v>
      </c>
      <c r="K703" s="96" t="s">
        <v>47</v>
      </c>
      <c r="L703" s="97">
        <v>2.2999999999999998</v>
      </c>
      <c r="M703" s="98"/>
      <c r="N703" s="478">
        <v>0.1</v>
      </c>
      <c r="O703" s="99">
        <f>IF(OR(AE703="",AE704=""),"",ROUND(IF(L705&gt;0,IF(M703&gt;0,M703,IF(M704&gt;0,ROUND((M704*AE703)/AE704,IF(N703=0,2,IF(N703=0.1,1,0))),ROUND((M705*AE703)/AE705,IF(N703=0,2,IF(N703=0.1,1,0))))),IF(M703&gt;0,M703,ROUND((M704*AE703)/AE704,IF(N703=0,2,IF(N703=0.1,1,0))))),2))</f>
        <v>9.6999999999999993</v>
      </c>
      <c r="P703" s="100">
        <f>IF(OR(L703="",O703=""),"",IF($C703="1/2W",O703/2+O703/2*L703,IF($C703="1/2L",O703/2,IF(I703="Lay",(O703*(L703/(L703-1))-O703)*(1-_xlfn.XLOOKUP(K703,'Fevereiro 2023 - Valor Real'!A3:A15,'Fevereiro 2023 - Valor Real'!C3:C15,0))+O703,(O703*L703-O703)*(1-_xlfn.XLOOKUP(K703,'Fevereiro 2023 - Valor Real'!A3:A15,'Fevereiro 2023 - Valor Real'!C3:C15,0))+O703))))</f>
        <v>22.309999999999995</v>
      </c>
      <c r="Q703" s="101">
        <f>IF(K703="","",IF(_xlfn.XLOOKUP(K703,K$4:K702,$DJ$4:DJ702,0,,-1)=DJ703,_xlfn.XLOOKUP(K703,K$4:K702,Q$4:Q702,1,,-1)+1,1))</f>
        <v>4</v>
      </c>
      <c r="R703" s="102">
        <f>IF(K703="","",_xlfn.XLOOKUP(K703,K$4:K702,R$4:R702,0,,-1)+IF($C703=" ",1,0))</f>
        <v>0</v>
      </c>
      <c r="S703" s="474">
        <f>IF($B703="Anulado",0,ROUND(IF(OR($B703="LOSS",$B703="OK"),IF(OR($C703="W",$C703="1/2W",$C703="1/2L"),P703-O703,IF($C703="L",-O703,0))+IF(OR($C704="W",$C704="1/2W",$C704="1/2L"),P704-O704,IF($C704="L",-O704,0))+IF(OR($C705="W",$C705="1/2W",$C705="1/2L"),P705-O705,IF($C705="L",-O705,0)),IF(AND(OR($C703="W",$C703="1/2W",$C703="1/2L"),C704="W"),P703+P704-SUM(O703:O705)+_xlfn.XLOOKUP("X",C703:C705,O703:O705,0),IF(AND(C703=TRUE,C705="W"),P703+P705-SUM(O703:O705),IF(AND(C704="W",C705="W"),P704+P705-SUM(O703:O705)+_xlfn.XLOOKUP("X",C703:C705,O703:O705,0),IF(L705&gt;0,IF(OR($C703="W",$C703="1/2W",$C703="1/2L"),P703-SUM(O703:O705)+_xlfn.XLOOKUP("X",C703:C705,O703:O705,0),IF(OR($C703="W",$C703="1/2W",$C703="1/2L"),P704-SUM(O703:O705)+_xlfn.XLOOKUP("X",C703:C705,O703:O705,0),IF(OR($C703="W",$C703="1/2W",$C703="1/2L"),P705-SUM(O703:O705)+_xlfn.XLOOKUP("X",C703:C705,O703:O705,0),IF(SUM(P703:P705)/3-SUM(O703:O705)+_xlfn.XLOOKUP("X",C703:C705,O703:O705,0)&gt;0,SUM(P703:P705)/3-SUM(O703:O705)+_xlfn.XLOOKUP("X",C703:C705,O703:O705,0),LARGE(P703:P705,1)-SUM(O703:O705))))),IF(OR($C703="W",$C703="1/2W",$C703="1/2L"),P703-SUM(O703:O704)+_xlfn.XLOOKUP("X",C703:C705,O703:O705,0),IF(OR($C703="W",$C703="1/2W",$C703="1/2L"),P704-SUM(O703:O704)+_xlfn.XLOOKUP("X",C703:C705,O703:O705,0),SUM(P703:P704)/2-SUM(O703:O704)+_xlfn.XLOOKUP("X",C703:C705,O703:O705,0)))))))),2))</f>
        <v>1.55</v>
      </c>
      <c r="T703" s="458">
        <f>IF(S703=0,0,S703/SUM(O703:O705))</f>
        <v>7.477086348287508E-2</v>
      </c>
      <c r="U703" s="470">
        <f>IF($D703=$D700,IF(OR($B703="LOSS",$B703="OK",$B703="Anulada"),S703,0)+U700,IF(OR($B703="LOSS",$B703="OK",$B703="Anulada"),S703,0))</f>
        <v>11.600000000000001</v>
      </c>
      <c r="V703" s="470">
        <f>IF($D703="",0,IF($D703=$D700,IF($B703=" ",IF(I705="",IF(OR(AND(I703="DNB1",I704="DNB2"),AND(OR(I703="DNB1",I703="DNB2"),J704=0),AND(OR(I704="DNB1",I704="DNB2"),J703=0),AND(I703="DNB2",I704="DNB1"),AND(IF(J703=0,(J703+1)/ROUND(J703+1,0),J703/ROUND(J703,0))=1,IF(J704=0,(J704+1)/ROUND(IF(J704="",0,J704)+1,0),IF(J704="",0,J704)/ROUND(IF(J704="",1,J704),0))=1,OR(J703&lt;&gt;""),J704&lt;&gt;"")),0,IF(S703&lt;0,IF(I705="",SMALL(P703:P704,1)-SUM(O703:O704),0),SMALL(P703:P704,1)-SUM(O703:O704))),IF(S703&lt;0,IF(I705="",SMALL(P703:P705,1)-SUM(O703:O705),0),LARGE(P703:P705,1)-SUM(O703:O705))),S703)+V700,IF(I705="",IF(OR(AND(I703="DNB1",I704="DNB2"),AND(OR(I703="DNB1",I703="DNB2"),J704=0),AND(OR(I704="DNB1",I704="DNB2"),J703=0),AND(I703="DNB2",I704="DNB1"),AND(IF(J703=0,(J703+1)/ROUND(J703+1,0),J703/ROUND(J703,0))=1,IF(J704=0,(IF(J704="",0,J704)+1)/ROUND(IF(J704="",0,J704)+1,0),IF(J704="",0,J704)/ROUND(IF(J704="",0,J704)+1,0))=1,OR(J703&lt;&gt;""),J704&lt;&gt;"")),0,IF(S703&lt;0,IF(I705="",SMALL(P703:P704,1)-SUM(O703:O704),0),SMALL(P703:P705,1)-SUM(O703:O705))),IF(S703&lt;0,IF(I705="",SMALL(P703:P705,1)-SUM(O703:O705),0),LARGE(P703:P705,1)-SUM(O703:O705)))))</f>
        <v>11.589999999999996</v>
      </c>
      <c r="W703" s="470">
        <f>IF($D703=$D700,IF(S703&lt;0,IF(I705="",S703,0),S703)+W700,S703)</f>
        <v>11.600000000000001</v>
      </c>
      <c r="X703" s="480" t="str">
        <f>IF(OR(SUM(R703:R705)=0,V703=W703),ROUND(IF(W703=0,0,W703/Y703)*100,2)&amp;"%",ROUND(IF(V703=0,0,V703/Y703)*100,2)&amp;"% a "&amp;ROUND(IF(W703=0,0,W703/Y703)*100,2)&amp;"%")</f>
        <v>5,12%</v>
      </c>
      <c r="Y703" s="471">
        <f>IF($D703=$D700,Y700+SUM(O703:O705),SUM(O703:O705))</f>
        <v>226.67999999999998</v>
      </c>
      <c r="Z703" s="470">
        <f>IF($B703=" ",SUM(O703:O705),0)+Z700</f>
        <v>0</v>
      </c>
      <c r="AA703" s="470">
        <f>IF(G703="","",IF($B703="Anulado",LARGE(P703:P705,1)-SUM(O703:O705)+AA700,AA700))</f>
        <v>13.381099999999991</v>
      </c>
      <c r="AB703" s="470">
        <f>IF($D703="","",AB700+S703)</f>
        <v>806.36000000000058</v>
      </c>
      <c r="AC703" s="472">
        <f ca="1">IF($D703="","",IF($B703=" ",IF(DAY(G703)=DAY(TODAY()),1+AC700,0+AC700),0+AC700))</f>
        <v>0</v>
      </c>
      <c r="AD703" s="103">
        <f>(((L704/(L704-1)-1)*(1-_xlfn.XLOOKUP(K704,'Fevereiro 2023 - Valor Real'!A3:A15,'Fevereiro 2023 - Valor Real'!C3:C15,0))+1))/(((L703-1)*(1-_xlfn.XLOOKUP(K703,'Fevereiro 2023 - Valor Real'!A3:A15,'Fevereiro 2023 - Valor Real'!C3:C15,0))+1)+((L704/(L704-1)-1)*(1-_xlfn.XLOOKUP(K704,'Fevereiro 2023 - Valor Real'!A3:A15,'Fevereiro 2023 - Valor Real'!C3:C15,0))+1))</f>
        <v>0.46266605588639492</v>
      </c>
      <c r="AE703" s="104">
        <f>IF(L703="","",IF(L705&gt;0,(SUM(((L703-1)*(1-_xlfn.XLOOKUP(K703,'Fevereiro 2023 - Valor Real'!A3:A15,'Fevereiro 2023 - Valor Real'!C3:C15,0))+1),((L704-1)*(1-_xlfn.XLOOKUP(K704,'Fevereiro 2023 - Valor Real'!A3:A15,'Fevereiro 2023 - Valor Real'!C3:C15,0))+1),((L705-1)*(1-_xlfn.XLOOKUP(K705,'Fevereiro 2023 - Valor Real'!A3:A15,'Fevereiro 2023 - Valor Real'!C3:C15,0))+1))/((L703-1)*(1-_xlfn.XLOOKUP(K703,'Fevereiro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Real'!C3:C15,0))+1))/((L703-1)*(1-_xlfn.XLOOKUP(K703,'Fevereiro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Real'!C3:C15,0))+1))/((L704-1)*(1-_xlfn.XLOOKUP(K704,'Fevereiro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Real'!C3:C15,0))+1))/((L705-1)*(1-_xlfn.XLOOKUP(K705,'Fevereiro 2023 - Valor Real'!A3:A15,'Fevereiro 2023 - Valor Real'!C3:C15,0))+1)),IF(I703="Lay",IF(I704="Lay",((L704/(L704-1)-1)*(1-_xlfn.XLOOKUP(K704,'Fevereiro 2023 - Valor Real'!A3:A15,'Fevereiro 2023 - Valor Real'!C3:C15,0))+1)/(((L704/(L704-1)-1)*(1-_xlfn.XLOOKUP(K704,'Fevereiro 2023 - Valor Real'!A3:A15,'Fevereiro 2023 - Valor Real'!C3:C15,0))+1)+((L703/(L703-1)-1)*(1-_xlfn.XLOOKUP(K703,'Fevereiro 2023 - Valor Real'!A3:A15,'Fevereiro 2023 - Valor Real'!C3:C15,0))+1)),((L704-1)*(1-_xlfn.XLOOKUP(K704,'Fevereiro 2023 - Valor Real'!A3:A15,'Fevereiro 2023 - Valor Real'!C3:C15,0))+1)/(((L704-1)*(1-_xlfn.XLOOKUP(K704,'Fevereiro 2023 - Valor Real'!A3:A15,'Fevereiro 2023 - Valor Real'!C3:C15,0))+1)+((L703/(L703-1)-1)*(1-_xlfn.XLOOKUP(K703,'Fevereiro 2023 - Valor Real'!A3:A15,'Fevereiro 2023 - Valor Real'!C3:C15,0))+1))),IF(I704="Lay",(((L704/(L704-1)-1)*(1-_xlfn.XLOOKUP(K704,'Fevereiro 2023 - Valor Real'!A3:A15,'Fevereiro 2023 - Valor Real'!C3:C15,0))+1))/(((L703-1)*(1-_xlfn.XLOOKUP(K703,'Fevereiro 2023 - Valor Real'!A3:A15,'Fevereiro 2023 - Valor Real'!C3:C15,0))+1)+((L704/(L704-1)-1)*(1-_xlfn.XLOOKUP(K704,'Fevereiro 2023 - Valor Real'!A3:A15,'Fevereiro 2023 - Valor Real'!C3:C15,0))+1)),((L704-1)*(1-_xlfn.XLOOKUP(K704,'Fevereiro 2023 - Valor Real'!A3:A15,'Fevereiro 2023 - Valor Real'!C3:C15,0))+1)/(((L704-1)*(1-_xlfn.XLOOKUP(K704,'Fevereiro 2023 - Valor Real'!A3:A15,'Fevereiro 2023 - Valor Real'!C3:C15,0))+1)+((L703-1)*(1-_xlfn.XLOOKUP(K703,'Fevereiro 2023 - Valor Real'!A3:A15,'Fevereiro 2023 - Valor Real'!C3:C15,0))+1))))))</f>
        <v>0.46759259259259256</v>
      </c>
      <c r="AF703" s="105">
        <f t="shared" si="1388"/>
        <v>0</v>
      </c>
      <c r="AG703" s="106">
        <f t="shared" si="1388"/>
        <v>0</v>
      </c>
      <c r="AH703" s="106">
        <f t="shared" si="1388"/>
        <v>0</v>
      </c>
      <c r="AI703" s="106">
        <f t="shared" si="1388"/>
        <v>0</v>
      </c>
      <c r="AJ703" s="106">
        <f t="shared" si="1388"/>
        <v>0</v>
      </c>
      <c r="AK703" s="106">
        <f t="shared" si="1388"/>
        <v>0</v>
      </c>
      <c r="AL703" s="106">
        <f t="shared" si="1388"/>
        <v>0</v>
      </c>
      <c r="AM703" s="106">
        <f t="shared" si="1388"/>
        <v>0</v>
      </c>
      <c r="AN703" s="106">
        <f t="shared" si="1388"/>
        <v>0</v>
      </c>
      <c r="AO703" s="106">
        <f t="shared" si="1388"/>
        <v>0</v>
      </c>
      <c r="AP703" s="106">
        <f t="shared" si="1388"/>
        <v>0</v>
      </c>
      <c r="AQ703" s="106">
        <f t="shared" si="1388"/>
        <v>-9.6999999999999993</v>
      </c>
      <c r="AR703" s="107">
        <f t="shared" si="1388"/>
        <v>0</v>
      </c>
      <c r="AS703" s="105">
        <f t="shared" ref="AS703:BE703" si="1402">IF(AND($B703=" ",$K703=AS$3),$O703,0)</f>
        <v>0</v>
      </c>
      <c r="AT703" s="106">
        <f t="shared" si="1402"/>
        <v>0</v>
      </c>
      <c r="AU703" s="106">
        <f t="shared" si="1402"/>
        <v>0</v>
      </c>
      <c r="AV703" s="106">
        <f t="shared" si="1402"/>
        <v>0</v>
      </c>
      <c r="AW703" s="106">
        <f t="shared" si="1402"/>
        <v>0</v>
      </c>
      <c r="AX703" s="106">
        <f t="shared" si="1402"/>
        <v>0</v>
      </c>
      <c r="AY703" s="108">
        <f t="shared" si="1402"/>
        <v>0</v>
      </c>
      <c r="AZ703" s="109">
        <f t="shared" si="1402"/>
        <v>0</v>
      </c>
      <c r="BA703" s="109">
        <f t="shared" si="1402"/>
        <v>0</v>
      </c>
      <c r="BB703" s="109">
        <f t="shared" si="1402"/>
        <v>0</v>
      </c>
      <c r="BC703" s="110">
        <f t="shared" si="1402"/>
        <v>0</v>
      </c>
      <c r="BD703" s="106">
        <f t="shared" si="1402"/>
        <v>0</v>
      </c>
      <c r="BE703" s="107">
        <f t="shared" si="1402"/>
        <v>0</v>
      </c>
      <c r="BF703" s="111">
        <f t="shared" si="1390"/>
        <v>0</v>
      </c>
      <c r="BG703" s="106">
        <f t="shared" si="1390"/>
        <v>0</v>
      </c>
      <c r="BH703" s="106">
        <f t="shared" si="1390"/>
        <v>0</v>
      </c>
      <c r="BI703" s="106">
        <f t="shared" si="1390"/>
        <v>0</v>
      </c>
      <c r="BJ703" s="106">
        <f t="shared" si="1390"/>
        <v>0</v>
      </c>
      <c r="BK703" s="106">
        <f t="shared" si="1390"/>
        <v>0</v>
      </c>
      <c r="BL703" s="106">
        <f t="shared" si="1390"/>
        <v>0</v>
      </c>
      <c r="BM703" s="108">
        <f t="shared" si="1390"/>
        <v>0</v>
      </c>
      <c r="BN703" s="109">
        <f t="shared" si="1390"/>
        <v>0</v>
      </c>
      <c r="BO703" s="109">
        <f t="shared" si="1390"/>
        <v>0</v>
      </c>
      <c r="BP703" s="109">
        <f t="shared" si="1390"/>
        <v>0</v>
      </c>
      <c r="BQ703" s="110">
        <f t="shared" si="1390"/>
        <v>9.6999999999999993</v>
      </c>
      <c r="BR703" s="107">
        <f t="shared" si="1390"/>
        <v>0</v>
      </c>
      <c r="BS703" s="463">
        <f>IF($B703="LOSS",IF(AND($K703=BS$3,$C703="L"),-$O703,0)+IF(AND($K704=BS$3,$C704="L"),-$O704,0)+IF(AND($K705=BS$3,$C705="L"),-$O705,0),IF(OR(AND($K703=BS$3,OR($C703="W",$C703="1/2W")),AND($K704=BS$3,OR($C704="W",$C704="1/2W")),AND($K705=BS$3,OR($C705="W",$C705="1/2W"))),$S703,0))</f>
        <v>0</v>
      </c>
      <c r="BT703" s="462">
        <f>IF($B703="LOSS",IF(AND($K703=BT$3,$C703="L"),-$O703,0)+IF(AND($K704=BT$3,$C704="L"),-$O704,0)+IF(AND($K704=BT$3,$C705="L"),-$O705,0),IF(OR(AND($K704=BT$3,OR($C703="W",$C703="1/2W")),AND($K704=BT$3,OR($C704="W",$C704="1/2W")),AND($K704=BT$3,OR($C705="W",$C705="1/2W"))),$S703,0))</f>
        <v>0</v>
      </c>
      <c r="BU703" s="462">
        <f>IF($B703="LOSS",IF(AND($K703=BU$3,$C703="L"),-$O703,0)+IF(AND($K704=BU$3,$C704="L"),-$O704,0)+IF(AND($K704=BU$3,$C705="L"),-$O705,0),IF(OR(AND($K704=BU$3,OR($C703="W",$C703="1/2W")),AND($K704=BU$3,OR($C704="W",$C704="1/2W")),AND($K704=BU$3,OR($C705="W",$C705="1/2W"))),$S703,0))</f>
        <v>0</v>
      </c>
      <c r="BV703" s="462">
        <f t="shared" ref="BV703:CE703" si="1403">IF($B703="LOSS",IF(AND($K703=BV$3,$C703="L"),-$O703,0)+IF(AND($K704=BV$3,$C704="L"),-$O704,0)+IF(AND($K705=BV$3,$C705="L"),-$O705,0),IF(OR(AND($K703=BV$3,OR($C703="W",$C703="1/2W")),AND($K704=BV$3,OR($C704="W",$C704="1/2W")),AND($K705=BV$3,OR($C705="W",$C705="1/2W"))),$S703,0))</f>
        <v>0</v>
      </c>
      <c r="BW703" s="462">
        <f t="shared" si="1403"/>
        <v>1.55</v>
      </c>
      <c r="BX703" s="462">
        <f t="shared" si="1403"/>
        <v>0</v>
      </c>
      <c r="BY703" s="462">
        <f t="shared" si="1403"/>
        <v>0</v>
      </c>
      <c r="BZ703" s="460">
        <f t="shared" si="1403"/>
        <v>0</v>
      </c>
      <c r="CA703" s="460">
        <f t="shared" si="1403"/>
        <v>0</v>
      </c>
      <c r="CB703" s="460">
        <f t="shared" si="1403"/>
        <v>0</v>
      </c>
      <c r="CC703" s="460">
        <f t="shared" si="1403"/>
        <v>0</v>
      </c>
      <c r="CD703" s="473">
        <f t="shared" si="1403"/>
        <v>0</v>
      </c>
      <c r="CE703" s="479">
        <f t="shared" si="1403"/>
        <v>0</v>
      </c>
      <c r="CF703" s="113">
        <f t="shared" si="1285"/>
        <v>0</v>
      </c>
      <c r="CG703" s="114">
        <f t="shared" si="1286"/>
        <v>0</v>
      </c>
      <c r="CH703" s="114">
        <f t="shared" si="1287"/>
        <v>0</v>
      </c>
      <c r="CI703" s="114">
        <f t="shared" si="1288"/>
        <v>0</v>
      </c>
      <c r="CJ703" s="114">
        <f t="shared" si="1289"/>
        <v>0</v>
      </c>
      <c r="CK703" s="114">
        <f t="shared" si="1290"/>
        <v>0</v>
      </c>
      <c r="CL703" s="114">
        <f t="shared" si="1291"/>
        <v>0</v>
      </c>
      <c r="CM703" s="114">
        <f t="shared" si="1292"/>
        <v>0</v>
      </c>
      <c r="CN703" s="114">
        <f t="shared" si="1293"/>
        <v>0</v>
      </c>
      <c r="CO703" s="114">
        <f t="shared" si="1294"/>
        <v>0</v>
      </c>
      <c r="CP703" s="114">
        <f t="shared" si="1295"/>
        <v>0</v>
      </c>
      <c r="CQ703" s="114">
        <f t="shared" si="1296"/>
        <v>0</v>
      </c>
      <c r="CR703" s="114">
        <f t="shared" si="1297"/>
        <v>0</v>
      </c>
      <c r="CS703" s="114">
        <f t="shared" si="1298"/>
        <v>0</v>
      </c>
      <c r="CT703" s="115">
        <f t="shared" si="1299"/>
        <v>0</v>
      </c>
      <c r="CU703" s="116">
        <f t="shared" si="1300"/>
        <v>0</v>
      </c>
      <c r="CV703" s="116">
        <f t="shared" si="1301"/>
        <v>0</v>
      </c>
      <c r="CW703" s="116">
        <f t="shared" si="1302"/>
        <v>0</v>
      </c>
      <c r="CX703" s="116">
        <f t="shared" si="1303"/>
        <v>0</v>
      </c>
      <c r="CY703" s="116">
        <f t="shared" si="1304"/>
        <v>0</v>
      </c>
      <c r="CZ703" s="116">
        <f t="shared" si="1305"/>
        <v>0</v>
      </c>
      <c r="DA703" s="116">
        <f t="shared" si="1306"/>
        <v>0</v>
      </c>
      <c r="DB703" s="116">
        <f t="shared" si="1307"/>
        <v>0</v>
      </c>
      <c r="DC703" s="116">
        <f t="shared" si="1308"/>
        <v>1</v>
      </c>
      <c r="DD703" s="116">
        <f t="shared" si="1309"/>
        <v>0</v>
      </c>
      <c r="DE703" s="117">
        <f t="shared" si="1310"/>
        <v>0</v>
      </c>
      <c r="DF703" s="118">
        <f t="shared" si="1312"/>
        <v>42</v>
      </c>
      <c r="DG703" s="106">
        <f t="shared" si="1313"/>
        <v>55.767999999999994</v>
      </c>
      <c r="DH703" s="116">
        <f t="shared" si="1314"/>
        <v>16</v>
      </c>
      <c r="DI703" s="106">
        <f t="shared" si="1315"/>
        <v>68.699999999999989</v>
      </c>
      <c r="DJ703" s="201" t="str">
        <f>IF($D703="","",$D703)</f>
        <v>22</v>
      </c>
      <c r="DK703" s="465">
        <f>IF(AND($B703=" ",$D703&lt;&gt;""),1,0)</f>
        <v>0</v>
      </c>
    </row>
    <row r="704" spans="1:115" ht="14.5" customHeight="1" x14ac:dyDescent="0.2">
      <c r="A704" s="389"/>
      <c r="B704" s="456"/>
      <c r="C704" s="120" t="s">
        <v>54</v>
      </c>
      <c r="D704" s="374"/>
      <c r="E704" s="386"/>
      <c r="F704" s="377"/>
      <c r="G704" s="483"/>
      <c r="H704" s="476"/>
      <c r="I704" s="121" t="s">
        <v>76</v>
      </c>
      <c r="J704" s="122">
        <f>IF(OR(I703="TO",I703="TU",I703="TO1",I703="TU1",I703="TO2",I703="TU2"),J703,IF(OR(I703="AH1",I703="AH2"),IF(OR(I704="AH1",I704="AH2"),-J703,IF(OR(I704="EH1",I704="EH2"),-J703+0.5,"")),IF(OR(I703="EH1",I703="EH2"),IF(OR(I704="AH1",I704="AH2"),-J703+0.5,IF(OR(I704="EH1",I704="EH2"),-J703+1,"")),IF(AND(OR(I703="DNB1",I703="DNB2"),OR(I704="AH1",I704="AH2")),0,IF(AND(I703="Not ScoreBoth",OR(I704="TO1",I704="TO2")),0.5,"")))))</f>
        <v>3</v>
      </c>
      <c r="K704" s="123" t="s">
        <v>40</v>
      </c>
      <c r="L704" s="124">
        <v>2.02</v>
      </c>
      <c r="M704" s="125">
        <v>11.03</v>
      </c>
      <c r="N704" s="406"/>
      <c r="O704" s="126">
        <f>IF(OR(AE703="",AE704=""),"",ROUND(IF(L705&gt;0,IF(M704&gt;0,M704,IF(M703&gt;0,IF(N703=TRUE,ROUND((M703*AE704)/AE703,0),(M703*AE704)/AE703),IF(M704&gt;0,ROUND(M704,IF(N703=0,2,IF(N703=0.1,1,0))),IF(M705&gt;0,ROUND(O705*AE704/AE705,IF(N703=0,2,IF(N703=0.1,1,0))),0)))),IF(M704&gt;0,M704,ROUND((M703*AE704)/AE703,IF(N703=0,2,IF(N703=0.1,1,0))))),2))</f>
        <v>11.03</v>
      </c>
      <c r="P704" s="127">
        <f>IF(OR(L704="",O704=""),"",IF($C704="1/2W",O704/2+O704/2*L704,IF($C704="1/2L",O704/2,IF(I704="Lay",((O704*(L704/(L704-1)))-O704)*(1-_xlfn.XLOOKUP(K704,'Fevereiro 2023 - Valor Real'!A3:A15,'Fevereiro 2023 - Valor Real'!C3:C15,0))+O704,(O704*L704-O704)*(1-_xlfn.XLOOKUP(K704,'Fevereiro 2023 - Valor Real'!A3:A15,'Fevereiro 2023 - Valor Real'!C3:C15,0))+O704))))</f>
        <v>22.2806</v>
      </c>
      <c r="Q704" s="128">
        <f>IF(K704="","",IF(_xlfn.XLOOKUP(K704,K$4:K703,$DJ$4:DJ703,0,,-1)=DJ704,_xlfn.XLOOKUP(K704,K$4:K703,Q$4:Q703,1,,-1)+1,1))</f>
        <v>4</v>
      </c>
      <c r="R704" s="129">
        <f>IF(K704="","",_xlfn.XLOOKUP(K704,K$4:K703,R$4:R703,0,,-1)+IF($C704=" ",1,0))</f>
        <v>0</v>
      </c>
      <c r="S704" s="403"/>
      <c r="T704" s="380"/>
      <c r="U704" s="380"/>
      <c r="V704" s="481"/>
      <c r="W704" s="380"/>
      <c r="X704" s="452"/>
      <c r="Y704" s="383"/>
      <c r="Z704" s="384"/>
      <c r="AA704" s="384"/>
      <c r="AB704" s="384"/>
      <c r="AC704" s="384"/>
      <c r="AD704" s="130">
        <f>(((L704/(L704-1)-1)*(1-_xlfn.XLOOKUP(K704,'Fevereiro 2023 - Valor Real'!A3:A15,'Fevereiro 2023 - Valor Real'!C3:C15,0))+1))</f>
        <v>1.9803921568627452</v>
      </c>
      <c r="AE704" s="131">
        <f>IF(L704="","",IF(L705&gt;0,(SUM(((L703-1)*(1-_xlfn.XLOOKUP(K703,'Fevereiro 2023 - Valor Real'!A3:A15,'Fevereiro 2023 - Valor Real'!C3:C15,0))+1),((L704-1)*(1-_xlfn.XLOOKUP(K704,'Fevereiro 2023 - Valor Real'!A3:A15,'Fevereiro 2023 - Valor Real'!C3:C15,0))+1),((L705-1)*(1-_xlfn.XLOOKUP(K705,'Fevereiro 2023 - Valor Real'!A3:A15,'Fevereiro 2023 - Valor Real'!C3:C15,0))+1))/((L704-1)*(1-_xlfn.XLOOKUP(K704,'Fevereiro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Real'!C3:C15,0))+1))/((L703-1)*(1-_xlfn.XLOOKUP(K703,'Fevereiro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Real'!C3:C15,0))+1))/((L704-1)*(1-_xlfn.XLOOKUP(K704,'Fevereiro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Real'!C3:C15,0))+1))/((L705-1)*(1-_xlfn.XLOOKUP(K705,'Fevereiro 2023 - Valor Real'!A3:A15,'Fevereiro 2023 - Valor Real'!C3:C15,0))+1)),IF(I704="Lay",IF(I703="Lay",((L703/(L703-1)-1)*(1-_xlfn.XLOOKUP(K703,'Fevereiro 2023 - Valor Real'!A3:A15,'Fevereiro 2023 - Valor Real'!C3:C15,0))+1)/(((L703/(L703-1)-1)*(1-_xlfn.XLOOKUP(K703,'Fevereiro 2023 - Valor Real'!A3:A15,'Fevereiro 2023 - Valor Real'!C3:C15,0))+1)+((L704/(L704-1)-1)*(1-_xlfn.XLOOKUP(K704,'Fevereiro 2023 - Valor Real'!A3:A15,'Fevereiro 2023 - Valor Real'!C3:C15,0))+1)),((L703-1)*(1-_xlfn.XLOOKUP(K703,'Fevereiro 2023 - Valor Real'!A3:A15,'Fevereiro 2023 - Valor Real'!C3:C15,0))+1)/(((L703-1)*(1-_xlfn.XLOOKUP(K703,'Fevereiro 2023 - Valor Real'!A3:A15,'Fevereiro 2023 - Valor Real'!C3:C15,0))+1)+((L704/(L704-1)-1)*(1-_xlfn.XLOOKUP(K704,'Fevereiro 2023 - Valor Real'!A3:A15,'Fevereiro 2023 - Valor Real'!C3:C15,0))+1))),IF(I703="Lay",((L703/(L703-1)-1)*(1-_xlfn.XLOOKUP(K703,'Fevereiro 2023 - Valor Real'!A3:A15,'Fevereiro 2023 - Valor Real'!C3:C15,0))+1)/((((L703/(L703-1)-1)*(1-_xlfn.XLOOKUP(K703,'Fevereiro 2023 - Valor Real'!A3:A15,'Fevereiro 2023 - Valor Real'!C3:C15,0))+1))+((L704-1)*(1-_xlfn.XLOOKUP(K704,'Fevereiro 2023 - Valor Real'!A3:A15,'Fevereiro 2023 - Valor Real'!C3:C15,0))+1)),((L703-1)*(1-_xlfn.XLOOKUP(K703,'Fevereiro 2023 - Valor Real'!A3:A15,'Fevereiro 2023 - Valor Real'!C3:C15,0))+1)/(((L703-1)*(1-_xlfn.XLOOKUP(K703,'Fevereiro 2023 - Valor Real'!A3:A15,'Fevereiro 2023 - Valor Real'!C3:C15,0))+1)+((L704-1)*(1-_xlfn.XLOOKUP(K704,'Fevereiro 2023 - Valor Real'!A3:A15,'Fevereiro 2023 - Valor Real'!C3:C15,0))+1))))))</f>
        <v>0.53240740740740733</v>
      </c>
      <c r="AF704" s="105">
        <f t="shared" ref="AF704:AR713" si="1404">IF($K704=AF$3,ROUND(IF(OR($C704="W",$C704="1/2W",$C704="1/2L"),$P704-$O704,IF($C704="X",0,-$O704)),2),0)</f>
        <v>0</v>
      </c>
      <c r="AG704" s="106">
        <f t="shared" si="1404"/>
        <v>0</v>
      </c>
      <c r="AH704" s="106">
        <f t="shared" si="1404"/>
        <v>0</v>
      </c>
      <c r="AI704" s="106">
        <f t="shared" si="1404"/>
        <v>0</v>
      </c>
      <c r="AJ704" s="106">
        <f t="shared" si="1404"/>
        <v>11.25</v>
      </c>
      <c r="AK704" s="106">
        <f t="shared" si="1404"/>
        <v>0</v>
      </c>
      <c r="AL704" s="106">
        <f t="shared" si="1404"/>
        <v>0</v>
      </c>
      <c r="AM704" s="106">
        <f t="shared" si="1404"/>
        <v>0</v>
      </c>
      <c r="AN704" s="106">
        <f t="shared" si="1404"/>
        <v>0</v>
      </c>
      <c r="AO704" s="106">
        <f t="shared" si="1404"/>
        <v>0</v>
      </c>
      <c r="AP704" s="106">
        <f t="shared" si="1404"/>
        <v>0</v>
      </c>
      <c r="AQ704" s="106">
        <f t="shared" si="1404"/>
        <v>0</v>
      </c>
      <c r="AR704" s="107">
        <f t="shared" si="1404"/>
        <v>0</v>
      </c>
      <c r="AS704" s="105">
        <f>IF(AND($B703=" ",$K704=AS$3),$O704,0)</f>
        <v>0</v>
      </c>
      <c r="AT704" s="106">
        <f>IF(AND($B703=" ",K704=AT$3),$O704,0)</f>
        <v>0</v>
      </c>
      <c r="AU704" s="106">
        <f t="shared" ref="AU704:BE704" si="1405">IF(AND($B703=" ",$K704=AU$3),$O704,0)</f>
        <v>0</v>
      </c>
      <c r="AV704" s="106">
        <f t="shared" si="1405"/>
        <v>0</v>
      </c>
      <c r="AW704" s="106">
        <f t="shared" si="1405"/>
        <v>0</v>
      </c>
      <c r="AX704" s="106">
        <f t="shared" si="1405"/>
        <v>0</v>
      </c>
      <c r="AY704" s="108">
        <f t="shared" si="1405"/>
        <v>0</v>
      </c>
      <c r="AZ704" s="109">
        <f t="shared" si="1405"/>
        <v>0</v>
      </c>
      <c r="BA704" s="109">
        <f t="shared" si="1405"/>
        <v>0</v>
      </c>
      <c r="BB704" s="109">
        <f t="shared" si="1405"/>
        <v>0</v>
      </c>
      <c r="BC704" s="110">
        <f t="shared" si="1405"/>
        <v>0</v>
      </c>
      <c r="BD704" s="106">
        <f t="shared" si="1405"/>
        <v>0</v>
      </c>
      <c r="BE704" s="107">
        <f t="shared" si="1405"/>
        <v>0</v>
      </c>
      <c r="BF704" s="105">
        <f t="shared" ref="BF704:BR713" si="1406">IF($K704=BF$3,IF($C704="X",0,$O704),0)</f>
        <v>0</v>
      </c>
      <c r="BG704" s="106">
        <f t="shared" si="1406"/>
        <v>0</v>
      </c>
      <c r="BH704" s="106">
        <f t="shared" si="1406"/>
        <v>0</v>
      </c>
      <c r="BI704" s="106">
        <f t="shared" si="1406"/>
        <v>0</v>
      </c>
      <c r="BJ704" s="106">
        <f t="shared" si="1406"/>
        <v>11.03</v>
      </c>
      <c r="BK704" s="106">
        <f t="shared" si="1406"/>
        <v>0</v>
      </c>
      <c r="BL704" s="106">
        <f t="shared" si="1406"/>
        <v>0</v>
      </c>
      <c r="BM704" s="132">
        <f t="shared" si="1406"/>
        <v>0</v>
      </c>
      <c r="BN704" s="112">
        <f t="shared" si="1406"/>
        <v>0</v>
      </c>
      <c r="BO704" s="112">
        <f t="shared" si="1406"/>
        <v>0</v>
      </c>
      <c r="BP704" s="112">
        <f t="shared" si="1406"/>
        <v>0</v>
      </c>
      <c r="BQ704" s="110">
        <f t="shared" si="1406"/>
        <v>0</v>
      </c>
      <c r="BR704" s="107">
        <f t="shared" si="1406"/>
        <v>0</v>
      </c>
      <c r="BS704" s="464"/>
      <c r="BT704" s="461"/>
      <c r="BU704" s="392"/>
      <c r="BV704" s="461"/>
      <c r="BW704" s="392"/>
      <c r="BX704" s="392"/>
      <c r="BY704" s="392"/>
      <c r="BZ704" s="461"/>
      <c r="CA704" s="392"/>
      <c r="CB704" s="392"/>
      <c r="CC704" s="392"/>
      <c r="CD704" s="401"/>
      <c r="CE704" s="409"/>
      <c r="CF704" s="133">
        <f t="shared" si="1285"/>
        <v>0</v>
      </c>
      <c r="CG704" s="134">
        <f t="shared" si="1286"/>
        <v>0</v>
      </c>
      <c r="CH704" s="134">
        <f t="shared" si="1287"/>
        <v>0</v>
      </c>
      <c r="CI704" s="134">
        <f t="shared" si="1288"/>
        <v>0</v>
      </c>
      <c r="CJ704" s="134">
        <f t="shared" si="1289"/>
        <v>0</v>
      </c>
      <c r="CK704" s="134">
        <f t="shared" si="1290"/>
        <v>0</v>
      </c>
      <c r="CL704" s="134">
        <f t="shared" si="1291"/>
        <v>0</v>
      </c>
      <c r="CM704" s="134">
        <f t="shared" si="1292"/>
        <v>0</v>
      </c>
      <c r="CN704" s="134">
        <f t="shared" si="1293"/>
        <v>1</v>
      </c>
      <c r="CO704" s="134">
        <f t="shared" si="1294"/>
        <v>0</v>
      </c>
      <c r="CP704" s="134">
        <f t="shared" si="1295"/>
        <v>0</v>
      </c>
      <c r="CQ704" s="134">
        <f t="shared" si="1296"/>
        <v>0</v>
      </c>
      <c r="CR704" s="134">
        <f t="shared" si="1297"/>
        <v>0</v>
      </c>
      <c r="CS704" s="134">
        <f t="shared" si="1298"/>
        <v>0</v>
      </c>
      <c r="CT704" s="115">
        <f t="shared" si="1299"/>
        <v>0</v>
      </c>
      <c r="CU704" s="116">
        <f t="shared" si="1300"/>
        <v>0</v>
      </c>
      <c r="CV704" s="116">
        <f t="shared" si="1301"/>
        <v>0</v>
      </c>
      <c r="CW704" s="116">
        <f t="shared" si="1302"/>
        <v>0</v>
      </c>
      <c r="CX704" s="116">
        <f t="shared" si="1303"/>
        <v>0</v>
      </c>
      <c r="CY704" s="116">
        <f t="shared" si="1304"/>
        <v>0</v>
      </c>
      <c r="CZ704" s="116">
        <f t="shared" si="1305"/>
        <v>0</v>
      </c>
      <c r="DA704" s="116">
        <f t="shared" si="1306"/>
        <v>0</v>
      </c>
      <c r="DB704" s="116">
        <f t="shared" si="1307"/>
        <v>0</v>
      </c>
      <c r="DC704" s="116">
        <f t="shared" si="1308"/>
        <v>0</v>
      </c>
      <c r="DD704" s="116">
        <f t="shared" si="1309"/>
        <v>0</v>
      </c>
      <c r="DE704" s="117">
        <f t="shared" si="1310"/>
        <v>0</v>
      </c>
      <c r="DF704" s="118">
        <f t="shared" si="1312"/>
        <v>42</v>
      </c>
      <c r="DG704" s="106">
        <f t="shared" si="1313"/>
        <v>55.767999999999994</v>
      </c>
      <c r="DH704" s="116">
        <f t="shared" si="1314"/>
        <v>16</v>
      </c>
      <c r="DI704" s="106">
        <f t="shared" si="1315"/>
        <v>68.699999999999989</v>
      </c>
      <c r="DJ704" s="201" t="str">
        <f>IF($D703="","",$D703)</f>
        <v>22</v>
      </c>
      <c r="DK704" s="466"/>
    </row>
    <row r="705" spans="1:115" ht="14.5" customHeight="1" x14ac:dyDescent="0.2">
      <c r="A705" s="390"/>
      <c r="B705" s="457"/>
      <c r="C705" s="135" t="s">
        <v>53</v>
      </c>
      <c r="D705" s="375"/>
      <c r="E705" s="387"/>
      <c r="F705" s="378"/>
      <c r="G705" s="484"/>
      <c r="H705" s="477"/>
      <c r="I705" s="136"/>
      <c r="J705" s="137"/>
      <c r="K705" s="138"/>
      <c r="L705" s="139"/>
      <c r="M705" s="140"/>
      <c r="N705" s="407"/>
      <c r="O705" s="141" t="str">
        <f>IF(OR(AE703="",AE704=""),"",IF(L705&gt;0,ROUND(IF(M705&gt;0,M705,IF(M703&gt;0,ROUND((M703*AE705)/AE703,IF(N703=0,2,IF(N703=0.1,1,0))),IF(M704&gt;0,ROUND((M704*AE705)/AE704,IF(N703=0,2,IF(N703=0.1,1,0))),IF(M705&gt;0,M705,0)))),2),""))</f>
        <v/>
      </c>
      <c r="P705" s="142" t="str">
        <f>IF(I704="Lay",O704*(L704/(L704-1))-O704,IF(I703="Lay",O703*(L703/(L703-1))-O703,IF(OR(L705="",O705=""),"",IF($C705="1/2W",O705/2+O705/2*L705,IF($C705="1/2L",O705/2,(O705*L705-O705)*(1-_xlfn.XLOOKUP(K705,'Fevereiro 2023 - Valor Real'!A3:A15,'Fevereiro 2023 - Valor Real'!C3:C15,0))+O705)))))</f>
        <v/>
      </c>
      <c r="Q705" s="143" t="str">
        <f>IF(K705="","",IF(_xlfn.XLOOKUP(K705,K$4:K704,$DJ$4:DJ704,0,,-1)=DJ705,_xlfn.XLOOKUP(K705,K$4:K704,Q$4:Q704,1,,-1)+1,1))</f>
        <v/>
      </c>
      <c r="R705" s="144" t="str">
        <f>IF(K705="","",_xlfn.XLOOKUP(K705,K$4:K704,R$4:R704,0,,-1)+IF($C705=" ",1,0))</f>
        <v/>
      </c>
      <c r="S705" s="404"/>
      <c r="T705" s="378"/>
      <c r="U705" s="378"/>
      <c r="V705" s="404"/>
      <c r="W705" s="378"/>
      <c r="X705" s="453"/>
      <c r="Y705" s="383"/>
      <c r="Z705" s="384"/>
      <c r="AA705" s="384"/>
      <c r="AB705" s="384"/>
      <c r="AC705" s="384"/>
      <c r="AD705" s="145">
        <f>((L704/(L704-1)-1))</f>
        <v>0.98039215686274517</v>
      </c>
      <c r="AE705" s="146" t="str">
        <f>IF(L705="","",(SUM(((L703-1)*(1-_xlfn.XLOOKUP(K703,'Fevereiro 2023 - Valor Real'!A3:A15,'Fevereiro 2023 - Valor Real'!C3:C15,0))+1),((L704-1)*(1-_xlfn.XLOOKUP(K704,'Fevereiro 2023 - Valor Real'!A3:A15,'Fevereiro 2023 - Valor Real'!C3:C15,0))+1),((L705-1)*(1-_xlfn.XLOOKUP(K705,'Fevereiro 2023 - Valor Real'!A3:A15,'Fevereiro 2023 - Valor Real'!C3:C15,0))+1))/((L705-1)*(1-_xlfn.XLOOKUP(K705,'Fevereiro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Real'!C3:C15,0))+1))/((L703-1)*(1-_xlfn.XLOOKUP(K703,'Fevereiro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Real'!C3:C15,0))+1))/((L704-1)*(1-_xlfn.XLOOKUP(K704,'Fevereiro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Real'!C3:C15,0))+1))/((L705-1)*(1-_xlfn.XLOOKUP(K705,'Fevereiro 2023 - Valor Real'!A3:A15,'Fevereiro 2023 - Valor Real'!C3:C15,0))+1)))</f>
        <v/>
      </c>
      <c r="AF705" s="105">
        <f t="shared" si="1404"/>
        <v>0</v>
      </c>
      <c r="AG705" s="106">
        <f t="shared" si="1404"/>
        <v>0</v>
      </c>
      <c r="AH705" s="106">
        <f t="shared" si="1404"/>
        <v>0</v>
      </c>
      <c r="AI705" s="106">
        <f t="shared" si="1404"/>
        <v>0</v>
      </c>
      <c r="AJ705" s="106">
        <f t="shared" si="1404"/>
        <v>0</v>
      </c>
      <c r="AK705" s="106">
        <f t="shared" si="1404"/>
        <v>0</v>
      </c>
      <c r="AL705" s="106">
        <f t="shared" si="1404"/>
        <v>0</v>
      </c>
      <c r="AM705" s="106">
        <f t="shared" si="1404"/>
        <v>0</v>
      </c>
      <c r="AN705" s="106">
        <f t="shared" si="1404"/>
        <v>0</v>
      </c>
      <c r="AO705" s="106">
        <f t="shared" si="1404"/>
        <v>0</v>
      </c>
      <c r="AP705" s="106">
        <f t="shared" si="1404"/>
        <v>0</v>
      </c>
      <c r="AQ705" s="106">
        <f t="shared" si="1404"/>
        <v>0</v>
      </c>
      <c r="AR705" s="107">
        <f t="shared" si="1404"/>
        <v>0</v>
      </c>
      <c r="AS705" s="105">
        <f>IF(AND($B703=" ",$K705=AS$3),$O705,0)</f>
        <v>0</v>
      </c>
      <c r="AT705" s="106">
        <f>IF(AND($B703=" ",K705=AT$3),$O705,0)</f>
        <v>0</v>
      </c>
      <c r="AU705" s="106">
        <f t="shared" ref="AU705:BE705" si="1407">IF(AND($B703=" ",$K705=AU$3),$O705,0)</f>
        <v>0</v>
      </c>
      <c r="AV705" s="106">
        <f t="shared" si="1407"/>
        <v>0</v>
      </c>
      <c r="AW705" s="106">
        <f t="shared" si="1407"/>
        <v>0</v>
      </c>
      <c r="AX705" s="106">
        <f t="shared" si="1407"/>
        <v>0</v>
      </c>
      <c r="AY705" s="108">
        <f t="shared" si="1407"/>
        <v>0</v>
      </c>
      <c r="AZ705" s="109">
        <f t="shared" si="1407"/>
        <v>0</v>
      </c>
      <c r="BA705" s="109">
        <f t="shared" si="1407"/>
        <v>0</v>
      </c>
      <c r="BB705" s="109">
        <f t="shared" si="1407"/>
        <v>0</v>
      </c>
      <c r="BC705" s="110">
        <f t="shared" si="1407"/>
        <v>0</v>
      </c>
      <c r="BD705" s="106">
        <f t="shared" si="1407"/>
        <v>0</v>
      </c>
      <c r="BE705" s="107">
        <f t="shared" si="1407"/>
        <v>0</v>
      </c>
      <c r="BF705" s="105">
        <f t="shared" si="1406"/>
        <v>0</v>
      </c>
      <c r="BG705" s="106">
        <f t="shared" si="1406"/>
        <v>0</v>
      </c>
      <c r="BH705" s="106">
        <f t="shared" si="1406"/>
        <v>0</v>
      </c>
      <c r="BI705" s="106">
        <f t="shared" si="1406"/>
        <v>0</v>
      </c>
      <c r="BJ705" s="106">
        <f t="shared" si="1406"/>
        <v>0</v>
      </c>
      <c r="BK705" s="106">
        <f t="shared" si="1406"/>
        <v>0</v>
      </c>
      <c r="BL705" s="106">
        <f t="shared" si="1406"/>
        <v>0</v>
      </c>
      <c r="BM705" s="108">
        <f t="shared" si="1406"/>
        <v>0</v>
      </c>
      <c r="BN705" s="109">
        <f t="shared" si="1406"/>
        <v>0</v>
      </c>
      <c r="BO705" s="109">
        <f t="shared" si="1406"/>
        <v>0</v>
      </c>
      <c r="BP705" s="109">
        <f t="shared" si="1406"/>
        <v>0</v>
      </c>
      <c r="BQ705" s="110">
        <f t="shared" si="1406"/>
        <v>0</v>
      </c>
      <c r="BR705" s="107">
        <f t="shared" si="1406"/>
        <v>0</v>
      </c>
      <c r="BS705" s="464"/>
      <c r="BT705" s="461"/>
      <c r="BU705" s="392"/>
      <c r="BV705" s="461"/>
      <c r="BW705" s="392"/>
      <c r="BX705" s="392"/>
      <c r="BY705" s="392"/>
      <c r="BZ705" s="461"/>
      <c r="CA705" s="392"/>
      <c r="CB705" s="392"/>
      <c r="CC705" s="392"/>
      <c r="CD705" s="401"/>
      <c r="CE705" s="409"/>
      <c r="CF705" s="133">
        <f t="shared" si="1285"/>
        <v>0</v>
      </c>
      <c r="CG705" s="134">
        <f t="shared" si="1286"/>
        <v>0</v>
      </c>
      <c r="CH705" s="134">
        <f t="shared" si="1287"/>
        <v>0</v>
      </c>
      <c r="CI705" s="134">
        <f t="shared" si="1288"/>
        <v>0</v>
      </c>
      <c r="CJ705" s="134">
        <f t="shared" si="1289"/>
        <v>0</v>
      </c>
      <c r="CK705" s="134">
        <f t="shared" si="1290"/>
        <v>0</v>
      </c>
      <c r="CL705" s="134">
        <f t="shared" si="1291"/>
        <v>0</v>
      </c>
      <c r="CM705" s="134">
        <f t="shared" si="1292"/>
        <v>0</v>
      </c>
      <c r="CN705" s="134">
        <f t="shared" si="1293"/>
        <v>0</v>
      </c>
      <c r="CO705" s="134">
        <f t="shared" si="1294"/>
        <v>0</v>
      </c>
      <c r="CP705" s="134">
        <f t="shared" si="1295"/>
        <v>0</v>
      </c>
      <c r="CQ705" s="134">
        <f t="shared" si="1296"/>
        <v>0</v>
      </c>
      <c r="CR705" s="134">
        <f t="shared" si="1297"/>
        <v>0</v>
      </c>
      <c r="CS705" s="134">
        <f t="shared" si="1298"/>
        <v>0</v>
      </c>
      <c r="CT705" s="115">
        <f t="shared" si="1299"/>
        <v>0</v>
      </c>
      <c r="CU705" s="116">
        <f t="shared" si="1300"/>
        <v>0</v>
      </c>
      <c r="CV705" s="116">
        <f t="shared" si="1301"/>
        <v>0</v>
      </c>
      <c r="CW705" s="116">
        <f t="shared" si="1302"/>
        <v>0</v>
      </c>
      <c r="CX705" s="116">
        <f t="shared" si="1303"/>
        <v>0</v>
      </c>
      <c r="CY705" s="116">
        <f t="shared" si="1304"/>
        <v>0</v>
      </c>
      <c r="CZ705" s="116">
        <f t="shared" si="1305"/>
        <v>0</v>
      </c>
      <c r="DA705" s="116">
        <f t="shared" si="1306"/>
        <v>0</v>
      </c>
      <c r="DB705" s="116">
        <f t="shared" si="1307"/>
        <v>0</v>
      </c>
      <c r="DC705" s="116">
        <f t="shared" si="1308"/>
        <v>0</v>
      </c>
      <c r="DD705" s="116">
        <f t="shared" si="1309"/>
        <v>0</v>
      </c>
      <c r="DE705" s="117">
        <f t="shared" si="1310"/>
        <v>0</v>
      </c>
      <c r="DF705" s="118">
        <f t="shared" si="1312"/>
        <v>42</v>
      </c>
      <c r="DG705" s="106">
        <f t="shared" si="1313"/>
        <v>55.767999999999994</v>
      </c>
      <c r="DH705" s="116">
        <f t="shared" si="1314"/>
        <v>16</v>
      </c>
      <c r="DI705" s="106">
        <f t="shared" si="1315"/>
        <v>68.699999999999989</v>
      </c>
      <c r="DJ705" s="201" t="str">
        <f>IF($D703="","",$D703)</f>
        <v>22</v>
      </c>
      <c r="DK705" s="466"/>
    </row>
    <row r="706" spans="1:115" ht="14.5" customHeight="1" x14ac:dyDescent="0.2">
      <c r="A706" s="487">
        <f>$A703+1</f>
        <v>235</v>
      </c>
      <c r="B706" s="506" t="str">
        <f>IF(OR(C706="W",C707="W",C708="W",C706="1/2W",C707="1/2W",C708="1/2W",C706="1/2L",C707="1/2L",C708="1/2L"),"OK",IF(OR(C706="L",C707="L",C708="L"),"LOSS",IF(OR(C706="X",C707="X",C708="X"),"Anulado"," ")))</f>
        <v>OK</v>
      </c>
      <c r="C706" s="147" t="s">
        <v>55</v>
      </c>
      <c r="D706" s="494" t="s">
        <v>250</v>
      </c>
      <c r="E706" s="511" t="str">
        <f>IF(G706=""," ","– "&amp;COUNTIF(D$4:D708,$D706))</f>
        <v>– 1</v>
      </c>
      <c r="F706" s="510" t="str">
        <f ca="1">IF(G706="","",IF(OR(AND($C706&lt;&gt;" ",$C707=" "),AND($C707&lt;&gt;" ",$C706=" "),AND(L708&gt;0,OR(AND($C708&lt;&gt;" ",OR($C706=" ",$C707=" ")),AND($C708=" ",OR($C706&lt;&gt;" ",$C707&lt;&gt;" "))))),IF(SUM(F$4:F705)=0,1,LARGE(F$4:F705,1)+1),IF(MONTH(G706)=MONTH(TODAY()),IF(AND(DAY(G706)&lt;DAY(TODAY()),$B706=" "),IF(SUM(F$4:F705)=0,1,LARGE(F$4:F705,1)+1),IF($B706=" ",IF(AND(DAY(G706)=DAY(TODAY()),HOUR(G706)&lt;=HOUR(NOW())+1),IF(AND(HOUR(G706)+2&lt;=HOUR(NOW()),DAY(G706)&lt;=DAY(TODAY()),MINUTE(G706)&lt;=MINUTE(NOW())),IF(SUM(F$4:F705)=0,1,LARGE(F$4:F705,1)+1),IF(OR(MINUTE(G706)&lt;=MINUTE(NOW()),HOUR(G706)&lt;=HOUR(NOW())),"!!!","")),""),"")),"")))</f>
        <v/>
      </c>
      <c r="G706" s="508">
        <v>45010.46875</v>
      </c>
      <c r="H706" s="502" t="s">
        <v>251</v>
      </c>
      <c r="I706" s="148">
        <v>2</v>
      </c>
      <c r="J706" s="149"/>
      <c r="K706" s="150" t="s">
        <v>37</v>
      </c>
      <c r="L706" s="151">
        <v>18</v>
      </c>
      <c r="M706" s="152">
        <v>1.45</v>
      </c>
      <c r="N706" s="503">
        <v>0</v>
      </c>
      <c r="O706" s="153">
        <f>IF(OR(AE706="",AE707=""),"",ROUND(IF(L708&gt;0,IF(M706&gt;0,M706,IF(M707&gt;0,ROUND((M707*AE706)/AE707,IF(N706=0,2,IF(N706=0.1,1,0))),ROUND((M708*AE706)/AE708,IF(N706=0,2,IF(N706=0.1,1,0))))),IF(M706&gt;0,M706,ROUND((M707*AE706)/AE707,IF(N706=0,2,IF(N706=0.1,1,0))))),2))</f>
        <v>1.45</v>
      </c>
      <c r="P706" s="154">
        <f>IF(OR(L706="",O706=""),"",IF($C706="1/2W",O706/2+O706/2*L706,IF($C706="1/2L",O706/2,IF(I706="Lay",(O706*(L706/(L706-1))-O706)*(1-_xlfn.XLOOKUP(K706,'Fevereiro 2023 - Valor Real'!A3:A15,'Fevereiro 2023 - Valor Real'!C3:C15,0))+O706,(O706*L706-O706)*(1-_xlfn.XLOOKUP(K706,'Fevereiro 2023 - Valor Real'!A3:A15,'Fevereiro 2023 - Valor Real'!C3:C15,0))+O706))))</f>
        <v>26.099999999999998</v>
      </c>
      <c r="Q706" s="155">
        <f>IF(K706="","",IF(_xlfn.XLOOKUP(K706,K$9:K698,$DJ$9:DJ698,0,,-1)=DJ706,_xlfn.XLOOKUP(K706,K$9:K698,Q$9:Q698,1,,-1)+1,1))</f>
        <v>1</v>
      </c>
      <c r="R706" s="156">
        <f>IF(K706="","",_xlfn.XLOOKUP(K706,K$9:K698,R$9:R698,0,,-1)+IF($C706=" ",1,0))</f>
        <v>0</v>
      </c>
      <c r="S706" s="501">
        <f>IF($B706="Anulado",0,ROUND(IF(OR($B706="LOSS",$B706="OK"),IF(OR($C706="W",$C706="1/2W",$C706="1/2L"),P706-O706,IF($C706="L",-O706,0))+IF(OR($C707="W",$C707="1/2W",$C707="1/2L"),P707-O707,IF($C707="L",-O707,0))+IF(OR($C708="W",$C708="1/2W",$C708="1/2L"),P708-O708,IF($C708="L",-O708,0)),IF(AND(OR($C706="W",$C706="1/2W",$C706="1/2L"),C707="W"),P706+P707-SUM(O706:O708)+_xlfn.XLOOKUP("X",C706:C708,O706:O708,0),IF(AND(C706=TRUE,C708="W"),P706+P708-SUM(O706:O708),IF(AND(C707="W",C708="W"),P707+P708-SUM(O706:O708)+_xlfn.XLOOKUP("X",C706:C708,O706:O708,0),IF(L708&gt;0,IF(OR($C706="W",$C706="1/2W",$C706="1/2L"),P706-SUM(O706:O708)+_xlfn.XLOOKUP("X",C706:C708,O706:O708,0),IF(OR($C706="W",$C706="1/2W",$C706="1/2L"),P707-SUM(O706:O708)+_xlfn.XLOOKUP("X",C706:C708,O706:O708,0),IF(OR($C706="W",$C706="1/2W",$C706="1/2L"),P708-SUM(O706:O708)+_xlfn.XLOOKUP("X",C706:C708,O706:O708,0),IF(SUM(P706:P708)/3-SUM(O706:O708)+_xlfn.XLOOKUP("X",C706:C708,O706:O708,0)&gt;0,SUM(P706:P708)/3-SUM(O706:O708)+_xlfn.XLOOKUP("X",C706:C708,O706:O708,0),LARGE(P706:P708,1)-SUM(O706:O708))))),IF(OR($C706="W",$C706="1/2W",$C706="1/2L"),P706-SUM(O706:O707)+_xlfn.XLOOKUP("X",C706:C708,O706:O708,0),IF(OR($C706="W",$C706="1/2W",$C706="1/2L"),P707-SUM(O706:O707)+_xlfn.XLOOKUP("X",C706:C708,O706:O708,0),SUM(P706:P707)/2-SUM(O706:O707)+_xlfn.XLOOKUP("X",C706:C708,O706:O708,0)))))))),2))</f>
        <v>4.72</v>
      </c>
      <c r="T706" s="486">
        <f>IF(S706=0,0,S706/SUM(O706:O708))</f>
        <v>0.20738137082601055</v>
      </c>
      <c r="U706" s="496">
        <f>IF($D706=$D703,IF(OR($B706="LOSS",$B706="OK",$B706="Anulada"),S706,0)+U703,IF(OR($B706="LOSS",$B706="OK",$B706="Anulada"),S706,0))</f>
        <v>4.72</v>
      </c>
      <c r="V706" s="496">
        <f>IF($D706="",0,IF($D706=$D703,IF($B706=" ",IF(I708="",IF(OR(AND(I706="DNB1",I707="DNB2"),AND(OR(I706="DNB1",I706="DNB2"),J707=0),AND(OR(I707="DNB1",I707="DNB2"),J706=0),AND(I706="DNB2",I707="DNB1"),AND(IF(J706=0,(J706+1)/ROUND(J706+1,0),J706/ROUND(J706,0))=1,IF(J707=0,(J707+1)/ROUND(IF(J707="",0,J707)+1,0),IF(J707="",0,J707)/ROUND(IF(J707="",1,J707),0))=1,OR(J706&lt;&gt;""),J707&lt;&gt;"")),0,IF(S706&lt;0,IF(I708="",SMALL(P706:P707,1)-SUM(O706:O707),0),SMALL(P706:P707,1)-SUM(O706:O707))),IF(S706&lt;0,IF(I708="",SMALL(P706:P708,1)-SUM(O706:O708),0),LARGE(P706:P708,1)-SUM(O706:O708))),S706)+V703,IF(I708="",IF(OR(AND(I706="DNB1",I707="DNB2"),AND(OR(I706="DNB1",I706="DNB2"),J707=0),AND(OR(I707="DNB1",I707="DNB2"),J706=0),AND(I706="DNB2",I707="DNB1"),AND(IF(J706=0,(J706+1)/ROUND(J706+1,0),J706/ROUND(J706,0))=1,IF(J707=0,(IF(J707="",0,J707)+1)/ROUND(IF(J707="",0,J707)+1,0),IF(J707="",0,J707)/ROUND(IF(J707="",0,J707)+1,0))=1,OR(J706&lt;&gt;""),J707&lt;&gt;"")),0,IF(S706&lt;0,IF(I708="",SMALL(P706:P707,1)-SUM(O706:O707),0),SMALL(P706:P708,1)-SUM(O706:O708))),IF(S706&lt;0,IF(I708="",SMALL(P706:P708,1)-SUM(O706:O708),0),LARGE(P706:P708,1)-SUM(O706:O708)))))</f>
        <v>4.7200000000000024</v>
      </c>
      <c r="W706" s="496">
        <f>IF($D706=$D703,IF(S706&lt;0,IF(I708="",S706,0),S706)+W703,S706)</f>
        <v>4.72</v>
      </c>
      <c r="X706" s="505" t="str">
        <f>IF(OR(SUM(R706:R708)=0,V706=W706),ROUND(IF(W706=0,0,W706/Y706)*100,2)&amp;"%",ROUND(IF(V706=0,0,V706/Y706)*100,2)&amp;"% a "&amp;ROUND(IF(W706=0,0,W706/Y706)*100,2)&amp;"%")</f>
        <v>20,74%</v>
      </c>
      <c r="Y706" s="497">
        <f>IF($D706=$D703,Y703+SUM(O706:O708),SUM(O706:O708))</f>
        <v>22.759999999999998</v>
      </c>
      <c r="Z706" s="496">
        <f>IF($B706=" ",SUM(O706:O708),0)+Z703</f>
        <v>0</v>
      </c>
      <c r="AA706" s="496">
        <f>IF(G706="","",IF($B706="Anulado",LARGE(P706:P708,1)-SUM(O706:O708)+AA703,AA703))</f>
        <v>13.381099999999991</v>
      </c>
      <c r="AB706" s="496">
        <f>IF($D706="","",AB703+S706)</f>
        <v>811.08000000000061</v>
      </c>
      <c r="AC706" s="499">
        <f ca="1">IF($D706="","",IF($B706=" ",IF(DAY(G706)=DAY(TODAY()),1+AC703,0+AC703),0+AC703))</f>
        <v>0</v>
      </c>
      <c r="AD706" s="157">
        <f>(1-_xlfn.XLOOKUP(K704,'Fevereiro 2023 - Valor Real'!A3:A15,'Fevereiro 2023 - Valor Real'!C3:C15,0))+1</f>
        <v>2</v>
      </c>
      <c r="AE706" s="158">
        <f>IF(L706="","",IF(L708&gt;0,(SUM(((L706-1)*(1-_xlfn.XLOOKUP(K706,'Fevereiro 2023 - Valor Real'!A3:A15,'Fevereiro 2023 - Valor Real'!C3:C15,0))+1),((L707-1)*(1-_xlfn.XLOOKUP(K707,'Fevereiro 2023 - Valor Real'!A3:A15,'Fevereiro 2023 - Valor Real'!C3:C15,0))+1),((L708-1)*(1-_xlfn.XLOOKUP(K708,'Fevereiro 2023 - Valor Real'!A3:A15,'Fevereiro 2023 - Valor Real'!C3:C15,0))+1))/((L706-1)*(1-_xlfn.XLOOKUP(K706,'Fevereiro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Real'!C3:C15,0))+1))/((L706-1)*(1-_xlfn.XLOOKUP(K706,'Fevereiro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Real'!C3:C15,0))+1))/((L707-1)*(1-_xlfn.XLOOKUP(K707,'Fevereiro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Real'!C3:C15,0))+1))/((L708-1)*(1-_xlfn.XLOOKUP(K708,'Fevereiro 2023 - Valor Real'!A3:A15,'Fevereiro 2023 - Valor Real'!C3:C15,0))+1)),IF(I706="Lay",IF(I707="Lay",((L707/(L707-1)-1)*(1-_xlfn.XLOOKUP(K707,'Fevereiro 2023 - Valor Real'!A3:A15,'Fevereiro 2023 - Valor Real'!C3:C15,0))+1)/(((L707/(L707-1)-1)*(1-_xlfn.XLOOKUP(K707,'Fevereiro 2023 - Valor Real'!A3:A15,'Fevereiro 2023 - Valor Real'!C3:C15,0))+1)+((L706/(L706-1)-1)*(1-_xlfn.XLOOKUP(K706,'Fevereiro 2023 - Valor Real'!A3:A15,'Fevereiro 2023 - Valor Real'!C3:C15,0))+1)),((L707-1)*(1-_xlfn.XLOOKUP(K707,'Fevereiro 2023 - Valor Real'!A3:A15,'Fevereiro 2023 - Valor Real'!C3:C15,0))+1)/(((L707-1)*(1-_xlfn.XLOOKUP(K707,'Fevereiro 2023 - Valor Real'!A3:A15,'Fevereiro 2023 - Valor Real'!C3:C15,0))+1)+((L706/(L706-1)-1)*(1-_xlfn.XLOOKUP(K706,'Fevereiro 2023 - Valor Real'!A3:A15,'Fevereiro 2023 - Valor Real'!C3:C15,0))+1))),IF(I707="Lay",(((L707/(L707-1)-1)*(1-_xlfn.XLOOKUP(K707,'Fevereiro 2023 - Valor Real'!A3:A15,'Fevereiro 2023 - Valor Real'!C3:C15,0))+1))/(((L706-1)*(1-_xlfn.XLOOKUP(K706,'Fevereiro 2023 - Valor Real'!A3:A15,'Fevereiro 2023 - Valor Real'!C3:C15,0))+1)+((L707/(L707-1)-1)*(1-_xlfn.XLOOKUP(K707,'Fevereiro 2023 - Valor Real'!A3:A15,'Fevereiro 2023 - Valor Real'!C3:C15,0))+1)),((L707-1)*(1-_xlfn.XLOOKUP(K707,'Fevereiro 2023 - Valor Real'!A3:A15,'Fevereiro 2023 - Valor Real'!C3:C15,0))+1)/(((L707-1)*(1-_xlfn.XLOOKUP(K707,'Fevereiro 2023 - Valor Real'!A3:A15,'Fevereiro 2023 - Valor Real'!C3:C15,0))+1)+((L706-1)*(1-_xlfn.XLOOKUP(K706,'Fevereiro 2023 - Valor Real'!A3:A15,'Fevereiro 2023 - Valor Real'!C3:C15,0))+1))))))</f>
        <v>6.6664725917731649E-2</v>
      </c>
      <c r="AF706" s="66">
        <f t="shared" si="1404"/>
        <v>0</v>
      </c>
      <c r="AG706" s="67">
        <f t="shared" si="1404"/>
        <v>-1.45</v>
      </c>
      <c r="AH706" s="67">
        <f t="shared" si="1404"/>
        <v>0</v>
      </c>
      <c r="AI706" s="67">
        <f t="shared" si="1404"/>
        <v>0</v>
      </c>
      <c r="AJ706" s="67">
        <f t="shared" si="1404"/>
        <v>0</v>
      </c>
      <c r="AK706" s="67">
        <f t="shared" si="1404"/>
        <v>0</v>
      </c>
      <c r="AL706" s="67">
        <f t="shared" si="1404"/>
        <v>0</v>
      </c>
      <c r="AM706" s="67">
        <f t="shared" si="1404"/>
        <v>0</v>
      </c>
      <c r="AN706" s="67">
        <f t="shared" si="1404"/>
        <v>0</v>
      </c>
      <c r="AO706" s="67">
        <f t="shared" si="1404"/>
        <v>0</v>
      </c>
      <c r="AP706" s="67">
        <f t="shared" si="1404"/>
        <v>0</v>
      </c>
      <c r="AQ706" s="67">
        <f t="shared" si="1404"/>
        <v>0</v>
      </c>
      <c r="AR706" s="68">
        <f t="shared" si="1404"/>
        <v>0</v>
      </c>
      <c r="AS706" s="66">
        <f t="shared" ref="AS706:BE706" si="1408">IF(AND($B706=" ",$K706=AS$3),$O706,0)</f>
        <v>0</v>
      </c>
      <c r="AT706" s="67">
        <f t="shared" si="1408"/>
        <v>0</v>
      </c>
      <c r="AU706" s="67">
        <f t="shared" si="1408"/>
        <v>0</v>
      </c>
      <c r="AV706" s="67">
        <f t="shared" si="1408"/>
        <v>0</v>
      </c>
      <c r="AW706" s="67">
        <f t="shared" si="1408"/>
        <v>0</v>
      </c>
      <c r="AX706" s="67">
        <f t="shared" si="1408"/>
        <v>0</v>
      </c>
      <c r="AY706" s="69">
        <f t="shared" si="1408"/>
        <v>0</v>
      </c>
      <c r="AZ706" s="70">
        <f t="shared" si="1408"/>
        <v>0</v>
      </c>
      <c r="BA706" s="70">
        <f t="shared" si="1408"/>
        <v>0</v>
      </c>
      <c r="BB706" s="70">
        <f t="shared" si="1408"/>
        <v>0</v>
      </c>
      <c r="BC706" s="71">
        <f t="shared" si="1408"/>
        <v>0</v>
      </c>
      <c r="BD706" s="67">
        <f t="shared" si="1408"/>
        <v>0</v>
      </c>
      <c r="BE706" s="68">
        <f t="shared" si="1408"/>
        <v>0</v>
      </c>
      <c r="BF706" s="66">
        <f t="shared" si="1406"/>
        <v>0</v>
      </c>
      <c r="BG706" s="67">
        <f t="shared" si="1406"/>
        <v>1.45</v>
      </c>
      <c r="BH706" s="67">
        <f t="shared" si="1406"/>
        <v>0</v>
      </c>
      <c r="BI706" s="67">
        <f t="shared" si="1406"/>
        <v>0</v>
      </c>
      <c r="BJ706" s="67">
        <f t="shared" si="1406"/>
        <v>0</v>
      </c>
      <c r="BK706" s="67">
        <f t="shared" si="1406"/>
        <v>0</v>
      </c>
      <c r="BL706" s="67">
        <f t="shared" si="1406"/>
        <v>0</v>
      </c>
      <c r="BM706" s="69">
        <f t="shared" si="1406"/>
        <v>0</v>
      </c>
      <c r="BN706" s="70">
        <f t="shared" si="1406"/>
        <v>0</v>
      </c>
      <c r="BO706" s="70">
        <f t="shared" si="1406"/>
        <v>0</v>
      </c>
      <c r="BP706" s="70">
        <f t="shared" si="1406"/>
        <v>0</v>
      </c>
      <c r="BQ706" s="71">
        <f t="shared" si="1406"/>
        <v>0</v>
      </c>
      <c r="BR706" s="68">
        <f t="shared" si="1406"/>
        <v>0</v>
      </c>
      <c r="BS706" s="490">
        <f>IF($B706="LOSS",IF(AND($K706=BS$3,$C706="L"),-$O706,0)+IF(AND($K707=BS$3,$C707="L"),-$O707,0)+IF(AND($K708=BS$3,$C708="L"),-$O708,0),IF(OR(AND($K706=BS$3,OR($C706="W",$C706="1/2W")),AND($K707=BS$3,OR($C707="W",$C707="1/2W")),AND($K708=BS$3,OR($C708="W",$C708="1/2W"))),$S706,0))</f>
        <v>0</v>
      </c>
      <c r="BT706" s="498">
        <f>IF($B706="LOSS",IF(AND($K706=BT$3,$C706="L"),-$O706,0)+IF(AND($K707=BT$3,$C707="L"),-$O707,0)+IF(AND($K707=BT$3,$C708="L"),-$O708,0),IF(OR(AND($K707=BT$3,OR($C706="W",$C706="1/2W")),AND($K707=BT$3,OR($C707="W",$C707="1/2W")),AND($K707=BT$3,OR($C708="W",$C708="1/2W"))),$S706,0))</f>
        <v>4.72</v>
      </c>
      <c r="BU706" s="488">
        <f>IF($B706="LOSS",IF(AND($K706=BU$3,$C706="L"),-$O706,0)+IF(AND($K707=BU$3,$C707="L"),-$O707,0)+IF(AND($K707=BU$3,$C708="L"),-$O708,0),IF(OR(AND($K707=BU$3,OR($C706="W",$C706="1/2W")),AND($K707=BU$3,OR($C707="W",$C707="1/2W")),AND($K707=BU$3,OR($C708="W",$C708="1/2W"))),$S706,0))</f>
        <v>0</v>
      </c>
      <c r="BV706" s="488">
        <f t="shared" ref="BV706:CE706" si="1409">IF($B706="LOSS",IF(AND($K706=BV$3,$C706="L"),-$O706,0)+IF(AND($K707=BV$3,$C707="L"),-$O707,0)+IF(AND($K708=BV$3,$C708="L"),-$O708,0),IF(OR(AND($K706=BV$3,OR($C706="W",$C706="1/2W")),AND($K707=BV$3,OR($C707="W",$C707="1/2W")),AND($K708=BV$3,OR($C708="W",$C708="1/2W"))),$S706,0))</f>
        <v>0</v>
      </c>
      <c r="BW706" s="488">
        <f t="shared" si="1409"/>
        <v>0</v>
      </c>
      <c r="BX706" s="488">
        <f t="shared" si="1409"/>
        <v>0</v>
      </c>
      <c r="BY706" s="488">
        <f t="shared" si="1409"/>
        <v>0</v>
      </c>
      <c r="BZ706" s="488">
        <f t="shared" si="1409"/>
        <v>0</v>
      </c>
      <c r="CA706" s="488">
        <f t="shared" si="1409"/>
        <v>0</v>
      </c>
      <c r="CB706" s="488">
        <f t="shared" si="1409"/>
        <v>0</v>
      </c>
      <c r="CC706" s="488">
        <f t="shared" si="1409"/>
        <v>0</v>
      </c>
      <c r="CD706" s="500">
        <f t="shared" si="1409"/>
        <v>0</v>
      </c>
      <c r="CE706" s="504">
        <f t="shared" si="1409"/>
        <v>0</v>
      </c>
      <c r="CF706" s="160">
        <f t="shared" si="1285"/>
        <v>0</v>
      </c>
      <c r="CG706" s="161">
        <f t="shared" si="1286"/>
        <v>0</v>
      </c>
      <c r="CH706" s="161">
        <f t="shared" si="1287"/>
        <v>0</v>
      </c>
      <c r="CI706" s="161">
        <f t="shared" si="1288"/>
        <v>1</v>
      </c>
      <c r="CJ706" s="161">
        <f t="shared" si="1289"/>
        <v>0</v>
      </c>
      <c r="CK706" s="161">
        <f t="shared" si="1290"/>
        <v>0</v>
      </c>
      <c r="CL706" s="161">
        <f t="shared" si="1291"/>
        <v>0</v>
      </c>
      <c r="CM706" s="161">
        <f t="shared" si="1292"/>
        <v>0</v>
      </c>
      <c r="CN706" s="161">
        <f t="shared" si="1293"/>
        <v>0</v>
      </c>
      <c r="CO706" s="161">
        <f t="shared" si="1294"/>
        <v>0</v>
      </c>
      <c r="CP706" s="161">
        <f t="shared" si="1295"/>
        <v>0</v>
      </c>
      <c r="CQ706" s="161">
        <f t="shared" si="1296"/>
        <v>0</v>
      </c>
      <c r="CR706" s="161">
        <f t="shared" si="1297"/>
        <v>0</v>
      </c>
      <c r="CS706" s="161">
        <f t="shared" si="1298"/>
        <v>0</v>
      </c>
      <c r="CT706" s="75">
        <f t="shared" si="1299"/>
        <v>0</v>
      </c>
      <c r="CU706" s="76">
        <f t="shared" si="1300"/>
        <v>0</v>
      </c>
      <c r="CV706" s="76">
        <f t="shared" si="1301"/>
        <v>0</v>
      </c>
      <c r="CW706" s="76">
        <f t="shared" si="1302"/>
        <v>0</v>
      </c>
      <c r="CX706" s="76">
        <f t="shared" si="1303"/>
        <v>0</v>
      </c>
      <c r="CY706" s="76">
        <f t="shared" si="1304"/>
        <v>0</v>
      </c>
      <c r="CZ706" s="76">
        <f t="shared" si="1305"/>
        <v>0</v>
      </c>
      <c r="DA706" s="76">
        <f t="shared" si="1306"/>
        <v>0</v>
      </c>
      <c r="DB706" s="76">
        <f t="shared" si="1307"/>
        <v>0</v>
      </c>
      <c r="DC706" s="76">
        <f t="shared" si="1308"/>
        <v>0</v>
      </c>
      <c r="DD706" s="76">
        <f t="shared" si="1309"/>
        <v>0</v>
      </c>
      <c r="DE706" s="77">
        <f t="shared" si="1310"/>
        <v>0</v>
      </c>
      <c r="DF706" s="73">
        <f t="shared" si="1312"/>
        <v>42</v>
      </c>
      <c r="DG706" s="67">
        <f t="shared" si="1313"/>
        <v>55.767999999999994</v>
      </c>
      <c r="DH706" s="76">
        <f t="shared" si="1314"/>
        <v>16</v>
      </c>
      <c r="DI706" s="67">
        <f t="shared" si="1315"/>
        <v>68.699999999999989</v>
      </c>
      <c r="DJ706" s="202" t="str">
        <f>IF($D706="","",$D706)</f>
        <v>23</v>
      </c>
      <c r="DK706" s="492">
        <f>IF(AND($B706=" ",$D706&lt;&gt;""),1,0)</f>
        <v>0</v>
      </c>
    </row>
    <row r="707" spans="1:115" ht="14.5" customHeight="1" x14ac:dyDescent="0.2">
      <c r="A707" s="389"/>
      <c r="B707" s="456"/>
      <c r="C707" s="53" t="s">
        <v>55</v>
      </c>
      <c r="D707" s="374"/>
      <c r="E707" s="386"/>
      <c r="F707" s="377"/>
      <c r="G707" s="508"/>
      <c r="H707" s="476"/>
      <c r="I707" s="182" t="s">
        <v>49</v>
      </c>
      <c r="J707" s="163" t="str">
        <f>IF(OR(I706="TO",I706="TU",I706="TO1",I706="TU1",I706="TO2",I706="TU2"),J706,IF(OR(I706="AH1",I706="AH2"),IF(OR(I707="AH1",I707="AH2"),-J706,IF(OR(I707="EH1",I707="EH2"),-J706+0.5,"")),IF(OR(I706="EH1",I706="EH2"),IF(OR(I707="AH1",I707="AH2"),-J706+0.5,IF(OR(I707="EH1",I707="EH2"),-J706+1,"")),IF(AND(OR(I706="DNB1",I706="DNB2"),OR(I707="AH1",I707="AH2")),0,IF(AND(I706="Not ScoreBoth",OR(I707="TO1",I707="TO2")),0.5,"")))))</f>
        <v/>
      </c>
      <c r="K707" s="57" t="s">
        <v>37</v>
      </c>
      <c r="L707" s="164">
        <v>20</v>
      </c>
      <c r="M707" s="165">
        <v>1.31</v>
      </c>
      <c r="N707" s="406"/>
      <c r="O707" s="60">
        <f>IF(OR(AE706="",AE707=""),"",ROUND(IF(L708&gt;0,IF(M707&gt;0,M707,IF(M706&gt;0,IF(N706=TRUE,ROUND((M706*AE707)/AE706,0),(M706*AE707)/AE706),IF(M707&gt;0,ROUND(M707,IF(N706=0,2,IF(N706=0.1,1,0))),IF(M708&gt;0,ROUND(O708*AE707/AE708,IF(N706=0,2,IF(N706=0.1,1,0))),0)))),IF(M707&gt;0,M707,ROUND((M706*AE707)/AE706,IF(N706=0,2,IF(N706=0.1,1,0))))),2))</f>
        <v>1.31</v>
      </c>
      <c r="P707" s="61">
        <f>IF(OR(L707="",O707=""),"",IF($C707="1/2W",O707/2+O707/2*L707,IF($C707="1/2L",O707/2,IF(I707="Lay",((O707*(L707/(L707-1)))-O707)*(1-_xlfn.XLOOKUP(K707,'Fevereiro 2023 - Valor Real'!A3:A15,'Fevereiro 2023 - Valor Real'!C3:C15,0))+O707,(O707*L707-O707)*(1-_xlfn.XLOOKUP(K707,'Fevereiro 2023 - Valor Real'!A3:A15,'Fevereiro 2023 - Valor Real'!C3:C15,0))+O707))))</f>
        <v>26.200000000000003</v>
      </c>
      <c r="Q707" s="166">
        <f>IF(K707="","",IF(_xlfn.XLOOKUP(K707,K$10:K698,$DJ$10:DJ698,0,,-1)=DJ707,_xlfn.XLOOKUP(K707,K$10:K698,Q$10:Q698,1,,-1)+1,1))</f>
        <v>1</v>
      </c>
      <c r="R707" s="167">
        <f>IF(K707="","",_xlfn.XLOOKUP(K707,K$10:K698,R$10:R698,0,,-1)+IF($C707=" ",1,0))</f>
        <v>0</v>
      </c>
      <c r="S707" s="403"/>
      <c r="T707" s="380"/>
      <c r="U707" s="380"/>
      <c r="V707" s="481"/>
      <c r="W707" s="380"/>
      <c r="X707" s="452"/>
      <c r="Y707" s="383"/>
      <c r="Z707" s="384"/>
      <c r="AA707" s="384"/>
      <c r="AB707" s="384"/>
      <c r="AC707" s="384"/>
      <c r="AD707" s="64"/>
      <c r="AE707" s="65">
        <f>IF(L707="","",IF(L708&gt;0,(SUM(((L706-1)*(1-_xlfn.XLOOKUP(K706,'Fevereiro 2023 - Valor Real'!A3:A15,'Fevereiro 2023 - Valor Real'!C3:C15,0))+1),((L707-1)*(1-_xlfn.XLOOKUP(K707,'Fevereiro 2023 - Valor Real'!A3:A15,'Fevereiro 2023 - Valor Real'!C3:C15,0))+1),((L708-1)*(1-_xlfn.XLOOKUP(K708,'Fevereiro 2023 - Valor Real'!A3:A15,'Fevereiro 2023 - Valor Real'!C3:C15,0))+1))/((L707-1)*(1-_xlfn.XLOOKUP(K707,'Fevereiro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Real'!C3:C15,0))+1))/((L706-1)*(1-_xlfn.XLOOKUP(K706,'Fevereiro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Real'!C3:C15,0))+1))/((L707-1)*(1-_xlfn.XLOOKUP(K707,'Fevereiro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Real'!C3:C15,0))+1))/((L708-1)*(1-_xlfn.XLOOKUP(K708,'Fevereiro 2023 - Valor Real'!A3:A15,'Fevereiro 2023 - Valor Real'!C3:C15,0))+1)),IF(I707="Lay",IF(I706="Lay",((L706/(L706-1)-1)*(1-_xlfn.XLOOKUP(K706,'Fevereiro 2023 - Valor Real'!A3:A15,'Fevereiro 2023 - Valor Real'!C3:C15,0))+1)/(((L706/(L706-1)-1)*(1-_xlfn.XLOOKUP(K706,'Fevereiro 2023 - Valor Real'!A3:A15,'Fevereiro 2023 - Valor Real'!C3:C15,0))+1)+((L707/(L707-1)-1)*(1-_xlfn.XLOOKUP(K707,'Fevereiro 2023 - Valor Real'!A3:A15,'Fevereiro 2023 - Valor Real'!C3:C15,0))+1)),((L706-1)*(1-_xlfn.XLOOKUP(K706,'Fevereiro 2023 - Valor Real'!A3:A15,'Fevereiro 2023 - Valor Real'!C3:C15,0))+1)/(((L706-1)*(1-_xlfn.XLOOKUP(K706,'Fevereiro 2023 - Valor Real'!A3:A15,'Fevereiro 2023 - Valor Real'!C3:C15,0))+1)+((L707/(L707-1)-1)*(1-_xlfn.XLOOKUP(K707,'Fevereiro 2023 - Valor Real'!A3:A15,'Fevereiro 2023 - Valor Real'!C3:C15,0))+1))),IF(I706="Lay",((L706/(L706-1)-1)*(1-_xlfn.XLOOKUP(K706,'Fevereiro 2023 - Valor Real'!A3:A15,'Fevereiro 2023 - Valor Real'!C3:C15,0))+1)/((((L706/(L706-1)-1)*(1-_xlfn.XLOOKUP(K706,'Fevereiro 2023 - Valor Real'!A3:A15,'Fevereiro 2023 - Valor Real'!C3:C15,0))+1))+((L707-1)*(1-_xlfn.XLOOKUP(K707,'Fevereiro 2023 - Valor Real'!A3:A15,'Fevereiro 2023 - Valor Real'!C3:C15,0))+1)),((L706-1)*(1-_xlfn.XLOOKUP(K706,'Fevereiro 2023 - Valor Real'!A3:A15,'Fevereiro 2023 - Valor Real'!C3:C15,0))+1)/(((L706-1)*(1-_xlfn.XLOOKUP(K706,'Fevereiro 2023 - Valor Real'!A3:A15,'Fevereiro 2023 - Valor Real'!C3:C15,0))+1)+((L707-1)*(1-_xlfn.XLOOKUP(K707,'Fevereiro 2023 - Valor Real'!A3:A15,'Fevereiro 2023 - Valor Real'!C3:C15,0))+1))))))</f>
        <v>5.9998253325958484E-2</v>
      </c>
      <c r="AF707" s="66">
        <f t="shared" si="1404"/>
        <v>0</v>
      </c>
      <c r="AG707" s="67">
        <f t="shared" si="1404"/>
        <v>-1.31</v>
      </c>
      <c r="AH707" s="67">
        <f t="shared" si="1404"/>
        <v>0</v>
      </c>
      <c r="AI707" s="67">
        <f t="shared" si="1404"/>
        <v>0</v>
      </c>
      <c r="AJ707" s="67">
        <f t="shared" si="1404"/>
        <v>0</v>
      </c>
      <c r="AK707" s="67">
        <f t="shared" si="1404"/>
        <v>0</v>
      </c>
      <c r="AL707" s="67">
        <f t="shared" si="1404"/>
        <v>0</v>
      </c>
      <c r="AM707" s="67">
        <f t="shared" si="1404"/>
        <v>0</v>
      </c>
      <c r="AN707" s="67">
        <f t="shared" si="1404"/>
        <v>0</v>
      </c>
      <c r="AO707" s="67">
        <f t="shared" si="1404"/>
        <v>0</v>
      </c>
      <c r="AP707" s="67">
        <f t="shared" si="1404"/>
        <v>0</v>
      </c>
      <c r="AQ707" s="67">
        <f t="shared" si="1404"/>
        <v>0</v>
      </c>
      <c r="AR707" s="68">
        <f t="shared" si="1404"/>
        <v>0</v>
      </c>
      <c r="AS707" s="66">
        <f>IF(AND($B706=" ",$K707=AS$3),$O707,0)</f>
        <v>0</v>
      </c>
      <c r="AT707" s="67">
        <f>IF(AND($B706=" ",K707=AT$3),$O707,0)</f>
        <v>0</v>
      </c>
      <c r="AU707" s="67">
        <f t="shared" ref="AU707:BE707" si="1410">IF(AND($B706=" ",$K707=AU$3),$O707,0)</f>
        <v>0</v>
      </c>
      <c r="AV707" s="67">
        <f t="shared" si="1410"/>
        <v>0</v>
      </c>
      <c r="AW707" s="67">
        <f t="shared" si="1410"/>
        <v>0</v>
      </c>
      <c r="AX707" s="67">
        <f t="shared" si="1410"/>
        <v>0</v>
      </c>
      <c r="AY707" s="69">
        <f t="shared" si="1410"/>
        <v>0</v>
      </c>
      <c r="AZ707" s="70">
        <f t="shared" si="1410"/>
        <v>0</v>
      </c>
      <c r="BA707" s="70">
        <f t="shared" si="1410"/>
        <v>0</v>
      </c>
      <c r="BB707" s="70">
        <f t="shared" si="1410"/>
        <v>0</v>
      </c>
      <c r="BC707" s="71">
        <f t="shared" si="1410"/>
        <v>0</v>
      </c>
      <c r="BD707" s="67">
        <f t="shared" si="1410"/>
        <v>0</v>
      </c>
      <c r="BE707" s="68">
        <f t="shared" si="1410"/>
        <v>0</v>
      </c>
      <c r="BF707" s="66">
        <f t="shared" si="1406"/>
        <v>0</v>
      </c>
      <c r="BG707" s="168">
        <f t="shared" si="1406"/>
        <v>1.31</v>
      </c>
      <c r="BH707" s="67">
        <f t="shared" si="1406"/>
        <v>0</v>
      </c>
      <c r="BI707" s="67">
        <f t="shared" si="1406"/>
        <v>0</v>
      </c>
      <c r="BJ707" s="67">
        <f t="shared" si="1406"/>
        <v>0</v>
      </c>
      <c r="BK707" s="67">
        <f t="shared" si="1406"/>
        <v>0</v>
      </c>
      <c r="BL707" s="67">
        <f t="shared" si="1406"/>
        <v>0</v>
      </c>
      <c r="BM707" s="69">
        <f t="shared" si="1406"/>
        <v>0</v>
      </c>
      <c r="BN707" s="70">
        <f t="shared" si="1406"/>
        <v>0</v>
      </c>
      <c r="BO707" s="70">
        <f t="shared" si="1406"/>
        <v>0</v>
      </c>
      <c r="BP707" s="70">
        <f t="shared" si="1406"/>
        <v>0</v>
      </c>
      <c r="BQ707" s="71">
        <f t="shared" si="1406"/>
        <v>0</v>
      </c>
      <c r="BR707" s="68">
        <f t="shared" si="1406"/>
        <v>0</v>
      </c>
      <c r="BS707" s="491"/>
      <c r="BT707" s="489"/>
      <c r="BU707" s="392"/>
      <c r="BV707" s="489"/>
      <c r="BW707" s="392"/>
      <c r="BX707" s="392"/>
      <c r="BY707" s="392"/>
      <c r="BZ707" s="489"/>
      <c r="CA707" s="392"/>
      <c r="CB707" s="392"/>
      <c r="CC707" s="392"/>
      <c r="CD707" s="401"/>
      <c r="CE707" s="409"/>
      <c r="CF707" s="169">
        <f t="shared" si="1285"/>
        <v>0</v>
      </c>
      <c r="CG707" s="170">
        <f t="shared" si="1286"/>
        <v>0</v>
      </c>
      <c r="CH707" s="170">
        <f t="shared" si="1287"/>
        <v>0</v>
      </c>
      <c r="CI707" s="170">
        <f t="shared" si="1288"/>
        <v>1</v>
      </c>
      <c r="CJ707" s="170">
        <f t="shared" si="1289"/>
        <v>0</v>
      </c>
      <c r="CK707" s="170">
        <f t="shared" si="1290"/>
        <v>0</v>
      </c>
      <c r="CL707" s="170">
        <f t="shared" si="1291"/>
        <v>0</v>
      </c>
      <c r="CM707" s="170">
        <f t="shared" si="1292"/>
        <v>0</v>
      </c>
      <c r="CN707" s="170">
        <f t="shared" si="1293"/>
        <v>0</v>
      </c>
      <c r="CO707" s="170">
        <f t="shared" si="1294"/>
        <v>0</v>
      </c>
      <c r="CP707" s="170">
        <f t="shared" si="1295"/>
        <v>0</v>
      </c>
      <c r="CQ707" s="170">
        <f t="shared" si="1296"/>
        <v>0</v>
      </c>
      <c r="CR707" s="170">
        <f t="shared" si="1297"/>
        <v>0</v>
      </c>
      <c r="CS707" s="170">
        <f t="shared" si="1298"/>
        <v>0</v>
      </c>
      <c r="CT707" s="75">
        <f t="shared" si="1299"/>
        <v>0</v>
      </c>
      <c r="CU707" s="76">
        <f t="shared" si="1300"/>
        <v>0</v>
      </c>
      <c r="CV707" s="76">
        <f t="shared" si="1301"/>
        <v>0</v>
      </c>
      <c r="CW707" s="76">
        <f t="shared" si="1302"/>
        <v>0</v>
      </c>
      <c r="CX707" s="76">
        <f t="shared" si="1303"/>
        <v>0</v>
      </c>
      <c r="CY707" s="76">
        <f t="shared" si="1304"/>
        <v>0</v>
      </c>
      <c r="CZ707" s="76">
        <f t="shared" si="1305"/>
        <v>0</v>
      </c>
      <c r="DA707" s="76">
        <f t="shared" si="1306"/>
        <v>0</v>
      </c>
      <c r="DB707" s="76">
        <f t="shared" si="1307"/>
        <v>0</v>
      </c>
      <c r="DC707" s="76">
        <f t="shared" si="1308"/>
        <v>0</v>
      </c>
      <c r="DD707" s="76">
        <f t="shared" si="1309"/>
        <v>0</v>
      </c>
      <c r="DE707" s="77">
        <f t="shared" si="1310"/>
        <v>0</v>
      </c>
      <c r="DF707" s="73">
        <f t="shared" si="1312"/>
        <v>42</v>
      </c>
      <c r="DG707" s="67">
        <f t="shared" si="1313"/>
        <v>55.767999999999994</v>
      </c>
      <c r="DH707" s="76">
        <f t="shared" si="1314"/>
        <v>16</v>
      </c>
      <c r="DI707" s="67">
        <f t="shared" si="1315"/>
        <v>68.699999999999989</v>
      </c>
      <c r="DJ707" s="202" t="str">
        <f>IF($D706="","",$D706)</f>
        <v>23</v>
      </c>
      <c r="DK707" s="493"/>
    </row>
    <row r="708" spans="1:115" ht="14.5" customHeight="1" x14ac:dyDescent="0.2">
      <c r="A708" s="390"/>
      <c r="B708" s="457"/>
      <c r="C708" s="79" t="s">
        <v>54</v>
      </c>
      <c r="D708" s="375"/>
      <c r="E708" s="387"/>
      <c r="F708" s="378"/>
      <c r="G708" s="508"/>
      <c r="H708" s="477"/>
      <c r="I708" s="191">
        <v>1</v>
      </c>
      <c r="J708" s="172"/>
      <c r="K708" s="185" t="s">
        <v>38</v>
      </c>
      <c r="L708" s="186">
        <v>1.4</v>
      </c>
      <c r="M708" s="174">
        <v>20</v>
      </c>
      <c r="N708" s="407"/>
      <c r="O708" s="187">
        <f>IF(OR(AE706="",AE707=""),"",IF(L708&gt;0,ROUND(IF(M708&gt;0,M708,IF(M706&gt;0,ROUND((M706*AE708)/AE706,IF(N706=0,2,IF(N706=0.1,1,0))),IF(M707&gt;0,ROUND((M707*AE708)/AE707,IF(N706=0,2,IF(N706=0.1,1,0))),IF(M708&gt;0,M708,0)))),2),""))</f>
        <v>20</v>
      </c>
      <c r="P708" s="188">
        <f>IF(I707="Lay",O707*(L707/(L707-1))-O707,IF(I706="Lay",O706*(L706/(L706-1))-O706,IF(OR(L708="",O708=""),"",IF($C708="1/2W",O708/2+O708/2*L708,IF($C708="1/2L",O708/2,(O708*L708-O708)*(1-_xlfn.XLOOKUP(K708,'Fevereiro 2023 - Valor Real'!A3:A15,'Fevereiro 2023 - Valor Real'!C3:C15,0))+O708)))))</f>
        <v>27.48</v>
      </c>
      <c r="Q708" s="166">
        <f>IF(K708="","",IF(_xlfn.XLOOKUP(K708,K$11:K698,$DJ$11:DJ698,0,,-1)=DJ708,_xlfn.XLOOKUP(K708,K$11:K698,Q$11:Q698,1,,-1)+1,1))</f>
        <v>1</v>
      </c>
      <c r="R708" s="189">
        <f>IF(K708="","",_xlfn.XLOOKUP(K708,K$11:K698,R$11:R698,0,,-1)+IF($C708=" ",1,0))</f>
        <v>0</v>
      </c>
      <c r="S708" s="404"/>
      <c r="T708" s="378"/>
      <c r="U708" s="378"/>
      <c r="V708" s="404"/>
      <c r="W708" s="378"/>
      <c r="X708" s="453"/>
      <c r="Y708" s="383"/>
      <c r="Z708" s="384"/>
      <c r="AA708" s="384"/>
      <c r="AB708" s="384"/>
      <c r="AC708" s="384"/>
      <c r="AD708" s="90"/>
      <c r="AE708" s="190">
        <f>IF(L708="","",(SUM(((L706-1)*(1-_xlfn.XLOOKUP(K706,'Fevereiro 2023 - Valor Real'!A3:A15,'Fevereiro 2023 - Valor Real'!C3:C15,0))+1),((L707-1)*(1-_xlfn.XLOOKUP(K707,'Fevereiro 2023 - Valor Real'!A3:A15,'Fevereiro 2023 - Valor Real'!C3:C15,0))+1),((L708-1)*(1-_xlfn.XLOOKUP(K708,'Fevereiro 2023 - Valor Real'!A3:A15,'Fevereiro 2023 - Valor Real'!C3:C15,0))+1))/((L708-1)*(1-_xlfn.XLOOKUP(K708,'Fevereiro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Real'!C3:C15,0))+1))/((L706-1)*(1-_xlfn.XLOOKUP(K706,'Fevereiro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Real'!C3:C15,0))+1))/((L707-1)*(1-_xlfn.XLOOKUP(K707,'Fevereiro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Real'!C3:C15,0))+1))/((L708-1)*(1-_xlfn.XLOOKUP(K708,'Fevereiro 2023 - Valor Real'!A3:A15,'Fevereiro 2023 - Valor Real'!C3:C15,0))+1)))</f>
        <v>0.87333702075630992</v>
      </c>
      <c r="AF708" s="66">
        <f t="shared" si="1404"/>
        <v>0</v>
      </c>
      <c r="AG708" s="67">
        <f t="shared" si="1404"/>
        <v>0</v>
      </c>
      <c r="AH708" s="67">
        <f t="shared" si="1404"/>
        <v>7.48</v>
      </c>
      <c r="AI708" s="67">
        <f t="shared" si="1404"/>
        <v>0</v>
      </c>
      <c r="AJ708" s="67">
        <f t="shared" si="1404"/>
        <v>0</v>
      </c>
      <c r="AK708" s="67">
        <f t="shared" si="1404"/>
        <v>0</v>
      </c>
      <c r="AL708" s="67">
        <f t="shared" si="1404"/>
        <v>0</v>
      </c>
      <c r="AM708" s="67">
        <f t="shared" si="1404"/>
        <v>0</v>
      </c>
      <c r="AN708" s="67">
        <f t="shared" si="1404"/>
        <v>0</v>
      </c>
      <c r="AO708" s="67">
        <f t="shared" si="1404"/>
        <v>0</v>
      </c>
      <c r="AP708" s="67">
        <f t="shared" si="1404"/>
        <v>0</v>
      </c>
      <c r="AQ708" s="67">
        <f t="shared" si="1404"/>
        <v>0</v>
      </c>
      <c r="AR708" s="68">
        <f t="shared" si="1404"/>
        <v>0</v>
      </c>
      <c r="AS708" s="66">
        <f>IF(AND($B706=" ",$K708=AS$3),$O708,0)</f>
        <v>0</v>
      </c>
      <c r="AT708" s="67">
        <f>IF(AND($B706=" ",K708=AT$3),$O708,0)</f>
        <v>0</v>
      </c>
      <c r="AU708" s="67">
        <f t="shared" ref="AU708:BE708" si="1411">IF(AND($B706=" ",$K708=AU$3),$O708,0)</f>
        <v>0</v>
      </c>
      <c r="AV708" s="67">
        <f t="shared" si="1411"/>
        <v>0</v>
      </c>
      <c r="AW708" s="67">
        <f t="shared" si="1411"/>
        <v>0</v>
      </c>
      <c r="AX708" s="67">
        <f t="shared" si="1411"/>
        <v>0</v>
      </c>
      <c r="AY708" s="69">
        <f t="shared" si="1411"/>
        <v>0</v>
      </c>
      <c r="AZ708" s="70">
        <f t="shared" si="1411"/>
        <v>0</v>
      </c>
      <c r="BA708" s="70">
        <f t="shared" si="1411"/>
        <v>0</v>
      </c>
      <c r="BB708" s="70">
        <f t="shared" si="1411"/>
        <v>0</v>
      </c>
      <c r="BC708" s="71">
        <f t="shared" si="1411"/>
        <v>0</v>
      </c>
      <c r="BD708" s="67">
        <f t="shared" si="1411"/>
        <v>0</v>
      </c>
      <c r="BE708" s="68">
        <f t="shared" si="1411"/>
        <v>0</v>
      </c>
      <c r="BF708" s="66">
        <f t="shared" si="1406"/>
        <v>0</v>
      </c>
      <c r="BG708" s="168">
        <f t="shared" si="1406"/>
        <v>0</v>
      </c>
      <c r="BH708" s="67">
        <f t="shared" si="1406"/>
        <v>20</v>
      </c>
      <c r="BI708" s="67">
        <f t="shared" si="1406"/>
        <v>0</v>
      </c>
      <c r="BJ708" s="67">
        <f t="shared" si="1406"/>
        <v>0</v>
      </c>
      <c r="BK708" s="67">
        <f t="shared" si="1406"/>
        <v>0</v>
      </c>
      <c r="BL708" s="67">
        <f t="shared" si="1406"/>
        <v>0</v>
      </c>
      <c r="BM708" s="69">
        <f t="shared" si="1406"/>
        <v>0</v>
      </c>
      <c r="BN708" s="70">
        <f t="shared" si="1406"/>
        <v>0</v>
      </c>
      <c r="BO708" s="70">
        <f t="shared" si="1406"/>
        <v>0</v>
      </c>
      <c r="BP708" s="70">
        <f t="shared" si="1406"/>
        <v>0</v>
      </c>
      <c r="BQ708" s="71">
        <f t="shared" si="1406"/>
        <v>0</v>
      </c>
      <c r="BR708" s="68">
        <f t="shared" si="1406"/>
        <v>0</v>
      </c>
      <c r="BS708" s="491"/>
      <c r="BT708" s="489"/>
      <c r="BU708" s="392"/>
      <c r="BV708" s="489"/>
      <c r="BW708" s="392"/>
      <c r="BX708" s="392"/>
      <c r="BY708" s="392"/>
      <c r="BZ708" s="489"/>
      <c r="CA708" s="392"/>
      <c r="CB708" s="392"/>
      <c r="CC708" s="392"/>
      <c r="CD708" s="401"/>
      <c r="CE708" s="409"/>
      <c r="CF708" s="169">
        <f t="shared" ref="CF708:CF771" si="1412">IF(CF$3=$K708,IF($C708="W",1,IF($C708="1/2W",0.5,0)),0)</f>
        <v>0</v>
      </c>
      <c r="CG708" s="170">
        <f t="shared" ref="CG708:CG771" si="1413">IF(CF$3=$K708,IF($C708="L",1,IF($C708="1/2L",0.5,0)),0)</f>
        <v>0</v>
      </c>
      <c r="CH708" s="170">
        <f t="shared" ref="CH708:CH771" si="1414">IF(CH$3=$K708,IF($C708="W",1,IF($C708="1/2W",0.5,0)),0)</f>
        <v>0</v>
      </c>
      <c r="CI708" s="170">
        <f t="shared" ref="CI708:CI771" si="1415">IF(CH$3=$K708,IF($C708="L",1,IF($C708="1/2L",0.5,0)),0)</f>
        <v>0</v>
      </c>
      <c r="CJ708" s="170">
        <f t="shared" ref="CJ708:CJ771" si="1416">IF(CJ$3=$K708,IF($C708="W",1,IF($C708="1/2W",0.5,0)),0)</f>
        <v>1</v>
      </c>
      <c r="CK708" s="170">
        <f t="shared" ref="CK708:CK771" si="1417">IF(CJ$3=$K708,IF($C708="L",1,IF($C708="1/2L",0.5,0)),0)</f>
        <v>0</v>
      </c>
      <c r="CL708" s="170">
        <f t="shared" ref="CL708:CL771" si="1418">IF(CL$3=$K708,IF($C708="W",1,IF($C708="1/2W",0.5,0)),0)</f>
        <v>0</v>
      </c>
      <c r="CM708" s="170">
        <f t="shared" ref="CM708:CM771" si="1419">IF(CL$3=$K708,IF($C708="L",1,IF($C708="1/2L",0.5,0)),0)</f>
        <v>0</v>
      </c>
      <c r="CN708" s="170">
        <f t="shared" ref="CN708:CN771" si="1420">IF(CN$3=$K708,IF($C708="W",1,IF($C708="1/2W",0.5,0)),0)</f>
        <v>0</v>
      </c>
      <c r="CO708" s="170">
        <f t="shared" ref="CO708:CO771" si="1421">IF(CN$3=$K708,IF($C708="L",1,IF($C708="1/2L",0.5,0)),0)</f>
        <v>0</v>
      </c>
      <c r="CP708" s="170">
        <f t="shared" ref="CP708:CP771" si="1422">IF(CP$3=$K708,IF($C708="W",1,IF($C708="1/2W",0.5,0)),0)</f>
        <v>0</v>
      </c>
      <c r="CQ708" s="170">
        <f t="shared" ref="CQ708:CQ771" si="1423">IF(CP$3=$K708,IF($C708="L",1,IF($C708="1/2L",0.5,0)),0)</f>
        <v>0</v>
      </c>
      <c r="CR708" s="170">
        <f t="shared" ref="CR708:CR771" si="1424">IF(CR$3=$K708,IF($C708="W",1,IF($C708="1/2W",0.5,0)),0)</f>
        <v>0</v>
      </c>
      <c r="CS708" s="170">
        <f t="shared" ref="CS708:CS771" si="1425">IF(CR$3=$K708,IF($C708="L",1,IF($C708="1/2L",0.5,0)),0)</f>
        <v>0</v>
      </c>
      <c r="CT708" s="75">
        <f t="shared" ref="CT708:CT771" si="1426">IF(CT$3=$K708,IF($C708="W",1,IF($C708="1/2W",0.5,0)),0)</f>
        <v>0</v>
      </c>
      <c r="CU708" s="76">
        <f t="shared" ref="CU708:CU771" si="1427">IF(CT$3=$K708,IF($C708="L",1,IF($C708="1/2L",0.5,0)),0)</f>
        <v>0</v>
      </c>
      <c r="CV708" s="76">
        <f t="shared" ref="CV708:CV771" si="1428">IF(CV$3=$K708,IF($C708="W",1,IF($C708="1/2W",0.5,0)),0)</f>
        <v>0</v>
      </c>
      <c r="CW708" s="76">
        <f t="shared" ref="CW708:CW771" si="1429">IF(CV$3=$K708,IF($C708="L",1,IF($C708="1/2L",0.5,0)),0)</f>
        <v>0</v>
      </c>
      <c r="CX708" s="76">
        <f t="shared" ref="CX708:CX771" si="1430">IF(CX$3=$K708,IF($C708="W",1,IF($C708="1/2W",0.5,0)),0)</f>
        <v>0</v>
      </c>
      <c r="CY708" s="76">
        <f t="shared" ref="CY708:CY771" si="1431">IF(CX$3=$K708,IF($C708="L",1,IF($C708="1/2L",0.5,0)),0)</f>
        <v>0</v>
      </c>
      <c r="CZ708" s="76">
        <f t="shared" ref="CZ708:CZ771" si="1432">IF(CZ$3=$K708,IF($C708="W",1,IF($C708="1/2W",0.5,0)),0)</f>
        <v>0</v>
      </c>
      <c r="DA708" s="76">
        <f t="shared" ref="DA708:DA771" si="1433">IF(CZ$3=$K708,IF($C708="L",1,IF($C708="1/2L",0.5,0)),0)</f>
        <v>0</v>
      </c>
      <c r="DB708" s="76">
        <f t="shared" ref="DB708:DB771" si="1434">IF(DB$3=$K708,IF($C708="W",1,IF($C708="1/2W",0.5,0)),0)</f>
        <v>0</v>
      </c>
      <c r="DC708" s="76">
        <f t="shared" ref="DC708:DC771" si="1435">IF(DB$3=$K708,IF($C708="L",1,IF($C708="1/2L",0.5,0)),0)</f>
        <v>0</v>
      </c>
      <c r="DD708" s="76">
        <f t="shared" ref="DD708:DD771" si="1436">IF(DD$3=$K708,IF($C708="W",1,IF($C708="1/2W",0.5,0)),0)</f>
        <v>0</v>
      </c>
      <c r="DE708" s="77">
        <f t="shared" ref="DE708:DE771" si="1437">IF(DD$3=$K708,IF($C708="L",1,IF($C708="1/2L",0.5,0)),0)</f>
        <v>0</v>
      </c>
      <c r="DF708" s="73">
        <f t="shared" si="1312"/>
        <v>43</v>
      </c>
      <c r="DG708" s="67">
        <f t="shared" si="1313"/>
        <v>57.167999999999992</v>
      </c>
      <c r="DH708" s="76">
        <f t="shared" si="1314"/>
        <v>16</v>
      </c>
      <c r="DI708" s="67">
        <f t="shared" si="1315"/>
        <v>68.699999999999989</v>
      </c>
      <c r="DJ708" s="202" t="str">
        <f>IF($D706="","",$D706)</f>
        <v>23</v>
      </c>
      <c r="DK708" s="493"/>
    </row>
    <row r="709" spans="1:115" ht="14.5" customHeight="1" x14ac:dyDescent="0.2">
      <c r="A709" s="459">
        <f>$A706+1</f>
        <v>236</v>
      </c>
      <c r="B709" s="507" t="str">
        <f>IF(OR(C709="W",C710="W",C711="W",C709="1/2W",C710="1/2W",C711="1/2W",C709="1/2L",C710="1/2L",C711="1/2L"),"OK",IF(OR(C709="L",C710="L",C711="L"),"LOSS",IF(OR(C709="X",C710="X",C711="X"),"Anulado"," ")))</f>
        <v>OK</v>
      </c>
      <c r="C709" s="93" t="s">
        <v>55</v>
      </c>
      <c r="D709" s="468" t="str">
        <f>IF(G709="","",$D706)</f>
        <v>23</v>
      </c>
      <c r="E709" s="485" t="str">
        <f>IF(G709=""," ","– "&amp;COUNTIF(D$4:D711,$D709))</f>
        <v>– 2</v>
      </c>
      <c r="F709" s="509" t="str">
        <f ca="1">IF(G709="","",IF(OR(AND($C709&lt;&gt;" ",$C710=" "),AND($C710&lt;&gt;" ",$C709=" "),AND(L711&gt;0,OR(AND($C711&lt;&gt;" ",OR($C709=" ",$C710=" ")),AND($C711=" ",OR($C709&lt;&gt;" ",$C710&lt;&gt;" "))))),IF(SUM(F$4:F708)=0,1,LARGE(F$4:F708,1)+1),IF(MONTH(G709)=MONTH(TODAY()),IF(AND(DAY(G709)&lt;DAY(TODAY()),$B709=" "),IF(SUM(F$4:F708)=0,1,LARGE(F$4:F708,1)+1),IF($B709=" ",IF(AND(DAY(G709)=DAY(TODAY()),HOUR(G709)&lt;=HOUR(NOW())+1),IF(AND(HOUR(G709)+2&lt;=HOUR(NOW()),DAY(G709)&lt;=DAY(TODAY()),MINUTE(G709)&lt;=MINUTE(NOW())),IF(SUM(F$4:F708)=0,1,LARGE(F$4:F708,1)+1),IF(OR(MINUTE(G709)&lt;=MINUTE(NOW()),HOUR(G709)&lt;=HOUR(NOW())),"!!!","")),""),"")),"")))</f>
        <v/>
      </c>
      <c r="G709" s="482">
        <v>45008.802083333336</v>
      </c>
      <c r="H709" s="475" t="s">
        <v>252</v>
      </c>
      <c r="I709" s="94" t="s">
        <v>71</v>
      </c>
      <c r="J709" s="176"/>
      <c r="K709" s="96" t="s">
        <v>39</v>
      </c>
      <c r="L709" s="97">
        <v>3.4</v>
      </c>
      <c r="M709" s="98"/>
      <c r="N709" s="478">
        <v>0</v>
      </c>
      <c r="O709" s="99">
        <f>IF(OR(AE709="",AE710=""),"",ROUND(IF(L711&gt;0,IF(M709&gt;0,M709,IF(M710&gt;0,ROUND((M710*AE709)/AE710,IF(N709=0,2,IF(N709=0.1,1,0))),ROUND((M711*AE709)/AE711,IF(N709=0,2,IF(N709=0.1,1,0))))),IF(M709&gt;0,M709,ROUND((M710*AE709)/AE710,IF(N709=0,2,IF(N709=0.1,1,0))))),2))</f>
        <v>4.2</v>
      </c>
      <c r="P709" s="100">
        <f>IF(OR(L709="",O709=""),"",IF($C709="1/2W",O709/2+O709/2*L709,IF($C709="1/2L",O709/2,IF(I709="Lay",(O709*(L709/(L709-1))-O709)*(1-_xlfn.XLOOKUP(K709,'Fevereiro 2023 - Valor Real'!A3:A15,'Fevereiro 2023 - Valor Real'!C3:C15,0))+O709,(O709*L709-O709)*(1-_xlfn.XLOOKUP(K709,'Fevereiro 2023 - Valor Real'!A3:A15,'Fevereiro 2023 - Valor Real'!C3:C15,0))+O709))))</f>
        <v>14.279999999999998</v>
      </c>
      <c r="Q709" s="101">
        <f>IF(K709="","",IF(_xlfn.XLOOKUP(K709,K$4:K708,$DJ$4:DJ708,0,,-1)=DJ709,_xlfn.XLOOKUP(K709,K$4:K708,Q$4:Q708,1,,-1)+1,1))</f>
        <v>1</v>
      </c>
      <c r="R709" s="102">
        <f>IF(K709="","",_xlfn.XLOOKUP(K709,K$4:K708,R$4:R708,0,,-1)+IF($C709=" ",1,0))</f>
        <v>0</v>
      </c>
      <c r="S709" s="474">
        <f>IF($B709="Anulado",0,ROUND(IF(OR($B709="LOSS",$B709="OK"),IF(OR($C709="W",$C709="1/2W",$C709="1/2L"),P709-O709,IF($C709="L",-O709,0))+IF(OR($C710="W",$C710="1/2W",$C710="1/2L"),P710-O710,IF($C710="L",-O710,0))+IF(OR($C711="W",$C711="1/2W",$C711="1/2L"),P711-O711,IF($C711="L",-O711,0)),IF(AND(OR($C709="W",$C709="1/2W",$C709="1/2L"),C710="W"),P709+P710-SUM(O709:O711)+_xlfn.XLOOKUP("X",C709:C711,O709:O711,0),IF(AND(C709=TRUE,C711="W"),P709+P711-SUM(O709:O711),IF(AND(C710="W",C711="W"),P710+P711-SUM(O709:O711)+_xlfn.XLOOKUP("X",C709:C711,O709:O711,0),IF(L711&gt;0,IF(OR($C709="W",$C709="1/2W",$C709="1/2L"),P709-SUM(O709:O711)+_xlfn.XLOOKUP("X",C709:C711,O709:O711,0),IF(OR($C709="W",$C709="1/2W",$C709="1/2L"),P710-SUM(O709:O711)+_xlfn.XLOOKUP("X",C709:C711,O709:O711,0),IF(OR($C709="W",$C709="1/2W",$C709="1/2L"),P711-SUM(O709:O711)+_xlfn.XLOOKUP("X",C709:C711,O709:O711,0),IF(SUM(P709:P711)/3-SUM(O709:O711)+_xlfn.XLOOKUP("X",C709:C711,O709:O711,0)&gt;0,SUM(P709:P711)/3-SUM(O709:O711)+_xlfn.XLOOKUP("X",C709:C711,O709:O711,0),LARGE(P709:P711,1)-SUM(O709:O711))))),IF(OR($C709="W",$C709="1/2W",$C709="1/2L"),P709-SUM(O709:O710)+_xlfn.XLOOKUP("X",C709:C711,O709:O711,0),IF(OR($C709="W",$C709="1/2W",$C709="1/2L"),P710-SUM(O709:O710)+_xlfn.XLOOKUP("X",C709:C711,O709:O711,0),SUM(P709:P710)/2-SUM(O709:O710)+_xlfn.XLOOKUP("X",C709:C711,O709:O711,0)))))))),2))</f>
        <v>1.59</v>
      </c>
      <c r="T709" s="458">
        <f>IF(S709=0,0,S709/SUM(O709:O711))</f>
        <v>0.12509834775767112</v>
      </c>
      <c r="U709" s="470">
        <f>IF($D709=$D706,IF(OR($B709="LOSS",$B709="OK",$B709="Anulada"),S709,0)+U706,IF(OR($B709="LOSS",$B709="OK",$B709="Anulada"),S709,0))</f>
        <v>6.31</v>
      </c>
      <c r="V709" s="470">
        <f>IF($D709="",0,IF($D709=$D706,IF($B709=" ",IF(I711="",IF(OR(AND(I709="DNB1",I710="DNB2"),AND(OR(I709="DNB1",I709="DNB2"),J710=0),AND(OR(I710="DNB1",I710="DNB2"),J709=0),AND(I709="DNB2",I710="DNB1"),AND(IF(J709=0,(J709+1)/ROUND(J709+1,0),J709/ROUND(J709,0))=1,IF(J710=0,(J710+1)/ROUND(IF(J710="",0,J710)+1,0),IF(J710="",0,J710)/ROUND(IF(J710="",1,J710),0))=1,OR(J709&lt;&gt;""),J710&lt;&gt;"")),0,IF(S709&lt;0,IF(I711="",SMALL(P709:P710,1)-SUM(O709:O710),0),SMALL(P709:P710,1)-SUM(O709:O710))),IF(S709&lt;0,IF(I711="",SMALL(P709:P711,1)-SUM(O709:O711),0),LARGE(P709:P711,1)-SUM(O709:O711))),S709)+V706,IF(I711="",IF(OR(AND(I709="DNB1",I710="DNB2"),AND(OR(I709="DNB1",I709="DNB2"),J710=0),AND(OR(I710="DNB1",I710="DNB2"),J709=0),AND(I709="DNB2",I710="DNB1"),AND(IF(J709=0,(J709+1)/ROUND(J709+1,0),J709/ROUND(J709,0))=1,IF(J710=0,(IF(J710="",0,J710)+1)/ROUND(IF(J710="",0,J710)+1,0),IF(J710="",0,J710)/ROUND(IF(J710="",0,J710)+1,0))=1,OR(J709&lt;&gt;""),J710&lt;&gt;"")),0,IF(S709&lt;0,IF(I711="",SMALL(P709:P710,1)-SUM(O709:O710),0),SMALL(P709:P711,1)-SUM(O709:O711))),IF(S709&lt;0,IF(I711="",SMALL(P709:P711,1)-SUM(O709:O711),0),LARGE(P709:P711,1)-SUM(O709:O711)))))</f>
        <v>6.3100000000000023</v>
      </c>
      <c r="W709" s="470">
        <f>IF($D709=$D706,IF(S709&lt;0,IF(I711="",S709,0),S709)+W706,S709)</f>
        <v>6.31</v>
      </c>
      <c r="X709" s="480" t="str">
        <f>IF(OR(SUM(R709:R711)=0,V709=W709),ROUND(IF(W709=0,0,W709/Y709)*100,2)&amp;"%",ROUND(IF(V709=0,0,V709/Y709)*100,2)&amp;"% a "&amp;ROUND(IF(W709=0,0,W709/Y709)*100,2)&amp;"%")</f>
        <v>17,79%</v>
      </c>
      <c r="Y709" s="471">
        <f>IF($D709=$D706,Y706+SUM(O709:O711),SUM(O709:O711))</f>
        <v>35.47</v>
      </c>
      <c r="Z709" s="470">
        <f>IF($B709=" ",SUM(O709:O711),0)+Z706</f>
        <v>0</v>
      </c>
      <c r="AA709" s="470">
        <f>IF(G709="","",IF($B709="Anulado",LARGE(P709:P711,1)-SUM(O709:O711)+AA706,AA706))</f>
        <v>13.381099999999991</v>
      </c>
      <c r="AB709" s="470">
        <f>IF($D709="","",AB706+S709)</f>
        <v>812.67000000000064</v>
      </c>
      <c r="AC709" s="472">
        <f ca="1">IF($D709="","",IF($B709=" ",IF(DAY(G709)=DAY(TODAY()),1+AC706,0+AC706),0+AC706))</f>
        <v>0</v>
      </c>
      <c r="AD709" s="103">
        <f>(((L710/(L710-1)-1)*(1-_xlfn.XLOOKUP(K710,'Fevereiro 2023 - Valor Real'!A3:A15,'Fevereiro 2023 - Valor Real'!C3:C15,0))+1))/(((L709-1)*(1-_xlfn.XLOOKUP(K709,'Fevereiro 2023 - Valor Real'!A3:A15,'Fevereiro 2023 - Valor Real'!C3:C15,0))+1)+((L710/(L710-1)-1)*(1-_xlfn.XLOOKUP(K710,'Fevereiro 2023 - Valor Real'!A3:A15,'Fevereiro 2023 - Valor Real'!C3:C15,0))+1))</f>
        <v>0.42084168336673344</v>
      </c>
      <c r="AE709" s="104">
        <f>IF(L709="","",IF(L711&gt;0,(SUM(((L709-1)*(1-_xlfn.XLOOKUP(K709,'Fevereiro 2023 - Valor Real'!A3:A15,'Fevereiro 2023 - Valor Real'!C3:C15,0))+1),((L710-1)*(1-_xlfn.XLOOKUP(K710,'Fevereiro 2023 - Valor Real'!A3:A15,'Fevereiro 2023 - Valor Real'!C3:C15,0))+1),((L711-1)*(1-_xlfn.XLOOKUP(K711,'Fevereiro 2023 - Valor Real'!A3:A15,'Fevereiro 2023 - Valor Real'!C3:C15,0))+1))/((L709-1)*(1-_xlfn.XLOOKUP(K709,'Fevereiro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Real'!C3:C15,0))+1))/((L709-1)*(1-_xlfn.XLOOKUP(K709,'Fevereiro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Real'!C3:C15,0))+1))/((L710-1)*(1-_xlfn.XLOOKUP(K710,'Fevereiro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Real'!C3:C15,0))+1))/((L711-1)*(1-_xlfn.XLOOKUP(K711,'Fevereiro 2023 - Valor Real'!A3:A15,'Fevereiro 2023 - Valor Real'!C3:C15,0))+1)),IF(I709="Lay",IF(I710="Lay",((L710/(L710-1)-1)*(1-_xlfn.XLOOKUP(K710,'Fevereiro 2023 - Valor Real'!A3:A15,'Fevereiro 2023 - Valor Real'!C3:C15,0))+1)/(((L710/(L710-1)-1)*(1-_xlfn.XLOOKUP(K710,'Fevereiro 2023 - Valor Real'!A3:A15,'Fevereiro 2023 - Valor Real'!C3:C15,0))+1)+((L709/(L709-1)-1)*(1-_xlfn.XLOOKUP(K709,'Fevereiro 2023 - Valor Real'!A3:A15,'Fevereiro 2023 - Valor Real'!C3:C15,0))+1)),((L710-1)*(1-_xlfn.XLOOKUP(K710,'Fevereiro 2023 - Valor Real'!A3:A15,'Fevereiro 2023 - Valor Real'!C3:C15,0))+1)/(((L710-1)*(1-_xlfn.XLOOKUP(K710,'Fevereiro 2023 - Valor Real'!A3:A15,'Fevereiro 2023 - Valor Real'!C3:C15,0))+1)+((L709/(L709-1)-1)*(1-_xlfn.XLOOKUP(K709,'Fevereiro 2023 - Valor Real'!A3:A15,'Fevereiro 2023 - Valor Real'!C3:C15,0))+1))),IF(I710="Lay",(((L710/(L710-1)-1)*(1-_xlfn.XLOOKUP(K710,'Fevereiro 2023 - Valor Real'!A3:A15,'Fevereiro 2023 - Valor Real'!C3:C15,0))+1))/(((L709-1)*(1-_xlfn.XLOOKUP(K709,'Fevereiro 2023 - Valor Real'!A3:A15,'Fevereiro 2023 - Valor Real'!C3:C15,0))+1)+((L710/(L710-1)-1)*(1-_xlfn.XLOOKUP(K710,'Fevereiro 2023 - Valor Real'!A3:A15,'Fevereiro 2023 - Valor Real'!C3:C15,0))+1)),((L710-1)*(1-_xlfn.XLOOKUP(K710,'Fevereiro 2023 - Valor Real'!A3:A15,'Fevereiro 2023 - Valor Real'!C3:C15,0))+1)/(((L710-1)*(1-_xlfn.XLOOKUP(K710,'Fevereiro 2023 - Valor Real'!A3:A15,'Fevereiro 2023 - Valor Real'!C3:C15,0))+1)+((L709-1)*(1-_xlfn.XLOOKUP(K709,'Fevereiro 2023 - Valor Real'!A3:A15,'Fevereiro 2023 - Valor Real'!C3:C15,0))+1))))))</f>
        <v>0.3307086614173228</v>
      </c>
      <c r="AF709" s="105">
        <f t="shared" si="1404"/>
        <v>0</v>
      </c>
      <c r="AG709" s="106">
        <f t="shared" si="1404"/>
        <v>0</v>
      </c>
      <c r="AH709" s="106">
        <f t="shared" si="1404"/>
        <v>0</v>
      </c>
      <c r="AI709" s="106">
        <f t="shared" si="1404"/>
        <v>-4.2</v>
      </c>
      <c r="AJ709" s="106">
        <f t="shared" si="1404"/>
        <v>0</v>
      </c>
      <c r="AK709" s="106">
        <f t="shared" si="1404"/>
        <v>0</v>
      </c>
      <c r="AL709" s="106">
        <f t="shared" si="1404"/>
        <v>0</v>
      </c>
      <c r="AM709" s="106">
        <f t="shared" si="1404"/>
        <v>0</v>
      </c>
      <c r="AN709" s="106">
        <f t="shared" si="1404"/>
        <v>0</v>
      </c>
      <c r="AO709" s="106">
        <f t="shared" si="1404"/>
        <v>0</v>
      </c>
      <c r="AP709" s="106">
        <f t="shared" si="1404"/>
        <v>0</v>
      </c>
      <c r="AQ709" s="106">
        <f t="shared" si="1404"/>
        <v>0</v>
      </c>
      <c r="AR709" s="107">
        <f t="shared" si="1404"/>
        <v>0</v>
      </c>
      <c r="AS709" s="105">
        <f t="shared" ref="AS709:BE709" si="1438">IF(AND($B709=" ",$K709=AS$3),$O709,0)</f>
        <v>0</v>
      </c>
      <c r="AT709" s="106">
        <f t="shared" si="1438"/>
        <v>0</v>
      </c>
      <c r="AU709" s="106">
        <f t="shared" si="1438"/>
        <v>0</v>
      </c>
      <c r="AV709" s="106">
        <f t="shared" si="1438"/>
        <v>0</v>
      </c>
      <c r="AW709" s="106">
        <f t="shared" si="1438"/>
        <v>0</v>
      </c>
      <c r="AX709" s="106">
        <f t="shared" si="1438"/>
        <v>0</v>
      </c>
      <c r="AY709" s="108">
        <f t="shared" si="1438"/>
        <v>0</v>
      </c>
      <c r="AZ709" s="109">
        <f t="shared" si="1438"/>
        <v>0</v>
      </c>
      <c r="BA709" s="109">
        <f t="shared" si="1438"/>
        <v>0</v>
      </c>
      <c r="BB709" s="109">
        <f t="shared" si="1438"/>
        <v>0</v>
      </c>
      <c r="BC709" s="110">
        <f t="shared" si="1438"/>
        <v>0</v>
      </c>
      <c r="BD709" s="106">
        <f t="shared" si="1438"/>
        <v>0</v>
      </c>
      <c r="BE709" s="107">
        <f t="shared" si="1438"/>
        <v>0</v>
      </c>
      <c r="BF709" s="111">
        <f t="shared" si="1406"/>
        <v>0</v>
      </c>
      <c r="BG709" s="106">
        <f t="shared" si="1406"/>
        <v>0</v>
      </c>
      <c r="BH709" s="106">
        <f t="shared" si="1406"/>
        <v>0</v>
      </c>
      <c r="BI709" s="106">
        <f t="shared" si="1406"/>
        <v>4.2</v>
      </c>
      <c r="BJ709" s="106">
        <f t="shared" si="1406"/>
        <v>0</v>
      </c>
      <c r="BK709" s="106">
        <f t="shared" si="1406"/>
        <v>0</v>
      </c>
      <c r="BL709" s="106">
        <f t="shared" si="1406"/>
        <v>0</v>
      </c>
      <c r="BM709" s="108">
        <f t="shared" si="1406"/>
        <v>0</v>
      </c>
      <c r="BN709" s="109">
        <f t="shared" si="1406"/>
        <v>0</v>
      </c>
      <c r="BO709" s="109">
        <f t="shared" si="1406"/>
        <v>0</v>
      </c>
      <c r="BP709" s="109">
        <f t="shared" si="1406"/>
        <v>0</v>
      </c>
      <c r="BQ709" s="110">
        <f t="shared" si="1406"/>
        <v>0</v>
      </c>
      <c r="BR709" s="107">
        <f t="shared" si="1406"/>
        <v>0</v>
      </c>
      <c r="BS709" s="463">
        <f>IF($B709="LOSS",IF(AND($K709=BS$3,$C709="L"),-$O709,0)+IF(AND($K710=BS$3,$C710="L"),-$O710,0)+IF(AND($K711=BS$3,$C711="L"),-$O711,0),IF(OR(AND($K709=BS$3,OR($C709="W",$C709="1/2W")),AND($K710=BS$3,OR($C710="W",$C710="1/2W")),AND($K711=BS$3,OR($C711="W",$C711="1/2W"))),$S709,0))</f>
        <v>0</v>
      </c>
      <c r="BT709" s="462">
        <f>IF($B709="LOSS",IF(AND($K709=BT$3,$C709="L"),-$O709,0)+IF(AND($K710=BT$3,$C710="L"),-$O710,0)+IF(AND($K710=BT$3,$C711="L"),-$O711,0),IF(OR(AND($K710=BT$3,OR($C709="W",$C709="1/2W")),AND($K710=BT$3,OR($C710="W",$C710="1/2W")),AND($K710=BT$3,OR($C711="W",$C711="1/2W"))),$S709,0))</f>
        <v>1.59</v>
      </c>
      <c r="BU709" s="462">
        <f>IF($B709="LOSS",IF(AND($K709=BU$3,$C709="L"),-$O709,0)+IF(AND($K710=BU$3,$C710="L"),-$O710,0)+IF(AND($K710=BU$3,$C711="L"),-$O711,0),IF(OR(AND($K710=BU$3,OR($C709="W",$C709="1/2W")),AND($K710=BU$3,OR($C710="W",$C710="1/2W")),AND($K710=BU$3,OR($C711="W",$C711="1/2W"))),$S709,0))</f>
        <v>0</v>
      </c>
      <c r="BV709" s="462">
        <f t="shared" ref="BV709:CE709" si="1439">IF($B709="LOSS",IF(AND($K709=BV$3,$C709="L"),-$O709,0)+IF(AND($K710=BV$3,$C710="L"),-$O710,0)+IF(AND($K711=BV$3,$C711="L"),-$O711,0),IF(OR(AND($K709=BV$3,OR($C709="W",$C709="1/2W")),AND($K710=BV$3,OR($C710="W",$C710="1/2W")),AND($K711=BV$3,OR($C711="W",$C711="1/2W"))),$S709,0))</f>
        <v>0</v>
      </c>
      <c r="BW709" s="462">
        <f t="shared" si="1439"/>
        <v>0</v>
      </c>
      <c r="BX709" s="462">
        <f t="shared" si="1439"/>
        <v>0</v>
      </c>
      <c r="BY709" s="462">
        <f t="shared" si="1439"/>
        <v>0</v>
      </c>
      <c r="BZ709" s="460">
        <f t="shared" si="1439"/>
        <v>0</v>
      </c>
      <c r="CA709" s="460">
        <f t="shared" si="1439"/>
        <v>0</v>
      </c>
      <c r="CB709" s="460">
        <f t="shared" si="1439"/>
        <v>0</v>
      </c>
      <c r="CC709" s="460">
        <f t="shared" si="1439"/>
        <v>0</v>
      </c>
      <c r="CD709" s="473">
        <f t="shared" si="1439"/>
        <v>0</v>
      </c>
      <c r="CE709" s="479">
        <f t="shared" si="1439"/>
        <v>0</v>
      </c>
      <c r="CF709" s="113">
        <f t="shared" si="1412"/>
        <v>0</v>
      </c>
      <c r="CG709" s="114">
        <f t="shared" si="1413"/>
        <v>0</v>
      </c>
      <c r="CH709" s="114">
        <f t="shared" si="1414"/>
        <v>0</v>
      </c>
      <c r="CI709" s="114">
        <f t="shared" si="1415"/>
        <v>0</v>
      </c>
      <c r="CJ709" s="114">
        <f t="shared" si="1416"/>
        <v>0</v>
      </c>
      <c r="CK709" s="114">
        <f t="shared" si="1417"/>
        <v>0</v>
      </c>
      <c r="CL709" s="114">
        <f t="shared" si="1418"/>
        <v>0</v>
      </c>
      <c r="CM709" s="114">
        <f t="shared" si="1419"/>
        <v>1</v>
      </c>
      <c r="CN709" s="114">
        <f t="shared" si="1420"/>
        <v>0</v>
      </c>
      <c r="CO709" s="114">
        <f t="shared" si="1421"/>
        <v>0</v>
      </c>
      <c r="CP709" s="114">
        <f t="shared" si="1422"/>
        <v>0</v>
      </c>
      <c r="CQ709" s="114">
        <f t="shared" si="1423"/>
        <v>0</v>
      </c>
      <c r="CR709" s="114">
        <f t="shared" si="1424"/>
        <v>0</v>
      </c>
      <c r="CS709" s="114">
        <f t="shared" si="1425"/>
        <v>0</v>
      </c>
      <c r="CT709" s="115">
        <f t="shared" si="1426"/>
        <v>0</v>
      </c>
      <c r="CU709" s="116">
        <f t="shared" si="1427"/>
        <v>0</v>
      </c>
      <c r="CV709" s="116">
        <f t="shared" si="1428"/>
        <v>0</v>
      </c>
      <c r="CW709" s="116">
        <f t="shared" si="1429"/>
        <v>0</v>
      </c>
      <c r="CX709" s="116">
        <f t="shared" si="1430"/>
        <v>0</v>
      </c>
      <c r="CY709" s="116">
        <f t="shared" si="1431"/>
        <v>0</v>
      </c>
      <c r="CZ709" s="116">
        <f t="shared" si="1432"/>
        <v>0</v>
      </c>
      <c r="DA709" s="116">
        <f t="shared" si="1433"/>
        <v>0</v>
      </c>
      <c r="DB709" s="116">
        <f t="shared" si="1434"/>
        <v>0</v>
      </c>
      <c r="DC709" s="116">
        <f t="shared" si="1435"/>
        <v>0</v>
      </c>
      <c r="DD709" s="116">
        <f t="shared" si="1436"/>
        <v>0</v>
      </c>
      <c r="DE709" s="117">
        <f t="shared" si="1437"/>
        <v>0</v>
      </c>
      <c r="DF709" s="118">
        <f t="shared" ref="DF709:DF772" si="1440">IF(AND(L709&lt;DF$3,$C709="W"),1+DF708,DF708)</f>
        <v>43</v>
      </c>
      <c r="DG709" s="106">
        <f t="shared" ref="DG709:DG772" si="1441">IF(DF709&gt;DF708,L709+DG708,DG708)</f>
        <v>57.167999999999992</v>
      </c>
      <c r="DH709" s="116">
        <f t="shared" ref="DH709:DH772" si="1442">IF(AND(L709&gt;DH$3,$C709="W"),1+DH708,0+DH708)</f>
        <v>16</v>
      </c>
      <c r="DI709" s="106">
        <f t="shared" ref="DI709:DI772" si="1443">IF(DH709&gt;DH708,L709+DI708,DI708)</f>
        <v>68.699999999999989</v>
      </c>
      <c r="DJ709" s="201" t="str">
        <f>IF($D709="","",$D709)</f>
        <v>23</v>
      </c>
      <c r="DK709" s="465">
        <f>IF(AND($B709=" ",$D709&lt;&gt;""),1,0)</f>
        <v>0</v>
      </c>
    </row>
    <row r="710" spans="1:115" ht="14.5" customHeight="1" x14ac:dyDescent="0.2">
      <c r="A710" s="389"/>
      <c r="B710" s="456"/>
      <c r="C710" s="120" t="s">
        <v>54</v>
      </c>
      <c r="D710" s="374"/>
      <c r="E710" s="386"/>
      <c r="F710" s="377"/>
      <c r="G710" s="483"/>
      <c r="H710" s="476"/>
      <c r="I710" s="121" t="s">
        <v>72</v>
      </c>
      <c r="J710" s="179" t="str">
        <f>IF(OR(I709="TO",I709="TU",I709="TO1",I709="TU1",I709="TO2",I709="TU2"),J709,IF(OR(I709="AH1",I709="AH2"),IF(OR(I710="AH1",I710="AH2"),-J709,IF(OR(I710="EH1",I710="EH2"),-J709+0.5,"")),IF(OR(I709="EH1",I709="EH2"),IF(OR(I710="AH1",I710="AH2"),-J709+0.5,IF(OR(I710="EH1",I710="EH2"),-J709+1,"")),IF(AND(OR(I709="DNB1",I709="DNB2"),OR(I710="AH1",I710="AH2")),0,IF(AND(I709="Not ScoreBoth",OR(I710="TO1",I710="TO2")),0.5,"")))))</f>
        <v/>
      </c>
      <c r="K710" s="123" t="s">
        <v>37</v>
      </c>
      <c r="L710" s="124">
        <v>1.68</v>
      </c>
      <c r="M710" s="125">
        <v>8.51</v>
      </c>
      <c r="N710" s="406"/>
      <c r="O710" s="126">
        <f>IF(OR(AE709="",AE710=""),"",ROUND(IF(L711&gt;0,IF(M710&gt;0,M710,IF(M709&gt;0,IF(N709=TRUE,ROUND((M709*AE710)/AE709,0),(M709*AE710)/AE709),IF(M710&gt;0,ROUND(M710,IF(N709=0,2,IF(N709=0.1,1,0))),IF(M711&gt;0,ROUND(O711*AE710/AE711,IF(N709=0,2,IF(N709=0.1,1,0))),0)))),IF(M710&gt;0,M710,ROUND((M709*AE710)/AE709,IF(N709=0,2,IF(N709=0.1,1,0))))),2))</f>
        <v>8.51</v>
      </c>
      <c r="P710" s="127">
        <f>IF(OR(L710="",O710=""),"",IF($C710="1/2W",O710/2+O710/2*L710,IF($C710="1/2L",O710/2,IF(I710="Lay",((O710*(L710/(L710-1)))-O710)*(1-_xlfn.XLOOKUP(K710,'Fevereiro 2023 - Valor Real'!A3:A15,'Fevereiro 2023 - Valor Real'!C3:C15,0))+O710,(O710*L710-O710)*(1-_xlfn.XLOOKUP(K710,'Fevereiro 2023 - Valor Real'!A3:A15,'Fevereiro 2023 - Valor Real'!C3:C15,0))+O710))))</f>
        <v>14.296799999999999</v>
      </c>
      <c r="Q710" s="128">
        <f>IF(K710="","",IF(_xlfn.XLOOKUP(K710,K$4:K709,$DJ$4:DJ709,0,,-1)=DJ710,_xlfn.XLOOKUP(K710,K$4:K709,Q$4:Q709,1,,-1)+1,1))</f>
        <v>2</v>
      </c>
      <c r="R710" s="129">
        <f>IF(K710="","",_xlfn.XLOOKUP(K710,K$4:K709,R$4:R709,0,,-1)+IF($C710=" ",1,0))</f>
        <v>0</v>
      </c>
      <c r="S710" s="403"/>
      <c r="T710" s="380"/>
      <c r="U710" s="380"/>
      <c r="V710" s="481"/>
      <c r="W710" s="380"/>
      <c r="X710" s="452"/>
      <c r="Y710" s="383"/>
      <c r="Z710" s="384"/>
      <c r="AA710" s="384"/>
      <c r="AB710" s="384"/>
      <c r="AC710" s="384"/>
      <c r="AD710" s="130">
        <f>(((L710/(L710-1)-1)*(1-_xlfn.XLOOKUP(K710,'Fevereiro 2023 - Valor Real'!A3:A15,'Fevereiro 2023 - Valor Real'!C3:C15,0))+1))</f>
        <v>2.4705882352941178</v>
      </c>
      <c r="AE710" s="131">
        <f>IF(L710="","",IF(L711&gt;0,(SUM(((L709-1)*(1-_xlfn.XLOOKUP(K709,'Fevereiro 2023 - Valor Real'!A3:A15,'Fevereiro 2023 - Valor Real'!C3:C15,0))+1),((L710-1)*(1-_xlfn.XLOOKUP(K710,'Fevereiro 2023 - Valor Real'!A3:A15,'Fevereiro 2023 - Valor Real'!C3:C15,0))+1),((L711-1)*(1-_xlfn.XLOOKUP(K711,'Fevereiro 2023 - Valor Real'!A3:A15,'Fevereiro 2023 - Valor Real'!C3:C15,0))+1))/((L710-1)*(1-_xlfn.XLOOKUP(K710,'Fevereiro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Real'!C3:C15,0))+1))/((L709-1)*(1-_xlfn.XLOOKUP(K709,'Fevereiro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Real'!C3:C15,0))+1))/((L710-1)*(1-_xlfn.XLOOKUP(K710,'Fevereiro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Real'!C3:C15,0))+1))/((L711-1)*(1-_xlfn.XLOOKUP(K711,'Fevereiro 2023 - Valor Real'!A3:A15,'Fevereiro 2023 - Valor Real'!C3:C15,0))+1)),IF(I710="Lay",IF(I709="Lay",((L709/(L709-1)-1)*(1-_xlfn.XLOOKUP(K709,'Fevereiro 2023 - Valor Real'!A3:A15,'Fevereiro 2023 - Valor Real'!C3:C15,0))+1)/(((L709/(L709-1)-1)*(1-_xlfn.XLOOKUP(K709,'Fevereiro 2023 - Valor Real'!A3:A15,'Fevereiro 2023 - Valor Real'!C3:C15,0))+1)+((L710/(L710-1)-1)*(1-_xlfn.XLOOKUP(K710,'Fevereiro 2023 - Valor Real'!A3:A15,'Fevereiro 2023 - Valor Real'!C3:C15,0))+1)),((L709-1)*(1-_xlfn.XLOOKUP(K709,'Fevereiro 2023 - Valor Real'!A3:A15,'Fevereiro 2023 - Valor Real'!C3:C15,0))+1)/(((L709-1)*(1-_xlfn.XLOOKUP(K709,'Fevereiro 2023 - Valor Real'!A3:A15,'Fevereiro 2023 - Valor Real'!C3:C15,0))+1)+((L710/(L710-1)-1)*(1-_xlfn.XLOOKUP(K710,'Fevereiro 2023 - Valor Real'!A3:A15,'Fevereiro 2023 - Valor Real'!C3:C15,0))+1))),IF(I709="Lay",((L709/(L709-1)-1)*(1-_xlfn.XLOOKUP(K709,'Fevereiro 2023 - Valor Real'!A3:A15,'Fevereiro 2023 - Valor Real'!C3:C15,0))+1)/((((L709/(L709-1)-1)*(1-_xlfn.XLOOKUP(K709,'Fevereiro 2023 - Valor Real'!A3:A15,'Fevereiro 2023 - Valor Real'!C3:C15,0))+1))+((L710-1)*(1-_xlfn.XLOOKUP(K710,'Fevereiro 2023 - Valor Real'!A3:A15,'Fevereiro 2023 - Valor Real'!C3:C15,0))+1)),((L709-1)*(1-_xlfn.XLOOKUP(K709,'Fevereiro 2023 - Valor Real'!A3:A15,'Fevereiro 2023 - Valor Real'!C3:C15,0))+1)/(((L709-1)*(1-_xlfn.XLOOKUP(K709,'Fevereiro 2023 - Valor Real'!A3:A15,'Fevereiro 2023 - Valor Real'!C3:C15,0))+1)+((L710-1)*(1-_xlfn.XLOOKUP(K710,'Fevereiro 2023 - Valor Real'!A3:A15,'Fevereiro 2023 - Valor Real'!C3:C15,0))+1))))))</f>
        <v>0.66929133858267709</v>
      </c>
      <c r="AF710" s="105">
        <f t="shared" si="1404"/>
        <v>0</v>
      </c>
      <c r="AG710" s="106">
        <f t="shared" si="1404"/>
        <v>5.79</v>
      </c>
      <c r="AH710" s="106">
        <f t="shared" si="1404"/>
        <v>0</v>
      </c>
      <c r="AI710" s="106">
        <f t="shared" si="1404"/>
        <v>0</v>
      </c>
      <c r="AJ710" s="106">
        <f t="shared" si="1404"/>
        <v>0</v>
      </c>
      <c r="AK710" s="106">
        <f t="shared" si="1404"/>
        <v>0</v>
      </c>
      <c r="AL710" s="106">
        <f t="shared" si="1404"/>
        <v>0</v>
      </c>
      <c r="AM710" s="106">
        <f t="shared" si="1404"/>
        <v>0</v>
      </c>
      <c r="AN710" s="106">
        <f t="shared" si="1404"/>
        <v>0</v>
      </c>
      <c r="AO710" s="106">
        <f t="shared" si="1404"/>
        <v>0</v>
      </c>
      <c r="AP710" s="106">
        <f t="shared" si="1404"/>
        <v>0</v>
      </c>
      <c r="AQ710" s="106">
        <f t="shared" si="1404"/>
        <v>0</v>
      </c>
      <c r="AR710" s="107">
        <f t="shared" si="1404"/>
        <v>0</v>
      </c>
      <c r="AS710" s="105">
        <f>IF(AND($B709=" ",$K710=AS$3),$O710,0)</f>
        <v>0</v>
      </c>
      <c r="AT710" s="106">
        <f>IF(AND($B709=" ",K710=AT$3),$O710,0)</f>
        <v>0</v>
      </c>
      <c r="AU710" s="106">
        <f t="shared" ref="AU710:BE710" si="1444">IF(AND($B709=" ",$K710=AU$3),$O710,0)</f>
        <v>0</v>
      </c>
      <c r="AV710" s="106">
        <f t="shared" si="1444"/>
        <v>0</v>
      </c>
      <c r="AW710" s="106">
        <f t="shared" si="1444"/>
        <v>0</v>
      </c>
      <c r="AX710" s="106">
        <f t="shared" si="1444"/>
        <v>0</v>
      </c>
      <c r="AY710" s="108">
        <f t="shared" si="1444"/>
        <v>0</v>
      </c>
      <c r="AZ710" s="109">
        <f t="shared" si="1444"/>
        <v>0</v>
      </c>
      <c r="BA710" s="109">
        <f t="shared" si="1444"/>
        <v>0</v>
      </c>
      <c r="BB710" s="109">
        <f t="shared" si="1444"/>
        <v>0</v>
      </c>
      <c r="BC710" s="110">
        <f t="shared" si="1444"/>
        <v>0</v>
      </c>
      <c r="BD710" s="106">
        <f t="shared" si="1444"/>
        <v>0</v>
      </c>
      <c r="BE710" s="107">
        <f t="shared" si="1444"/>
        <v>0</v>
      </c>
      <c r="BF710" s="105">
        <f t="shared" si="1406"/>
        <v>0</v>
      </c>
      <c r="BG710" s="106">
        <f t="shared" si="1406"/>
        <v>8.51</v>
      </c>
      <c r="BH710" s="106">
        <f t="shared" si="1406"/>
        <v>0</v>
      </c>
      <c r="BI710" s="106">
        <f t="shared" si="1406"/>
        <v>0</v>
      </c>
      <c r="BJ710" s="106">
        <f t="shared" si="1406"/>
        <v>0</v>
      </c>
      <c r="BK710" s="106">
        <f t="shared" si="1406"/>
        <v>0</v>
      </c>
      <c r="BL710" s="106">
        <f t="shared" si="1406"/>
        <v>0</v>
      </c>
      <c r="BM710" s="132">
        <f t="shared" si="1406"/>
        <v>0</v>
      </c>
      <c r="BN710" s="112">
        <f t="shared" si="1406"/>
        <v>0</v>
      </c>
      <c r="BO710" s="112">
        <f t="shared" si="1406"/>
        <v>0</v>
      </c>
      <c r="BP710" s="112">
        <f t="shared" si="1406"/>
        <v>0</v>
      </c>
      <c r="BQ710" s="110">
        <f t="shared" si="1406"/>
        <v>0</v>
      </c>
      <c r="BR710" s="107">
        <f t="shared" si="1406"/>
        <v>0</v>
      </c>
      <c r="BS710" s="464"/>
      <c r="BT710" s="461"/>
      <c r="BU710" s="392"/>
      <c r="BV710" s="461"/>
      <c r="BW710" s="392"/>
      <c r="BX710" s="392"/>
      <c r="BY710" s="392"/>
      <c r="BZ710" s="461"/>
      <c r="CA710" s="392"/>
      <c r="CB710" s="392"/>
      <c r="CC710" s="392"/>
      <c r="CD710" s="401"/>
      <c r="CE710" s="409"/>
      <c r="CF710" s="133">
        <f t="shared" si="1412"/>
        <v>0</v>
      </c>
      <c r="CG710" s="134">
        <f t="shared" si="1413"/>
        <v>0</v>
      </c>
      <c r="CH710" s="134">
        <f t="shared" si="1414"/>
        <v>1</v>
      </c>
      <c r="CI710" s="134">
        <f t="shared" si="1415"/>
        <v>0</v>
      </c>
      <c r="CJ710" s="134">
        <f t="shared" si="1416"/>
        <v>0</v>
      </c>
      <c r="CK710" s="134">
        <f t="shared" si="1417"/>
        <v>0</v>
      </c>
      <c r="CL710" s="134">
        <f t="shared" si="1418"/>
        <v>0</v>
      </c>
      <c r="CM710" s="134">
        <f t="shared" si="1419"/>
        <v>0</v>
      </c>
      <c r="CN710" s="134">
        <f t="shared" si="1420"/>
        <v>0</v>
      </c>
      <c r="CO710" s="134">
        <f t="shared" si="1421"/>
        <v>0</v>
      </c>
      <c r="CP710" s="134">
        <f t="shared" si="1422"/>
        <v>0</v>
      </c>
      <c r="CQ710" s="134">
        <f t="shared" si="1423"/>
        <v>0</v>
      </c>
      <c r="CR710" s="134">
        <f t="shared" si="1424"/>
        <v>0</v>
      </c>
      <c r="CS710" s="134">
        <f t="shared" si="1425"/>
        <v>0</v>
      </c>
      <c r="CT710" s="115">
        <f t="shared" si="1426"/>
        <v>0</v>
      </c>
      <c r="CU710" s="116">
        <f t="shared" si="1427"/>
        <v>0</v>
      </c>
      <c r="CV710" s="116">
        <f t="shared" si="1428"/>
        <v>0</v>
      </c>
      <c r="CW710" s="116">
        <f t="shared" si="1429"/>
        <v>0</v>
      </c>
      <c r="CX710" s="116">
        <f t="shared" si="1430"/>
        <v>0</v>
      </c>
      <c r="CY710" s="116">
        <f t="shared" si="1431"/>
        <v>0</v>
      </c>
      <c r="CZ710" s="116">
        <f t="shared" si="1432"/>
        <v>0</v>
      </c>
      <c r="DA710" s="116">
        <f t="shared" si="1433"/>
        <v>0</v>
      </c>
      <c r="DB710" s="116">
        <f t="shared" si="1434"/>
        <v>0</v>
      </c>
      <c r="DC710" s="116">
        <f t="shared" si="1435"/>
        <v>0</v>
      </c>
      <c r="DD710" s="116">
        <f t="shared" si="1436"/>
        <v>0</v>
      </c>
      <c r="DE710" s="117">
        <f t="shared" si="1437"/>
        <v>0</v>
      </c>
      <c r="DF710" s="118">
        <f t="shared" si="1440"/>
        <v>43</v>
      </c>
      <c r="DG710" s="106">
        <f t="shared" si="1441"/>
        <v>57.167999999999992</v>
      </c>
      <c r="DH710" s="116">
        <f t="shared" si="1442"/>
        <v>16</v>
      </c>
      <c r="DI710" s="106">
        <f t="shared" si="1443"/>
        <v>68.699999999999989</v>
      </c>
      <c r="DJ710" s="201" t="str">
        <f>IF($D709="","",$D709)</f>
        <v>23</v>
      </c>
      <c r="DK710" s="466"/>
    </row>
    <row r="711" spans="1:115" ht="14.5" customHeight="1" x14ac:dyDescent="0.2">
      <c r="A711" s="390"/>
      <c r="B711" s="457"/>
      <c r="C711" s="135" t="s">
        <v>53</v>
      </c>
      <c r="D711" s="375"/>
      <c r="E711" s="387"/>
      <c r="F711" s="378"/>
      <c r="G711" s="484"/>
      <c r="H711" s="477"/>
      <c r="I711" s="136"/>
      <c r="J711" s="137"/>
      <c r="K711" s="138"/>
      <c r="L711" s="139"/>
      <c r="M711" s="140"/>
      <c r="N711" s="407"/>
      <c r="O711" s="141" t="str">
        <f>IF(OR(AE709="",AE710=""),"",IF(L711&gt;0,ROUND(IF(M711&gt;0,M711,IF(M709&gt;0,ROUND((M709*AE711)/AE709,IF(N709=0,2,IF(N709=0.1,1,0))),IF(M710&gt;0,ROUND((M710*AE711)/AE710,IF(N709=0,2,IF(N709=0.1,1,0))),IF(M711&gt;0,M711,0)))),2),""))</f>
        <v/>
      </c>
      <c r="P711" s="142" t="str">
        <f>IF(I710="Lay",O710*(L710/(L710-1))-O710,IF(I709="Lay",O709*(L709/(L709-1))-O709,IF(OR(L711="",O711=""),"",IF($C711="1/2W",O711/2+O711/2*L711,IF($C711="1/2L",O711/2,(O711*L711-O711)*(1-_xlfn.XLOOKUP(K711,'Fevereiro 2023 - Valor Real'!A3:A15,'Fevereiro 2023 - Valor Real'!C3:C15,0))+O711)))))</f>
        <v/>
      </c>
      <c r="Q711" s="143" t="str">
        <f>IF(K711="","",IF(_xlfn.XLOOKUP(K711,K$4:K710,$DJ$4:DJ710,0,,-1)=DJ711,_xlfn.XLOOKUP(K711,K$4:K710,Q$4:Q710,1,,-1)+1,1))</f>
        <v/>
      </c>
      <c r="R711" s="144" t="str">
        <f>IF(K711="","",_xlfn.XLOOKUP(K711,K$4:K710,R$4:R710,0,,-1)+IF($C711=" ",1,0))</f>
        <v/>
      </c>
      <c r="S711" s="404"/>
      <c r="T711" s="378"/>
      <c r="U711" s="378"/>
      <c r="V711" s="404"/>
      <c r="W711" s="378"/>
      <c r="X711" s="453"/>
      <c r="Y711" s="383"/>
      <c r="Z711" s="384"/>
      <c r="AA711" s="384"/>
      <c r="AB711" s="384"/>
      <c r="AC711" s="384"/>
      <c r="AD711" s="145">
        <f>((L710/(L710-1)-1))</f>
        <v>1.4705882352941178</v>
      </c>
      <c r="AE711" s="146" t="str">
        <f>IF(L711="","",(SUM(((L709-1)*(1-_xlfn.XLOOKUP(K709,'Fevereiro 2023 - Valor Real'!A3:A15,'Fevereiro 2023 - Valor Real'!C3:C15,0))+1),((L710-1)*(1-_xlfn.XLOOKUP(K710,'Fevereiro 2023 - Valor Real'!A3:A15,'Fevereiro 2023 - Valor Real'!C3:C15,0))+1),((L711-1)*(1-_xlfn.XLOOKUP(K711,'Fevereiro 2023 - Valor Real'!A3:A15,'Fevereiro 2023 - Valor Real'!C3:C15,0))+1))/((L711-1)*(1-_xlfn.XLOOKUP(K711,'Fevereiro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Real'!C3:C15,0))+1))/((L709-1)*(1-_xlfn.XLOOKUP(K709,'Fevereiro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Real'!C3:C15,0))+1))/((L710-1)*(1-_xlfn.XLOOKUP(K710,'Fevereiro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Real'!C3:C15,0))+1))/((L711-1)*(1-_xlfn.XLOOKUP(K711,'Fevereiro 2023 - Valor Real'!A3:A15,'Fevereiro 2023 - Valor Real'!C3:C15,0))+1)))</f>
        <v/>
      </c>
      <c r="AF711" s="105">
        <f t="shared" si="1404"/>
        <v>0</v>
      </c>
      <c r="AG711" s="106">
        <f t="shared" si="1404"/>
        <v>0</v>
      </c>
      <c r="AH711" s="106">
        <f t="shared" si="1404"/>
        <v>0</v>
      </c>
      <c r="AI711" s="106">
        <f t="shared" si="1404"/>
        <v>0</v>
      </c>
      <c r="AJ711" s="106">
        <f t="shared" si="1404"/>
        <v>0</v>
      </c>
      <c r="AK711" s="106">
        <f t="shared" si="1404"/>
        <v>0</v>
      </c>
      <c r="AL711" s="106">
        <f t="shared" si="1404"/>
        <v>0</v>
      </c>
      <c r="AM711" s="106">
        <f t="shared" si="1404"/>
        <v>0</v>
      </c>
      <c r="AN711" s="106">
        <f t="shared" si="1404"/>
        <v>0</v>
      </c>
      <c r="AO711" s="106">
        <f t="shared" si="1404"/>
        <v>0</v>
      </c>
      <c r="AP711" s="106">
        <f t="shared" si="1404"/>
        <v>0</v>
      </c>
      <c r="AQ711" s="106">
        <f t="shared" si="1404"/>
        <v>0</v>
      </c>
      <c r="AR711" s="107">
        <f t="shared" si="1404"/>
        <v>0</v>
      </c>
      <c r="AS711" s="105">
        <f>IF(AND($B709=" ",$K711=AS$3),$O711,0)</f>
        <v>0</v>
      </c>
      <c r="AT711" s="106">
        <f>IF(AND($B709=" ",K711=AT$3),$O711,0)</f>
        <v>0</v>
      </c>
      <c r="AU711" s="106">
        <f t="shared" ref="AU711:BE711" si="1445">IF(AND($B709=" ",$K711=AU$3),$O711,0)</f>
        <v>0</v>
      </c>
      <c r="AV711" s="106">
        <f t="shared" si="1445"/>
        <v>0</v>
      </c>
      <c r="AW711" s="106">
        <f t="shared" si="1445"/>
        <v>0</v>
      </c>
      <c r="AX711" s="106">
        <f t="shared" si="1445"/>
        <v>0</v>
      </c>
      <c r="AY711" s="108">
        <f t="shared" si="1445"/>
        <v>0</v>
      </c>
      <c r="AZ711" s="109">
        <f t="shared" si="1445"/>
        <v>0</v>
      </c>
      <c r="BA711" s="109">
        <f t="shared" si="1445"/>
        <v>0</v>
      </c>
      <c r="BB711" s="109">
        <f t="shared" si="1445"/>
        <v>0</v>
      </c>
      <c r="BC711" s="110">
        <f t="shared" si="1445"/>
        <v>0</v>
      </c>
      <c r="BD711" s="106">
        <f t="shared" si="1445"/>
        <v>0</v>
      </c>
      <c r="BE711" s="107">
        <f t="shared" si="1445"/>
        <v>0</v>
      </c>
      <c r="BF711" s="105">
        <f t="shared" si="1406"/>
        <v>0</v>
      </c>
      <c r="BG711" s="106">
        <f t="shared" si="1406"/>
        <v>0</v>
      </c>
      <c r="BH711" s="106">
        <f t="shared" si="1406"/>
        <v>0</v>
      </c>
      <c r="BI711" s="106">
        <f t="shared" si="1406"/>
        <v>0</v>
      </c>
      <c r="BJ711" s="106">
        <f t="shared" si="1406"/>
        <v>0</v>
      </c>
      <c r="BK711" s="106">
        <f t="shared" si="1406"/>
        <v>0</v>
      </c>
      <c r="BL711" s="106">
        <f t="shared" si="1406"/>
        <v>0</v>
      </c>
      <c r="BM711" s="108">
        <f t="shared" si="1406"/>
        <v>0</v>
      </c>
      <c r="BN711" s="109">
        <f t="shared" si="1406"/>
        <v>0</v>
      </c>
      <c r="BO711" s="109">
        <f t="shared" si="1406"/>
        <v>0</v>
      </c>
      <c r="BP711" s="109">
        <f t="shared" si="1406"/>
        <v>0</v>
      </c>
      <c r="BQ711" s="110">
        <f t="shared" si="1406"/>
        <v>0</v>
      </c>
      <c r="BR711" s="107">
        <f t="shared" si="1406"/>
        <v>0</v>
      </c>
      <c r="BS711" s="464"/>
      <c r="BT711" s="461"/>
      <c r="BU711" s="392"/>
      <c r="BV711" s="461"/>
      <c r="BW711" s="392"/>
      <c r="BX711" s="392"/>
      <c r="BY711" s="392"/>
      <c r="BZ711" s="461"/>
      <c r="CA711" s="392"/>
      <c r="CB711" s="392"/>
      <c r="CC711" s="392"/>
      <c r="CD711" s="401"/>
      <c r="CE711" s="409"/>
      <c r="CF711" s="133">
        <f t="shared" si="1412"/>
        <v>0</v>
      </c>
      <c r="CG711" s="134">
        <f t="shared" si="1413"/>
        <v>0</v>
      </c>
      <c r="CH711" s="134">
        <f t="shared" si="1414"/>
        <v>0</v>
      </c>
      <c r="CI711" s="134">
        <f t="shared" si="1415"/>
        <v>0</v>
      </c>
      <c r="CJ711" s="134">
        <f t="shared" si="1416"/>
        <v>0</v>
      </c>
      <c r="CK711" s="134">
        <f t="shared" si="1417"/>
        <v>0</v>
      </c>
      <c r="CL711" s="134">
        <f t="shared" si="1418"/>
        <v>0</v>
      </c>
      <c r="CM711" s="134">
        <f t="shared" si="1419"/>
        <v>0</v>
      </c>
      <c r="CN711" s="134">
        <f t="shared" si="1420"/>
        <v>0</v>
      </c>
      <c r="CO711" s="134">
        <f t="shared" si="1421"/>
        <v>0</v>
      </c>
      <c r="CP711" s="134">
        <f t="shared" si="1422"/>
        <v>0</v>
      </c>
      <c r="CQ711" s="134">
        <f t="shared" si="1423"/>
        <v>0</v>
      </c>
      <c r="CR711" s="134">
        <f t="shared" si="1424"/>
        <v>0</v>
      </c>
      <c r="CS711" s="134">
        <f t="shared" si="1425"/>
        <v>0</v>
      </c>
      <c r="CT711" s="115">
        <f t="shared" si="1426"/>
        <v>0</v>
      </c>
      <c r="CU711" s="116">
        <f t="shared" si="1427"/>
        <v>0</v>
      </c>
      <c r="CV711" s="116">
        <f t="shared" si="1428"/>
        <v>0</v>
      </c>
      <c r="CW711" s="116">
        <f t="shared" si="1429"/>
        <v>0</v>
      </c>
      <c r="CX711" s="116">
        <f t="shared" si="1430"/>
        <v>0</v>
      </c>
      <c r="CY711" s="116">
        <f t="shared" si="1431"/>
        <v>0</v>
      </c>
      <c r="CZ711" s="116">
        <f t="shared" si="1432"/>
        <v>0</v>
      </c>
      <c r="DA711" s="116">
        <f t="shared" si="1433"/>
        <v>0</v>
      </c>
      <c r="DB711" s="116">
        <f t="shared" si="1434"/>
        <v>0</v>
      </c>
      <c r="DC711" s="116">
        <f t="shared" si="1435"/>
        <v>0</v>
      </c>
      <c r="DD711" s="116">
        <f t="shared" si="1436"/>
        <v>0</v>
      </c>
      <c r="DE711" s="117">
        <f t="shared" si="1437"/>
        <v>0</v>
      </c>
      <c r="DF711" s="118">
        <f t="shared" si="1440"/>
        <v>43</v>
      </c>
      <c r="DG711" s="106">
        <f t="shared" si="1441"/>
        <v>57.167999999999992</v>
      </c>
      <c r="DH711" s="116">
        <f t="shared" si="1442"/>
        <v>16</v>
      </c>
      <c r="DI711" s="106">
        <f t="shared" si="1443"/>
        <v>68.699999999999989</v>
      </c>
      <c r="DJ711" s="201" t="str">
        <f>IF($D709="","",$D709)</f>
        <v>23</v>
      </c>
      <c r="DK711" s="466"/>
    </row>
    <row r="712" spans="1:115" ht="14.5" customHeight="1" x14ac:dyDescent="0.2">
      <c r="A712" s="487">
        <f>$A709+1</f>
        <v>237</v>
      </c>
      <c r="B712" s="506" t="str">
        <f>IF(OR(C712="W",C713="W",C714="W",C712="1/2W",C713="1/2W",C714="1/2W",C712="1/2L",C713="1/2L",C714="1/2L"),"OK",IF(OR(C712="L",C713="L",C714="L"),"LOSS",IF(OR(C712="X",C713="X",C714="X"),"Anulado"," ")))</f>
        <v>OK</v>
      </c>
      <c r="C712" s="147" t="s">
        <v>55</v>
      </c>
      <c r="D712" s="494" t="str">
        <f>IF(G712="","",$D709)</f>
        <v>23</v>
      </c>
      <c r="E712" s="511" t="str">
        <f>IF(G712=""," ","– "&amp;COUNTIF(D$4:D714,$D712))</f>
        <v>– 3</v>
      </c>
      <c r="F712" s="510" t="str">
        <f ca="1">IF(G712="","",IF(OR(AND($C712&lt;&gt;" ",$C713=" "),AND($C713&lt;&gt;" ",$C712=" "),AND(L714&gt;0,OR(AND($C714&lt;&gt;" ",OR($C712=" ",$C713=" ")),AND($C714=" ",OR($C712&lt;&gt;" ",$C713&lt;&gt;" "))))),IF(SUM(F$4:F711)=0,1,LARGE(F$4:F711,1)+1),IF(MONTH(G712)=MONTH(TODAY()),IF(AND(DAY(G712)&lt;DAY(TODAY()),$B712=" "),IF(SUM(F$4:F711)=0,1,LARGE(F$4:F711,1)+1),IF($B712=" ",IF(AND(DAY(G712)=DAY(TODAY()),HOUR(G712)&lt;=HOUR(NOW())+1),IF(AND(HOUR(G712)+2&lt;=HOUR(NOW()),DAY(G712)&lt;=DAY(TODAY()),MINUTE(G712)&lt;=MINUTE(NOW())),IF(SUM(F$4:F711)=0,1,LARGE(F$4:F711,1)+1),IF(OR(MINUTE(G712)&lt;=MINUTE(NOW()),HOUR(G712)&lt;=HOUR(NOW())),"!!!","")),""),"")),"")))</f>
        <v/>
      </c>
      <c r="G712" s="508">
        <v>45009.697916666664</v>
      </c>
      <c r="H712" s="502" t="s">
        <v>253</v>
      </c>
      <c r="I712" s="180" t="s">
        <v>51</v>
      </c>
      <c r="J712" s="181">
        <v>2.5</v>
      </c>
      <c r="K712" s="150" t="s">
        <v>37</v>
      </c>
      <c r="L712" s="151">
        <v>2.9</v>
      </c>
      <c r="M712" s="152">
        <v>9.15</v>
      </c>
      <c r="N712" s="503">
        <v>0.1</v>
      </c>
      <c r="O712" s="153">
        <f>IF(OR(AE712="",AE713=""),"",ROUND(IF(L714&gt;0,IF(M712&gt;0,M712,IF(M713&gt;0,ROUND((M713*AE712)/AE713,IF(N712=0,2,IF(N712=0.1,1,0))),ROUND((M714*AE712)/AE714,IF(N712=0,2,IF(N712=0.1,1,0))))),IF(M712&gt;0,M712,ROUND((M713*AE712)/AE713,IF(N712=0,2,IF(N712=0.1,1,0))))),2))</f>
        <v>9.15</v>
      </c>
      <c r="P712" s="154">
        <f>IF(OR(L712="",O712=""),"",IF($C712="1/2W",O712/2+O712/2*L712,IF($C712="1/2L",O712/2,IF(I712="Lay",(O712*(L712/(L712-1))-O712)*(1-_xlfn.XLOOKUP(K712,'Fevereiro 2023 - Valor Real'!A3:A15,'Fevereiro 2023 - Valor Real'!C3:C15,0))+O712,(O712*L712-O712)*(1-_xlfn.XLOOKUP(K712,'Fevereiro 2023 - Valor Real'!A3:A15,'Fevereiro 2023 - Valor Real'!C3:C15,0))+O712))))</f>
        <v>26.534999999999997</v>
      </c>
      <c r="Q712" s="155">
        <f>IF(K712="","",IF(_xlfn.XLOOKUP(K712,K$9:K704,$DJ$9:DJ704,0,,-1)=DJ712,_xlfn.XLOOKUP(K712,K$9:K704,Q$9:Q704,1,,-1)+1,1))</f>
        <v>1</v>
      </c>
      <c r="R712" s="156">
        <f>IF(K712="","",_xlfn.XLOOKUP(K712,K$9:K704,R$9:R704,0,,-1)+IF($C712=" ",1,0))</f>
        <v>0</v>
      </c>
      <c r="S712" s="501">
        <f>IF($B712="Anulado",0,ROUND(IF(OR($B712="LOSS",$B712="OK"),IF(OR($C712="W",$C712="1/2W",$C712="1/2L"),P712-O712,IF($C712="L",-O712,0))+IF(OR($C713="W",$C713="1/2W",$C713="1/2L"),P713-O713,IF($C713="L",-O713,0))+IF(OR($C714="W",$C714="1/2W",$C714="1/2L"),P714-O714,IF($C714="L",-O714,0)),IF(AND(OR($C712="W",$C712="1/2W",$C712="1/2L"),C713="W"),P712+P713-SUM(O712:O714)+_xlfn.XLOOKUP("X",C712:C714,O712:O714,0),IF(AND(C712=TRUE,C714="W"),P712+P714-SUM(O712:O714),IF(AND(C713="W",C714="W"),P713+P714-SUM(O712:O714)+_xlfn.XLOOKUP("X",C712:C714,O712:O714,0),IF(L714&gt;0,IF(OR($C712="W",$C712="1/2W",$C712="1/2L"),P712-SUM(O712:O714)+_xlfn.XLOOKUP("X",C712:C714,O712:O714,0),IF(OR($C712="W",$C712="1/2W",$C712="1/2L"),P713-SUM(O712:O714)+_xlfn.XLOOKUP("X",C712:C714,O712:O714,0),IF(OR($C712="W",$C712="1/2W",$C712="1/2L"),P714-SUM(O712:O714)+_xlfn.XLOOKUP("X",C712:C714,O712:O714,0),IF(SUM(P712:P714)/3-SUM(O712:O714)+_xlfn.XLOOKUP("X",C712:C714,O712:O714,0)&gt;0,SUM(P712:P714)/3-SUM(O712:O714)+_xlfn.XLOOKUP("X",C712:C714,O712:O714,0),LARGE(P712:P714,1)-SUM(O712:O714))))),IF(OR($C712="W",$C712="1/2W",$C712="1/2L"),P712-SUM(O712:O713)+_xlfn.XLOOKUP("X",C712:C714,O712:O714,0),IF(OR($C712="W",$C712="1/2W",$C712="1/2L"),P713-SUM(O712:O713)+_xlfn.XLOOKUP("X",C712:C714,O712:O714,0),SUM(P712:P713)/2-SUM(O712:O713)+_xlfn.XLOOKUP("X",C712:C714,O712:O714,0)))))))),2))</f>
        <v>1.22</v>
      </c>
      <c r="T712" s="486">
        <f>IF(S712=0,0,S712/SUM(O712:O714))</f>
        <v>4.8126232741617356E-2</v>
      </c>
      <c r="U712" s="496">
        <f>IF($D712=$D709,IF(OR($B712="LOSS",$B712="OK",$B712="Anulada"),S712,0)+U709,IF(OR($B712="LOSS",$B712="OK",$B712="Anulada"),S712,0))</f>
        <v>7.5299999999999994</v>
      </c>
      <c r="V712" s="496">
        <f>IF($D712="",0,IF($D712=$D709,IF($B712=" ",IF(I714="",IF(OR(AND(I712="DNB1",I713="DNB2"),AND(OR(I712="DNB1",I712="DNB2"),J713=0),AND(OR(I713="DNB1",I713="DNB2"),J712=0),AND(I712="DNB2",I713="DNB1"),AND(IF(J712=0,(J712+1)/ROUND(J712+1,0),J712/ROUND(J712,0))=1,IF(J713=0,(J713+1)/ROUND(IF(J713="",0,J713)+1,0),IF(J713="",0,J713)/ROUND(IF(J713="",1,J713),0))=1,OR(J712&lt;&gt;""),J713&lt;&gt;"")),0,IF(S712&lt;0,IF(I714="",SMALL(P712:P713,1)-SUM(O712:O713),0),SMALL(P712:P713,1)-SUM(O712:O713))),IF(S712&lt;0,IF(I714="",SMALL(P712:P714,1)-SUM(O712:O714),0),LARGE(P712:P714,1)-SUM(O712:O714))),S712)+V709,IF(I714="",IF(OR(AND(I712="DNB1",I713="DNB2"),AND(OR(I712="DNB1",I712="DNB2"),J713=0),AND(OR(I713="DNB1",I713="DNB2"),J712=0),AND(I712="DNB2",I713="DNB1"),AND(IF(J712=0,(J712+1)/ROUND(J712+1,0),J712/ROUND(J712,0))=1,IF(J713=0,(IF(J713="",0,J713)+1)/ROUND(IF(J713="",0,J713)+1,0),IF(J713="",0,J713)/ROUND(IF(J713="",0,J713)+1,0))=1,OR(J712&lt;&gt;""),J713&lt;&gt;"")),0,IF(S712&lt;0,IF(I714="",SMALL(P712:P713,1)-SUM(O712:O713),0),SMALL(P712:P714,1)-SUM(O712:O714))),IF(S712&lt;0,IF(I714="",SMALL(P712:P714,1)-SUM(O712:O714),0),LARGE(P712:P714,1)-SUM(O712:O714)))))</f>
        <v>7.530000000000002</v>
      </c>
      <c r="W712" s="496">
        <f>IF($D712=$D709,IF(S712&lt;0,IF(I714="",S712,0),S712)+W709,S712)</f>
        <v>7.5299999999999994</v>
      </c>
      <c r="X712" s="505" t="str">
        <f>IF(OR(SUM(R712:R714)=0,V712=W712),ROUND(IF(W712=0,0,W712/Y712)*100,2)&amp;"%",ROUND(IF(V712=0,0,V712/Y712)*100,2)&amp;"% a "&amp;ROUND(IF(W712=0,0,W712/Y712)*100,2)&amp;"%")</f>
        <v>12,38%</v>
      </c>
      <c r="Y712" s="497">
        <f>IF($D712=$D709,Y709+SUM(O712:O714),SUM(O712:O714))</f>
        <v>60.82</v>
      </c>
      <c r="Z712" s="496">
        <f>IF($B712=" ",SUM(O712:O714),0)+Z709</f>
        <v>0</v>
      </c>
      <c r="AA712" s="496">
        <f>IF(G712="","",IF($B712="Anulado",LARGE(P712:P714,1)-SUM(O712:O714)+AA709,AA709))</f>
        <v>13.381099999999991</v>
      </c>
      <c r="AB712" s="496">
        <f>IF($D712="","",AB709+S712)</f>
        <v>813.89000000000067</v>
      </c>
      <c r="AC712" s="499">
        <f ca="1">IF($D712="","",IF($B712=" ",IF(DAY(G712)=DAY(TODAY()),1+AC709,0+AC709),0+AC709))</f>
        <v>0</v>
      </c>
      <c r="AD712" s="157">
        <f>(1-_xlfn.XLOOKUP(K710,'Fevereiro 2023 - Valor Real'!A3:A15,'Fevereiro 2023 - Valor Real'!C3:C15,0))+1</f>
        <v>2</v>
      </c>
      <c r="AE712" s="158">
        <f>IF(L712="","",IF(L714&gt;0,(SUM(((L712-1)*(1-_xlfn.XLOOKUP(K712,'Fevereiro 2023 - Valor Real'!A3:A15,'Fevereiro 2023 - Valor Real'!C3:C15,0))+1),((L713-1)*(1-_xlfn.XLOOKUP(K713,'Fevereiro 2023 - Valor Real'!A3:A15,'Fevereiro 2023 - Valor Real'!C3:C15,0))+1),((L714-1)*(1-_xlfn.XLOOKUP(K714,'Fevereiro 2023 - Valor Real'!A3:A15,'Fevereiro 2023 - Valor Real'!C3:C15,0))+1))/((L712-1)*(1-_xlfn.XLOOKUP(K712,'Fevereiro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Real'!C3:C15,0))+1))/((L712-1)*(1-_xlfn.XLOOKUP(K712,'Fevereiro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Real'!C3:C15,0))+1))/((L713-1)*(1-_xlfn.XLOOKUP(K713,'Fevereiro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Real'!C3:C15,0))+1))/((L714-1)*(1-_xlfn.XLOOKUP(K714,'Fevereiro 2023 - Valor Real'!A3:A15,'Fevereiro 2023 - Valor Real'!C3:C15,0))+1)),IF(I712="Lay",IF(I713="Lay",((L713/(L713-1)-1)*(1-_xlfn.XLOOKUP(K713,'Fevereiro 2023 - Valor Real'!A3:A15,'Fevereiro 2023 - Valor Real'!C3:C15,0))+1)/(((L713/(L713-1)-1)*(1-_xlfn.XLOOKUP(K713,'Fevereiro 2023 - Valor Real'!A3:A15,'Fevereiro 2023 - Valor Real'!C3:C15,0))+1)+((L712/(L712-1)-1)*(1-_xlfn.XLOOKUP(K712,'Fevereiro 2023 - Valor Real'!A3:A15,'Fevereiro 2023 - Valor Real'!C3:C15,0))+1)),((L713-1)*(1-_xlfn.XLOOKUP(K713,'Fevereiro 2023 - Valor Real'!A3:A15,'Fevereiro 2023 - Valor Real'!C3:C15,0))+1)/(((L713-1)*(1-_xlfn.XLOOKUP(K713,'Fevereiro 2023 - Valor Real'!A3:A15,'Fevereiro 2023 - Valor Real'!C3:C15,0))+1)+((L712/(L712-1)-1)*(1-_xlfn.XLOOKUP(K712,'Fevereiro 2023 - Valor Real'!A3:A15,'Fevereiro 2023 - Valor Real'!C3:C15,0))+1))),IF(I713="Lay",(((L713/(L713-1)-1)*(1-_xlfn.XLOOKUP(K713,'Fevereiro 2023 - Valor Real'!A3:A15,'Fevereiro 2023 - Valor Real'!C3:C15,0))+1))/(((L712-1)*(1-_xlfn.XLOOKUP(K712,'Fevereiro 2023 - Valor Real'!A3:A15,'Fevereiro 2023 - Valor Real'!C3:C15,0))+1)+((L713/(L713-1)-1)*(1-_xlfn.XLOOKUP(K713,'Fevereiro 2023 - Valor Real'!A3:A15,'Fevereiro 2023 - Valor Real'!C3:C15,0))+1)),((L713-1)*(1-_xlfn.XLOOKUP(K713,'Fevereiro 2023 - Valor Real'!A3:A15,'Fevereiro 2023 - Valor Real'!C3:C15,0))+1)/(((L713-1)*(1-_xlfn.XLOOKUP(K713,'Fevereiro 2023 - Valor Real'!A3:A15,'Fevereiro 2023 - Valor Real'!C3:C15,0))+1)+((L712-1)*(1-_xlfn.XLOOKUP(K712,'Fevereiro 2023 - Valor Real'!A3:A15,'Fevereiro 2023 - Valor Real'!C3:C15,0))+1))))))</f>
        <v>0.36123348017621143</v>
      </c>
      <c r="AF712" s="66">
        <f t="shared" si="1404"/>
        <v>0</v>
      </c>
      <c r="AG712" s="67">
        <f t="shared" si="1404"/>
        <v>-9.15</v>
      </c>
      <c r="AH712" s="67">
        <f t="shared" si="1404"/>
        <v>0</v>
      </c>
      <c r="AI712" s="67">
        <f t="shared" si="1404"/>
        <v>0</v>
      </c>
      <c r="AJ712" s="67">
        <f t="shared" si="1404"/>
        <v>0</v>
      </c>
      <c r="AK712" s="67">
        <f t="shared" si="1404"/>
        <v>0</v>
      </c>
      <c r="AL712" s="67">
        <f t="shared" si="1404"/>
        <v>0</v>
      </c>
      <c r="AM712" s="67">
        <f t="shared" si="1404"/>
        <v>0</v>
      </c>
      <c r="AN712" s="67">
        <f t="shared" si="1404"/>
        <v>0</v>
      </c>
      <c r="AO712" s="67">
        <f t="shared" si="1404"/>
        <v>0</v>
      </c>
      <c r="AP712" s="67">
        <f t="shared" si="1404"/>
        <v>0</v>
      </c>
      <c r="AQ712" s="67">
        <f t="shared" si="1404"/>
        <v>0</v>
      </c>
      <c r="AR712" s="68">
        <f t="shared" si="1404"/>
        <v>0</v>
      </c>
      <c r="AS712" s="66">
        <f t="shared" ref="AS712:BE712" si="1446">IF(AND($B712=" ",$K712=AS$3),$O712,0)</f>
        <v>0</v>
      </c>
      <c r="AT712" s="67">
        <f t="shared" si="1446"/>
        <v>0</v>
      </c>
      <c r="AU712" s="67">
        <f t="shared" si="1446"/>
        <v>0</v>
      </c>
      <c r="AV712" s="67">
        <f t="shared" si="1446"/>
        <v>0</v>
      </c>
      <c r="AW712" s="67">
        <f t="shared" si="1446"/>
        <v>0</v>
      </c>
      <c r="AX712" s="67">
        <f t="shared" si="1446"/>
        <v>0</v>
      </c>
      <c r="AY712" s="69">
        <f t="shared" si="1446"/>
        <v>0</v>
      </c>
      <c r="AZ712" s="70">
        <f t="shared" si="1446"/>
        <v>0</v>
      </c>
      <c r="BA712" s="70">
        <f t="shared" si="1446"/>
        <v>0</v>
      </c>
      <c r="BB712" s="70">
        <f t="shared" si="1446"/>
        <v>0</v>
      </c>
      <c r="BC712" s="71">
        <f t="shared" si="1446"/>
        <v>0</v>
      </c>
      <c r="BD712" s="67">
        <f t="shared" si="1446"/>
        <v>0</v>
      </c>
      <c r="BE712" s="68">
        <f t="shared" si="1446"/>
        <v>0</v>
      </c>
      <c r="BF712" s="66">
        <f t="shared" si="1406"/>
        <v>0</v>
      </c>
      <c r="BG712" s="67">
        <f t="shared" si="1406"/>
        <v>9.15</v>
      </c>
      <c r="BH712" s="67">
        <f t="shared" si="1406"/>
        <v>0</v>
      </c>
      <c r="BI712" s="67">
        <f t="shared" si="1406"/>
        <v>0</v>
      </c>
      <c r="BJ712" s="67">
        <f t="shared" si="1406"/>
        <v>0</v>
      </c>
      <c r="BK712" s="67">
        <f t="shared" si="1406"/>
        <v>0</v>
      </c>
      <c r="BL712" s="67">
        <f t="shared" si="1406"/>
        <v>0</v>
      </c>
      <c r="BM712" s="69">
        <f t="shared" si="1406"/>
        <v>0</v>
      </c>
      <c r="BN712" s="70">
        <f t="shared" si="1406"/>
        <v>0</v>
      </c>
      <c r="BO712" s="70">
        <f t="shared" si="1406"/>
        <v>0</v>
      </c>
      <c r="BP712" s="70">
        <f t="shared" si="1406"/>
        <v>0</v>
      </c>
      <c r="BQ712" s="71">
        <f t="shared" si="1406"/>
        <v>0</v>
      </c>
      <c r="BR712" s="68">
        <f t="shared" si="1406"/>
        <v>0</v>
      </c>
      <c r="BS712" s="490">
        <f>IF($B712="LOSS",IF(AND($K712=BS$3,$C712="L"),-$O712,0)+IF(AND($K713=BS$3,$C713="L"),-$O713,0)+IF(AND($K714=BS$3,$C714="L"),-$O714,0),IF(OR(AND($K712=BS$3,OR($C712="W",$C712="1/2W")),AND($K713=BS$3,OR($C713="W",$C713="1/2W")),AND($K714=BS$3,OR($C714="W",$C714="1/2W"))),$S712,0))</f>
        <v>0</v>
      </c>
      <c r="BT712" s="498">
        <f>IF($B712="LOSS",IF(AND($K712=BT$3,$C712="L"),-$O712,0)+IF(AND($K713=BT$3,$C713="L"),-$O713,0)+IF(AND($K713=BT$3,$C714="L"),-$O714,0),IF(OR(AND($K713=BT$3,OR($C712="W",$C712="1/2W")),AND($K713=BT$3,OR($C713="W",$C713="1/2W")),AND($K713=BT$3,OR($C714="W",$C714="1/2W"))),$S712,0))</f>
        <v>0</v>
      </c>
      <c r="BU712" s="488">
        <f>IF($B712="LOSS",IF(AND($K712=BU$3,$C712="L"),-$O712,0)+IF(AND($K713=BU$3,$C713="L"),-$O713,0)+IF(AND($K713=BU$3,$C714="L"),-$O714,0),IF(OR(AND($K713=BU$3,OR($C712="W",$C712="1/2W")),AND($K713=BU$3,OR($C713="W",$C713="1/2W")),AND($K713=BU$3,OR($C714="W",$C714="1/2W"))),$S712,0))</f>
        <v>0</v>
      </c>
      <c r="BV712" s="488">
        <f t="shared" ref="BV712:CE712" si="1447">IF($B712="LOSS",IF(AND($K712=BV$3,$C712="L"),-$O712,0)+IF(AND($K713=BV$3,$C713="L"),-$O713,0)+IF(AND($K714=BV$3,$C714="L"),-$O714,0),IF(OR(AND($K712=BV$3,OR($C712="W",$C712="1/2W")),AND($K713=BV$3,OR($C713="W",$C713="1/2W")),AND($K714=BV$3,OR($C714="W",$C714="1/2W"))),$S712,0))</f>
        <v>0</v>
      </c>
      <c r="BW712" s="488">
        <f t="shared" si="1447"/>
        <v>0</v>
      </c>
      <c r="BX712" s="488">
        <f t="shared" si="1447"/>
        <v>0</v>
      </c>
      <c r="BY712" s="488">
        <f t="shared" si="1447"/>
        <v>0</v>
      </c>
      <c r="BZ712" s="488">
        <f t="shared" si="1447"/>
        <v>0</v>
      </c>
      <c r="CA712" s="488">
        <f t="shared" si="1447"/>
        <v>0</v>
      </c>
      <c r="CB712" s="488">
        <f t="shared" si="1447"/>
        <v>0</v>
      </c>
      <c r="CC712" s="488">
        <f t="shared" si="1447"/>
        <v>0</v>
      </c>
      <c r="CD712" s="500">
        <f t="shared" si="1447"/>
        <v>1.22</v>
      </c>
      <c r="CE712" s="504">
        <f t="shared" si="1447"/>
        <v>0</v>
      </c>
      <c r="CF712" s="160">
        <f t="shared" si="1412"/>
        <v>0</v>
      </c>
      <c r="CG712" s="161">
        <f t="shared" si="1413"/>
        <v>0</v>
      </c>
      <c r="CH712" s="161">
        <f t="shared" si="1414"/>
        <v>0</v>
      </c>
      <c r="CI712" s="161">
        <f t="shared" si="1415"/>
        <v>1</v>
      </c>
      <c r="CJ712" s="161">
        <f t="shared" si="1416"/>
        <v>0</v>
      </c>
      <c r="CK712" s="161">
        <f t="shared" si="1417"/>
        <v>0</v>
      </c>
      <c r="CL712" s="161">
        <f t="shared" si="1418"/>
        <v>0</v>
      </c>
      <c r="CM712" s="161">
        <f t="shared" si="1419"/>
        <v>0</v>
      </c>
      <c r="CN712" s="161">
        <f t="shared" si="1420"/>
        <v>0</v>
      </c>
      <c r="CO712" s="161">
        <f t="shared" si="1421"/>
        <v>0</v>
      </c>
      <c r="CP712" s="161">
        <f t="shared" si="1422"/>
        <v>0</v>
      </c>
      <c r="CQ712" s="161">
        <f t="shared" si="1423"/>
        <v>0</v>
      </c>
      <c r="CR712" s="161">
        <f t="shared" si="1424"/>
        <v>0</v>
      </c>
      <c r="CS712" s="161">
        <f t="shared" si="1425"/>
        <v>0</v>
      </c>
      <c r="CT712" s="75">
        <f t="shared" si="1426"/>
        <v>0</v>
      </c>
      <c r="CU712" s="76">
        <f t="shared" si="1427"/>
        <v>0</v>
      </c>
      <c r="CV712" s="76">
        <f t="shared" si="1428"/>
        <v>0</v>
      </c>
      <c r="CW712" s="76">
        <f t="shared" si="1429"/>
        <v>0</v>
      </c>
      <c r="CX712" s="76">
        <f t="shared" si="1430"/>
        <v>0</v>
      </c>
      <c r="CY712" s="76">
        <f t="shared" si="1431"/>
        <v>0</v>
      </c>
      <c r="CZ712" s="76">
        <f t="shared" si="1432"/>
        <v>0</v>
      </c>
      <c r="DA712" s="76">
        <f t="shared" si="1433"/>
        <v>0</v>
      </c>
      <c r="DB712" s="76">
        <f t="shared" si="1434"/>
        <v>0</v>
      </c>
      <c r="DC712" s="76">
        <f t="shared" si="1435"/>
        <v>0</v>
      </c>
      <c r="DD712" s="76">
        <f t="shared" si="1436"/>
        <v>0</v>
      </c>
      <c r="DE712" s="77">
        <f t="shared" si="1437"/>
        <v>0</v>
      </c>
      <c r="DF712" s="73">
        <f t="shared" si="1440"/>
        <v>43</v>
      </c>
      <c r="DG712" s="67">
        <f t="shared" si="1441"/>
        <v>57.167999999999992</v>
      </c>
      <c r="DH712" s="76">
        <f t="shared" si="1442"/>
        <v>16</v>
      </c>
      <c r="DI712" s="67">
        <f t="shared" si="1443"/>
        <v>68.699999999999989</v>
      </c>
      <c r="DJ712" s="202" t="str">
        <f>IF($D712="","",$D712)</f>
        <v>23</v>
      </c>
      <c r="DK712" s="492">
        <f>IF(AND($B712=" ",$D712&lt;&gt;""),1,0)</f>
        <v>0</v>
      </c>
    </row>
    <row r="713" spans="1:115" ht="14.5" customHeight="1" x14ac:dyDescent="0.2">
      <c r="A713" s="389"/>
      <c r="B713" s="456"/>
      <c r="C713" s="53" t="s">
        <v>54</v>
      </c>
      <c r="D713" s="374"/>
      <c r="E713" s="386"/>
      <c r="F713" s="377"/>
      <c r="G713" s="508"/>
      <c r="H713" s="476"/>
      <c r="I713" s="182" t="s">
        <v>52</v>
      </c>
      <c r="J713" s="56">
        <f>IF(OR(I712="TO",I712="TU",I712="TO1",I712="TU1",I712="TO2",I712="TU2"),J712,IF(OR(I712="AH1",I712="AH2"),IF(OR(I713="AH1",I713="AH2"),-J712,IF(OR(I713="EH1",I713="EH2"),-J712+0.5,"")),IF(OR(I712="EH1",I712="EH2"),IF(OR(I713="AH1",I713="AH2"),-J712+0.5,IF(OR(I713="EH1",I713="EH2"),-J712+1,"")),IF(AND(OR(I712="DNB1",I712="DNB2"),OR(I713="AH1",I713="AH2")),0,IF(AND(I712="Not ScoreBoth",OR(I713="TO1",I713="TO2")),0.5,"")))))</f>
        <v>2.5</v>
      </c>
      <c r="K713" s="57" t="s">
        <v>47</v>
      </c>
      <c r="L713" s="164">
        <v>1.64</v>
      </c>
      <c r="M713" s="165"/>
      <c r="N713" s="406"/>
      <c r="O713" s="60">
        <f>IF(OR(AE712="",AE713=""),"",ROUND(IF(L714&gt;0,IF(M713&gt;0,M713,IF(M712&gt;0,IF(N712=TRUE,ROUND((M712*AE713)/AE712,0),(M712*AE713)/AE712),IF(M713&gt;0,ROUND(M713,IF(N712=0,2,IF(N712=0.1,1,0))),IF(M714&gt;0,ROUND(O714*AE713/AE714,IF(N712=0,2,IF(N712=0.1,1,0))),0)))),IF(M713&gt;0,M713,ROUND((M712*AE713)/AE712,IF(N712=0,2,IF(N712=0.1,1,0))))),2))</f>
        <v>16.2</v>
      </c>
      <c r="P713" s="61">
        <f>IF(OR(L713="",O713=""),"",IF($C713="1/2W",O713/2+O713/2*L713,IF($C713="1/2L",O713/2,IF(I713="Lay",((O713*(L713/(L713-1)))-O713)*(1-_xlfn.XLOOKUP(K713,'Fevereiro 2023 - Valor Real'!A3:A15,'Fevereiro 2023 - Valor Real'!C3:C15,0))+O713,(O713*L713-O713)*(1-_xlfn.XLOOKUP(K713,'Fevereiro 2023 - Valor Real'!A3:A15,'Fevereiro 2023 - Valor Real'!C3:C15,0))+O713))))</f>
        <v>26.567999999999998</v>
      </c>
      <c r="Q713" s="166">
        <f>IF(K713="","",IF(_xlfn.XLOOKUP(K713,K$10:K704,$DJ$10:DJ704,0,,-1)=DJ713,_xlfn.XLOOKUP(K713,K$10:K704,Q$10:Q704,1,,-1)+1,1))</f>
        <v>1</v>
      </c>
      <c r="R713" s="167">
        <f>IF(K713="","",_xlfn.XLOOKUP(K713,K$10:K704,R$10:R704,0,,-1)+IF($C713=" ",1,0))</f>
        <v>0</v>
      </c>
      <c r="S713" s="403"/>
      <c r="T713" s="380"/>
      <c r="U713" s="380"/>
      <c r="V713" s="481"/>
      <c r="W713" s="380"/>
      <c r="X713" s="452"/>
      <c r="Y713" s="383"/>
      <c r="Z713" s="384"/>
      <c r="AA713" s="384"/>
      <c r="AB713" s="384"/>
      <c r="AC713" s="384"/>
      <c r="AD713" s="64"/>
      <c r="AE713" s="65">
        <f>IF(L713="","",IF(L714&gt;0,(SUM(((L712-1)*(1-_xlfn.XLOOKUP(K712,'Fevereiro 2023 - Valor Real'!A3:A15,'Fevereiro 2023 - Valor Real'!C3:C15,0))+1),((L713-1)*(1-_xlfn.XLOOKUP(K713,'Fevereiro 2023 - Valor Real'!A3:A15,'Fevereiro 2023 - Valor Real'!C3:C15,0))+1),((L714-1)*(1-_xlfn.XLOOKUP(K714,'Fevereiro 2023 - Valor Real'!A3:A15,'Fevereiro 2023 - Valor Real'!C3:C15,0))+1))/((L713-1)*(1-_xlfn.XLOOKUP(K713,'Fevereiro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Real'!C3:C15,0))+1))/((L712-1)*(1-_xlfn.XLOOKUP(K712,'Fevereiro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Real'!C3:C15,0))+1))/((L713-1)*(1-_xlfn.XLOOKUP(K713,'Fevereiro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Real'!C3:C15,0))+1))/((L714-1)*(1-_xlfn.XLOOKUP(K714,'Fevereiro 2023 - Valor Real'!A3:A15,'Fevereiro 2023 - Valor Real'!C3:C15,0))+1)),IF(I713="Lay",IF(I712="Lay",((L712/(L712-1)-1)*(1-_xlfn.XLOOKUP(K712,'Fevereiro 2023 - Valor Real'!A3:A15,'Fevereiro 2023 - Valor Real'!C3:C15,0))+1)/(((L712/(L712-1)-1)*(1-_xlfn.XLOOKUP(K712,'Fevereiro 2023 - Valor Real'!A3:A15,'Fevereiro 2023 - Valor Real'!C3:C15,0))+1)+((L713/(L713-1)-1)*(1-_xlfn.XLOOKUP(K713,'Fevereiro 2023 - Valor Real'!A3:A15,'Fevereiro 2023 - Valor Real'!C3:C15,0))+1)),((L712-1)*(1-_xlfn.XLOOKUP(K712,'Fevereiro 2023 - Valor Real'!A3:A15,'Fevereiro 2023 - Valor Real'!C3:C15,0))+1)/(((L712-1)*(1-_xlfn.XLOOKUP(K712,'Fevereiro 2023 - Valor Real'!A3:A15,'Fevereiro 2023 - Valor Real'!C3:C15,0))+1)+((L713/(L713-1)-1)*(1-_xlfn.XLOOKUP(K713,'Fevereiro 2023 - Valor Real'!A3:A15,'Fevereiro 2023 - Valor Real'!C3:C15,0))+1))),IF(I712="Lay",((L712/(L712-1)-1)*(1-_xlfn.XLOOKUP(K712,'Fevereiro 2023 - Valor Real'!A3:A15,'Fevereiro 2023 - Valor Real'!C3:C15,0))+1)/((((L712/(L712-1)-1)*(1-_xlfn.XLOOKUP(K712,'Fevereiro 2023 - Valor Real'!A3:A15,'Fevereiro 2023 - Valor Real'!C3:C15,0))+1))+((L713-1)*(1-_xlfn.XLOOKUP(K713,'Fevereiro 2023 - Valor Real'!A3:A15,'Fevereiro 2023 - Valor Real'!C3:C15,0))+1)),((L712-1)*(1-_xlfn.XLOOKUP(K712,'Fevereiro 2023 - Valor Real'!A3:A15,'Fevereiro 2023 - Valor Real'!C3:C15,0))+1)/(((L712-1)*(1-_xlfn.XLOOKUP(K712,'Fevereiro 2023 - Valor Real'!A3:A15,'Fevereiro 2023 - Valor Real'!C3:C15,0))+1)+((L713-1)*(1-_xlfn.XLOOKUP(K713,'Fevereiro 2023 - Valor Real'!A3:A15,'Fevereiro 2023 - Valor Real'!C3:C15,0))+1))))))</f>
        <v>0.63876651982378851</v>
      </c>
      <c r="AF713" s="66">
        <f t="shared" si="1404"/>
        <v>0</v>
      </c>
      <c r="AG713" s="67">
        <f t="shared" si="1404"/>
        <v>0</v>
      </c>
      <c r="AH713" s="67">
        <f t="shared" si="1404"/>
        <v>0</v>
      </c>
      <c r="AI713" s="67">
        <f t="shared" si="1404"/>
        <v>0</v>
      </c>
      <c r="AJ713" s="67">
        <f t="shared" si="1404"/>
        <v>0</v>
      </c>
      <c r="AK713" s="67">
        <f t="shared" si="1404"/>
        <v>0</v>
      </c>
      <c r="AL713" s="67">
        <f t="shared" si="1404"/>
        <v>0</v>
      </c>
      <c r="AM713" s="67">
        <f t="shared" si="1404"/>
        <v>0</v>
      </c>
      <c r="AN713" s="67">
        <f t="shared" si="1404"/>
        <v>0</v>
      </c>
      <c r="AO713" s="67">
        <f t="shared" si="1404"/>
        <v>0</v>
      </c>
      <c r="AP713" s="67">
        <f t="shared" si="1404"/>
        <v>0</v>
      </c>
      <c r="AQ713" s="67">
        <f t="shared" si="1404"/>
        <v>10.37</v>
      </c>
      <c r="AR713" s="68">
        <f t="shared" si="1404"/>
        <v>0</v>
      </c>
      <c r="AS713" s="66">
        <f>IF(AND($B712=" ",$K713=AS$3),$O713,0)</f>
        <v>0</v>
      </c>
      <c r="AT713" s="67">
        <f>IF(AND($B712=" ",K713=AT$3),$O713,0)</f>
        <v>0</v>
      </c>
      <c r="AU713" s="67">
        <f t="shared" ref="AU713:BE713" si="1448">IF(AND($B712=" ",$K713=AU$3),$O713,0)</f>
        <v>0</v>
      </c>
      <c r="AV713" s="67">
        <f t="shared" si="1448"/>
        <v>0</v>
      </c>
      <c r="AW713" s="67">
        <f t="shared" si="1448"/>
        <v>0</v>
      </c>
      <c r="AX713" s="67">
        <f t="shared" si="1448"/>
        <v>0</v>
      </c>
      <c r="AY713" s="69">
        <f t="shared" si="1448"/>
        <v>0</v>
      </c>
      <c r="AZ713" s="70">
        <f t="shared" si="1448"/>
        <v>0</v>
      </c>
      <c r="BA713" s="70">
        <f t="shared" si="1448"/>
        <v>0</v>
      </c>
      <c r="BB713" s="70">
        <f t="shared" si="1448"/>
        <v>0</v>
      </c>
      <c r="BC713" s="71">
        <f t="shared" si="1448"/>
        <v>0</v>
      </c>
      <c r="BD713" s="67">
        <f t="shared" si="1448"/>
        <v>0</v>
      </c>
      <c r="BE713" s="68">
        <f t="shared" si="1448"/>
        <v>0</v>
      </c>
      <c r="BF713" s="66">
        <f t="shared" si="1406"/>
        <v>0</v>
      </c>
      <c r="BG713" s="168">
        <f t="shared" si="1406"/>
        <v>0</v>
      </c>
      <c r="BH713" s="67">
        <f t="shared" si="1406"/>
        <v>0</v>
      </c>
      <c r="BI713" s="67">
        <f t="shared" si="1406"/>
        <v>0</v>
      </c>
      <c r="BJ713" s="67">
        <f t="shared" si="1406"/>
        <v>0</v>
      </c>
      <c r="BK713" s="67">
        <f t="shared" si="1406"/>
        <v>0</v>
      </c>
      <c r="BL713" s="67">
        <f t="shared" si="1406"/>
        <v>0</v>
      </c>
      <c r="BM713" s="69">
        <f t="shared" si="1406"/>
        <v>0</v>
      </c>
      <c r="BN713" s="70">
        <f t="shared" si="1406"/>
        <v>0</v>
      </c>
      <c r="BO713" s="70">
        <f t="shared" si="1406"/>
        <v>0</v>
      </c>
      <c r="BP713" s="70">
        <f t="shared" si="1406"/>
        <v>0</v>
      </c>
      <c r="BQ713" s="71">
        <f t="shared" si="1406"/>
        <v>16.2</v>
      </c>
      <c r="BR713" s="68">
        <f t="shared" si="1406"/>
        <v>0</v>
      </c>
      <c r="BS713" s="491"/>
      <c r="BT713" s="489"/>
      <c r="BU713" s="392"/>
      <c r="BV713" s="489"/>
      <c r="BW713" s="392"/>
      <c r="BX713" s="392"/>
      <c r="BY713" s="392"/>
      <c r="BZ713" s="489"/>
      <c r="CA713" s="392"/>
      <c r="CB713" s="392"/>
      <c r="CC713" s="392"/>
      <c r="CD713" s="401"/>
      <c r="CE713" s="409"/>
      <c r="CF713" s="169">
        <f t="shared" si="1412"/>
        <v>0</v>
      </c>
      <c r="CG713" s="170">
        <f t="shared" si="1413"/>
        <v>0</v>
      </c>
      <c r="CH713" s="170">
        <f t="shared" si="1414"/>
        <v>0</v>
      </c>
      <c r="CI713" s="170">
        <f t="shared" si="1415"/>
        <v>0</v>
      </c>
      <c r="CJ713" s="170">
        <f t="shared" si="1416"/>
        <v>0</v>
      </c>
      <c r="CK713" s="170">
        <f t="shared" si="1417"/>
        <v>0</v>
      </c>
      <c r="CL713" s="170">
        <f t="shared" si="1418"/>
        <v>0</v>
      </c>
      <c r="CM713" s="170">
        <f t="shared" si="1419"/>
        <v>0</v>
      </c>
      <c r="CN713" s="170">
        <f t="shared" si="1420"/>
        <v>0</v>
      </c>
      <c r="CO713" s="170">
        <f t="shared" si="1421"/>
        <v>0</v>
      </c>
      <c r="CP713" s="170">
        <f t="shared" si="1422"/>
        <v>0</v>
      </c>
      <c r="CQ713" s="170">
        <f t="shared" si="1423"/>
        <v>0</v>
      </c>
      <c r="CR713" s="170">
        <f t="shared" si="1424"/>
        <v>0</v>
      </c>
      <c r="CS713" s="170">
        <f t="shared" si="1425"/>
        <v>0</v>
      </c>
      <c r="CT713" s="75">
        <f t="shared" si="1426"/>
        <v>0</v>
      </c>
      <c r="CU713" s="76">
        <f t="shared" si="1427"/>
        <v>0</v>
      </c>
      <c r="CV713" s="76">
        <f t="shared" si="1428"/>
        <v>0</v>
      </c>
      <c r="CW713" s="76">
        <f t="shared" si="1429"/>
        <v>0</v>
      </c>
      <c r="CX713" s="76">
        <f t="shared" si="1430"/>
        <v>0</v>
      </c>
      <c r="CY713" s="76">
        <f t="shared" si="1431"/>
        <v>0</v>
      </c>
      <c r="CZ713" s="76">
        <f t="shared" si="1432"/>
        <v>0</v>
      </c>
      <c r="DA713" s="76">
        <f t="shared" si="1433"/>
        <v>0</v>
      </c>
      <c r="DB713" s="76">
        <f t="shared" si="1434"/>
        <v>1</v>
      </c>
      <c r="DC713" s="76">
        <f t="shared" si="1435"/>
        <v>0</v>
      </c>
      <c r="DD713" s="76">
        <f t="shared" si="1436"/>
        <v>0</v>
      </c>
      <c r="DE713" s="77">
        <f t="shared" si="1437"/>
        <v>0</v>
      </c>
      <c r="DF713" s="73">
        <f t="shared" si="1440"/>
        <v>43</v>
      </c>
      <c r="DG713" s="67">
        <f t="shared" si="1441"/>
        <v>57.167999999999992</v>
      </c>
      <c r="DH713" s="76">
        <f t="shared" si="1442"/>
        <v>16</v>
      </c>
      <c r="DI713" s="67">
        <f t="shared" si="1443"/>
        <v>68.699999999999989</v>
      </c>
      <c r="DJ713" s="202" t="str">
        <f>IF($D712="","",$D712)</f>
        <v>23</v>
      </c>
      <c r="DK713" s="493"/>
    </row>
    <row r="714" spans="1:115" ht="14.5" customHeight="1" x14ac:dyDescent="0.2">
      <c r="A714" s="390"/>
      <c r="B714" s="457"/>
      <c r="C714" s="79" t="s">
        <v>53</v>
      </c>
      <c r="D714" s="375"/>
      <c r="E714" s="387"/>
      <c r="F714" s="378"/>
      <c r="G714" s="508"/>
      <c r="H714" s="477"/>
      <c r="I714" s="171"/>
      <c r="J714" s="172"/>
      <c r="K714" s="81"/>
      <c r="L714" s="173"/>
      <c r="M714" s="174"/>
      <c r="N714" s="407"/>
      <c r="O714" s="86" t="str">
        <f>IF(OR(AE712="",AE713=""),"",IF(L714&gt;0,ROUND(IF(M714&gt;0,M714,IF(M712&gt;0,ROUND((M712*AE714)/AE712,IF(N712=0,2,IF(N712=0.1,1,0))),IF(M713&gt;0,ROUND((M713*AE714)/AE713,IF(N712=0,2,IF(N712=0.1,1,0))),IF(M714&gt;0,M714,0)))),2),""))</f>
        <v/>
      </c>
      <c r="P714" s="87" t="str">
        <f>IF(I713="Lay",O713*(L713/(L713-1))-O713,IF(I712="Lay",O712*(L712/(L712-1))-O712,IF(OR(L714="",O714=""),"",IF($C714="1/2W",O714/2+O714/2*L714,IF($C714="1/2L",O714/2,(O714*L714-O714)*(1-_xlfn.XLOOKUP(K714,'Fevereiro 2023 - Valor Real'!A3:A15,'Fevereiro 2023 - Valor Real'!C3:C15,0))+O714)))))</f>
        <v/>
      </c>
      <c r="Q714" s="54" t="str">
        <f>IF(K714="","",IF(_xlfn.XLOOKUP(K714,K$11:K704,$DJ$11:DJ704,0,,-1)=DJ714,_xlfn.XLOOKUP(K714,K$11:K704,Q$11:Q704,1,,-1)+1,1))</f>
        <v/>
      </c>
      <c r="R714" s="87" t="str">
        <f>IF(K714="","",_xlfn.XLOOKUP(K714,K$11:K704,R$11:R704,0,,-1)+IF($C714=" ",1,0))</f>
        <v/>
      </c>
      <c r="S714" s="404"/>
      <c r="T714" s="378"/>
      <c r="U714" s="378"/>
      <c r="V714" s="404"/>
      <c r="W714" s="378"/>
      <c r="X714" s="453"/>
      <c r="Y714" s="383"/>
      <c r="Z714" s="384"/>
      <c r="AA714" s="384"/>
      <c r="AB714" s="384"/>
      <c r="AC714" s="384"/>
      <c r="AD714" s="90"/>
      <c r="AE714" s="91" t="str">
        <f>IF(L714="","",(SUM(((L712-1)*(1-_xlfn.XLOOKUP(K712,'Fevereiro 2023 - Valor Real'!A3:A15,'Fevereiro 2023 - Valor Real'!C3:C15,0))+1),((L713-1)*(1-_xlfn.XLOOKUP(K713,'Fevereiro 2023 - Valor Real'!A3:A15,'Fevereiro 2023 - Valor Real'!C3:C15,0))+1),((L714-1)*(1-_xlfn.XLOOKUP(K714,'Fevereiro 2023 - Valor Real'!A3:A15,'Fevereiro 2023 - Valor Real'!C3:C15,0))+1))/((L714-1)*(1-_xlfn.XLOOKUP(K714,'Fevereiro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Real'!C3:C15,0))+1))/((L712-1)*(1-_xlfn.XLOOKUP(K712,'Fevereiro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Real'!C3:C15,0))+1))/((L713-1)*(1-_xlfn.XLOOKUP(K713,'Fevereiro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Real'!C3:C15,0))+1))/((L714-1)*(1-_xlfn.XLOOKUP(K714,'Fevereiro 2023 - Valor Real'!A3:A15,'Fevereiro 2023 - Valor Real'!C3:C15,0))+1)))</f>
        <v/>
      </c>
      <c r="AF714" s="66">
        <f t="shared" ref="AF714:AR723" si="1449">IF($K714=AF$3,ROUND(IF(OR($C714="W",$C714="1/2W",$C714="1/2L"),$P714-$O714,IF($C714="X",0,-$O714)),2),0)</f>
        <v>0</v>
      </c>
      <c r="AG714" s="67">
        <f t="shared" si="1449"/>
        <v>0</v>
      </c>
      <c r="AH714" s="67">
        <f t="shared" si="1449"/>
        <v>0</v>
      </c>
      <c r="AI714" s="67">
        <f t="shared" si="1449"/>
        <v>0</v>
      </c>
      <c r="AJ714" s="67">
        <f t="shared" si="1449"/>
        <v>0</v>
      </c>
      <c r="AK714" s="67">
        <f t="shared" si="1449"/>
        <v>0</v>
      </c>
      <c r="AL714" s="67">
        <f t="shared" si="1449"/>
        <v>0</v>
      </c>
      <c r="AM714" s="67">
        <f t="shared" si="1449"/>
        <v>0</v>
      </c>
      <c r="AN714" s="67">
        <f t="shared" si="1449"/>
        <v>0</v>
      </c>
      <c r="AO714" s="67">
        <f t="shared" si="1449"/>
        <v>0</v>
      </c>
      <c r="AP714" s="67">
        <f t="shared" si="1449"/>
        <v>0</v>
      </c>
      <c r="AQ714" s="67">
        <f t="shared" si="1449"/>
        <v>0</v>
      </c>
      <c r="AR714" s="68">
        <f t="shared" si="1449"/>
        <v>0</v>
      </c>
      <c r="AS714" s="66">
        <f>IF(AND($B712=" ",$K714=AS$3),$O714,0)</f>
        <v>0</v>
      </c>
      <c r="AT714" s="67">
        <f>IF(AND($B712=" ",K714=AT$3),$O714,0)</f>
        <v>0</v>
      </c>
      <c r="AU714" s="67">
        <f t="shared" ref="AU714:BE714" si="1450">IF(AND($B712=" ",$K714=AU$3),$O714,0)</f>
        <v>0</v>
      </c>
      <c r="AV714" s="67">
        <f t="shared" si="1450"/>
        <v>0</v>
      </c>
      <c r="AW714" s="67">
        <f t="shared" si="1450"/>
        <v>0</v>
      </c>
      <c r="AX714" s="67">
        <f t="shared" si="1450"/>
        <v>0</v>
      </c>
      <c r="AY714" s="69">
        <f t="shared" si="1450"/>
        <v>0</v>
      </c>
      <c r="AZ714" s="70">
        <f t="shared" si="1450"/>
        <v>0</v>
      </c>
      <c r="BA714" s="70">
        <f t="shared" si="1450"/>
        <v>0</v>
      </c>
      <c r="BB714" s="70">
        <f t="shared" si="1450"/>
        <v>0</v>
      </c>
      <c r="BC714" s="71">
        <f t="shared" si="1450"/>
        <v>0</v>
      </c>
      <c r="BD714" s="67">
        <f t="shared" si="1450"/>
        <v>0</v>
      </c>
      <c r="BE714" s="68">
        <f t="shared" si="1450"/>
        <v>0</v>
      </c>
      <c r="BF714" s="66">
        <f t="shared" ref="BF714:BR723" si="1451">IF($K714=BF$3,IF($C714="X",0,$O714),0)</f>
        <v>0</v>
      </c>
      <c r="BG714" s="168">
        <f t="shared" si="1451"/>
        <v>0</v>
      </c>
      <c r="BH714" s="67">
        <f t="shared" si="1451"/>
        <v>0</v>
      </c>
      <c r="BI714" s="67">
        <f t="shared" si="1451"/>
        <v>0</v>
      </c>
      <c r="BJ714" s="67">
        <f t="shared" si="1451"/>
        <v>0</v>
      </c>
      <c r="BK714" s="67">
        <f t="shared" si="1451"/>
        <v>0</v>
      </c>
      <c r="BL714" s="67">
        <f t="shared" si="1451"/>
        <v>0</v>
      </c>
      <c r="BM714" s="69">
        <f t="shared" si="1451"/>
        <v>0</v>
      </c>
      <c r="BN714" s="70">
        <f t="shared" si="1451"/>
        <v>0</v>
      </c>
      <c r="BO714" s="70">
        <f t="shared" si="1451"/>
        <v>0</v>
      </c>
      <c r="BP714" s="70">
        <f t="shared" si="1451"/>
        <v>0</v>
      </c>
      <c r="BQ714" s="71">
        <f t="shared" si="1451"/>
        <v>0</v>
      </c>
      <c r="BR714" s="68">
        <f t="shared" si="1451"/>
        <v>0</v>
      </c>
      <c r="BS714" s="491"/>
      <c r="BT714" s="489"/>
      <c r="BU714" s="392"/>
      <c r="BV714" s="489"/>
      <c r="BW714" s="392"/>
      <c r="BX714" s="392"/>
      <c r="BY714" s="392"/>
      <c r="BZ714" s="489"/>
      <c r="CA714" s="392"/>
      <c r="CB714" s="392"/>
      <c r="CC714" s="392"/>
      <c r="CD714" s="401"/>
      <c r="CE714" s="409"/>
      <c r="CF714" s="169">
        <f t="shared" si="1412"/>
        <v>0</v>
      </c>
      <c r="CG714" s="170">
        <f t="shared" si="1413"/>
        <v>0</v>
      </c>
      <c r="CH714" s="170">
        <f t="shared" si="1414"/>
        <v>0</v>
      </c>
      <c r="CI714" s="170">
        <f t="shared" si="1415"/>
        <v>0</v>
      </c>
      <c r="CJ714" s="170">
        <f t="shared" si="1416"/>
        <v>0</v>
      </c>
      <c r="CK714" s="170">
        <f t="shared" si="1417"/>
        <v>0</v>
      </c>
      <c r="CL714" s="170">
        <f t="shared" si="1418"/>
        <v>0</v>
      </c>
      <c r="CM714" s="170">
        <f t="shared" si="1419"/>
        <v>0</v>
      </c>
      <c r="CN714" s="170">
        <f t="shared" si="1420"/>
        <v>0</v>
      </c>
      <c r="CO714" s="170">
        <f t="shared" si="1421"/>
        <v>0</v>
      </c>
      <c r="CP714" s="170">
        <f t="shared" si="1422"/>
        <v>0</v>
      </c>
      <c r="CQ714" s="170">
        <f t="shared" si="1423"/>
        <v>0</v>
      </c>
      <c r="CR714" s="170">
        <f t="shared" si="1424"/>
        <v>0</v>
      </c>
      <c r="CS714" s="170">
        <f t="shared" si="1425"/>
        <v>0</v>
      </c>
      <c r="CT714" s="75">
        <f t="shared" si="1426"/>
        <v>0</v>
      </c>
      <c r="CU714" s="76">
        <f t="shared" si="1427"/>
        <v>0</v>
      </c>
      <c r="CV714" s="76">
        <f t="shared" si="1428"/>
        <v>0</v>
      </c>
      <c r="CW714" s="76">
        <f t="shared" si="1429"/>
        <v>0</v>
      </c>
      <c r="CX714" s="76">
        <f t="shared" si="1430"/>
        <v>0</v>
      </c>
      <c r="CY714" s="76">
        <f t="shared" si="1431"/>
        <v>0</v>
      </c>
      <c r="CZ714" s="76">
        <f t="shared" si="1432"/>
        <v>0</v>
      </c>
      <c r="DA714" s="76">
        <f t="shared" si="1433"/>
        <v>0</v>
      </c>
      <c r="DB714" s="76">
        <f t="shared" si="1434"/>
        <v>0</v>
      </c>
      <c r="DC714" s="76">
        <f t="shared" si="1435"/>
        <v>0</v>
      </c>
      <c r="DD714" s="76">
        <f t="shared" si="1436"/>
        <v>0</v>
      </c>
      <c r="DE714" s="77">
        <f t="shared" si="1437"/>
        <v>0</v>
      </c>
      <c r="DF714" s="73">
        <f t="shared" si="1440"/>
        <v>43</v>
      </c>
      <c r="DG714" s="67">
        <f t="shared" si="1441"/>
        <v>57.167999999999992</v>
      </c>
      <c r="DH714" s="76">
        <f t="shared" si="1442"/>
        <v>16</v>
      </c>
      <c r="DI714" s="67">
        <f t="shared" si="1443"/>
        <v>68.699999999999989</v>
      </c>
      <c r="DJ714" s="202" t="str">
        <f>IF($D712="","",$D712)</f>
        <v>23</v>
      </c>
      <c r="DK714" s="493"/>
    </row>
    <row r="715" spans="1:115" ht="14.5" customHeight="1" x14ac:dyDescent="0.2">
      <c r="A715" s="459">
        <f>$A712+1</f>
        <v>238</v>
      </c>
      <c r="B715" s="507" t="str">
        <f>IF(OR(C715="W",C716="W",C717="W",C715="1/2W",C716="1/2W",C717="1/2W",C715="1/2L",C716="1/2L",C717="1/2L"),"OK",IF(OR(C715="L",C716="L",C717="L"),"LOSS",IF(OR(C715="X",C716="X",C717="X"),"Anulado"," ")))</f>
        <v>OK</v>
      </c>
      <c r="C715" s="93" t="s">
        <v>55</v>
      </c>
      <c r="D715" s="468" t="str">
        <f>IF(G715="","",$D712)</f>
        <v>23</v>
      </c>
      <c r="E715" s="485" t="str">
        <f>IF(G715=""," ","– "&amp;COUNTIF(D$4:D717,$D715))</f>
        <v>– 4</v>
      </c>
      <c r="F715" s="509" t="str">
        <f ca="1">IF(G715="","",IF(OR(AND($C715&lt;&gt;" ",$C716=" "),AND($C716&lt;&gt;" ",$C715=" "),AND(L717&gt;0,OR(AND($C717&lt;&gt;" ",OR($C715=" ",$C716=" ")),AND($C717=" ",OR($C715&lt;&gt;" ",$C716&lt;&gt;" "))))),IF(SUM(F$4:F714)=0,1,LARGE(F$4:F714,1)+1),IF(MONTH(G715)=MONTH(TODAY()),IF(AND(DAY(G715)&lt;DAY(TODAY()),$B715=" "),IF(SUM(F$4:F714)=0,1,LARGE(F$4:F714,1)+1),IF($B715=" ",IF(AND(DAY(G715)=DAY(TODAY()),HOUR(G715)&lt;=HOUR(NOW())+1),IF(AND(HOUR(G715)+2&lt;=HOUR(NOW()),DAY(G715)&lt;=DAY(TODAY()),MINUTE(G715)&lt;=MINUTE(NOW())),IF(SUM(F$4:F714)=0,1,LARGE(F$4:F714,1)+1),IF(OR(MINUTE(G715)&lt;=MINUTE(NOW()),HOUR(G715)&lt;=HOUR(NOW())),"!!!","")),""),"")),"")))</f>
        <v/>
      </c>
      <c r="G715" s="482">
        <v>45010.375</v>
      </c>
      <c r="H715" s="475" t="s">
        <v>254</v>
      </c>
      <c r="I715" s="94" t="s">
        <v>63</v>
      </c>
      <c r="J715" s="176"/>
      <c r="K715" s="96" t="s">
        <v>37</v>
      </c>
      <c r="L715" s="97">
        <v>2.8</v>
      </c>
      <c r="M715" s="98">
        <v>7.99</v>
      </c>
      <c r="N715" s="478">
        <v>0</v>
      </c>
      <c r="O715" s="99">
        <f>IF(OR(AE715="",AE716=""),"",ROUND(IF(L717&gt;0,IF(M715&gt;0,M715,IF(M716&gt;0,ROUND((M716*AE715)/AE716,IF(N715=0,2,IF(N715=0.1,1,0))),ROUND((M717*AE715)/AE717,IF(N715=0,2,IF(N715=0.1,1,0))))),IF(M715&gt;0,M715,ROUND((M716*AE715)/AE716,IF(N715=0,2,IF(N715=0.1,1,0))))),2))</f>
        <v>7.99</v>
      </c>
      <c r="P715" s="100">
        <f>IF(OR(L715="",O715=""),"",IF($C715="1/2W",O715/2+O715/2*L715,IF($C715="1/2L",O715/2,IF(I715="Lay",(O715*(L715/(L715-1))-O715)*(1-_xlfn.XLOOKUP(K715,'Fevereiro 2023 - Valor Real'!A3:A15,'Fevereiro 2023 - Valor Real'!C3:C15,0))+O715,(O715*L715-O715)*(1-_xlfn.XLOOKUP(K715,'Fevereiro 2023 - Valor Real'!A3:A15,'Fevereiro 2023 - Valor Real'!C3:C15,0))+O715))))</f>
        <v>22.372</v>
      </c>
      <c r="Q715" s="101">
        <f>IF(K715="","",IF(_xlfn.XLOOKUP(K715,K$4:K714,$DJ$4:DJ714,0,,-1)=DJ715,_xlfn.XLOOKUP(K715,K$4:K714,Q$4:Q714,1,,-1)+1,1))</f>
        <v>2</v>
      </c>
      <c r="R715" s="102">
        <f>IF(K715="","",_xlfn.XLOOKUP(K715,K$4:K714,R$4:R714,0,,-1)+IF($C715=" ",1,0))</f>
        <v>0</v>
      </c>
      <c r="S715" s="474">
        <f>IF($B715="Anulado",0,ROUND(IF(OR($B715="LOSS",$B715="OK"),IF(OR($C715="W",$C715="1/2W",$C715="1/2L"),P715-O715,IF($C715="L",-O715,0))+IF(OR($C716="W",$C716="1/2W",$C716="1/2L"),P716-O716,IF($C716="L",-O716,0))+IF(OR($C717="W",$C717="1/2W",$C717="1/2L"),P717-O717,IF($C717="L",-O717,0)),IF(AND(OR($C715="W",$C715="1/2W",$C715="1/2L"),C716="W"),P715+P716-SUM(O715:O717)+_xlfn.XLOOKUP("X",C715:C717,O715:O717,0),IF(AND(C715=TRUE,C717="W"),P715+P717-SUM(O715:O717),IF(AND(C716="W",C717="W"),P716+P717-SUM(O715:O717)+_xlfn.XLOOKUP("X",C715:C717,O715:O717,0),IF(L717&gt;0,IF(OR($C715="W",$C715="1/2W",$C715="1/2L"),P715-SUM(O715:O717)+_xlfn.XLOOKUP("X",C715:C717,O715:O717,0),IF(OR($C715="W",$C715="1/2W",$C715="1/2L"),P716-SUM(O715:O717)+_xlfn.XLOOKUP("X",C715:C717,O715:O717,0),IF(OR($C715="W",$C715="1/2W",$C715="1/2L"),P717-SUM(O715:O717)+_xlfn.XLOOKUP("X",C715:C717,O715:O717,0),IF(SUM(P715:P717)/3-SUM(O715:O717)+_xlfn.XLOOKUP("X",C715:C717,O715:O717,0)&gt;0,SUM(P715:P717)/3-SUM(O715:O717)+_xlfn.XLOOKUP("X",C715:C717,O715:O717,0),LARGE(P715:P717,1)-SUM(O715:O717))))),IF(OR($C715="W",$C715="1/2W",$C715="1/2L"),P715-SUM(O715:O716)+_xlfn.XLOOKUP("X",C715:C717,O715:O717,0),IF(OR($C715="W",$C715="1/2W",$C715="1/2L"),P716-SUM(O715:O716)+_xlfn.XLOOKUP("X",C715:C717,O715:O717,0),SUM(P715:P716)/2-SUM(O715:O716)+_xlfn.XLOOKUP("X",C715:C717,O715:O717,0)))))))),2))</f>
        <v>0.95</v>
      </c>
      <c r="T715" s="458">
        <f>IF(S715=0,0,S715/SUM(O715:O717))</f>
        <v>4.4351073762838464E-2</v>
      </c>
      <c r="U715" s="470">
        <f>IF($D715=$D712,IF(OR($B715="LOSS",$B715="OK",$B715="Anulada"),S715,0)+U712,IF(OR($B715="LOSS",$B715="OK",$B715="Anulada"),S715,0))</f>
        <v>8.4799999999999986</v>
      </c>
      <c r="V715" s="470">
        <f>IF($D715="",0,IF($D715=$D712,IF($B715=" ",IF(I717="",IF(OR(AND(I715="DNB1",I716="DNB2"),AND(OR(I715="DNB1",I715="DNB2"),J716=0),AND(OR(I716="DNB1",I716="DNB2"),J715=0),AND(I715="DNB2",I716="DNB1"),AND(IF(J715=0,(J715+1)/ROUND(J715+1,0),J715/ROUND(J715,0))=1,IF(J716=0,(J716+1)/ROUND(IF(J716="",0,J716)+1,0),IF(J716="",0,J716)/ROUND(IF(J716="",1,J716),0))=1,OR(J715&lt;&gt;""),J716&lt;&gt;"")),0,IF(S715&lt;0,IF(I717="",SMALL(P715:P716,1)-SUM(O715:O716),0),SMALL(P715:P716,1)-SUM(O715:O716))),IF(S715&lt;0,IF(I717="",SMALL(P715:P717,1)-SUM(O715:O717),0),LARGE(P715:P717,1)-SUM(O715:O717))),S715)+V712,IF(I717="",IF(OR(AND(I715="DNB1",I716="DNB2"),AND(OR(I715="DNB1",I715="DNB2"),J716=0),AND(OR(I716="DNB1",I716="DNB2"),J715=0),AND(I715="DNB2",I716="DNB1"),AND(IF(J715=0,(J715+1)/ROUND(J715+1,0),J715/ROUND(J715,0))=1,IF(J716=0,(IF(J716="",0,J716)+1)/ROUND(IF(J716="",0,J716)+1,0),IF(J716="",0,J716)/ROUND(IF(J716="",0,J716)+1,0))=1,OR(J715&lt;&gt;""),J716&lt;&gt;"")),0,IF(S715&lt;0,IF(I717="",SMALL(P715:P716,1)-SUM(O715:O716),0),SMALL(P715:P717,1)-SUM(O715:O717))),IF(S715&lt;0,IF(I717="",SMALL(P715:P717,1)-SUM(O715:O717),0),LARGE(P715:P717,1)-SUM(O715:O717)))))</f>
        <v>8.4800000000000022</v>
      </c>
      <c r="W715" s="470">
        <f>IF($D715=$D712,IF(S715&lt;0,IF(I717="",S715,0),S715)+W712,S715)</f>
        <v>8.4799999999999986</v>
      </c>
      <c r="X715" s="480" t="str">
        <f>IF(OR(SUM(R715:R717)=0,V715=W715),ROUND(IF(W715=0,0,W715/Y715)*100,2)&amp;"%",ROUND(IF(V715=0,0,V715/Y715)*100,2)&amp;"% a "&amp;ROUND(IF(W715=0,0,W715/Y715)*100,2)&amp;"%")</f>
        <v>10,31%</v>
      </c>
      <c r="Y715" s="471">
        <f>IF($D715=$D712,Y712+SUM(O715:O717),SUM(O715:O717))</f>
        <v>82.240000000000009</v>
      </c>
      <c r="Z715" s="470">
        <f>IF($B715=" ",SUM(O715:O717),0)+Z712</f>
        <v>0</v>
      </c>
      <c r="AA715" s="470">
        <f>IF(G715="","",IF($B715="Anulado",LARGE(P715:P717,1)-SUM(O715:O717)+AA712,AA712))</f>
        <v>13.381099999999991</v>
      </c>
      <c r="AB715" s="470">
        <f>IF($D715="","",AB712+S715)</f>
        <v>814.84000000000071</v>
      </c>
      <c r="AC715" s="472">
        <f ca="1">IF($D715="","",IF($B715=" ",IF(DAY(G715)=DAY(TODAY()),1+AC712,0+AC712),0+AC712))</f>
        <v>0</v>
      </c>
      <c r="AD715" s="103">
        <f>(((L716/(L716-1)-1)*(1-_xlfn.XLOOKUP(K716,'Fevereiro 2023 - Valor Real'!A3:A15,'Fevereiro 2023 - Valor Real'!C3:C15,0))+1))/(((L715-1)*(1-_xlfn.XLOOKUP(K715,'Fevereiro 2023 - Valor Real'!A3:A15,'Fevereiro 2023 - Valor Real'!C3:C15,0))+1)+((L716/(L716-1)-1)*(1-_xlfn.XLOOKUP(K716,'Fevereiro 2023 - Valor Real'!A3:A15,'Fevereiro 2023 - Valor Real'!C3:C15,0))+1))</f>
        <v>0.47184773988897705</v>
      </c>
      <c r="AE715" s="104">
        <f>IF(L715="","",IF(L717&gt;0,(SUM(((L715-1)*(1-_xlfn.XLOOKUP(K715,'Fevereiro 2023 - Valor Real'!A3:A15,'Fevereiro 2023 - Valor Real'!C3:C15,0))+1),((L716-1)*(1-_xlfn.XLOOKUP(K716,'Fevereiro 2023 - Valor Real'!A3:A15,'Fevereiro 2023 - Valor Real'!C3:C15,0))+1),((L717-1)*(1-_xlfn.XLOOKUP(K717,'Fevereiro 2023 - Valor Real'!A3:A15,'Fevereiro 2023 - Valor Real'!C3:C15,0))+1))/((L715-1)*(1-_xlfn.XLOOKUP(K715,'Fevereiro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Real'!C3:C15,0))+1))/((L715-1)*(1-_xlfn.XLOOKUP(K715,'Fevereiro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Real'!C3:C15,0))+1))/((L716-1)*(1-_xlfn.XLOOKUP(K716,'Fevereiro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Real'!C3:C15,0))+1))/((L717-1)*(1-_xlfn.XLOOKUP(K717,'Fevereiro 2023 - Valor Real'!A3:A15,'Fevereiro 2023 - Valor Real'!C3:C15,0))+1)),IF(I715="Lay",IF(I716="Lay",((L716/(L716-1)-1)*(1-_xlfn.XLOOKUP(K716,'Fevereiro 2023 - Valor Real'!A3:A15,'Fevereiro 2023 - Valor Real'!C3:C15,0))+1)/(((L716/(L716-1)-1)*(1-_xlfn.XLOOKUP(K716,'Fevereiro 2023 - Valor Real'!A3:A15,'Fevereiro 2023 - Valor Real'!C3:C15,0))+1)+((L715/(L715-1)-1)*(1-_xlfn.XLOOKUP(K715,'Fevereiro 2023 - Valor Real'!A3:A15,'Fevereiro 2023 - Valor Real'!C3:C15,0))+1)),((L716-1)*(1-_xlfn.XLOOKUP(K716,'Fevereiro 2023 - Valor Real'!A3:A15,'Fevereiro 2023 - Valor Real'!C3:C15,0))+1)/(((L716-1)*(1-_xlfn.XLOOKUP(K716,'Fevereiro 2023 - Valor Real'!A3:A15,'Fevereiro 2023 - Valor Real'!C3:C15,0))+1)+((L715/(L715-1)-1)*(1-_xlfn.XLOOKUP(K715,'Fevereiro 2023 - Valor Real'!A3:A15,'Fevereiro 2023 - Valor Real'!C3:C15,0))+1))),IF(I716="Lay",(((L716/(L716-1)-1)*(1-_xlfn.XLOOKUP(K716,'Fevereiro 2023 - Valor Real'!A3:A15,'Fevereiro 2023 - Valor Real'!C3:C15,0))+1))/(((L715-1)*(1-_xlfn.XLOOKUP(K715,'Fevereiro 2023 - Valor Real'!A3:A15,'Fevereiro 2023 - Valor Real'!C3:C15,0))+1)+((L716/(L716-1)-1)*(1-_xlfn.XLOOKUP(K716,'Fevereiro 2023 - Valor Real'!A3:A15,'Fevereiro 2023 - Valor Real'!C3:C15,0))+1)),((L716-1)*(1-_xlfn.XLOOKUP(K716,'Fevereiro 2023 - Valor Real'!A3:A15,'Fevereiro 2023 - Valor Real'!C3:C15,0))+1)/(((L716-1)*(1-_xlfn.XLOOKUP(K716,'Fevereiro 2023 - Valor Real'!A3:A15,'Fevereiro 2023 - Valor Real'!C3:C15,0))+1)+((L715-1)*(1-_xlfn.XLOOKUP(K715,'Fevereiro 2023 - Valor Real'!A3:A15,'Fevereiro 2023 - Valor Real'!C3:C15,0))+1))))))</f>
        <v>0.37304075235109724</v>
      </c>
      <c r="AF715" s="105">
        <f t="shared" si="1449"/>
        <v>0</v>
      </c>
      <c r="AG715" s="106">
        <f t="shared" si="1449"/>
        <v>-7.99</v>
      </c>
      <c r="AH715" s="106">
        <f t="shared" si="1449"/>
        <v>0</v>
      </c>
      <c r="AI715" s="106">
        <f t="shared" si="1449"/>
        <v>0</v>
      </c>
      <c r="AJ715" s="106">
        <f t="shared" si="1449"/>
        <v>0</v>
      </c>
      <c r="AK715" s="106">
        <f t="shared" si="1449"/>
        <v>0</v>
      </c>
      <c r="AL715" s="106">
        <f t="shared" si="1449"/>
        <v>0</v>
      </c>
      <c r="AM715" s="106">
        <f t="shared" si="1449"/>
        <v>0</v>
      </c>
      <c r="AN715" s="106">
        <f t="shared" si="1449"/>
        <v>0</v>
      </c>
      <c r="AO715" s="106">
        <f t="shared" si="1449"/>
        <v>0</v>
      </c>
      <c r="AP715" s="106">
        <f t="shared" si="1449"/>
        <v>0</v>
      </c>
      <c r="AQ715" s="106">
        <f t="shared" si="1449"/>
        <v>0</v>
      </c>
      <c r="AR715" s="107">
        <f t="shared" si="1449"/>
        <v>0</v>
      </c>
      <c r="AS715" s="105">
        <f t="shared" ref="AS715:BE715" si="1452">IF(AND($B715=" ",$K715=AS$3),$O715,0)</f>
        <v>0</v>
      </c>
      <c r="AT715" s="106">
        <f t="shared" si="1452"/>
        <v>0</v>
      </c>
      <c r="AU715" s="106">
        <f t="shared" si="1452"/>
        <v>0</v>
      </c>
      <c r="AV715" s="106">
        <f t="shared" si="1452"/>
        <v>0</v>
      </c>
      <c r="AW715" s="106">
        <f t="shared" si="1452"/>
        <v>0</v>
      </c>
      <c r="AX715" s="106">
        <f t="shared" si="1452"/>
        <v>0</v>
      </c>
      <c r="AY715" s="108">
        <f t="shared" si="1452"/>
        <v>0</v>
      </c>
      <c r="AZ715" s="109">
        <f t="shared" si="1452"/>
        <v>0</v>
      </c>
      <c r="BA715" s="109">
        <f t="shared" si="1452"/>
        <v>0</v>
      </c>
      <c r="BB715" s="109">
        <f t="shared" si="1452"/>
        <v>0</v>
      </c>
      <c r="BC715" s="110">
        <f t="shared" si="1452"/>
        <v>0</v>
      </c>
      <c r="BD715" s="106">
        <f t="shared" si="1452"/>
        <v>0</v>
      </c>
      <c r="BE715" s="107">
        <f t="shared" si="1452"/>
        <v>0</v>
      </c>
      <c r="BF715" s="111">
        <f t="shared" si="1451"/>
        <v>0</v>
      </c>
      <c r="BG715" s="106">
        <f t="shared" si="1451"/>
        <v>7.99</v>
      </c>
      <c r="BH715" s="106">
        <f t="shared" si="1451"/>
        <v>0</v>
      </c>
      <c r="BI715" s="106">
        <f t="shared" si="1451"/>
        <v>0</v>
      </c>
      <c r="BJ715" s="106">
        <f t="shared" si="1451"/>
        <v>0</v>
      </c>
      <c r="BK715" s="106">
        <f t="shared" si="1451"/>
        <v>0</v>
      </c>
      <c r="BL715" s="106">
        <f t="shared" si="1451"/>
        <v>0</v>
      </c>
      <c r="BM715" s="108">
        <f t="shared" si="1451"/>
        <v>0</v>
      </c>
      <c r="BN715" s="109">
        <f t="shared" si="1451"/>
        <v>0</v>
      </c>
      <c r="BO715" s="109">
        <f t="shared" si="1451"/>
        <v>0</v>
      </c>
      <c r="BP715" s="109">
        <f t="shared" si="1451"/>
        <v>0</v>
      </c>
      <c r="BQ715" s="110">
        <f t="shared" si="1451"/>
        <v>0</v>
      </c>
      <c r="BR715" s="107">
        <f t="shared" si="1451"/>
        <v>0</v>
      </c>
      <c r="BS715" s="463">
        <f>IF($B715="LOSS",IF(AND($K715=BS$3,$C715="L"),-$O715,0)+IF(AND($K716=BS$3,$C716="L"),-$O716,0)+IF(AND($K717=BS$3,$C717="L"),-$O717,0),IF(OR(AND($K715=BS$3,OR($C715="W",$C715="1/2W")),AND($K716=BS$3,OR($C716="W",$C716="1/2W")),AND($K717=BS$3,OR($C717="W",$C717="1/2W"))),$S715,0))</f>
        <v>0</v>
      </c>
      <c r="BT715" s="462">
        <f>IF($B715="LOSS",IF(AND($K715=BT$3,$C715="L"),-$O715,0)+IF(AND($K716=BT$3,$C716="L"),-$O716,0)+IF(AND($K716=BT$3,$C717="L"),-$O717,0),IF(OR(AND($K716=BT$3,OR($C715="W",$C715="1/2W")),AND($K716=BT$3,OR($C716="W",$C716="1/2W")),AND($K716=BT$3,OR($C717="W",$C717="1/2W"))),$S715,0))</f>
        <v>0</v>
      </c>
      <c r="BU715" s="462">
        <f>IF($B715="LOSS",IF(AND($K715=BU$3,$C715="L"),-$O715,0)+IF(AND($K716=BU$3,$C716="L"),-$O716,0)+IF(AND($K716=BU$3,$C717="L"),-$O717,0),IF(OR(AND($K716=BU$3,OR($C715="W",$C715="1/2W")),AND($K716=BU$3,OR($C716="W",$C716="1/2W")),AND($K716=BU$3,OR($C717="W",$C717="1/2W"))),$S715,0))</f>
        <v>0</v>
      </c>
      <c r="BV715" s="462">
        <f t="shared" ref="BV715:CE715" si="1453">IF($B715="LOSS",IF(AND($K715=BV$3,$C715="L"),-$O715,0)+IF(AND($K716=BV$3,$C716="L"),-$O716,0)+IF(AND($K717=BV$3,$C717="L"),-$O717,0),IF(OR(AND($K715=BV$3,OR($C715="W",$C715="1/2W")),AND($K716=BV$3,OR($C716="W",$C716="1/2W")),AND($K717=BV$3,OR($C717="W",$C717="1/2W"))),$S715,0))</f>
        <v>0</v>
      </c>
      <c r="BW715" s="462">
        <f t="shared" si="1453"/>
        <v>0</v>
      </c>
      <c r="BX715" s="462">
        <f t="shared" si="1453"/>
        <v>0</v>
      </c>
      <c r="BY715" s="462">
        <f t="shared" si="1453"/>
        <v>0</v>
      </c>
      <c r="BZ715" s="460">
        <f t="shared" si="1453"/>
        <v>0.95</v>
      </c>
      <c r="CA715" s="460">
        <f t="shared" si="1453"/>
        <v>0</v>
      </c>
      <c r="CB715" s="460">
        <f t="shared" si="1453"/>
        <v>0</v>
      </c>
      <c r="CC715" s="460">
        <f t="shared" si="1453"/>
        <v>0</v>
      </c>
      <c r="CD715" s="473">
        <f t="shared" si="1453"/>
        <v>0</v>
      </c>
      <c r="CE715" s="479">
        <f t="shared" si="1453"/>
        <v>0</v>
      </c>
      <c r="CF715" s="113">
        <f t="shared" si="1412"/>
        <v>0</v>
      </c>
      <c r="CG715" s="114">
        <f t="shared" si="1413"/>
        <v>0</v>
      </c>
      <c r="CH715" s="114">
        <f t="shared" si="1414"/>
        <v>0</v>
      </c>
      <c r="CI715" s="114">
        <f t="shared" si="1415"/>
        <v>1</v>
      </c>
      <c r="CJ715" s="114">
        <f t="shared" si="1416"/>
        <v>0</v>
      </c>
      <c r="CK715" s="114">
        <f t="shared" si="1417"/>
        <v>0</v>
      </c>
      <c r="CL715" s="114">
        <f t="shared" si="1418"/>
        <v>0</v>
      </c>
      <c r="CM715" s="114">
        <f t="shared" si="1419"/>
        <v>0</v>
      </c>
      <c r="CN715" s="114">
        <f t="shared" si="1420"/>
        <v>0</v>
      </c>
      <c r="CO715" s="114">
        <f t="shared" si="1421"/>
        <v>0</v>
      </c>
      <c r="CP715" s="114">
        <f t="shared" si="1422"/>
        <v>0</v>
      </c>
      <c r="CQ715" s="114">
        <f t="shared" si="1423"/>
        <v>0</v>
      </c>
      <c r="CR715" s="114">
        <f t="shared" si="1424"/>
        <v>0</v>
      </c>
      <c r="CS715" s="114">
        <f t="shared" si="1425"/>
        <v>0</v>
      </c>
      <c r="CT715" s="115">
        <f t="shared" si="1426"/>
        <v>0</v>
      </c>
      <c r="CU715" s="116">
        <f t="shared" si="1427"/>
        <v>0</v>
      </c>
      <c r="CV715" s="116">
        <f t="shared" si="1428"/>
        <v>0</v>
      </c>
      <c r="CW715" s="116">
        <f t="shared" si="1429"/>
        <v>0</v>
      </c>
      <c r="CX715" s="116">
        <f t="shared" si="1430"/>
        <v>0</v>
      </c>
      <c r="CY715" s="116">
        <f t="shared" si="1431"/>
        <v>0</v>
      </c>
      <c r="CZ715" s="116">
        <f t="shared" si="1432"/>
        <v>0</v>
      </c>
      <c r="DA715" s="116">
        <f t="shared" si="1433"/>
        <v>0</v>
      </c>
      <c r="DB715" s="116">
        <f t="shared" si="1434"/>
        <v>0</v>
      </c>
      <c r="DC715" s="116">
        <f t="shared" si="1435"/>
        <v>0</v>
      </c>
      <c r="DD715" s="116">
        <f t="shared" si="1436"/>
        <v>0</v>
      </c>
      <c r="DE715" s="117">
        <f t="shared" si="1437"/>
        <v>0</v>
      </c>
      <c r="DF715" s="118">
        <f t="shared" si="1440"/>
        <v>43</v>
      </c>
      <c r="DG715" s="106">
        <f t="shared" si="1441"/>
        <v>57.167999999999992</v>
      </c>
      <c r="DH715" s="116">
        <f t="shared" si="1442"/>
        <v>16</v>
      </c>
      <c r="DI715" s="106">
        <f t="shared" si="1443"/>
        <v>68.699999999999989</v>
      </c>
      <c r="DJ715" s="201" t="str">
        <f>IF($D715="","",$D715)</f>
        <v>23</v>
      </c>
      <c r="DK715" s="465">
        <f>IF(AND($B715=" ",$D715&lt;&gt;""),1,0)</f>
        <v>0</v>
      </c>
    </row>
    <row r="716" spans="1:115" ht="14.5" customHeight="1" x14ac:dyDescent="0.2">
      <c r="A716" s="389"/>
      <c r="B716" s="456"/>
      <c r="C716" s="120" t="s">
        <v>54</v>
      </c>
      <c r="D716" s="374"/>
      <c r="E716" s="386"/>
      <c r="F716" s="377"/>
      <c r="G716" s="483"/>
      <c r="H716" s="476"/>
      <c r="I716" s="121" t="s">
        <v>66</v>
      </c>
      <c r="J716" s="122">
        <f>IF(OR(I715="TO",I715="TU",I715="TO1",I715="TU1",I715="TO2",I715="TU2"),J715,IF(OR(I715="AH1",I715="AH2"),IF(OR(I716="AH1",I716="AH2"),-J715,IF(OR(I716="EH1",I716="EH2"),-J715+0.5,"")),IF(OR(I715="EH1",I715="EH2"),IF(OR(I716="AH1",I716="AH2"),-J715+0.5,IF(OR(I716="EH1",I716="EH2"),-J715+1,"")),IF(AND(OR(I715="DNB1",I715="DNB2"),OR(I716="AH1",I716="AH2")),0,IF(AND(I715="Not ScoreBoth",OR(I716="TO1",I716="TO2")),0.5,"")))))</f>
        <v>0</v>
      </c>
      <c r="K716" s="123" t="s">
        <v>43</v>
      </c>
      <c r="L716" s="124">
        <v>1.6659999999999999</v>
      </c>
      <c r="M716" s="125"/>
      <c r="N716" s="406"/>
      <c r="O716" s="126">
        <f>IF(OR(AE715="",AE716=""),"",ROUND(IF(L717&gt;0,IF(M716&gt;0,M716,IF(M715&gt;0,IF(N715=TRUE,ROUND((M715*AE716)/AE715,0),(M715*AE716)/AE715),IF(M716&gt;0,ROUND(M716,IF(N715=0,2,IF(N715=0.1,1,0))),IF(M717&gt;0,ROUND(O717*AE716/AE717,IF(N715=0,2,IF(N715=0.1,1,0))),0)))),IF(M716&gt;0,M716,ROUND((M715*AE716)/AE715,IF(N715=0,2,IF(N715=0.1,1,0))))),2))</f>
        <v>13.43</v>
      </c>
      <c r="P716" s="127">
        <f>IF(OR(L716="",O716=""),"",IF($C716="1/2W",O716/2+O716/2*L716,IF($C716="1/2L",O716/2,IF(I716="Lay",((O716*(L716/(L716-1)))-O716)*(1-_xlfn.XLOOKUP(K716,'Fevereiro 2023 - Valor Real'!A3:A15,'Fevereiro 2023 - Valor Real'!C3:C15,0))+O716,(O716*L716-O716)*(1-_xlfn.XLOOKUP(K716,'Fevereiro 2023 - Valor Real'!A3:A15,'Fevereiro 2023 - Valor Real'!C3:C15,0))+O716))))</f>
        <v>22.374379999999999</v>
      </c>
      <c r="Q716" s="128">
        <f>IF(K716="","",IF(_xlfn.XLOOKUP(K716,K$4:K715,$DJ$4:DJ715,0,,-1)=DJ716,_xlfn.XLOOKUP(K716,K$4:K715,Q$4:Q715,1,,-1)+1,1))</f>
        <v>1</v>
      </c>
      <c r="R716" s="129">
        <f>IF(K716="","",_xlfn.XLOOKUP(K716,K$4:K715,R$4:R715,0,,-1)+IF($C716=" ",1,0))</f>
        <v>0</v>
      </c>
      <c r="S716" s="403"/>
      <c r="T716" s="380"/>
      <c r="U716" s="380"/>
      <c r="V716" s="481"/>
      <c r="W716" s="380"/>
      <c r="X716" s="452"/>
      <c r="Y716" s="383"/>
      <c r="Z716" s="384"/>
      <c r="AA716" s="384"/>
      <c r="AB716" s="384"/>
      <c r="AC716" s="384"/>
      <c r="AD716" s="130">
        <f>(((L716/(L716-1)-1)*(1-_xlfn.XLOOKUP(K716,'Fevereiro 2023 - Valor Real'!A3:A15,'Fevereiro 2023 - Valor Real'!C3:C15,0))+1))</f>
        <v>2.5015015015015019</v>
      </c>
      <c r="AE716" s="131">
        <f>IF(L716="","",IF(L717&gt;0,(SUM(((L715-1)*(1-_xlfn.XLOOKUP(K715,'Fevereiro 2023 - Valor Real'!A3:A15,'Fevereiro 2023 - Valor Real'!C3:C15,0))+1),((L716-1)*(1-_xlfn.XLOOKUP(K716,'Fevereiro 2023 - Valor Real'!A3:A15,'Fevereiro 2023 - Valor Real'!C3:C15,0))+1),((L717-1)*(1-_xlfn.XLOOKUP(K717,'Fevereiro 2023 - Valor Real'!A3:A15,'Fevereiro 2023 - Valor Real'!C3:C15,0))+1))/((L716-1)*(1-_xlfn.XLOOKUP(K716,'Fevereiro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Real'!C3:C15,0))+1))/((L715-1)*(1-_xlfn.XLOOKUP(K715,'Fevereiro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Real'!C3:C15,0))+1))/((L716-1)*(1-_xlfn.XLOOKUP(K716,'Fevereiro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Real'!C3:C15,0))+1))/((L717-1)*(1-_xlfn.XLOOKUP(K717,'Fevereiro 2023 - Valor Real'!A3:A15,'Fevereiro 2023 - Valor Real'!C3:C15,0))+1)),IF(I716="Lay",IF(I715="Lay",((L715/(L715-1)-1)*(1-_xlfn.XLOOKUP(K715,'Fevereiro 2023 - Valor Real'!A3:A15,'Fevereiro 2023 - Valor Real'!C3:C15,0))+1)/(((L715/(L715-1)-1)*(1-_xlfn.XLOOKUP(K715,'Fevereiro 2023 - Valor Real'!A3:A15,'Fevereiro 2023 - Valor Real'!C3:C15,0))+1)+((L716/(L716-1)-1)*(1-_xlfn.XLOOKUP(K716,'Fevereiro 2023 - Valor Real'!A3:A15,'Fevereiro 2023 - Valor Real'!C3:C15,0))+1)),((L715-1)*(1-_xlfn.XLOOKUP(K715,'Fevereiro 2023 - Valor Real'!A3:A15,'Fevereiro 2023 - Valor Real'!C3:C15,0))+1)/(((L715-1)*(1-_xlfn.XLOOKUP(K715,'Fevereiro 2023 - Valor Real'!A3:A15,'Fevereiro 2023 - Valor Real'!C3:C15,0))+1)+((L716/(L716-1)-1)*(1-_xlfn.XLOOKUP(K716,'Fevereiro 2023 - Valor Real'!A3:A15,'Fevereiro 2023 - Valor Real'!C3:C15,0))+1))),IF(I715="Lay",((L715/(L715-1)-1)*(1-_xlfn.XLOOKUP(K715,'Fevereiro 2023 - Valor Real'!A3:A15,'Fevereiro 2023 - Valor Real'!C3:C15,0))+1)/((((L715/(L715-1)-1)*(1-_xlfn.XLOOKUP(K715,'Fevereiro 2023 - Valor Real'!A3:A15,'Fevereiro 2023 - Valor Real'!C3:C15,0))+1))+((L716-1)*(1-_xlfn.XLOOKUP(K716,'Fevereiro 2023 - Valor Real'!A3:A15,'Fevereiro 2023 - Valor Real'!C3:C15,0))+1)),((L715-1)*(1-_xlfn.XLOOKUP(K715,'Fevereiro 2023 - Valor Real'!A3:A15,'Fevereiro 2023 - Valor Real'!C3:C15,0))+1)/(((L715-1)*(1-_xlfn.XLOOKUP(K715,'Fevereiro 2023 - Valor Real'!A3:A15,'Fevereiro 2023 - Valor Real'!C3:C15,0))+1)+((L716-1)*(1-_xlfn.XLOOKUP(K716,'Fevereiro 2023 - Valor Real'!A3:A15,'Fevereiro 2023 - Valor Real'!C3:C15,0))+1))))))</f>
        <v>0.62695924764890287</v>
      </c>
      <c r="AF716" s="105">
        <f t="shared" si="1449"/>
        <v>0</v>
      </c>
      <c r="AG716" s="106">
        <f t="shared" si="1449"/>
        <v>0</v>
      </c>
      <c r="AH716" s="106">
        <f t="shared" si="1449"/>
        <v>0</v>
      </c>
      <c r="AI716" s="106">
        <f t="shared" si="1449"/>
        <v>0</v>
      </c>
      <c r="AJ716" s="106">
        <f t="shared" si="1449"/>
        <v>0</v>
      </c>
      <c r="AK716" s="106">
        <f t="shared" si="1449"/>
        <v>0</v>
      </c>
      <c r="AL716" s="106">
        <f t="shared" si="1449"/>
        <v>0</v>
      </c>
      <c r="AM716" s="106">
        <f t="shared" si="1449"/>
        <v>8.94</v>
      </c>
      <c r="AN716" s="106">
        <f t="shared" si="1449"/>
        <v>0</v>
      </c>
      <c r="AO716" s="106">
        <f t="shared" si="1449"/>
        <v>0</v>
      </c>
      <c r="AP716" s="106">
        <f t="shared" si="1449"/>
        <v>0</v>
      </c>
      <c r="AQ716" s="106">
        <f t="shared" si="1449"/>
        <v>0</v>
      </c>
      <c r="AR716" s="107">
        <f t="shared" si="1449"/>
        <v>0</v>
      </c>
      <c r="AS716" s="105">
        <f>IF(AND($B715=" ",$K716=AS$3),$O716,0)</f>
        <v>0</v>
      </c>
      <c r="AT716" s="106">
        <f>IF(AND($B715=" ",K716=AT$3),$O716,0)</f>
        <v>0</v>
      </c>
      <c r="AU716" s="106">
        <f t="shared" ref="AU716:BE716" si="1454">IF(AND($B715=" ",$K716=AU$3),$O716,0)</f>
        <v>0</v>
      </c>
      <c r="AV716" s="106">
        <f t="shared" si="1454"/>
        <v>0</v>
      </c>
      <c r="AW716" s="106">
        <f t="shared" si="1454"/>
        <v>0</v>
      </c>
      <c r="AX716" s="106">
        <f t="shared" si="1454"/>
        <v>0</v>
      </c>
      <c r="AY716" s="108">
        <f t="shared" si="1454"/>
        <v>0</v>
      </c>
      <c r="AZ716" s="109">
        <f t="shared" si="1454"/>
        <v>0</v>
      </c>
      <c r="BA716" s="109">
        <f t="shared" si="1454"/>
        <v>0</v>
      </c>
      <c r="BB716" s="109">
        <f t="shared" si="1454"/>
        <v>0</v>
      </c>
      <c r="BC716" s="110">
        <f t="shared" si="1454"/>
        <v>0</v>
      </c>
      <c r="BD716" s="106">
        <f t="shared" si="1454"/>
        <v>0</v>
      </c>
      <c r="BE716" s="107">
        <f t="shared" si="1454"/>
        <v>0</v>
      </c>
      <c r="BF716" s="105">
        <f t="shared" si="1451"/>
        <v>0</v>
      </c>
      <c r="BG716" s="106">
        <f t="shared" si="1451"/>
        <v>0</v>
      </c>
      <c r="BH716" s="106">
        <f t="shared" si="1451"/>
        <v>0</v>
      </c>
      <c r="BI716" s="106">
        <f t="shared" si="1451"/>
        <v>0</v>
      </c>
      <c r="BJ716" s="106">
        <f t="shared" si="1451"/>
        <v>0</v>
      </c>
      <c r="BK716" s="106">
        <f t="shared" si="1451"/>
        <v>0</v>
      </c>
      <c r="BL716" s="106">
        <f t="shared" si="1451"/>
        <v>0</v>
      </c>
      <c r="BM716" s="132">
        <f t="shared" si="1451"/>
        <v>13.43</v>
      </c>
      <c r="BN716" s="112">
        <f t="shared" si="1451"/>
        <v>0</v>
      </c>
      <c r="BO716" s="112">
        <f t="shared" si="1451"/>
        <v>0</v>
      </c>
      <c r="BP716" s="112">
        <f t="shared" si="1451"/>
        <v>0</v>
      </c>
      <c r="BQ716" s="110">
        <f t="shared" si="1451"/>
        <v>0</v>
      </c>
      <c r="BR716" s="107">
        <f t="shared" si="1451"/>
        <v>0</v>
      </c>
      <c r="BS716" s="464"/>
      <c r="BT716" s="461"/>
      <c r="BU716" s="392"/>
      <c r="BV716" s="461"/>
      <c r="BW716" s="392"/>
      <c r="BX716" s="392"/>
      <c r="BY716" s="392"/>
      <c r="BZ716" s="461"/>
      <c r="CA716" s="392"/>
      <c r="CB716" s="392"/>
      <c r="CC716" s="392"/>
      <c r="CD716" s="401"/>
      <c r="CE716" s="409"/>
      <c r="CF716" s="133">
        <f t="shared" si="1412"/>
        <v>0</v>
      </c>
      <c r="CG716" s="134">
        <f t="shared" si="1413"/>
        <v>0</v>
      </c>
      <c r="CH716" s="134">
        <f t="shared" si="1414"/>
        <v>0</v>
      </c>
      <c r="CI716" s="134">
        <f t="shared" si="1415"/>
        <v>0</v>
      </c>
      <c r="CJ716" s="134">
        <f t="shared" si="1416"/>
        <v>0</v>
      </c>
      <c r="CK716" s="134">
        <f t="shared" si="1417"/>
        <v>0</v>
      </c>
      <c r="CL716" s="134">
        <f t="shared" si="1418"/>
        <v>0</v>
      </c>
      <c r="CM716" s="134">
        <f t="shared" si="1419"/>
        <v>0</v>
      </c>
      <c r="CN716" s="134">
        <f t="shared" si="1420"/>
        <v>0</v>
      </c>
      <c r="CO716" s="134">
        <f t="shared" si="1421"/>
        <v>0</v>
      </c>
      <c r="CP716" s="134">
        <f t="shared" si="1422"/>
        <v>0</v>
      </c>
      <c r="CQ716" s="134">
        <f t="shared" si="1423"/>
        <v>0</v>
      </c>
      <c r="CR716" s="134">
        <f t="shared" si="1424"/>
        <v>0</v>
      </c>
      <c r="CS716" s="134">
        <f t="shared" si="1425"/>
        <v>0</v>
      </c>
      <c r="CT716" s="115">
        <f t="shared" si="1426"/>
        <v>1</v>
      </c>
      <c r="CU716" s="116">
        <f t="shared" si="1427"/>
        <v>0</v>
      </c>
      <c r="CV716" s="116">
        <f t="shared" si="1428"/>
        <v>0</v>
      </c>
      <c r="CW716" s="116">
        <f t="shared" si="1429"/>
        <v>0</v>
      </c>
      <c r="CX716" s="116">
        <f t="shared" si="1430"/>
        <v>0</v>
      </c>
      <c r="CY716" s="116">
        <f t="shared" si="1431"/>
        <v>0</v>
      </c>
      <c r="CZ716" s="116">
        <f t="shared" si="1432"/>
        <v>0</v>
      </c>
      <c r="DA716" s="116">
        <f t="shared" si="1433"/>
        <v>0</v>
      </c>
      <c r="DB716" s="116">
        <f t="shared" si="1434"/>
        <v>0</v>
      </c>
      <c r="DC716" s="116">
        <f t="shared" si="1435"/>
        <v>0</v>
      </c>
      <c r="DD716" s="116">
        <f t="shared" si="1436"/>
        <v>0</v>
      </c>
      <c r="DE716" s="117">
        <f t="shared" si="1437"/>
        <v>0</v>
      </c>
      <c r="DF716" s="118">
        <f t="shared" si="1440"/>
        <v>43</v>
      </c>
      <c r="DG716" s="106">
        <f t="shared" si="1441"/>
        <v>57.167999999999992</v>
      </c>
      <c r="DH716" s="116">
        <f t="shared" si="1442"/>
        <v>16</v>
      </c>
      <c r="DI716" s="106">
        <f t="shared" si="1443"/>
        <v>68.699999999999989</v>
      </c>
      <c r="DJ716" s="201" t="str">
        <f>IF($D715="","",$D715)</f>
        <v>23</v>
      </c>
      <c r="DK716" s="466"/>
    </row>
    <row r="717" spans="1:115" ht="14.5" customHeight="1" x14ac:dyDescent="0.2">
      <c r="A717" s="390"/>
      <c r="B717" s="457"/>
      <c r="C717" s="135" t="s">
        <v>53</v>
      </c>
      <c r="D717" s="375"/>
      <c r="E717" s="387"/>
      <c r="F717" s="378"/>
      <c r="G717" s="484"/>
      <c r="H717" s="477"/>
      <c r="I717" s="136"/>
      <c r="J717" s="137"/>
      <c r="K717" s="138"/>
      <c r="L717" s="139"/>
      <c r="M717" s="140"/>
      <c r="N717" s="407"/>
      <c r="O717" s="141" t="str">
        <f>IF(OR(AE715="",AE716=""),"",IF(L717&gt;0,ROUND(IF(M717&gt;0,M717,IF(M715&gt;0,ROUND((M715*AE717)/AE715,IF(N715=0,2,IF(N715=0.1,1,0))),IF(M716&gt;0,ROUND((M716*AE717)/AE716,IF(N715=0,2,IF(N715=0.1,1,0))),IF(M717&gt;0,M717,0)))),2),""))</f>
        <v/>
      </c>
      <c r="P717" s="142" t="str">
        <f>IF(I716="Lay",O716*(L716/(L716-1))-O716,IF(I715="Lay",O715*(L715/(L715-1))-O715,IF(OR(L717="",O717=""),"",IF($C717="1/2W",O717/2+O717/2*L717,IF($C717="1/2L",O717/2,(O717*L717-O717)*(1-_xlfn.XLOOKUP(K717,'Fevereiro 2023 - Valor Real'!A3:A15,'Fevereiro 2023 - Valor Real'!C3:C15,0))+O717)))))</f>
        <v/>
      </c>
      <c r="Q717" s="143" t="str">
        <f>IF(K717="","",IF(_xlfn.XLOOKUP(K717,K$4:K716,$DJ$4:DJ716,0,,-1)=DJ717,_xlfn.XLOOKUP(K717,K$4:K716,Q$4:Q716,1,,-1)+1,1))</f>
        <v/>
      </c>
      <c r="R717" s="144" t="str">
        <f>IF(K717="","",_xlfn.XLOOKUP(K717,K$4:K716,R$4:R716,0,,-1)+IF($C717=" ",1,0))</f>
        <v/>
      </c>
      <c r="S717" s="404"/>
      <c r="T717" s="378"/>
      <c r="U717" s="378"/>
      <c r="V717" s="404"/>
      <c r="W717" s="378"/>
      <c r="X717" s="453"/>
      <c r="Y717" s="383"/>
      <c r="Z717" s="384"/>
      <c r="AA717" s="384"/>
      <c r="AB717" s="384"/>
      <c r="AC717" s="384"/>
      <c r="AD717" s="145">
        <f>((L716/(L716-1)-1))</f>
        <v>1.5015015015015019</v>
      </c>
      <c r="AE717" s="146" t="str">
        <f>IF(L717="","",(SUM(((L715-1)*(1-_xlfn.XLOOKUP(K715,'Fevereiro 2023 - Valor Real'!A3:A15,'Fevereiro 2023 - Valor Real'!C3:C15,0))+1),((L716-1)*(1-_xlfn.XLOOKUP(K716,'Fevereiro 2023 - Valor Real'!A3:A15,'Fevereiro 2023 - Valor Real'!C3:C15,0))+1),((L717-1)*(1-_xlfn.XLOOKUP(K717,'Fevereiro 2023 - Valor Real'!A3:A15,'Fevereiro 2023 - Valor Real'!C3:C15,0))+1))/((L717-1)*(1-_xlfn.XLOOKUP(K717,'Fevereiro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Real'!C3:C15,0))+1))/((L715-1)*(1-_xlfn.XLOOKUP(K715,'Fevereiro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Real'!C3:C15,0))+1))/((L716-1)*(1-_xlfn.XLOOKUP(K716,'Fevereiro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Real'!C3:C15,0))+1))/((L717-1)*(1-_xlfn.XLOOKUP(K717,'Fevereiro 2023 - Valor Real'!A3:A15,'Fevereiro 2023 - Valor Real'!C3:C15,0))+1)))</f>
        <v/>
      </c>
      <c r="AF717" s="105">
        <f t="shared" si="1449"/>
        <v>0</v>
      </c>
      <c r="AG717" s="106">
        <f t="shared" si="1449"/>
        <v>0</v>
      </c>
      <c r="AH717" s="106">
        <f t="shared" si="1449"/>
        <v>0</v>
      </c>
      <c r="AI717" s="106">
        <f t="shared" si="1449"/>
        <v>0</v>
      </c>
      <c r="AJ717" s="106">
        <f t="shared" si="1449"/>
        <v>0</v>
      </c>
      <c r="AK717" s="106">
        <f t="shared" si="1449"/>
        <v>0</v>
      </c>
      <c r="AL717" s="106">
        <f t="shared" si="1449"/>
        <v>0</v>
      </c>
      <c r="AM717" s="106">
        <f t="shared" si="1449"/>
        <v>0</v>
      </c>
      <c r="AN717" s="106">
        <f t="shared" si="1449"/>
        <v>0</v>
      </c>
      <c r="AO717" s="106">
        <f t="shared" si="1449"/>
        <v>0</v>
      </c>
      <c r="AP717" s="106">
        <f t="shared" si="1449"/>
        <v>0</v>
      </c>
      <c r="AQ717" s="106">
        <f t="shared" si="1449"/>
        <v>0</v>
      </c>
      <c r="AR717" s="107">
        <f t="shared" si="1449"/>
        <v>0</v>
      </c>
      <c r="AS717" s="105">
        <f>IF(AND($B715=" ",$K717=AS$3),$O717,0)</f>
        <v>0</v>
      </c>
      <c r="AT717" s="106">
        <f>IF(AND($B715=" ",K717=AT$3),$O717,0)</f>
        <v>0</v>
      </c>
      <c r="AU717" s="106">
        <f t="shared" ref="AU717:BE717" si="1455">IF(AND($B715=" ",$K717=AU$3),$O717,0)</f>
        <v>0</v>
      </c>
      <c r="AV717" s="106">
        <f t="shared" si="1455"/>
        <v>0</v>
      </c>
      <c r="AW717" s="106">
        <f t="shared" si="1455"/>
        <v>0</v>
      </c>
      <c r="AX717" s="106">
        <f t="shared" si="1455"/>
        <v>0</v>
      </c>
      <c r="AY717" s="108">
        <f t="shared" si="1455"/>
        <v>0</v>
      </c>
      <c r="AZ717" s="109">
        <f t="shared" si="1455"/>
        <v>0</v>
      </c>
      <c r="BA717" s="109">
        <f t="shared" si="1455"/>
        <v>0</v>
      </c>
      <c r="BB717" s="109">
        <f t="shared" si="1455"/>
        <v>0</v>
      </c>
      <c r="BC717" s="110">
        <f t="shared" si="1455"/>
        <v>0</v>
      </c>
      <c r="BD717" s="106">
        <f t="shared" si="1455"/>
        <v>0</v>
      </c>
      <c r="BE717" s="107">
        <f t="shared" si="1455"/>
        <v>0</v>
      </c>
      <c r="BF717" s="105">
        <f t="shared" si="1451"/>
        <v>0</v>
      </c>
      <c r="BG717" s="106">
        <f t="shared" si="1451"/>
        <v>0</v>
      </c>
      <c r="BH717" s="106">
        <f t="shared" si="1451"/>
        <v>0</v>
      </c>
      <c r="BI717" s="106">
        <f t="shared" si="1451"/>
        <v>0</v>
      </c>
      <c r="BJ717" s="106">
        <f t="shared" si="1451"/>
        <v>0</v>
      </c>
      <c r="BK717" s="106">
        <f t="shared" si="1451"/>
        <v>0</v>
      </c>
      <c r="BL717" s="106">
        <f t="shared" si="1451"/>
        <v>0</v>
      </c>
      <c r="BM717" s="108">
        <f t="shared" si="1451"/>
        <v>0</v>
      </c>
      <c r="BN717" s="109">
        <f t="shared" si="1451"/>
        <v>0</v>
      </c>
      <c r="BO717" s="109">
        <f t="shared" si="1451"/>
        <v>0</v>
      </c>
      <c r="BP717" s="109">
        <f t="shared" si="1451"/>
        <v>0</v>
      </c>
      <c r="BQ717" s="110">
        <f t="shared" si="1451"/>
        <v>0</v>
      </c>
      <c r="BR717" s="107">
        <f t="shared" si="1451"/>
        <v>0</v>
      </c>
      <c r="BS717" s="464"/>
      <c r="BT717" s="461"/>
      <c r="BU717" s="392"/>
      <c r="BV717" s="461"/>
      <c r="BW717" s="392"/>
      <c r="BX717" s="392"/>
      <c r="BY717" s="392"/>
      <c r="BZ717" s="461"/>
      <c r="CA717" s="392"/>
      <c r="CB717" s="392"/>
      <c r="CC717" s="392"/>
      <c r="CD717" s="401"/>
      <c r="CE717" s="409"/>
      <c r="CF717" s="133">
        <f t="shared" si="1412"/>
        <v>0</v>
      </c>
      <c r="CG717" s="134">
        <f t="shared" si="1413"/>
        <v>0</v>
      </c>
      <c r="CH717" s="134">
        <f t="shared" si="1414"/>
        <v>0</v>
      </c>
      <c r="CI717" s="134">
        <f t="shared" si="1415"/>
        <v>0</v>
      </c>
      <c r="CJ717" s="134">
        <f t="shared" si="1416"/>
        <v>0</v>
      </c>
      <c r="CK717" s="134">
        <f t="shared" si="1417"/>
        <v>0</v>
      </c>
      <c r="CL717" s="134">
        <f t="shared" si="1418"/>
        <v>0</v>
      </c>
      <c r="CM717" s="134">
        <f t="shared" si="1419"/>
        <v>0</v>
      </c>
      <c r="CN717" s="134">
        <f t="shared" si="1420"/>
        <v>0</v>
      </c>
      <c r="CO717" s="134">
        <f t="shared" si="1421"/>
        <v>0</v>
      </c>
      <c r="CP717" s="134">
        <f t="shared" si="1422"/>
        <v>0</v>
      </c>
      <c r="CQ717" s="134">
        <f t="shared" si="1423"/>
        <v>0</v>
      </c>
      <c r="CR717" s="134">
        <f t="shared" si="1424"/>
        <v>0</v>
      </c>
      <c r="CS717" s="134">
        <f t="shared" si="1425"/>
        <v>0</v>
      </c>
      <c r="CT717" s="115">
        <f t="shared" si="1426"/>
        <v>0</v>
      </c>
      <c r="CU717" s="116">
        <f t="shared" si="1427"/>
        <v>0</v>
      </c>
      <c r="CV717" s="116">
        <f t="shared" si="1428"/>
        <v>0</v>
      </c>
      <c r="CW717" s="116">
        <f t="shared" si="1429"/>
        <v>0</v>
      </c>
      <c r="CX717" s="116">
        <f t="shared" si="1430"/>
        <v>0</v>
      </c>
      <c r="CY717" s="116">
        <f t="shared" si="1431"/>
        <v>0</v>
      </c>
      <c r="CZ717" s="116">
        <f t="shared" si="1432"/>
        <v>0</v>
      </c>
      <c r="DA717" s="116">
        <f t="shared" si="1433"/>
        <v>0</v>
      </c>
      <c r="DB717" s="116">
        <f t="shared" si="1434"/>
        <v>0</v>
      </c>
      <c r="DC717" s="116">
        <f t="shared" si="1435"/>
        <v>0</v>
      </c>
      <c r="DD717" s="116">
        <f t="shared" si="1436"/>
        <v>0</v>
      </c>
      <c r="DE717" s="117">
        <f t="shared" si="1437"/>
        <v>0</v>
      </c>
      <c r="DF717" s="118">
        <f t="shared" si="1440"/>
        <v>43</v>
      </c>
      <c r="DG717" s="106">
        <f t="shared" si="1441"/>
        <v>57.167999999999992</v>
      </c>
      <c r="DH717" s="116">
        <f t="shared" si="1442"/>
        <v>16</v>
      </c>
      <c r="DI717" s="106">
        <f t="shared" si="1443"/>
        <v>68.699999999999989</v>
      </c>
      <c r="DJ717" s="201" t="str">
        <f>IF($D715="","",$D715)</f>
        <v>23</v>
      </c>
      <c r="DK717" s="466"/>
    </row>
    <row r="718" spans="1:115" ht="14.5" customHeight="1" x14ac:dyDescent="0.2">
      <c r="A718" s="487">
        <f>$A715+1</f>
        <v>239</v>
      </c>
      <c r="B718" s="506" t="str">
        <f>IF(OR(C718="W",C719="W",C720="W",C718="1/2W",C719="1/2W",C720="1/2W",C718="1/2L",C719="1/2L",C720="1/2L"),"OK",IF(OR(C718="L",C719="L",C720="L"),"LOSS",IF(OR(C718="X",C719="X",C720="X"),"Anulado"," ")))</f>
        <v>OK</v>
      </c>
      <c r="C718" s="147" t="s">
        <v>55</v>
      </c>
      <c r="D718" s="494" t="str">
        <f>IF(G718="","",$D715)</f>
        <v>23</v>
      </c>
      <c r="E718" s="511" t="str">
        <f>IF(G718=""," ","– "&amp;COUNTIF(D$4:D720,$D718))</f>
        <v>– 5</v>
      </c>
      <c r="F718" s="510" t="str">
        <f ca="1">IF(G718="","",IF(OR(AND($C718&lt;&gt;" ",$C719=" "),AND($C719&lt;&gt;" ",$C718=" "),AND(L720&gt;0,OR(AND($C720&lt;&gt;" ",OR($C718=" ",$C719=" ")),AND($C720=" ",OR($C718&lt;&gt;" ",$C719&lt;&gt;" "))))),IF(SUM(F$4:F717)=0,1,LARGE(F$4:F717,1)+1),IF(MONTH(G718)=MONTH(TODAY()),IF(AND(DAY(G718)&lt;DAY(TODAY()),$B718=" "),IF(SUM(F$4:F717)=0,1,LARGE(F$4:F717,1)+1),IF($B718=" ",IF(AND(DAY(G718)=DAY(TODAY()),HOUR(G718)&lt;=HOUR(NOW())+1),IF(AND(HOUR(G718)+2&lt;=HOUR(NOW()),DAY(G718)&lt;=DAY(TODAY()),MINUTE(G718)&lt;=MINUTE(NOW())),IF(SUM(F$4:F717)=0,1,LARGE(F$4:F717,1)+1),IF(OR(MINUTE(G718)&lt;=MINUTE(NOW()),HOUR(G718)&lt;=HOUR(NOW())),"!!!","")),""),"")),"")))</f>
        <v/>
      </c>
      <c r="G718" s="508">
        <v>45008.583333333336</v>
      </c>
      <c r="H718" s="502" t="s">
        <v>255</v>
      </c>
      <c r="I718" s="180" t="s">
        <v>51</v>
      </c>
      <c r="J718" s="181">
        <v>54.5</v>
      </c>
      <c r="K718" s="150" t="s">
        <v>39</v>
      </c>
      <c r="L718" s="151">
        <v>2.2000000000000002</v>
      </c>
      <c r="M718" s="152">
        <v>5.64</v>
      </c>
      <c r="N718" s="503">
        <v>0</v>
      </c>
      <c r="O718" s="153">
        <f>IF(OR(AE718="",AE719=""),"",ROUND(IF(L720&gt;0,IF(M718&gt;0,M718,IF(M719&gt;0,ROUND((M719*AE718)/AE719,IF(N718=0,2,IF(N718=0.1,1,0))),ROUND((M720*AE718)/AE720,IF(N718=0,2,IF(N718=0.1,1,0))))),IF(M718&gt;0,M718,ROUND((M719*AE718)/AE719,IF(N718=0,2,IF(N718=0.1,1,0))))),2))</f>
        <v>5.64</v>
      </c>
      <c r="P718" s="154">
        <f>IF(OR(L718="",O718=""),"",IF($C718="1/2W",O718/2+O718/2*L718,IF($C718="1/2L",O718/2,IF(I718="Lay",(O718*(L718/(L718-1))-O718)*(1-_xlfn.XLOOKUP(K718,'Fevereiro 2023 - Valor Real'!A3:A15,'Fevereiro 2023 - Valor Real'!C3:C15,0))+O718,(O718*L718-O718)*(1-_xlfn.XLOOKUP(K718,'Fevereiro 2023 - Valor Real'!A3:A15,'Fevereiro 2023 - Valor Real'!C3:C15,0))+O718))))</f>
        <v>12.407999999999999</v>
      </c>
      <c r="Q718" s="155">
        <f>IF(K718="","",IF(_xlfn.XLOOKUP(K718,K$9:K710,$DJ$9:DJ710,0,,-1)=DJ718,_xlfn.XLOOKUP(K718,K$9:K710,Q$9:Q710,1,,-1)+1,1))</f>
        <v>2</v>
      </c>
      <c r="R718" s="156">
        <f>IF(K718="","",_xlfn.XLOOKUP(K718,K$9:K710,R$9:R710,0,,-1)+IF($C718=" ",1,0))</f>
        <v>0</v>
      </c>
      <c r="S718" s="501">
        <f>IF($B718="Anulado",0,ROUND(IF(OR($B718="LOSS",$B718="OK"),IF(OR($C718="W",$C718="1/2W",$C718="1/2L"),P718-O718,IF($C718="L",-O718,0))+IF(OR($C719="W",$C719="1/2W",$C719="1/2L"),P719-O719,IF($C719="L",-O719,0))+IF(OR($C720="W",$C720="1/2W",$C720="1/2L"),P720-O720,IF($C720="L",-O720,0)),IF(AND(OR($C718="W",$C718="1/2W",$C718="1/2L"),C719="W"),P718+P719-SUM(O718:O720)+_xlfn.XLOOKUP("X",C718:C720,O718:O720,0),IF(AND(C718=TRUE,C720="W"),P718+P720-SUM(O718:O720),IF(AND(C719="W",C720="W"),P719+P720-SUM(O718:O720)+_xlfn.XLOOKUP("X",C718:C720,O718:O720,0),IF(L720&gt;0,IF(OR($C718="W",$C718="1/2W",$C718="1/2L"),P718-SUM(O718:O720)+_xlfn.XLOOKUP("X",C718:C720,O718:O720,0),IF(OR($C718="W",$C718="1/2W",$C718="1/2L"),P719-SUM(O718:O720)+_xlfn.XLOOKUP("X",C718:C720,O718:O720,0),IF(OR($C718="W",$C718="1/2W",$C718="1/2L"),P720-SUM(O718:O720)+_xlfn.XLOOKUP("X",C718:C720,O718:O720,0),IF(SUM(P718:P720)/3-SUM(O718:O720)+_xlfn.XLOOKUP("X",C718:C720,O718:O720,0)&gt;0,SUM(P718:P720)/3-SUM(O718:O720)+_xlfn.XLOOKUP("X",C718:C720,O718:O720,0),LARGE(P718:P720,1)-SUM(O718:O720))))),IF(OR($C718="W",$C718="1/2W",$C718="1/2L"),P718-SUM(O718:O719)+_xlfn.XLOOKUP("X",C718:C720,O718:O720,0),IF(OR($C718="W",$C718="1/2W",$C718="1/2L"),P719-SUM(O718:O719)+_xlfn.XLOOKUP("X",C718:C720,O718:O720,0),SUM(P718:P719)/2-SUM(O718:O719)+_xlfn.XLOOKUP("X",C718:C720,O718:O720,0)))))))),2))</f>
        <v>1</v>
      </c>
      <c r="T718" s="486">
        <f>IF(S718=0,0,S718/SUM(O718:O720))</f>
        <v>8.7642418930762495E-2</v>
      </c>
      <c r="U718" s="496">
        <f>IF($D718=$D715,IF(OR($B718="LOSS",$B718="OK",$B718="Anulada"),S718,0)+U715,IF(OR($B718="LOSS",$B718="OK",$B718="Anulada"),S718,0))</f>
        <v>9.4799999999999986</v>
      </c>
      <c r="V718" s="496">
        <f>IF($D718="",0,IF($D718=$D715,IF($B718=" ",IF(I720="",IF(OR(AND(I718="DNB1",I719="DNB2"),AND(OR(I718="DNB1",I718="DNB2"),J719=0),AND(OR(I719="DNB1",I719="DNB2"),J718=0),AND(I718="DNB2",I719="DNB1"),AND(IF(J718=0,(J718+1)/ROUND(J718+1,0),J718/ROUND(J718,0))=1,IF(J719=0,(J719+1)/ROUND(IF(J719="",0,J719)+1,0),IF(J719="",0,J719)/ROUND(IF(J719="",1,J719),0))=1,OR(J718&lt;&gt;""),J719&lt;&gt;"")),0,IF(S718&lt;0,IF(I720="",SMALL(P718:P719,1)-SUM(O718:O719),0),SMALL(P718:P719,1)-SUM(O718:O719))),IF(S718&lt;0,IF(I720="",SMALL(P718:P720,1)-SUM(O718:O720),0),LARGE(P718:P720,1)-SUM(O718:O720))),S718)+V715,IF(I720="",IF(OR(AND(I718="DNB1",I719="DNB2"),AND(OR(I718="DNB1",I718="DNB2"),J719=0),AND(OR(I719="DNB1",I719="DNB2"),J718=0),AND(I718="DNB2",I719="DNB1"),AND(IF(J718=0,(J718+1)/ROUND(J718+1,0),J718/ROUND(J718,0))=1,IF(J719=0,(IF(J719="",0,J719)+1)/ROUND(IF(J719="",0,J719)+1,0),IF(J719="",0,J719)/ROUND(IF(J719="",0,J719)+1,0))=1,OR(J718&lt;&gt;""),J719&lt;&gt;"")),0,IF(S718&lt;0,IF(I720="",SMALL(P718:P719,1)-SUM(O718:O719),0),SMALL(P718:P720,1)-SUM(O718:O720))),IF(S718&lt;0,IF(I720="",SMALL(P718:P720,1)-SUM(O718:O720),0),LARGE(P718:P720,1)-SUM(O718:O720)))))</f>
        <v>9.4800000000000022</v>
      </c>
      <c r="W718" s="496">
        <f>IF($D718=$D715,IF(S718&lt;0,IF(I720="",S718,0),S718)+W715,S718)</f>
        <v>9.4799999999999986</v>
      </c>
      <c r="X718" s="505" t="str">
        <f>IF(OR(SUM(R718:R720)=0,V718=W718),ROUND(IF(W718=0,0,W718/Y718)*100,2)&amp;"%",ROUND(IF(V718=0,0,V718/Y718)*100,2)&amp;"% a "&amp;ROUND(IF(W718=0,0,W718/Y718)*100,2)&amp;"%")</f>
        <v>10,12%</v>
      </c>
      <c r="Y718" s="497">
        <f>IF($D718=$D715,Y715+SUM(O718:O720),SUM(O718:O720))</f>
        <v>93.65</v>
      </c>
      <c r="Z718" s="496">
        <f>IF($B718=" ",SUM(O718:O720),0)+Z715</f>
        <v>0</v>
      </c>
      <c r="AA718" s="496">
        <f>IF(G718="","",IF($B718="Anulado",LARGE(P718:P720,1)-SUM(O718:O720)+AA715,AA715))</f>
        <v>13.381099999999991</v>
      </c>
      <c r="AB718" s="496">
        <f>IF($D718="","",AB715+S718)</f>
        <v>815.84000000000071</v>
      </c>
      <c r="AC718" s="499">
        <f ca="1">IF($D718="","",IF($B718=" ",IF(DAY(G718)=DAY(TODAY()),1+AC715,0+AC715),0+AC715))</f>
        <v>0</v>
      </c>
      <c r="AD718" s="157">
        <f>(1-_xlfn.XLOOKUP(K716,'Fevereiro 2023 - Valor Real'!A3:A15,'Fevereiro 2023 - Valor Real'!C3:C15,0))+1</f>
        <v>2</v>
      </c>
      <c r="AE718" s="158">
        <f>IF(L718="","",IF(L720&gt;0,(SUM(((L718-1)*(1-_xlfn.XLOOKUP(K718,'Fevereiro 2023 - Valor Real'!A3:A15,'Fevereiro 2023 - Valor Real'!C3:C15,0))+1),((L719-1)*(1-_xlfn.XLOOKUP(K719,'Fevereiro 2023 - Valor Real'!A3:A15,'Fevereiro 2023 - Valor Real'!C3:C15,0))+1),((L720-1)*(1-_xlfn.XLOOKUP(K720,'Fevereiro 2023 - Valor Real'!A3:A15,'Fevereiro 2023 - Valor Real'!C3:C15,0))+1))/((L718-1)*(1-_xlfn.XLOOKUP(K718,'Fevereiro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Real'!C3:C15,0))+1))/((L718-1)*(1-_xlfn.XLOOKUP(K718,'Fevereiro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Real'!C3:C15,0))+1))/((L719-1)*(1-_xlfn.XLOOKUP(K719,'Fevereiro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Real'!C3:C15,0))+1))/((L720-1)*(1-_xlfn.XLOOKUP(K720,'Fevereiro 2023 - Valor Real'!A3:A15,'Fevereiro 2023 - Valor Real'!C3:C15,0))+1)),IF(I718="Lay",IF(I719="Lay",((L719/(L719-1)-1)*(1-_xlfn.XLOOKUP(K719,'Fevereiro 2023 - Valor Real'!A3:A15,'Fevereiro 2023 - Valor Real'!C3:C15,0))+1)/(((L719/(L719-1)-1)*(1-_xlfn.XLOOKUP(K719,'Fevereiro 2023 - Valor Real'!A3:A15,'Fevereiro 2023 - Valor Real'!C3:C15,0))+1)+((L718/(L718-1)-1)*(1-_xlfn.XLOOKUP(K718,'Fevereiro 2023 - Valor Real'!A3:A15,'Fevereiro 2023 - Valor Real'!C3:C15,0))+1)),((L719-1)*(1-_xlfn.XLOOKUP(K719,'Fevereiro 2023 - Valor Real'!A3:A15,'Fevereiro 2023 - Valor Real'!C3:C15,0))+1)/(((L719-1)*(1-_xlfn.XLOOKUP(K719,'Fevereiro 2023 - Valor Real'!A3:A15,'Fevereiro 2023 - Valor Real'!C3:C15,0))+1)+((L718/(L718-1)-1)*(1-_xlfn.XLOOKUP(K718,'Fevereiro 2023 - Valor Real'!A3:A15,'Fevereiro 2023 - Valor Real'!C3:C15,0))+1))),IF(I719="Lay",(((L719/(L719-1)-1)*(1-_xlfn.XLOOKUP(K719,'Fevereiro 2023 - Valor Real'!A3:A15,'Fevereiro 2023 - Valor Real'!C3:C15,0))+1))/(((L718-1)*(1-_xlfn.XLOOKUP(K718,'Fevereiro 2023 - Valor Real'!A3:A15,'Fevereiro 2023 - Valor Real'!C3:C15,0))+1)+((L719/(L719-1)-1)*(1-_xlfn.XLOOKUP(K719,'Fevereiro 2023 - Valor Real'!A3:A15,'Fevereiro 2023 - Valor Real'!C3:C15,0))+1)),((L719-1)*(1-_xlfn.XLOOKUP(K719,'Fevereiro 2023 - Valor Real'!A3:A15,'Fevereiro 2023 - Valor Real'!C3:C15,0))+1)/(((L719-1)*(1-_xlfn.XLOOKUP(K719,'Fevereiro 2023 - Valor Real'!A3:A15,'Fevereiro 2023 - Valor Real'!C3:C15,0))+1)+((L718-1)*(1-_xlfn.XLOOKUP(K718,'Fevereiro 2023 - Valor Real'!A3:A15,'Fevereiro 2023 - Valor Real'!C3:C15,0))+1))))))</f>
        <v>0.4942528735632184</v>
      </c>
      <c r="AF718" s="66">
        <f t="shared" si="1449"/>
        <v>0</v>
      </c>
      <c r="AG718" s="67">
        <f t="shared" si="1449"/>
        <v>0</v>
      </c>
      <c r="AH718" s="67">
        <f t="shared" si="1449"/>
        <v>0</v>
      </c>
      <c r="AI718" s="67">
        <f t="shared" si="1449"/>
        <v>-5.64</v>
      </c>
      <c r="AJ718" s="67">
        <f t="shared" si="1449"/>
        <v>0</v>
      </c>
      <c r="AK718" s="67">
        <f t="shared" si="1449"/>
        <v>0</v>
      </c>
      <c r="AL718" s="67">
        <f t="shared" si="1449"/>
        <v>0</v>
      </c>
      <c r="AM718" s="67">
        <f t="shared" si="1449"/>
        <v>0</v>
      </c>
      <c r="AN718" s="67">
        <f t="shared" si="1449"/>
        <v>0</v>
      </c>
      <c r="AO718" s="67">
        <f t="shared" si="1449"/>
        <v>0</v>
      </c>
      <c r="AP718" s="67">
        <f t="shared" si="1449"/>
        <v>0</v>
      </c>
      <c r="AQ718" s="67">
        <f t="shared" si="1449"/>
        <v>0</v>
      </c>
      <c r="AR718" s="68">
        <f t="shared" si="1449"/>
        <v>0</v>
      </c>
      <c r="AS718" s="66">
        <f t="shared" ref="AS718:BE718" si="1456">IF(AND($B718=" ",$K718=AS$3),$O718,0)</f>
        <v>0</v>
      </c>
      <c r="AT718" s="67">
        <f t="shared" si="1456"/>
        <v>0</v>
      </c>
      <c r="AU718" s="67">
        <f t="shared" si="1456"/>
        <v>0</v>
      </c>
      <c r="AV718" s="67">
        <f t="shared" si="1456"/>
        <v>0</v>
      </c>
      <c r="AW718" s="67">
        <f t="shared" si="1456"/>
        <v>0</v>
      </c>
      <c r="AX718" s="67">
        <f t="shared" si="1456"/>
        <v>0</v>
      </c>
      <c r="AY718" s="69">
        <f t="shared" si="1456"/>
        <v>0</v>
      </c>
      <c r="AZ718" s="70">
        <f t="shared" si="1456"/>
        <v>0</v>
      </c>
      <c r="BA718" s="70">
        <f t="shared" si="1456"/>
        <v>0</v>
      </c>
      <c r="BB718" s="70">
        <f t="shared" si="1456"/>
        <v>0</v>
      </c>
      <c r="BC718" s="71">
        <f t="shared" si="1456"/>
        <v>0</v>
      </c>
      <c r="BD718" s="67">
        <f t="shared" si="1456"/>
        <v>0</v>
      </c>
      <c r="BE718" s="68">
        <f t="shared" si="1456"/>
        <v>0</v>
      </c>
      <c r="BF718" s="66">
        <f t="shared" si="1451"/>
        <v>0</v>
      </c>
      <c r="BG718" s="67">
        <f t="shared" si="1451"/>
        <v>0</v>
      </c>
      <c r="BH718" s="67">
        <f t="shared" si="1451"/>
        <v>0</v>
      </c>
      <c r="BI718" s="67">
        <f t="shared" si="1451"/>
        <v>5.64</v>
      </c>
      <c r="BJ718" s="67">
        <f t="shared" si="1451"/>
        <v>0</v>
      </c>
      <c r="BK718" s="67">
        <f t="shared" si="1451"/>
        <v>0</v>
      </c>
      <c r="BL718" s="67">
        <f t="shared" si="1451"/>
        <v>0</v>
      </c>
      <c r="BM718" s="69">
        <f t="shared" si="1451"/>
        <v>0</v>
      </c>
      <c r="BN718" s="70">
        <f t="shared" si="1451"/>
        <v>0</v>
      </c>
      <c r="BO718" s="70">
        <f t="shared" si="1451"/>
        <v>0</v>
      </c>
      <c r="BP718" s="70">
        <f t="shared" si="1451"/>
        <v>0</v>
      </c>
      <c r="BQ718" s="71">
        <f t="shared" si="1451"/>
        <v>0</v>
      </c>
      <c r="BR718" s="68">
        <f t="shared" si="1451"/>
        <v>0</v>
      </c>
      <c r="BS718" s="490">
        <f>IF($B718="LOSS",IF(AND($K718=BS$3,$C718="L"),-$O718,0)+IF(AND($K719=BS$3,$C719="L"),-$O719,0)+IF(AND($K720=BS$3,$C720="L"),-$O720,0),IF(OR(AND($K718=BS$3,OR($C718="W",$C718="1/2W")),AND($K719=BS$3,OR($C719="W",$C719="1/2W")),AND($K720=BS$3,OR($C720="W",$C720="1/2W"))),$S718,0))</f>
        <v>0</v>
      </c>
      <c r="BT718" s="498">
        <f>IF($B718="LOSS",IF(AND($K718=BT$3,$C718="L"),-$O718,0)+IF(AND($K719=BT$3,$C719="L"),-$O719,0)+IF(AND($K719=BT$3,$C720="L"),-$O720,0),IF(OR(AND($K719=BT$3,OR($C718="W",$C718="1/2W")),AND($K719=BT$3,OR($C719="W",$C719="1/2W")),AND($K719=BT$3,OR($C720="W",$C720="1/2W"))),$S718,0))</f>
        <v>0</v>
      </c>
      <c r="BU718" s="488">
        <f>IF($B718="LOSS",IF(AND($K718=BU$3,$C718="L"),-$O718,0)+IF(AND($K719=BU$3,$C719="L"),-$O719,0)+IF(AND($K719=BU$3,$C720="L"),-$O720,0),IF(OR(AND($K719=BU$3,OR($C718="W",$C718="1/2W")),AND($K719=BU$3,OR($C719="W",$C719="1/2W")),AND($K719=BU$3,OR($C720="W",$C720="1/2W"))),$S718,0))</f>
        <v>0</v>
      </c>
      <c r="BV718" s="488">
        <f t="shared" ref="BV718:CE718" si="1457">IF($B718="LOSS",IF(AND($K718=BV$3,$C718="L"),-$O718,0)+IF(AND($K719=BV$3,$C719="L"),-$O719,0)+IF(AND($K720=BV$3,$C720="L"),-$O720,0),IF(OR(AND($K718=BV$3,OR($C718="W",$C718="1/2W")),AND($K719=BV$3,OR($C719="W",$C719="1/2W")),AND($K720=BV$3,OR($C720="W",$C720="1/2W"))),$S718,0))</f>
        <v>0</v>
      </c>
      <c r="BW718" s="488">
        <f t="shared" si="1457"/>
        <v>1</v>
      </c>
      <c r="BX718" s="488">
        <f t="shared" si="1457"/>
        <v>0</v>
      </c>
      <c r="BY718" s="488">
        <f t="shared" si="1457"/>
        <v>0</v>
      </c>
      <c r="BZ718" s="488">
        <f t="shared" si="1457"/>
        <v>0</v>
      </c>
      <c r="CA718" s="488">
        <f t="shared" si="1457"/>
        <v>0</v>
      </c>
      <c r="CB718" s="488">
        <f t="shared" si="1457"/>
        <v>0</v>
      </c>
      <c r="CC718" s="488">
        <f t="shared" si="1457"/>
        <v>0</v>
      </c>
      <c r="CD718" s="500">
        <f t="shared" si="1457"/>
        <v>0</v>
      </c>
      <c r="CE718" s="504">
        <f t="shared" si="1457"/>
        <v>0</v>
      </c>
      <c r="CF718" s="160">
        <f t="shared" si="1412"/>
        <v>0</v>
      </c>
      <c r="CG718" s="161">
        <f t="shared" si="1413"/>
        <v>0</v>
      </c>
      <c r="CH718" s="161">
        <f t="shared" si="1414"/>
        <v>0</v>
      </c>
      <c r="CI718" s="161">
        <f t="shared" si="1415"/>
        <v>0</v>
      </c>
      <c r="CJ718" s="161">
        <f t="shared" si="1416"/>
        <v>0</v>
      </c>
      <c r="CK718" s="161">
        <f t="shared" si="1417"/>
        <v>0</v>
      </c>
      <c r="CL718" s="161">
        <f t="shared" si="1418"/>
        <v>0</v>
      </c>
      <c r="CM718" s="161">
        <f t="shared" si="1419"/>
        <v>1</v>
      </c>
      <c r="CN718" s="161">
        <f t="shared" si="1420"/>
        <v>0</v>
      </c>
      <c r="CO718" s="161">
        <f t="shared" si="1421"/>
        <v>0</v>
      </c>
      <c r="CP718" s="161">
        <f t="shared" si="1422"/>
        <v>0</v>
      </c>
      <c r="CQ718" s="161">
        <f t="shared" si="1423"/>
        <v>0</v>
      </c>
      <c r="CR718" s="161">
        <f t="shared" si="1424"/>
        <v>0</v>
      </c>
      <c r="CS718" s="161">
        <f t="shared" si="1425"/>
        <v>0</v>
      </c>
      <c r="CT718" s="75">
        <f t="shared" si="1426"/>
        <v>0</v>
      </c>
      <c r="CU718" s="76">
        <f t="shared" si="1427"/>
        <v>0</v>
      </c>
      <c r="CV718" s="76">
        <f t="shared" si="1428"/>
        <v>0</v>
      </c>
      <c r="CW718" s="76">
        <f t="shared" si="1429"/>
        <v>0</v>
      </c>
      <c r="CX718" s="76">
        <f t="shared" si="1430"/>
        <v>0</v>
      </c>
      <c r="CY718" s="76">
        <f t="shared" si="1431"/>
        <v>0</v>
      </c>
      <c r="CZ718" s="76">
        <f t="shared" si="1432"/>
        <v>0</v>
      </c>
      <c r="DA718" s="76">
        <f t="shared" si="1433"/>
        <v>0</v>
      </c>
      <c r="DB718" s="76">
        <f t="shared" si="1434"/>
        <v>0</v>
      </c>
      <c r="DC718" s="76">
        <f t="shared" si="1435"/>
        <v>0</v>
      </c>
      <c r="DD718" s="76">
        <f t="shared" si="1436"/>
        <v>0</v>
      </c>
      <c r="DE718" s="77">
        <f t="shared" si="1437"/>
        <v>0</v>
      </c>
      <c r="DF718" s="73">
        <f t="shared" si="1440"/>
        <v>43</v>
      </c>
      <c r="DG718" s="67">
        <f t="shared" si="1441"/>
        <v>57.167999999999992</v>
      </c>
      <c r="DH718" s="76">
        <f t="shared" si="1442"/>
        <v>16</v>
      </c>
      <c r="DI718" s="67">
        <f t="shared" si="1443"/>
        <v>68.699999999999989</v>
      </c>
      <c r="DJ718" s="202" t="str">
        <f>IF($D718="","",$D718)</f>
        <v>23</v>
      </c>
      <c r="DK718" s="492">
        <f>IF(AND($B718=" ",$D718&lt;&gt;""),1,0)</f>
        <v>0</v>
      </c>
    </row>
    <row r="719" spans="1:115" ht="14.5" customHeight="1" x14ac:dyDescent="0.2">
      <c r="A719" s="389"/>
      <c r="B719" s="456"/>
      <c r="C719" s="53" t="s">
        <v>54</v>
      </c>
      <c r="D719" s="374"/>
      <c r="E719" s="386"/>
      <c r="F719" s="377"/>
      <c r="G719" s="508"/>
      <c r="H719" s="476"/>
      <c r="I719" s="182" t="s">
        <v>52</v>
      </c>
      <c r="J719" s="56">
        <f>IF(OR(I718="TO",I718="TU",I718="TO1",I718="TU1",I718="TO2",I718="TU2"),J718,IF(OR(I718="AH1",I718="AH2"),IF(OR(I719="AH1",I719="AH2"),-J718,IF(OR(I719="EH1",I719="EH2"),-J718+0.5,"")),IF(OR(I718="EH1",I718="EH2"),IF(OR(I719="AH1",I719="AH2"),-J718+0.5,IF(OR(I719="EH1",I719="EH2"),-J718+1,"")),IF(AND(OR(I718="DNB1",I718="DNB2"),OR(I719="AH1",I719="AH2")),0,IF(AND(I718="Not ScoreBoth",OR(I719="TO1",I719="TO2")),0.5,"")))))</f>
        <v>54.5</v>
      </c>
      <c r="K719" s="57" t="s">
        <v>40</v>
      </c>
      <c r="L719" s="164">
        <v>2.15</v>
      </c>
      <c r="M719" s="165"/>
      <c r="N719" s="406"/>
      <c r="O719" s="60">
        <f>IF(OR(AE718="",AE719=""),"",ROUND(IF(L720&gt;0,IF(M719&gt;0,M719,IF(M718&gt;0,IF(N718=TRUE,ROUND((M718*AE719)/AE718,0),(M718*AE719)/AE718),IF(M719&gt;0,ROUND(M719,IF(N718=0,2,IF(N718=0.1,1,0))),IF(M720&gt;0,ROUND(O720*AE719/AE720,IF(N718=0,2,IF(N718=0.1,1,0))),0)))),IF(M719&gt;0,M719,ROUND((M718*AE719)/AE718,IF(N718=0,2,IF(N718=0.1,1,0))))),2))</f>
        <v>5.77</v>
      </c>
      <c r="P719" s="61">
        <f>IF(OR(L719="",O719=""),"",IF($C719="1/2W",O719/2+O719/2*L719,IF($C719="1/2L",O719/2,IF(I719="Lay",((O719*(L719/(L719-1)))-O719)*(1-_xlfn.XLOOKUP(K719,'Fevereiro 2023 - Valor Real'!A3:A15,'Fevereiro 2023 - Valor Real'!C3:C15,0))+O719,(O719*L719-O719)*(1-_xlfn.XLOOKUP(K719,'Fevereiro 2023 - Valor Real'!A3:A15,'Fevereiro 2023 - Valor Real'!C3:C15,0))+O719))))</f>
        <v>12.405499999999998</v>
      </c>
      <c r="Q719" s="166">
        <f>IF(K719="","",IF(_xlfn.XLOOKUP(K719,K$10:K710,$DJ$10:DJ710,0,,-1)=DJ719,_xlfn.XLOOKUP(K719,K$10:K710,Q$10:Q710,1,,-1)+1,1))</f>
        <v>1</v>
      </c>
      <c r="R719" s="167">
        <f>IF(K719="","",_xlfn.XLOOKUP(K719,K$10:K710,R$10:R710,0,,-1)+IF($C719=" ",1,0))</f>
        <v>0</v>
      </c>
      <c r="S719" s="403"/>
      <c r="T719" s="380"/>
      <c r="U719" s="380"/>
      <c r="V719" s="481"/>
      <c r="W719" s="380"/>
      <c r="X719" s="452"/>
      <c r="Y719" s="383"/>
      <c r="Z719" s="384"/>
      <c r="AA719" s="384"/>
      <c r="AB719" s="384"/>
      <c r="AC719" s="384"/>
      <c r="AD719" s="64"/>
      <c r="AE719" s="65">
        <f>IF(L719="","",IF(L720&gt;0,(SUM(((L718-1)*(1-_xlfn.XLOOKUP(K718,'Fevereiro 2023 - Valor Real'!A3:A15,'Fevereiro 2023 - Valor Real'!C3:C15,0))+1),((L719-1)*(1-_xlfn.XLOOKUP(K719,'Fevereiro 2023 - Valor Real'!A3:A15,'Fevereiro 2023 - Valor Real'!C3:C15,0))+1),((L720-1)*(1-_xlfn.XLOOKUP(K720,'Fevereiro 2023 - Valor Real'!A3:A15,'Fevereiro 2023 - Valor Real'!C3:C15,0))+1))/((L719-1)*(1-_xlfn.XLOOKUP(K719,'Fevereiro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Real'!C3:C15,0))+1))/((L718-1)*(1-_xlfn.XLOOKUP(K718,'Fevereiro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Real'!C3:C15,0))+1))/((L719-1)*(1-_xlfn.XLOOKUP(K719,'Fevereiro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Real'!C3:C15,0))+1))/((L720-1)*(1-_xlfn.XLOOKUP(K720,'Fevereiro 2023 - Valor Real'!A3:A15,'Fevereiro 2023 - Valor Real'!C3:C15,0))+1)),IF(I719="Lay",IF(I718="Lay",((L718/(L718-1)-1)*(1-_xlfn.XLOOKUP(K718,'Fevereiro 2023 - Valor Real'!A3:A15,'Fevereiro 2023 - Valor Real'!C3:C15,0))+1)/(((L718/(L718-1)-1)*(1-_xlfn.XLOOKUP(K718,'Fevereiro 2023 - Valor Real'!A3:A15,'Fevereiro 2023 - Valor Real'!C3:C15,0))+1)+((L719/(L719-1)-1)*(1-_xlfn.XLOOKUP(K719,'Fevereiro 2023 - Valor Real'!A3:A15,'Fevereiro 2023 - Valor Real'!C3:C15,0))+1)),((L718-1)*(1-_xlfn.XLOOKUP(K718,'Fevereiro 2023 - Valor Real'!A3:A15,'Fevereiro 2023 - Valor Real'!C3:C15,0))+1)/(((L718-1)*(1-_xlfn.XLOOKUP(K718,'Fevereiro 2023 - Valor Real'!A3:A15,'Fevereiro 2023 - Valor Real'!C3:C15,0))+1)+((L719/(L719-1)-1)*(1-_xlfn.XLOOKUP(K719,'Fevereiro 2023 - Valor Real'!A3:A15,'Fevereiro 2023 - Valor Real'!C3:C15,0))+1))),IF(I718="Lay",((L718/(L718-1)-1)*(1-_xlfn.XLOOKUP(K718,'Fevereiro 2023 - Valor Real'!A3:A15,'Fevereiro 2023 - Valor Real'!C3:C15,0))+1)/((((L718/(L718-1)-1)*(1-_xlfn.XLOOKUP(K718,'Fevereiro 2023 - Valor Real'!A3:A15,'Fevereiro 2023 - Valor Real'!C3:C15,0))+1))+((L719-1)*(1-_xlfn.XLOOKUP(K719,'Fevereiro 2023 - Valor Real'!A3:A15,'Fevereiro 2023 - Valor Real'!C3:C15,0))+1)),((L718-1)*(1-_xlfn.XLOOKUP(K718,'Fevereiro 2023 - Valor Real'!A3:A15,'Fevereiro 2023 - Valor Real'!C3:C15,0))+1)/(((L718-1)*(1-_xlfn.XLOOKUP(K718,'Fevereiro 2023 - Valor Real'!A3:A15,'Fevereiro 2023 - Valor Real'!C3:C15,0))+1)+((L719-1)*(1-_xlfn.XLOOKUP(K719,'Fevereiro 2023 - Valor Real'!A3:A15,'Fevereiro 2023 - Valor Real'!C3:C15,0))+1))))))</f>
        <v>0.50574712643678166</v>
      </c>
      <c r="AF719" s="66">
        <f t="shared" si="1449"/>
        <v>0</v>
      </c>
      <c r="AG719" s="67">
        <f t="shared" si="1449"/>
        <v>0</v>
      </c>
      <c r="AH719" s="67">
        <f t="shared" si="1449"/>
        <v>0</v>
      </c>
      <c r="AI719" s="67">
        <f t="shared" si="1449"/>
        <v>0</v>
      </c>
      <c r="AJ719" s="67">
        <f t="shared" si="1449"/>
        <v>6.64</v>
      </c>
      <c r="AK719" s="67">
        <f t="shared" si="1449"/>
        <v>0</v>
      </c>
      <c r="AL719" s="67">
        <f t="shared" si="1449"/>
        <v>0</v>
      </c>
      <c r="AM719" s="67">
        <f t="shared" si="1449"/>
        <v>0</v>
      </c>
      <c r="AN719" s="67">
        <f t="shared" si="1449"/>
        <v>0</v>
      </c>
      <c r="AO719" s="67">
        <f t="shared" si="1449"/>
        <v>0</v>
      </c>
      <c r="AP719" s="67">
        <f t="shared" si="1449"/>
        <v>0</v>
      </c>
      <c r="AQ719" s="67">
        <f t="shared" si="1449"/>
        <v>0</v>
      </c>
      <c r="AR719" s="68">
        <f t="shared" si="1449"/>
        <v>0</v>
      </c>
      <c r="AS719" s="66">
        <f>IF(AND($B718=" ",$K719=AS$3),$O719,0)</f>
        <v>0</v>
      </c>
      <c r="AT719" s="67">
        <f>IF(AND($B718=" ",K719=AT$3),$O719,0)</f>
        <v>0</v>
      </c>
      <c r="AU719" s="67">
        <f t="shared" ref="AU719:BE719" si="1458">IF(AND($B718=" ",$K719=AU$3),$O719,0)</f>
        <v>0</v>
      </c>
      <c r="AV719" s="67">
        <f t="shared" si="1458"/>
        <v>0</v>
      </c>
      <c r="AW719" s="67">
        <f t="shared" si="1458"/>
        <v>0</v>
      </c>
      <c r="AX719" s="67">
        <f t="shared" si="1458"/>
        <v>0</v>
      </c>
      <c r="AY719" s="69">
        <f t="shared" si="1458"/>
        <v>0</v>
      </c>
      <c r="AZ719" s="70">
        <f t="shared" si="1458"/>
        <v>0</v>
      </c>
      <c r="BA719" s="70">
        <f t="shared" si="1458"/>
        <v>0</v>
      </c>
      <c r="BB719" s="70">
        <f t="shared" si="1458"/>
        <v>0</v>
      </c>
      <c r="BC719" s="71">
        <f t="shared" si="1458"/>
        <v>0</v>
      </c>
      <c r="BD719" s="67">
        <f t="shared" si="1458"/>
        <v>0</v>
      </c>
      <c r="BE719" s="68">
        <f t="shared" si="1458"/>
        <v>0</v>
      </c>
      <c r="BF719" s="66">
        <f t="shared" si="1451"/>
        <v>0</v>
      </c>
      <c r="BG719" s="168">
        <f t="shared" si="1451"/>
        <v>0</v>
      </c>
      <c r="BH719" s="67">
        <f t="shared" si="1451"/>
        <v>0</v>
      </c>
      <c r="BI719" s="67">
        <f t="shared" si="1451"/>
        <v>0</v>
      </c>
      <c r="BJ719" s="67">
        <f t="shared" si="1451"/>
        <v>5.77</v>
      </c>
      <c r="BK719" s="67">
        <f t="shared" si="1451"/>
        <v>0</v>
      </c>
      <c r="BL719" s="67">
        <f t="shared" si="1451"/>
        <v>0</v>
      </c>
      <c r="BM719" s="69">
        <f t="shared" si="1451"/>
        <v>0</v>
      </c>
      <c r="BN719" s="70">
        <f t="shared" si="1451"/>
        <v>0</v>
      </c>
      <c r="BO719" s="70">
        <f t="shared" si="1451"/>
        <v>0</v>
      </c>
      <c r="BP719" s="70">
        <f t="shared" si="1451"/>
        <v>0</v>
      </c>
      <c r="BQ719" s="71">
        <f t="shared" si="1451"/>
        <v>0</v>
      </c>
      <c r="BR719" s="68">
        <f t="shared" si="1451"/>
        <v>0</v>
      </c>
      <c r="BS719" s="491"/>
      <c r="BT719" s="489"/>
      <c r="BU719" s="392"/>
      <c r="BV719" s="489"/>
      <c r="BW719" s="392"/>
      <c r="BX719" s="392"/>
      <c r="BY719" s="392"/>
      <c r="BZ719" s="489"/>
      <c r="CA719" s="392"/>
      <c r="CB719" s="392"/>
      <c r="CC719" s="392"/>
      <c r="CD719" s="401"/>
      <c r="CE719" s="409"/>
      <c r="CF719" s="169">
        <f t="shared" si="1412"/>
        <v>0</v>
      </c>
      <c r="CG719" s="170">
        <f t="shared" si="1413"/>
        <v>0</v>
      </c>
      <c r="CH719" s="170">
        <f t="shared" si="1414"/>
        <v>0</v>
      </c>
      <c r="CI719" s="170">
        <f t="shared" si="1415"/>
        <v>0</v>
      </c>
      <c r="CJ719" s="170">
        <f t="shared" si="1416"/>
        <v>0</v>
      </c>
      <c r="CK719" s="170">
        <f t="shared" si="1417"/>
        <v>0</v>
      </c>
      <c r="CL719" s="170">
        <f t="shared" si="1418"/>
        <v>0</v>
      </c>
      <c r="CM719" s="170">
        <f t="shared" si="1419"/>
        <v>0</v>
      </c>
      <c r="CN719" s="170">
        <f t="shared" si="1420"/>
        <v>1</v>
      </c>
      <c r="CO719" s="170">
        <f t="shared" si="1421"/>
        <v>0</v>
      </c>
      <c r="CP719" s="170">
        <f t="shared" si="1422"/>
        <v>0</v>
      </c>
      <c r="CQ719" s="170">
        <f t="shared" si="1423"/>
        <v>0</v>
      </c>
      <c r="CR719" s="170">
        <f t="shared" si="1424"/>
        <v>0</v>
      </c>
      <c r="CS719" s="170">
        <f t="shared" si="1425"/>
        <v>0</v>
      </c>
      <c r="CT719" s="75">
        <f t="shared" si="1426"/>
        <v>0</v>
      </c>
      <c r="CU719" s="76">
        <f t="shared" si="1427"/>
        <v>0</v>
      </c>
      <c r="CV719" s="76">
        <f t="shared" si="1428"/>
        <v>0</v>
      </c>
      <c r="CW719" s="76">
        <f t="shared" si="1429"/>
        <v>0</v>
      </c>
      <c r="CX719" s="76">
        <f t="shared" si="1430"/>
        <v>0</v>
      </c>
      <c r="CY719" s="76">
        <f t="shared" si="1431"/>
        <v>0</v>
      </c>
      <c r="CZ719" s="76">
        <f t="shared" si="1432"/>
        <v>0</v>
      </c>
      <c r="DA719" s="76">
        <f t="shared" si="1433"/>
        <v>0</v>
      </c>
      <c r="DB719" s="76">
        <f t="shared" si="1434"/>
        <v>0</v>
      </c>
      <c r="DC719" s="76">
        <f t="shared" si="1435"/>
        <v>0</v>
      </c>
      <c r="DD719" s="76">
        <f t="shared" si="1436"/>
        <v>0</v>
      </c>
      <c r="DE719" s="77">
        <f t="shared" si="1437"/>
        <v>0</v>
      </c>
      <c r="DF719" s="73">
        <f t="shared" si="1440"/>
        <v>43</v>
      </c>
      <c r="DG719" s="67">
        <f t="shared" si="1441"/>
        <v>57.167999999999992</v>
      </c>
      <c r="DH719" s="76">
        <f t="shared" si="1442"/>
        <v>16</v>
      </c>
      <c r="DI719" s="67">
        <f t="shared" si="1443"/>
        <v>68.699999999999989</v>
      </c>
      <c r="DJ719" s="202" t="str">
        <f>IF($D718="","",$D718)</f>
        <v>23</v>
      </c>
      <c r="DK719" s="493"/>
    </row>
    <row r="720" spans="1:115" ht="14.5" customHeight="1" x14ac:dyDescent="0.2">
      <c r="A720" s="390"/>
      <c r="B720" s="457"/>
      <c r="C720" s="79" t="s">
        <v>53</v>
      </c>
      <c r="D720" s="375"/>
      <c r="E720" s="387"/>
      <c r="F720" s="378"/>
      <c r="G720" s="508"/>
      <c r="H720" s="477"/>
      <c r="I720" s="171"/>
      <c r="J720" s="172"/>
      <c r="K720" s="81"/>
      <c r="L720" s="173"/>
      <c r="M720" s="174"/>
      <c r="N720" s="407"/>
      <c r="O720" s="86" t="str">
        <f>IF(OR(AE718="",AE719=""),"",IF(L720&gt;0,ROUND(IF(M720&gt;0,M720,IF(M718&gt;0,ROUND((M718*AE720)/AE718,IF(N718=0,2,IF(N718=0.1,1,0))),IF(M719&gt;0,ROUND((M719*AE720)/AE719,IF(N718=0,2,IF(N718=0.1,1,0))),IF(M720&gt;0,M720,0)))),2),""))</f>
        <v/>
      </c>
      <c r="P720" s="87" t="str">
        <f>IF(I719="Lay",O719*(L719/(L719-1))-O719,IF(I718="Lay",O718*(L718/(L718-1))-O718,IF(OR(L720="",O720=""),"",IF($C720="1/2W",O720/2+O720/2*L720,IF($C720="1/2L",O720/2,(O720*L720-O720)*(1-_xlfn.XLOOKUP(K720,'Fevereiro 2023 - Valor Real'!A3:A15,'Fevereiro 2023 - Valor Real'!C3:C15,0))+O720)))))</f>
        <v/>
      </c>
      <c r="Q720" s="54" t="str">
        <f>IF(K720="","",IF(_xlfn.XLOOKUP(K720,K$11:K710,$DJ$11:DJ710,0,,-1)=DJ720,_xlfn.XLOOKUP(K720,K$11:K710,Q$11:Q710,1,,-1)+1,1))</f>
        <v/>
      </c>
      <c r="R720" s="87" t="str">
        <f>IF(K720="","",_xlfn.XLOOKUP(K720,K$11:K710,R$11:R710,0,,-1)+IF($C720=" ",1,0))</f>
        <v/>
      </c>
      <c r="S720" s="404"/>
      <c r="T720" s="378"/>
      <c r="U720" s="378"/>
      <c r="V720" s="404"/>
      <c r="W720" s="378"/>
      <c r="X720" s="453"/>
      <c r="Y720" s="383"/>
      <c r="Z720" s="384"/>
      <c r="AA720" s="384"/>
      <c r="AB720" s="384"/>
      <c r="AC720" s="384"/>
      <c r="AD720" s="90"/>
      <c r="AE720" s="91" t="str">
        <f>IF(L720="","",(SUM(((L718-1)*(1-_xlfn.XLOOKUP(K718,'Fevereiro 2023 - Valor Real'!A3:A15,'Fevereiro 2023 - Valor Real'!C3:C15,0))+1),((L719-1)*(1-_xlfn.XLOOKUP(K719,'Fevereiro 2023 - Valor Real'!A3:A15,'Fevereiro 2023 - Valor Real'!C3:C15,0))+1),((L720-1)*(1-_xlfn.XLOOKUP(K720,'Fevereiro 2023 - Valor Real'!A3:A15,'Fevereiro 2023 - Valor Real'!C3:C15,0))+1))/((L720-1)*(1-_xlfn.XLOOKUP(K720,'Fevereiro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Real'!C3:C15,0))+1))/((L718-1)*(1-_xlfn.XLOOKUP(K718,'Fevereiro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Real'!C3:C15,0))+1))/((L719-1)*(1-_xlfn.XLOOKUP(K719,'Fevereiro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Real'!C3:C15,0))+1))/((L720-1)*(1-_xlfn.XLOOKUP(K720,'Fevereiro 2023 - Valor Real'!A3:A15,'Fevereiro 2023 - Valor Real'!C3:C15,0))+1)))</f>
        <v/>
      </c>
      <c r="AF720" s="66">
        <f t="shared" si="1449"/>
        <v>0</v>
      </c>
      <c r="AG720" s="67">
        <f t="shared" si="1449"/>
        <v>0</v>
      </c>
      <c r="AH720" s="67">
        <f t="shared" si="1449"/>
        <v>0</v>
      </c>
      <c r="AI720" s="67">
        <f t="shared" si="1449"/>
        <v>0</v>
      </c>
      <c r="AJ720" s="67">
        <f t="shared" si="1449"/>
        <v>0</v>
      </c>
      <c r="AK720" s="67">
        <f t="shared" si="1449"/>
        <v>0</v>
      </c>
      <c r="AL720" s="67">
        <f t="shared" si="1449"/>
        <v>0</v>
      </c>
      <c r="AM720" s="67">
        <f t="shared" si="1449"/>
        <v>0</v>
      </c>
      <c r="AN720" s="67">
        <f t="shared" si="1449"/>
        <v>0</v>
      </c>
      <c r="AO720" s="67">
        <f t="shared" si="1449"/>
        <v>0</v>
      </c>
      <c r="AP720" s="67">
        <f t="shared" si="1449"/>
        <v>0</v>
      </c>
      <c r="AQ720" s="67">
        <f t="shared" si="1449"/>
        <v>0</v>
      </c>
      <c r="AR720" s="68">
        <f t="shared" si="1449"/>
        <v>0</v>
      </c>
      <c r="AS720" s="66">
        <f>IF(AND($B718=" ",$K720=AS$3),$O720,0)</f>
        <v>0</v>
      </c>
      <c r="AT720" s="67">
        <f>IF(AND($B718=" ",K720=AT$3),$O720,0)</f>
        <v>0</v>
      </c>
      <c r="AU720" s="67">
        <f t="shared" ref="AU720:BE720" si="1459">IF(AND($B718=" ",$K720=AU$3),$O720,0)</f>
        <v>0</v>
      </c>
      <c r="AV720" s="67">
        <f t="shared" si="1459"/>
        <v>0</v>
      </c>
      <c r="AW720" s="67">
        <f t="shared" si="1459"/>
        <v>0</v>
      </c>
      <c r="AX720" s="67">
        <f t="shared" si="1459"/>
        <v>0</v>
      </c>
      <c r="AY720" s="69">
        <f t="shared" si="1459"/>
        <v>0</v>
      </c>
      <c r="AZ720" s="70">
        <f t="shared" si="1459"/>
        <v>0</v>
      </c>
      <c r="BA720" s="70">
        <f t="shared" si="1459"/>
        <v>0</v>
      </c>
      <c r="BB720" s="70">
        <f t="shared" si="1459"/>
        <v>0</v>
      </c>
      <c r="BC720" s="71">
        <f t="shared" si="1459"/>
        <v>0</v>
      </c>
      <c r="BD720" s="67">
        <f t="shared" si="1459"/>
        <v>0</v>
      </c>
      <c r="BE720" s="68">
        <f t="shared" si="1459"/>
        <v>0</v>
      </c>
      <c r="BF720" s="66">
        <f t="shared" si="1451"/>
        <v>0</v>
      </c>
      <c r="BG720" s="168">
        <f t="shared" si="1451"/>
        <v>0</v>
      </c>
      <c r="BH720" s="67">
        <f t="shared" si="1451"/>
        <v>0</v>
      </c>
      <c r="BI720" s="67">
        <f t="shared" si="1451"/>
        <v>0</v>
      </c>
      <c r="BJ720" s="67">
        <f t="shared" si="1451"/>
        <v>0</v>
      </c>
      <c r="BK720" s="67">
        <f t="shared" si="1451"/>
        <v>0</v>
      </c>
      <c r="BL720" s="67">
        <f t="shared" si="1451"/>
        <v>0</v>
      </c>
      <c r="BM720" s="69">
        <f t="shared" si="1451"/>
        <v>0</v>
      </c>
      <c r="BN720" s="70">
        <f t="shared" si="1451"/>
        <v>0</v>
      </c>
      <c r="BO720" s="70">
        <f t="shared" si="1451"/>
        <v>0</v>
      </c>
      <c r="BP720" s="70">
        <f t="shared" si="1451"/>
        <v>0</v>
      </c>
      <c r="BQ720" s="71">
        <f t="shared" si="1451"/>
        <v>0</v>
      </c>
      <c r="BR720" s="68">
        <f t="shared" si="1451"/>
        <v>0</v>
      </c>
      <c r="BS720" s="491"/>
      <c r="BT720" s="489"/>
      <c r="BU720" s="392"/>
      <c r="BV720" s="489"/>
      <c r="BW720" s="392"/>
      <c r="BX720" s="392"/>
      <c r="BY720" s="392"/>
      <c r="BZ720" s="489"/>
      <c r="CA720" s="392"/>
      <c r="CB720" s="392"/>
      <c r="CC720" s="392"/>
      <c r="CD720" s="401"/>
      <c r="CE720" s="409"/>
      <c r="CF720" s="169">
        <f t="shared" si="1412"/>
        <v>0</v>
      </c>
      <c r="CG720" s="170">
        <f t="shared" si="1413"/>
        <v>0</v>
      </c>
      <c r="CH720" s="170">
        <f t="shared" si="1414"/>
        <v>0</v>
      </c>
      <c r="CI720" s="170">
        <f t="shared" si="1415"/>
        <v>0</v>
      </c>
      <c r="CJ720" s="170">
        <f t="shared" si="1416"/>
        <v>0</v>
      </c>
      <c r="CK720" s="170">
        <f t="shared" si="1417"/>
        <v>0</v>
      </c>
      <c r="CL720" s="170">
        <f t="shared" si="1418"/>
        <v>0</v>
      </c>
      <c r="CM720" s="170">
        <f t="shared" si="1419"/>
        <v>0</v>
      </c>
      <c r="CN720" s="170">
        <f t="shared" si="1420"/>
        <v>0</v>
      </c>
      <c r="CO720" s="170">
        <f t="shared" si="1421"/>
        <v>0</v>
      </c>
      <c r="CP720" s="170">
        <f t="shared" si="1422"/>
        <v>0</v>
      </c>
      <c r="CQ720" s="170">
        <f t="shared" si="1423"/>
        <v>0</v>
      </c>
      <c r="CR720" s="170">
        <f t="shared" si="1424"/>
        <v>0</v>
      </c>
      <c r="CS720" s="170">
        <f t="shared" si="1425"/>
        <v>0</v>
      </c>
      <c r="CT720" s="75">
        <f t="shared" si="1426"/>
        <v>0</v>
      </c>
      <c r="CU720" s="76">
        <f t="shared" si="1427"/>
        <v>0</v>
      </c>
      <c r="CV720" s="76">
        <f t="shared" si="1428"/>
        <v>0</v>
      </c>
      <c r="CW720" s="76">
        <f t="shared" si="1429"/>
        <v>0</v>
      </c>
      <c r="CX720" s="76">
        <f t="shared" si="1430"/>
        <v>0</v>
      </c>
      <c r="CY720" s="76">
        <f t="shared" si="1431"/>
        <v>0</v>
      </c>
      <c r="CZ720" s="76">
        <f t="shared" si="1432"/>
        <v>0</v>
      </c>
      <c r="DA720" s="76">
        <f t="shared" si="1433"/>
        <v>0</v>
      </c>
      <c r="DB720" s="76">
        <f t="shared" si="1434"/>
        <v>0</v>
      </c>
      <c r="DC720" s="76">
        <f t="shared" si="1435"/>
        <v>0</v>
      </c>
      <c r="DD720" s="76">
        <f t="shared" si="1436"/>
        <v>0</v>
      </c>
      <c r="DE720" s="77">
        <f t="shared" si="1437"/>
        <v>0</v>
      </c>
      <c r="DF720" s="73">
        <f t="shared" si="1440"/>
        <v>43</v>
      </c>
      <c r="DG720" s="67">
        <f t="shared" si="1441"/>
        <v>57.167999999999992</v>
      </c>
      <c r="DH720" s="76">
        <f t="shared" si="1442"/>
        <v>16</v>
      </c>
      <c r="DI720" s="67">
        <f t="shared" si="1443"/>
        <v>68.699999999999989</v>
      </c>
      <c r="DJ720" s="202" t="str">
        <f>IF($D718="","",$D718)</f>
        <v>23</v>
      </c>
      <c r="DK720" s="493"/>
    </row>
    <row r="721" spans="1:115" ht="14.5" customHeight="1" x14ac:dyDescent="0.2">
      <c r="A721" s="459">
        <f>$A718+1</f>
        <v>240</v>
      </c>
      <c r="B721" s="507" t="str">
        <f>IF(OR(C721="W",C722="W",C723="W",C721="1/2W",C722="1/2W",C723="1/2W",C721="1/2L",C722="1/2L",C723="1/2L"),"OK",IF(OR(C721="L",C722="L",C723="L"),"LOSS",IF(OR(C721="X",C722="X",C723="X"),"Anulado"," ")))</f>
        <v>OK</v>
      </c>
      <c r="C721" s="93" t="s">
        <v>54</v>
      </c>
      <c r="D721" s="468" t="str">
        <f>IF(G721="","",$D718)</f>
        <v>23</v>
      </c>
      <c r="E721" s="485" t="str">
        <f>IF(G721=""," ","– "&amp;COUNTIF(D$4:D723,$D721))</f>
        <v>– 6</v>
      </c>
      <c r="F721" s="509" t="str">
        <f ca="1">IF(G721="","",IF(OR(AND($C721&lt;&gt;" ",$C722=" "),AND($C722&lt;&gt;" ",$C721=" "),AND(L723&gt;0,OR(AND($C723&lt;&gt;" ",OR($C721=" ",$C722=" ")),AND($C723=" ",OR($C721&lt;&gt;" ",$C722&lt;&gt;" "))))),IF(SUM(F$4:F720)=0,1,LARGE(F$4:F720,1)+1),IF(MONTH(G721)=MONTH(TODAY()),IF(AND(DAY(G721)&lt;DAY(TODAY()),$B721=" "),IF(SUM(F$4:F720)=0,1,LARGE(F$4:F720,1)+1),IF($B721=" ",IF(AND(DAY(G721)=DAY(TODAY()),HOUR(G721)&lt;=HOUR(NOW())+1),IF(AND(HOUR(G721)+2&lt;=HOUR(NOW()),DAY(G721)&lt;=DAY(TODAY()),MINUTE(G721)&lt;=MINUTE(NOW())),IF(SUM(F$4:F720)=0,1,LARGE(F$4:F720,1)+1),IF(OR(MINUTE(G721)&lt;=MINUTE(NOW()),HOUR(G721)&lt;=HOUR(NOW())),"!!!","")),""),"")),"")))</f>
        <v/>
      </c>
      <c r="G721" s="482">
        <v>45011.416666666664</v>
      </c>
      <c r="H721" s="475" t="s">
        <v>256</v>
      </c>
      <c r="I721" s="175">
        <v>2</v>
      </c>
      <c r="J721" s="176"/>
      <c r="K721" s="96" t="s">
        <v>38</v>
      </c>
      <c r="L721" s="97">
        <v>1.79</v>
      </c>
      <c r="M721" s="98">
        <v>15.1</v>
      </c>
      <c r="N721" s="478">
        <v>0</v>
      </c>
      <c r="O721" s="99">
        <f>IF(OR(AE721="",AE722=""),"",ROUND(IF(L723&gt;0,IF(M721&gt;0,M721,IF(M722&gt;0,ROUND((M722*AE721)/AE722,IF(N721=0,2,IF(N721=0.1,1,0))),ROUND((M723*AE721)/AE723,IF(N721=0,2,IF(N721=0.1,1,0))))),IF(M721&gt;0,M721,ROUND((M722*AE721)/AE722,IF(N721=0,2,IF(N721=0.1,1,0))))),2))</f>
        <v>15.1</v>
      </c>
      <c r="P721" s="100">
        <f>IF(OR(L721="",O721=""),"",IF($C721="1/2W",O721/2+O721/2*L721,IF($C721="1/2L",O721/2,IF(I721="Lay",(O721*(L721/(L721-1))-O721)*(1-_xlfn.XLOOKUP(K721,'Fevereiro 2023 - Valor Real'!A3:A15,'Fevereiro 2023 - Valor Real'!C3:C15,0))+O721,(O721*L721-O721)*(1-_xlfn.XLOOKUP(K721,'Fevereiro 2023 - Valor Real'!A3:A15,'Fevereiro 2023 - Valor Real'!C3:C15,0))+O721))))</f>
        <v>26.253615</v>
      </c>
      <c r="Q721" s="101">
        <f>IF(K721="","",IF(_xlfn.XLOOKUP(K721,K$4:K720,$DJ$4:DJ720,0,,-1)=DJ721,_xlfn.XLOOKUP(K721,K$4:K720,Q$4:Q720,1,,-1)+1,1))</f>
        <v>2</v>
      </c>
      <c r="R721" s="102">
        <f>IF(K721="","",_xlfn.XLOOKUP(K721,K$4:K720,R$4:R720,0,,-1)+IF($C721=" ",1,0))</f>
        <v>0</v>
      </c>
      <c r="S721" s="474">
        <f>IF($B721="Anulado",0,ROUND(IF(OR($B721="LOSS",$B721="OK"),IF(OR($C721="W",$C721="1/2W",$C721="1/2L"),P721-O721,IF($C721="L",-O721,0))+IF(OR($C722="W",$C722="1/2W",$C722="1/2L"),P722-O722,IF($C722="L",-O722,0))+IF(OR($C723="W",$C723="1/2W",$C723="1/2L"),P723-O723,IF($C723="L",-O723,0)),IF(AND(OR($C721="W",$C721="1/2W",$C721="1/2L"),C722="W"),P721+P722-SUM(O721:O723)+_xlfn.XLOOKUP("X",C721:C723,O721:O723,0),IF(AND(C721=TRUE,C723="W"),P721+P723-SUM(O721:O723),IF(AND(C722="W",C723="W"),P722+P723-SUM(O721:O723)+_xlfn.XLOOKUP("X",C721:C723,O721:O723,0),IF(L723&gt;0,IF(OR($C721="W",$C721="1/2W",$C721="1/2L"),P721-SUM(O721:O723)+_xlfn.XLOOKUP("X",C721:C723,O721:O723,0),IF(OR($C721="W",$C721="1/2W",$C721="1/2L"),P722-SUM(O721:O723)+_xlfn.XLOOKUP("X",C721:C723,O721:O723,0),IF(OR($C721="W",$C721="1/2W",$C721="1/2L"),P723-SUM(O721:O723)+_xlfn.XLOOKUP("X",C721:C723,O721:O723,0),IF(SUM(P721:P723)/3-SUM(O721:O723)+_xlfn.XLOOKUP("X",C721:C723,O721:O723,0)&gt;0,SUM(P721:P723)/3-SUM(O721:O723)+_xlfn.XLOOKUP("X",C721:C723,O721:O723,0),LARGE(P721:P723,1)-SUM(O721:O723))))),IF(OR($C721="W",$C721="1/2W",$C721="1/2L"),P721-SUM(O721:O722)+_xlfn.XLOOKUP("X",C721:C723,O721:O723,0),IF(OR($C721="W",$C721="1/2W",$C721="1/2L"),P722-SUM(O721:O722)+_xlfn.XLOOKUP("X",C721:C723,O721:O723,0),SUM(P721:P722)/2-SUM(O721:O722)+_xlfn.XLOOKUP("X",C721:C723,O721:O723,0)))))))),2))</f>
        <v>4.5199999999999996</v>
      </c>
      <c r="T721" s="458">
        <f>IF(S721=0,0,S721/SUM(O721:O723))</f>
        <v>0.20800736309249881</v>
      </c>
      <c r="U721" s="470">
        <f>IF($D721=$D718,IF(OR($B721="LOSS",$B721="OK",$B721="Anulada"),S721,0)+U718,IF(OR($B721="LOSS",$B721="OK",$B721="Anulada"),S721,0))</f>
        <v>13.999999999999998</v>
      </c>
      <c r="V721" s="470">
        <f>IF($D721="",0,IF($D721=$D718,IF($B721=" ",IF(I723="",IF(OR(AND(I721="DNB1",I722="DNB2"),AND(OR(I721="DNB1",I721="DNB2"),J722=0),AND(OR(I722="DNB1",I722="DNB2"),J721=0),AND(I721="DNB2",I722="DNB1"),AND(IF(J721=0,(J721+1)/ROUND(J721+1,0),J721/ROUND(J721,0))=1,IF(J722=0,(J722+1)/ROUND(IF(J722="",0,J722)+1,0),IF(J722="",0,J722)/ROUND(IF(J722="",1,J722),0))=1,OR(J721&lt;&gt;""),J722&lt;&gt;"")),0,IF(S721&lt;0,IF(I723="",SMALL(P721:P722,1)-SUM(O721:O722),0),SMALL(P721:P722,1)-SUM(O721:O722))),IF(S721&lt;0,IF(I723="",SMALL(P721:P723,1)-SUM(O721:O723),0),LARGE(P721:P723,1)-SUM(O721:O723))),S721)+V718,IF(I723="",IF(OR(AND(I721="DNB1",I722="DNB2"),AND(OR(I721="DNB1",I721="DNB2"),J722=0),AND(OR(I722="DNB1",I722="DNB2"),J721=0),AND(I721="DNB2",I722="DNB1"),AND(IF(J721=0,(J721+1)/ROUND(J721+1,0),J721/ROUND(J721,0))=1,IF(J722=0,(IF(J722="",0,J722)+1)/ROUND(IF(J722="",0,J722)+1,0),IF(J722="",0,J722)/ROUND(IF(J722="",0,J722)+1,0))=1,OR(J721&lt;&gt;""),J722&lt;&gt;"")),0,IF(S721&lt;0,IF(I723="",SMALL(P721:P722,1)-SUM(O721:O722),0),SMALL(P721:P723,1)-SUM(O721:O723))),IF(S721&lt;0,IF(I723="",SMALL(P721:P723,1)-SUM(O721:O723),0),LARGE(P721:P723,1)-SUM(O721:O723)))))</f>
        <v>14.000000000000002</v>
      </c>
      <c r="W721" s="470">
        <f>IF($D721=$D718,IF(S721&lt;0,IF(I723="",S721,0),S721)+W718,S721)</f>
        <v>13.999999999999998</v>
      </c>
      <c r="X721" s="480" t="str">
        <f>IF(OR(SUM(R721:R723)=0,V721=W721),ROUND(IF(W721=0,0,W721/Y721)*100,2)&amp;"%",ROUND(IF(V721=0,0,V721/Y721)*100,2)&amp;"% a "&amp;ROUND(IF(W721=0,0,W721/Y721)*100,2)&amp;"%")</f>
        <v>12,13%</v>
      </c>
      <c r="Y721" s="471">
        <f>IF($D721=$D718,Y718+SUM(O721:O723),SUM(O721:O723))</f>
        <v>115.38000000000001</v>
      </c>
      <c r="Z721" s="470">
        <f>IF($B721=" ",SUM(O721:O723),0)+Z718</f>
        <v>0</v>
      </c>
      <c r="AA721" s="470">
        <f>IF(G721="","",IF($B721="Anulado",LARGE(P721:P723,1)-SUM(O721:O723)+AA718,AA718))</f>
        <v>13.381099999999991</v>
      </c>
      <c r="AB721" s="470">
        <f>IF($D721="","",AB718+S721)</f>
        <v>820.3600000000007</v>
      </c>
      <c r="AC721" s="472">
        <f ca="1">IF($D721="","",IF($B721=" ",IF(DAY(G721)=DAY(TODAY()),1+AC718,0+AC718),0+AC718))</f>
        <v>0</v>
      </c>
      <c r="AD721" s="103">
        <f>(((L722/(L722-1)-1)*(1-_xlfn.XLOOKUP(K722,'Fevereiro 2023 - Valor Real'!A3:A15,'Fevereiro 2023 - Valor Real'!C3:C15,0))+1))/(((L721-1)*(1-_xlfn.XLOOKUP(K721,'Fevereiro 2023 - Valor Real'!A3:A15,'Fevereiro 2023 - Valor Real'!C3:C15,0))+1)+((L722/(L722-1)-1)*(1-_xlfn.XLOOKUP(K722,'Fevereiro 2023 - Valor Real'!A3:A15,'Fevereiro 2023 - Valor Real'!C3:C15,0))+1))</f>
        <v>0.39285527211775184</v>
      </c>
      <c r="AE721" s="104">
        <f>IF(L721="","",IF(L723&gt;0,(SUM(((L721-1)*(1-_xlfn.XLOOKUP(K721,'Fevereiro 2023 - Valor Real'!A3:A15,'Fevereiro 2023 - Valor Real'!C3:C15,0))+1),((L722-1)*(1-_xlfn.XLOOKUP(K722,'Fevereiro 2023 - Valor Real'!A3:A15,'Fevereiro 2023 - Valor Real'!C3:C15,0))+1),((L723-1)*(1-_xlfn.XLOOKUP(K723,'Fevereiro 2023 - Valor Real'!A3:A15,'Fevereiro 2023 - Valor Real'!C3:C15,0))+1))/((L721-1)*(1-_xlfn.XLOOKUP(K721,'Fevereiro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Real'!C3:C15,0))+1))/((L721-1)*(1-_xlfn.XLOOKUP(K721,'Fevereiro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Real'!C3:C15,0))+1))/((L722-1)*(1-_xlfn.XLOOKUP(K722,'Fevereiro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Real'!C3:C15,0))+1))/((L723-1)*(1-_xlfn.XLOOKUP(K723,'Fevereiro 2023 - Valor Real'!A3:A15,'Fevereiro 2023 - Valor Real'!C3:C15,0))+1)),IF(I721="Lay",IF(I722="Lay",((L722/(L722-1)-1)*(1-_xlfn.XLOOKUP(K722,'Fevereiro 2023 - Valor Real'!A3:A15,'Fevereiro 2023 - Valor Real'!C3:C15,0))+1)/(((L722/(L722-1)-1)*(1-_xlfn.XLOOKUP(K722,'Fevereiro 2023 - Valor Real'!A3:A15,'Fevereiro 2023 - Valor Real'!C3:C15,0))+1)+((L721/(L721-1)-1)*(1-_xlfn.XLOOKUP(K721,'Fevereiro 2023 - Valor Real'!A3:A15,'Fevereiro 2023 - Valor Real'!C3:C15,0))+1)),((L722-1)*(1-_xlfn.XLOOKUP(K722,'Fevereiro 2023 - Valor Real'!A3:A15,'Fevereiro 2023 - Valor Real'!C3:C15,0))+1)/(((L722-1)*(1-_xlfn.XLOOKUP(K722,'Fevereiro 2023 - Valor Real'!A3:A15,'Fevereiro 2023 - Valor Real'!C3:C15,0))+1)+((L721/(L721-1)-1)*(1-_xlfn.XLOOKUP(K721,'Fevereiro 2023 - Valor Real'!A3:A15,'Fevereiro 2023 - Valor Real'!C3:C15,0))+1))),IF(I722="Lay",(((L722/(L722-1)-1)*(1-_xlfn.XLOOKUP(K722,'Fevereiro 2023 - Valor Real'!A3:A15,'Fevereiro 2023 - Valor Real'!C3:C15,0))+1))/(((L721-1)*(1-_xlfn.XLOOKUP(K721,'Fevereiro 2023 - Valor Real'!A3:A15,'Fevereiro 2023 - Valor Real'!C3:C15,0))+1)+((L722/(L722-1)-1)*(1-_xlfn.XLOOKUP(K722,'Fevereiro 2023 - Valor Real'!A3:A15,'Fevereiro 2023 - Valor Real'!C3:C15,0))+1)),((L722-1)*(1-_xlfn.XLOOKUP(K722,'Fevereiro 2023 - Valor Real'!A3:A15,'Fevereiro 2023 - Valor Real'!C3:C15,0))+1)/(((L722-1)*(1-_xlfn.XLOOKUP(K722,'Fevereiro 2023 - Valor Real'!A3:A15,'Fevereiro 2023 - Valor Real'!C3:C15,0))+1)+((L721-1)*(1-_xlfn.XLOOKUP(K721,'Fevereiro 2023 - Valor Real'!A3:A15,'Fevereiro 2023 - Valor Real'!C3:C15,0))+1))))))</f>
        <v>0.69369202716630107</v>
      </c>
      <c r="AF721" s="105">
        <f t="shared" si="1449"/>
        <v>0</v>
      </c>
      <c r="AG721" s="106">
        <f t="shared" si="1449"/>
        <v>0</v>
      </c>
      <c r="AH721" s="106">
        <f t="shared" si="1449"/>
        <v>11.15</v>
      </c>
      <c r="AI721" s="106">
        <f t="shared" si="1449"/>
        <v>0</v>
      </c>
      <c r="AJ721" s="106">
        <f t="shared" si="1449"/>
        <v>0</v>
      </c>
      <c r="AK721" s="106">
        <f t="shared" si="1449"/>
        <v>0</v>
      </c>
      <c r="AL721" s="106">
        <f t="shared" si="1449"/>
        <v>0</v>
      </c>
      <c r="AM721" s="106">
        <f t="shared" si="1449"/>
        <v>0</v>
      </c>
      <c r="AN721" s="106">
        <f t="shared" si="1449"/>
        <v>0</v>
      </c>
      <c r="AO721" s="106">
        <f t="shared" si="1449"/>
        <v>0</v>
      </c>
      <c r="AP721" s="106">
        <f t="shared" si="1449"/>
        <v>0</v>
      </c>
      <c r="AQ721" s="106">
        <f t="shared" si="1449"/>
        <v>0</v>
      </c>
      <c r="AR721" s="107">
        <f t="shared" si="1449"/>
        <v>0</v>
      </c>
      <c r="AS721" s="105">
        <f t="shared" ref="AS721:BE721" si="1460">IF(AND($B721=" ",$K721=AS$3),$O721,0)</f>
        <v>0</v>
      </c>
      <c r="AT721" s="106">
        <f t="shared" si="1460"/>
        <v>0</v>
      </c>
      <c r="AU721" s="106">
        <f t="shared" si="1460"/>
        <v>0</v>
      </c>
      <c r="AV721" s="106">
        <f t="shared" si="1460"/>
        <v>0</v>
      </c>
      <c r="AW721" s="106">
        <f t="shared" si="1460"/>
        <v>0</v>
      </c>
      <c r="AX721" s="106">
        <f t="shared" si="1460"/>
        <v>0</v>
      </c>
      <c r="AY721" s="108">
        <f t="shared" si="1460"/>
        <v>0</v>
      </c>
      <c r="AZ721" s="109">
        <f t="shared" si="1460"/>
        <v>0</v>
      </c>
      <c r="BA721" s="109">
        <f t="shared" si="1460"/>
        <v>0</v>
      </c>
      <c r="BB721" s="109">
        <f t="shared" si="1460"/>
        <v>0</v>
      </c>
      <c r="BC721" s="110">
        <f t="shared" si="1460"/>
        <v>0</v>
      </c>
      <c r="BD721" s="106">
        <f t="shared" si="1460"/>
        <v>0</v>
      </c>
      <c r="BE721" s="107">
        <f t="shared" si="1460"/>
        <v>0</v>
      </c>
      <c r="BF721" s="111">
        <f t="shared" si="1451"/>
        <v>0</v>
      </c>
      <c r="BG721" s="106">
        <f t="shared" si="1451"/>
        <v>0</v>
      </c>
      <c r="BH721" s="106">
        <f t="shared" si="1451"/>
        <v>15.1</v>
      </c>
      <c r="BI721" s="106">
        <f t="shared" si="1451"/>
        <v>0</v>
      </c>
      <c r="BJ721" s="106">
        <f t="shared" si="1451"/>
        <v>0</v>
      </c>
      <c r="BK721" s="106">
        <f t="shared" si="1451"/>
        <v>0</v>
      </c>
      <c r="BL721" s="106">
        <f t="shared" si="1451"/>
        <v>0</v>
      </c>
      <c r="BM721" s="108">
        <f t="shared" si="1451"/>
        <v>0</v>
      </c>
      <c r="BN721" s="109">
        <f t="shared" si="1451"/>
        <v>0</v>
      </c>
      <c r="BO721" s="109">
        <f t="shared" si="1451"/>
        <v>0</v>
      </c>
      <c r="BP721" s="109">
        <f t="shared" si="1451"/>
        <v>0</v>
      </c>
      <c r="BQ721" s="110">
        <f t="shared" si="1451"/>
        <v>0</v>
      </c>
      <c r="BR721" s="107">
        <f t="shared" si="1451"/>
        <v>0</v>
      </c>
      <c r="BS721" s="463">
        <f>IF($B721="LOSS",IF(AND($K721=BS$3,$C721="L"),-$O721,0)+IF(AND($K722=BS$3,$C722="L"),-$O722,0)+IF(AND($K723=BS$3,$C723="L"),-$O723,0),IF(OR(AND($K721=BS$3,OR($C721="W",$C721="1/2W")),AND($K722=BS$3,OR($C722="W",$C722="1/2W")),AND($K723=BS$3,OR($C723="W",$C723="1/2W"))),$S721,0))</f>
        <v>0</v>
      </c>
      <c r="BT721" s="462">
        <f>IF($B721="LOSS",IF(AND($K721=BT$3,$C721="L"),-$O721,0)+IF(AND($K722=BT$3,$C722="L"),-$O722,0)+IF(AND($K722=BT$3,$C723="L"),-$O723,0),IF(OR(AND($K722=BT$3,OR($C721="W",$C721="1/2W")),AND($K722=BT$3,OR($C722="W",$C722="1/2W")),AND($K722=BT$3,OR($C723="W",$C723="1/2W"))),$S721,0))</f>
        <v>4.5199999999999996</v>
      </c>
      <c r="BU721" s="462">
        <f>IF($B721="LOSS",IF(AND($K721=BU$3,$C721="L"),-$O721,0)+IF(AND($K722=BU$3,$C722="L"),-$O722,0)+IF(AND($K722=BU$3,$C723="L"),-$O723,0),IF(OR(AND($K722=BU$3,OR($C721="W",$C721="1/2W")),AND($K722=BU$3,OR($C722="W",$C722="1/2W")),AND($K722=BU$3,OR($C723="W",$C723="1/2W"))),$S721,0))</f>
        <v>0</v>
      </c>
      <c r="BV721" s="462">
        <f t="shared" ref="BV721:CE721" si="1461">IF($B721="LOSS",IF(AND($K721=BV$3,$C721="L"),-$O721,0)+IF(AND($K722=BV$3,$C722="L"),-$O722,0)+IF(AND($K723=BV$3,$C723="L"),-$O723,0),IF(OR(AND($K721=BV$3,OR($C721="W",$C721="1/2W")),AND($K722=BV$3,OR($C722="W",$C722="1/2W")),AND($K723=BV$3,OR($C723="W",$C723="1/2W"))),$S721,0))</f>
        <v>0</v>
      </c>
      <c r="BW721" s="462">
        <f t="shared" si="1461"/>
        <v>0</v>
      </c>
      <c r="BX721" s="462">
        <f t="shared" si="1461"/>
        <v>0</v>
      </c>
      <c r="BY721" s="462">
        <f t="shared" si="1461"/>
        <v>0</v>
      </c>
      <c r="BZ721" s="460">
        <f t="shared" si="1461"/>
        <v>0</v>
      </c>
      <c r="CA721" s="460">
        <f t="shared" si="1461"/>
        <v>0</v>
      </c>
      <c r="CB721" s="460">
        <f t="shared" si="1461"/>
        <v>0</v>
      </c>
      <c r="CC721" s="460">
        <f t="shared" si="1461"/>
        <v>0</v>
      </c>
      <c r="CD721" s="473">
        <f t="shared" si="1461"/>
        <v>0</v>
      </c>
      <c r="CE721" s="479">
        <f t="shared" si="1461"/>
        <v>0</v>
      </c>
      <c r="CF721" s="113">
        <f t="shared" si="1412"/>
        <v>0</v>
      </c>
      <c r="CG721" s="114">
        <f t="shared" si="1413"/>
        <v>0</v>
      </c>
      <c r="CH721" s="114">
        <f t="shared" si="1414"/>
        <v>0</v>
      </c>
      <c r="CI721" s="114">
        <f t="shared" si="1415"/>
        <v>0</v>
      </c>
      <c r="CJ721" s="114">
        <f t="shared" si="1416"/>
        <v>1</v>
      </c>
      <c r="CK721" s="114">
        <f t="shared" si="1417"/>
        <v>0</v>
      </c>
      <c r="CL721" s="114">
        <f t="shared" si="1418"/>
        <v>0</v>
      </c>
      <c r="CM721" s="114">
        <f t="shared" si="1419"/>
        <v>0</v>
      </c>
      <c r="CN721" s="114">
        <f t="shared" si="1420"/>
        <v>0</v>
      </c>
      <c r="CO721" s="114">
        <f t="shared" si="1421"/>
        <v>0</v>
      </c>
      <c r="CP721" s="114">
        <f t="shared" si="1422"/>
        <v>0</v>
      </c>
      <c r="CQ721" s="114">
        <f t="shared" si="1423"/>
        <v>0</v>
      </c>
      <c r="CR721" s="114">
        <f t="shared" si="1424"/>
        <v>0</v>
      </c>
      <c r="CS721" s="114">
        <f t="shared" si="1425"/>
        <v>0</v>
      </c>
      <c r="CT721" s="115">
        <f t="shared" si="1426"/>
        <v>0</v>
      </c>
      <c r="CU721" s="116">
        <f t="shared" si="1427"/>
        <v>0</v>
      </c>
      <c r="CV721" s="116">
        <f t="shared" si="1428"/>
        <v>0</v>
      </c>
      <c r="CW721" s="116">
        <f t="shared" si="1429"/>
        <v>0</v>
      </c>
      <c r="CX721" s="116">
        <f t="shared" si="1430"/>
        <v>0</v>
      </c>
      <c r="CY721" s="116">
        <f t="shared" si="1431"/>
        <v>0</v>
      </c>
      <c r="CZ721" s="116">
        <f t="shared" si="1432"/>
        <v>0</v>
      </c>
      <c r="DA721" s="116">
        <f t="shared" si="1433"/>
        <v>0</v>
      </c>
      <c r="DB721" s="116">
        <f t="shared" si="1434"/>
        <v>0</v>
      </c>
      <c r="DC721" s="116">
        <f t="shared" si="1435"/>
        <v>0</v>
      </c>
      <c r="DD721" s="116">
        <f t="shared" si="1436"/>
        <v>0</v>
      </c>
      <c r="DE721" s="117">
        <f t="shared" si="1437"/>
        <v>0</v>
      </c>
      <c r="DF721" s="118">
        <f t="shared" si="1440"/>
        <v>43</v>
      </c>
      <c r="DG721" s="106">
        <f t="shared" si="1441"/>
        <v>57.167999999999992</v>
      </c>
      <c r="DH721" s="116">
        <f t="shared" si="1442"/>
        <v>16</v>
      </c>
      <c r="DI721" s="106">
        <f t="shared" si="1443"/>
        <v>68.699999999999989</v>
      </c>
      <c r="DJ721" s="201" t="str">
        <f>IF($D721="","",$D721)</f>
        <v>23</v>
      </c>
      <c r="DK721" s="465">
        <f>IF(AND($B721=" ",$D721&lt;&gt;""),1,0)</f>
        <v>0</v>
      </c>
    </row>
    <row r="722" spans="1:115" ht="14.5" customHeight="1" x14ac:dyDescent="0.2">
      <c r="A722" s="389"/>
      <c r="B722" s="456"/>
      <c r="C722" s="120" t="s">
        <v>55</v>
      </c>
      <c r="D722" s="374"/>
      <c r="E722" s="386"/>
      <c r="F722" s="377"/>
      <c r="G722" s="483"/>
      <c r="H722" s="476"/>
      <c r="I722" s="121" t="s">
        <v>49</v>
      </c>
      <c r="J722" s="179" t="str">
        <f>IF(OR(I721="TO",I721="TU",I721="TO1",I721="TU1",I721="TO2",I721="TU2"),J721,IF(OR(I721="AH1",I721="AH2"),IF(OR(I722="AH1",I722="AH2"),-J721,IF(OR(I722="EH1",I722="EH2"),-J721+0.5,"")),IF(OR(I721="EH1",I721="EH2"),IF(OR(I722="AH1",I722="AH2"),-J721+0.5,IF(OR(I722="EH1",I722="EH2"),-J721+1,"")),IF(AND(OR(I721="DNB1",I721="DNB2"),OR(I722="AH1",I722="AH2")),0,IF(AND(I721="Not ScoreBoth",OR(I722="TO1",I722="TO2")),0.5,"")))))</f>
        <v/>
      </c>
      <c r="K722" s="123" t="s">
        <v>37</v>
      </c>
      <c r="L722" s="124">
        <v>9</v>
      </c>
      <c r="M722" s="125">
        <v>2.9</v>
      </c>
      <c r="N722" s="406"/>
      <c r="O722" s="126">
        <f>IF(OR(AE721="",AE722=""),"",ROUND(IF(L723&gt;0,IF(M722&gt;0,M722,IF(M721&gt;0,IF(N721=TRUE,ROUND((M721*AE722)/AE721,0),(M721*AE722)/AE721),IF(M722&gt;0,ROUND(M722,IF(N721=0,2,IF(N721=0.1,1,0))),IF(M723&gt;0,ROUND(O723*AE722/AE723,IF(N721=0,2,IF(N721=0.1,1,0))),0)))),IF(M722&gt;0,M722,ROUND((M721*AE722)/AE721,IF(N721=0,2,IF(N721=0.1,1,0))))),2))</f>
        <v>2.9</v>
      </c>
      <c r="P722" s="127">
        <f>IF(OR(L722="",O722=""),"",IF($C722="1/2W",O722/2+O722/2*L722,IF($C722="1/2L",O722/2,IF(I722="Lay",((O722*(L722/(L722-1)))-O722)*(1-_xlfn.XLOOKUP(K722,'Fevereiro 2023 - Valor Real'!A3:A15,'Fevereiro 2023 - Valor Real'!C3:C15,0))+O722,(O722*L722-O722)*(1-_xlfn.XLOOKUP(K722,'Fevereiro 2023 - Valor Real'!A3:A15,'Fevereiro 2023 - Valor Real'!C3:C15,0))+O722))))</f>
        <v>26.099999999999998</v>
      </c>
      <c r="Q722" s="128">
        <f>IF(K722="","",IF(_xlfn.XLOOKUP(K722,K$4:K721,$DJ$4:DJ721,0,,-1)=DJ722,_xlfn.XLOOKUP(K722,K$4:K721,Q$4:Q721,1,,-1)+1,1))</f>
        <v>3</v>
      </c>
      <c r="R722" s="129">
        <f>IF(K722="","",_xlfn.XLOOKUP(K722,K$4:K721,R$4:R721,0,,-1)+IF($C722=" ",1,0))</f>
        <v>0</v>
      </c>
      <c r="S722" s="403"/>
      <c r="T722" s="380"/>
      <c r="U722" s="380"/>
      <c r="V722" s="481"/>
      <c r="W722" s="380"/>
      <c r="X722" s="452"/>
      <c r="Y722" s="383"/>
      <c r="Z722" s="384"/>
      <c r="AA722" s="384"/>
      <c r="AB722" s="384"/>
      <c r="AC722" s="384"/>
      <c r="AD722" s="130">
        <f>(((L722/(L722-1)-1)*(1-_xlfn.XLOOKUP(K722,'Fevereiro 2023 - Valor Real'!A3:A15,'Fevereiro 2023 - Valor Real'!C3:C15,0))+1))</f>
        <v>1.125</v>
      </c>
      <c r="AE722" s="131">
        <f>IF(L722="","",IF(L723&gt;0,(SUM(((L721-1)*(1-_xlfn.XLOOKUP(K721,'Fevereiro 2023 - Valor Real'!A3:A15,'Fevereiro 2023 - Valor Real'!C3:C15,0))+1),((L722-1)*(1-_xlfn.XLOOKUP(K722,'Fevereiro 2023 - Valor Real'!A3:A15,'Fevereiro 2023 - Valor Real'!C3:C15,0))+1),((L723-1)*(1-_xlfn.XLOOKUP(K723,'Fevereiro 2023 - Valor Real'!A3:A15,'Fevereiro 2023 - Valor Real'!C3:C15,0))+1))/((L722-1)*(1-_xlfn.XLOOKUP(K722,'Fevereiro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Real'!C3:C15,0))+1))/((L721-1)*(1-_xlfn.XLOOKUP(K721,'Fevereiro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Real'!C3:C15,0))+1))/((L722-1)*(1-_xlfn.XLOOKUP(K722,'Fevereiro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Real'!C3:C15,0))+1))/((L723-1)*(1-_xlfn.XLOOKUP(K723,'Fevereiro 2023 - Valor Real'!A3:A15,'Fevereiro 2023 - Valor Real'!C3:C15,0))+1)),IF(I722="Lay",IF(I721="Lay",((L721/(L721-1)-1)*(1-_xlfn.XLOOKUP(K721,'Fevereiro 2023 - Valor Real'!A3:A15,'Fevereiro 2023 - Valor Real'!C3:C15,0))+1)/(((L721/(L721-1)-1)*(1-_xlfn.XLOOKUP(K721,'Fevereiro 2023 - Valor Real'!A3:A15,'Fevereiro 2023 - Valor Real'!C3:C15,0))+1)+((L722/(L722-1)-1)*(1-_xlfn.XLOOKUP(K722,'Fevereiro 2023 - Valor Real'!A3:A15,'Fevereiro 2023 - Valor Real'!C3:C15,0))+1)),((L721-1)*(1-_xlfn.XLOOKUP(K721,'Fevereiro 2023 - Valor Real'!A3:A15,'Fevereiro 2023 - Valor Real'!C3:C15,0))+1)/(((L721-1)*(1-_xlfn.XLOOKUP(K721,'Fevereiro 2023 - Valor Real'!A3:A15,'Fevereiro 2023 - Valor Real'!C3:C15,0))+1)+((L722/(L722-1)-1)*(1-_xlfn.XLOOKUP(K722,'Fevereiro 2023 - Valor Real'!A3:A15,'Fevereiro 2023 - Valor Real'!C3:C15,0))+1))),IF(I721="Lay",((L721/(L721-1)-1)*(1-_xlfn.XLOOKUP(K721,'Fevereiro 2023 - Valor Real'!A3:A15,'Fevereiro 2023 - Valor Real'!C3:C15,0))+1)/((((L721/(L721-1)-1)*(1-_xlfn.XLOOKUP(K721,'Fevereiro 2023 - Valor Real'!A3:A15,'Fevereiro 2023 - Valor Real'!C3:C15,0))+1))+((L722-1)*(1-_xlfn.XLOOKUP(K722,'Fevereiro 2023 - Valor Real'!A3:A15,'Fevereiro 2023 - Valor Real'!C3:C15,0))+1)),((L721-1)*(1-_xlfn.XLOOKUP(K721,'Fevereiro 2023 - Valor Real'!A3:A15,'Fevereiro 2023 - Valor Real'!C3:C15,0))+1)/(((L721-1)*(1-_xlfn.XLOOKUP(K721,'Fevereiro 2023 - Valor Real'!A3:A15,'Fevereiro 2023 - Valor Real'!C3:C15,0))+1)+((L722-1)*(1-_xlfn.XLOOKUP(K722,'Fevereiro 2023 - Valor Real'!A3:A15,'Fevereiro 2023 - Valor Real'!C3:C15,0))+1))))))</f>
        <v>0.13400973811474329</v>
      </c>
      <c r="AF722" s="105">
        <f t="shared" si="1449"/>
        <v>0</v>
      </c>
      <c r="AG722" s="106">
        <f t="shared" si="1449"/>
        <v>-2.9</v>
      </c>
      <c r="AH722" s="106">
        <f t="shared" si="1449"/>
        <v>0</v>
      </c>
      <c r="AI722" s="106">
        <f t="shared" si="1449"/>
        <v>0</v>
      </c>
      <c r="AJ722" s="106">
        <f t="shared" si="1449"/>
        <v>0</v>
      </c>
      <c r="AK722" s="106">
        <f t="shared" si="1449"/>
        <v>0</v>
      </c>
      <c r="AL722" s="106">
        <f t="shared" si="1449"/>
        <v>0</v>
      </c>
      <c r="AM722" s="106">
        <f t="shared" si="1449"/>
        <v>0</v>
      </c>
      <c r="AN722" s="106">
        <f t="shared" si="1449"/>
        <v>0</v>
      </c>
      <c r="AO722" s="106">
        <f t="shared" si="1449"/>
        <v>0</v>
      </c>
      <c r="AP722" s="106">
        <f t="shared" si="1449"/>
        <v>0</v>
      </c>
      <c r="AQ722" s="106">
        <f t="shared" si="1449"/>
        <v>0</v>
      </c>
      <c r="AR722" s="107">
        <f t="shared" si="1449"/>
        <v>0</v>
      </c>
      <c r="AS722" s="105">
        <f>IF(AND($B721=" ",$K722=AS$3),$O722,0)</f>
        <v>0</v>
      </c>
      <c r="AT722" s="106">
        <f>IF(AND($B721=" ",K722=AT$3),$O722,0)</f>
        <v>0</v>
      </c>
      <c r="AU722" s="106">
        <f t="shared" ref="AU722:BE722" si="1462">IF(AND($B721=" ",$K722=AU$3),$O722,0)</f>
        <v>0</v>
      </c>
      <c r="AV722" s="106">
        <f t="shared" si="1462"/>
        <v>0</v>
      </c>
      <c r="AW722" s="106">
        <f t="shared" si="1462"/>
        <v>0</v>
      </c>
      <c r="AX722" s="106">
        <f t="shared" si="1462"/>
        <v>0</v>
      </c>
      <c r="AY722" s="108">
        <f t="shared" si="1462"/>
        <v>0</v>
      </c>
      <c r="AZ722" s="109">
        <f t="shared" si="1462"/>
        <v>0</v>
      </c>
      <c r="BA722" s="109">
        <f t="shared" si="1462"/>
        <v>0</v>
      </c>
      <c r="BB722" s="109">
        <f t="shared" si="1462"/>
        <v>0</v>
      </c>
      <c r="BC722" s="110">
        <f t="shared" si="1462"/>
        <v>0</v>
      </c>
      <c r="BD722" s="106">
        <f t="shared" si="1462"/>
        <v>0</v>
      </c>
      <c r="BE722" s="107">
        <f t="shared" si="1462"/>
        <v>0</v>
      </c>
      <c r="BF722" s="105">
        <f t="shared" si="1451"/>
        <v>0</v>
      </c>
      <c r="BG722" s="106">
        <f t="shared" si="1451"/>
        <v>2.9</v>
      </c>
      <c r="BH722" s="106">
        <f t="shared" si="1451"/>
        <v>0</v>
      </c>
      <c r="BI722" s="106">
        <f t="shared" si="1451"/>
        <v>0</v>
      </c>
      <c r="BJ722" s="106">
        <f t="shared" si="1451"/>
        <v>0</v>
      </c>
      <c r="BK722" s="106">
        <f t="shared" si="1451"/>
        <v>0</v>
      </c>
      <c r="BL722" s="106">
        <f t="shared" si="1451"/>
        <v>0</v>
      </c>
      <c r="BM722" s="132">
        <f t="shared" si="1451"/>
        <v>0</v>
      </c>
      <c r="BN722" s="112">
        <f t="shared" si="1451"/>
        <v>0</v>
      </c>
      <c r="BO722" s="112">
        <f t="shared" si="1451"/>
        <v>0</v>
      </c>
      <c r="BP722" s="112">
        <f t="shared" si="1451"/>
        <v>0</v>
      </c>
      <c r="BQ722" s="110">
        <f t="shared" si="1451"/>
        <v>0</v>
      </c>
      <c r="BR722" s="107">
        <f t="shared" si="1451"/>
        <v>0</v>
      </c>
      <c r="BS722" s="464"/>
      <c r="BT722" s="461"/>
      <c r="BU722" s="392"/>
      <c r="BV722" s="461"/>
      <c r="BW722" s="392"/>
      <c r="BX722" s="392"/>
      <c r="BY722" s="392"/>
      <c r="BZ722" s="461"/>
      <c r="CA722" s="392"/>
      <c r="CB722" s="392"/>
      <c r="CC722" s="392"/>
      <c r="CD722" s="401"/>
      <c r="CE722" s="409"/>
      <c r="CF722" s="133">
        <f t="shared" si="1412"/>
        <v>0</v>
      </c>
      <c r="CG722" s="134">
        <f t="shared" si="1413"/>
        <v>0</v>
      </c>
      <c r="CH722" s="134">
        <f t="shared" si="1414"/>
        <v>0</v>
      </c>
      <c r="CI722" s="134">
        <f t="shared" si="1415"/>
        <v>1</v>
      </c>
      <c r="CJ722" s="134">
        <f t="shared" si="1416"/>
        <v>0</v>
      </c>
      <c r="CK722" s="134">
        <f t="shared" si="1417"/>
        <v>0</v>
      </c>
      <c r="CL722" s="134">
        <f t="shared" si="1418"/>
        <v>0</v>
      </c>
      <c r="CM722" s="134">
        <f t="shared" si="1419"/>
        <v>0</v>
      </c>
      <c r="CN722" s="134">
        <f t="shared" si="1420"/>
        <v>0</v>
      </c>
      <c r="CO722" s="134">
        <f t="shared" si="1421"/>
        <v>0</v>
      </c>
      <c r="CP722" s="134">
        <f t="shared" si="1422"/>
        <v>0</v>
      </c>
      <c r="CQ722" s="134">
        <f t="shared" si="1423"/>
        <v>0</v>
      </c>
      <c r="CR722" s="134">
        <f t="shared" si="1424"/>
        <v>0</v>
      </c>
      <c r="CS722" s="134">
        <f t="shared" si="1425"/>
        <v>0</v>
      </c>
      <c r="CT722" s="115">
        <f t="shared" si="1426"/>
        <v>0</v>
      </c>
      <c r="CU722" s="116">
        <f t="shared" si="1427"/>
        <v>0</v>
      </c>
      <c r="CV722" s="116">
        <f t="shared" si="1428"/>
        <v>0</v>
      </c>
      <c r="CW722" s="116">
        <f t="shared" si="1429"/>
        <v>0</v>
      </c>
      <c r="CX722" s="116">
        <f t="shared" si="1430"/>
        <v>0</v>
      </c>
      <c r="CY722" s="116">
        <f t="shared" si="1431"/>
        <v>0</v>
      </c>
      <c r="CZ722" s="116">
        <f t="shared" si="1432"/>
        <v>0</v>
      </c>
      <c r="DA722" s="116">
        <f t="shared" si="1433"/>
        <v>0</v>
      </c>
      <c r="DB722" s="116">
        <f t="shared" si="1434"/>
        <v>0</v>
      </c>
      <c r="DC722" s="116">
        <f t="shared" si="1435"/>
        <v>0</v>
      </c>
      <c r="DD722" s="116">
        <f t="shared" si="1436"/>
        <v>0</v>
      </c>
      <c r="DE722" s="117">
        <f t="shared" si="1437"/>
        <v>0</v>
      </c>
      <c r="DF722" s="118">
        <f t="shared" si="1440"/>
        <v>43</v>
      </c>
      <c r="DG722" s="106">
        <f t="shared" si="1441"/>
        <v>57.167999999999992</v>
      </c>
      <c r="DH722" s="116">
        <f t="shared" si="1442"/>
        <v>16</v>
      </c>
      <c r="DI722" s="106">
        <f t="shared" si="1443"/>
        <v>68.699999999999989</v>
      </c>
      <c r="DJ722" s="201" t="str">
        <f>IF($D721="","",$D721)</f>
        <v>23</v>
      </c>
      <c r="DK722" s="466"/>
    </row>
    <row r="723" spans="1:115" ht="14.5" customHeight="1" x14ac:dyDescent="0.2">
      <c r="A723" s="390"/>
      <c r="B723" s="457"/>
      <c r="C723" s="135" t="s">
        <v>55</v>
      </c>
      <c r="D723" s="375"/>
      <c r="E723" s="387"/>
      <c r="F723" s="378"/>
      <c r="G723" s="484"/>
      <c r="H723" s="477"/>
      <c r="I723" s="192">
        <v>1</v>
      </c>
      <c r="J723" s="137"/>
      <c r="K723" s="193" t="s">
        <v>37</v>
      </c>
      <c r="L723" s="194">
        <v>7</v>
      </c>
      <c r="M723" s="140">
        <v>3.73</v>
      </c>
      <c r="N723" s="407"/>
      <c r="O723" s="195">
        <f>IF(OR(AE721="",AE722=""),"",IF(L723&gt;0,ROUND(IF(M723&gt;0,M723,IF(M721&gt;0,ROUND((M721*AE723)/AE721,IF(N721=0,2,IF(N721=0.1,1,0))),IF(M722&gt;0,ROUND((M722*AE723)/AE722,IF(N721=0,2,IF(N721=0.1,1,0))),IF(M723&gt;0,M723,0)))),2),""))</f>
        <v>3.73</v>
      </c>
      <c r="P723" s="196">
        <f>IF(I722="Lay",O722*(L722/(L722-1))-O722,IF(I721="Lay",O721*(L721/(L721-1))-O721,IF(OR(L723="",O723=""),"",IF($C723="1/2W",O723/2+O723/2*L723,IF($C723="1/2L",O723/2,(O723*L723-O723)*(1-_xlfn.XLOOKUP(K723,'Fevereiro 2023 - Valor Real'!A3:A15,'Fevereiro 2023 - Valor Real'!C3:C15,0))+O723)))))</f>
        <v>26.11</v>
      </c>
      <c r="Q723" s="197">
        <f>IF(K723="","",IF(_xlfn.XLOOKUP(K723,K$4:K722,$DJ$4:DJ722,0,,-1)=DJ723,_xlfn.XLOOKUP(K723,K$4:K722,Q$4:Q722,1,,-1)+1,1))</f>
        <v>4</v>
      </c>
      <c r="R723" s="198">
        <f>IF(K723="","",_xlfn.XLOOKUP(K723,K$4:K722,R$4:R722,0,,-1)+IF($C723=" ",1,0))</f>
        <v>0</v>
      </c>
      <c r="S723" s="404"/>
      <c r="T723" s="378"/>
      <c r="U723" s="378"/>
      <c r="V723" s="404"/>
      <c r="W723" s="378"/>
      <c r="X723" s="453"/>
      <c r="Y723" s="383"/>
      <c r="Z723" s="384"/>
      <c r="AA723" s="384"/>
      <c r="AB723" s="384"/>
      <c r="AC723" s="384"/>
      <c r="AD723" s="145">
        <f>((L722/(L722-1)-1))</f>
        <v>0.125</v>
      </c>
      <c r="AE723" s="199">
        <f>IF(L723="","",(SUM(((L721-1)*(1-_xlfn.XLOOKUP(K721,'Fevereiro 2023 - Valor Real'!A3:A15,'Fevereiro 2023 - Valor Real'!C3:C15,0))+1),((L722-1)*(1-_xlfn.XLOOKUP(K722,'Fevereiro 2023 - Valor Real'!A3:A15,'Fevereiro 2023 - Valor Real'!C3:C15,0))+1),((L723-1)*(1-_xlfn.XLOOKUP(K723,'Fevereiro 2023 - Valor Real'!A3:A15,'Fevereiro 2023 - Valor Real'!C3:C15,0))+1))/((L723-1)*(1-_xlfn.XLOOKUP(K723,'Fevereiro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Real'!C3:C15,0))+1))/((L721-1)*(1-_xlfn.XLOOKUP(K721,'Fevereiro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Real'!C3:C15,0))+1))/((L722-1)*(1-_xlfn.XLOOKUP(K722,'Fevereiro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Real'!C3:C15,0))+1))/((L723-1)*(1-_xlfn.XLOOKUP(K723,'Fevereiro 2023 - Valor Real'!A3:A15,'Fevereiro 2023 - Valor Real'!C3:C15,0))+1)))</f>
        <v>0.17229823471895561</v>
      </c>
      <c r="AF723" s="105">
        <f t="shared" si="1449"/>
        <v>0</v>
      </c>
      <c r="AG723" s="106">
        <f t="shared" si="1449"/>
        <v>-3.73</v>
      </c>
      <c r="AH723" s="106">
        <f t="shared" si="1449"/>
        <v>0</v>
      </c>
      <c r="AI723" s="106">
        <f t="shared" si="1449"/>
        <v>0</v>
      </c>
      <c r="AJ723" s="106">
        <f t="shared" si="1449"/>
        <v>0</v>
      </c>
      <c r="AK723" s="106">
        <f t="shared" si="1449"/>
        <v>0</v>
      </c>
      <c r="AL723" s="106">
        <f t="shared" si="1449"/>
        <v>0</v>
      </c>
      <c r="AM723" s="106">
        <f t="shared" si="1449"/>
        <v>0</v>
      </c>
      <c r="AN723" s="106">
        <f t="shared" si="1449"/>
        <v>0</v>
      </c>
      <c r="AO723" s="106">
        <f t="shared" si="1449"/>
        <v>0</v>
      </c>
      <c r="AP723" s="106">
        <f t="shared" si="1449"/>
        <v>0</v>
      </c>
      <c r="AQ723" s="106">
        <f t="shared" si="1449"/>
        <v>0</v>
      </c>
      <c r="AR723" s="107">
        <f t="shared" si="1449"/>
        <v>0</v>
      </c>
      <c r="AS723" s="105">
        <f>IF(AND($B721=" ",$K723=AS$3),$O723,0)</f>
        <v>0</v>
      </c>
      <c r="AT723" s="106">
        <f>IF(AND($B721=" ",K723=AT$3),$O723,0)</f>
        <v>0</v>
      </c>
      <c r="AU723" s="106">
        <f t="shared" ref="AU723:BE723" si="1463">IF(AND($B721=" ",$K723=AU$3),$O723,0)</f>
        <v>0</v>
      </c>
      <c r="AV723" s="106">
        <f t="shared" si="1463"/>
        <v>0</v>
      </c>
      <c r="AW723" s="106">
        <f t="shared" si="1463"/>
        <v>0</v>
      </c>
      <c r="AX723" s="106">
        <f t="shared" si="1463"/>
        <v>0</v>
      </c>
      <c r="AY723" s="108">
        <f t="shared" si="1463"/>
        <v>0</v>
      </c>
      <c r="AZ723" s="109">
        <f t="shared" si="1463"/>
        <v>0</v>
      </c>
      <c r="BA723" s="109">
        <f t="shared" si="1463"/>
        <v>0</v>
      </c>
      <c r="BB723" s="109">
        <f t="shared" si="1463"/>
        <v>0</v>
      </c>
      <c r="BC723" s="110">
        <f t="shared" si="1463"/>
        <v>0</v>
      </c>
      <c r="BD723" s="106">
        <f t="shared" si="1463"/>
        <v>0</v>
      </c>
      <c r="BE723" s="107">
        <f t="shared" si="1463"/>
        <v>0</v>
      </c>
      <c r="BF723" s="105">
        <f t="shared" si="1451"/>
        <v>0</v>
      </c>
      <c r="BG723" s="106">
        <f t="shared" si="1451"/>
        <v>3.73</v>
      </c>
      <c r="BH723" s="106">
        <f t="shared" si="1451"/>
        <v>0</v>
      </c>
      <c r="BI723" s="106">
        <f t="shared" si="1451"/>
        <v>0</v>
      </c>
      <c r="BJ723" s="106">
        <f t="shared" si="1451"/>
        <v>0</v>
      </c>
      <c r="BK723" s="106">
        <f t="shared" si="1451"/>
        <v>0</v>
      </c>
      <c r="BL723" s="106">
        <f t="shared" si="1451"/>
        <v>0</v>
      </c>
      <c r="BM723" s="108">
        <f t="shared" si="1451"/>
        <v>0</v>
      </c>
      <c r="BN723" s="109">
        <f t="shared" si="1451"/>
        <v>0</v>
      </c>
      <c r="BO723" s="109">
        <f t="shared" si="1451"/>
        <v>0</v>
      </c>
      <c r="BP723" s="109">
        <f t="shared" si="1451"/>
        <v>0</v>
      </c>
      <c r="BQ723" s="110">
        <f t="shared" si="1451"/>
        <v>0</v>
      </c>
      <c r="BR723" s="107">
        <f t="shared" si="1451"/>
        <v>0</v>
      </c>
      <c r="BS723" s="464"/>
      <c r="BT723" s="461"/>
      <c r="BU723" s="392"/>
      <c r="BV723" s="461"/>
      <c r="BW723" s="392"/>
      <c r="BX723" s="392"/>
      <c r="BY723" s="392"/>
      <c r="BZ723" s="461"/>
      <c r="CA723" s="392"/>
      <c r="CB723" s="392"/>
      <c r="CC723" s="392"/>
      <c r="CD723" s="401"/>
      <c r="CE723" s="409"/>
      <c r="CF723" s="133">
        <f t="shared" si="1412"/>
        <v>0</v>
      </c>
      <c r="CG723" s="134">
        <f t="shared" si="1413"/>
        <v>0</v>
      </c>
      <c r="CH723" s="134">
        <f t="shared" si="1414"/>
        <v>0</v>
      </c>
      <c r="CI723" s="134">
        <f t="shared" si="1415"/>
        <v>1</v>
      </c>
      <c r="CJ723" s="134">
        <f t="shared" si="1416"/>
        <v>0</v>
      </c>
      <c r="CK723" s="134">
        <f t="shared" si="1417"/>
        <v>0</v>
      </c>
      <c r="CL723" s="134">
        <f t="shared" si="1418"/>
        <v>0</v>
      </c>
      <c r="CM723" s="134">
        <f t="shared" si="1419"/>
        <v>0</v>
      </c>
      <c r="CN723" s="134">
        <f t="shared" si="1420"/>
        <v>0</v>
      </c>
      <c r="CO723" s="134">
        <f t="shared" si="1421"/>
        <v>0</v>
      </c>
      <c r="CP723" s="134">
        <f t="shared" si="1422"/>
        <v>0</v>
      </c>
      <c r="CQ723" s="134">
        <f t="shared" si="1423"/>
        <v>0</v>
      </c>
      <c r="CR723" s="134">
        <f t="shared" si="1424"/>
        <v>0</v>
      </c>
      <c r="CS723" s="134">
        <f t="shared" si="1425"/>
        <v>0</v>
      </c>
      <c r="CT723" s="115">
        <f t="shared" si="1426"/>
        <v>0</v>
      </c>
      <c r="CU723" s="116">
        <f t="shared" si="1427"/>
        <v>0</v>
      </c>
      <c r="CV723" s="116">
        <f t="shared" si="1428"/>
        <v>0</v>
      </c>
      <c r="CW723" s="116">
        <f t="shared" si="1429"/>
        <v>0</v>
      </c>
      <c r="CX723" s="116">
        <f t="shared" si="1430"/>
        <v>0</v>
      </c>
      <c r="CY723" s="116">
        <f t="shared" si="1431"/>
        <v>0</v>
      </c>
      <c r="CZ723" s="116">
        <f t="shared" si="1432"/>
        <v>0</v>
      </c>
      <c r="DA723" s="116">
        <f t="shared" si="1433"/>
        <v>0</v>
      </c>
      <c r="DB723" s="116">
        <f t="shared" si="1434"/>
        <v>0</v>
      </c>
      <c r="DC723" s="116">
        <f t="shared" si="1435"/>
        <v>0</v>
      </c>
      <c r="DD723" s="116">
        <f t="shared" si="1436"/>
        <v>0</v>
      </c>
      <c r="DE723" s="117">
        <f t="shared" si="1437"/>
        <v>0</v>
      </c>
      <c r="DF723" s="118">
        <f t="shared" si="1440"/>
        <v>43</v>
      </c>
      <c r="DG723" s="106">
        <f t="shared" si="1441"/>
        <v>57.167999999999992</v>
      </c>
      <c r="DH723" s="116">
        <f t="shared" si="1442"/>
        <v>16</v>
      </c>
      <c r="DI723" s="106">
        <f t="shared" si="1443"/>
        <v>68.699999999999989</v>
      </c>
      <c r="DJ723" s="201" t="str">
        <f>IF($D721="","",$D721)</f>
        <v>23</v>
      </c>
      <c r="DK723" s="466"/>
    </row>
    <row r="724" spans="1:115" ht="14.5" customHeight="1" x14ac:dyDescent="0.2">
      <c r="A724" s="487">
        <f>$A721+1</f>
        <v>241</v>
      </c>
      <c r="B724" s="506" t="str">
        <f>IF(OR(C724="W",C725="W",C726="W",C724="1/2W",C725="1/2W",C726="1/2W",C724="1/2L",C725="1/2L",C726="1/2L"),"OK",IF(OR(C724="L",C725="L",C726="L"),"LOSS",IF(OR(C724="X",C725="X",C726="X"),"Anulado"," ")))</f>
        <v>OK</v>
      </c>
      <c r="C724" s="147" t="s">
        <v>55</v>
      </c>
      <c r="D724" s="494" t="str">
        <f>IF(G724="","",$D721)</f>
        <v>23</v>
      </c>
      <c r="E724" s="511" t="str">
        <f>IF(G724=""," ","– "&amp;COUNTIF(D$4:D726,$D724))</f>
        <v>– 7</v>
      </c>
      <c r="F724" s="510" t="str">
        <f ca="1">IF(G724="","",IF(OR(AND($C724&lt;&gt;" ",$C725=" "),AND($C725&lt;&gt;" ",$C724=" "),AND(L726&gt;0,OR(AND($C726&lt;&gt;" ",OR($C724=" ",$C725=" ")),AND($C726=" ",OR($C724&lt;&gt;" ",$C725&lt;&gt;" "))))),IF(SUM(F$4:F723)=0,1,LARGE(F$4:F723,1)+1),IF(MONTH(G724)=MONTH(TODAY()),IF(AND(DAY(G724)&lt;DAY(TODAY()),$B724=" "),IF(SUM(F$4:F723)=0,1,LARGE(F$4:F723,1)+1),IF($B724=" ",IF(AND(DAY(G724)=DAY(TODAY()),HOUR(G724)&lt;=HOUR(NOW())+1),IF(AND(HOUR(G724)+2&lt;=HOUR(NOW()),DAY(G724)&lt;=DAY(TODAY()),MINUTE(G724)&lt;=MINUTE(NOW())),IF(SUM(F$4:F723)=0,1,LARGE(F$4:F723,1)+1),IF(OR(MINUTE(G724)&lt;=MINUTE(NOW()),HOUR(G724)&lt;=HOUR(NOW())),"!!!","")),""),"")),"")))</f>
        <v/>
      </c>
      <c r="G724" s="508">
        <v>45010.416666666664</v>
      </c>
      <c r="H724" s="502" t="s">
        <v>257</v>
      </c>
      <c r="I724" s="180" t="s">
        <v>66</v>
      </c>
      <c r="J724" s="181">
        <v>0</v>
      </c>
      <c r="K724" s="150" t="s">
        <v>43</v>
      </c>
      <c r="L724" s="151">
        <v>2.25</v>
      </c>
      <c r="M724" s="152">
        <v>9.26</v>
      </c>
      <c r="N724" s="503">
        <v>0</v>
      </c>
      <c r="O724" s="153">
        <f>IF(OR(AE724="",AE725=""),"",ROUND(IF(L726&gt;0,IF(M724&gt;0,M724,IF(M725&gt;0,ROUND((M725*AE724)/AE725,IF(N724=0,2,IF(N724=0.1,1,0))),ROUND((M726*AE724)/AE726,IF(N724=0,2,IF(N724=0.1,1,0))))),IF(M724&gt;0,M724,ROUND((M725*AE724)/AE725,IF(N724=0,2,IF(N724=0.1,1,0))))),2))</f>
        <v>9.26</v>
      </c>
      <c r="P724" s="154">
        <f>IF(OR(L724="",O724=""),"",IF($C724="1/2W",O724/2+O724/2*L724,IF($C724="1/2L",O724/2,IF(I724="Lay",(O724*(L724/(L724-1))-O724)*(1-_xlfn.XLOOKUP(K724,'Fevereiro 2023 - Valor Real'!A3:A15,'Fevereiro 2023 - Valor Real'!C3:C15,0))+O724,(O724*L724-O724)*(1-_xlfn.XLOOKUP(K724,'Fevereiro 2023 - Valor Real'!A3:A15,'Fevereiro 2023 - Valor Real'!C3:C15,0))+O724))))</f>
        <v>20.835000000000001</v>
      </c>
      <c r="Q724" s="155">
        <f>IF(K724="","",IF(_xlfn.XLOOKUP(K724,K$9:K716,$DJ$9:DJ716,0,,-1)=DJ724,_xlfn.XLOOKUP(K724,K$9:K716,Q$9:Q716,1,,-1)+1,1))</f>
        <v>2</v>
      </c>
      <c r="R724" s="156">
        <f>IF(K724="","",_xlfn.XLOOKUP(K724,K$9:K716,R$9:R716,0,,-1)+IF($C724=" ",1,0))</f>
        <v>0</v>
      </c>
      <c r="S724" s="501">
        <f>IF($B724="Anulado",0,ROUND(IF(OR($B724="LOSS",$B724="OK"),IF(OR($C724="W",$C724="1/2W",$C724="1/2L"),P724-O724,IF($C724="L",-O724,0))+IF(OR($C725="W",$C725="1/2W",$C725="1/2L"),P725-O725,IF($C725="L",-O725,0))+IF(OR($C726="W",$C726="1/2W",$C726="1/2L"),P726-O726,IF($C726="L",-O726,0)),IF(AND(OR($C724="W",$C724="1/2W",$C724="1/2L"),C725="W"),P724+P725-SUM(O724:O726)+_xlfn.XLOOKUP("X",C724:C726,O724:O726,0),IF(AND(C724=TRUE,C726="W"),P724+P726-SUM(O724:O726),IF(AND(C725="W",C726="W"),P725+P726-SUM(O724:O726)+_xlfn.XLOOKUP("X",C724:C726,O724:O726,0),IF(L726&gt;0,IF(OR($C724="W",$C724="1/2W",$C724="1/2L"),P724-SUM(O724:O726)+_xlfn.XLOOKUP("X",C724:C726,O724:O726,0),IF(OR($C724="W",$C724="1/2W",$C724="1/2L"),P725-SUM(O724:O726)+_xlfn.XLOOKUP("X",C724:C726,O724:O726,0),IF(OR($C724="W",$C724="1/2W",$C724="1/2L"),P726-SUM(O724:O726)+_xlfn.XLOOKUP("X",C724:C726,O724:O726,0),IF(SUM(P724:P726)/3-SUM(O724:O726)+_xlfn.XLOOKUP("X",C724:C726,O724:O726,0)&gt;0,SUM(P724:P726)/3-SUM(O724:O726)+_xlfn.XLOOKUP("X",C724:C726,O724:O726,0),LARGE(P724:P726,1)-SUM(O724:O726))))),IF(OR($C724="W",$C724="1/2W",$C724="1/2L"),P724-SUM(O724:O725)+_xlfn.XLOOKUP("X",C724:C726,O724:O726,0),IF(OR($C724="W",$C724="1/2W",$C724="1/2L"),P725-SUM(O724:O725)+_xlfn.XLOOKUP("X",C724:C726,O724:O726,0),SUM(P724:P725)/2-SUM(O724:O725)+_xlfn.XLOOKUP("X",C724:C726,O724:O726,0)))))))),2))</f>
        <v>1.99</v>
      </c>
      <c r="T724" s="486">
        <f>IF(S724=0,0,S724/SUM(O724:O726))</f>
        <v>0.10721982758620688</v>
      </c>
      <c r="U724" s="496">
        <f>IF($D724=$D721,IF(OR($B724="LOSS",$B724="OK",$B724="Anulada"),S724,0)+U721,IF(OR($B724="LOSS",$B724="OK",$B724="Anulada"),S724,0))</f>
        <v>15.989999999999998</v>
      </c>
      <c r="V724" s="496">
        <f>IF($D724="",0,IF($D724=$D721,IF($B724=" ",IF(I726="",IF(OR(AND(I724="DNB1",I725="DNB2"),AND(OR(I724="DNB1",I724="DNB2"),J725=0),AND(OR(I725="DNB1",I725="DNB2"),J724=0),AND(I724="DNB2",I725="DNB1"),AND(IF(J724=0,(J724+1)/ROUND(J724+1,0),J724/ROUND(J724,0))=1,IF(J725=0,(J725+1)/ROUND(IF(J725="",0,J725)+1,0),IF(J725="",0,J725)/ROUND(IF(J725="",1,J725),0))=1,OR(J724&lt;&gt;""),J725&lt;&gt;"")),0,IF(S724&lt;0,IF(I726="",SMALL(P724:P725,1)-SUM(O724:O725),0),SMALL(P724:P725,1)-SUM(O724:O725))),IF(S724&lt;0,IF(I726="",SMALL(P724:P726,1)-SUM(O724:O726),0),LARGE(P724:P726,1)-SUM(O724:O726))),S724)+V721,IF(I726="",IF(OR(AND(I724="DNB1",I725="DNB2"),AND(OR(I724="DNB1",I724="DNB2"),J725=0),AND(OR(I725="DNB1",I725="DNB2"),J724=0),AND(I724="DNB2",I725="DNB1"),AND(IF(J724=0,(J724+1)/ROUND(J724+1,0),J724/ROUND(J724,0))=1,IF(J725=0,(IF(J725="",0,J725)+1)/ROUND(IF(J725="",0,J725)+1,0),IF(J725="",0,J725)/ROUND(IF(J725="",0,J725)+1,0))=1,OR(J724&lt;&gt;""),J725&lt;&gt;"")),0,IF(S724&lt;0,IF(I726="",SMALL(P724:P725,1)-SUM(O724:O725),0),SMALL(P724:P726,1)-SUM(O724:O726))),IF(S724&lt;0,IF(I726="",SMALL(P724:P726,1)-SUM(O724:O726),0),LARGE(P724:P726,1)-SUM(O724:O726)))))</f>
        <v>15.990000000000002</v>
      </c>
      <c r="W724" s="496">
        <f>IF($D724=$D721,IF(S724&lt;0,IF(I726="",S724,0),S724)+W721,S724)</f>
        <v>15.989999999999998</v>
      </c>
      <c r="X724" s="505" t="str">
        <f>IF(OR(SUM(R724:R726)=0,V724=W724),ROUND(IF(W724=0,0,W724/Y724)*100,2)&amp;"%",ROUND(IF(V724=0,0,V724/Y724)*100,2)&amp;"% a "&amp;ROUND(IF(W724=0,0,W724/Y724)*100,2)&amp;"%")</f>
        <v>11,94%</v>
      </c>
      <c r="Y724" s="497">
        <f>IF($D724=$D721,Y721+SUM(O724:O726),SUM(O724:O726))</f>
        <v>133.94</v>
      </c>
      <c r="Z724" s="496">
        <f>IF($B724=" ",SUM(O724:O726),0)+Z721</f>
        <v>0</v>
      </c>
      <c r="AA724" s="496">
        <f>IF(G724="","",IF($B724="Anulado",LARGE(P724:P726,1)-SUM(O724:O726)+AA721,AA721))</f>
        <v>13.381099999999991</v>
      </c>
      <c r="AB724" s="496">
        <f>IF($D724="","",AB721+S724)</f>
        <v>822.3500000000007</v>
      </c>
      <c r="AC724" s="499">
        <f ca="1">IF($D724="","",IF($B724=" ",IF(DAY(G724)=DAY(TODAY()),1+AC721,0+AC721),0+AC721))</f>
        <v>0</v>
      </c>
      <c r="AD724" s="157">
        <f>(1-_xlfn.XLOOKUP(K722,'Fevereiro 2023 - Valor Real'!A3:A15,'Fevereiro 2023 - Valor Real'!C3:C15,0))+1</f>
        <v>2</v>
      </c>
      <c r="AE724" s="158">
        <f>IF(L724="","",IF(L726&gt;0,(SUM(((L724-1)*(1-_xlfn.XLOOKUP(K724,'Fevereiro 2023 - Valor Real'!A3:A15,'Fevereiro 2023 - Valor Real'!C3:C15,0))+1),((L725-1)*(1-_xlfn.XLOOKUP(K725,'Fevereiro 2023 - Valor Real'!A3:A15,'Fevereiro 2023 - Valor Real'!C3:C15,0))+1),((L726-1)*(1-_xlfn.XLOOKUP(K726,'Fevereiro 2023 - Valor Real'!A3:A15,'Fevereiro 2023 - Valor Real'!C3:C15,0))+1))/((L724-1)*(1-_xlfn.XLOOKUP(K724,'Fevereiro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Real'!C3:C15,0))+1))/((L724-1)*(1-_xlfn.XLOOKUP(K724,'Fevereiro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Real'!C3:C15,0))+1))/((L725-1)*(1-_xlfn.XLOOKUP(K725,'Fevereiro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Real'!C3:C15,0))+1))/((L726-1)*(1-_xlfn.XLOOKUP(K726,'Fevereiro 2023 - Valor Real'!A3:A15,'Fevereiro 2023 - Valor Real'!C3:C15,0))+1)),IF(I724="Lay",IF(I725="Lay",((L725/(L725-1)-1)*(1-_xlfn.XLOOKUP(K725,'Fevereiro 2023 - Valor Real'!A3:A15,'Fevereiro 2023 - Valor Real'!C3:C15,0))+1)/(((L725/(L725-1)-1)*(1-_xlfn.XLOOKUP(K725,'Fevereiro 2023 - Valor Real'!A3:A15,'Fevereiro 2023 - Valor Real'!C3:C15,0))+1)+((L724/(L724-1)-1)*(1-_xlfn.XLOOKUP(K724,'Fevereiro 2023 - Valor Real'!A3:A15,'Fevereiro 2023 - Valor Real'!C3:C15,0))+1)),((L725-1)*(1-_xlfn.XLOOKUP(K725,'Fevereiro 2023 - Valor Real'!A3:A15,'Fevereiro 2023 - Valor Real'!C3:C15,0))+1)/(((L725-1)*(1-_xlfn.XLOOKUP(K725,'Fevereiro 2023 - Valor Real'!A3:A15,'Fevereiro 2023 - Valor Real'!C3:C15,0))+1)+((L724/(L724-1)-1)*(1-_xlfn.XLOOKUP(K724,'Fevereiro 2023 - Valor Real'!A3:A15,'Fevereiro 2023 - Valor Real'!C3:C15,0))+1))),IF(I725="Lay",(((L725/(L725-1)-1)*(1-_xlfn.XLOOKUP(K725,'Fevereiro 2023 - Valor Real'!A3:A15,'Fevereiro 2023 - Valor Real'!C3:C15,0))+1))/(((L724-1)*(1-_xlfn.XLOOKUP(K724,'Fevereiro 2023 - Valor Real'!A3:A15,'Fevereiro 2023 - Valor Real'!C3:C15,0))+1)+((L725/(L725-1)-1)*(1-_xlfn.XLOOKUP(K725,'Fevereiro 2023 - Valor Real'!A3:A15,'Fevereiro 2023 - Valor Real'!C3:C15,0))+1)),((L725-1)*(1-_xlfn.XLOOKUP(K725,'Fevereiro 2023 - Valor Real'!A3:A15,'Fevereiro 2023 - Valor Real'!C3:C15,0))+1)/(((L725-1)*(1-_xlfn.XLOOKUP(K725,'Fevereiro 2023 - Valor Real'!A3:A15,'Fevereiro 2023 - Valor Real'!C3:C15,0))+1)+((L724-1)*(1-_xlfn.XLOOKUP(K724,'Fevereiro 2023 - Valor Real'!A3:A15,'Fevereiro 2023 - Valor Real'!C3:C15,0))+1))))))</f>
        <v>0.49551569506726456</v>
      </c>
      <c r="AF724" s="66">
        <f t="shared" ref="AF724:AR733" si="1464">IF($K724=AF$3,ROUND(IF(OR($C724="W",$C724="1/2W",$C724="1/2L"),$P724-$O724,IF($C724="X",0,-$O724)),2),0)</f>
        <v>0</v>
      </c>
      <c r="AG724" s="67">
        <f t="shared" si="1464"/>
        <v>0</v>
      </c>
      <c r="AH724" s="67">
        <f t="shared" si="1464"/>
        <v>0</v>
      </c>
      <c r="AI724" s="67">
        <f t="shared" si="1464"/>
        <v>0</v>
      </c>
      <c r="AJ724" s="67">
        <f t="shared" si="1464"/>
        <v>0</v>
      </c>
      <c r="AK724" s="67">
        <f t="shared" si="1464"/>
        <v>0</v>
      </c>
      <c r="AL724" s="67">
        <f t="shared" si="1464"/>
        <v>0</v>
      </c>
      <c r="AM724" s="67">
        <f t="shared" si="1464"/>
        <v>-9.26</v>
      </c>
      <c r="AN724" s="67">
        <f t="shared" si="1464"/>
        <v>0</v>
      </c>
      <c r="AO724" s="67">
        <f t="shared" si="1464"/>
        <v>0</v>
      </c>
      <c r="AP724" s="67">
        <f t="shared" si="1464"/>
        <v>0</v>
      </c>
      <c r="AQ724" s="67">
        <f t="shared" si="1464"/>
        <v>0</v>
      </c>
      <c r="AR724" s="68">
        <f t="shared" si="1464"/>
        <v>0</v>
      </c>
      <c r="AS724" s="66">
        <f t="shared" ref="AS724:BE724" si="1465">IF(AND($B724=" ",$K724=AS$3),$O724,0)</f>
        <v>0</v>
      </c>
      <c r="AT724" s="67">
        <f t="shared" si="1465"/>
        <v>0</v>
      </c>
      <c r="AU724" s="67">
        <f t="shared" si="1465"/>
        <v>0</v>
      </c>
      <c r="AV724" s="67">
        <f t="shared" si="1465"/>
        <v>0</v>
      </c>
      <c r="AW724" s="67">
        <f t="shared" si="1465"/>
        <v>0</v>
      </c>
      <c r="AX724" s="67">
        <f t="shared" si="1465"/>
        <v>0</v>
      </c>
      <c r="AY724" s="69">
        <f t="shared" si="1465"/>
        <v>0</v>
      </c>
      <c r="AZ724" s="70">
        <f t="shared" si="1465"/>
        <v>0</v>
      </c>
      <c r="BA724" s="70">
        <f t="shared" si="1465"/>
        <v>0</v>
      </c>
      <c r="BB724" s="70">
        <f t="shared" si="1465"/>
        <v>0</v>
      </c>
      <c r="BC724" s="71">
        <f t="shared" si="1465"/>
        <v>0</v>
      </c>
      <c r="BD724" s="67">
        <f t="shared" si="1465"/>
        <v>0</v>
      </c>
      <c r="BE724" s="68">
        <f t="shared" si="1465"/>
        <v>0</v>
      </c>
      <c r="BF724" s="66">
        <f t="shared" ref="BF724:BR733" si="1466">IF($K724=BF$3,IF($C724="X",0,$O724),0)</f>
        <v>0</v>
      </c>
      <c r="BG724" s="67">
        <f t="shared" si="1466"/>
        <v>0</v>
      </c>
      <c r="BH724" s="67">
        <f t="shared" si="1466"/>
        <v>0</v>
      </c>
      <c r="BI724" s="67">
        <f t="shared" si="1466"/>
        <v>0</v>
      </c>
      <c r="BJ724" s="67">
        <f t="shared" si="1466"/>
        <v>0</v>
      </c>
      <c r="BK724" s="67">
        <f t="shared" si="1466"/>
        <v>0</v>
      </c>
      <c r="BL724" s="67">
        <f t="shared" si="1466"/>
        <v>0</v>
      </c>
      <c r="BM724" s="69">
        <f t="shared" si="1466"/>
        <v>9.26</v>
      </c>
      <c r="BN724" s="70">
        <f t="shared" si="1466"/>
        <v>0</v>
      </c>
      <c r="BO724" s="70">
        <f t="shared" si="1466"/>
        <v>0</v>
      </c>
      <c r="BP724" s="70">
        <f t="shared" si="1466"/>
        <v>0</v>
      </c>
      <c r="BQ724" s="71">
        <f t="shared" si="1466"/>
        <v>0</v>
      </c>
      <c r="BR724" s="68">
        <f t="shared" si="1466"/>
        <v>0</v>
      </c>
      <c r="BS724" s="490">
        <f>IF($B724="LOSS",IF(AND($K724=BS$3,$C724="L"),-$O724,0)+IF(AND($K725=BS$3,$C725="L"),-$O725,0)+IF(AND($K726=BS$3,$C726="L"),-$O726,0),IF(OR(AND($K724=BS$3,OR($C724="W",$C724="1/2W")),AND($K725=BS$3,OR($C725="W",$C725="1/2W")),AND($K726=BS$3,OR($C726="W",$C726="1/2W"))),$S724,0))</f>
        <v>0</v>
      </c>
      <c r="BT724" s="498">
        <f>IF($B724="LOSS",IF(AND($K724=BT$3,$C724="L"),-$O724,0)+IF(AND($K725=BT$3,$C725="L"),-$O725,0)+IF(AND($K725=BT$3,$C726="L"),-$O726,0),IF(OR(AND($K725=BT$3,OR($C724="W",$C724="1/2W")),AND($K725=BT$3,OR($C725="W",$C725="1/2W")),AND($K725=BT$3,OR($C726="W",$C726="1/2W"))),$S724,0))</f>
        <v>0</v>
      </c>
      <c r="BU724" s="488">
        <f>IF($B724="LOSS",IF(AND($K724=BU$3,$C724="L"),-$O724,0)+IF(AND($K725=BU$3,$C725="L"),-$O725,0)+IF(AND($K725=BU$3,$C726="L"),-$O726,0),IF(OR(AND($K725=BU$3,OR($C724="W",$C724="1/2W")),AND($K725=BU$3,OR($C725="W",$C725="1/2W")),AND($K725=BU$3,OR($C726="W",$C726="1/2W"))),$S724,0))</f>
        <v>0</v>
      </c>
      <c r="BV724" s="488">
        <f t="shared" ref="BV724:CE724" si="1467">IF($B724="LOSS",IF(AND($K724=BV$3,$C724="L"),-$O724,0)+IF(AND($K725=BV$3,$C725="L"),-$O725,0)+IF(AND($K726=BV$3,$C726="L"),-$O726,0),IF(OR(AND($K724=BV$3,OR($C724="W",$C724="1/2W")),AND($K725=BV$3,OR($C725="W",$C725="1/2W")),AND($K726=BV$3,OR($C726="W",$C726="1/2W"))),$S724,0))</f>
        <v>0</v>
      </c>
      <c r="BW724" s="488">
        <f t="shared" si="1467"/>
        <v>1.99</v>
      </c>
      <c r="BX724" s="488">
        <f t="shared" si="1467"/>
        <v>0</v>
      </c>
      <c r="BY724" s="488">
        <f t="shared" si="1467"/>
        <v>0</v>
      </c>
      <c r="BZ724" s="488">
        <f t="shared" si="1467"/>
        <v>0</v>
      </c>
      <c r="CA724" s="488">
        <f t="shared" si="1467"/>
        <v>0</v>
      </c>
      <c r="CB724" s="488">
        <f t="shared" si="1467"/>
        <v>0</v>
      </c>
      <c r="CC724" s="488">
        <f t="shared" si="1467"/>
        <v>0</v>
      </c>
      <c r="CD724" s="500">
        <f t="shared" si="1467"/>
        <v>0</v>
      </c>
      <c r="CE724" s="504">
        <f t="shared" si="1467"/>
        <v>0</v>
      </c>
      <c r="CF724" s="160">
        <f t="shared" si="1412"/>
        <v>0</v>
      </c>
      <c r="CG724" s="161">
        <f t="shared" si="1413"/>
        <v>0</v>
      </c>
      <c r="CH724" s="161">
        <f t="shared" si="1414"/>
        <v>0</v>
      </c>
      <c r="CI724" s="161">
        <f t="shared" si="1415"/>
        <v>0</v>
      </c>
      <c r="CJ724" s="161">
        <f t="shared" si="1416"/>
        <v>0</v>
      </c>
      <c r="CK724" s="161">
        <f t="shared" si="1417"/>
        <v>0</v>
      </c>
      <c r="CL724" s="161">
        <f t="shared" si="1418"/>
        <v>0</v>
      </c>
      <c r="CM724" s="161">
        <f t="shared" si="1419"/>
        <v>0</v>
      </c>
      <c r="CN724" s="161">
        <f t="shared" si="1420"/>
        <v>0</v>
      </c>
      <c r="CO724" s="161">
        <f t="shared" si="1421"/>
        <v>0</v>
      </c>
      <c r="CP724" s="161">
        <f t="shared" si="1422"/>
        <v>0</v>
      </c>
      <c r="CQ724" s="161">
        <f t="shared" si="1423"/>
        <v>0</v>
      </c>
      <c r="CR724" s="161">
        <f t="shared" si="1424"/>
        <v>0</v>
      </c>
      <c r="CS724" s="161">
        <f t="shared" si="1425"/>
        <v>0</v>
      </c>
      <c r="CT724" s="75">
        <f t="shared" si="1426"/>
        <v>0</v>
      </c>
      <c r="CU724" s="76">
        <f t="shared" si="1427"/>
        <v>1</v>
      </c>
      <c r="CV724" s="76">
        <f t="shared" si="1428"/>
        <v>0</v>
      </c>
      <c r="CW724" s="76">
        <f t="shared" si="1429"/>
        <v>0</v>
      </c>
      <c r="CX724" s="76">
        <f t="shared" si="1430"/>
        <v>0</v>
      </c>
      <c r="CY724" s="76">
        <f t="shared" si="1431"/>
        <v>0</v>
      </c>
      <c r="CZ724" s="76">
        <f t="shared" si="1432"/>
        <v>0</v>
      </c>
      <c r="DA724" s="76">
        <f t="shared" si="1433"/>
        <v>0</v>
      </c>
      <c r="DB724" s="76">
        <f t="shared" si="1434"/>
        <v>0</v>
      </c>
      <c r="DC724" s="76">
        <f t="shared" si="1435"/>
        <v>0</v>
      </c>
      <c r="DD724" s="76">
        <f t="shared" si="1436"/>
        <v>0</v>
      </c>
      <c r="DE724" s="77">
        <f t="shared" si="1437"/>
        <v>0</v>
      </c>
      <c r="DF724" s="73">
        <f t="shared" si="1440"/>
        <v>43</v>
      </c>
      <c r="DG724" s="67">
        <f t="shared" si="1441"/>
        <v>57.167999999999992</v>
      </c>
      <c r="DH724" s="76">
        <f t="shared" si="1442"/>
        <v>16</v>
      </c>
      <c r="DI724" s="67">
        <f t="shared" si="1443"/>
        <v>68.699999999999989</v>
      </c>
      <c r="DJ724" s="202" t="str">
        <f>IF($D724="","",$D724)</f>
        <v>23</v>
      </c>
      <c r="DK724" s="492">
        <f>IF(AND($B724=" ",$D724&lt;&gt;""),1,0)</f>
        <v>0</v>
      </c>
    </row>
    <row r="725" spans="1:115" ht="14.5" customHeight="1" x14ac:dyDescent="0.2">
      <c r="A725" s="389"/>
      <c r="B725" s="456"/>
      <c r="C725" s="53" t="s">
        <v>54</v>
      </c>
      <c r="D725" s="374"/>
      <c r="E725" s="386"/>
      <c r="F725" s="377"/>
      <c r="G725" s="508"/>
      <c r="H725" s="476"/>
      <c r="I725" s="182" t="s">
        <v>76</v>
      </c>
      <c r="J725" s="56">
        <f>IF(OR(I724="TO",I724="TU",I724="TO1",I724="TU1",I724="TO2",I724="TU2"),J724,IF(OR(I724="AH1",I724="AH2"),IF(OR(I725="AH1",I725="AH2"),-J724,IF(OR(I725="EH1",I725="EH2"),-J724+0.5,"")),IF(OR(I724="EH1",I724="EH2"),IF(OR(I725="AH1",I725="AH2"),-J724+0.5,IF(OR(I725="EH1",I725="EH2"),-J724+1,"")),IF(AND(OR(I724="DNB1",I724="DNB2"),OR(I725="AH1",I725="AH2")),0,IF(AND(I724="Not ScoreBoth",OR(I725="TO1",I725="TO2")),0.5,"")))))</f>
        <v>0</v>
      </c>
      <c r="K725" s="57" t="s">
        <v>40</v>
      </c>
      <c r="L725" s="164">
        <v>2.21</v>
      </c>
      <c r="M725" s="165">
        <v>9.3000000000000007</v>
      </c>
      <c r="N725" s="406"/>
      <c r="O725" s="60">
        <f>IF(OR(AE724="",AE725=""),"",ROUND(IF(L726&gt;0,IF(M725&gt;0,M725,IF(M724&gt;0,IF(N724=TRUE,ROUND((M724*AE725)/AE724,0),(M724*AE725)/AE724),IF(M725&gt;0,ROUND(M725,IF(N724=0,2,IF(N724=0.1,1,0))),IF(M726&gt;0,ROUND(O726*AE725/AE726,IF(N724=0,2,IF(N724=0.1,1,0))),0)))),IF(M725&gt;0,M725,ROUND((M724*AE725)/AE724,IF(N724=0,2,IF(N724=0.1,1,0))))),2))</f>
        <v>9.3000000000000007</v>
      </c>
      <c r="P725" s="61">
        <f>IF(OR(L725="",O725=""),"",IF($C725="1/2W",O725/2+O725/2*L725,IF($C725="1/2L",O725/2,IF(I725="Lay",((O725*(L725/(L725-1)))-O725)*(1-_xlfn.XLOOKUP(K725,'Fevereiro 2023 - Valor Real'!A3:A15,'Fevereiro 2023 - Valor Real'!C3:C15,0))+O725,(O725*L725-O725)*(1-_xlfn.XLOOKUP(K725,'Fevereiro 2023 - Valor Real'!A3:A15,'Fevereiro 2023 - Valor Real'!C3:C15,0))+O725))))</f>
        <v>20.553000000000001</v>
      </c>
      <c r="Q725" s="166">
        <f>IF(K725="","",IF(_xlfn.XLOOKUP(K725,K$10:K716,$DJ$10:DJ716,0,,-1)=DJ725,_xlfn.XLOOKUP(K725,K$10:K716,Q$10:Q716,1,,-1)+1,1))</f>
        <v>1</v>
      </c>
      <c r="R725" s="167">
        <f>IF(K725="","",_xlfn.XLOOKUP(K725,K$10:K716,R$10:R716,0,,-1)+IF($C725=" ",1,0))</f>
        <v>0</v>
      </c>
      <c r="S725" s="403"/>
      <c r="T725" s="380"/>
      <c r="U725" s="380"/>
      <c r="V725" s="481"/>
      <c r="W725" s="380"/>
      <c r="X725" s="452"/>
      <c r="Y725" s="383"/>
      <c r="Z725" s="384"/>
      <c r="AA725" s="384"/>
      <c r="AB725" s="384"/>
      <c r="AC725" s="384"/>
      <c r="AD725" s="64"/>
      <c r="AE725" s="65">
        <f>IF(L725="","",IF(L726&gt;0,(SUM(((L724-1)*(1-_xlfn.XLOOKUP(K724,'Fevereiro 2023 - Valor Real'!A3:A15,'Fevereiro 2023 - Valor Real'!C3:C15,0))+1),((L725-1)*(1-_xlfn.XLOOKUP(K725,'Fevereiro 2023 - Valor Real'!A3:A15,'Fevereiro 2023 - Valor Real'!C3:C15,0))+1),((L726-1)*(1-_xlfn.XLOOKUP(K726,'Fevereiro 2023 - Valor Real'!A3:A15,'Fevereiro 2023 - Valor Real'!C3:C15,0))+1))/((L725-1)*(1-_xlfn.XLOOKUP(K725,'Fevereiro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Real'!C3:C15,0))+1))/((L724-1)*(1-_xlfn.XLOOKUP(K724,'Fevereiro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Real'!C3:C15,0))+1))/((L725-1)*(1-_xlfn.XLOOKUP(K725,'Fevereiro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Real'!C3:C15,0))+1))/((L726-1)*(1-_xlfn.XLOOKUP(K726,'Fevereiro 2023 - Valor Real'!A3:A15,'Fevereiro 2023 - Valor Real'!C3:C15,0))+1)),IF(I725="Lay",IF(I724="Lay",((L724/(L724-1)-1)*(1-_xlfn.XLOOKUP(K724,'Fevereiro 2023 - Valor Real'!A3:A15,'Fevereiro 2023 - Valor Real'!C3:C15,0))+1)/(((L724/(L724-1)-1)*(1-_xlfn.XLOOKUP(K724,'Fevereiro 2023 - Valor Real'!A3:A15,'Fevereiro 2023 - Valor Real'!C3:C15,0))+1)+((L725/(L725-1)-1)*(1-_xlfn.XLOOKUP(K725,'Fevereiro 2023 - Valor Real'!A3:A15,'Fevereiro 2023 - Valor Real'!C3:C15,0))+1)),((L724-1)*(1-_xlfn.XLOOKUP(K724,'Fevereiro 2023 - Valor Real'!A3:A15,'Fevereiro 2023 - Valor Real'!C3:C15,0))+1)/(((L724-1)*(1-_xlfn.XLOOKUP(K724,'Fevereiro 2023 - Valor Real'!A3:A15,'Fevereiro 2023 - Valor Real'!C3:C15,0))+1)+((L725/(L725-1)-1)*(1-_xlfn.XLOOKUP(K725,'Fevereiro 2023 - Valor Real'!A3:A15,'Fevereiro 2023 - Valor Real'!C3:C15,0))+1))),IF(I724="Lay",((L724/(L724-1)-1)*(1-_xlfn.XLOOKUP(K724,'Fevereiro 2023 - Valor Real'!A3:A15,'Fevereiro 2023 - Valor Real'!C3:C15,0))+1)/((((L724/(L724-1)-1)*(1-_xlfn.XLOOKUP(K724,'Fevereiro 2023 - Valor Real'!A3:A15,'Fevereiro 2023 - Valor Real'!C3:C15,0))+1))+((L725-1)*(1-_xlfn.XLOOKUP(K725,'Fevereiro 2023 - Valor Real'!A3:A15,'Fevereiro 2023 - Valor Real'!C3:C15,0))+1)),((L724-1)*(1-_xlfn.XLOOKUP(K724,'Fevereiro 2023 - Valor Real'!A3:A15,'Fevereiro 2023 - Valor Real'!C3:C15,0))+1)/(((L724-1)*(1-_xlfn.XLOOKUP(K724,'Fevereiro 2023 - Valor Real'!A3:A15,'Fevereiro 2023 - Valor Real'!C3:C15,0))+1)+((L725-1)*(1-_xlfn.XLOOKUP(K725,'Fevereiro 2023 - Valor Real'!A3:A15,'Fevereiro 2023 - Valor Real'!C3:C15,0))+1))))))</f>
        <v>0.50448430493273544</v>
      </c>
      <c r="AF725" s="66">
        <f t="shared" si="1464"/>
        <v>0</v>
      </c>
      <c r="AG725" s="67">
        <f t="shared" si="1464"/>
        <v>0</v>
      </c>
      <c r="AH725" s="67">
        <f t="shared" si="1464"/>
        <v>0</v>
      </c>
      <c r="AI725" s="67">
        <f t="shared" si="1464"/>
        <v>0</v>
      </c>
      <c r="AJ725" s="67">
        <f t="shared" si="1464"/>
        <v>11.25</v>
      </c>
      <c r="AK725" s="67">
        <f t="shared" si="1464"/>
        <v>0</v>
      </c>
      <c r="AL725" s="67">
        <f t="shared" si="1464"/>
        <v>0</v>
      </c>
      <c r="AM725" s="67">
        <f t="shared" si="1464"/>
        <v>0</v>
      </c>
      <c r="AN725" s="67">
        <f t="shared" si="1464"/>
        <v>0</v>
      </c>
      <c r="AO725" s="67">
        <f t="shared" si="1464"/>
        <v>0</v>
      </c>
      <c r="AP725" s="67">
        <f t="shared" si="1464"/>
        <v>0</v>
      </c>
      <c r="AQ725" s="67">
        <f t="shared" si="1464"/>
        <v>0</v>
      </c>
      <c r="AR725" s="68">
        <f t="shared" si="1464"/>
        <v>0</v>
      </c>
      <c r="AS725" s="66">
        <f>IF(AND($B724=" ",$K725=AS$3),$O725,0)</f>
        <v>0</v>
      </c>
      <c r="AT725" s="67">
        <f>IF(AND($B724=" ",K725=AT$3),$O725,0)</f>
        <v>0</v>
      </c>
      <c r="AU725" s="67">
        <f t="shared" ref="AU725:BE725" si="1468">IF(AND($B724=" ",$K725=AU$3),$O725,0)</f>
        <v>0</v>
      </c>
      <c r="AV725" s="67">
        <f t="shared" si="1468"/>
        <v>0</v>
      </c>
      <c r="AW725" s="67">
        <f t="shared" si="1468"/>
        <v>0</v>
      </c>
      <c r="AX725" s="67">
        <f t="shared" si="1468"/>
        <v>0</v>
      </c>
      <c r="AY725" s="69">
        <f t="shared" si="1468"/>
        <v>0</v>
      </c>
      <c r="AZ725" s="70">
        <f t="shared" si="1468"/>
        <v>0</v>
      </c>
      <c r="BA725" s="70">
        <f t="shared" si="1468"/>
        <v>0</v>
      </c>
      <c r="BB725" s="70">
        <f t="shared" si="1468"/>
        <v>0</v>
      </c>
      <c r="BC725" s="71">
        <f t="shared" si="1468"/>
        <v>0</v>
      </c>
      <c r="BD725" s="67">
        <f t="shared" si="1468"/>
        <v>0</v>
      </c>
      <c r="BE725" s="68">
        <f t="shared" si="1468"/>
        <v>0</v>
      </c>
      <c r="BF725" s="66">
        <f t="shared" si="1466"/>
        <v>0</v>
      </c>
      <c r="BG725" s="168">
        <f t="shared" si="1466"/>
        <v>0</v>
      </c>
      <c r="BH725" s="67">
        <f t="shared" si="1466"/>
        <v>0</v>
      </c>
      <c r="BI725" s="67">
        <f t="shared" si="1466"/>
        <v>0</v>
      </c>
      <c r="BJ725" s="67">
        <f t="shared" si="1466"/>
        <v>9.3000000000000007</v>
      </c>
      <c r="BK725" s="67">
        <f t="shared" si="1466"/>
        <v>0</v>
      </c>
      <c r="BL725" s="67">
        <f t="shared" si="1466"/>
        <v>0</v>
      </c>
      <c r="BM725" s="69">
        <f t="shared" si="1466"/>
        <v>0</v>
      </c>
      <c r="BN725" s="70">
        <f t="shared" si="1466"/>
        <v>0</v>
      </c>
      <c r="BO725" s="70">
        <f t="shared" si="1466"/>
        <v>0</v>
      </c>
      <c r="BP725" s="70">
        <f t="shared" si="1466"/>
        <v>0</v>
      </c>
      <c r="BQ725" s="71">
        <f t="shared" si="1466"/>
        <v>0</v>
      </c>
      <c r="BR725" s="68">
        <f t="shared" si="1466"/>
        <v>0</v>
      </c>
      <c r="BS725" s="491"/>
      <c r="BT725" s="489"/>
      <c r="BU725" s="392"/>
      <c r="BV725" s="489"/>
      <c r="BW725" s="392"/>
      <c r="BX725" s="392"/>
      <c r="BY725" s="392"/>
      <c r="BZ725" s="489"/>
      <c r="CA725" s="392"/>
      <c r="CB725" s="392"/>
      <c r="CC725" s="392"/>
      <c r="CD725" s="401"/>
      <c r="CE725" s="409"/>
      <c r="CF725" s="169">
        <f t="shared" si="1412"/>
        <v>0</v>
      </c>
      <c r="CG725" s="170">
        <f t="shared" si="1413"/>
        <v>0</v>
      </c>
      <c r="CH725" s="170">
        <f t="shared" si="1414"/>
        <v>0</v>
      </c>
      <c r="CI725" s="170">
        <f t="shared" si="1415"/>
        <v>0</v>
      </c>
      <c r="CJ725" s="170">
        <f t="shared" si="1416"/>
        <v>0</v>
      </c>
      <c r="CK725" s="170">
        <f t="shared" si="1417"/>
        <v>0</v>
      </c>
      <c r="CL725" s="170">
        <f t="shared" si="1418"/>
        <v>0</v>
      </c>
      <c r="CM725" s="170">
        <f t="shared" si="1419"/>
        <v>0</v>
      </c>
      <c r="CN725" s="170">
        <f t="shared" si="1420"/>
        <v>1</v>
      </c>
      <c r="CO725" s="170">
        <f t="shared" si="1421"/>
        <v>0</v>
      </c>
      <c r="CP725" s="170">
        <f t="shared" si="1422"/>
        <v>0</v>
      </c>
      <c r="CQ725" s="170">
        <f t="shared" si="1423"/>
        <v>0</v>
      </c>
      <c r="CR725" s="170">
        <f t="shared" si="1424"/>
        <v>0</v>
      </c>
      <c r="CS725" s="170">
        <f t="shared" si="1425"/>
        <v>0</v>
      </c>
      <c r="CT725" s="75">
        <f t="shared" si="1426"/>
        <v>0</v>
      </c>
      <c r="CU725" s="76">
        <f t="shared" si="1427"/>
        <v>0</v>
      </c>
      <c r="CV725" s="76">
        <f t="shared" si="1428"/>
        <v>0</v>
      </c>
      <c r="CW725" s="76">
        <f t="shared" si="1429"/>
        <v>0</v>
      </c>
      <c r="CX725" s="76">
        <f t="shared" si="1430"/>
        <v>0</v>
      </c>
      <c r="CY725" s="76">
        <f t="shared" si="1431"/>
        <v>0</v>
      </c>
      <c r="CZ725" s="76">
        <f t="shared" si="1432"/>
        <v>0</v>
      </c>
      <c r="DA725" s="76">
        <f t="shared" si="1433"/>
        <v>0</v>
      </c>
      <c r="DB725" s="76">
        <f t="shared" si="1434"/>
        <v>0</v>
      </c>
      <c r="DC725" s="76">
        <f t="shared" si="1435"/>
        <v>0</v>
      </c>
      <c r="DD725" s="76">
        <f t="shared" si="1436"/>
        <v>0</v>
      </c>
      <c r="DE725" s="77">
        <f t="shared" si="1437"/>
        <v>0</v>
      </c>
      <c r="DF725" s="73">
        <f t="shared" si="1440"/>
        <v>43</v>
      </c>
      <c r="DG725" s="67">
        <f t="shared" si="1441"/>
        <v>57.167999999999992</v>
      </c>
      <c r="DH725" s="76">
        <f t="shared" si="1442"/>
        <v>16</v>
      </c>
      <c r="DI725" s="67">
        <f t="shared" si="1443"/>
        <v>68.699999999999989</v>
      </c>
      <c r="DJ725" s="202" t="str">
        <f>IF($D724="","",$D724)</f>
        <v>23</v>
      </c>
      <c r="DK725" s="493"/>
    </row>
    <row r="726" spans="1:115" ht="14.5" customHeight="1" x14ac:dyDescent="0.2">
      <c r="A726" s="390"/>
      <c r="B726" s="457"/>
      <c r="C726" s="79" t="s">
        <v>53</v>
      </c>
      <c r="D726" s="375"/>
      <c r="E726" s="387"/>
      <c r="F726" s="378"/>
      <c r="G726" s="508"/>
      <c r="H726" s="477"/>
      <c r="I726" s="171"/>
      <c r="J726" s="172"/>
      <c r="K726" s="81"/>
      <c r="L726" s="173"/>
      <c r="M726" s="174"/>
      <c r="N726" s="407"/>
      <c r="O726" s="86" t="str">
        <f>IF(OR(AE724="",AE725=""),"",IF(L726&gt;0,ROUND(IF(M726&gt;0,M726,IF(M724&gt;0,ROUND((M724*AE726)/AE724,IF(N724=0,2,IF(N724=0.1,1,0))),IF(M725&gt;0,ROUND((M725*AE726)/AE725,IF(N724=0,2,IF(N724=0.1,1,0))),IF(M726&gt;0,M726,0)))),2),""))</f>
        <v/>
      </c>
      <c r="P726" s="87" t="str">
        <f>IF(I725="Lay",O725*(L725/(L725-1))-O725,IF(I724="Lay",O724*(L724/(L724-1))-O724,IF(OR(L726="",O726=""),"",IF($C726="1/2W",O726/2+O726/2*L726,IF($C726="1/2L",O726/2,(O726*L726-O726)*(1-_xlfn.XLOOKUP(K726,'Fevereiro 2023 - Valor Real'!A3:A15,'Fevereiro 2023 - Valor Real'!C3:C15,0))+O726)))))</f>
        <v/>
      </c>
      <c r="Q726" s="54" t="str">
        <f>IF(K726="","",IF(_xlfn.XLOOKUP(K726,K$11:K716,$DJ$11:DJ716,0,,-1)=DJ726,_xlfn.XLOOKUP(K726,K$11:K716,Q$11:Q716,1,,-1)+1,1))</f>
        <v/>
      </c>
      <c r="R726" s="87" t="str">
        <f>IF(K726="","",_xlfn.XLOOKUP(K726,K$11:K716,R$11:R716,0,,-1)+IF($C726=" ",1,0))</f>
        <v/>
      </c>
      <c r="S726" s="404"/>
      <c r="T726" s="378"/>
      <c r="U726" s="378"/>
      <c r="V726" s="404"/>
      <c r="W726" s="378"/>
      <c r="X726" s="453"/>
      <c r="Y726" s="383"/>
      <c r="Z726" s="384"/>
      <c r="AA726" s="384"/>
      <c r="AB726" s="384"/>
      <c r="AC726" s="384"/>
      <c r="AD726" s="90"/>
      <c r="AE726" s="91" t="str">
        <f>IF(L726="","",(SUM(((L724-1)*(1-_xlfn.XLOOKUP(K724,'Fevereiro 2023 - Valor Real'!A3:A15,'Fevereiro 2023 - Valor Real'!C3:C15,0))+1),((L725-1)*(1-_xlfn.XLOOKUP(K725,'Fevereiro 2023 - Valor Real'!A3:A15,'Fevereiro 2023 - Valor Real'!C3:C15,0))+1),((L726-1)*(1-_xlfn.XLOOKUP(K726,'Fevereiro 2023 - Valor Real'!A3:A15,'Fevereiro 2023 - Valor Real'!C3:C15,0))+1))/((L726-1)*(1-_xlfn.XLOOKUP(K726,'Fevereiro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Real'!C3:C15,0))+1))/((L724-1)*(1-_xlfn.XLOOKUP(K724,'Fevereiro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Real'!C3:C15,0))+1))/((L725-1)*(1-_xlfn.XLOOKUP(K725,'Fevereiro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Real'!C3:C15,0))+1))/((L726-1)*(1-_xlfn.XLOOKUP(K726,'Fevereiro 2023 - Valor Real'!A3:A15,'Fevereiro 2023 - Valor Real'!C3:C15,0))+1)))</f>
        <v/>
      </c>
      <c r="AF726" s="66">
        <f t="shared" si="1464"/>
        <v>0</v>
      </c>
      <c r="AG726" s="67">
        <f t="shared" si="1464"/>
        <v>0</v>
      </c>
      <c r="AH726" s="67">
        <f t="shared" si="1464"/>
        <v>0</v>
      </c>
      <c r="AI726" s="67">
        <f t="shared" si="1464"/>
        <v>0</v>
      </c>
      <c r="AJ726" s="67">
        <f t="shared" si="1464"/>
        <v>0</v>
      </c>
      <c r="AK726" s="67">
        <f t="shared" si="1464"/>
        <v>0</v>
      </c>
      <c r="AL726" s="67">
        <f t="shared" si="1464"/>
        <v>0</v>
      </c>
      <c r="AM726" s="67">
        <f t="shared" si="1464"/>
        <v>0</v>
      </c>
      <c r="AN726" s="67">
        <f t="shared" si="1464"/>
        <v>0</v>
      </c>
      <c r="AO726" s="67">
        <f t="shared" si="1464"/>
        <v>0</v>
      </c>
      <c r="AP726" s="67">
        <f t="shared" si="1464"/>
        <v>0</v>
      </c>
      <c r="AQ726" s="67">
        <f t="shared" si="1464"/>
        <v>0</v>
      </c>
      <c r="AR726" s="68">
        <f t="shared" si="1464"/>
        <v>0</v>
      </c>
      <c r="AS726" s="66">
        <f>IF(AND($B724=" ",$K726=AS$3),$O726,0)</f>
        <v>0</v>
      </c>
      <c r="AT726" s="67">
        <f>IF(AND($B724=" ",K726=AT$3),$O726,0)</f>
        <v>0</v>
      </c>
      <c r="AU726" s="67">
        <f t="shared" ref="AU726:BE726" si="1469">IF(AND($B724=" ",$K726=AU$3),$O726,0)</f>
        <v>0</v>
      </c>
      <c r="AV726" s="67">
        <f t="shared" si="1469"/>
        <v>0</v>
      </c>
      <c r="AW726" s="67">
        <f t="shared" si="1469"/>
        <v>0</v>
      </c>
      <c r="AX726" s="67">
        <f t="shared" si="1469"/>
        <v>0</v>
      </c>
      <c r="AY726" s="69">
        <f t="shared" si="1469"/>
        <v>0</v>
      </c>
      <c r="AZ726" s="70">
        <f t="shared" si="1469"/>
        <v>0</v>
      </c>
      <c r="BA726" s="70">
        <f t="shared" si="1469"/>
        <v>0</v>
      </c>
      <c r="BB726" s="70">
        <f t="shared" si="1469"/>
        <v>0</v>
      </c>
      <c r="BC726" s="71">
        <f t="shared" si="1469"/>
        <v>0</v>
      </c>
      <c r="BD726" s="67">
        <f t="shared" si="1469"/>
        <v>0</v>
      </c>
      <c r="BE726" s="68">
        <f t="shared" si="1469"/>
        <v>0</v>
      </c>
      <c r="BF726" s="66">
        <f t="shared" si="1466"/>
        <v>0</v>
      </c>
      <c r="BG726" s="168">
        <f t="shared" si="1466"/>
        <v>0</v>
      </c>
      <c r="BH726" s="67">
        <f t="shared" si="1466"/>
        <v>0</v>
      </c>
      <c r="BI726" s="67">
        <f t="shared" si="1466"/>
        <v>0</v>
      </c>
      <c r="BJ726" s="67">
        <f t="shared" si="1466"/>
        <v>0</v>
      </c>
      <c r="BK726" s="67">
        <f t="shared" si="1466"/>
        <v>0</v>
      </c>
      <c r="BL726" s="67">
        <f t="shared" si="1466"/>
        <v>0</v>
      </c>
      <c r="BM726" s="69">
        <f t="shared" si="1466"/>
        <v>0</v>
      </c>
      <c r="BN726" s="70">
        <f t="shared" si="1466"/>
        <v>0</v>
      </c>
      <c r="BO726" s="70">
        <f t="shared" si="1466"/>
        <v>0</v>
      </c>
      <c r="BP726" s="70">
        <f t="shared" si="1466"/>
        <v>0</v>
      </c>
      <c r="BQ726" s="71">
        <f t="shared" si="1466"/>
        <v>0</v>
      </c>
      <c r="BR726" s="68">
        <f t="shared" si="1466"/>
        <v>0</v>
      </c>
      <c r="BS726" s="491"/>
      <c r="BT726" s="489"/>
      <c r="BU726" s="392"/>
      <c r="BV726" s="489"/>
      <c r="BW726" s="392"/>
      <c r="BX726" s="392"/>
      <c r="BY726" s="392"/>
      <c r="BZ726" s="489"/>
      <c r="CA726" s="392"/>
      <c r="CB726" s="392"/>
      <c r="CC726" s="392"/>
      <c r="CD726" s="401"/>
      <c r="CE726" s="409"/>
      <c r="CF726" s="169">
        <f t="shared" si="1412"/>
        <v>0</v>
      </c>
      <c r="CG726" s="170">
        <f t="shared" si="1413"/>
        <v>0</v>
      </c>
      <c r="CH726" s="170">
        <f t="shared" si="1414"/>
        <v>0</v>
      </c>
      <c r="CI726" s="170">
        <f t="shared" si="1415"/>
        <v>0</v>
      </c>
      <c r="CJ726" s="170">
        <f t="shared" si="1416"/>
        <v>0</v>
      </c>
      <c r="CK726" s="170">
        <f t="shared" si="1417"/>
        <v>0</v>
      </c>
      <c r="CL726" s="170">
        <f t="shared" si="1418"/>
        <v>0</v>
      </c>
      <c r="CM726" s="170">
        <f t="shared" si="1419"/>
        <v>0</v>
      </c>
      <c r="CN726" s="170">
        <f t="shared" si="1420"/>
        <v>0</v>
      </c>
      <c r="CO726" s="170">
        <f t="shared" si="1421"/>
        <v>0</v>
      </c>
      <c r="CP726" s="170">
        <f t="shared" si="1422"/>
        <v>0</v>
      </c>
      <c r="CQ726" s="170">
        <f t="shared" si="1423"/>
        <v>0</v>
      </c>
      <c r="CR726" s="170">
        <f t="shared" si="1424"/>
        <v>0</v>
      </c>
      <c r="CS726" s="170">
        <f t="shared" si="1425"/>
        <v>0</v>
      </c>
      <c r="CT726" s="75">
        <f t="shared" si="1426"/>
        <v>0</v>
      </c>
      <c r="CU726" s="76">
        <f t="shared" si="1427"/>
        <v>0</v>
      </c>
      <c r="CV726" s="76">
        <f t="shared" si="1428"/>
        <v>0</v>
      </c>
      <c r="CW726" s="76">
        <f t="shared" si="1429"/>
        <v>0</v>
      </c>
      <c r="CX726" s="76">
        <f t="shared" si="1430"/>
        <v>0</v>
      </c>
      <c r="CY726" s="76">
        <f t="shared" si="1431"/>
        <v>0</v>
      </c>
      <c r="CZ726" s="76">
        <f t="shared" si="1432"/>
        <v>0</v>
      </c>
      <c r="DA726" s="76">
        <f t="shared" si="1433"/>
        <v>0</v>
      </c>
      <c r="DB726" s="76">
        <f t="shared" si="1434"/>
        <v>0</v>
      </c>
      <c r="DC726" s="76">
        <f t="shared" si="1435"/>
        <v>0</v>
      </c>
      <c r="DD726" s="76">
        <f t="shared" si="1436"/>
        <v>0</v>
      </c>
      <c r="DE726" s="77">
        <f t="shared" si="1437"/>
        <v>0</v>
      </c>
      <c r="DF726" s="73">
        <f t="shared" si="1440"/>
        <v>43</v>
      </c>
      <c r="DG726" s="67">
        <f t="shared" si="1441"/>
        <v>57.167999999999992</v>
      </c>
      <c r="DH726" s="76">
        <f t="shared" si="1442"/>
        <v>16</v>
      </c>
      <c r="DI726" s="67">
        <f t="shared" si="1443"/>
        <v>68.699999999999989</v>
      </c>
      <c r="DJ726" s="202" t="str">
        <f>IF($D724="","",$D724)</f>
        <v>23</v>
      </c>
      <c r="DK726" s="493"/>
    </row>
    <row r="727" spans="1:115" ht="14.5" customHeight="1" x14ac:dyDescent="0.2">
      <c r="A727" s="459">
        <f>$A724+1</f>
        <v>242</v>
      </c>
      <c r="B727" s="507" t="str">
        <f>IF(OR(C727="W",C728="W",C729="W",C727="1/2W",C728="1/2W",C729="1/2W",C727="1/2L",C728="1/2L",C729="1/2L"),"OK",IF(OR(C727="L",C728="L",C729="L"),"LOSS",IF(OR(C727="X",C728="X",C729="X"),"Anulado"," ")))</f>
        <v>OK</v>
      </c>
      <c r="C727" s="93" t="s">
        <v>55</v>
      </c>
      <c r="D727" s="468" t="str">
        <f>IF(G727="","",$D724)</f>
        <v>23</v>
      </c>
      <c r="E727" s="485" t="str">
        <f>IF(G727=""," ","– "&amp;COUNTIF(D$4:D729,$D727))</f>
        <v>– 8</v>
      </c>
      <c r="F727" s="509" t="str">
        <f ca="1">IF(G727="","",IF(OR(AND($C727&lt;&gt;" ",$C728=" "),AND($C728&lt;&gt;" ",$C727=" "),AND(L729&gt;0,OR(AND($C729&lt;&gt;" ",OR($C727=" ",$C728=" ")),AND($C729=" ",OR($C727&lt;&gt;" ",$C728&lt;&gt;" "))))),IF(SUM(F$4:F726)=0,1,LARGE(F$4:F726,1)+1),IF(MONTH(G727)=MONTH(TODAY()),IF(AND(DAY(G727)&lt;DAY(TODAY()),$B727=" "),IF(SUM(F$4:F726)=0,1,LARGE(F$4:F726,1)+1),IF($B727=" ",IF(AND(DAY(G727)=DAY(TODAY()),HOUR(G727)&lt;=HOUR(NOW())+1),IF(AND(HOUR(G727)+2&lt;=HOUR(NOW()),DAY(G727)&lt;=DAY(TODAY()),MINUTE(G727)&lt;=MINUTE(NOW())),IF(SUM(F$4:F726)=0,1,LARGE(F$4:F726,1)+1),IF(OR(MINUTE(G727)&lt;=MINUTE(NOW()),HOUR(G727)&lt;=HOUR(NOW())),"!!!","")),""),"")),"")))</f>
        <v/>
      </c>
      <c r="G727" s="482">
        <v>45008.833333333336</v>
      </c>
      <c r="H727" s="475" t="s">
        <v>258</v>
      </c>
      <c r="I727" s="94" t="s">
        <v>51</v>
      </c>
      <c r="J727" s="95">
        <v>54.5</v>
      </c>
      <c r="K727" s="96" t="s">
        <v>39</v>
      </c>
      <c r="L727" s="97">
        <v>2.9</v>
      </c>
      <c r="M727" s="98">
        <v>5.64</v>
      </c>
      <c r="N727" s="478">
        <v>0</v>
      </c>
      <c r="O727" s="99">
        <f>IF(OR(AE727="",AE728=""),"",ROUND(IF(L729&gt;0,IF(M727&gt;0,M727,IF(M728&gt;0,ROUND((M728*AE727)/AE728,IF(N727=0,2,IF(N727=0.1,1,0))),ROUND((M729*AE727)/AE729,IF(N727=0,2,IF(N727=0.1,1,0))))),IF(M727&gt;0,M727,ROUND((M728*AE727)/AE728,IF(N727=0,2,IF(N727=0.1,1,0))))),2))</f>
        <v>5.64</v>
      </c>
      <c r="P727" s="100">
        <f>IF(OR(L727="",O727=""),"",IF($C727="1/2W",O727/2+O727/2*L727,IF($C727="1/2L",O727/2,IF(I727="Lay",(O727*(L727/(L727-1))-O727)*(1-_xlfn.XLOOKUP(K727,'Fevereiro 2023 - Valor Real'!A3:A15,'Fevereiro 2023 - Valor Real'!C3:C15,0))+O727,(O727*L727-O727)*(1-_xlfn.XLOOKUP(K727,'Fevereiro 2023 - Valor Real'!A3:A15,'Fevereiro 2023 - Valor Real'!C3:C15,0))+O727))))</f>
        <v>16.355999999999998</v>
      </c>
      <c r="Q727" s="101">
        <f>IF(K727="","",IF(_xlfn.XLOOKUP(K727,K$4:K726,$DJ$4:DJ726,0,,-1)=DJ727,_xlfn.XLOOKUP(K727,K$4:K726,Q$4:Q726,1,,-1)+1,1))</f>
        <v>3</v>
      </c>
      <c r="R727" s="102">
        <f>IF(K727="","",_xlfn.XLOOKUP(K727,K$4:K726,R$4:R726,0,,-1)+IF($C727=" ",1,0))</f>
        <v>0</v>
      </c>
      <c r="S727" s="474">
        <f>IF($B727="Anulado",0,ROUND(IF(OR($B727="LOSS",$B727="OK"),IF(OR($C727="W",$C727="1/2W",$C727="1/2L"),P727-O727,IF($C727="L",-O727,0))+IF(OR($C728="W",$C728="1/2W",$C728="1/2L"),P728-O728,IF($C728="L",-O728,0))+IF(OR($C729="W",$C729="1/2W",$C729="1/2L"),P729-O729,IF($C729="L",-O729,0)),IF(AND(OR($C727="W",$C727="1/2W",$C727="1/2L"),C728="W"),P727+P728-SUM(O727:O729)+_xlfn.XLOOKUP("X",C727:C729,O727:O729,0),IF(AND(C727=TRUE,C729="W"),P727+P729-SUM(O727:O729),IF(AND(C728="W",C729="W"),P728+P729-SUM(O727:O729)+_xlfn.XLOOKUP("X",C727:C729,O727:O729,0),IF(L729&gt;0,IF(OR($C727="W",$C727="1/2W",$C727="1/2L"),P727-SUM(O727:O729)+_xlfn.XLOOKUP("X",C727:C729,O727:O729,0),IF(OR($C727="W",$C727="1/2W",$C727="1/2L"),P728-SUM(O727:O729)+_xlfn.XLOOKUP("X",C727:C729,O727:O729,0),IF(OR($C727="W",$C727="1/2W",$C727="1/2L"),P729-SUM(O727:O729)+_xlfn.XLOOKUP("X",C727:C729,O727:O729,0),IF(SUM(P727:P729)/3-SUM(O727:O729)+_xlfn.XLOOKUP("X",C727:C729,O727:O729,0)&gt;0,SUM(P727:P729)/3-SUM(O727:O729)+_xlfn.XLOOKUP("X",C727:C729,O727:O729,0),LARGE(P727:P729,1)-SUM(O727:O729))))),IF(OR($C727="W",$C727="1/2W",$C727="1/2L"),P727-SUM(O727:O728)+_xlfn.XLOOKUP("X",C727:C729,O727:O729,0),IF(OR($C727="W",$C727="1/2W",$C727="1/2L"),P728-SUM(O727:O728)+_xlfn.XLOOKUP("X",C727:C729,O727:O729,0),SUM(P727:P728)/2-SUM(O727:O728)+_xlfn.XLOOKUP("X",C727:C729,O727:O729,0)))))))),2))</f>
        <v>1.48</v>
      </c>
      <c r="T727" s="458">
        <f>IF(S727=0,0,S727/SUM(O727:O729))</f>
        <v>9.9395567494963061E-2</v>
      </c>
      <c r="U727" s="470">
        <f>IF($D727=$D724,IF(OR($B727="LOSS",$B727="OK",$B727="Anulada"),S727,0)+U724,IF(OR($B727="LOSS",$B727="OK",$B727="Anulada"),S727,0))</f>
        <v>17.47</v>
      </c>
      <c r="V727" s="470">
        <f>IF($D727="",0,IF($D727=$D724,IF($B727=" ",IF(I729="",IF(OR(AND(I727="DNB1",I728="DNB2"),AND(OR(I727="DNB1",I727="DNB2"),J728=0),AND(OR(I728="DNB1",I728="DNB2"),J727=0),AND(I727="DNB2",I728="DNB1"),AND(IF(J727=0,(J727+1)/ROUND(J727+1,0),J727/ROUND(J727,0))=1,IF(J728=0,(J728+1)/ROUND(IF(J728="",0,J728)+1,0),IF(J728="",0,J728)/ROUND(IF(J728="",1,J728),0))=1,OR(J727&lt;&gt;""),J728&lt;&gt;"")),0,IF(S727&lt;0,IF(I729="",SMALL(P727:P728,1)-SUM(O727:O728),0),SMALL(P727:P728,1)-SUM(O727:O728))),IF(S727&lt;0,IF(I729="",SMALL(P727:P729,1)-SUM(O727:O729),0),LARGE(P727:P729,1)-SUM(O727:O729))),S727)+V724,IF(I729="",IF(OR(AND(I727="DNB1",I728="DNB2"),AND(OR(I727="DNB1",I727="DNB2"),J728=0),AND(OR(I728="DNB1",I728="DNB2"),J727=0),AND(I727="DNB2",I728="DNB1"),AND(IF(J727=0,(J727+1)/ROUND(J727+1,0),J727/ROUND(J727,0))=1,IF(J728=0,(IF(J728="",0,J728)+1)/ROUND(IF(J728="",0,J728)+1,0),IF(J728="",0,J728)/ROUND(IF(J728="",0,J728)+1,0))=1,OR(J727&lt;&gt;""),J728&lt;&gt;"")),0,IF(S727&lt;0,IF(I729="",SMALL(P727:P728,1)-SUM(O727:O728),0),SMALL(P727:P729,1)-SUM(O727:O729))),IF(S727&lt;0,IF(I729="",SMALL(P727:P729,1)-SUM(O727:O729),0),LARGE(P727:P729,1)-SUM(O727:O729)))))</f>
        <v>17.470000000000002</v>
      </c>
      <c r="W727" s="470">
        <f>IF($D727=$D724,IF(S727&lt;0,IF(I729="",S727,0),S727)+W724,S727)</f>
        <v>17.47</v>
      </c>
      <c r="X727" s="480" t="str">
        <f>IF(OR(SUM(R727:R729)=0,V727=W727),ROUND(IF(W727=0,0,W727/Y727)*100,2)&amp;"%",ROUND(IF(V727=0,0,V727/Y727)*100,2)&amp;"% a "&amp;ROUND(IF(W727=0,0,W727/Y727)*100,2)&amp;"%")</f>
        <v>11,74%</v>
      </c>
      <c r="Y727" s="471">
        <f>IF($D727=$D724,Y724+SUM(O727:O729),SUM(O727:O729))</f>
        <v>148.82999999999998</v>
      </c>
      <c r="Z727" s="470">
        <f>IF($B727=" ",SUM(O727:O729),0)+Z724</f>
        <v>0</v>
      </c>
      <c r="AA727" s="470">
        <f>IF(G727="","",IF($B727="Anulado",LARGE(P727:P729,1)-SUM(O727:O729)+AA724,AA724))</f>
        <v>13.381099999999991</v>
      </c>
      <c r="AB727" s="470">
        <f>IF($D727="","",AB724+S727)</f>
        <v>823.83000000000072</v>
      </c>
      <c r="AC727" s="472">
        <f ca="1">IF($D727="","",IF($B727=" ",IF(DAY(G727)=DAY(TODAY()),1+AC724,0+AC724),0+AC724))</f>
        <v>0</v>
      </c>
      <c r="AD727" s="103">
        <f>(((L728/(L728-1)-1)*(1-_xlfn.XLOOKUP(K728,'Fevereiro 2023 - Valor Real'!A3:A15,'Fevereiro 2023 - Valor Real'!C3:C15,0))+1))/(((L727-1)*(1-_xlfn.XLOOKUP(K727,'Fevereiro 2023 - Valor Real'!A3:A15,'Fevereiro 2023 - Valor Real'!C3:C15,0))+1)+((L728/(L728-1)-1)*(1-_xlfn.XLOOKUP(K728,'Fevereiro 2023 - Valor Real'!A3:A15,'Fevereiro 2023 - Valor Real'!C3:C15,0))+1))</f>
        <v>0.44216837371971024</v>
      </c>
      <c r="AE727" s="104">
        <f>IF(L727="","",IF(L729&gt;0,(SUM(((L727-1)*(1-_xlfn.XLOOKUP(K727,'Fevereiro 2023 - Valor Real'!A3:A15,'Fevereiro 2023 - Valor Real'!C3:C15,0))+1),((L728-1)*(1-_xlfn.XLOOKUP(K728,'Fevereiro 2023 - Valor Real'!A3:A15,'Fevereiro 2023 - Valor Real'!C3:C15,0))+1),((L729-1)*(1-_xlfn.XLOOKUP(K729,'Fevereiro 2023 - Valor Real'!A3:A15,'Fevereiro 2023 - Valor Real'!C3:C15,0))+1))/((L727-1)*(1-_xlfn.XLOOKUP(K727,'Fevereiro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Real'!C3:C15,0))+1))/((L727-1)*(1-_xlfn.XLOOKUP(K727,'Fevereiro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Real'!C3:C15,0))+1))/((L728-1)*(1-_xlfn.XLOOKUP(K728,'Fevereiro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Real'!C3:C15,0))+1))/((L729-1)*(1-_xlfn.XLOOKUP(K729,'Fevereiro 2023 - Valor Real'!A3:A15,'Fevereiro 2023 - Valor Real'!C3:C15,0))+1)),IF(I727="Lay",IF(I728="Lay",((L728/(L728-1)-1)*(1-_xlfn.XLOOKUP(K728,'Fevereiro 2023 - Valor Real'!A3:A15,'Fevereiro 2023 - Valor Real'!C3:C15,0))+1)/(((L728/(L728-1)-1)*(1-_xlfn.XLOOKUP(K728,'Fevereiro 2023 - Valor Real'!A3:A15,'Fevereiro 2023 - Valor Real'!C3:C15,0))+1)+((L727/(L727-1)-1)*(1-_xlfn.XLOOKUP(K727,'Fevereiro 2023 - Valor Real'!A3:A15,'Fevereiro 2023 - Valor Real'!C3:C15,0))+1)),((L728-1)*(1-_xlfn.XLOOKUP(K728,'Fevereiro 2023 - Valor Real'!A3:A15,'Fevereiro 2023 - Valor Real'!C3:C15,0))+1)/(((L728-1)*(1-_xlfn.XLOOKUP(K728,'Fevereiro 2023 - Valor Real'!A3:A15,'Fevereiro 2023 - Valor Real'!C3:C15,0))+1)+((L727/(L727-1)-1)*(1-_xlfn.XLOOKUP(K727,'Fevereiro 2023 - Valor Real'!A3:A15,'Fevereiro 2023 - Valor Real'!C3:C15,0))+1))),IF(I728="Lay",(((L728/(L728-1)-1)*(1-_xlfn.XLOOKUP(K728,'Fevereiro 2023 - Valor Real'!A3:A15,'Fevereiro 2023 - Valor Real'!C3:C15,0))+1))/(((L727-1)*(1-_xlfn.XLOOKUP(K727,'Fevereiro 2023 - Valor Real'!A3:A15,'Fevereiro 2023 - Valor Real'!C3:C15,0))+1)+((L728/(L728-1)-1)*(1-_xlfn.XLOOKUP(K728,'Fevereiro 2023 - Valor Real'!A3:A15,'Fevereiro 2023 - Valor Real'!C3:C15,0))+1)),((L728-1)*(1-_xlfn.XLOOKUP(K728,'Fevereiro 2023 - Valor Real'!A3:A15,'Fevereiro 2023 - Valor Real'!C3:C15,0))+1)/(((L728-1)*(1-_xlfn.XLOOKUP(K728,'Fevereiro 2023 - Valor Real'!A3:A15,'Fevereiro 2023 - Valor Real'!C3:C15,0))+1)+((L727-1)*(1-_xlfn.XLOOKUP(K727,'Fevereiro 2023 - Valor Real'!A3:A15,'Fevereiro 2023 - Valor Real'!C3:C15,0))+1))))))</f>
        <v>0.37901498929336191</v>
      </c>
      <c r="AF727" s="105">
        <f t="shared" si="1464"/>
        <v>0</v>
      </c>
      <c r="AG727" s="106">
        <f t="shared" si="1464"/>
        <v>0</v>
      </c>
      <c r="AH727" s="106">
        <f t="shared" si="1464"/>
        <v>0</v>
      </c>
      <c r="AI727" s="106">
        <f t="shared" si="1464"/>
        <v>-5.64</v>
      </c>
      <c r="AJ727" s="106">
        <f t="shared" si="1464"/>
        <v>0</v>
      </c>
      <c r="AK727" s="106">
        <f t="shared" si="1464"/>
        <v>0</v>
      </c>
      <c r="AL727" s="106">
        <f t="shared" si="1464"/>
        <v>0</v>
      </c>
      <c r="AM727" s="106">
        <f t="shared" si="1464"/>
        <v>0</v>
      </c>
      <c r="AN727" s="106">
        <f t="shared" si="1464"/>
        <v>0</v>
      </c>
      <c r="AO727" s="106">
        <f t="shared" si="1464"/>
        <v>0</v>
      </c>
      <c r="AP727" s="106">
        <f t="shared" si="1464"/>
        <v>0</v>
      </c>
      <c r="AQ727" s="106">
        <f t="shared" si="1464"/>
        <v>0</v>
      </c>
      <c r="AR727" s="107">
        <f t="shared" si="1464"/>
        <v>0</v>
      </c>
      <c r="AS727" s="105">
        <f t="shared" ref="AS727:BE727" si="1470">IF(AND($B727=" ",$K727=AS$3),$O727,0)</f>
        <v>0</v>
      </c>
      <c r="AT727" s="106">
        <f t="shared" si="1470"/>
        <v>0</v>
      </c>
      <c r="AU727" s="106">
        <f t="shared" si="1470"/>
        <v>0</v>
      </c>
      <c r="AV727" s="106">
        <f t="shared" si="1470"/>
        <v>0</v>
      </c>
      <c r="AW727" s="106">
        <f t="shared" si="1470"/>
        <v>0</v>
      </c>
      <c r="AX727" s="106">
        <f t="shared" si="1470"/>
        <v>0</v>
      </c>
      <c r="AY727" s="108">
        <f t="shared" si="1470"/>
        <v>0</v>
      </c>
      <c r="AZ727" s="109">
        <f t="shared" si="1470"/>
        <v>0</v>
      </c>
      <c r="BA727" s="109">
        <f t="shared" si="1470"/>
        <v>0</v>
      </c>
      <c r="BB727" s="109">
        <f t="shared" si="1470"/>
        <v>0</v>
      </c>
      <c r="BC727" s="110">
        <f t="shared" si="1470"/>
        <v>0</v>
      </c>
      <c r="BD727" s="106">
        <f t="shared" si="1470"/>
        <v>0</v>
      </c>
      <c r="BE727" s="107">
        <f t="shared" si="1470"/>
        <v>0</v>
      </c>
      <c r="BF727" s="111">
        <f t="shared" si="1466"/>
        <v>0</v>
      </c>
      <c r="BG727" s="106">
        <f t="shared" si="1466"/>
        <v>0</v>
      </c>
      <c r="BH727" s="106">
        <f t="shared" si="1466"/>
        <v>0</v>
      </c>
      <c r="BI727" s="106">
        <f t="shared" si="1466"/>
        <v>5.64</v>
      </c>
      <c r="BJ727" s="106">
        <f t="shared" si="1466"/>
        <v>0</v>
      </c>
      <c r="BK727" s="106">
        <f t="shared" si="1466"/>
        <v>0</v>
      </c>
      <c r="BL727" s="106">
        <f t="shared" si="1466"/>
        <v>0</v>
      </c>
      <c r="BM727" s="108">
        <f t="shared" si="1466"/>
        <v>0</v>
      </c>
      <c r="BN727" s="109">
        <f t="shared" si="1466"/>
        <v>0</v>
      </c>
      <c r="BO727" s="109">
        <f t="shared" si="1466"/>
        <v>0</v>
      </c>
      <c r="BP727" s="109">
        <f t="shared" si="1466"/>
        <v>0</v>
      </c>
      <c r="BQ727" s="110">
        <f t="shared" si="1466"/>
        <v>0</v>
      </c>
      <c r="BR727" s="107">
        <f t="shared" si="1466"/>
        <v>0</v>
      </c>
      <c r="BS727" s="463">
        <f>IF($B727="LOSS",IF(AND($K727=BS$3,$C727="L"),-$O727,0)+IF(AND($K728=BS$3,$C728="L"),-$O728,0)+IF(AND($K729=BS$3,$C729="L"),-$O729,0),IF(OR(AND($K727=BS$3,OR($C727="W",$C727="1/2W")),AND($K728=BS$3,OR($C728="W",$C728="1/2W")),AND($K729=BS$3,OR($C729="W",$C729="1/2W"))),$S727,0))</f>
        <v>0</v>
      </c>
      <c r="BT727" s="462">
        <f>IF($B727="LOSS",IF(AND($K727=BT$3,$C727="L"),-$O727,0)+IF(AND($K728=BT$3,$C728="L"),-$O728,0)+IF(AND($K728=BT$3,$C729="L"),-$O729,0),IF(OR(AND($K728=BT$3,OR($C727="W",$C727="1/2W")),AND($K728=BT$3,OR($C728="W",$C728="1/2W")),AND($K728=BT$3,OR($C729="W",$C729="1/2W"))),$S727,0))</f>
        <v>0</v>
      </c>
      <c r="BU727" s="462">
        <f>IF($B727="LOSS",IF(AND($K727=BU$3,$C727="L"),-$O727,0)+IF(AND($K728=BU$3,$C728="L"),-$O728,0)+IF(AND($K728=BU$3,$C729="L"),-$O729,0),IF(OR(AND($K728=BU$3,OR($C727="W",$C727="1/2W")),AND($K728=BU$3,OR($C728="W",$C728="1/2W")),AND($K728=BU$3,OR($C729="W",$C729="1/2W"))),$S727,0))</f>
        <v>0</v>
      </c>
      <c r="BV727" s="462">
        <f t="shared" ref="BV727:CE727" si="1471">IF($B727="LOSS",IF(AND($K727=BV$3,$C727="L"),-$O727,0)+IF(AND($K728=BV$3,$C728="L"),-$O728,0)+IF(AND($K729=BV$3,$C729="L"),-$O729,0),IF(OR(AND($K727=BV$3,OR($C727="W",$C727="1/2W")),AND($K728=BV$3,OR($C728="W",$C728="1/2W")),AND($K729=BV$3,OR($C729="W",$C729="1/2W"))),$S727,0))</f>
        <v>0</v>
      </c>
      <c r="BW727" s="462">
        <f t="shared" si="1471"/>
        <v>1.48</v>
      </c>
      <c r="BX727" s="462">
        <f t="shared" si="1471"/>
        <v>0</v>
      </c>
      <c r="BY727" s="462">
        <f t="shared" si="1471"/>
        <v>0</v>
      </c>
      <c r="BZ727" s="460">
        <f t="shared" si="1471"/>
        <v>0</v>
      </c>
      <c r="CA727" s="460">
        <f t="shared" si="1471"/>
        <v>0</v>
      </c>
      <c r="CB727" s="460">
        <f t="shared" si="1471"/>
        <v>0</v>
      </c>
      <c r="CC727" s="460">
        <f t="shared" si="1471"/>
        <v>0</v>
      </c>
      <c r="CD727" s="473">
        <f t="shared" si="1471"/>
        <v>0</v>
      </c>
      <c r="CE727" s="479">
        <f t="shared" si="1471"/>
        <v>0</v>
      </c>
      <c r="CF727" s="113">
        <f t="shared" si="1412"/>
        <v>0</v>
      </c>
      <c r="CG727" s="114">
        <f t="shared" si="1413"/>
        <v>0</v>
      </c>
      <c r="CH727" s="114">
        <f t="shared" si="1414"/>
        <v>0</v>
      </c>
      <c r="CI727" s="114">
        <f t="shared" si="1415"/>
        <v>0</v>
      </c>
      <c r="CJ727" s="114">
        <f t="shared" si="1416"/>
        <v>0</v>
      </c>
      <c r="CK727" s="114">
        <f t="shared" si="1417"/>
        <v>0</v>
      </c>
      <c r="CL727" s="114">
        <f t="shared" si="1418"/>
        <v>0</v>
      </c>
      <c r="CM727" s="114">
        <f t="shared" si="1419"/>
        <v>1</v>
      </c>
      <c r="CN727" s="114">
        <f t="shared" si="1420"/>
        <v>0</v>
      </c>
      <c r="CO727" s="114">
        <f t="shared" si="1421"/>
        <v>0</v>
      </c>
      <c r="CP727" s="114">
        <f t="shared" si="1422"/>
        <v>0</v>
      </c>
      <c r="CQ727" s="114">
        <f t="shared" si="1423"/>
        <v>0</v>
      </c>
      <c r="CR727" s="114">
        <f t="shared" si="1424"/>
        <v>0</v>
      </c>
      <c r="CS727" s="114">
        <f t="shared" si="1425"/>
        <v>0</v>
      </c>
      <c r="CT727" s="115">
        <f t="shared" si="1426"/>
        <v>0</v>
      </c>
      <c r="CU727" s="116">
        <f t="shared" si="1427"/>
        <v>0</v>
      </c>
      <c r="CV727" s="116">
        <f t="shared" si="1428"/>
        <v>0</v>
      </c>
      <c r="CW727" s="116">
        <f t="shared" si="1429"/>
        <v>0</v>
      </c>
      <c r="CX727" s="116">
        <f t="shared" si="1430"/>
        <v>0</v>
      </c>
      <c r="CY727" s="116">
        <f t="shared" si="1431"/>
        <v>0</v>
      </c>
      <c r="CZ727" s="116">
        <f t="shared" si="1432"/>
        <v>0</v>
      </c>
      <c r="DA727" s="116">
        <f t="shared" si="1433"/>
        <v>0</v>
      </c>
      <c r="DB727" s="116">
        <f t="shared" si="1434"/>
        <v>0</v>
      </c>
      <c r="DC727" s="116">
        <f t="shared" si="1435"/>
        <v>0</v>
      </c>
      <c r="DD727" s="116">
        <f t="shared" si="1436"/>
        <v>0</v>
      </c>
      <c r="DE727" s="117">
        <f t="shared" si="1437"/>
        <v>0</v>
      </c>
      <c r="DF727" s="118">
        <f t="shared" si="1440"/>
        <v>43</v>
      </c>
      <c r="DG727" s="106">
        <f t="shared" si="1441"/>
        <v>57.167999999999992</v>
      </c>
      <c r="DH727" s="116">
        <f t="shared" si="1442"/>
        <v>16</v>
      </c>
      <c r="DI727" s="106">
        <f t="shared" si="1443"/>
        <v>68.699999999999989</v>
      </c>
      <c r="DJ727" s="201" t="str">
        <f>IF($D727="","",$D727)</f>
        <v>23</v>
      </c>
      <c r="DK727" s="465">
        <f>IF(AND($B727=" ",$D727&lt;&gt;""),1,0)</f>
        <v>0</v>
      </c>
    </row>
    <row r="728" spans="1:115" ht="14.5" customHeight="1" x14ac:dyDescent="0.2">
      <c r="A728" s="389"/>
      <c r="B728" s="456"/>
      <c r="C728" s="120" t="s">
        <v>54</v>
      </c>
      <c r="D728" s="374"/>
      <c r="E728" s="386"/>
      <c r="F728" s="377"/>
      <c r="G728" s="483"/>
      <c r="H728" s="476"/>
      <c r="I728" s="121" t="s">
        <v>52</v>
      </c>
      <c r="J728" s="122">
        <f>IF(OR(I727="TO",I727="TU",I727="TO1",I727="TU1",I727="TO2",I727="TU2"),J727,IF(OR(I727="AH1",I727="AH2"),IF(OR(I728="AH1",I728="AH2"),-J727,IF(OR(I728="EH1",I728="EH2"),-J727+0.5,"")),IF(OR(I727="EH1",I727="EH2"),IF(OR(I728="AH1",I728="AH2"),-J727+0.5,IF(OR(I728="EH1",I728="EH2"),-J727+1,"")),IF(AND(OR(I727="DNB1",I727="DNB2"),OR(I728="AH1",I728="AH2")),0,IF(AND(I727="Not ScoreBoth",OR(I728="TO1",I728="TO2")),0.5,"")))))</f>
        <v>54.5</v>
      </c>
      <c r="K728" s="123" t="s">
        <v>40</v>
      </c>
      <c r="L728" s="124">
        <v>1.77</v>
      </c>
      <c r="M728" s="125">
        <v>9.25</v>
      </c>
      <c r="N728" s="406"/>
      <c r="O728" s="126">
        <f>IF(OR(AE727="",AE728=""),"",ROUND(IF(L729&gt;0,IF(M728&gt;0,M728,IF(M727&gt;0,IF(N727=TRUE,ROUND((M727*AE728)/AE727,0),(M727*AE728)/AE727),IF(M728&gt;0,ROUND(M728,IF(N727=0,2,IF(N727=0.1,1,0))),IF(M729&gt;0,ROUND(O729*AE728/AE729,IF(N727=0,2,IF(N727=0.1,1,0))),0)))),IF(M728&gt;0,M728,ROUND((M727*AE728)/AE727,IF(N727=0,2,IF(N727=0.1,1,0))))),2))</f>
        <v>9.25</v>
      </c>
      <c r="P728" s="127">
        <f>IF(OR(L728="",O728=""),"",IF($C728="1/2W",O728/2+O728/2*L728,IF($C728="1/2L",O728/2,IF(I728="Lay",((O728*(L728/(L728-1)))-O728)*(1-_xlfn.XLOOKUP(K728,'Fevereiro 2023 - Valor Real'!A3:A15,'Fevereiro 2023 - Valor Real'!C3:C15,0))+O728,(O728*L728-O728)*(1-_xlfn.XLOOKUP(K728,'Fevereiro 2023 - Valor Real'!A3:A15,'Fevereiro 2023 - Valor Real'!C3:C15,0))+O728))))</f>
        <v>16.372499999999999</v>
      </c>
      <c r="Q728" s="128">
        <f>IF(K728="","",IF(_xlfn.XLOOKUP(K728,K$4:K727,$DJ$4:DJ727,0,,-1)=DJ728,_xlfn.XLOOKUP(K728,K$4:K727,Q$4:Q727,1,,-1)+1,1))</f>
        <v>2</v>
      </c>
      <c r="R728" s="129">
        <f>IF(K728="","",_xlfn.XLOOKUP(K728,K$4:K727,R$4:R727,0,,-1)+IF($C728=" ",1,0))</f>
        <v>0</v>
      </c>
      <c r="S728" s="403"/>
      <c r="T728" s="380"/>
      <c r="U728" s="380"/>
      <c r="V728" s="481"/>
      <c r="W728" s="380"/>
      <c r="X728" s="452"/>
      <c r="Y728" s="383"/>
      <c r="Z728" s="384"/>
      <c r="AA728" s="384"/>
      <c r="AB728" s="384"/>
      <c r="AC728" s="384"/>
      <c r="AD728" s="130">
        <f>(((L728/(L728-1)-1)*(1-_xlfn.XLOOKUP(K728,'Fevereiro 2023 - Valor Real'!A3:A15,'Fevereiro 2023 - Valor Real'!C3:C15,0))+1))</f>
        <v>2.2987012987012987</v>
      </c>
      <c r="AE728" s="131">
        <f>IF(L728="","",IF(L729&gt;0,(SUM(((L727-1)*(1-_xlfn.XLOOKUP(K727,'Fevereiro 2023 - Valor Real'!A3:A15,'Fevereiro 2023 - Valor Real'!C3:C15,0))+1),((L728-1)*(1-_xlfn.XLOOKUP(K728,'Fevereiro 2023 - Valor Real'!A3:A15,'Fevereiro 2023 - Valor Real'!C3:C15,0))+1),((L729-1)*(1-_xlfn.XLOOKUP(K729,'Fevereiro 2023 - Valor Real'!A3:A15,'Fevereiro 2023 - Valor Real'!C3:C15,0))+1))/((L728-1)*(1-_xlfn.XLOOKUP(K728,'Fevereiro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Real'!C3:C15,0))+1))/((L727-1)*(1-_xlfn.XLOOKUP(K727,'Fevereiro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Real'!C3:C15,0))+1))/((L728-1)*(1-_xlfn.XLOOKUP(K728,'Fevereiro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Real'!C3:C15,0))+1))/((L729-1)*(1-_xlfn.XLOOKUP(K729,'Fevereiro 2023 - Valor Real'!A3:A15,'Fevereiro 2023 - Valor Real'!C3:C15,0))+1)),IF(I728="Lay",IF(I727="Lay",((L727/(L727-1)-1)*(1-_xlfn.XLOOKUP(K727,'Fevereiro 2023 - Valor Real'!A3:A15,'Fevereiro 2023 - Valor Real'!C3:C15,0))+1)/(((L727/(L727-1)-1)*(1-_xlfn.XLOOKUP(K727,'Fevereiro 2023 - Valor Real'!A3:A15,'Fevereiro 2023 - Valor Real'!C3:C15,0))+1)+((L728/(L728-1)-1)*(1-_xlfn.XLOOKUP(K728,'Fevereiro 2023 - Valor Real'!A3:A15,'Fevereiro 2023 - Valor Real'!C3:C15,0))+1)),((L727-1)*(1-_xlfn.XLOOKUP(K727,'Fevereiro 2023 - Valor Real'!A3:A15,'Fevereiro 2023 - Valor Real'!C3:C15,0))+1)/(((L727-1)*(1-_xlfn.XLOOKUP(K727,'Fevereiro 2023 - Valor Real'!A3:A15,'Fevereiro 2023 - Valor Real'!C3:C15,0))+1)+((L728/(L728-1)-1)*(1-_xlfn.XLOOKUP(K728,'Fevereiro 2023 - Valor Real'!A3:A15,'Fevereiro 2023 - Valor Real'!C3:C15,0))+1))),IF(I727="Lay",((L727/(L727-1)-1)*(1-_xlfn.XLOOKUP(K727,'Fevereiro 2023 - Valor Real'!A3:A15,'Fevereiro 2023 - Valor Real'!C3:C15,0))+1)/((((L727/(L727-1)-1)*(1-_xlfn.XLOOKUP(K727,'Fevereiro 2023 - Valor Real'!A3:A15,'Fevereiro 2023 - Valor Real'!C3:C15,0))+1))+((L728-1)*(1-_xlfn.XLOOKUP(K728,'Fevereiro 2023 - Valor Real'!A3:A15,'Fevereiro 2023 - Valor Real'!C3:C15,0))+1)),((L727-1)*(1-_xlfn.XLOOKUP(K727,'Fevereiro 2023 - Valor Real'!A3:A15,'Fevereiro 2023 - Valor Real'!C3:C15,0))+1)/(((L727-1)*(1-_xlfn.XLOOKUP(K727,'Fevereiro 2023 - Valor Real'!A3:A15,'Fevereiro 2023 - Valor Real'!C3:C15,0))+1)+((L728-1)*(1-_xlfn.XLOOKUP(K728,'Fevereiro 2023 - Valor Real'!A3:A15,'Fevereiro 2023 - Valor Real'!C3:C15,0))+1))))))</f>
        <v>0.62098501070663814</v>
      </c>
      <c r="AF728" s="105">
        <f t="shared" si="1464"/>
        <v>0</v>
      </c>
      <c r="AG728" s="106">
        <f t="shared" si="1464"/>
        <v>0</v>
      </c>
      <c r="AH728" s="106">
        <f t="shared" si="1464"/>
        <v>0</v>
      </c>
      <c r="AI728" s="106">
        <f t="shared" si="1464"/>
        <v>0</v>
      </c>
      <c r="AJ728" s="106">
        <f t="shared" si="1464"/>
        <v>7.12</v>
      </c>
      <c r="AK728" s="106">
        <f t="shared" si="1464"/>
        <v>0</v>
      </c>
      <c r="AL728" s="106">
        <f t="shared" si="1464"/>
        <v>0</v>
      </c>
      <c r="AM728" s="106">
        <f t="shared" si="1464"/>
        <v>0</v>
      </c>
      <c r="AN728" s="106">
        <f t="shared" si="1464"/>
        <v>0</v>
      </c>
      <c r="AO728" s="106">
        <f t="shared" si="1464"/>
        <v>0</v>
      </c>
      <c r="AP728" s="106">
        <f t="shared" si="1464"/>
        <v>0</v>
      </c>
      <c r="AQ728" s="106">
        <f t="shared" si="1464"/>
        <v>0</v>
      </c>
      <c r="AR728" s="107">
        <f t="shared" si="1464"/>
        <v>0</v>
      </c>
      <c r="AS728" s="105">
        <f>IF(AND($B727=" ",$K728=AS$3),$O728,0)</f>
        <v>0</v>
      </c>
      <c r="AT728" s="106">
        <f>IF(AND($B727=" ",K728=AT$3),$O728,0)</f>
        <v>0</v>
      </c>
      <c r="AU728" s="106">
        <f t="shared" ref="AU728:BE728" si="1472">IF(AND($B727=" ",$K728=AU$3),$O728,0)</f>
        <v>0</v>
      </c>
      <c r="AV728" s="106">
        <f t="shared" si="1472"/>
        <v>0</v>
      </c>
      <c r="AW728" s="106">
        <f t="shared" si="1472"/>
        <v>0</v>
      </c>
      <c r="AX728" s="106">
        <f t="shared" si="1472"/>
        <v>0</v>
      </c>
      <c r="AY728" s="108">
        <f t="shared" si="1472"/>
        <v>0</v>
      </c>
      <c r="AZ728" s="109">
        <f t="shared" si="1472"/>
        <v>0</v>
      </c>
      <c r="BA728" s="109">
        <f t="shared" si="1472"/>
        <v>0</v>
      </c>
      <c r="BB728" s="109">
        <f t="shared" si="1472"/>
        <v>0</v>
      </c>
      <c r="BC728" s="110">
        <f t="shared" si="1472"/>
        <v>0</v>
      </c>
      <c r="BD728" s="106">
        <f t="shared" si="1472"/>
        <v>0</v>
      </c>
      <c r="BE728" s="107">
        <f t="shared" si="1472"/>
        <v>0</v>
      </c>
      <c r="BF728" s="105">
        <f t="shared" si="1466"/>
        <v>0</v>
      </c>
      <c r="BG728" s="106">
        <f t="shared" si="1466"/>
        <v>0</v>
      </c>
      <c r="BH728" s="106">
        <f t="shared" si="1466"/>
        <v>0</v>
      </c>
      <c r="BI728" s="106">
        <f t="shared" si="1466"/>
        <v>0</v>
      </c>
      <c r="BJ728" s="106">
        <f t="shared" si="1466"/>
        <v>9.25</v>
      </c>
      <c r="BK728" s="106">
        <f t="shared" si="1466"/>
        <v>0</v>
      </c>
      <c r="BL728" s="106">
        <f t="shared" si="1466"/>
        <v>0</v>
      </c>
      <c r="BM728" s="132">
        <f t="shared" si="1466"/>
        <v>0</v>
      </c>
      <c r="BN728" s="112">
        <f t="shared" si="1466"/>
        <v>0</v>
      </c>
      <c r="BO728" s="112">
        <f t="shared" si="1466"/>
        <v>0</v>
      </c>
      <c r="BP728" s="112">
        <f t="shared" si="1466"/>
        <v>0</v>
      </c>
      <c r="BQ728" s="110">
        <f t="shared" si="1466"/>
        <v>0</v>
      </c>
      <c r="BR728" s="107">
        <f t="shared" si="1466"/>
        <v>0</v>
      </c>
      <c r="BS728" s="464"/>
      <c r="BT728" s="461"/>
      <c r="BU728" s="392"/>
      <c r="BV728" s="461"/>
      <c r="BW728" s="392"/>
      <c r="BX728" s="392"/>
      <c r="BY728" s="392"/>
      <c r="BZ728" s="461"/>
      <c r="CA728" s="392"/>
      <c r="CB728" s="392"/>
      <c r="CC728" s="392"/>
      <c r="CD728" s="401"/>
      <c r="CE728" s="409"/>
      <c r="CF728" s="133">
        <f t="shared" si="1412"/>
        <v>0</v>
      </c>
      <c r="CG728" s="134">
        <f t="shared" si="1413"/>
        <v>0</v>
      </c>
      <c r="CH728" s="134">
        <f t="shared" si="1414"/>
        <v>0</v>
      </c>
      <c r="CI728" s="134">
        <f t="shared" si="1415"/>
        <v>0</v>
      </c>
      <c r="CJ728" s="134">
        <f t="shared" si="1416"/>
        <v>0</v>
      </c>
      <c r="CK728" s="134">
        <f t="shared" si="1417"/>
        <v>0</v>
      </c>
      <c r="CL728" s="134">
        <f t="shared" si="1418"/>
        <v>0</v>
      </c>
      <c r="CM728" s="134">
        <f t="shared" si="1419"/>
        <v>0</v>
      </c>
      <c r="CN728" s="134">
        <f t="shared" si="1420"/>
        <v>1</v>
      </c>
      <c r="CO728" s="134">
        <f t="shared" si="1421"/>
        <v>0</v>
      </c>
      <c r="CP728" s="134">
        <f t="shared" si="1422"/>
        <v>0</v>
      </c>
      <c r="CQ728" s="134">
        <f t="shared" si="1423"/>
        <v>0</v>
      </c>
      <c r="CR728" s="134">
        <f t="shared" si="1424"/>
        <v>0</v>
      </c>
      <c r="CS728" s="134">
        <f t="shared" si="1425"/>
        <v>0</v>
      </c>
      <c r="CT728" s="115">
        <f t="shared" si="1426"/>
        <v>0</v>
      </c>
      <c r="CU728" s="116">
        <f t="shared" si="1427"/>
        <v>0</v>
      </c>
      <c r="CV728" s="116">
        <f t="shared" si="1428"/>
        <v>0</v>
      </c>
      <c r="CW728" s="116">
        <f t="shared" si="1429"/>
        <v>0</v>
      </c>
      <c r="CX728" s="116">
        <f t="shared" si="1430"/>
        <v>0</v>
      </c>
      <c r="CY728" s="116">
        <f t="shared" si="1431"/>
        <v>0</v>
      </c>
      <c r="CZ728" s="116">
        <f t="shared" si="1432"/>
        <v>0</v>
      </c>
      <c r="DA728" s="116">
        <f t="shared" si="1433"/>
        <v>0</v>
      </c>
      <c r="DB728" s="116">
        <f t="shared" si="1434"/>
        <v>0</v>
      </c>
      <c r="DC728" s="116">
        <f t="shared" si="1435"/>
        <v>0</v>
      </c>
      <c r="DD728" s="116">
        <f t="shared" si="1436"/>
        <v>0</v>
      </c>
      <c r="DE728" s="117">
        <f t="shared" si="1437"/>
        <v>0</v>
      </c>
      <c r="DF728" s="118">
        <f t="shared" si="1440"/>
        <v>43</v>
      </c>
      <c r="DG728" s="106">
        <f t="shared" si="1441"/>
        <v>57.167999999999992</v>
      </c>
      <c r="DH728" s="116">
        <f t="shared" si="1442"/>
        <v>16</v>
      </c>
      <c r="DI728" s="106">
        <f t="shared" si="1443"/>
        <v>68.699999999999989</v>
      </c>
      <c r="DJ728" s="201" t="str">
        <f>IF($D727="","",$D727)</f>
        <v>23</v>
      </c>
      <c r="DK728" s="466"/>
    </row>
    <row r="729" spans="1:115" ht="14.5" customHeight="1" x14ac:dyDescent="0.2">
      <c r="A729" s="390"/>
      <c r="B729" s="457"/>
      <c r="C729" s="135" t="s">
        <v>53</v>
      </c>
      <c r="D729" s="375"/>
      <c r="E729" s="387"/>
      <c r="F729" s="378"/>
      <c r="G729" s="484"/>
      <c r="H729" s="477"/>
      <c r="I729" s="136"/>
      <c r="J729" s="137"/>
      <c r="K729" s="138"/>
      <c r="L729" s="139"/>
      <c r="M729" s="140"/>
      <c r="N729" s="407"/>
      <c r="O729" s="141" t="str">
        <f>IF(OR(AE727="",AE728=""),"",IF(L729&gt;0,ROUND(IF(M729&gt;0,M729,IF(M727&gt;0,ROUND((M727*AE729)/AE727,IF(N727=0,2,IF(N727=0.1,1,0))),IF(M728&gt;0,ROUND((M728*AE729)/AE728,IF(N727=0,2,IF(N727=0.1,1,0))),IF(M729&gt;0,M729,0)))),2),""))</f>
        <v/>
      </c>
      <c r="P729" s="142" t="str">
        <f>IF(I728="Lay",O728*(L728/(L728-1))-O728,IF(I727="Lay",O727*(L727/(L727-1))-O727,IF(OR(L729="",O729=""),"",IF($C729="1/2W",O729/2+O729/2*L729,IF($C729="1/2L",O729/2,(O729*L729-O729)*(1-_xlfn.XLOOKUP(K729,'Fevereiro 2023 - Valor Real'!A3:A15,'Fevereiro 2023 - Valor Real'!C3:C15,0))+O729)))))</f>
        <v/>
      </c>
      <c r="Q729" s="143" t="str">
        <f>IF(K729="","",IF(_xlfn.XLOOKUP(K729,K$4:K728,$DJ$4:DJ728,0,,-1)=DJ729,_xlfn.XLOOKUP(K729,K$4:K728,Q$4:Q728,1,,-1)+1,1))</f>
        <v/>
      </c>
      <c r="R729" s="144" t="str">
        <f>IF(K729="","",_xlfn.XLOOKUP(K729,K$4:K728,R$4:R728,0,,-1)+IF($C729=" ",1,0))</f>
        <v/>
      </c>
      <c r="S729" s="404"/>
      <c r="T729" s="378"/>
      <c r="U729" s="378"/>
      <c r="V729" s="404"/>
      <c r="W729" s="378"/>
      <c r="X729" s="453"/>
      <c r="Y729" s="383"/>
      <c r="Z729" s="384"/>
      <c r="AA729" s="384"/>
      <c r="AB729" s="384"/>
      <c r="AC729" s="384"/>
      <c r="AD729" s="145">
        <f>((L728/(L728-1)-1))</f>
        <v>1.2987012987012987</v>
      </c>
      <c r="AE729" s="146" t="str">
        <f>IF(L729="","",(SUM(((L727-1)*(1-_xlfn.XLOOKUP(K727,'Fevereiro 2023 - Valor Real'!A3:A15,'Fevereiro 2023 - Valor Real'!C3:C15,0))+1),((L728-1)*(1-_xlfn.XLOOKUP(K728,'Fevereiro 2023 - Valor Real'!A3:A15,'Fevereiro 2023 - Valor Real'!C3:C15,0))+1),((L729-1)*(1-_xlfn.XLOOKUP(K729,'Fevereiro 2023 - Valor Real'!A3:A15,'Fevereiro 2023 - Valor Real'!C3:C15,0))+1))/((L729-1)*(1-_xlfn.XLOOKUP(K729,'Fevereiro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Real'!C3:C15,0))+1))/((L727-1)*(1-_xlfn.XLOOKUP(K727,'Fevereiro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Real'!C3:C15,0))+1))/((L728-1)*(1-_xlfn.XLOOKUP(K728,'Fevereiro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Real'!C3:C15,0))+1))/((L729-1)*(1-_xlfn.XLOOKUP(K729,'Fevereiro 2023 - Valor Real'!A3:A15,'Fevereiro 2023 - Valor Real'!C3:C15,0))+1)))</f>
        <v/>
      </c>
      <c r="AF729" s="105">
        <f t="shared" si="1464"/>
        <v>0</v>
      </c>
      <c r="AG729" s="106">
        <f t="shared" si="1464"/>
        <v>0</v>
      </c>
      <c r="AH729" s="106">
        <f t="shared" si="1464"/>
        <v>0</v>
      </c>
      <c r="AI729" s="106">
        <f t="shared" si="1464"/>
        <v>0</v>
      </c>
      <c r="AJ729" s="106">
        <f t="shared" si="1464"/>
        <v>0</v>
      </c>
      <c r="AK729" s="106">
        <f t="shared" si="1464"/>
        <v>0</v>
      </c>
      <c r="AL729" s="106">
        <f t="shared" si="1464"/>
        <v>0</v>
      </c>
      <c r="AM729" s="106">
        <f t="shared" si="1464"/>
        <v>0</v>
      </c>
      <c r="AN729" s="106">
        <f t="shared" si="1464"/>
        <v>0</v>
      </c>
      <c r="AO729" s="106">
        <f t="shared" si="1464"/>
        <v>0</v>
      </c>
      <c r="AP729" s="106">
        <f t="shared" si="1464"/>
        <v>0</v>
      </c>
      <c r="AQ729" s="106">
        <f t="shared" si="1464"/>
        <v>0</v>
      </c>
      <c r="AR729" s="107">
        <f t="shared" si="1464"/>
        <v>0</v>
      </c>
      <c r="AS729" s="105">
        <f>IF(AND($B727=" ",$K729=AS$3),$O729,0)</f>
        <v>0</v>
      </c>
      <c r="AT729" s="106">
        <f>IF(AND($B727=" ",K729=AT$3),$O729,0)</f>
        <v>0</v>
      </c>
      <c r="AU729" s="106">
        <f t="shared" ref="AU729:BE729" si="1473">IF(AND($B727=" ",$K729=AU$3),$O729,0)</f>
        <v>0</v>
      </c>
      <c r="AV729" s="106">
        <f t="shared" si="1473"/>
        <v>0</v>
      </c>
      <c r="AW729" s="106">
        <f t="shared" si="1473"/>
        <v>0</v>
      </c>
      <c r="AX729" s="106">
        <f t="shared" si="1473"/>
        <v>0</v>
      </c>
      <c r="AY729" s="108">
        <f t="shared" si="1473"/>
        <v>0</v>
      </c>
      <c r="AZ729" s="109">
        <f t="shared" si="1473"/>
        <v>0</v>
      </c>
      <c r="BA729" s="109">
        <f t="shared" si="1473"/>
        <v>0</v>
      </c>
      <c r="BB729" s="109">
        <f t="shared" si="1473"/>
        <v>0</v>
      </c>
      <c r="BC729" s="110">
        <f t="shared" si="1473"/>
        <v>0</v>
      </c>
      <c r="BD729" s="106">
        <f t="shared" si="1473"/>
        <v>0</v>
      </c>
      <c r="BE729" s="107">
        <f t="shared" si="1473"/>
        <v>0</v>
      </c>
      <c r="BF729" s="105">
        <f t="shared" si="1466"/>
        <v>0</v>
      </c>
      <c r="BG729" s="106">
        <f t="shared" si="1466"/>
        <v>0</v>
      </c>
      <c r="BH729" s="106">
        <f t="shared" si="1466"/>
        <v>0</v>
      </c>
      <c r="BI729" s="106">
        <f t="shared" si="1466"/>
        <v>0</v>
      </c>
      <c r="BJ729" s="106">
        <f t="shared" si="1466"/>
        <v>0</v>
      </c>
      <c r="BK729" s="106">
        <f t="shared" si="1466"/>
        <v>0</v>
      </c>
      <c r="BL729" s="106">
        <f t="shared" si="1466"/>
        <v>0</v>
      </c>
      <c r="BM729" s="108">
        <f t="shared" si="1466"/>
        <v>0</v>
      </c>
      <c r="BN729" s="109">
        <f t="shared" si="1466"/>
        <v>0</v>
      </c>
      <c r="BO729" s="109">
        <f t="shared" si="1466"/>
        <v>0</v>
      </c>
      <c r="BP729" s="109">
        <f t="shared" si="1466"/>
        <v>0</v>
      </c>
      <c r="BQ729" s="110">
        <f t="shared" si="1466"/>
        <v>0</v>
      </c>
      <c r="BR729" s="107">
        <f t="shared" si="1466"/>
        <v>0</v>
      </c>
      <c r="BS729" s="464"/>
      <c r="BT729" s="461"/>
      <c r="BU729" s="392"/>
      <c r="BV729" s="461"/>
      <c r="BW729" s="392"/>
      <c r="BX729" s="392"/>
      <c r="BY729" s="392"/>
      <c r="BZ729" s="461"/>
      <c r="CA729" s="392"/>
      <c r="CB729" s="392"/>
      <c r="CC729" s="392"/>
      <c r="CD729" s="401"/>
      <c r="CE729" s="409"/>
      <c r="CF729" s="133">
        <f t="shared" si="1412"/>
        <v>0</v>
      </c>
      <c r="CG729" s="134">
        <f t="shared" si="1413"/>
        <v>0</v>
      </c>
      <c r="CH729" s="134">
        <f t="shared" si="1414"/>
        <v>0</v>
      </c>
      <c r="CI729" s="134">
        <f t="shared" si="1415"/>
        <v>0</v>
      </c>
      <c r="CJ729" s="134">
        <f t="shared" si="1416"/>
        <v>0</v>
      </c>
      <c r="CK729" s="134">
        <f t="shared" si="1417"/>
        <v>0</v>
      </c>
      <c r="CL729" s="134">
        <f t="shared" si="1418"/>
        <v>0</v>
      </c>
      <c r="CM729" s="134">
        <f t="shared" si="1419"/>
        <v>0</v>
      </c>
      <c r="CN729" s="134">
        <f t="shared" si="1420"/>
        <v>0</v>
      </c>
      <c r="CO729" s="134">
        <f t="shared" si="1421"/>
        <v>0</v>
      </c>
      <c r="CP729" s="134">
        <f t="shared" si="1422"/>
        <v>0</v>
      </c>
      <c r="CQ729" s="134">
        <f t="shared" si="1423"/>
        <v>0</v>
      </c>
      <c r="CR729" s="134">
        <f t="shared" si="1424"/>
        <v>0</v>
      </c>
      <c r="CS729" s="134">
        <f t="shared" si="1425"/>
        <v>0</v>
      </c>
      <c r="CT729" s="115">
        <f t="shared" si="1426"/>
        <v>0</v>
      </c>
      <c r="CU729" s="116">
        <f t="shared" si="1427"/>
        <v>0</v>
      </c>
      <c r="CV729" s="116">
        <f t="shared" si="1428"/>
        <v>0</v>
      </c>
      <c r="CW729" s="116">
        <f t="shared" si="1429"/>
        <v>0</v>
      </c>
      <c r="CX729" s="116">
        <f t="shared" si="1430"/>
        <v>0</v>
      </c>
      <c r="CY729" s="116">
        <f t="shared" si="1431"/>
        <v>0</v>
      </c>
      <c r="CZ729" s="116">
        <f t="shared" si="1432"/>
        <v>0</v>
      </c>
      <c r="DA729" s="116">
        <f t="shared" si="1433"/>
        <v>0</v>
      </c>
      <c r="DB729" s="116">
        <f t="shared" si="1434"/>
        <v>0</v>
      </c>
      <c r="DC729" s="116">
        <f t="shared" si="1435"/>
        <v>0</v>
      </c>
      <c r="DD729" s="116">
        <f t="shared" si="1436"/>
        <v>0</v>
      </c>
      <c r="DE729" s="117">
        <f t="shared" si="1437"/>
        <v>0</v>
      </c>
      <c r="DF729" s="118">
        <f t="shared" si="1440"/>
        <v>43</v>
      </c>
      <c r="DG729" s="106">
        <f t="shared" si="1441"/>
        <v>57.167999999999992</v>
      </c>
      <c r="DH729" s="116">
        <f t="shared" si="1442"/>
        <v>16</v>
      </c>
      <c r="DI729" s="106">
        <f t="shared" si="1443"/>
        <v>68.699999999999989</v>
      </c>
      <c r="DJ729" s="201" t="str">
        <f>IF($D727="","",$D727)</f>
        <v>23</v>
      </c>
      <c r="DK729" s="466"/>
    </row>
    <row r="730" spans="1:115" ht="14.5" customHeight="1" x14ac:dyDescent="0.2">
      <c r="A730" s="487">
        <f>$A727+1</f>
        <v>243</v>
      </c>
      <c r="B730" s="506" t="str">
        <f>IF(OR(C730="W",C731="W",C732="W",C730="1/2W",C731="1/2W",C732="1/2W",C730="1/2L",C731="1/2L",C732="1/2L"),"OK",IF(OR(C730="L",C731="L",C732="L"),"LOSS",IF(OR(C730="X",C731="X",C732="X"),"Anulado"," ")))</f>
        <v>OK</v>
      </c>
      <c r="C730" s="147" t="s">
        <v>55</v>
      </c>
      <c r="D730" s="494" t="str">
        <f>IF(G730="","",$D727)</f>
        <v>23</v>
      </c>
      <c r="E730" s="511" t="str">
        <f>IF(G730=""," ","– "&amp;COUNTIF(D$4:D732,$D730))</f>
        <v>– 9</v>
      </c>
      <c r="F730" s="510" t="str">
        <f ca="1">IF(G730="","",IF(OR(AND($C730&lt;&gt;" ",$C731=" "),AND($C731&lt;&gt;" ",$C730=" "),AND(L732&gt;0,OR(AND($C732&lt;&gt;" ",OR($C730=" ",$C731=" ")),AND($C732=" ",OR($C730&lt;&gt;" ",$C731&lt;&gt;" "))))),IF(SUM(F$4:F729)=0,1,LARGE(F$4:F729,1)+1),IF(MONTH(G730)=MONTH(TODAY()),IF(AND(DAY(G730)&lt;DAY(TODAY()),$B730=" "),IF(SUM(F$4:F729)=0,1,LARGE(F$4:F729,1)+1),IF($B730=" ",IF(AND(DAY(G730)=DAY(TODAY()),HOUR(G730)&lt;=HOUR(NOW())+1),IF(AND(HOUR(G730)+2&lt;=HOUR(NOW()),DAY(G730)&lt;=DAY(TODAY()),MINUTE(G730)&lt;=MINUTE(NOW())),IF(SUM(F$4:F729)=0,1,LARGE(F$4:F729,1)+1),IF(OR(MINUTE(G730)&lt;=MINUTE(NOW()),HOUR(G730)&lt;=HOUR(NOW())),"!!!","")),""),"")),"")))</f>
        <v/>
      </c>
      <c r="G730" s="508">
        <f>IF(H730="","",_xlfn.XLOOKUP(H730,$H$4:H729,$G$4:G729,""))</f>
        <v>45008.833333333336</v>
      </c>
      <c r="H730" s="502" t="s">
        <v>258</v>
      </c>
      <c r="I730" s="180" t="s">
        <v>51</v>
      </c>
      <c r="J730" s="181">
        <v>52.5</v>
      </c>
      <c r="K730" s="150" t="s">
        <v>39</v>
      </c>
      <c r="L730" s="151">
        <v>2.5</v>
      </c>
      <c r="M730" s="152">
        <v>5.64</v>
      </c>
      <c r="N730" s="503">
        <v>0.1</v>
      </c>
      <c r="O730" s="153">
        <f>IF(OR(AE730="",AE731=""),"",ROUND(IF(L732&gt;0,IF(M730&gt;0,M730,IF(M731&gt;0,ROUND((M731*AE730)/AE731,IF(N730=0,2,IF(N730=0.1,1,0))),ROUND((M732*AE730)/AE732,IF(N730=0,2,IF(N730=0.1,1,0))))),IF(M730&gt;0,M730,ROUND((M731*AE730)/AE731,IF(N730=0,2,IF(N730=0.1,1,0))))),2))</f>
        <v>5.64</v>
      </c>
      <c r="P730" s="154">
        <f>IF(OR(L730="",O730=""),"",IF($C730="1/2W",O730/2+O730/2*L730,IF($C730="1/2L",O730/2,IF(I730="Lay",(O730*(L730/(L730-1))-O730)*(1-_xlfn.XLOOKUP(K730,'Fevereiro 2023 - Valor Real'!A3:A15,'Fevereiro 2023 - Valor Real'!C3:C15,0))+O730,(O730*L730-O730)*(1-_xlfn.XLOOKUP(K730,'Fevereiro 2023 - Valor Real'!A3:A15,'Fevereiro 2023 - Valor Real'!C3:C15,0))+O730))))</f>
        <v>14.100000000000001</v>
      </c>
      <c r="Q730" s="155">
        <f>IF(K730="","",IF(_xlfn.XLOOKUP(K730,K$9:K722,$DJ$9:DJ722,0,,-1)=DJ730,_xlfn.XLOOKUP(K730,K$9:K722,Q$9:Q722,1,,-1)+1,1))</f>
        <v>3</v>
      </c>
      <c r="R730" s="156">
        <f>IF(K730="","",_xlfn.XLOOKUP(K730,K$9:K722,R$9:R722,0,,-1)+IF($C730=" ",1,0))</f>
        <v>0</v>
      </c>
      <c r="S730" s="501">
        <f>IF($B730="Anulado",0,ROUND(IF(OR($B730="LOSS",$B730="OK"),IF(OR($C730="W",$C730="1/2W",$C730="1/2L"),P730-O730,IF($C730="L",-O730,0))+IF(OR($C731="W",$C731="1/2W",$C731="1/2L"),P731-O731,IF($C731="L",-O731,0))+IF(OR($C732="W",$C732="1/2W",$C732="1/2L"),P732-O732,IF($C732="L",-O732,0)),IF(AND(OR($C730="W",$C730="1/2W",$C730="1/2L"),C731="W"),P730+P731-SUM(O730:O732)+_xlfn.XLOOKUP("X",C730:C732,O730:O732,0),IF(AND(C730=TRUE,C732="W"),P730+P732-SUM(O730:O732),IF(AND(C731="W",C732="W"),P731+P732-SUM(O730:O732)+_xlfn.XLOOKUP("X",C730:C732,O730:O732,0),IF(L732&gt;0,IF(OR($C730="W",$C730="1/2W",$C730="1/2L"),P730-SUM(O730:O732)+_xlfn.XLOOKUP("X",C730:C732,O730:O732,0),IF(OR($C730="W",$C730="1/2W",$C730="1/2L"),P731-SUM(O730:O732)+_xlfn.XLOOKUP("X",C730:C732,O730:O732,0),IF(OR($C730="W",$C730="1/2W",$C730="1/2L"),P732-SUM(O730:O732)+_xlfn.XLOOKUP("X",C730:C732,O730:O732,0),IF(SUM(P730:P732)/3-SUM(O730:O732)+_xlfn.XLOOKUP("X",C730:C732,O730:O732,0)&gt;0,SUM(P730:P732)/3-SUM(O730:O732)+_xlfn.XLOOKUP("X",C730:C732,O730:O732,0),LARGE(P730:P732,1)-SUM(O730:O732))))),IF(OR($C730="W",$C730="1/2W",$C730="1/2L"),P730-SUM(O730:O731)+_xlfn.XLOOKUP("X",C730:C732,O730:O732,0),IF(OR($C730="W",$C730="1/2W",$C730="1/2L"),P731-SUM(O730:O731)+_xlfn.XLOOKUP("X",C730:C732,O730:O732,0),SUM(P730:P731)/2-SUM(O730:O731)+_xlfn.XLOOKUP("X",C730:C732,O730:O732,0)))))))),2))</f>
        <v>1.22</v>
      </c>
      <c r="T730" s="486">
        <f>IF(S730=0,0,S730/SUM(O730:O732))</f>
        <v>9.428129829984544E-2</v>
      </c>
      <c r="U730" s="496">
        <f>IF($D730=$D727,IF(OR($B730="LOSS",$B730="OK",$B730="Anulada"),S730,0)+U727,IF(OR($B730="LOSS",$B730="OK",$B730="Anulada"),S730,0))</f>
        <v>18.689999999999998</v>
      </c>
      <c r="V730" s="496">
        <f>IF($D730="",0,IF($D730=$D727,IF($B730=" ",IF(I732="",IF(OR(AND(I730="DNB1",I731="DNB2"),AND(OR(I730="DNB1",I730="DNB2"),J731=0),AND(OR(I731="DNB1",I731="DNB2"),J730=0),AND(I730="DNB2",I731="DNB1"),AND(IF(J730=0,(J730+1)/ROUND(J730+1,0),J730/ROUND(J730,0))=1,IF(J731=0,(J731+1)/ROUND(IF(J731="",0,J731)+1,0),IF(J731="",0,J731)/ROUND(IF(J731="",1,J731),0))=1,OR(J730&lt;&gt;""),J731&lt;&gt;"")),0,IF(S730&lt;0,IF(I732="",SMALL(P730:P731,1)-SUM(O730:O731),0),SMALL(P730:P731,1)-SUM(O730:O731))),IF(S730&lt;0,IF(I732="",SMALL(P730:P732,1)-SUM(O730:O732),0),LARGE(P730:P732,1)-SUM(O730:O732))),S730)+V727,IF(I732="",IF(OR(AND(I730="DNB1",I731="DNB2"),AND(OR(I730="DNB1",I730="DNB2"),J731=0),AND(OR(I731="DNB1",I731="DNB2"),J730=0),AND(I730="DNB2",I731="DNB1"),AND(IF(J730=0,(J730+1)/ROUND(J730+1,0),J730/ROUND(J730,0))=1,IF(J731=0,(IF(J731="",0,J731)+1)/ROUND(IF(J731="",0,J731)+1,0),IF(J731="",0,J731)/ROUND(IF(J731="",0,J731)+1,0))=1,OR(J730&lt;&gt;""),J731&lt;&gt;"")),0,IF(S730&lt;0,IF(I732="",SMALL(P730:P731,1)-SUM(O730:O731),0),SMALL(P730:P732,1)-SUM(O730:O732))),IF(S730&lt;0,IF(I732="",SMALL(P730:P732,1)-SUM(O730:O732),0),LARGE(P730:P732,1)-SUM(O730:O732)))))</f>
        <v>18.690000000000001</v>
      </c>
      <c r="W730" s="496">
        <f>IF($D730=$D727,IF(S730&lt;0,IF(I732="",S730,0),S730)+W727,S730)</f>
        <v>18.689999999999998</v>
      </c>
      <c r="X730" s="505" t="str">
        <f>IF(OR(SUM(R730:R732)=0,V730=W730),ROUND(IF(W730=0,0,W730/Y730)*100,2)&amp;"%",ROUND(IF(V730=0,0,V730/Y730)*100,2)&amp;"% a "&amp;ROUND(IF(W730=0,0,W730/Y730)*100,2)&amp;"%")</f>
        <v>11,55%</v>
      </c>
      <c r="Y730" s="497">
        <f>IF($D730=$D727,Y727+SUM(O730:O732),SUM(O730:O732))</f>
        <v>161.76999999999998</v>
      </c>
      <c r="Z730" s="496">
        <f>IF($B730=" ",SUM(O730:O732),0)+Z727</f>
        <v>0</v>
      </c>
      <c r="AA730" s="496">
        <f>IF(G730="","",IF($B730="Anulado",LARGE(P730:P732,1)-SUM(O730:O732)+AA727,AA727))</f>
        <v>13.381099999999991</v>
      </c>
      <c r="AB730" s="496">
        <f>IF($D730="","",AB727+S730)</f>
        <v>825.05000000000075</v>
      </c>
      <c r="AC730" s="499">
        <f ca="1">IF($D730="","",IF($B730=" ",IF(DAY(G730)=DAY(TODAY()),1+AC727,0+AC727),0+AC727))</f>
        <v>0</v>
      </c>
      <c r="AD730" s="157">
        <f>(1-_xlfn.XLOOKUP(K728,'Fevereiro 2023 - Valor Real'!A3:A15,'Fevereiro 2023 - Valor Real'!C3:C15,0))+1</f>
        <v>2</v>
      </c>
      <c r="AE730" s="158">
        <f>IF(L730="","",IF(L732&gt;0,(SUM(((L730-1)*(1-_xlfn.XLOOKUP(K730,'Fevereiro 2023 - Valor Real'!A3:A15,'Fevereiro 2023 - Valor Real'!C3:C15,0))+1),((L731-1)*(1-_xlfn.XLOOKUP(K731,'Fevereiro 2023 - Valor Real'!A3:A15,'Fevereiro 2023 - Valor Real'!C3:C15,0))+1),((L732-1)*(1-_xlfn.XLOOKUP(K732,'Fevereiro 2023 - Valor Real'!A3:A15,'Fevereiro 2023 - Valor Real'!C3:C15,0))+1))/((L730-1)*(1-_xlfn.XLOOKUP(K730,'Fevereiro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Real'!C3:C15,0))+1))/((L730-1)*(1-_xlfn.XLOOKUP(K730,'Fevereiro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Real'!C3:C15,0))+1))/((L731-1)*(1-_xlfn.XLOOKUP(K731,'Fevereiro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Real'!C3:C15,0))+1))/((L732-1)*(1-_xlfn.XLOOKUP(K732,'Fevereiro 2023 - Valor Real'!A3:A15,'Fevereiro 2023 - Valor Real'!C3:C15,0))+1)),IF(I730="Lay",IF(I731="Lay",((L731/(L731-1)-1)*(1-_xlfn.XLOOKUP(K731,'Fevereiro 2023 - Valor Real'!A3:A15,'Fevereiro 2023 - Valor Real'!C3:C15,0))+1)/(((L731/(L731-1)-1)*(1-_xlfn.XLOOKUP(K731,'Fevereiro 2023 - Valor Real'!A3:A15,'Fevereiro 2023 - Valor Real'!C3:C15,0))+1)+((L730/(L730-1)-1)*(1-_xlfn.XLOOKUP(K730,'Fevereiro 2023 - Valor Real'!A3:A15,'Fevereiro 2023 - Valor Real'!C3:C15,0))+1)),((L731-1)*(1-_xlfn.XLOOKUP(K731,'Fevereiro 2023 - Valor Real'!A3:A15,'Fevereiro 2023 - Valor Real'!C3:C15,0))+1)/(((L731-1)*(1-_xlfn.XLOOKUP(K731,'Fevereiro 2023 - Valor Real'!A3:A15,'Fevereiro 2023 - Valor Real'!C3:C15,0))+1)+((L730/(L730-1)-1)*(1-_xlfn.XLOOKUP(K730,'Fevereiro 2023 - Valor Real'!A3:A15,'Fevereiro 2023 - Valor Real'!C3:C15,0))+1))),IF(I731="Lay",(((L731/(L731-1)-1)*(1-_xlfn.XLOOKUP(K731,'Fevereiro 2023 - Valor Real'!A3:A15,'Fevereiro 2023 - Valor Real'!C3:C15,0))+1))/(((L730-1)*(1-_xlfn.XLOOKUP(K730,'Fevereiro 2023 - Valor Real'!A3:A15,'Fevereiro 2023 - Valor Real'!C3:C15,0))+1)+((L731/(L731-1)-1)*(1-_xlfn.XLOOKUP(K731,'Fevereiro 2023 - Valor Real'!A3:A15,'Fevereiro 2023 - Valor Real'!C3:C15,0))+1)),((L731-1)*(1-_xlfn.XLOOKUP(K731,'Fevereiro 2023 - Valor Real'!A3:A15,'Fevereiro 2023 - Valor Real'!C3:C15,0))+1)/(((L731-1)*(1-_xlfn.XLOOKUP(K731,'Fevereiro 2023 - Valor Real'!A3:A15,'Fevereiro 2023 - Valor Real'!C3:C15,0))+1)+((L730-1)*(1-_xlfn.XLOOKUP(K730,'Fevereiro 2023 - Valor Real'!A3:A15,'Fevereiro 2023 - Valor Real'!C3:C15,0))+1))))))</f>
        <v>0.43693693693693697</v>
      </c>
      <c r="AF730" s="66">
        <f t="shared" si="1464"/>
        <v>0</v>
      </c>
      <c r="AG730" s="67">
        <f t="shared" si="1464"/>
        <v>0</v>
      </c>
      <c r="AH730" s="67">
        <f t="shared" si="1464"/>
        <v>0</v>
      </c>
      <c r="AI730" s="67">
        <f t="shared" si="1464"/>
        <v>-5.64</v>
      </c>
      <c r="AJ730" s="67">
        <f t="shared" si="1464"/>
        <v>0</v>
      </c>
      <c r="AK730" s="67">
        <f t="shared" si="1464"/>
        <v>0</v>
      </c>
      <c r="AL730" s="67">
        <f t="shared" si="1464"/>
        <v>0</v>
      </c>
      <c r="AM730" s="67">
        <f t="shared" si="1464"/>
        <v>0</v>
      </c>
      <c r="AN730" s="67">
        <f t="shared" si="1464"/>
        <v>0</v>
      </c>
      <c r="AO730" s="67">
        <f t="shared" si="1464"/>
        <v>0</v>
      </c>
      <c r="AP730" s="67">
        <f t="shared" si="1464"/>
        <v>0</v>
      </c>
      <c r="AQ730" s="67">
        <f t="shared" si="1464"/>
        <v>0</v>
      </c>
      <c r="AR730" s="68">
        <f t="shared" si="1464"/>
        <v>0</v>
      </c>
      <c r="AS730" s="66">
        <f t="shared" ref="AS730:BE730" si="1474">IF(AND($B730=" ",$K730=AS$3),$O730,0)</f>
        <v>0</v>
      </c>
      <c r="AT730" s="67">
        <f t="shared" si="1474"/>
        <v>0</v>
      </c>
      <c r="AU730" s="67">
        <f t="shared" si="1474"/>
        <v>0</v>
      </c>
      <c r="AV730" s="67">
        <f t="shared" si="1474"/>
        <v>0</v>
      </c>
      <c r="AW730" s="67">
        <f t="shared" si="1474"/>
        <v>0</v>
      </c>
      <c r="AX730" s="67">
        <f t="shared" si="1474"/>
        <v>0</v>
      </c>
      <c r="AY730" s="69">
        <f t="shared" si="1474"/>
        <v>0</v>
      </c>
      <c r="AZ730" s="70">
        <f t="shared" si="1474"/>
        <v>0</v>
      </c>
      <c r="BA730" s="70">
        <f t="shared" si="1474"/>
        <v>0</v>
      </c>
      <c r="BB730" s="70">
        <f t="shared" si="1474"/>
        <v>0</v>
      </c>
      <c r="BC730" s="71">
        <f t="shared" si="1474"/>
        <v>0</v>
      </c>
      <c r="BD730" s="67">
        <f t="shared" si="1474"/>
        <v>0</v>
      </c>
      <c r="BE730" s="68">
        <f t="shared" si="1474"/>
        <v>0</v>
      </c>
      <c r="BF730" s="66">
        <f t="shared" si="1466"/>
        <v>0</v>
      </c>
      <c r="BG730" s="67">
        <f t="shared" si="1466"/>
        <v>0</v>
      </c>
      <c r="BH730" s="67">
        <f t="shared" si="1466"/>
        <v>0</v>
      </c>
      <c r="BI730" s="67">
        <f t="shared" si="1466"/>
        <v>5.64</v>
      </c>
      <c r="BJ730" s="67">
        <f t="shared" si="1466"/>
        <v>0</v>
      </c>
      <c r="BK730" s="67">
        <f t="shared" si="1466"/>
        <v>0</v>
      </c>
      <c r="BL730" s="67">
        <f t="shared" si="1466"/>
        <v>0</v>
      </c>
      <c r="BM730" s="69">
        <f t="shared" si="1466"/>
        <v>0</v>
      </c>
      <c r="BN730" s="70">
        <f t="shared" si="1466"/>
        <v>0</v>
      </c>
      <c r="BO730" s="70">
        <f t="shared" si="1466"/>
        <v>0</v>
      </c>
      <c r="BP730" s="70">
        <f t="shared" si="1466"/>
        <v>0</v>
      </c>
      <c r="BQ730" s="71">
        <f t="shared" si="1466"/>
        <v>0</v>
      </c>
      <c r="BR730" s="68">
        <f t="shared" si="1466"/>
        <v>0</v>
      </c>
      <c r="BS730" s="490">
        <f>IF($B730="LOSS",IF(AND($K730=BS$3,$C730="L"),-$O730,0)+IF(AND($K731=BS$3,$C731="L"),-$O731,0)+IF(AND($K732=BS$3,$C732="L"),-$O732,0),IF(OR(AND($K730=BS$3,OR($C730="W",$C730="1/2W")),AND($K731=BS$3,OR($C731="W",$C731="1/2W")),AND($K732=BS$3,OR($C732="W",$C732="1/2W"))),$S730,0))</f>
        <v>0</v>
      </c>
      <c r="BT730" s="498">
        <f>IF($B730="LOSS",IF(AND($K730=BT$3,$C730="L"),-$O730,0)+IF(AND($K731=BT$3,$C731="L"),-$O731,0)+IF(AND($K731=BT$3,$C732="L"),-$O732,0),IF(OR(AND($K731=BT$3,OR($C730="W",$C730="1/2W")),AND($K731=BT$3,OR($C731="W",$C731="1/2W")),AND($K731=BT$3,OR($C732="W",$C732="1/2W"))),$S730,0))</f>
        <v>0</v>
      </c>
      <c r="BU730" s="488">
        <f>IF($B730="LOSS",IF(AND($K730=BU$3,$C730="L"),-$O730,0)+IF(AND($K731=BU$3,$C731="L"),-$O731,0)+IF(AND($K731=BU$3,$C732="L"),-$O732,0),IF(OR(AND($K731=BU$3,OR($C730="W",$C730="1/2W")),AND($K731=BU$3,OR($C731="W",$C731="1/2W")),AND($K731=BU$3,OR($C732="W",$C732="1/2W"))),$S730,0))</f>
        <v>0</v>
      </c>
      <c r="BV730" s="488">
        <f t="shared" ref="BV730:CE730" si="1475">IF($B730="LOSS",IF(AND($K730=BV$3,$C730="L"),-$O730,0)+IF(AND($K731=BV$3,$C731="L"),-$O731,0)+IF(AND($K732=BV$3,$C732="L"),-$O732,0),IF(OR(AND($K730=BV$3,OR($C730="W",$C730="1/2W")),AND($K731=BV$3,OR($C731="W",$C731="1/2W")),AND($K732=BV$3,OR($C732="W",$C732="1/2W"))),$S730,0))</f>
        <v>0</v>
      </c>
      <c r="BW730" s="488">
        <f t="shared" si="1475"/>
        <v>1.22</v>
      </c>
      <c r="BX730" s="488">
        <f t="shared" si="1475"/>
        <v>0</v>
      </c>
      <c r="BY730" s="488">
        <f t="shared" si="1475"/>
        <v>0</v>
      </c>
      <c r="BZ730" s="488">
        <f t="shared" si="1475"/>
        <v>0</v>
      </c>
      <c r="CA730" s="488">
        <f t="shared" si="1475"/>
        <v>0</v>
      </c>
      <c r="CB730" s="488">
        <f t="shared" si="1475"/>
        <v>0</v>
      </c>
      <c r="CC730" s="488">
        <f t="shared" si="1475"/>
        <v>0</v>
      </c>
      <c r="CD730" s="500">
        <f t="shared" si="1475"/>
        <v>0</v>
      </c>
      <c r="CE730" s="504">
        <f t="shared" si="1475"/>
        <v>0</v>
      </c>
      <c r="CF730" s="160">
        <f t="shared" si="1412"/>
        <v>0</v>
      </c>
      <c r="CG730" s="161">
        <f t="shared" si="1413"/>
        <v>0</v>
      </c>
      <c r="CH730" s="161">
        <f t="shared" si="1414"/>
        <v>0</v>
      </c>
      <c r="CI730" s="161">
        <f t="shared" si="1415"/>
        <v>0</v>
      </c>
      <c r="CJ730" s="161">
        <f t="shared" si="1416"/>
        <v>0</v>
      </c>
      <c r="CK730" s="161">
        <f t="shared" si="1417"/>
        <v>0</v>
      </c>
      <c r="CL730" s="161">
        <f t="shared" si="1418"/>
        <v>0</v>
      </c>
      <c r="CM730" s="161">
        <f t="shared" si="1419"/>
        <v>1</v>
      </c>
      <c r="CN730" s="161">
        <f t="shared" si="1420"/>
        <v>0</v>
      </c>
      <c r="CO730" s="161">
        <f t="shared" si="1421"/>
        <v>0</v>
      </c>
      <c r="CP730" s="161">
        <f t="shared" si="1422"/>
        <v>0</v>
      </c>
      <c r="CQ730" s="161">
        <f t="shared" si="1423"/>
        <v>0</v>
      </c>
      <c r="CR730" s="161">
        <f t="shared" si="1424"/>
        <v>0</v>
      </c>
      <c r="CS730" s="161">
        <f t="shared" si="1425"/>
        <v>0</v>
      </c>
      <c r="CT730" s="75">
        <f t="shared" si="1426"/>
        <v>0</v>
      </c>
      <c r="CU730" s="76">
        <f t="shared" si="1427"/>
        <v>0</v>
      </c>
      <c r="CV730" s="76">
        <f t="shared" si="1428"/>
        <v>0</v>
      </c>
      <c r="CW730" s="76">
        <f t="shared" si="1429"/>
        <v>0</v>
      </c>
      <c r="CX730" s="76">
        <f t="shared" si="1430"/>
        <v>0</v>
      </c>
      <c r="CY730" s="76">
        <f t="shared" si="1431"/>
        <v>0</v>
      </c>
      <c r="CZ730" s="76">
        <f t="shared" si="1432"/>
        <v>0</v>
      </c>
      <c r="DA730" s="76">
        <f t="shared" si="1433"/>
        <v>0</v>
      </c>
      <c r="DB730" s="76">
        <f t="shared" si="1434"/>
        <v>0</v>
      </c>
      <c r="DC730" s="76">
        <f t="shared" si="1435"/>
        <v>0</v>
      </c>
      <c r="DD730" s="76">
        <f t="shared" si="1436"/>
        <v>0</v>
      </c>
      <c r="DE730" s="77">
        <f t="shared" si="1437"/>
        <v>0</v>
      </c>
      <c r="DF730" s="73">
        <f t="shared" si="1440"/>
        <v>43</v>
      </c>
      <c r="DG730" s="67">
        <f t="shared" si="1441"/>
        <v>57.167999999999992</v>
      </c>
      <c r="DH730" s="76">
        <f t="shared" si="1442"/>
        <v>16</v>
      </c>
      <c r="DI730" s="67">
        <f t="shared" si="1443"/>
        <v>68.699999999999989</v>
      </c>
      <c r="DJ730" s="202" t="str">
        <f>IF($D730="","",$D730)</f>
        <v>23</v>
      </c>
      <c r="DK730" s="492">
        <f>IF(AND($B730=" ",$D730&lt;&gt;""),1,0)</f>
        <v>0</v>
      </c>
    </row>
    <row r="731" spans="1:115" ht="14.5" customHeight="1" x14ac:dyDescent="0.2">
      <c r="A731" s="389"/>
      <c r="B731" s="456"/>
      <c r="C731" s="53" t="s">
        <v>54</v>
      </c>
      <c r="D731" s="374"/>
      <c r="E731" s="386"/>
      <c r="F731" s="377"/>
      <c r="G731" s="508"/>
      <c r="H731" s="476"/>
      <c r="I731" s="182" t="s">
        <v>52</v>
      </c>
      <c r="J731" s="56">
        <f>IF(OR(I730="TO",I730="TU",I730="TO1",I730="TU1",I730="TO2",I730="TU2"),J730,IF(OR(I730="AH1",I730="AH2"),IF(OR(I731="AH1",I731="AH2"),-J730,IF(OR(I731="EH1",I731="EH2"),-J730+0.5,"")),IF(OR(I730="EH1",I730="EH2"),IF(OR(I731="AH1",I731="AH2"),-J730+0.5,IF(OR(I731="EH1",I731="EH2"),-J730+1,"")),IF(AND(OR(I730="DNB1",I730="DNB2"),OR(I731="AH1",I731="AH2")),0,IF(AND(I730="Not ScoreBoth",OR(I731="TO1",I731="TO2")),0.5,"")))))</f>
        <v>52.5</v>
      </c>
      <c r="K731" s="57" t="s">
        <v>40</v>
      </c>
      <c r="L731" s="164">
        <v>1.94</v>
      </c>
      <c r="M731" s="165"/>
      <c r="N731" s="406"/>
      <c r="O731" s="60">
        <f>IF(OR(AE730="",AE731=""),"",ROUND(IF(L732&gt;0,IF(M731&gt;0,M731,IF(M730&gt;0,IF(N730=TRUE,ROUND((M730*AE731)/AE730,0),(M730*AE731)/AE730),IF(M731&gt;0,ROUND(M731,IF(N730=0,2,IF(N730=0.1,1,0))),IF(M732&gt;0,ROUND(O732*AE731/AE732,IF(N730=0,2,IF(N730=0.1,1,0))),0)))),IF(M731&gt;0,M731,ROUND((M730*AE731)/AE730,IF(N730=0,2,IF(N730=0.1,1,0))))),2))</f>
        <v>7.3</v>
      </c>
      <c r="P731" s="61">
        <f>IF(OR(L731="",O731=""),"",IF($C731="1/2W",O731/2+O731/2*L731,IF($C731="1/2L",O731/2,IF(I731="Lay",((O731*(L731/(L731-1)))-O731)*(1-_xlfn.XLOOKUP(K731,'Fevereiro 2023 - Valor Real'!A3:A15,'Fevereiro 2023 - Valor Real'!C3:C15,0))+O731,(O731*L731-O731)*(1-_xlfn.XLOOKUP(K731,'Fevereiro 2023 - Valor Real'!A3:A15,'Fevereiro 2023 - Valor Real'!C3:C15,0))+O731))))</f>
        <v>14.161999999999999</v>
      </c>
      <c r="Q731" s="166">
        <f>IF(K731="","",IF(_xlfn.XLOOKUP(K731,K$10:K722,$DJ$10:DJ722,0,,-1)=DJ731,_xlfn.XLOOKUP(K731,K$10:K722,Q$10:Q722,1,,-1)+1,1))</f>
        <v>2</v>
      </c>
      <c r="R731" s="167">
        <f>IF(K731="","",_xlfn.XLOOKUP(K731,K$10:K722,R$10:R722,0,,-1)+IF($C731=" ",1,0))</f>
        <v>0</v>
      </c>
      <c r="S731" s="403"/>
      <c r="T731" s="380"/>
      <c r="U731" s="380"/>
      <c r="V731" s="481"/>
      <c r="W731" s="380"/>
      <c r="X731" s="452"/>
      <c r="Y731" s="383"/>
      <c r="Z731" s="384"/>
      <c r="AA731" s="384"/>
      <c r="AB731" s="384"/>
      <c r="AC731" s="384"/>
      <c r="AD731" s="64"/>
      <c r="AE731" s="65">
        <f>IF(L731="","",IF(L732&gt;0,(SUM(((L730-1)*(1-_xlfn.XLOOKUP(K730,'Fevereiro 2023 - Valor Real'!A3:A15,'Fevereiro 2023 - Valor Real'!C3:C15,0))+1),((L731-1)*(1-_xlfn.XLOOKUP(K731,'Fevereiro 2023 - Valor Real'!A3:A15,'Fevereiro 2023 - Valor Real'!C3:C15,0))+1),((L732-1)*(1-_xlfn.XLOOKUP(K732,'Fevereiro 2023 - Valor Real'!A3:A15,'Fevereiro 2023 - Valor Real'!C3:C15,0))+1))/((L731-1)*(1-_xlfn.XLOOKUP(K731,'Fevereiro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Real'!C3:C15,0))+1))/((L730-1)*(1-_xlfn.XLOOKUP(K730,'Fevereiro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Real'!C3:C15,0))+1))/((L731-1)*(1-_xlfn.XLOOKUP(K731,'Fevereiro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Real'!C3:C15,0))+1))/((L732-1)*(1-_xlfn.XLOOKUP(K732,'Fevereiro 2023 - Valor Real'!A3:A15,'Fevereiro 2023 - Valor Real'!C3:C15,0))+1)),IF(I731="Lay",IF(I730="Lay",((L730/(L730-1)-1)*(1-_xlfn.XLOOKUP(K730,'Fevereiro 2023 - Valor Real'!A3:A15,'Fevereiro 2023 - Valor Real'!C3:C15,0))+1)/(((L730/(L730-1)-1)*(1-_xlfn.XLOOKUP(K730,'Fevereiro 2023 - Valor Real'!A3:A15,'Fevereiro 2023 - Valor Real'!C3:C15,0))+1)+((L731/(L731-1)-1)*(1-_xlfn.XLOOKUP(K731,'Fevereiro 2023 - Valor Real'!A3:A15,'Fevereiro 2023 - Valor Real'!C3:C15,0))+1)),((L730-1)*(1-_xlfn.XLOOKUP(K730,'Fevereiro 2023 - Valor Real'!A3:A15,'Fevereiro 2023 - Valor Real'!C3:C15,0))+1)/(((L730-1)*(1-_xlfn.XLOOKUP(K730,'Fevereiro 2023 - Valor Real'!A3:A15,'Fevereiro 2023 - Valor Real'!C3:C15,0))+1)+((L731/(L731-1)-1)*(1-_xlfn.XLOOKUP(K731,'Fevereiro 2023 - Valor Real'!A3:A15,'Fevereiro 2023 - Valor Real'!C3:C15,0))+1))),IF(I730="Lay",((L730/(L730-1)-1)*(1-_xlfn.XLOOKUP(K730,'Fevereiro 2023 - Valor Real'!A3:A15,'Fevereiro 2023 - Valor Real'!C3:C15,0))+1)/((((L730/(L730-1)-1)*(1-_xlfn.XLOOKUP(K730,'Fevereiro 2023 - Valor Real'!A3:A15,'Fevereiro 2023 - Valor Real'!C3:C15,0))+1))+((L731-1)*(1-_xlfn.XLOOKUP(K731,'Fevereiro 2023 - Valor Real'!A3:A15,'Fevereiro 2023 - Valor Real'!C3:C15,0))+1)),((L730-1)*(1-_xlfn.XLOOKUP(K730,'Fevereiro 2023 - Valor Real'!A3:A15,'Fevereiro 2023 - Valor Real'!C3:C15,0))+1)/(((L730-1)*(1-_xlfn.XLOOKUP(K730,'Fevereiro 2023 - Valor Real'!A3:A15,'Fevereiro 2023 - Valor Real'!C3:C15,0))+1)+((L731-1)*(1-_xlfn.XLOOKUP(K731,'Fevereiro 2023 - Valor Real'!A3:A15,'Fevereiro 2023 - Valor Real'!C3:C15,0))+1))))))</f>
        <v>0.56306306306306309</v>
      </c>
      <c r="AF731" s="66">
        <f t="shared" si="1464"/>
        <v>0</v>
      </c>
      <c r="AG731" s="67">
        <f t="shared" si="1464"/>
        <v>0</v>
      </c>
      <c r="AH731" s="67">
        <f t="shared" si="1464"/>
        <v>0</v>
      </c>
      <c r="AI731" s="67">
        <f t="shared" si="1464"/>
        <v>0</v>
      </c>
      <c r="AJ731" s="67">
        <f t="shared" si="1464"/>
        <v>6.86</v>
      </c>
      <c r="AK731" s="67">
        <f t="shared" si="1464"/>
        <v>0</v>
      </c>
      <c r="AL731" s="67">
        <f t="shared" si="1464"/>
        <v>0</v>
      </c>
      <c r="AM731" s="67">
        <f t="shared" si="1464"/>
        <v>0</v>
      </c>
      <c r="AN731" s="67">
        <f t="shared" si="1464"/>
        <v>0</v>
      </c>
      <c r="AO731" s="67">
        <f t="shared" si="1464"/>
        <v>0</v>
      </c>
      <c r="AP731" s="67">
        <f t="shared" si="1464"/>
        <v>0</v>
      </c>
      <c r="AQ731" s="67">
        <f t="shared" si="1464"/>
        <v>0</v>
      </c>
      <c r="AR731" s="68">
        <f t="shared" si="1464"/>
        <v>0</v>
      </c>
      <c r="AS731" s="66">
        <f>IF(AND($B730=" ",$K731=AS$3),$O731,0)</f>
        <v>0</v>
      </c>
      <c r="AT731" s="67">
        <f>IF(AND($B730=" ",K731=AT$3),$O731,0)</f>
        <v>0</v>
      </c>
      <c r="AU731" s="67">
        <f t="shared" ref="AU731:BE731" si="1476">IF(AND($B730=" ",$K731=AU$3),$O731,0)</f>
        <v>0</v>
      </c>
      <c r="AV731" s="67">
        <f t="shared" si="1476"/>
        <v>0</v>
      </c>
      <c r="AW731" s="67">
        <f t="shared" si="1476"/>
        <v>0</v>
      </c>
      <c r="AX731" s="67">
        <f t="shared" si="1476"/>
        <v>0</v>
      </c>
      <c r="AY731" s="69">
        <f t="shared" si="1476"/>
        <v>0</v>
      </c>
      <c r="AZ731" s="70">
        <f t="shared" si="1476"/>
        <v>0</v>
      </c>
      <c r="BA731" s="70">
        <f t="shared" si="1476"/>
        <v>0</v>
      </c>
      <c r="BB731" s="70">
        <f t="shared" si="1476"/>
        <v>0</v>
      </c>
      <c r="BC731" s="71">
        <f t="shared" si="1476"/>
        <v>0</v>
      </c>
      <c r="BD731" s="67">
        <f t="shared" si="1476"/>
        <v>0</v>
      </c>
      <c r="BE731" s="68">
        <f t="shared" si="1476"/>
        <v>0</v>
      </c>
      <c r="BF731" s="66">
        <f t="shared" si="1466"/>
        <v>0</v>
      </c>
      <c r="BG731" s="168">
        <f t="shared" si="1466"/>
        <v>0</v>
      </c>
      <c r="BH731" s="67">
        <f t="shared" si="1466"/>
        <v>0</v>
      </c>
      <c r="BI731" s="67">
        <f t="shared" si="1466"/>
        <v>0</v>
      </c>
      <c r="BJ731" s="67">
        <f t="shared" si="1466"/>
        <v>7.3</v>
      </c>
      <c r="BK731" s="67">
        <f t="shared" si="1466"/>
        <v>0</v>
      </c>
      <c r="BL731" s="67">
        <f t="shared" si="1466"/>
        <v>0</v>
      </c>
      <c r="BM731" s="69">
        <f t="shared" si="1466"/>
        <v>0</v>
      </c>
      <c r="BN731" s="70">
        <f t="shared" si="1466"/>
        <v>0</v>
      </c>
      <c r="BO731" s="70">
        <f t="shared" si="1466"/>
        <v>0</v>
      </c>
      <c r="BP731" s="70">
        <f t="shared" si="1466"/>
        <v>0</v>
      </c>
      <c r="BQ731" s="71">
        <f t="shared" si="1466"/>
        <v>0</v>
      </c>
      <c r="BR731" s="68">
        <f t="shared" si="1466"/>
        <v>0</v>
      </c>
      <c r="BS731" s="491"/>
      <c r="BT731" s="489"/>
      <c r="BU731" s="392"/>
      <c r="BV731" s="489"/>
      <c r="BW731" s="392"/>
      <c r="BX731" s="392"/>
      <c r="BY731" s="392"/>
      <c r="BZ731" s="489"/>
      <c r="CA731" s="392"/>
      <c r="CB731" s="392"/>
      <c r="CC731" s="392"/>
      <c r="CD731" s="401"/>
      <c r="CE731" s="409"/>
      <c r="CF731" s="169">
        <f t="shared" si="1412"/>
        <v>0</v>
      </c>
      <c r="CG731" s="170">
        <f t="shared" si="1413"/>
        <v>0</v>
      </c>
      <c r="CH731" s="170">
        <f t="shared" si="1414"/>
        <v>0</v>
      </c>
      <c r="CI731" s="170">
        <f t="shared" si="1415"/>
        <v>0</v>
      </c>
      <c r="CJ731" s="170">
        <f t="shared" si="1416"/>
        <v>0</v>
      </c>
      <c r="CK731" s="170">
        <f t="shared" si="1417"/>
        <v>0</v>
      </c>
      <c r="CL731" s="170">
        <f t="shared" si="1418"/>
        <v>0</v>
      </c>
      <c r="CM731" s="170">
        <f t="shared" si="1419"/>
        <v>0</v>
      </c>
      <c r="CN731" s="170">
        <f t="shared" si="1420"/>
        <v>1</v>
      </c>
      <c r="CO731" s="170">
        <f t="shared" si="1421"/>
        <v>0</v>
      </c>
      <c r="CP731" s="170">
        <f t="shared" si="1422"/>
        <v>0</v>
      </c>
      <c r="CQ731" s="170">
        <f t="shared" si="1423"/>
        <v>0</v>
      </c>
      <c r="CR731" s="170">
        <f t="shared" si="1424"/>
        <v>0</v>
      </c>
      <c r="CS731" s="170">
        <f t="shared" si="1425"/>
        <v>0</v>
      </c>
      <c r="CT731" s="75">
        <f t="shared" si="1426"/>
        <v>0</v>
      </c>
      <c r="CU731" s="76">
        <f t="shared" si="1427"/>
        <v>0</v>
      </c>
      <c r="CV731" s="76">
        <f t="shared" si="1428"/>
        <v>0</v>
      </c>
      <c r="CW731" s="76">
        <f t="shared" si="1429"/>
        <v>0</v>
      </c>
      <c r="CX731" s="76">
        <f t="shared" si="1430"/>
        <v>0</v>
      </c>
      <c r="CY731" s="76">
        <f t="shared" si="1431"/>
        <v>0</v>
      </c>
      <c r="CZ731" s="76">
        <f t="shared" si="1432"/>
        <v>0</v>
      </c>
      <c r="DA731" s="76">
        <f t="shared" si="1433"/>
        <v>0</v>
      </c>
      <c r="DB731" s="76">
        <f t="shared" si="1434"/>
        <v>0</v>
      </c>
      <c r="DC731" s="76">
        <f t="shared" si="1435"/>
        <v>0</v>
      </c>
      <c r="DD731" s="76">
        <f t="shared" si="1436"/>
        <v>0</v>
      </c>
      <c r="DE731" s="77">
        <f t="shared" si="1437"/>
        <v>0</v>
      </c>
      <c r="DF731" s="73">
        <f t="shared" si="1440"/>
        <v>43</v>
      </c>
      <c r="DG731" s="67">
        <f t="shared" si="1441"/>
        <v>57.167999999999992</v>
      </c>
      <c r="DH731" s="76">
        <f t="shared" si="1442"/>
        <v>16</v>
      </c>
      <c r="DI731" s="67">
        <f t="shared" si="1443"/>
        <v>68.699999999999989</v>
      </c>
      <c r="DJ731" s="202" t="str">
        <f>IF($D730="","",$D730)</f>
        <v>23</v>
      </c>
      <c r="DK731" s="493"/>
    </row>
    <row r="732" spans="1:115" ht="14.5" customHeight="1" x14ac:dyDescent="0.2">
      <c r="A732" s="390"/>
      <c r="B732" s="457"/>
      <c r="C732" s="79" t="s">
        <v>53</v>
      </c>
      <c r="D732" s="375"/>
      <c r="E732" s="387"/>
      <c r="F732" s="378"/>
      <c r="G732" s="508"/>
      <c r="H732" s="477"/>
      <c r="I732" s="171"/>
      <c r="J732" s="172"/>
      <c r="K732" s="81"/>
      <c r="L732" s="173"/>
      <c r="M732" s="174"/>
      <c r="N732" s="407"/>
      <c r="O732" s="86" t="str">
        <f>IF(OR(AE730="",AE731=""),"",IF(L732&gt;0,ROUND(IF(M732&gt;0,M732,IF(M730&gt;0,ROUND((M730*AE732)/AE730,IF(N730=0,2,IF(N730=0.1,1,0))),IF(M731&gt;0,ROUND((M731*AE732)/AE731,IF(N730=0,2,IF(N730=0.1,1,0))),IF(M732&gt;0,M732,0)))),2),""))</f>
        <v/>
      </c>
      <c r="P732" s="87" t="str">
        <f>IF(I731="Lay",O731*(L731/(L731-1))-O731,IF(I730="Lay",O730*(L730/(L730-1))-O730,IF(OR(L732="",O732=""),"",IF($C732="1/2W",O732/2+O732/2*L732,IF($C732="1/2L",O732/2,(O732*L732-O732)*(1-_xlfn.XLOOKUP(K732,'Fevereiro 2023 - Valor Real'!A3:A15,'Fevereiro 2023 - Valor Real'!C3:C15,0))+O732)))))</f>
        <v/>
      </c>
      <c r="Q732" s="54" t="str">
        <f>IF(K732="","",IF(_xlfn.XLOOKUP(K732,K$11:K722,$DJ$11:DJ722,0,,-1)=DJ732,_xlfn.XLOOKUP(K732,K$11:K722,Q$11:Q722,1,,-1)+1,1))</f>
        <v/>
      </c>
      <c r="R732" s="87" t="str">
        <f>IF(K732="","",_xlfn.XLOOKUP(K732,K$11:K722,R$11:R722,0,,-1)+IF($C732=" ",1,0))</f>
        <v/>
      </c>
      <c r="S732" s="404"/>
      <c r="T732" s="378"/>
      <c r="U732" s="378"/>
      <c r="V732" s="404"/>
      <c r="W732" s="378"/>
      <c r="X732" s="453"/>
      <c r="Y732" s="383"/>
      <c r="Z732" s="384"/>
      <c r="AA732" s="384"/>
      <c r="AB732" s="384"/>
      <c r="AC732" s="384"/>
      <c r="AD732" s="90"/>
      <c r="AE732" s="91" t="str">
        <f>IF(L732="","",(SUM(((L730-1)*(1-_xlfn.XLOOKUP(K730,'Fevereiro 2023 - Valor Real'!A3:A15,'Fevereiro 2023 - Valor Real'!C3:C15,0))+1),((L731-1)*(1-_xlfn.XLOOKUP(K731,'Fevereiro 2023 - Valor Real'!A3:A15,'Fevereiro 2023 - Valor Real'!C3:C15,0))+1),((L732-1)*(1-_xlfn.XLOOKUP(K732,'Fevereiro 2023 - Valor Real'!A3:A15,'Fevereiro 2023 - Valor Real'!C3:C15,0))+1))/((L732-1)*(1-_xlfn.XLOOKUP(K732,'Fevereiro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Real'!C3:C15,0))+1))/((L730-1)*(1-_xlfn.XLOOKUP(K730,'Fevereiro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Real'!C3:C15,0))+1))/((L731-1)*(1-_xlfn.XLOOKUP(K731,'Fevereiro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Real'!C3:C15,0))+1))/((L732-1)*(1-_xlfn.XLOOKUP(K732,'Fevereiro 2023 - Valor Real'!A3:A15,'Fevereiro 2023 - Valor Real'!C3:C15,0))+1)))</f>
        <v/>
      </c>
      <c r="AF732" s="66">
        <f t="shared" si="1464"/>
        <v>0</v>
      </c>
      <c r="AG732" s="67">
        <f t="shared" si="1464"/>
        <v>0</v>
      </c>
      <c r="AH732" s="67">
        <f t="shared" si="1464"/>
        <v>0</v>
      </c>
      <c r="AI732" s="67">
        <f t="shared" si="1464"/>
        <v>0</v>
      </c>
      <c r="AJ732" s="67">
        <f t="shared" si="1464"/>
        <v>0</v>
      </c>
      <c r="AK732" s="67">
        <f t="shared" si="1464"/>
        <v>0</v>
      </c>
      <c r="AL732" s="67">
        <f t="shared" si="1464"/>
        <v>0</v>
      </c>
      <c r="AM732" s="67">
        <f t="shared" si="1464"/>
        <v>0</v>
      </c>
      <c r="AN732" s="67">
        <f t="shared" si="1464"/>
        <v>0</v>
      </c>
      <c r="AO732" s="67">
        <f t="shared" si="1464"/>
        <v>0</v>
      </c>
      <c r="AP732" s="67">
        <f t="shared" si="1464"/>
        <v>0</v>
      </c>
      <c r="AQ732" s="67">
        <f t="shared" si="1464"/>
        <v>0</v>
      </c>
      <c r="AR732" s="68">
        <f t="shared" si="1464"/>
        <v>0</v>
      </c>
      <c r="AS732" s="66">
        <f>IF(AND($B730=" ",$K732=AS$3),$O732,0)</f>
        <v>0</v>
      </c>
      <c r="AT732" s="67">
        <f>IF(AND($B730=" ",K732=AT$3),$O732,0)</f>
        <v>0</v>
      </c>
      <c r="AU732" s="67">
        <f t="shared" ref="AU732:BE732" si="1477">IF(AND($B730=" ",$K732=AU$3),$O732,0)</f>
        <v>0</v>
      </c>
      <c r="AV732" s="67">
        <f t="shared" si="1477"/>
        <v>0</v>
      </c>
      <c r="AW732" s="67">
        <f t="shared" si="1477"/>
        <v>0</v>
      </c>
      <c r="AX732" s="67">
        <f t="shared" si="1477"/>
        <v>0</v>
      </c>
      <c r="AY732" s="69">
        <f t="shared" si="1477"/>
        <v>0</v>
      </c>
      <c r="AZ732" s="70">
        <f t="shared" si="1477"/>
        <v>0</v>
      </c>
      <c r="BA732" s="70">
        <f t="shared" si="1477"/>
        <v>0</v>
      </c>
      <c r="BB732" s="70">
        <f t="shared" si="1477"/>
        <v>0</v>
      </c>
      <c r="BC732" s="71">
        <f t="shared" si="1477"/>
        <v>0</v>
      </c>
      <c r="BD732" s="67">
        <f t="shared" si="1477"/>
        <v>0</v>
      </c>
      <c r="BE732" s="68">
        <f t="shared" si="1477"/>
        <v>0</v>
      </c>
      <c r="BF732" s="66">
        <f t="shared" si="1466"/>
        <v>0</v>
      </c>
      <c r="BG732" s="168">
        <f t="shared" si="1466"/>
        <v>0</v>
      </c>
      <c r="BH732" s="67">
        <f t="shared" si="1466"/>
        <v>0</v>
      </c>
      <c r="BI732" s="67">
        <f t="shared" si="1466"/>
        <v>0</v>
      </c>
      <c r="BJ732" s="67">
        <f t="shared" si="1466"/>
        <v>0</v>
      </c>
      <c r="BK732" s="67">
        <f t="shared" si="1466"/>
        <v>0</v>
      </c>
      <c r="BL732" s="67">
        <f t="shared" si="1466"/>
        <v>0</v>
      </c>
      <c r="BM732" s="69">
        <f t="shared" si="1466"/>
        <v>0</v>
      </c>
      <c r="BN732" s="70">
        <f t="shared" si="1466"/>
        <v>0</v>
      </c>
      <c r="BO732" s="70">
        <f t="shared" si="1466"/>
        <v>0</v>
      </c>
      <c r="BP732" s="70">
        <f t="shared" si="1466"/>
        <v>0</v>
      </c>
      <c r="BQ732" s="71">
        <f t="shared" si="1466"/>
        <v>0</v>
      </c>
      <c r="BR732" s="68">
        <f t="shared" si="1466"/>
        <v>0</v>
      </c>
      <c r="BS732" s="491"/>
      <c r="BT732" s="489"/>
      <c r="BU732" s="392"/>
      <c r="BV732" s="489"/>
      <c r="BW732" s="392"/>
      <c r="BX732" s="392"/>
      <c r="BY732" s="392"/>
      <c r="BZ732" s="489"/>
      <c r="CA732" s="392"/>
      <c r="CB732" s="392"/>
      <c r="CC732" s="392"/>
      <c r="CD732" s="401"/>
      <c r="CE732" s="409"/>
      <c r="CF732" s="169">
        <f t="shared" si="1412"/>
        <v>0</v>
      </c>
      <c r="CG732" s="170">
        <f t="shared" si="1413"/>
        <v>0</v>
      </c>
      <c r="CH732" s="170">
        <f t="shared" si="1414"/>
        <v>0</v>
      </c>
      <c r="CI732" s="170">
        <f t="shared" si="1415"/>
        <v>0</v>
      </c>
      <c r="CJ732" s="170">
        <f t="shared" si="1416"/>
        <v>0</v>
      </c>
      <c r="CK732" s="170">
        <f t="shared" si="1417"/>
        <v>0</v>
      </c>
      <c r="CL732" s="170">
        <f t="shared" si="1418"/>
        <v>0</v>
      </c>
      <c r="CM732" s="170">
        <f t="shared" si="1419"/>
        <v>0</v>
      </c>
      <c r="CN732" s="170">
        <f t="shared" si="1420"/>
        <v>0</v>
      </c>
      <c r="CO732" s="170">
        <f t="shared" si="1421"/>
        <v>0</v>
      </c>
      <c r="CP732" s="170">
        <f t="shared" si="1422"/>
        <v>0</v>
      </c>
      <c r="CQ732" s="170">
        <f t="shared" si="1423"/>
        <v>0</v>
      </c>
      <c r="CR732" s="170">
        <f t="shared" si="1424"/>
        <v>0</v>
      </c>
      <c r="CS732" s="170">
        <f t="shared" si="1425"/>
        <v>0</v>
      </c>
      <c r="CT732" s="75">
        <f t="shared" si="1426"/>
        <v>0</v>
      </c>
      <c r="CU732" s="76">
        <f t="shared" si="1427"/>
        <v>0</v>
      </c>
      <c r="CV732" s="76">
        <f t="shared" si="1428"/>
        <v>0</v>
      </c>
      <c r="CW732" s="76">
        <f t="shared" si="1429"/>
        <v>0</v>
      </c>
      <c r="CX732" s="76">
        <f t="shared" si="1430"/>
        <v>0</v>
      </c>
      <c r="CY732" s="76">
        <f t="shared" si="1431"/>
        <v>0</v>
      </c>
      <c r="CZ732" s="76">
        <f t="shared" si="1432"/>
        <v>0</v>
      </c>
      <c r="DA732" s="76">
        <f t="shared" si="1433"/>
        <v>0</v>
      </c>
      <c r="DB732" s="76">
        <f t="shared" si="1434"/>
        <v>0</v>
      </c>
      <c r="DC732" s="76">
        <f t="shared" si="1435"/>
        <v>0</v>
      </c>
      <c r="DD732" s="76">
        <f t="shared" si="1436"/>
        <v>0</v>
      </c>
      <c r="DE732" s="77">
        <f t="shared" si="1437"/>
        <v>0</v>
      </c>
      <c r="DF732" s="73">
        <f t="shared" si="1440"/>
        <v>43</v>
      </c>
      <c r="DG732" s="67">
        <f t="shared" si="1441"/>
        <v>57.167999999999992</v>
      </c>
      <c r="DH732" s="76">
        <f t="shared" si="1442"/>
        <v>16</v>
      </c>
      <c r="DI732" s="67">
        <f t="shared" si="1443"/>
        <v>68.699999999999989</v>
      </c>
      <c r="DJ732" s="202" t="str">
        <f>IF($D730="","",$D730)</f>
        <v>23</v>
      </c>
      <c r="DK732" s="493"/>
    </row>
    <row r="733" spans="1:115" ht="14.5" customHeight="1" x14ac:dyDescent="0.2">
      <c r="A733" s="459">
        <f>$A730+1</f>
        <v>244</v>
      </c>
      <c r="B733" s="507" t="str">
        <f>IF(OR(C733="W",C734="W",C735="W",C733="1/2W",C734="1/2W",C735="1/2W",C733="1/2L",C734="1/2L",C735="1/2L"),"OK",IF(OR(C733="L",C734="L",C735="L"),"LOSS",IF(OR(C733="X",C734="X",C735="X"),"Anulado"," ")))</f>
        <v>OK</v>
      </c>
      <c r="C733" s="93" t="s">
        <v>55</v>
      </c>
      <c r="D733" s="468" t="str">
        <f>IF(G733="","",$D730)</f>
        <v>23</v>
      </c>
      <c r="E733" s="485" t="str">
        <f>IF(G733=""," ","– "&amp;COUNTIF(D$4:D735,$D733))</f>
        <v>– 10</v>
      </c>
      <c r="F733" s="509" t="str">
        <f ca="1">IF(G733="","",IF(OR(AND($C733&lt;&gt;" ",$C734=" "),AND($C734&lt;&gt;" ",$C733=" "),AND(L735&gt;0,OR(AND($C735&lt;&gt;" ",OR($C733=" ",$C734=" ")),AND($C735=" ",OR($C733&lt;&gt;" ",$C734&lt;&gt;" "))))),IF(SUM(F$4:F732)=0,1,LARGE(F$4:F732,1)+1),IF(MONTH(G733)=MONTH(TODAY()),IF(AND(DAY(G733)&lt;DAY(TODAY()),$B733=" "),IF(SUM(F$4:F732)=0,1,LARGE(F$4:F732,1)+1),IF($B733=" ",IF(AND(DAY(G733)=DAY(TODAY()),HOUR(G733)&lt;=HOUR(NOW())+1),IF(AND(HOUR(G733)+2&lt;=HOUR(NOW()),DAY(G733)&lt;=DAY(TODAY()),MINUTE(G733)&lt;=MINUTE(NOW())),IF(SUM(F$4:F732)=0,1,LARGE(F$4:F732,1)+1),IF(OR(MINUTE(G733)&lt;=MINUTE(NOW()),HOUR(G733)&lt;=HOUR(NOW())),"!!!","")),""),"")),"")))</f>
        <v/>
      </c>
      <c r="G733" s="482">
        <v>45009.333333333336</v>
      </c>
      <c r="H733" s="475" t="s">
        <v>259</v>
      </c>
      <c r="I733" s="94" t="s">
        <v>51</v>
      </c>
      <c r="J733" s="95">
        <v>22</v>
      </c>
      <c r="K733" s="96" t="s">
        <v>40</v>
      </c>
      <c r="L733" s="97">
        <v>2.39</v>
      </c>
      <c r="M733" s="98">
        <v>32.369999999999997</v>
      </c>
      <c r="N733" s="478">
        <v>0</v>
      </c>
      <c r="O733" s="99">
        <f>IF(OR(AE733="",AE734=""),"",ROUND(IF(L735&gt;0,IF(M733&gt;0,M733,IF(M734&gt;0,ROUND((M734*AE733)/AE734,IF(N733=0,2,IF(N733=0.1,1,0))),ROUND((M735*AE733)/AE735,IF(N733=0,2,IF(N733=0.1,1,0))))),IF(M733&gt;0,M733,ROUND((M734*AE733)/AE734,IF(N733=0,2,IF(N733=0.1,1,0))))),2))</f>
        <v>32.369999999999997</v>
      </c>
      <c r="P733" s="100">
        <f>IF(OR(L733="",O733=""),"",IF($C733="1/2W",O733/2+O733/2*L733,IF($C733="1/2L",O733/2,IF(I733="Lay",(O733*(L733/(L733-1))-O733)*(1-_xlfn.XLOOKUP(K733,'Fevereiro 2023 - Valor Real'!A3:A15,'Fevereiro 2023 - Valor Real'!C3:C15,0))+O733,(O733*L733-O733)*(1-_xlfn.XLOOKUP(K733,'Fevereiro 2023 - Valor Real'!A3:A15,'Fevereiro 2023 - Valor Real'!C3:C15,0))+O733))))</f>
        <v>77.3643</v>
      </c>
      <c r="Q733" s="101">
        <f>IF(K733="","",IF(_xlfn.XLOOKUP(K733,K$4:K732,$DJ$4:DJ732,0,,-1)=DJ733,_xlfn.XLOOKUP(K733,K$4:K732,Q$4:Q732,1,,-1)+1,1))</f>
        <v>3</v>
      </c>
      <c r="R733" s="102">
        <f>IF(K733="","",_xlfn.XLOOKUP(K733,K$4:K732,R$4:R732,0,,-1)+IF($C733=" ",1,0))</f>
        <v>0</v>
      </c>
      <c r="S733" s="474">
        <f>IF($B733="Anulado",0,ROUND(IF(OR($B733="LOSS",$B733="OK"),IF(OR($C733="W",$C733="1/2W",$C733="1/2L"),P733-O733,IF($C733="L",-O733,0))+IF(OR($C734="W",$C734="1/2W",$C734="1/2L"),P734-O734,IF($C734="L",-O734,0))+IF(OR($C735="W",$C735="1/2W",$C735="1/2L"),P735-O735,IF($C735="L",-O735,0)),IF(AND(OR($C733="W",$C733="1/2W",$C733="1/2L"),C734="W"),P733+P734-SUM(O733:O735)+_xlfn.XLOOKUP("X",C733:C735,O733:O735,0),IF(AND(C733=TRUE,C735="W"),P733+P735-SUM(O733:O735),IF(AND(C734="W",C735="W"),P734+P735-SUM(O733:O735)+_xlfn.XLOOKUP("X",C733:C735,O733:O735,0),IF(L735&gt;0,IF(OR($C733="W",$C733="1/2W",$C733="1/2L"),P733-SUM(O733:O735)+_xlfn.XLOOKUP("X",C733:C735,O733:O735,0),IF(OR($C733="W",$C733="1/2W",$C733="1/2L"),P734-SUM(O733:O735)+_xlfn.XLOOKUP("X",C733:C735,O733:O735,0),IF(OR($C733="W",$C733="1/2W",$C733="1/2L"),P735-SUM(O733:O735)+_xlfn.XLOOKUP("X",C733:C735,O733:O735,0),IF(SUM(P733:P735)/3-SUM(O733:O735)+_xlfn.XLOOKUP("X",C733:C735,O733:O735,0)&gt;0,SUM(P733:P735)/3-SUM(O733:O735)+_xlfn.XLOOKUP("X",C733:C735,O733:O735,0),LARGE(P733:P735,1)-SUM(O733:O735))))),IF(OR($C733="W",$C733="1/2W",$C733="1/2L"),P733-SUM(O733:O734)+_xlfn.XLOOKUP("X",C733:C735,O733:O735,0),IF(OR($C733="W",$C733="1/2W",$C733="1/2L"),P734-SUM(O733:O734)+_xlfn.XLOOKUP("X",C733:C735,O733:O735,0),SUM(P733:P734)/2-SUM(O733:O734)+_xlfn.XLOOKUP("X",C733:C735,O733:O735,0)))))))),2))</f>
        <v>3.2</v>
      </c>
      <c r="T733" s="458">
        <f>IF(S733=0,0,S733/SUM(O733:O735))</f>
        <v>4.311506332524926E-2</v>
      </c>
      <c r="U733" s="470">
        <f>IF($D733=$D730,IF(OR($B733="LOSS",$B733="OK",$B733="Anulada"),S733,0)+U730,IF(OR($B733="LOSS",$B733="OK",$B733="Anulada"),S733,0))</f>
        <v>21.889999999999997</v>
      </c>
      <c r="V733" s="470">
        <f>IF($D733="",0,IF($D733=$D730,IF($B733=" ",IF(I735="",IF(OR(AND(I733="DNB1",I734="DNB2"),AND(OR(I733="DNB1",I733="DNB2"),J734=0),AND(OR(I734="DNB1",I734="DNB2"),J733=0),AND(I733="DNB2",I734="DNB1"),AND(IF(J733=0,(J733+1)/ROUND(J733+1,0),J733/ROUND(J733,0))=1,IF(J734=0,(J734+1)/ROUND(IF(J734="",0,J734)+1,0),IF(J734="",0,J734)/ROUND(IF(J734="",1,J734),0))=1,OR(J733&lt;&gt;""),J734&lt;&gt;"")),0,IF(S733&lt;0,IF(I735="",SMALL(P733:P734,1)-SUM(O733:O734),0),SMALL(P733:P734,1)-SUM(O733:O734))),IF(S733&lt;0,IF(I735="",SMALL(P733:P735,1)-SUM(O733:O735),0),LARGE(P733:P735,1)-SUM(O733:O735))),S733)+V730,IF(I735="",IF(OR(AND(I733="DNB1",I734="DNB2"),AND(OR(I733="DNB1",I733="DNB2"),J734=0),AND(OR(I734="DNB1",I734="DNB2"),J733=0),AND(I733="DNB2",I734="DNB1"),AND(IF(J733=0,(J733+1)/ROUND(J733+1,0),J733/ROUND(J733,0))=1,IF(J734=0,(IF(J734="",0,J734)+1)/ROUND(IF(J734="",0,J734)+1,0),IF(J734="",0,J734)/ROUND(IF(J734="",0,J734)+1,0))=1,OR(J733&lt;&gt;""),J734&lt;&gt;"")),0,IF(S733&lt;0,IF(I735="",SMALL(P733:P734,1)-SUM(O733:O734),0),SMALL(P733:P735,1)-SUM(O733:O735))),IF(S733&lt;0,IF(I735="",SMALL(P733:P735,1)-SUM(O733:O735),0),LARGE(P733:P735,1)-SUM(O733:O735)))))</f>
        <v>21.89</v>
      </c>
      <c r="W733" s="470">
        <f>IF($D733=$D730,IF(S733&lt;0,IF(I735="",S733,0),S733)+W730,S733)</f>
        <v>21.889999999999997</v>
      </c>
      <c r="X733" s="480" t="str">
        <f>IF(OR(SUM(R733:R735)=0,V733=W733),ROUND(IF(W733=0,0,W733/Y733)*100,2)&amp;"%",ROUND(IF(V733=0,0,V733/Y733)*100,2)&amp;"% a "&amp;ROUND(IF(W733=0,0,W733/Y733)*100,2)&amp;"%")</f>
        <v>9,28%</v>
      </c>
      <c r="Y733" s="471">
        <f>IF($D733=$D730,Y730+SUM(O733:O735),SUM(O733:O735))</f>
        <v>235.98999999999998</v>
      </c>
      <c r="Z733" s="470">
        <f>IF($B733=" ",SUM(O733:O735),0)+Z730</f>
        <v>0</v>
      </c>
      <c r="AA733" s="470">
        <f>IF(G733="","",IF($B733="Anulado",LARGE(P733:P735,1)-SUM(O733:O735)+AA730,AA730))</f>
        <v>13.381099999999991</v>
      </c>
      <c r="AB733" s="470">
        <f>IF($D733="","",AB730+S733)</f>
        <v>828.2500000000008</v>
      </c>
      <c r="AC733" s="472">
        <f ca="1">IF($D733="","",IF($B733=" ",IF(DAY(G733)=DAY(TODAY()),1+AC730,0+AC730),0+AC730))</f>
        <v>0</v>
      </c>
      <c r="AD733" s="103">
        <f>(((L734/(L734-1)-1)*(1-_xlfn.XLOOKUP(K734,'Fevereiro 2023 - Valor Real'!A3:A15,'Fevereiro 2023 - Valor Real'!C3:C15,0))+1))/(((L733-1)*(1-_xlfn.XLOOKUP(K733,'Fevereiro 2023 - Valor Real'!A3:A15,'Fevereiro 2023 - Valor Real'!C3:C15,0))+1)+((L734/(L734-1)-1)*(1-_xlfn.XLOOKUP(K734,'Fevereiro 2023 - Valor Real'!A3:A15,'Fevereiro 2023 - Valor Real'!C3:C15,0))+1))</f>
        <v>0.47661986345484991</v>
      </c>
      <c r="AE733" s="104">
        <f>IF(L733="","",IF(L735&gt;0,(SUM(((L733-1)*(1-_xlfn.XLOOKUP(K733,'Fevereiro 2023 - Valor Real'!A3:A15,'Fevereiro 2023 - Valor Real'!C3:C15,0))+1),((L734-1)*(1-_xlfn.XLOOKUP(K734,'Fevereiro 2023 - Valor Real'!A3:A15,'Fevereiro 2023 - Valor Real'!C3:C15,0))+1),((L735-1)*(1-_xlfn.XLOOKUP(K735,'Fevereiro 2023 - Valor Real'!A3:A15,'Fevereiro 2023 - Valor Real'!C3:C15,0))+1))/((L733-1)*(1-_xlfn.XLOOKUP(K733,'Fevereiro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Real'!C3:C15,0))+1))/((L733-1)*(1-_xlfn.XLOOKUP(K733,'Fevereiro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Real'!C3:C15,0))+1))/((L734-1)*(1-_xlfn.XLOOKUP(K734,'Fevereiro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Real'!C3:C15,0))+1))/((L735-1)*(1-_xlfn.XLOOKUP(K735,'Fevereiro 2023 - Valor Real'!A3:A15,'Fevereiro 2023 - Valor Real'!C3:C15,0))+1)),IF(I733="Lay",IF(I734="Lay",((L734/(L734-1)-1)*(1-_xlfn.XLOOKUP(K734,'Fevereiro 2023 - Valor Real'!A3:A15,'Fevereiro 2023 - Valor Real'!C3:C15,0))+1)/(((L734/(L734-1)-1)*(1-_xlfn.XLOOKUP(K734,'Fevereiro 2023 - Valor Real'!A3:A15,'Fevereiro 2023 - Valor Real'!C3:C15,0))+1)+((L733/(L733-1)-1)*(1-_xlfn.XLOOKUP(K733,'Fevereiro 2023 - Valor Real'!A3:A15,'Fevereiro 2023 - Valor Real'!C3:C15,0))+1)),((L734-1)*(1-_xlfn.XLOOKUP(K734,'Fevereiro 2023 - Valor Real'!A3:A15,'Fevereiro 2023 - Valor Real'!C3:C15,0))+1)/(((L734-1)*(1-_xlfn.XLOOKUP(K734,'Fevereiro 2023 - Valor Real'!A3:A15,'Fevereiro 2023 - Valor Real'!C3:C15,0))+1)+((L733/(L733-1)-1)*(1-_xlfn.XLOOKUP(K733,'Fevereiro 2023 - Valor Real'!A3:A15,'Fevereiro 2023 - Valor Real'!C3:C15,0))+1))),IF(I734="Lay",(((L734/(L734-1)-1)*(1-_xlfn.XLOOKUP(K734,'Fevereiro 2023 - Valor Real'!A3:A15,'Fevereiro 2023 - Valor Real'!C3:C15,0))+1))/(((L733-1)*(1-_xlfn.XLOOKUP(K733,'Fevereiro 2023 - Valor Real'!A3:A15,'Fevereiro 2023 - Valor Real'!C3:C15,0))+1)+((L734/(L734-1)-1)*(1-_xlfn.XLOOKUP(K734,'Fevereiro 2023 - Valor Real'!A3:A15,'Fevereiro 2023 - Valor Real'!C3:C15,0))+1)),((L734-1)*(1-_xlfn.XLOOKUP(K734,'Fevereiro 2023 - Valor Real'!A3:A15,'Fevereiro 2023 - Valor Real'!C3:C15,0))+1)/(((L734-1)*(1-_xlfn.XLOOKUP(K734,'Fevereiro 2023 - Valor Real'!A3:A15,'Fevereiro 2023 - Valor Real'!C3:C15,0))+1)+((L733-1)*(1-_xlfn.XLOOKUP(K733,'Fevereiro 2023 - Valor Real'!A3:A15,'Fevereiro 2023 - Valor Real'!C3:C15,0))+1))))))</f>
        <v>0.43632075471698112</v>
      </c>
      <c r="AF733" s="105">
        <f t="shared" si="1464"/>
        <v>0</v>
      </c>
      <c r="AG733" s="106">
        <f t="shared" si="1464"/>
        <v>0</v>
      </c>
      <c r="AH733" s="106">
        <f t="shared" si="1464"/>
        <v>0</v>
      </c>
      <c r="AI733" s="106">
        <f t="shared" si="1464"/>
        <v>0</v>
      </c>
      <c r="AJ733" s="106">
        <f t="shared" si="1464"/>
        <v>-32.369999999999997</v>
      </c>
      <c r="AK733" s="106">
        <f t="shared" si="1464"/>
        <v>0</v>
      </c>
      <c r="AL733" s="106">
        <f t="shared" si="1464"/>
        <v>0</v>
      </c>
      <c r="AM733" s="106">
        <f t="shared" si="1464"/>
        <v>0</v>
      </c>
      <c r="AN733" s="106">
        <f t="shared" si="1464"/>
        <v>0</v>
      </c>
      <c r="AO733" s="106">
        <f t="shared" si="1464"/>
        <v>0</v>
      </c>
      <c r="AP733" s="106">
        <f t="shared" si="1464"/>
        <v>0</v>
      </c>
      <c r="AQ733" s="106">
        <f t="shared" si="1464"/>
        <v>0</v>
      </c>
      <c r="AR733" s="107">
        <f t="shared" si="1464"/>
        <v>0</v>
      </c>
      <c r="AS733" s="105">
        <f t="shared" ref="AS733:BE733" si="1478">IF(AND($B733=" ",$K733=AS$3),$O733,0)</f>
        <v>0</v>
      </c>
      <c r="AT733" s="106">
        <f t="shared" si="1478"/>
        <v>0</v>
      </c>
      <c r="AU733" s="106">
        <f t="shared" si="1478"/>
        <v>0</v>
      </c>
      <c r="AV733" s="106">
        <f t="shared" si="1478"/>
        <v>0</v>
      </c>
      <c r="AW733" s="106">
        <f t="shared" si="1478"/>
        <v>0</v>
      </c>
      <c r="AX733" s="106">
        <f t="shared" si="1478"/>
        <v>0</v>
      </c>
      <c r="AY733" s="108">
        <f t="shared" si="1478"/>
        <v>0</v>
      </c>
      <c r="AZ733" s="109">
        <f t="shared" si="1478"/>
        <v>0</v>
      </c>
      <c r="BA733" s="109">
        <f t="shared" si="1478"/>
        <v>0</v>
      </c>
      <c r="BB733" s="109">
        <f t="shared" si="1478"/>
        <v>0</v>
      </c>
      <c r="BC733" s="110">
        <f t="shared" si="1478"/>
        <v>0</v>
      </c>
      <c r="BD733" s="106">
        <f t="shared" si="1478"/>
        <v>0</v>
      </c>
      <c r="BE733" s="107">
        <f t="shared" si="1478"/>
        <v>0</v>
      </c>
      <c r="BF733" s="111">
        <f t="shared" si="1466"/>
        <v>0</v>
      </c>
      <c r="BG733" s="106">
        <f t="shared" si="1466"/>
        <v>0</v>
      </c>
      <c r="BH733" s="106">
        <f t="shared" si="1466"/>
        <v>0</v>
      </c>
      <c r="BI733" s="106">
        <f t="shared" si="1466"/>
        <v>0</v>
      </c>
      <c r="BJ733" s="106">
        <f t="shared" si="1466"/>
        <v>32.369999999999997</v>
      </c>
      <c r="BK733" s="106">
        <f t="shared" si="1466"/>
        <v>0</v>
      </c>
      <c r="BL733" s="106">
        <f t="shared" si="1466"/>
        <v>0</v>
      </c>
      <c r="BM733" s="108">
        <f t="shared" si="1466"/>
        <v>0</v>
      </c>
      <c r="BN733" s="109">
        <f t="shared" si="1466"/>
        <v>0</v>
      </c>
      <c r="BO733" s="109">
        <f t="shared" si="1466"/>
        <v>0</v>
      </c>
      <c r="BP733" s="109">
        <f t="shared" si="1466"/>
        <v>0</v>
      </c>
      <c r="BQ733" s="110">
        <f t="shared" si="1466"/>
        <v>0</v>
      </c>
      <c r="BR733" s="107">
        <f t="shared" si="1466"/>
        <v>0</v>
      </c>
      <c r="BS733" s="463">
        <f>IF($B733="LOSS",IF(AND($K733=BS$3,$C733="L"),-$O733,0)+IF(AND($K734=BS$3,$C734="L"),-$O734,0)+IF(AND($K735=BS$3,$C735="L"),-$O735,0),IF(OR(AND($K733=BS$3,OR($C733="W",$C733="1/2W")),AND($K734=BS$3,OR($C734="W",$C734="1/2W")),AND($K735=BS$3,OR($C735="W",$C735="1/2W"))),$S733,0))</f>
        <v>0</v>
      </c>
      <c r="BT733" s="462">
        <f>IF($B733="LOSS",IF(AND($K733=BT$3,$C733="L"),-$O733,0)+IF(AND($K734=BT$3,$C734="L"),-$O734,0)+IF(AND($K734=BT$3,$C735="L"),-$O735,0),IF(OR(AND($K734=BT$3,OR($C733="W",$C733="1/2W")),AND($K734=BT$3,OR($C734="W",$C734="1/2W")),AND($K734=BT$3,OR($C735="W",$C735="1/2W"))),$S733,0))</f>
        <v>0</v>
      </c>
      <c r="BU733" s="462">
        <f>IF($B733="LOSS",IF(AND($K733=BU$3,$C733="L"),-$O733,0)+IF(AND($K734=BU$3,$C734="L"),-$O734,0)+IF(AND($K734=BU$3,$C735="L"),-$O735,0),IF(OR(AND($K734=BU$3,OR($C733="W",$C733="1/2W")),AND($K734=BU$3,OR($C734="W",$C734="1/2W")),AND($K734=BU$3,OR($C735="W",$C735="1/2W"))),$S733,0))</f>
        <v>0</v>
      </c>
      <c r="BV733" s="462">
        <f t="shared" ref="BV733:CE733" si="1479">IF($B733="LOSS",IF(AND($K733=BV$3,$C733="L"),-$O733,0)+IF(AND($K734=BV$3,$C734="L"),-$O734,0)+IF(AND($K735=BV$3,$C735="L"),-$O735,0),IF(OR(AND($K733=BV$3,OR($C733="W",$C733="1/2W")),AND($K734=BV$3,OR($C734="W",$C734="1/2W")),AND($K735=BV$3,OR($C735="W",$C735="1/2W"))),$S733,0))</f>
        <v>0</v>
      </c>
      <c r="BW733" s="462">
        <f t="shared" si="1479"/>
        <v>0</v>
      </c>
      <c r="BX733" s="462">
        <f t="shared" si="1479"/>
        <v>0</v>
      </c>
      <c r="BY733" s="462">
        <f t="shared" si="1479"/>
        <v>0</v>
      </c>
      <c r="BZ733" s="460">
        <f t="shared" si="1479"/>
        <v>0</v>
      </c>
      <c r="CA733" s="460">
        <f t="shared" si="1479"/>
        <v>0</v>
      </c>
      <c r="CB733" s="460">
        <f t="shared" si="1479"/>
        <v>0</v>
      </c>
      <c r="CC733" s="460">
        <f t="shared" si="1479"/>
        <v>0</v>
      </c>
      <c r="CD733" s="473">
        <f t="shared" si="1479"/>
        <v>3.2</v>
      </c>
      <c r="CE733" s="479">
        <f t="shared" si="1479"/>
        <v>0</v>
      </c>
      <c r="CF733" s="113">
        <f t="shared" si="1412"/>
        <v>0</v>
      </c>
      <c r="CG733" s="114">
        <f t="shared" si="1413"/>
        <v>0</v>
      </c>
      <c r="CH733" s="114">
        <f t="shared" si="1414"/>
        <v>0</v>
      </c>
      <c r="CI733" s="114">
        <f t="shared" si="1415"/>
        <v>0</v>
      </c>
      <c r="CJ733" s="114">
        <f t="shared" si="1416"/>
        <v>0</v>
      </c>
      <c r="CK733" s="114">
        <f t="shared" si="1417"/>
        <v>0</v>
      </c>
      <c r="CL733" s="114">
        <f t="shared" si="1418"/>
        <v>0</v>
      </c>
      <c r="CM733" s="114">
        <f t="shared" si="1419"/>
        <v>0</v>
      </c>
      <c r="CN733" s="114">
        <f t="shared" si="1420"/>
        <v>0</v>
      </c>
      <c r="CO733" s="114">
        <f t="shared" si="1421"/>
        <v>1</v>
      </c>
      <c r="CP733" s="114">
        <f t="shared" si="1422"/>
        <v>0</v>
      </c>
      <c r="CQ733" s="114">
        <f t="shared" si="1423"/>
        <v>0</v>
      </c>
      <c r="CR733" s="114">
        <f t="shared" si="1424"/>
        <v>0</v>
      </c>
      <c r="CS733" s="114">
        <f t="shared" si="1425"/>
        <v>0</v>
      </c>
      <c r="CT733" s="115">
        <f t="shared" si="1426"/>
        <v>0</v>
      </c>
      <c r="CU733" s="116">
        <f t="shared" si="1427"/>
        <v>0</v>
      </c>
      <c r="CV733" s="116">
        <f t="shared" si="1428"/>
        <v>0</v>
      </c>
      <c r="CW733" s="116">
        <f t="shared" si="1429"/>
        <v>0</v>
      </c>
      <c r="CX733" s="116">
        <f t="shared" si="1430"/>
        <v>0</v>
      </c>
      <c r="CY733" s="116">
        <f t="shared" si="1431"/>
        <v>0</v>
      </c>
      <c r="CZ733" s="116">
        <f t="shared" si="1432"/>
        <v>0</v>
      </c>
      <c r="DA733" s="116">
        <f t="shared" si="1433"/>
        <v>0</v>
      </c>
      <c r="DB733" s="116">
        <f t="shared" si="1434"/>
        <v>0</v>
      </c>
      <c r="DC733" s="116">
        <f t="shared" si="1435"/>
        <v>0</v>
      </c>
      <c r="DD733" s="116">
        <f t="shared" si="1436"/>
        <v>0</v>
      </c>
      <c r="DE733" s="117">
        <f t="shared" si="1437"/>
        <v>0</v>
      </c>
      <c r="DF733" s="118">
        <f t="shared" si="1440"/>
        <v>43</v>
      </c>
      <c r="DG733" s="106">
        <f t="shared" si="1441"/>
        <v>57.167999999999992</v>
      </c>
      <c r="DH733" s="116">
        <f t="shared" si="1442"/>
        <v>16</v>
      </c>
      <c r="DI733" s="106">
        <f t="shared" si="1443"/>
        <v>68.699999999999989</v>
      </c>
      <c r="DJ733" s="201" t="str">
        <f>IF($D733="","",$D733)</f>
        <v>23</v>
      </c>
      <c r="DK733" s="465">
        <f>IF(AND($B733=" ",$D733&lt;&gt;""),1,0)</f>
        <v>0</v>
      </c>
    </row>
    <row r="734" spans="1:115" ht="14.5" customHeight="1" x14ac:dyDescent="0.2">
      <c r="A734" s="389"/>
      <c r="B734" s="456"/>
      <c r="C734" s="120" t="s">
        <v>54</v>
      </c>
      <c r="D734" s="374"/>
      <c r="E734" s="386"/>
      <c r="F734" s="377"/>
      <c r="G734" s="483"/>
      <c r="H734" s="476"/>
      <c r="I734" s="121" t="s">
        <v>52</v>
      </c>
      <c r="J734" s="122">
        <f>IF(OR(I733="TO",I733="TU",I733="TO1",I733="TU1",I733="TO2",I733="TU2"),J733,IF(OR(I733="AH1",I733="AH2"),IF(OR(I734="AH1",I734="AH2"),-J733,IF(OR(I734="EH1",I734="EH2"),-J733+0.5,"")),IF(OR(I733="EH1",I733="EH2"),IF(OR(I734="AH1",I734="AH2"),-J733+0.5,IF(OR(I734="EH1",I734="EH2"),-J733+1,"")),IF(AND(OR(I733="DNB1",I733="DNB2"),OR(I734="AH1",I734="AH2")),0,IF(AND(I733="Not ScoreBoth",OR(I734="TO1",I734="TO2")),0.5,"")))))</f>
        <v>22</v>
      </c>
      <c r="K734" s="123" t="s">
        <v>47</v>
      </c>
      <c r="L734" s="124">
        <v>1.85</v>
      </c>
      <c r="M734" s="125">
        <v>41.85</v>
      </c>
      <c r="N734" s="406"/>
      <c r="O734" s="126">
        <f>IF(OR(AE733="",AE734=""),"",ROUND(IF(L735&gt;0,IF(M734&gt;0,M734,IF(M733&gt;0,IF(N733=TRUE,ROUND((M733*AE734)/AE733,0),(M733*AE734)/AE733),IF(M734&gt;0,ROUND(M734,IF(N733=0,2,IF(N733=0.1,1,0))),IF(M735&gt;0,ROUND(O735*AE734/AE735,IF(N733=0,2,IF(N733=0.1,1,0))),0)))),IF(M734&gt;0,M734,ROUND((M733*AE734)/AE733,IF(N733=0,2,IF(N733=0.1,1,0))))),2))</f>
        <v>41.85</v>
      </c>
      <c r="P734" s="127">
        <f>IF(OR(L734="",O734=""),"",IF($C734="1/2W",O734/2+O734/2*L734,IF($C734="1/2L",O734/2,IF(I734="Lay",((O734*(L734/(L734-1)))-O734)*(1-_xlfn.XLOOKUP(K734,'Fevereiro 2023 - Valor Real'!A3:A15,'Fevereiro 2023 - Valor Real'!C3:C15,0))+O734,(O734*L734-O734)*(1-_xlfn.XLOOKUP(K734,'Fevereiro 2023 - Valor Real'!A3:A15,'Fevereiro 2023 - Valor Real'!C3:C15,0))+O734))))</f>
        <v>77.422499999999999</v>
      </c>
      <c r="Q734" s="128">
        <f>IF(K734="","",IF(_xlfn.XLOOKUP(K734,K$4:K733,$DJ$4:DJ733,0,,-1)=DJ734,_xlfn.XLOOKUP(K734,K$4:K733,Q$4:Q733,1,,-1)+1,1))</f>
        <v>2</v>
      </c>
      <c r="R734" s="129">
        <f>IF(K734="","",_xlfn.XLOOKUP(K734,K$4:K733,R$4:R733,0,,-1)+IF($C734=" ",1,0))</f>
        <v>0</v>
      </c>
      <c r="S734" s="403"/>
      <c r="T734" s="380"/>
      <c r="U734" s="380"/>
      <c r="V734" s="481"/>
      <c r="W734" s="380"/>
      <c r="X734" s="452"/>
      <c r="Y734" s="383"/>
      <c r="Z734" s="384"/>
      <c r="AA734" s="384"/>
      <c r="AB734" s="384"/>
      <c r="AC734" s="384"/>
      <c r="AD734" s="130">
        <f>(((L734/(L734-1)-1)*(1-_xlfn.XLOOKUP(K734,'Fevereiro 2023 - Valor Real'!A3:A15,'Fevereiro 2023 - Valor Real'!C3:C15,0))+1))</f>
        <v>2.1764705882352939</v>
      </c>
      <c r="AE734" s="131">
        <f>IF(L734="","",IF(L735&gt;0,(SUM(((L733-1)*(1-_xlfn.XLOOKUP(K733,'Fevereiro 2023 - Valor Real'!A3:A15,'Fevereiro 2023 - Valor Real'!C3:C15,0))+1),((L734-1)*(1-_xlfn.XLOOKUP(K734,'Fevereiro 2023 - Valor Real'!A3:A15,'Fevereiro 2023 - Valor Real'!C3:C15,0))+1),((L735-1)*(1-_xlfn.XLOOKUP(K735,'Fevereiro 2023 - Valor Real'!A3:A15,'Fevereiro 2023 - Valor Real'!C3:C15,0))+1))/((L734-1)*(1-_xlfn.XLOOKUP(K734,'Fevereiro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Real'!C3:C15,0))+1))/((L733-1)*(1-_xlfn.XLOOKUP(K733,'Fevereiro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Real'!C3:C15,0))+1))/((L734-1)*(1-_xlfn.XLOOKUP(K734,'Fevereiro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Real'!C3:C15,0))+1))/((L735-1)*(1-_xlfn.XLOOKUP(K735,'Fevereiro 2023 - Valor Real'!A3:A15,'Fevereiro 2023 - Valor Real'!C3:C15,0))+1)),IF(I734="Lay",IF(I733="Lay",((L733/(L733-1)-1)*(1-_xlfn.XLOOKUP(K733,'Fevereiro 2023 - Valor Real'!A3:A15,'Fevereiro 2023 - Valor Real'!C3:C15,0))+1)/(((L733/(L733-1)-1)*(1-_xlfn.XLOOKUP(K733,'Fevereiro 2023 - Valor Real'!A3:A15,'Fevereiro 2023 - Valor Real'!C3:C15,0))+1)+((L734/(L734-1)-1)*(1-_xlfn.XLOOKUP(K734,'Fevereiro 2023 - Valor Real'!A3:A15,'Fevereiro 2023 - Valor Real'!C3:C15,0))+1)),((L733-1)*(1-_xlfn.XLOOKUP(K733,'Fevereiro 2023 - Valor Real'!A3:A15,'Fevereiro 2023 - Valor Real'!C3:C15,0))+1)/(((L733-1)*(1-_xlfn.XLOOKUP(K733,'Fevereiro 2023 - Valor Real'!A3:A15,'Fevereiro 2023 - Valor Real'!C3:C15,0))+1)+((L734/(L734-1)-1)*(1-_xlfn.XLOOKUP(K734,'Fevereiro 2023 - Valor Real'!A3:A15,'Fevereiro 2023 - Valor Real'!C3:C15,0))+1))),IF(I733="Lay",((L733/(L733-1)-1)*(1-_xlfn.XLOOKUP(K733,'Fevereiro 2023 - Valor Real'!A3:A15,'Fevereiro 2023 - Valor Real'!C3:C15,0))+1)/((((L733/(L733-1)-1)*(1-_xlfn.XLOOKUP(K733,'Fevereiro 2023 - Valor Real'!A3:A15,'Fevereiro 2023 - Valor Real'!C3:C15,0))+1))+((L734-1)*(1-_xlfn.XLOOKUP(K734,'Fevereiro 2023 - Valor Real'!A3:A15,'Fevereiro 2023 - Valor Real'!C3:C15,0))+1)),((L733-1)*(1-_xlfn.XLOOKUP(K733,'Fevereiro 2023 - Valor Real'!A3:A15,'Fevereiro 2023 - Valor Real'!C3:C15,0))+1)/(((L733-1)*(1-_xlfn.XLOOKUP(K733,'Fevereiro 2023 - Valor Real'!A3:A15,'Fevereiro 2023 - Valor Real'!C3:C15,0))+1)+((L734-1)*(1-_xlfn.XLOOKUP(K734,'Fevereiro 2023 - Valor Real'!A3:A15,'Fevereiro 2023 - Valor Real'!C3:C15,0))+1))))))</f>
        <v>0.56367924528301883</v>
      </c>
      <c r="AF734" s="105">
        <f t="shared" ref="AF734:AR743" si="1480">IF($K734=AF$3,ROUND(IF(OR($C734="W",$C734="1/2W",$C734="1/2L"),$P734-$O734,IF($C734="X",0,-$O734)),2),0)</f>
        <v>0</v>
      </c>
      <c r="AG734" s="106">
        <f t="shared" si="1480"/>
        <v>0</v>
      </c>
      <c r="AH734" s="106">
        <f t="shared" si="1480"/>
        <v>0</v>
      </c>
      <c r="AI734" s="106">
        <f t="shared" si="1480"/>
        <v>0</v>
      </c>
      <c r="AJ734" s="106">
        <f t="shared" si="1480"/>
        <v>0</v>
      </c>
      <c r="AK734" s="106">
        <f t="shared" si="1480"/>
        <v>0</v>
      </c>
      <c r="AL734" s="106">
        <f t="shared" si="1480"/>
        <v>0</v>
      </c>
      <c r="AM734" s="106">
        <f t="shared" si="1480"/>
        <v>0</v>
      </c>
      <c r="AN734" s="106">
        <f t="shared" si="1480"/>
        <v>0</v>
      </c>
      <c r="AO734" s="106">
        <f t="shared" si="1480"/>
        <v>0</v>
      </c>
      <c r="AP734" s="106">
        <f t="shared" si="1480"/>
        <v>0</v>
      </c>
      <c r="AQ734" s="106">
        <f t="shared" si="1480"/>
        <v>35.57</v>
      </c>
      <c r="AR734" s="107">
        <f t="shared" si="1480"/>
        <v>0</v>
      </c>
      <c r="AS734" s="105">
        <f>IF(AND($B733=" ",$K734=AS$3),$O734,0)</f>
        <v>0</v>
      </c>
      <c r="AT734" s="106">
        <f>IF(AND($B733=" ",K734=AT$3),$O734,0)</f>
        <v>0</v>
      </c>
      <c r="AU734" s="106">
        <f t="shared" ref="AU734:BE734" si="1481">IF(AND($B733=" ",$K734=AU$3),$O734,0)</f>
        <v>0</v>
      </c>
      <c r="AV734" s="106">
        <f t="shared" si="1481"/>
        <v>0</v>
      </c>
      <c r="AW734" s="106">
        <f t="shared" si="1481"/>
        <v>0</v>
      </c>
      <c r="AX734" s="106">
        <f t="shared" si="1481"/>
        <v>0</v>
      </c>
      <c r="AY734" s="108">
        <f t="shared" si="1481"/>
        <v>0</v>
      </c>
      <c r="AZ734" s="109">
        <f t="shared" si="1481"/>
        <v>0</v>
      </c>
      <c r="BA734" s="109">
        <f t="shared" si="1481"/>
        <v>0</v>
      </c>
      <c r="BB734" s="109">
        <f t="shared" si="1481"/>
        <v>0</v>
      </c>
      <c r="BC734" s="110">
        <f t="shared" si="1481"/>
        <v>0</v>
      </c>
      <c r="BD734" s="106">
        <f t="shared" si="1481"/>
        <v>0</v>
      </c>
      <c r="BE734" s="107">
        <f t="shared" si="1481"/>
        <v>0</v>
      </c>
      <c r="BF734" s="105">
        <f t="shared" ref="BF734:BR743" si="1482">IF($K734=BF$3,IF($C734="X",0,$O734),0)</f>
        <v>0</v>
      </c>
      <c r="BG734" s="106">
        <f t="shared" si="1482"/>
        <v>0</v>
      </c>
      <c r="BH734" s="106">
        <f t="shared" si="1482"/>
        <v>0</v>
      </c>
      <c r="BI734" s="106">
        <f t="shared" si="1482"/>
        <v>0</v>
      </c>
      <c r="BJ734" s="106">
        <f t="shared" si="1482"/>
        <v>0</v>
      </c>
      <c r="BK734" s="106">
        <f t="shared" si="1482"/>
        <v>0</v>
      </c>
      <c r="BL734" s="106">
        <f t="shared" si="1482"/>
        <v>0</v>
      </c>
      <c r="BM734" s="132">
        <f t="shared" si="1482"/>
        <v>0</v>
      </c>
      <c r="BN734" s="112">
        <f t="shared" si="1482"/>
        <v>0</v>
      </c>
      <c r="BO734" s="112">
        <f t="shared" si="1482"/>
        <v>0</v>
      </c>
      <c r="BP734" s="112">
        <f t="shared" si="1482"/>
        <v>0</v>
      </c>
      <c r="BQ734" s="110">
        <f t="shared" si="1482"/>
        <v>41.85</v>
      </c>
      <c r="BR734" s="107">
        <f t="shared" si="1482"/>
        <v>0</v>
      </c>
      <c r="BS734" s="464"/>
      <c r="BT734" s="461"/>
      <c r="BU734" s="392"/>
      <c r="BV734" s="461"/>
      <c r="BW734" s="392"/>
      <c r="BX734" s="392"/>
      <c r="BY734" s="392"/>
      <c r="BZ734" s="461"/>
      <c r="CA734" s="392"/>
      <c r="CB734" s="392"/>
      <c r="CC734" s="392"/>
      <c r="CD734" s="401"/>
      <c r="CE734" s="409"/>
      <c r="CF734" s="133">
        <f t="shared" si="1412"/>
        <v>0</v>
      </c>
      <c r="CG734" s="134">
        <f t="shared" si="1413"/>
        <v>0</v>
      </c>
      <c r="CH734" s="134">
        <f t="shared" si="1414"/>
        <v>0</v>
      </c>
      <c r="CI734" s="134">
        <f t="shared" si="1415"/>
        <v>0</v>
      </c>
      <c r="CJ734" s="134">
        <f t="shared" si="1416"/>
        <v>0</v>
      </c>
      <c r="CK734" s="134">
        <f t="shared" si="1417"/>
        <v>0</v>
      </c>
      <c r="CL734" s="134">
        <f t="shared" si="1418"/>
        <v>0</v>
      </c>
      <c r="CM734" s="134">
        <f t="shared" si="1419"/>
        <v>0</v>
      </c>
      <c r="CN734" s="134">
        <f t="shared" si="1420"/>
        <v>0</v>
      </c>
      <c r="CO734" s="134">
        <f t="shared" si="1421"/>
        <v>0</v>
      </c>
      <c r="CP734" s="134">
        <f t="shared" si="1422"/>
        <v>0</v>
      </c>
      <c r="CQ734" s="134">
        <f t="shared" si="1423"/>
        <v>0</v>
      </c>
      <c r="CR734" s="134">
        <f t="shared" si="1424"/>
        <v>0</v>
      </c>
      <c r="CS734" s="134">
        <f t="shared" si="1425"/>
        <v>0</v>
      </c>
      <c r="CT734" s="115">
        <f t="shared" si="1426"/>
        <v>0</v>
      </c>
      <c r="CU734" s="116">
        <f t="shared" si="1427"/>
        <v>0</v>
      </c>
      <c r="CV734" s="116">
        <f t="shared" si="1428"/>
        <v>0</v>
      </c>
      <c r="CW734" s="116">
        <f t="shared" si="1429"/>
        <v>0</v>
      </c>
      <c r="CX734" s="116">
        <f t="shared" si="1430"/>
        <v>0</v>
      </c>
      <c r="CY734" s="116">
        <f t="shared" si="1431"/>
        <v>0</v>
      </c>
      <c r="CZ734" s="116">
        <f t="shared" si="1432"/>
        <v>0</v>
      </c>
      <c r="DA734" s="116">
        <f t="shared" si="1433"/>
        <v>0</v>
      </c>
      <c r="DB734" s="116">
        <f t="shared" si="1434"/>
        <v>1</v>
      </c>
      <c r="DC734" s="116">
        <f t="shared" si="1435"/>
        <v>0</v>
      </c>
      <c r="DD734" s="116">
        <f t="shared" si="1436"/>
        <v>0</v>
      </c>
      <c r="DE734" s="117">
        <f t="shared" si="1437"/>
        <v>0</v>
      </c>
      <c r="DF734" s="118">
        <f t="shared" si="1440"/>
        <v>43</v>
      </c>
      <c r="DG734" s="106">
        <f t="shared" si="1441"/>
        <v>57.167999999999992</v>
      </c>
      <c r="DH734" s="116">
        <f t="shared" si="1442"/>
        <v>16</v>
      </c>
      <c r="DI734" s="106">
        <f t="shared" si="1443"/>
        <v>68.699999999999989</v>
      </c>
      <c r="DJ734" s="201" t="str">
        <f>IF($D733="","",$D733)</f>
        <v>23</v>
      </c>
      <c r="DK734" s="466"/>
    </row>
    <row r="735" spans="1:115" ht="14.5" customHeight="1" x14ac:dyDescent="0.2">
      <c r="A735" s="390"/>
      <c r="B735" s="457"/>
      <c r="C735" s="135" t="s">
        <v>53</v>
      </c>
      <c r="D735" s="375"/>
      <c r="E735" s="387"/>
      <c r="F735" s="378"/>
      <c r="G735" s="484"/>
      <c r="H735" s="477"/>
      <c r="I735" s="136"/>
      <c r="J735" s="137"/>
      <c r="K735" s="138"/>
      <c r="L735" s="139"/>
      <c r="M735" s="140"/>
      <c r="N735" s="407"/>
      <c r="O735" s="141" t="str">
        <f>IF(OR(AE733="",AE734=""),"",IF(L735&gt;0,ROUND(IF(M735&gt;0,M735,IF(M733&gt;0,ROUND((M733*AE735)/AE733,IF(N733=0,2,IF(N733=0.1,1,0))),IF(M734&gt;0,ROUND((M734*AE735)/AE734,IF(N733=0,2,IF(N733=0.1,1,0))),IF(M735&gt;0,M735,0)))),2),""))</f>
        <v/>
      </c>
      <c r="P735" s="142" t="str">
        <f>IF(I734="Lay",O734*(L734/(L734-1))-O734,IF(I733="Lay",O733*(L733/(L733-1))-O733,IF(OR(L735="",O735=""),"",IF($C735="1/2W",O735/2+O735/2*L735,IF($C735="1/2L",O735/2,(O735*L735-O735)*(1-_xlfn.XLOOKUP(K735,'Fevereiro 2023 - Valor Real'!A3:A15,'Fevereiro 2023 - Valor Real'!C3:C15,0))+O735)))))</f>
        <v/>
      </c>
      <c r="Q735" s="143" t="str">
        <f>IF(K735="","",IF(_xlfn.XLOOKUP(K735,K$4:K734,$DJ$4:DJ734,0,,-1)=DJ735,_xlfn.XLOOKUP(K735,K$4:K734,Q$4:Q734,1,,-1)+1,1))</f>
        <v/>
      </c>
      <c r="R735" s="144" t="str">
        <f>IF(K735="","",_xlfn.XLOOKUP(K735,K$4:K734,R$4:R734,0,,-1)+IF($C735=" ",1,0))</f>
        <v/>
      </c>
      <c r="S735" s="404"/>
      <c r="T735" s="378"/>
      <c r="U735" s="378"/>
      <c r="V735" s="404"/>
      <c r="W735" s="378"/>
      <c r="X735" s="453"/>
      <c r="Y735" s="383"/>
      <c r="Z735" s="384"/>
      <c r="AA735" s="384"/>
      <c r="AB735" s="384"/>
      <c r="AC735" s="384"/>
      <c r="AD735" s="145">
        <f>((L734/(L734-1)-1))</f>
        <v>1.1764705882352939</v>
      </c>
      <c r="AE735" s="146" t="str">
        <f>IF(L735="","",(SUM(((L733-1)*(1-_xlfn.XLOOKUP(K733,'Fevereiro 2023 - Valor Real'!A3:A15,'Fevereiro 2023 - Valor Real'!C3:C15,0))+1),((L734-1)*(1-_xlfn.XLOOKUP(K734,'Fevereiro 2023 - Valor Real'!A3:A15,'Fevereiro 2023 - Valor Real'!C3:C15,0))+1),((L735-1)*(1-_xlfn.XLOOKUP(K735,'Fevereiro 2023 - Valor Real'!A3:A15,'Fevereiro 2023 - Valor Real'!C3:C15,0))+1))/((L735-1)*(1-_xlfn.XLOOKUP(K735,'Fevereiro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Real'!C3:C15,0))+1))/((L733-1)*(1-_xlfn.XLOOKUP(K733,'Fevereiro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Real'!C3:C15,0))+1))/((L734-1)*(1-_xlfn.XLOOKUP(K734,'Fevereiro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Real'!C3:C15,0))+1))/((L735-1)*(1-_xlfn.XLOOKUP(K735,'Fevereiro 2023 - Valor Real'!A3:A15,'Fevereiro 2023 - Valor Real'!C3:C15,0))+1)))</f>
        <v/>
      </c>
      <c r="AF735" s="105">
        <f t="shared" si="1480"/>
        <v>0</v>
      </c>
      <c r="AG735" s="106">
        <f t="shared" si="1480"/>
        <v>0</v>
      </c>
      <c r="AH735" s="106">
        <f t="shared" si="1480"/>
        <v>0</v>
      </c>
      <c r="AI735" s="106">
        <f t="shared" si="1480"/>
        <v>0</v>
      </c>
      <c r="AJ735" s="106">
        <f t="shared" si="1480"/>
        <v>0</v>
      </c>
      <c r="AK735" s="106">
        <f t="shared" si="1480"/>
        <v>0</v>
      </c>
      <c r="AL735" s="106">
        <f t="shared" si="1480"/>
        <v>0</v>
      </c>
      <c r="AM735" s="106">
        <f t="shared" si="1480"/>
        <v>0</v>
      </c>
      <c r="AN735" s="106">
        <f t="shared" si="1480"/>
        <v>0</v>
      </c>
      <c r="AO735" s="106">
        <f t="shared" si="1480"/>
        <v>0</v>
      </c>
      <c r="AP735" s="106">
        <f t="shared" si="1480"/>
        <v>0</v>
      </c>
      <c r="AQ735" s="106">
        <f t="shared" si="1480"/>
        <v>0</v>
      </c>
      <c r="AR735" s="107">
        <f t="shared" si="1480"/>
        <v>0</v>
      </c>
      <c r="AS735" s="105">
        <f>IF(AND($B733=" ",$K735=AS$3),$O735,0)</f>
        <v>0</v>
      </c>
      <c r="AT735" s="106">
        <f>IF(AND($B733=" ",K735=AT$3),$O735,0)</f>
        <v>0</v>
      </c>
      <c r="AU735" s="106">
        <f t="shared" ref="AU735:BE735" si="1483">IF(AND($B733=" ",$K735=AU$3),$O735,0)</f>
        <v>0</v>
      </c>
      <c r="AV735" s="106">
        <f t="shared" si="1483"/>
        <v>0</v>
      </c>
      <c r="AW735" s="106">
        <f t="shared" si="1483"/>
        <v>0</v>
      </c>
      <c r="AX735" s="106">
        <f t="shared" si="1483"/>
        <v>0</v>
      </c>
      <c r="AY735" s="108">
        <f t="shared" si="1483"/>
        <v>0</v>
      </c>
      <c r="AZ735" s="109">
        <f t="shared" si="1483"/>
        <v>0</v>
      </c>
      <c r="BA735" s="109">
        <f t="shared" si="1483"/>
        <v>0</v>
      </c>
      <c r="BB735" s="109">
        <f t="shared" si="1483"/>
        <v>0</v>
      </c>
      <c r="BC735" s="110">
        <f t="shared" si="1483"/>
        <v>0</v>
      </c>
      <c r="BD735" s="106">
        <f t="shared" si="1483"/>
        <v>0</v>
      </c>
      <c r="BE735" s="107">
        <f t="shared" si="1483"/>
        <v>0</v>
      </c>
      <c r="BF735" s="105">
        <f t="shared" si="1482"/>
        <v>0</v>
      </c>
      <c r="BG735" s="106">
        <f t="shared" si="1482"/>
        <v>0</v>
      </c>
      <c r="BH735" s="106">
        <f t="shared" si="1482"/>
        <v>0</v>
      </c>
      <c r="BI735" s="106">
        <f t="shared" si="1482"/>
        <v>0</v>
      </c>
      <c r="BJ735" s="106">
        <f t="shared" si="1482"/>
        <v>0</v>
      </c>
      <c r="BK735" s="106">
        <f t="shared" si="1482"/>
        <v>0</v>
      </c>
      <c r="BL735" s="106">
        <f t="shared" si="1482"/>
        <v>0</v>
      </c>
      <c r="BM735" s="108">
        <f t="shared" si="1482"/>
        <v>0</v>
      </c>
      <c r="BN735" s="109">
        <f t="shared" si="1482"/>
        <v>0</v>
      </c>
      <c r="BO735" s="109">
        <f t="shared" si="1482"/>
        <v>0</v>
      </c>
      <c r="BP735" s="109">
        <f t="shared" si="1482"/>
        <v>0</v>
      </c>
      <c r="BQ735" s="110">
        <f t="shared" si="1482"/>
        <v>0</v>
      </c>
      <c r="BR735" s="107">
        <f t="shared" si="1482"/>
        <v>0</v>
      </c>
      <c r="BS735" s="464"/>
      <c r="BT735" s="461"/>
      <c r="BU735" s="392"/>
      <c r="BV735" s="461"/>
      <c r="BW735" s="392"/>
      <c r="BX735" s="392"/>
      <c r="BY735" s="392"/>
      <c r="BZ735" s="461"/>
      <c r="CA735" s="392"/>
      <c r="CB735" s="392"/>
      <c r="CC735" s="392"/>
      <c r="CD735" s="401"/>
      <c r="CE735" s="409"/>
      <c r="CF735" s="133">
        <f t="shared" si="1412"/>
        <v>0</v>
      </c>
      <c r="CG735" s="134">
        <f t="shared" si="1413"/>
        <v>0</v>
      </c>
      <c r="CH735" s="134">
        <f t="shared" si="1414"/>
        <v>0</v>
      </c>
      <c r="CI735" s="134">
        <f t="shared" si="1415"/>
        <v>0</v>
      </c>
      <c r="CJ735" s="134">
        <f t="shared" si="1416"/>
        <v>0</v>
      </c>
      <c r="CK735" s="134">
        <f t="shared" si="1417"/>
        <v>0</v>
      </c>
      <c r="CL735" s="134">
        <f t="shared" si="1418"/>
        <v>0</v>
      </c>
      <c r="CM735" s="134">
        <f t="shared" si="1419"/>
        <v>0</v>
      </c>
      <c r="CN735" s="134">
        <f t="shared" si="1420"/>
        <v>0</v>
      </c>
      <c r="CO735" s="134">
        <f t="shared" si="1421"/>
        <v>0</v>
      </c>
      <c r="CP735" s="134">
        <f t="shared" si="1422"/>
        <v>0</v>
      </c>
      <c r="CQ735" s="134">
        <f t="shared" si="1423"/>
        <v>0</v>
      </c>
      <c r="CR735" s="134">
        <f t="shared" si="1424"/>
        <v>0</v>
      </c>
      <c r="CS735" s="134">
        <f t="shared" si="1425"/>
        <v>0</v>
      </c>
      <c r="CT735" s="115">
        <f t="shared" si="1426"/>
        <v>0</v>
      </c>
      <c r="CU735" s="116">
        <f t="shared" si="1427"/>
        <v>0</v>
      </c>
      <c r="CV735" s="116">
        <f t="shared" si="1428"/>
        <v>0</v>
      </c>
      <c r="CW735" s="116">
        <f t="shared" si="1429"/>
        <v>0</v>
      </c>
      <c r="CX735" s="116">
        <f t="shared" si="1430"/>
        <v>0</v>
      </c>
      <c r="CY735" s="116">
        <f t="shared" si="1431"/>
        <v>0</v>
      </c>
      <c r="CZ735" s="116">
        <f t="shared" si="1432"/>
        <v>0</v>
      </c>
      <c r="DA735" s="116">
        <f t="shared" si="1433"/>
        <v>0</v>
      </c>
      <c r="DB735" s="116">
        <f t="shared" si="1434"/>
        <v>0</v>
      </c>
      <c r="DC735" s="116">
        <f t="shared" si="1435"/>
        <v>0</v>
      </c>
      <c r="DD735" s="116">
        <f t="shared" si="1436"/>
        <v>0</v>
      </c>
      <c r="DE735" s="117">
        <f t="shared" si="1437"/>
        <v>0</v>
      </c>
      <c r="DF735" s="118">
        <f t="shared" si="1440"/>
        <v>43</v>
      </c>
      <c r="DG735" s="106">
        <f t="shared" si="1441"/>
        <v>57.167999999999992</v>
      </c>
      <c r="DH735" s="116">
        <f t="shared" si="1442"/>
        <v>16</v>
      </c>
      <c r="DI735" s="106">
        <f t="shared" si="1443"/>
        <v>68.699999999999989</v>
      </c>
      <c r="DJ735" s="201" t="str">
        <f>IF($D733="","",$D733)</f>
        <v>23</v>
      </c>
      <c r="DK735" s="466"/>
    </row>
    <row r="736" spans="1:115" ht="14.5" customHeight="1" x14ac:dyDescent="0.2">
      <c r="A736" s="487">
        <f>$A733+1</f>
        <v>245</v>
      </c>
      <c r="B736" s="506" t="str">
        <f>IF(OR(C736="W",C737="W",C738="W",C736="1/2W",C737="1/2W",C738="1/2W",C736="1/2L",C737="1/2L",C738="1/2L"),"OK",IF(OR(C736="L",C737="L",C738="L"),"LOSS",IF(OR(C736="X",C737="X",C738="X"),"Anulado"," ")))</f>
        <v>OK</v>
      </c>
      <c r="C736" s="147" t="s">
        <v>55</v>
      </c>
      <c r="D736" s="494" t="str">
        <f>IF(G736="","",$D733)</f>
        <v>23</v>
      </c>
      <c r="E736" s="511" t="str">
        <f>IF(G736=""," ","– "&amp;COUNTIF(D$4:D738,$D736))</f>
        <v>– 11</v>
      </c>
      <c r="F736" s="510" t="str">
        <f ca="1">IF(G736="","",IF(OR(AND($C736&lt;&gt;" ",$C737=" "),AND($C737&lt;&gt;" ",$C736=" "),AND(L738&gt;0,OR(AND($C738&lt;&gt;" ",OR($C736=" ",$C737=" ")),AND($C738=" ",OR($C736&lt;&gt;" ",$C737&lt;&gt;" "))))),IF(SUM(F$4:F735)=0,1,LARGE(F$4:F735,1)+1),IF(MONTH(G736)=MONTH(TODAY()),IF(AND(DAY(G736)&lt;DAY(TODAY()),$B736=" "),IF(SUM(F$4:F735)=0,1,LARGE(F$4:F735,1)+1),IF($B736=" ",IF(AND(DAY(G736)=DAY(TODAY()),HOUR(G736)&lt;=HOUR(NOW())+1),IF(AND(HOUR(G736)+2&lt;=HOUR(NOW()),DAY(G736)&lt;=DAY(TODAY()),MINUTE(G736)&lt;=MINUTE(NOW())),IF(SUM(F$4:F735)=0,1,LARGE(F$4:F735,1)+1),IF(OR(MINUTE(G736)&lt;=MINUTE(NOW()),HOUR(G736)&lt;=HOUR(NOW())),"!!!","")),""),"")),"")))</f>
        <v/>
      </c>
      <c r="G736" s="508">
        <v>45009.270833333336</v>
      </c>
      <c r="H736" s="502" t="s">
        <v>260</v>
      </c>
      <c r="I736" s="148">
        <v>2</v>
      </c>
      <c r="J736" s="149"/>
      <c r="K736" s="150" t="s">
        <v>37</v>
      </c>
      <c r="L736" s="151">
        <v>2</v>
      </c>
      <c r="M736" s="152"/>
      <c r="N736" s="503">
        <v>0</v>
      </c>
      <c r="O736" s="153">
        <f>IF(OR(AE736="",AE737=""),"",ROUND(IF(L738&gt;0,IF(M736&gt;0,M736,IF(M737&gt;0,ROUND((M737*AE736)/AE737,IF(N736=0,2,IF(N736=0.1,1,0))),ROUND((M738*AE736)/AE738,IF(N736=0,2,IF(N736=0.1,1,0))))),IF(M736&gt;0,M736,ROUND((M737*AE736)/AE737,IF(N736=0,2,IF(N736=0.1,1,0))))),2))</f>
        <v>24.63</v>
      </c>
      <c r="P736" s="154">
        <f>IF(OR(L736="",O736=""),"",IF($C736="1/2W",O736/2+O736/2*L736,IF($C736="1/2L",O736/2,IF(I736="Lay",(O736*(L736/(L736-1))-O736)*(1-_xlfn.XLOOKUP(K736,'Fevereiro 2023 - Valor Real'!A3:A15,'Fevereiro 2023 - Valor Real'!C3:C15,0))+O736,(O736*L736-O736)*(1-_xlfn.XLOOKUP(K736,'Fevereiro 2023 - Valor Real'!A3:A15,'Fevereiro 2023 - Valor Real'!C3:C15,0))+O736))))</f>
        <v>49.26</v>
      </c>
      <c r="Q736" s="155">
        <f>IF(K736="","",IF(_xlfn.XLOOKUP(K736,K$9:K728,$DJ$9:DJ728,0,,-1)=DJ736,_xlfn.XLOOKUP(K736,K$9:K728,Q$9:Q728,1,,-1)+1,1))</f>
        <v>5</v>
      </c>
      <c r="R736" s="156">
        <f>IF(K736="","",_xlfn.XLOOKUP(K736,K$9:K728,R$9:R728,0,,-1)+IF($C736=" ",1,0))</f>
        <v>0</v>
      </c>
      <c r="S736" s="501">
        <f>IF($B736="Anulado",0,ROUND(IF(OR($B736="LOSS",$B736="OK"),IF(OR($C736="W",$C736="1/2W",$C736="1/2L"),P736-O736,IF($C736="L",-O736,0))+IF(OR($C737="W",$C737="1/2W",$C737="1/2L"),P737-O737,IF($C737="L",-O737,0))+IF(OR($C738="W",$C738="1/2W",$C738="1/2L"),P738-O738,IF($C738="L",-O738,0)),IF(AND(OR($C736="W",$C736="1/2W",$C736="1/2L"),C737="W"),P736+P737-SUM(O736:O738)+_xlfn.XLOOKUP("X",C736:C738,O736:O738,0),IF(AND(C736=TRUE,C738="W"),P736+P738-SUM(O736:O738),IF(AND(C737="W",C738="W"),P737+P738-SUM(O736:O738)+_xlfn.XLOOKUP("X",C736:C738,O736:O738,0),IF(L738&gt;0,IF(OR($C736="W",$C736="1/2W",$C736="1/2L"),P736-SUM(O736:O738)+_xlfn.XLOOKUP("X",C736:C738,O736:O738,0),IF(OR($C736="W",$C736="1/2W",$C736="1/2L"),P737-SUM(O736:O738)+_xlfn.XLOOKUP("X",C736:C738,O736:O738,0),IF(OR($C736="W",$C736="1/2W",$C736="1/2L"),P738-SUM(O736:O738)+_xlfn.XLOOKUP("X",C736:C738,O736:O738,0),IF(SUM(P736:P738)/3-SUM(O736:O738)+_xlfn.XLOOKUP("X",C736:C738,O736:O738,0)&gt;0,SUM(P736:P738)/3-SUM(O736:O738)+_xlfn.XLOOKUP("X",C736:C738,O736:O738,0),LARGE(P736:P738,1)-SUM(O736:O738))))),IF(OR($C736="W",$C736="1/2W",$C736="1/2L"),P736-SUM(O736:O737)+_xlfn.XLOOKUP("X",C736:C738,O736:O738,0),IF(OR($C736="W",$C736="1/2W",$C736="1/2L"),P737-SUM(O736:O737)+_xlfn.XLOOKUP("X",C736:C738,O736:O738,0),SUM(P736:P737)/2-SUM(O736:O737)+_xlfn.XLOOKUP("X",C736:C738,O736:O738,0)))))))),2))</f>
        <v>1.51</v>
      </c>
      <c r="T736" s="486">
        <f>IF(S736=0,0,S736/SUM(O736:O738))</f>
        <v>3.1616415410385262E-2</v>
      </c>
      <c r="U736" s="496">
        <f>IF($D736=$D733,IF(OR($B736="LOSS",$B736="OK",$B736="Anulada"),S736,0)+U733,IF(OR($B736="LOSS",$B736="OK",$B736="Anulada"),S736,0))</f>
        <v>23.4</v>
      </c>
      <c r="V736" s="496">
        <f>IF($D736="",0,IF($D736=$D733,IF($B736=" ",IF(I738="",IF(OR(AND(I736="DNB1",I737="DNB2"),AND(OR(I736="DNB1",I736="DNB2"),J737=0),AND(OR(I737="DNB1",I737="DNB2"),J736=0),AND(I736="DNB2",I737="DNB1"),AND(IF(J736=0,(J736+1)/ROUND(J736+1,0),J736/ROUND(J736,0))=1,IF(J737=0,(J737+1)/ROUND(IF(J737="",0,J737)+1,0),IF(J737="",0,J737)/ROUND(IF(J737="",1,J737),0))=1,OR(J736&lt;&gt;""),J737&lt;&gt;"")),0,IF(S736&lt;0,IF(I738="",SMALL(P736:P737,1)-SUM(O736:O737),0),SMALL(P736:P737,1)-SUM(O736:O737))),IF(S736&lt;0,IF(I738="",SMALL(P736:P738,1)-SUM(O736:O738),0),LARGE(P736:P738,1)-SUM(O736:O738))),S736)+V733,IF(I738="",IF(OR(AND(I736="DNB1",I737="DNB2"),AND(OR(I736="DNB1",I736="DNB2"),J737=0),AND(OR(I737="DNB1",I737="DNB2"),J736=0),AND(I736="DNB2",I737="DNB1"),AND(IF(J736=0,(J736+1)/ROUND(J736+1,0),J736/ROUND(J736,0))=1,IF(J737=0,(IF(J737="",0,J737)+1)/ROUND(IF(J737="",0,J737)+1,0),IF(J737="",0,J737)/ROUND(IF(J737="",0,J737)+1,0))=1,OR(J736&lt;&gt;""),J737&lt;&gt;"")),0,IF(S736&lt;0,IF(I738="",SMALL(P736:P737,1)-SUM(O736:O737),0),SMALL(P736:P738,1)-SUM(O736:O738))),IF(S736&lt;0,IF(I738="",SMALL(P736:P738,1)-SUM(O736:O738),0),LARGE(P736:P738,1)-SUM(O736:O738)))))</f>
        <v>23.400000000000002</v>
      </c>
      <c r="W736" s="496">
        <f>IF($D736=$D733,IF(S736&lt;0,IF(I738="",S736,0),S736)+W733,S736)</f>
        <v>23.4</v>
      </c>
      <c r="X736" s="505" t="str">
        <f>IF(OR(SUM(R736:R738)=0,V736=W736),ROUND(IF(W736=0,0,W736/Y736)*100,2)&amp;"%",ROUND(IF(V736=0,0,V736/Y736)*100,2)&amp;"% a "&amp;ROUND(IF(W736=0,0,W736/Y736)*100,2)&amp;"%")</f>
        <v>8,25%</v>
      </c>
      <c r="Y736" s="497">
        <f>IF($D736=$D733,Y733+SUM(O736:O738),SUM(O736:O738))</f>
        <v>283.75</v>
      </c>
      <c r="Z736" s="496">
        <f>IF($B736=" ",SUM(O736:O738),0)+Z733</f>
        <v>0</v>
      </c>
      <c r="AA736" s="496">
        <f>IF(G736="","",IF($B736="Anulado",LARGE(P736:P738,1)-SUM(O736:O738)+AA733,AA733))</f>
        <v>13.381099999999991</v>
      </c>
      <c r="AB736" s="496">
        <f>IF($D736="","",AB733+S736)</f>
        <v>829.76000000000079</v>
      </c>
      <c r="AC736" s="499">
        <f ca="1">IF($D736="","",IF($B736=" ",IF(DAY(G736)=DAY(TODAY()),1+AC733,0+AC733),0+AC733))</f>
        <v>0</v>
      </c>
      <c r="AD736" s="157">
        <f>(1-_xlfn.XLOOKUP(K734,'Fevereiro 2023 - Valor Real'!A3:A15,'Fevereiro 2023 - Valor Real'!C3:C15,0))+1</f>
        <v>2</v>
      </c>
      <c r="AE736" s="158">
        <f>IF(L736="","",IF(L738&gt;0,(SUM(((L736-1)*(1-_xlfn.XLOOKUP(K736,'Fevereiro 2023 - Valor Real'!A3:A15,'Fevereiro 2023 - Valor Real'!C3:C15,0))+1),((L737-1)*(1-_xlfn.XLOOKUP(K737,'Fevereiro 2023 - Valor Real'!A3:A15,'Fevereiro 2023 - Valor Real'!C3:C15,0))+1),((L738-1)*(1-_xlfn.XLOOKUP(K738,'Fevereiro 2023 - Valor Real'!A3:A15,'Fevereiro 2023 - Valor Real'!C3:C15,0))+1))/((L736-1)*(1-_xlfn.XLOOKUP(K736,'Fevereiro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Real'!C3:C15,0))+1))/((L736-1)*(1-_xlfn.XLOOKUP(K736,'Fevereiro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Real'!C3:C15,0))+1))/((L737-1)*(1-_xlfn.XLOOKUP(K737,'Fevereiro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Real'!C3:C15,0))+1))/((L738-1)*(1-_xlfn.XLOOKUP(K738,'Fevereiro 2023 - Valor Real'!A3:A15,'Fevereiro 2023 - Valor Real'!C3:C15,0))+1)),IF(I736="Lay",IF(I737="Lay",((L737/(L737-1)-1)*(1-_xlfn.XLOOKUP(K737,'Fevereiro 2023 - Valor Real'!A3:A15,'Fevereiro 2023 - Valor Real'!C3:C15,0))+1)/(((L737/(L737-1)-1)*(1-_xlfn.XLOOKUP(K737,'Fevereiro 2023 - Valor Real'!A3:A15,'Fevereiro 2023 - Valor Real'!C3:C15,0))+1)+((L736/(L736-1)-1)*(1-_xlfn.XLOOKUP(K736,'Fevereiro 2023 - Valor Real'!A3:A15,'Fevereiro 2023 - Valor Real'!C3:C15,0))+1)),((L737-1)*(1-_xlfn.XLOOKUP(K737,'Fevereiro 2023 - Valor Real'!A3:A15,'Fevereiro 2023 - Valor Real'!C3:C15,0))+1)/(((L737-1)*(1-_xlfn.XLOOKUP(K737,'Fevereiro 2023 - Valor Real'!A3:A15,'Fevereiro 2023 - Valor Real'!C3:C15,0))+1)+((L736/(L736-1)-1)*(1-_xlfn.XLOOKUP(K736,'Fevereiro 2023 - Valor Real'!A3:A15,'Fevereiro 2023 - Valor Real'!C3:C15,0))+1))),IF(I737="Lay",(((L737/(L737-1)-1)*(1-_xlfn.XLOOKUP(K737,'Fevereiro 2023 - Valor Real'!A3:A15,'Fevereiro 2023 - Valor Real'!C3:C15,0))+1))/(((L736-1)*(1-_xlfn.XLOOKUP(K736,'Fevereiro 2023 - Valor Real'!A3:A15,'Fevereiro 2023 - Valor Real'!C3:C15,0))+1)+((L737/(L737-1)-1)*(1-_xlfn.XLOOKUP(K737,'Fevereiro 2023 - Valor Real'!A3:A15,'Fevereiro 2023 - Valor Real'!C3:C15,0))+1)),((L737-1)*(1-_xlfn.XLOOKUP(K737,'Fevereiro 2023 - Valor Real'!A3:A15,'Fevereiro 2023 - Valor Real'!C3:C15,0))+1)/(((L737-1)*(1-_xlfn.XLOOKUP(K737,'Fevereiro 2023 - Valor Real'!A3:A15,'Fevereiro 2023 - Valor Real'!C3:C15,0))+1)+((L736-1)*(1-_xlfn.XLOOKUP(K736,'Fevereiro 2023 - Valor Real'!A3:A15,'Fevereiro 2023 - Valor Real'!C3:C15,0))+1))))))</f>
        <v>0.51573849878934619</v>
      </c>
      <c r="AF736" s="66">
        <f t="shared" si="1480"/>
        <v>0</v>
      </c>
      <c r="AG736" s="67">
        <f t="shared" si="1480"/>
        <v>-24.63</v>
      </c>
      <c r="AH736" s="67">
        <f t="shared" si="1480"/>
        <v>0</v>
      </c>
      <c r="AI736" s="67">
        <f t="shared" si="1480"/>
        <v>0</v>
      </c>
      <c r="AJ736" s="67">
        <f t="shared" si="1480"/>
        <v>0</v>
      </c>
      <c r="AK736" s="67">
        <f t="shared" si="1480"/>
        <v>0</v>
      </c>
      <c r="AL736" s="67">
        <f t="shared" si="1480"/>
        <v>0</v>
      </c>
      <c r="AM736" s="67">
        <f t="shared" si="1480"/>
        <v>0</v>
      </c>
      <c r="AN736" s="67">
        <f t="shared" si="1480"/>
        <v>0</v>
      </c>
      <c r="AO736" s="67">
        <f t="shared" si="1480"/>
        <v>0</v>
      </c>
      <c r="AP736" s="67">
        <f t="shared" si="1480"/>
        <v>0</v>
      </c>
      <c r="AQ736" s="67">
        <f t="shared" si="1480"/>
        <v>0</v>
      </c>
      <c r="AR736" s="68">
        <f t="shared" si="1480"/>
        <v>0</v>
      </c>
      <c r="AS736" s="66">
        <f t="shared" ref="AS736:BE736" si="1484">IF(AND($B736=" ",$K736=AS$3),$O736,0)</f>
        <v>0</v>
      </c>
      <c r="AT736" s="67">
        <f t="shared" si="1484"/>
        <v>0</v>
      </c>
      <c r="AU736" s="67">
        <f t="shared" si="1484"/>
        <v>0</v>
      </c>
      <c r="AV736" s="67">
        <f t="shared" si="1484"/>
        <v>0</v>
      </c>
      <c r="AW736" s="67">
        <f t="shared" si="1484"/>
        <v>0</v>
      </c>
      <c r="AX736" s="67">
        <f t="shared" si="1484"/>
        <v>0</v>
      </c>
      <c r="AY736" s="69">
        <f t="shared" si="1484"/>
        <v>0</v>
      </c>
      <c r="AZ736" s="70">
        <f t="shared" si="1484"/>
        <v>0</v>
      </c>
      <c r="BA736" s="70">
        <f t="shared" si="1484"/>
        <v>0</v>
      </c>
      <c r="BB736" s="70">
        <f t="shared" si="1484"/>
        <v>0</v>
      </c>
      <c r="BC736" s="71">
        <f t="shared" si="1484"/>
        <v>0</v>
      </c>
      <c r="BD736" s="67">
        <f t="shared" si="1484"/>
        <v>0</v>
      </c>
      <c r="BE736" s="68">
        <f t="shared" si="1484"/>
        <v>0</v>
      </c>
      <c r="BF736" s="66">
        <f t="shared" si="1482"/>
        <v>0</v>
      </c>
      <c r="BG736" s="67">
        <f t="shared" si="1482"/>
        <v>24.63</v>
      </c>
      <c r="BH736" s="67">
        <f t="shared" si="1482"/>
        <v>0</v>
      </c>
      <c r="BI736" s="67">
        <f t="shared" si="1482"/>
        <v>0</v>
      </c>
      <c r="BJ736" s="67">
        <f t="shared" si="1482"/>
        <v>0</v>
      </c>
      <c r="BK736" s="67">
        <f t="shared" si="1482"/>
        <v>0</v>
      </c>
      <c r="BL736" s="67">
        <f t="shared" si="1482"/>
        <v>0</v>
      </c>
      <c r="BM736" s="69">
        <f t="shared" si="1482"/>
        <v>0</v>
      </c>
      <c r="BN736" s="70">
        <f t="shared" si="1482"/>
        <v>0</v>
      </c>
      <c r="BO736" s="70">
        <f t="shared" si="1482"/>
        <v>0</v>
      </c>
      <c r="BP736" s="70">
        <f t="shared" si="1482"/>
        <v>0</v>
      </c>
      <c r="BQ736" s="71">
        <f t="shared" si="1482"/>
        <v>0</v>
      </c>
      <c r="BR736" s="68">
        <f t="shared" si="1482"/>
        <v>0</v>
      </c>
      <c r="BS736" s="490">
        <f>IF($B736="LOSS",IF(AND($K736=BS$3,$C736="L"),-$O736,0)+IF(AND($K737=BS$3,$C737="L"),-$O737,0)+IF(AND($K738=BS$3,$C738="L"),-$O738,0),IF(OR(AND($K736=BS$3,OR($C736="W",$C736="1/2W")),AND($K737=BS$3,OR($C737="W",$C737="1/2W")),AND($K738=BS$3,OR($C738="W",$C738="1/2W"))),$S736,0))</f>
        <v>0</v>
      </c>
      <c r="BT736" s="498">
        <f>IF($B736="LOSS",IF(AND($K736=BT$3,$C736="L"),-$O736,0)+IF(AND($K737=BT$3,$C737="L"),-$O737,0)+IF(AND($K737=BT$3,$C738="L"),-$O738,0),IF(OR(AND($K737=BT$3,OR($C736="W",$C736="1/2W")),AND($K737=BT$3,OR($C737="W",$C737="1/2W")),AND($K737=BT$3,OR($C738="W",$C738="1/2W"))),$S736,0))</f>
        <v>0</v>
      </c>
      <c r="BU736" s="488">
        <f>IF($B736="LOSS",IF(AND($K736=BU$3,$C736="L"),-$O736,0)+IF(AND($K737=BU$3,$C737="L"),-$O737,0)+IF(AND($K737=BU$3,$C738="L"),-$O738,0),IF(OR(AND($K737=BU$3,OR($C736="W",$C736="1/2W")),AND($K737=BU$3,OR($C737="W",$C737="1/2W")),AND($K737=BU$3,OR($C738="W",$C738="1/2W"))),$S736,0))</f>
        <v>0</v>
      </c>
      <c r="BV736" s="488">
        <f t="shared" ref="BV736:CE736" si="1485">IF($B736="LOSS",IF(AND($K736=BV$3,$C736="L"),-$O736,0)+IF(AND($K737=BV$3,$C737="L"),-$O737,0)+IF(AND($K738=BV$3,$C738="L"),-$O738,0),IF(OR(AND($K736=BV$3,OR($C736="W",$C736="1/2W")),AND($K737=BV$3,OR($C737="W",$C737="1/2W")),AND($K738=BV$3,OR($C738="W",$C738="1/2W"))),$S736,0))</f>
        <v>0</v>
      </c>
      <c r="BW736" s="488">
        <f t="shared" si="1485"/>
        <v>0</v>
      </c>
      <c r="BX736" s="488">
        <f t="shared" si="1485"/>
        <v>0</v>
      </c>
      <c r="BY736" s="488">
        <f t="shared" si="1485"/>
        <v>0</v>
      </c>
      <c r="BZ736" s="488">
        <f t="shared" si="1485"/>
        <v>0</v>
      </c>
      <c r="CA736" s="488">
        <f t="shared" si="1485"/>
        <v>0</v>
      </c>
      <c r="CB736" s="488">
        <f t="shared" si="1485"/>
        <v>0</v>
      </c>
      <c r="CC736" s="488">
        <f t="shared" si="1485"/>
        <v>0</v>
      </c>
      <c r="CD736" s="500">
        <f t="shared" si="1485"/>
        <v>1.51</v>
      </c>
      <c r="CE736" s="504">
        <f t="shared" si="1485"/>
        <v>0</v>
      </c>
      <c r="CF736" s="160">
        <f t="shared" si="1412"/>
        <v>0</v>
      </c>
      <c r="CG736" s="161">
        <f t="shared" si="1413"/>
        <v>0</v>
      </c>
      <c r="CH736" s="161">
        <f t="shared" si="1414"/>
        <v>0</v>
      </c>
      <c r="CI736" s="161">
        <f t="shared" si="1415"/>
        <v>1</v>
      </c>
      <c r="CJ736" s="161">
        <f t="shared" si="1416"/>
        <v>0</v>
      </c>
      <c r="CK736" s="161">
        <f t="shared" si="1417"/>
        <v>0</v>
      </c>
      <c r="CL736" s="161">
        <f t="shared" si="1418"/>
        <v>0</v>
      </c>
      <c r="CM736" s="161">
        <f t="shared" si="1419"/>
        <v>0</v>
      </c>
      <c r="CN736" s="161">
        <f t="shared" si="1420"/>
        <v>0</v>
      </c>
      <c r="CO736" s="161">
        <f t="shared" si="1421"/>
        <v>0</v>
      </c>
      <c r="CP736" s="161">
        <f t="shared" si="1422"/>
        <v>0</v>
      </c>
      <c r="CQ736" s="161">
        <f t="shared" si="1423"/>
        <v>0</v>
      </c>
      <c r="CR736" s="161">
        <f t="shared" si="1424"/>
        <v>0</v>
      </c>
      <c r="CS736" s="161">
        <f t="shared" si="1425"/>
        <v>0</v>
      </c>
      <c r="CT736" s="75">
        <f t="shared" si="1426"/>
        <v>0</v>
      </c>
      <c r="CU736" s="76">
        <f t="shared" si="1427"/>
        <v>0</v>
      </c>
      <c r="CV736" s="76">
        <f t="shared" si="1428"/>
        <v>0</v>
      </c>
      <c r="CW736" s="76">
        <f t="shared" si="1429"/>
        <v>0</v>
      </c>
      <c r="CX736" s="76">
        <f t="shared" si="1430"/>
        <v>0</v>
      </c>
      <c r="CY736" s="76">
        <f t="shared" si="1431"/>
        <v>0</v>
      </c>
      <c r="CZ736" s="76">
        <f t="shared" si="1432"/>
        <v>0</v>
      </c>
      <c r="DA736" s="76">
        <f t="shared" si="1433"/>
        <v>0</v>
      </c>
      <c r="DB736" s="76">
        <f t="shared" si="1434"/>
        <v>0</v>
      </c>
      <c r="DC736" s="76">
        <f t="shared" si="1435"/>
        <v>0</v>
      </c>
      <c r="DD736" s="76">
        <f t="shared" si="1436"/>
        <v>0</v>
      </c>
      <c r="DE736" s="77">
        <f t="shared" si="1437"/>
        <v>0</v>
      </c>
      <c r="DF736" s="73">
        <f t="shared" si="1440"/>
        <v>43</v>
      </c>
      <c r="DG736" s="67">
        <f t="shared" si="1441"/>
        <v>57.167999999999992</v>
      </c>
      <c r="DH736" s="76">
        <f t="shared" si="1442"/>
        <v>16</v>
      </c>
      <c r="DI736" s="67">
        <f t="shared" si="1443"/>
        <v>68.699999999999989</v>
      </c>
      <c r="DJ736" s="202" t="str">
        <f>IF($D736="","",$D736)</f>
        <v>23</v>
      </c>
      <c r="DK736" s="492">
        <f>IF(AND($B736=" ",$D736&lt;&gt;""),1,0)</f>
        <v>0</v>
      </c>
    </row>
    <row r="737" spans="1:115" ht="14.5" customHeight="1" x14ac:dyDescent="0.2">
      <c r="A737" s="389"/>
      <c r="B737" s="456"/>
      <c r="C737" s="53" t="s">
        <v>54</v>
      </c>
      <c r="D737" s="374"/>
      <c r="E737" s="386"/>
      <c r="F737" s="377"/>
      <c r="G737" s="508"/>
      <c r="H737" s="476"/>
      <c r="I737" s="182" t="s">
        <v>59</v>
      </c>
      <c r="J737" s="163" t="str">
        <f>IF(OR(I736="TO",I736="TU",I736="TO1",I736="TU1",I736="TO2",I736="TU2"),J736,IF(OR(I736="AH1",I736="AH2"),IF(OR(I737="AH1",I737="AH2"),-J736,IF(OR(I737="EH1",I737="EH2"),-J736+0.5,"")),IF(OR(I736="EH1",I736="EH2"),IF(OR(I737="AH1",I737="AH2"),-J736+0.5,IF(OR(I737="EH1",I737="EH2"),-J736+1,"")),IF(AND(OR(I736="DNB1",I736="DNB2"),OR(I737="AH1",I737="AH2")),0,IF(AND(I736="Not ScoreBoth",OR(I737="TO1",I737="TO2")),0.5,"")))))</f>
        <v/>
      </c>
      <c r="K737" s="57" t="s">
        <v>47</v>
      </c>
      <c r="L737" s="164">
        <v>2.13</v>
      </c>
      <c r="M737" s="165">
        <v>23.13</v>
      </c>
      <c r="N737" s="406"/>
      <c r="O737" s="60">
        <f>IF(OR(AE736="",AE737=""),"",ROUND(IF(L738&gt;0,IF(M737&gt;0,M737,IF(M736&gt;0,IF(N736=TRUE,ROUND((M736*AE737)/AE736,0),(M736*AE737)/AE736),IF(M737&gt;0,ROUND(M737,IF(N736=0,2,IF(N736=0.1,1,0))),IF(M738&gt;0,ROUND(O738*AE737/AE738,IF(N736=0,2,IF(N736=0.1,1,0))),0)))),IF(M737&gt;0,M737,ROUND((M736*AE737)/AE736,IF(N736=0,2,IF(N736=0.1,1,0))))),2))</f>
        <v>23.13</v>
      </c>
      <c r="P737" s="61">
        <f>IF(OR(L737="",O737=""),"",IF($C737="1/2W",O737/2+O737/2*L737,IF($C737="1/2L",O737/2,IF(I737="Lay",((O737*(L737/(L737-1)))-O737)*(1-_xlfn.XLOOKUP(K737,'Fevereiro 2023 - Valor Real'!A3:A15,'Fevereiro 2023 - Valor Real'!C3:C15,0))+O737,(O737*L737-O737)*(1-_xlfn.XLOOKUP(K737,'Fevereiro 2023 - Valor Real'!A3:A15,'Fevereiro 2023 - Valor Real'!C3:C15,0))+O737))))</f>
        <v>49.266899999999993</v>
      </c>
      <c r="Q737" s="166">
        <f>IF(K737="","",IF(_xlfn.XLOOKUP(K737,K$10:K728,$DJ$10:DJ728,0,,-1)=DJ737,_xlfn.XLOOKUP(K737,K$10:K728,Q$10:Q728,1,,-1)+1,1))</f>
        <v>2</v>
      </c>
      <c r="R737" s="167">
        <f>IF(K737="","",_xlfn.XLOOKUP(K737,K$10:K728,R$10:R728,0,,-1)+IF($C737=" ",1,0))</f>
        <v>0</v>
      </c>
      <c r="S737" s="403"/>
      <c r="T737" s="380"/>
      <c r="U737" s="380"/>
      <c r="V737" s="481"/>
      <c r="W737" s="380"/>
      <c r="X737" s="452"/>
      <c r="Y737" s="383"/>
      <c r="Z737" s="384"/>
      <c r="AA737" s="384"/>
      <c r="AB737" s="384"/>
      <c r="AC737" s="384"/>
      <c r="AD737" s="64"/>
      <c r="AE737" s="65">
        <f>IF(L737="","",IF(L738&gt;0,(SUM(((L736-1)*(1-_xlfn.XLOOKUP(K736,'Fevereiro 2023 - Valor Real'!A3:A15,'Fevereiro 2023 - Valor Real'!C3:C15,0))+1),((L737-1)*(1-_xlfn.XLOOKUP(K737,'Fevereiro 2023 - Valor Real'!A3:A15,'Fevereiro 2023 - Valor Real'!C3:C15,0))+1),((L738-1)*(1-_xlfn.XLOOKUP(K738,'Fevereiro 2023 - Valor Real'!A3:A15,'Fevereiro 2023 - Valor Real'!C3:C15,0))+1))/((L737-1)*(1-_xlfn.XLOOKUP(K737,'Fevereiro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Real'!C3:C15,0))+1))/((L736-1)*(1-_xlfn.XLOOKUP(K736,'Fevereiro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Real'!C3:C15,0))+1))/((L737-1)*(1-_xlfn.XLOOKUP(K737,'Fevereiro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Real'!C3:C15,0))+1))/((L738-1)*(1-_xlfn.XLOOKUP(K738,'Fevereiro 2023 - Valor Real'!A3:A15,'Fevereiro 2023 - Valor Real'!C3:C15,0))+1)),IF(I737="Lay",IF(I736="Lay",((L736/(L736-1)-1)*(1-_xlfn.XLOOKUP(K736,'Fevereiro 2023 - Valor Real'!A3:A15,'Fevereiro 2023 - Valor Real'!C3:C15,0))+1)/(((L736/(L736-1)-1)*(1-_xlfn.XLOOKUP(K736,'Fevereiro 2023 - Valor Real'!A3:A15,'Fevereiro 2023 - Valor Real'!C3:C15,0))+1)+((L737/(L737-1)-1)*(1-_xlfn.XLOOKUP(K737,'Fevereiro 2023 - Valor Real'!A3:A15,'Fevereiro 2023 - Valor Real'!C3:C15,0))+1)),((L736-1)*(1-_xlfn.XLOOKUP(K736,'Fevereiro 2023 - Valor Real'!A3:A15,'Fevereiro 2023 - Valor Real'!C3:C15,0))+1)/(((L736-1)*(1-_xlfn.XLOOKUP(K736,'Fevereiro 2023 - Valor Real'!A3:A15,'Fevereiro 2023 - Valor Real'!C3:C15,0))+1)+((L737/(L737-1)-1)*(1-_xlfn.XLOOKUP(K737,'Fevereiro 2023 - Valor Real'!A3:A15,'Fevereiro 2023 - Valor Real'!C3:C15,0))+1))),IF(I736="Lay",((L736/(L736-1)-1)*(1-_xlfn.XLOOKUP(K736,'Fevereiro 2023 - Valor Real'!A3:A15,'Fevereiro 2023 - Valor Real'!C3:C15,0))+1)/((((L736/(L736-1)-1)*(1-_xlfn.XLOOKUP(K736,'Fevereiro 2023 - Valor Real'!A3:A15,'Fevereiro 2023 - Valor Real'!C3:C15,0))+1))+((L737-1)*(1-_xlfn.XLOOKUP(K737,'Fevereiro 2023 - Valor Real'!A3:A15,'Fevereiro 2023 - Valor Real'!C3:C15,0))+1)),((L736-1)*(1-_xlfn.XLOOKUP(K736,'Fevereiro 2023 - Valor Real'!A3:A15,'Fevereiro 2023 - Valor Real'!C3:C15,0))+1)/(((L736-1)*(1-_xlfn.XLOOKUP(K736,'Fevereiro 2023 - Valor Real'!A3:A15,'Fevereiro 2023 - Valor Real'!C3:C15,0))+1)+((L737-1)*(1-_xlfn.XLOOKUP(K737,'Fevereiro 2023 - Valor Real'!A3:A15,'Fevereiro 2023 - Valor Real'!C3:C15,0))+1))))))</f>
        <v>0.48426150121065376</v>
      </c>
      <c r="AF737" s="66">
        <f t="shared" si="1480"/>
        <v>0</v>
      </c>
      <c r="AG737" s="67">
        <f t="shared" si="1480"/>
        <v>0</v>
      </c>
      <c r="AH737" s="67">
        <f t="shared" si="1480"/>
        <v>0</v>
      </c>
      <c r="AI737" s="67">
        <f t="shared" si="1480"/>
        <v>0</v>
      </c>
      <c r="AJ737" s="67">
        <f t="shared" si="1480"/>
        <v>0</v>
      </c>
      <c r="AK737" s="67">
        <f t="shared" si="1480"/>
        <v>0</v>
      </c>
      <c r="AL737" s="67">
        <f t="shared" si="1480"/>
        <v>0</v>
      </c>
      <c r="AM737" s="67">
        <f t="shared" si="1480"/>
        <v>0</v>
      </c>
      <c r="AN737" s="67">
        <f t="shared" si="1480"/>
        <v>0</v>
      </c>
      <c r="AO737" s="67">
        <f t="shared" si="1480"/>
        <v>0</v>
      </c>
      <c r="AP737" s="67">
        <f t="shared" si="1480"/>
        <v>0</v>
      </c>
      <c r="AQ737" s="67">
        <f t="shared" si="1480"/>
        <v>26.14</v>
      </c>
      <c r="AR737" s="68">
        <f t="shared" si="1480"/>
        <v>0</v>
      </c>
      <c r="AS737" s="66">
        <f>IF(AND($B736=" ",$K737=AS$3),$O737,0)</f>
        <v>0</v>
      </c>
      <c r="AT737" s="67">
        <f>IF(AND($B736=" ",K737=AT$3),$O737,0)</f>
        <v>0</v>
      </c>
      <c r="AU737" s="67">
        <f t="shared" ref="AU737:BE737" si="1486">IF(AND($B736=" ",$K737=AU$3),$O737,0)</f>
        <v>0</v>
      </c>
      <c r="AV737" s="67">
        <f t="shared" si="1486"/>
        <v>0</v>
      </c>
      <c r="AW737" s="67">
        <f t="shared" si="1486"/>
        <v>0</v>
      </c>
      <c r="AX737" s="67">
        <f t="shared" si="1486"/>
        <v>0</v>
      </c>
      <c r="AY737" s="69">
        <f t="shared" si="1486"/>
        <v>0</v>
      </c>
      <c r="AZ737" s="70">
        <f t="shared" si="1486"/>
        <v>0</v>
      </c>
      <c r="BA737" s="70">
        <f t="shared" si="1486"/>
        <v>0</v>
      </c>
      <c r="BB737" s="70">
        <f t="shared" si="1486"/>
        <v>0</v>
      </c>
      <c r="BC737" s="71">
        <f t="shared" si="1486"/>
        <v>0</v>
      </c>
      <c r="BD737" s="67">
        <f t="shared" si="1486"/>
        <v>0</v>
      </c>
      <c r="BE737" s="68">
        <f t="shared" si="1486"/>
        <v>0</v>
      </c>
      <c r="BF737" s="66">
        <f t="shared" si="1482"/>
        <v>0</v>
      </c>
      <c r="BG737" s="168">
        <f t="shared" si="1482"/>
        <v>0</v>
      </c>
      <c r="BH737" s="67">
        <f t="shared" si="1482"/>
        <v>0</v>
      </c>
      <c r="BI737" s="67">
        <f t="shared" si="1482"/>
        <v>0</v>
      </c>
      <c r="BJ737" s="67">
        <f t="shared" si="1482"/>
        <v>0</v>
      </c>
      <c r="BK737" s="67">
        <f t="shared" si="1482"/>
        <v>0</v>
      </c>
      <c r="BL737" s="67">
        <f t="shared" si="1482"/>
        <v>0</v>
      </c>
      <c r="BM737" s="69">
        <f t="shared" si="1482"/>
        <v>0</v>
      </c>
      <c r="BN737" s="70">
        <f t="shared" si="1482"/>
        <v>0</v>
      </c>
      <c r="BO737" s="70">
        <f t="shared" si="1482"/>
        <v>0</v>
      </c>
      <c r="BP737" s="70">
        <f t="shared" si="1482"/>
        <v>0</v>
      </c>
      <c r="BQ737" s="71">
        <f t="shared" si="1482"/>
        <v>23.13</v>
      </c>
      <c r="BR737" s="68">
        <f t="shared" si="1482"/>
        <v>0</v>
      </c>
      <c r="BS737" s="491"/>
      <c r="BT737" s="489"/>
      <c r="BU737" s="392"/>
      <c r="BV737" s="489"/>
      <c r="BW737" s="392"/>
      <c r="BX737" s="392"/>
      <c r="BY737" s="392"/>
      <c r="BZ737" s="489"/>
      <c r="CA737" s="392"/>
      <c r="CB737" s="392"/>
      <c r="CC737" s="392"/>
      <c r="CD737" s="401"/>
      <c r="CE737" s="409"/>
      <c r="CF737" s="169">
        <f t="shared" si="1412"/>
        <v>0</v>
      </c>
      <c r="CG737" s="170">
        <f t="shared" si="1413"/>
        <v>0</v>
      </c>
      <c r="CH737" s="170">
        <f t="shared" si="1414"/>
        <v>0</v>
      </c>
      <c r="CI737" s="170">
        <f t="shared" si="1415"/>
        <v>0</v>
      </c>
      <c r="CJ737" s="170">
        <f t="shared" si="1416"/>
        <v>0</v>
      </c>
      <c r="CK737" s="170">
        <f t="shared" si="1417"/>
        <v>0</v>
      </c>
      <c r="CL737" s="170">
        <f t="shared" si="1418"/>
        <v>0</v>
      </c>
      <c r="CM737" s="170">
        <f t="shared" si="1419"/>
        <v>0</v>
      </c>
      <c r="CN737" s="170">
        <f t="shared" si="1420"/>
        <v>0</v>
      </c>
      <c r="CO737" s="170">
        <f t="shared" si="1421"/>
        <v>0</v>
      </c>
      <c r="CP737" s="170">
        <f t="shared" si="1422"/>
        <v>0</v>
      </c>
      <c r="CQ737" s="170">
        <f t="shared" si="1423"/>
        <v>0</v>
      </c>
      <c r="CR737" s="170">
        <f t="shared" si="1424"/>
        <v>0</v>
      </c>
      <c r="CS737" s="170">
        <f t="shared" si="1425"/>
        <v>0</v>
      </c>
      <c r="CT737" s="75">
        <f t="shared" si="1426"/>
        <v>0</v>
      </c>
      <c r="CU737" s="76">
        <f t="shared" si="1427"/>
        <v>0</v>
      </c>
      <c r="CV737" s="76">
        <f t="shared" si="1428"/>
        <v>0</v>
      </c>
      <c r="CW737" s="76">
        <f t="shared" si="1429"/>
        <v>0</v>
      </c>
      <c r="CX737" s="76">
        <f t="shared" si="1430"/>
        <v>0</v>
      </c>
      <c r="CY737" s="76">
        <f t="shared" si="1431"/>
        <v>0</v>
      </c>
      <c r="CZ737" s="76">
        <f t="shared" si="1432"/>
        <v>0</v>
      </c>
      <c r="DA737" s="76">
        <f t="shared" si="1433"/>
        <v>0</v>
      </c>
      <c r="DB737" s="76">
        <f t="shared" si="1434"/>
        <v>1</v>
      </c>
      <c r="DC737" s="76">
        <f t="shared" si="1435"/>
        <v>0</v>
      </c>
      <c r="DD737" s="76">
        <f t="shared" si="1436"/>
        <v>0</v>
      </c>
      <c r="DE737" s="77">
        <f t="shared" si="1437"/>
        <v>0</v>
      </c>
      <c r="DF737" s="73">
        <f t="shared" si="1440"/>
        <v>43</v>
      </c>
      <c r="DG737" s="67">
        <f t="shared" si="1441"/>
        <v>57.167999999999992</v>
      </c>
      <c r="DH737" s="76">
        <f t="shared" si="1442"/>
        <v>16</v>
      </c>
      <c r="DI737" s="67">
        <f t="shared" si="1443"/>
        <v>68.699999999999989</v>
      </c>
      <c r="DJ737" s="202" t="str">
        <f>IF($D736="","",$D736)</f>
        <v>23</v>
      </c>
      <c r="DK737" s="493"/>
    </row>
    <row r="738" spans="1:115" ht="14.5" customHeight="1" x14ac:dyDescent="0.2">
      <c r="A738" s="390"/>
      <c r="B738" s="457"/>
      <c r="C738" s="79" t="s">
        <v>53</v>
      </c>
      <c r="D738" s="375"/>
      <c r="E738" s="387"/>
      <c r="F738" s="378"/>
      <c r="G738" s="508"/>
      <c r="H738" s="477"/>
      <c r="I738" s="171"/>
      <c r="J738" s="172"/>
      <c r="K738" s="81"/>
      <c r="L738" s="173"/>
      <c r="M738" s="174"/>
      <c r="N738" s="407"/>
      <c r="O738" s="86" t="str">
        <f>IF(OR(AE736="",AE737=""),"",IF(L738&gt;0,ROUND(IF(M738&gt;0,M738,IF(M736&gt;0,ROUND((M736*AE738)/AE736,IF(N736=0,2,IF(N736=0.1,1,0))),IF(M737&gt;0,ROUND((M737*AE738)/AE737,IF(N736=0,2,IF(N736=0.1,1,0))),IF(M738&gt;0,M738,0)))),2),""))</f>
        <v/>
      </c>
      <c r="P738" s="87" t="str">
        <f>IF(I737="Lay",O737*(L737/(L737-1))-O737,IF(I736="Lay",O736*(L736/(L736-1))-O736,IF(OR(L738="",O738=""),"",IF($C738="1/2W",O738/2+O738/2*L738,IF($C738="1/2L",O738/2,(O738*L738-O738)*(1-_xlfn.XLOOKUP(K738,'Fevereiro 2023 - Valor Real'!A3:A15,'Fevereiro 2023 - Valor Real'!C3:C15,0))+O738)))))</f>
        <v/>
      </c>
      <c r="Q738" s="54" t="str">
        <f>IF(K738="","",IF(_xlfn.XLOOKUP(K738,K$11:K728,$DJ$11:DJ728,0,,-1)=DJ738,_xlfn.XLOOKUP(K738,K$11:K728,Q$11:Q728,1,,-1)+1,1))</f>
        <v/>
      </c>
      <c r="R738" s="87" t="str">
        <f>IF(K738="","",_xlfn.XLOOKUP(K738,K$11:K728,R$11:R728,0,,-1)+IF($C738=" ",1,0))</f>
        <v/>
      </c>
      <c r="S738" s="404"/>
      <c r="T738" s="378"/>
      <c r="U738" s="378"/>
      <c r="V738" s="404"/>
      <c r="W738" s="378"/>
      <c r="X738" s="453"/>
      <c r="Y738" s="383"/>
      <c r="Z738" s="384"/>
      <c r="AA738" s="384"/>
      <c r="AB738" s="384"/>
      <c r="AC738" s="384"/>
      <c r="AD738" s="90"/>
      <c r="AE738" s="91" t="str">
        <f>IF(L738="","",(SUM(((L736-1)*(1-_xlfn.XLOOKUP(K736,'Fevereiro 2023 - Valor Real'!A3:A15,'Fevereiro 2023 - Valor Real'!C3:C15,0))+1),((L737-1)*(1-_xlfn.XLOOKUP(K737,'Fevereiro 2023 - Valor Real'!A3:A15,'Fevereiro 2023 - Valor Real'!C3:C15,0))+1),((L738-1)*(1-_xlfn.XLOOKUP(K738,'Fevereiro 2023 - Valor Real'!A3:A15,'Fevereiro 2023 - Valor Real'!C3:C15,0))+1))/((L738-1)*(1-_xlfn.XLOOKUP(K738,'Fevereiro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Real'!C3:C15,0))+1))/((L736-1)*(1-_xlfn.XLOOKUP(K736,'Fevereiro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Real'!C3:C15,0))+1))/((L737-1)*(1-_xlfn.XLOOKUP(K737,'Fevereiro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Real'!C3:C15,0))+1))/((L738-1)*(1-_xlfn.XLOOKUP(K738,'Fevereiro 2023 - Valor Real'!A3:A15,'Fevereiro 2023 - Valor Real'!C3:C15,0))+1)))</f>
        <v/>
      </c>
      <c r="AF738" s="66">
        <f t="shared" si="1480"/>
        <v>0</v>
      </c>
      <c r="AG738" s="67">
        <f t="shared" si="1480"/>
        <v>0</v>
      </c>
      <c r="AH738" s="67">
        <f t="shared" si="1480"/>
        <v>0</v>
      </c>
      <c r="AI738" s="67">
        <f t="shared" si="1480"/>
        <v>0</v>
      </c>
      <c r="AJ738" s="67">
        <f t="shared" si="1480"/>
        <v>0</v>
      </c>
      <c r="AK738" s="67">
        <f t="shared" si="1480"/>
        <v>0</v>
      </c>
      <c r="AL738" s="67">
        <f t="shared" si="1480"/>
        <v>0</v>
      </c>
      <c r="AM738" s="67">
        <f t="shared" si="1480"/>
        <v>0</v>
      </c>
      <c r="AN738" s="67">
        <f t="shared" si="1480"/>
        <v>0</v>
      </c>
      <c r="AO738" s="67">
        <f t="shared" si="1480"/>
        <v>0</v>
      </c>
      <c r="AP738" s="67">
        <f t="shared" si="1480"/>
        <v>0</v>
      </c>
      <c r="AQ738" s="67">
        <f t="shared" si="1480"/>
        <v>0</v>
      </c>
      <c r="AR738" s="68">
        <f t="shared" si="1480"/>
        <v>0</v>
      </c>
      <c r="AS738" s="66">
        <f>IF(AND($B736=" ",$K738=AS$3),$O738,0)</f>
        <v>0</v>
      </c>
      <c r="AT738" s="67">
        <f>IF(AND($B736=" ",K738=AT$3),$O738,0)</f>
        <v>0</v>
      </c>
      <c r="AU738" s="67">
        <f t="shared" ref="AU738:BE738" si="1487">IF(AND($B736=" ",$K738=AU$3),$O738,0)</f>
        <v>0</v>
      </c>
      <c r="AV738" s="67">
        <f t="shared" si="1487"/>
        <v>0</v>
      </c>
      <c r="AW738" s="67">
        <f t="shared" si="1487"/>
        <v>0</v>
      </c>
      <c r="AX738" s="67">
        <f t="shared" si="1487"/>
        <v>0</v>
      </c>
      <c r="AY738" s="69">
        <f t="shared" si="1487"/>
        <v>0</v>
      </c>
      <c r="AZ738" s="70">
        <f t="shared" si="1487"/>
        <v>0</v>
      </c>
      <c r="BA738" s="70">
        <f t="shared" si="1487"/>
        <v>0</v>
      </c>
      <c r="BB738" s="70">
        <f t="shared" si="1487"/>
        <v>0</v>
      </c>
      <c r="BC738" s="71">
        <f t="shared" si="1487"/>
        <v>0</v>
      </c>
      <c r="BD738" s="67">
        <f t="shared" si="1487"/>
        <v>0</v>
      </c>
      <c r="BE738" s="68">
        <f t="shared" si="1487"/>
        <v>0</v>
      </c>
      <c r="BF738" s="66">
        <f t="shared" si="1482"/>
        <v>0</v>
      </c>
      <c r="BG738" s="168">
        <f t="shared" si="1482"/>
        <v>0</v>
      </c>
      <c r="BH738" s="67">
        <f t="shared" si="1482"/>
        <v>0</v>
      </c>
      <c r="BI738" s="67">
        <f t="shared" si="1482"/>
        <v>0</v>
      </c>
      <c r="BJ738" s="67">
        <f t="shared" si="1482"/>
        <v>0</v>
      </c>
      <c r="BK738" s="67">
        <f t="shared" si="1482"/>
        <v>0</v>
      </c>
      <c r="BL738" s="67">
        <f t="shared" si="1482"/>
        <v>0</v>
      </c>
      <c r="BM738" s="69">
        <f t="shared" si="1482"/>
        <v>0</v>
      </c>
      <c r="BN738" s="70">
        <f t="shared" si="1482"/>
        <v>0</v>
      </c>
      <c r="BO738" s="70">
        <f t="shared" si="1482"/>
        <v>0</v>
      </c>
      <c r="BP738" s="70">
        <f t="shared" si="1482"/>
        <v>0</v>
      </c>
      <c r="BQ738" s="71">
        <f t="shared" si="1482"/>
        <v>0</v>
      </c>
      <c r="BR738" s="68">
        <f t="shared" si="1482"/>
        <v>0</v>
      </c>
      <c r="BS738" s="491"/>
      <c r="BT738" s="489"/>
      <c r="BU738" s="392"/>
      <c r="BV738" s="489"/>
      <c r="BW738" s="392"/>
      <c r="BX738" s="392"/>
      <c r="BY738" s="392"/>
      <c r="BZ738" s="489"/>
      <c r="CA738" s="392"/>
      <c r="CB738" s="392"/>
      <c r="CC738" s="392"/>
      <c r="CD738" s="401"/>
      <c r="CE738" s="409"/>
      <c r="CF738" s="169">
        <f t="shared" si="1412"/>
        <v>0</v>
      </c>
      <c r="CG738" s="170">
        <f t="shared" si="1413"/>
        <v>0</v>
      </c>
      <c r="CH738" s="170">
        <f t="shared" si="1414"/>
        <v>0</v>
      </c>
      <c r="CI738" s="170">
        <f t="shared" si="1415"/>
        <v>0</v>
      </c>
      <c r="CJ738" s="170">
        <f t="shared" si="1416"/>
        <v>0</v>
      </c>
      <c r="CK738" s="170">
        <f t="shared" si="1417"/>
        <v>0</v>
      </c>
      <c r="CL738" s="170">
        <f t="shared" si="1418"/>
        <v>0</v>
      </c>
      <c r="CM738" s="170">
        <f t="shared" si="1419"/>
        <v>0</v>
      </c>
      <c r="CN738" s="170">
        <f t="shared" si="1420"/>
        <v>0</v>
      </c>
      <c r="CO738" s="170">
        <f t="shared" si="1421"/>
        <v>0</v>
      </c>
      <c r="CP738" s="170">
        <f t="shared" si="1422"/>
        <v>0</v>
      </c>
      <c r="CQ738" s="170">
        <f t="shared" si="1423"/>
        <v>0</v>
      </c>
      <c r="CR738" s="170">
        <f t="shared" si="1424"/>
        <v>0</v>
      </c>
      <c r="CS738" s="170">
        <f t="shared" si="1425"/>
        <v>0</v>
      </c>
      <c r="CT738" s="75">
        <f t="shared" si="1426"/>
        <v>0</v>
      </c>
      <c r="CU738" s="76">
        <f t="shared" si="1427"/>
        <v>0</v>
      </c>
      <c r="CV738" s="76">
        <f t="shared" si="1428"/>
        <v>0</v>
      </c>
      <c r="CW738" s="76">
        <f t="shared" si="1429"/>
        <v>0</v>
      </c>
      <c r="CX738" s="76">
        <f t="shared" si="1430"/>
        <v>0</v>
      </c>
      <c r="CY738" s="76">
        <f t="shared" si="1431"/>
        <v>0</v>
      </c>
      <c r="CZ738" s="76">
        <f t="shared" si="1432"/>
        <v>0</v>
      </c>
      <c r="DA738" s="76">
        <f t="shared" si="1433"/>
        <v>0</v>
      </c>
      <c r="DB738" s="76">
        <f t="shared" si="1434"/>
        <v>0</v>
      </c>
      <c r="DC738" s="76">
        <f t="shared" si="1435"/>
        <v>0</v>
      </c>
      <c r="DD738" s="76">
        <f t="shared" si="1436"/>
        <v>0</v>
      </c>
      <c r="DE738" s="77">
        <f t="shared" si="1437"/>
        <v>0</v>
      </c>
      <c r="DF738" s="73">
        <f t="shared" si="1440"/>
        <v>43</v>
      </c>
      <c r="DG738" s="67">
        <f t="shared" si="1441"/>
        <v>57.167999999999992</v>
      </c>
      <c r="DH738" s="76">
        <f t="shared" si="1442"/>
        <v>16</v>
      </c>
      <c r="DI738" s="67">
        <f t="shared" si="1443"/>
        <v>68.699999999999989</v>
      </c>
      <c r="DJ738" s="202" t="str">
        <f>IF($D736="","",$D736)</f>
        <v>23</v>
      </c>
      <c r="DK738" s="493"/>
    </row>
    <row r="739" spans="1:115" ht="14.5" customHeight="1" x14ac:dyDescent="0.2">
      <c r="A739" s="459">
        <f>$A736+1</f>
        <v>246</v>
      </c>
      <c r="B739" s="507" t="str">
        <f>IF(OR(C739="W",C740="W",C741="W",C739="1/2W",C740="1/2W",C741="1/2W",C739="1/2L",C740="1/2L",C741="1/2L"),"OK",IF(OR(C739="L",C740="L",C741="L"),"LOSS",IF(OR(C739="X",C740="X",C741="X"),"Anulado"," ")))</f>
        <v>OK</v>
      </c>
      <c r="C739" s="93" t="s">
        <v>55</v>
      </c>
      <c r="D739" s="468" t="str">
        <f>IF(G739="","",$D736)</f>
        <v>23</v>
      </c>
      <c r="E739" s="485" t="str">
        <f>IF(G739=""," ","– "&amp;COUNTIF(D$4:D741,$D739))</f>
        <v>– 12</v>
      </c>
      <c r="F739" s="509" t="str">
        <f ca="1">IF(G739="","",IF(OR(AND($C739&lt;&gt;" ",$C740=" "),AND($C740&lt;&gt;" ",$C739=" "),AND(L741&gt;0,OR(AND($C741&lt;&gt;" ",OR($C739=" ",$C740=" ")),AND($C741=" ",OR($C739&lt;&gt;" ",$C740&lt;&gt;" "))))),IF(SUM(F$4:F738)=0,1,LARGE(F$4:F738,1)+1),IF(MONTH(G739)=MONTH(TODAY()),IF(AND(DAY(G739)&lt;DAY(TODAY()),$B739=" "),IF(SUM(F$4:F738)=0,1,LARGE(F$4:F738,1)+1),IF($B739=" ",IF(AND(DAY(G739)=DAY(TODAY()),HOUR(G739)&lt;=HOUR(NOW())+1),IF(AND(HOUR(G739)+2&lt;=HOUR(NOW()),DAY(G739)&lt;=DAY(TODAY()),MINUTE(G739)&lt;=MINUTE(NOW())),IF(SUM(F$4:F738)=0,1,LARGE(F$4:F738,1)+1),IF(OR(MINUTE(G739)&lt;=MINUTE(NOW()),HOUR(G739)&lt;=HOUR(NOW())),"!!!","")),""),"")),"")))</f>
        <v/>
      </c>
      <c r="G739" s="482">
        <f>IF(H739="","",_xlfn.XLOOKUP(H739,$H$4:H738,$G$4:G738,""))</f>
        <v>45009.270833333336</v>
      </c>
      <c r="H739" s="475" t="s">
        <v>260</v>
      </c>
      <c r="I739" s="94" t="s">
        <v>67</v>
      </c>
      <c r="J739" s="95">
        <v>-1</v>
      </c>
      <c r="K739" s="96" t="s">
        <v>39</v>
      </c>
      <c r="L739" s="97">
        <v>3.2</v>
      </c>
      <c r="M739" s="98">
        <v>5.69</v>
      </c>
      <c r="N739" s="478">
        <v>0</v>
      </c>
      <c r="O739" s="99">
        <f>IF(OR(AE739="",AE740=""),"",ROUND(IF(L741&gt;0,IF(M739&gt;0,M739,IF(M740&gt;0,ROUND((M740*AE739)/AE740,IF(N739=0,2,IF(N739=0.1,1,0))),ROUND((M741*AE739)/AE741,IF(N739=0,2,IF(N739=0.1,1,0))))),IF(M739&gt;0,M739,ROUND((M740*AE739)/AE740,IF(N739=0,2,IF(N739=0.1,1,0))))),2))</f>
        <v>5.69</v>
      </c>
      <c r="P739" s="100">
        <f>IF(OR(L739="",O739=""),"",IF($C739="1/2W",O739/2+O739/2*L739,IF($C739="1/2L",O739/2,IF(I739="Lay",(O739*(L739/(L739-1))-O739)*(1-_xlfn.XLOOKUP(K739,'Fevereiro 2023 - Valor Real'!A3:A15,'Fevereiro 2023 - Valor Real'!C3:C15,0))+O739,(O739*L739-O739)*(1-_xlfn.XLOOKUP(K739,'Fevereiro 2023 - Valor Real'!A3:A15,'Fevereiro 2023 - Valor Real'!C3:C15,0))+O739))))</f>
        <v>18.208000000000002</v>
      </c>
      <c r="Q739" s="101">
        <f>IF(K739="","",IF(_xlfn.XLOOKUP(K739,K$4:K738,$DJ$4:DJ738,0,,-1)=DJ739,_xlfn.XLOOKUP(K739,K$4:K738,Q$4:Q738,1,,-1)+1,1))</f>
        <v>4</v>
      </c>
      <c r="R739" s="102">
        <f>IF(K739="","",_xlfn.XLOOKUP(K739,K$4:K738,R$4:R738,0,,-1)+IF($C739=" ",1,0))</f>
        <v>0</v>
      </c>
      <c r="S739" s="474">
        <f>IF($B739="Anulado",0,ROUND(IF(OR($B739="LOSS",$B739="OK"),IF(OR($C739="W",$C739="1/2W",$C739="1/2L"),P739-O739,IF($C739="L",-O739,0))+IF(OR($C740="W",$C740="1/2W",$C740="1/2L"),P740-O740,IF($C740="L",-O740,0))+IF(OR($C741="W",$C741="1/2W",$C741="1/2L"),P741-O741,IF($C741="L",-O741,0)),IF(AND(OR($C739="W",$C739="1/2W",$C739="1/2L"),C740="W"),P739+P740-SUM(O739:O741)+_xlfn.XLOOKUP("X",C739:C741,O739:O741,0),IF(AND(C739=TRUE,C741="W"),P739+P741-SUM(O739:O741),IF(AND(C740="W",C741="W"),P740+P741-SUM(O739:O741)+_xlfn.XLOOKUP("X",C739:C741,O739:O741,0),IF(L741&gt;0,IF(OR($C739="W",$C739="1/2W",$C739="1/2L"),P739-SUM(O739:O741)+_xlfn.XLOOKUP("X",C739:C741,O739:O741,0),IF(OR($C739="W",$C739="1/2W",$C739="1/2L"),P740-SUM(O739:O741)+_xlfn.XLOOKUP("X",C739:C741,O739:O741,0),IF(OR($C739="W",$C739="1/2W",$C739="1/2L"),P741-SUM(O739:O741)+_xlfn.XLOOKUP("X",C739:C741,O739:O741,0),IF(SUM(P739:P741)/3-SUM(O739:O741)+_xlfn.XLOOKUP("X",C739:C741,O739:O741,0)&gt;0,SUM(P739:P741)/3-SUM(O739:O741)+_xlfn.XLOOKUP("X",C739:C741,O739:O741,0),LARGE(P739:P741,1)-SUM(O739:O741))))),IF(OR($C739="W",$C739="1/2W",$C739="1/2L"),P739-SUM(O739:O740)+_xlfn.XLOOKUP("X",C739:C741,O739:O741,0),IF(OR($C739="W",$C739="1/2W",$C739="1/2L"),P740-SUM(O739:O740)+_xlfn.XLOOKUP("X",C739:C741,O739:O741,0),SUM(P739:P740)/2-SUM(O739:O740)+_xlfn.XLOOKUP("X",C739:C741,O739:O741,0)))))))),2))</f>
        <v>2.41</v>
      </c>
      <c r="T739" s="458">
        <f>IF(S739=0,0,S739/SUM(O739:O741))</f>
        <v>7.6217583807716635E-2</v>
      </c>
      <c r="U739" s="470">
        <f>IF($D739=$D736,IF(OR($B739="LOSS",$B739="OK",$B739="Anulada"),S739,0)+U736,IF(OR($B739="LOSS",$B739="OK",$B739="Anulada"),S739,0))</f>
        <v>25.81</v>
      </c>
      <c r="V739" s="470">
        <f>IF($D739="",0,IF($D739=$D736,IF($B739=" ",IF(I741="",IF(OR(AND(I739="DNB1",I740="DNB2"),AND(OR(I739="DNB1",I739="DNB2"),J740=0),AND(OR(I740="DNB1",I740="DNB2"),J739=0),AND(I739="DNB2",I740="DNB1"),AND(IF(J739=0,(J739+1)/ROUND(J739+1,0),J739/ROUND(J739,0))=1,IF(J740=0,(J740+1)/ROUND(IF(J740="",0,J740)+1,0),IF(J740="",0,J740)/ROUND(IF(J740="",1,J740),0))=1,OR(J739&lt;&gt;""),J740&lt;&gt;"")),0,IF(S739&lt;0,IF(I741="",SMALL(P739:P740,1)-SUM(O739:O740),0),SMALL(P739:P740,1)-SUM(O739:O740))),IF(S739&lt;0,IF(I741="",SMALL(P739:P741,1)-SUM(O739:O741),0),LARGE(P739:P741,1)-SUM(O739:O741))),S739)+V736,IF(I741="",IF(OR(AND(I739="DNB1",I740="DNB2"),AND(OR(I739="DNB1",I739="DNB2"),J740=0),AND(OR(I740="DNB1",I740="DNB2"),J739=0),AND(I739="DNB2",I740="DNB1"),AND(IF(J739=0,(J739+1)/ROUND(J739+1,0),J739/ROUND(J739,0))=1,IF(J740=0,(IF(J740="",0,J740)+1)/ROUND(IF(J740="",0,J740)+1,0),IF(J740="",0,J740)/ROUND(IF(J740="",0,J740)+1,0))=1,OR(J739&lt;&gt;""),J740&lt;&gt;"")),0,IF(S739&lt;0,IF(I741="",SMALL(P739:P740,1)-SUM(O739:O740),0),SMALL(P739:P741,1)-SUM(O739:O741))),IF(S739&lt;0,IF(I741="",SMALL(P739:P741,1)-SUM(O739:O741),0),LARGE(P739:P741,1)-SUM(O739:O741)))))</f>
        <v>25.810000000000002</v>
      </c>
      <c r="W739" s="470">
        <f>IF($D739=$D736,IF(S739&lt;0,IF(I741="",S739,0),S739)+W736,S739)</f>
        <v>25.81</v>
      </c>
      <c r="X739" s="480" t="str">
        <f>IF(OR(SUM(R739:R741)=0,V739=W739),ROUND(IF(W739=0,0,W739/Y739)*100,2)&amp;"%",ROUND(IF(V739=0,0,V739/Y739)*100,2)&amp;"% a "&amp;ROUND(IF(W739=0,0,W739/Y739)*100,2)&amp;"%")</f>
        <v>8,18%</v>
      </c>
      <c r="Y739" s="471">
        <f>IF($D739=$D736,Y736+SUM(O739:O741),SUM(O739:O741))</f>
        <v>315.37</v>
      </c>
      <c r="Z739" s="470">
        <f>IF($B739=" ",SUM(O739:O741),0)+Z736</f>
        <v>0</v>
      </c>
      <c r="AA739" s="470">
        <f>IF(G739="","",IF($B739="Anulado",LARGE(P739:P741,1)-SUM(O739:O741)+AA736,AA736))</f>
        <v>13.381099999999991</v>
      </c>
      <c r="AB739" s="470">
        <f>IF($D739="","",AB736+S739)</f>
        <v>832.17000000000075</v>
      </c>
      <c r="AC739" s="472">
        <f ca="1">IF($D739="","",IF($B739=" ",IF(DAY(G739)=DAY(TODAY()),1+AC736,0+AC736),0+AC736))</f>
        <v>0</v>
      </c>
      <c r="AD739" s="103">
        <f>(((L740/(L740-1)-1)*(1-_xlfn.XLOOKUP(K740,'Fevereiro 2023 - Valor Real'!A3:A15,'Fevereiro 2023 - Valor Real'!C3:C15,0))+1))/(((L739-1)*(1-_xlfn.XLOOKUP(K739,'Fevereiro 2023 - Valor Real'!A3:A15,'Fevereiro 2023 - Valor Real'!C3:C15,0))+1)+((L740/(L740-1)-1)*(1-_xlfn.XLOOKUP(K740,'Fevereiro 2023 - Valor Real'!A3:A15,'Fevereiro 2023 - Valor Real'!C3:C15,0))+1))</f>
        <v>0.37892791127541592</v>
      </c>
      <c r="AE739" s="104">
        <f>IF(L739="","",IF(L741&gt;0,(SUM(((L739-1)*(1-_xlfn.XLOOKUP(K739,'Fevereiro 2023 - Valor Real'!A3:A15,'Fevereiro 2023 - Valor Real'!C3:C15,0))+1),((L740-1)*(1-_xlfn.XLOOKUP(K740,'Fevereiro 2023 - Valor Real'!A3:A15,'Fevereiro 2023 - Valor Real'!C3:C15,0))+1),((L741-1)*(1-_xlfn.XLOOKUP(K741,'Fevereiro 2023 - Valor Real'!A3:A15,'Fevereiro 2023 - Valor Real'!C3:C15,0))+1))/((L739-1)*(1-_xlfn.XLOOKUP(K739,'Fevereiro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Real'!C3:C15,0))+1))/((L739-1)*(1-_xlfn.XLOOKUP(K739,'Fevereiro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Real'!C3:C15,0))+1))/((L740-1)*(1-_xlfn.XLOOKUP(K740,'Fevereiro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Real'!C3:C15,0))+1))/((L741-1)*(1-_xlfn.XLOOKUP(K741,'Fevereiro 2023 - Valor Real'!A3:A15,'Fevereiro 2023 - Valor Real'!C3:C15,0))+1)),IF(I739="Lay",IF(I740="Lay",((L740/(L740-1)-1)*(1-_xlfn.XLOOKUP(K740,'Fevereiro 2023 - Valor Real'!A3:A15,'Fevereiro 2023 - Valor Real'!C3:C15,0))+1)/(((L740/(L740-1)-1)*(1-_xlfn.XLOOKUP(K740,'Fevereiro 2023 - Valor Real'!A3:A15,'Fevereiro 2023 - Valor Real'!C3:C15,0))+1)+((L739/(L739-1)-1)*(1-_xlfn.XLOOKUP(K739,'Fevereiro 2023 - Valor Real'!A3:A15,'Fevereiro 2023 - Valor Real'!C3:C15,0))+1)),((L740-1)*(1-_xlfn.XLOOKUP(K740,'Fevereiro 2023 - Valor Real'!A3:A15,'Fevereiro 2023 - Valor Real'!C3:C15,0))+1)/(((L740-1)*(1-_xlfn.XLOOKUP(K740,'Fevereiro 2023 - Valor Real'!A3:A15,'Fevereiro 2023 - Valor Real'!C3:C15,0))+1)+((L739/(L739-1)-1)*(1-_xlfn.XLOOKUP(K739,'Fevereiro 2023 - Valor Real'!A3:A15,'Fevereiro 2023 - Valor Real'!C3:C15,0))+1))),IF(I740="Lay",(((L740/(L740-1)-1)*(1-_xlfn.XLOOKUP(K740,'Fevereiro 2023 - Valor Real'!A3:A15,'Fevereiro 2023 - Valor Real'!C3:C15,0))+1))/(((L739-1)*(1-_xlfn.XLOOKUP(K739,'Fevereiro 2023 - Valor Real'!A3:A15,'Fevereiro 2023 - Valor Real'!C3:C15,0))+1)+((L740/(L740-1)-1)*(1-_xlfn.XLOOKUP(K740,'Fevereiro 2023 - Valor Real'!A3:A15,'Fevereiro 2023 - Valor Real'!C3:C15,0))+1)),((L740-1)*(1-_xlfn.XLOOKUP(K740,'Fevereiro 2023 - Valor Real'!A3:A15,'Fevereiro 2023 - Valor Real'!C3:C15,0))+1)/(((L740-1)*(1-_xlfn.XLOOKUP(K740,'Fevereiro 2023 - Valor Real'!A3:A15,'Fevereiro 2023 - Valor Real'!C3:C15,0))+1)+((L739-1)*(1-_xlfn.XLOOKUP(K739,'Fevereiro 2023 - Valor Real'!A3:A15,'Fevereiro 2023 - Valor Real'!C3:C15,0))+1))))))</f>
        <v>0.23407113417798811</v>
      </c>
      <c r="AF739" s="105">
        <f t="shared" si="1480"/>
        <v>0</v>
      </c>
      <c r="AG739" s="106">
        <f t="shared" si="1480"/>
        <v>0</v>
      </c>
      <c r="AH739" s="106">
        <f t="shared" si="1480"/>
        <v>0</v>
      </c>
      <c r="AI739" s="106">
        <f t="shared" si="1480"/>
        <v>-5.69</v>
      </c>
      <c r="AJ739" s="106">
        <f t="shared" si="1480"/>
        <v>0</v>
      </c>
      <c r="AK739" s="106">
        <f t="shared" si="1480"/>
        <v>0</v>
      </c>
      <c r="AL739" s="106">
        <f t="shared" si="1480"/>
        <v>0</v>
      </c>
      <c r="AM739" s="106">
        <f t="shared" si="1480"/>
        <v>0</v>
      </c>
      <c r="AN739" s="106">
        <f t="shared" si="1480"/>
        <v>0</v>
      </c>
      <c r="AO739" s="106">
        <f t="shared" si="1480"/>
        <v>0</v>
      </c>
      <c r="AP739" s="106">
        <f t="shared" si="1480"/>
        <v>0</v>
      </c>
      <c r="AQ739" s="106">
        <f t="shared" si="1480"/>
        <v>0</v>
      </c>
      <c r="AR739" s="107">
        <f t="shared" si="1480"/>
        <v>0</v>
      </c>
      <c r="AS739" s="105">
        <f t="shared" ref="AS739:BE739" si="1488">IF(AND($B739=" ",$K739=AS$3),$O739,0)</f>
        <v>0</v>
      </c>
      <c r="AT739" s="106">
        <f t="shared" si="1488"/>
        <v>0</v>
      </c>
      <c r="AU739" s="106">
        <f t="shared" si="1488"/>
        <v>0</v>
      </c>
      <c r="AV739" s="106">
        <f t="shared" si="1488"/>
        <v>0</v>
      </c>
      <c r="AW739" s="106">
        <f t="shared" si="1488"/>
        <v>0</v>
      </c>
      <c r="AX739" s="106">
        <f t="shared" si="1488"/>
        <v>0</v>
      </c>
      <c r="AY739" s="108">
        <f t="shared" si="1488"/>
        <v>0</v>
      </c>
      <c r="AZ739" s="109">
        <f t="shared" si="1488"/>
        <v>0</v>
      </c>
      <c r="BA739" s="109">
        <f t="shared" si="1488"/>
        <v>0</v>
      </c>
      <c r="BB739" s="109">
        <f t="shared" si="1488"/>
        <v>0</v>
      </c>
      <c r="BC739" s="110">
        <f t="shared" si="1488"/>
        <v>0</v>
      </c>
      <c r="BD739" s="106">
        <f t="shared" si="1488"/>
        <v>0</v>
      </c>
      <c r="BE739" s="107">
        <f t="shared" si="1488"/>
        <v>0</v>
      </c>
      <c r="BF739" s="111">
        <f t="shared" si="1482"/>
        <v>0</v>
      </c>
      <c r="BG739" s="106">
        <f t="shared" si="1482"/>
        <v>0</v>
      </c>
      <c r="BH739" s="106">
        <f t="shared" si="1482"/>
        <v>0</v>
      </c>
      <c r="BI739" s="106">
        <f t="shared" si="1482"/>
        <v>5.69</v>
      </c>
      <c r="BJ739" s="106">
        <f t="shared" si="1482"/>
        <v>0</v>
      </c>
      <c r="BK739" s="106">
        <f t="shared" si="1482"/>
        <v>0</v>
      </c>
      <c r="BL739" s="106">
        <f t="shared" si="1482"/>
        <v>0</v>
      </c>
      <c r="BM739" s="108">
        <f t="shared" si="1482"/>
        <v>0</v>
      </c>
      <c r="BN739" s="109">
        <f t="shared" si="1482"/>
        <v>0</v>
      </c>
      <c r="BO739" s="109">
        <f t="shared" si="1482"/>
        <v>0</v>
      </c>
      <c r="BP739" s="109">
        <f t="shared" si="1482"/>
        <v>0</v>
      </c>
      <c r="BQ739" s="110">
        <f t="shared" si="1482"/>
        <v>0</v>
      </c>
      <c r="BR739" s="107">
        <f t="shared" si="1482"/>
        <v>0</v>
      </c>
      <c r="BS739" s="463">
        <f>IF($B739="LOSS",IF(AND($K739=BS$3,$C739="L"),-$O739,0)+IF(AND($K740=BS$3,$C740="L"),-$O740,0)+IF(AND($K741=BS$3,$C741="L"),-$O741,0),IF(OR(AND($K739=BS$3,OR($C739="W",$C739="1/2W")),AND($K740=BS$3,OR($C740="W",$C740="1/2W")),AND($K741=BS$3,OR($C741="W",$C741="1/2W"))),$S739,0))</f>
        <v>0</v>
      </c>
      <c r="BT739" s="462">
        <f>IF($B739="LOSS",IF(AND($K739=BT$3,$C739="L"),-$O739,0)+IF(AND($K740=BT$3,$C740="L"),-$O740,0)+IF(AND($K740=BT$3,$C741="L"),-$O741,0),IF(OR(AND($K740=BT$3,OR($C739="W",$C739="1/2W")),AND($K740=BT$3,OR($C740="W",$C740="1/2W")),AND($K740=BT$3,OR($C741="W",$C741="1/2W"))),$S739,0))</f>
        <v>2.41</v>
      </c>
      <c r="BU739" s="462">
        <f>IF($B739="LOSS",IF(AND($K739=BU$3,$C739="L"),-$O739,0)+IF(AND($K740=BU$3,$C740="L"),-$O740,0)+IF(AND($K740=BU$3,$C741="L"),-$O741,0),IF(OR(AND($K740=BU$3,OR($C739="W",$C739="1/2W")),AND($K740=BU$3,OR($C740="W",$C740="1/2W")),AND($K740=BU$3,OR($C741="W",$C741="1/2W"))),$S739,0))</f>
        <v>0</v>
      </c>
      <c r="BV739" s="462">
        <f t="shared" ref="BV739:CE739" si="1489">IF($B739="LOSS",IF(AND($K739=BV$3,$C739="L"),-$O739,0)+IF(AND($K740=BV$3,$C740="L"),-$O740,0)+IF(AND($K741=BV$3,$C741="L"),-$O741,0),IF(OR(AND($K739=BV$3,OR($C739="W",$C739="1/2W")),AND($K740=BV$3,OR($C740="W",$C740="1/2W")),AND($K741=BV$3,OR($C741="W",$C741="1/2W"))),$S739,0))</f>
        <v>0</v>
      </c>
      <c r="BW739" s="462">
        <f t="shared" si="1489"/>
        <v>0</v>
      </c>
      <c r="BX739" s="462">
        <f t="shared" si="1489"/>
        <v>0</v>
      </c>
      <c r="BY739" s="462">
        <f t="shared" si="1489"/>
        <v>0</v>
      </c>
      <c r="BZ739" s="460">
        <f t="shared" si="1489"/>
        <v>0</v>
      </c>
      <c r="CA739" s="460">
        <f t="shared" si="1489"/>
        <v>0</v>
      </c>
      <c r="CB739" s="460">
        <f t="shared" si="1489"/>
        <v>0</v>
      </c>
      <c r="CC739" s="460">
        <f t="shared" si="1489"/>
        <v>0</v>
      </c>
      <c r="CD739" s="473">
        <f t="shared" si="1489"/>
        <v>2.41</v>
      </c>
      <c r="CE739" s="479">
        <f t="shared" si="1489"/>
        <v>0</v>
      </c>
      <c r="CF739" s="113">
        <f t="shared" si="1412"/>
        <v>0</v>
      </c>
      <c r="CG739" s="114">
        <f t="shared" si="1413"/>
        <v>0</v>
      </c>
      <c r="CH739" s="114">
        <f t="shared" si="1414"/>
        <v>0</v>
      </c>
      <c r="CI739" s="114">
        <f t="shared" si="1415"/>
        <v>0</v>
      </c>
      <c r="CJ739" s="114">
        <f t="shared" si="1416"/>
        <v>0</v>
      </c>
      <c r="CK739" s="114">
        <f t="shared" si="1417"/>
        <v>0</v>
      </c>
      <c r="CL739" s="114">
        <f t="shared" si="1418"/>
        <v>0</v>
      </c>
      <c r="CM739" s="114">
        <f t="shared" si="1419"/>
        <v>1</v>
      </c>
      <c r="CN739" s="114">
        <f t="shared" si="1420"/>
        <v>0</v>
      </c>
      <c r="CO739" s="114">
        <f t="shared" si="1421"/>
        <v>0</v>
      </c>
      <c r="CP739" s="114">
        <f t="shared" si="1422"/>
        <v>0</v>
      </c>
      <c r="CQ739" s="114">
        <f t="shared" si="1423"/>
        <v>0</v>
      </c>
      <c r="CR739" s="114">
        <f t="shared" si="1424"/>
        <v>0</v>
      </c>
      <c r="CS739" s="114">
        <f t="shared" si="1425"/>
        <v>0</v>
      </c>
      <c r="CT739" s="115">
        <f t="shared" si="1426"/>
        <v>0</v>
      </c>
      <c r="CU739" s="116">
        <f t="shared" si="1427"/>
        <v>0</v>
      </c>
      <c r="CV739" s="116">
        <f t="shared" si="1428"/>
        <v>0</v>
      </c>
      <c r="CW739" s="116">
        <f t="shared" si="1429"/>
        <v>0</v>
      </c>
      <c r="CX739" s="116">
        <f t="shared" si="1430"/>
        <v>0</v>
      </c>
      <c r="CY739" s="116">
        <f t="shared" si="1431"/>
        <v>0</v>
      </c>
      <c r="CZ739" s="116">
        <f t="shared" si="1432"/>
        <v>0</v>
      </c>
      <c r="DA739" s="116">
        <f t="shared" si="1433"/>
        <v>0</v>
      </c>
      <c r="DB739" s="116">
        <f t="shared" si="1434"/>
        <v>0</v>
      </c>
      <c r="DC739" s="116">
        <f t="shared" si="1435"/>
        <v>0</v>
      </c>
      <c r="DD739" s="116">
        <f t="shared" si="1436"/>
        <v>0</v>
      </c>
      <c r="DE739" s="117">
        <f t="shared" si="1437"/>
        <v>0</v>
      </c>
      <c r="DF739" s="118">
        <f t="shared" si="1440"/>
        <v>43</v>
      </c>
      <c r="DG739" s="106">
        <f t="shared" si="1441"/>
        <v>57.167999999999992</v>
      </c>
      <c r="DH739" s="116">
        <f t="shared" si="1442"/>
        <v>16</v>
      </c>
      <c r="DI739" s="106">
        <f t="shared" si="1443"/>
        <v>68.699999999999989</v>
      </c>
      <c r="DJ739" s="201" t="str">
        <f>IF($D739="","",$D739)</f>
        <v>23</v>
      </c>
      <c r="DK739" s="465">
        <f>IF(AND($B739=" ",$D739&lt;&gt;""),1,0)</f>
        <v>0</v>
      </c>
    </row>
    <row r="740" spans="1:115" ht="14.5" customHeight="1" x14ac:dyDescent="0.2">
      <c r="A740" s="389"/>
      <c r="B740" s="456"/>
      <c r="C740" s="120" t="s">
        <v>55</v>
      </c>
      <c r="D740" s="374"/>
      <c r="E740" s="386"/>
      <c r="F740" s="377"/>
      <c r="G740" s="483"/>
      <c r="H740" s="476"/>
      <c r="I740" s="178">
        <v>2</v>
      </c>
      <c r="J740" s="179" t="str">
        <f>IF(OR(I739="TO",I739="TU",I739="TO1",I739="TU1",I739="TO2",I739="TU2"),J739,IF(OR(I739="AH1",I739="AH2"),IF(OR(I740="AH1",I740="AH2"),-J739,IF(OR(I740="EH1",I740="EH2"),-J739+0.5,"")),IF(OR(I739="EH1",I739="EH2"),IF(OR(I740="AH1",I740="AH2"),-J739+0.5,IF(OR(I740="EH1",I740="EH2"),-J739+1,"")),IF(AND(OR(I739="DNB1",I739="DNB2"),OR(I740="AH1",I740="AH2")),0,IF(AND(I739="Not ScoreBoth",OR(I740="TO1",I740="TO2")),0.5,"")))))</f>
        <v/>
      </c>
      <c r="K740" s="123" t="s">
        <v>37</v>
      </c>
      <c r="L740" s="124">
        <v>2.0499999999999998</v>
      </c>
      <c r="M740" s="125">
        <v>7.73</v>
      </c>
      <c r="N740" s="406"/>
      <c r="O740" s="126">
        <f>IF(OR(AE739="",AE740=""),"",ROUND(IF(L741&gt;0,IF(M740&gt;0,M740,IF(M739&gt;0,IF(N739=TRUE,ROUND((M739*AE740)/AE739,0),(M739*AE740)/AE739),IF(M740&gt;0,ROUND(M740,IF(N739=0,2,IF(N739=0.1,1,0))),IF(M741&gt;0,ROUND(O741*AE740/AE741,IF(N739=0,2,IF(N739=0.1,1,0))),0)))),IF(M740&gt;0,M740,ROUND((M739*AE740)/AE739,IF(N739=0,2,IF(N739=0.1,1,0))))),2))</f>
        <v>7.73</v>
      </c>
      <c r="P740" s="127">
        <f>IF(OR(L740="",O740=""),"",IF($C740="1/2W",O740/2+O740/2*L740,IF($C740="1/2L",O740/2,IF(I740="Lay",((O740*(L740/(L740-1)))-O740)*(1-_xlfn.XLOOKUP(K740,'Fevereiro 2023 - Valor Real'!A3:A15,'Fevereiro 2023 - Valor Real'!C3:C15,0))+O740,(O740*L740-O740)*(1-_xlfn.XLOOKUP(K740,'Fevereiro 2023 - Valor Real'!A3:A15,'Fevereiro 2023 - Valor Real'!C3:C15,0))+O740))))</f>
        <v>15.846499999999999</v>
      </c>
      <c r="Q740" s="128">
        <f>IF(K740="","",IF(_xlfn.XLOOKUP(K740,K$4:K739,$DJ$4:DJ739,0,,-1)=DJ740,_xlfn.XLOOKUP(K740,K$4:K739,Q$4:Q739,1,,-1)+1,1))</f>
        <v>6</v>
      </c>
      <c r="R740" s="129">
        <f>IF(K740="","",_xlfn.XLOOKUP(K740,K$4:K739,R$4:R739,0,,-1)+IF($C740=" ",1,0))</f>
        <v>0</v>
      </c>
      <c r="S740" s="403"/>
      <c r="T740" s="380"/>
      <c r="U740" s="380"/>
      <c r="V740" s="481"/>
      <c r="W740" s="380"/>
      <c r="X740" s="452"/>
      <c r="Y740" s="383"/>
      <c r="Z740" s="384"/>
      <c r="AA740" s="384"/>
      <c r="AB740" s="384"/>
      <c r="AC740" s="384"/>
      <c r="AD740" s="130">
        <f>(((L740/(L740-1)-1)*(1-_xlfn.XLOOKUP(K740,'Fevereiro 2023 - Valor Real'!A3:A15,'Fevereiro 2023 - Valor Real'!C3:C15,0))+1))</f>
        <v>1.9523809523809526</v>
      </c>
      <c r="AE740" s="131">
        <f>IF(L740="","",IF(L741&gt;0,(SUM(((L739-1)*(1-_xlfn.XLOOKUP(K739,'Fevereiro 2023 - Valor Real'!A3:A15,'Fevereiro 2023 - Valor Real'!C3:C15,0))+1),((L740-1)*(1-_xlfn.XLOOKUP(K740,'Fevereiro 2023 - Valor Real'!A3:A15,'Fevereiro 2023 - Valor Real'!C3:C15,0))+1),((L741-1)*(1-_xlfn.XLOOKUP(K741,'Fevereiro 2023 - Valor Real'!A3:A15,'Fevereiro 2023 - Valor Real'!C3:C15,0))+1))/((L740-1)*(1-_xlfn.XLOOKUP(K740,'Fevereiro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Real'!C3:C15,0))+1))/((L739-1)*(1-_xlfn.XLOOKUP(K739,'Fevereiro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Real'!C3:C15,0))+1))/((L740-1)*(1-_xlfn.XLOOKUP(K740,'Fevereiro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Real'!C3:C15,0))+1))/((L741-1)*(1-_xlfn.XLOOKUP(K741,'Fevereiro 2023 - Valor Real'!A3:A15,'Fevereiro 2023 - Valor Real'!C3:C15,0))+1)),IF(I740="Lay",IF(I739="Lay",((L739/(L739-1)-1)*(1-_xlfn.XLOOKUP(K739,'Fevereiro 2023 - Valor Real'!A3:A15,'Fevereiro 2023 - Valor Real'!C3:C15,0))+1)/(((L739/(L739-1)-1)*(1-_xlfn.XLOOKUP(K739,'Fevereiro 2023 - Valor Real'!A3:A15,'Fevereiro 2023 - Valor Real'!C3:C15,0))+1)+((L740/(L740-1)-1)*(1-_xlfn.XLOOKUP(K740,'Fevereiro 2023 - Valor Real'!A3:A15,'Fevereiro 2023 - Valor Real'!C3:C15,0))+1)),((L739-1)*(1-_xlfn.XLOOKUP(K739,'Fevereiro 2023 - Valor Real'!A3:A15,'Fevereiro 2023 - Valor Real'!C3:C15,0))+1)/(((L739-1)*(1-_xlfn.XLOOKUP(K739,'Fevereiro 2023 - Valor Real'!A3:A15,'Fevereiro 2023 - Valor Real'!C3:C15,0))+1)+((L740/(L740-1)-1)*(1-_xlfn.XLOOKUP(K740,'Fevereiro 2023 - Valor Real'!A3:A15,'Fevereiro 2023 - Valor Real'!C3:C15,0))+1))),IF(I739="Lay",((L739/(L739-1)-1)*(1-_xlfn.XLOOKUP(K739,'Fevereiro 2023 - Valor Real'!A3:A15,'Fevereiro 2023 - Valor Real'!C3:C15,0))+1)/((((L739/(L739-1)-1)*(1-_xlfn.XLOOKUP(K739,'Fevereiro 2023 - Valor Real'!A3:A15,'Fevereiro 2023 - Valor Real'!C3:C15,0))+1))+((L740-1)*(1-_xlfn.XLOOKUP(K740,'Fevereiro 2023 - Valor Real'!A3:A15,'Fevereiro 2023 - Valor Real'!C3:C15,0))+1)),((L739-1)*(1-_xlfn.XLOOKUP(K739,'Fevereiro 2023 - Valor Real'!A3:A15,'Fevereiro 2023 - Valor Real'!C3:C15,0))+1)/(((L739-1)*(1-_xlfn.XLOOKUP(K739,'Fevereiro 2023 - Valor Real'!A3:A15,'Fevereiro 2023 - Valor Real'!C3:C15,0))+1)+((L740-1)*(1-_xlfn.XLOOKUP(K740,'Fevereiro 2023 - Valor Real'!A3:A15,'Fevereiro 2023 - Valor Real'!C3:C15,0))+1))))))</f>
        <v>0.36537933139978634</v>
      </c>
      <c r="AF740" s="105">
        <f t="shared" si="1480"/>
        <v>0</v>
      </c>
      <c r="AG740" s="106">
        <f t="shared" si="1480"/>
        <v>-7.73</v>
      </c>
      <c r="AH740" s="106">
        <f t="shared" si="1480"/>
        <v>0</v>
      </c>
      <c r="AI740" s="106">
        <f t="shared" si="1480"/>
        <v>0</v>
      </c>
      <c r="AJ740" s="106">
        <f t="shared" si="1480"/>
        <v>0</v>
      </c>
      <c r="AK740" s="106">
        <f t="shared" si="1480"/>
        <v>0</v>
      </c>
      <c r="AL740" s="106">
        <f t="shared" si="1480"/>
        <v>0</v>
      </c>
      <c r="AM740" s="106">
        <f t="shared" si="1480"/>
        <v>0</v>
      </c>
      <c r="AN740" s="106">
        <f t="shared" si="1480"/>
        <v>0</v>
      </c>
      <c r="AO740" s="106">
        <f t="shared" si="1480"/>
        <v>0</v>
      </c>
      <c r="AP740" s="106">
        <f t="shared" si="1480"/>
        <v>0</v>
      </c>
      <c r="AQ740" s="106">
        <f t="shared" si="1480"/>
        <v>0</v>
      </c>
      <c r="AR740" s="107">
        <f t="shared" si="1480"/>
        <v>0</v>
      </c>
      <c r="AS740" s="105">
        <f>IF(AND($B739=" ",$K740=AS$3),$O740,0)</f>
        <v>0</v>
      </c>
      <c r="AT740" s="106">
        <f>IF(AND($B739=" ",K740=AT$3),$O740,0)</f>
        <v>0</v>
      </c>
      <c r="AU740" s="106">
        <f t="shared" ref="AU740:BE740" si="1490">IF(AND($B739=" ",$K740=AU$3),$O740,0)</f>
        <v>0</v>
      </c>
      <c r="AV740" s="106">
        <f t="shared" si="1490"/>
        <v>0</v>
      </c>
      <c r="AW740" s="106">
        <f t="shared" si="1490"/>
        <v>0</v>
      </c>
      <c r="AX740" s="106">
        <f t="shared" si="1490"/>
        <v>0</v>
      </c>
      <c r="AY740" s="108">
        <f t="shared" si="1490"/>
        <v>0</v>
      </c>
      <c r="AZ740" s="109">
        <f t="shared" si="1490"/>
        <v>0</v>
      </c>
      <c r="BA740" s="109">
        <f t="shared" si="1490"/>
        <v>0</v>
      </c>
      <c r="BB740" s="109">
        <f t="shared" si="1490"/>
        <v>0</v>
      </c>
      <c r="BC740" s="110">
        <f t="shared" si="1490"/>
        <v>0</v>
      </c>
      <c r="BD740" s="106">
        <f t="shared" si="1490"/>
        <v>0</v>
      </c>
      <c r="BE740" s="107">
        <f t="shared" si="1490"/>
        <v>0</v>
      </c>
      <c r="BF740" s="105">
        <f t="shared" si="1482"/>
        <v>0</v>
      </c>
      <c r="BG740" s="106">
        <f t="shared" si="1482"/>
        <v>7.73</v>
      </c>
      <c r="BH740" s="106">
        <f t="shared" si="1482"/>
        <v>0</v>
      </c>
      <c r="BI740" s="106">
        <f t="shared" si="1482"/>
        <v>0</v>
      </c>
      <c r="BJ740" s="106">
        <f t="shared" si="1482"/>
        <v>0</v>
      </c>
      <c r="BK740" s="106">
        <f t="shared" si="1482"/>
        <v>0</v>
      </c>
      <c r="BL740" s="106">
        <f t="shared" si="1482"/>
        <v>0</v>
      </c>
      <c r="BM740" s="132">
        <f t="shared" si="1482"/>
        <v>0</v>
      </c>
      <c r="BN740" s="112">
        <f t="shared" si="1482"/>
        <v>0</v>
      </c>
      <c r="BO740" s="112">
        <f t="shared" si="1482"/>
        <v>0</v>
      </c>
      <c r="BP740" s="112">
        <f t="shared" si="1482"/>
        <v>0</v>
      </c>
      <c r="BQ740" s="110">
        <f t="shared" si="1482"/>
        <v>0</v>
      </c>
      <c r="BR740" s="107">
        <f t="shared" si="1482"/>
        <v>0</v>
      </c>
      <c r="BS740" s="464"/>
      <c r="BT740" s="461"/>
      <c r="BU740" s="392"/>
      <c r="BV740" s="461"/>
      <c r="BW740" s="392"/>
      <c r="BX740" s="392"/>
      <c r="BY740" s="392"/>
      <c r="BZ740" s="461"/>
      <c r="CA740" s="392"/>
      <c r="CB740" s="392"/>
      <c r="CC740" s="392"/>
      <c r="CD740" s="401"/>
      <c r="CE740" s="409"/>
      <c r="CF740" s="133">
        <f t="shared" si="1412"/>
        <v>0</v>
      </c>
      <c r="CG740" s="134">
        <f t="shared" si="1413"/>
        <v>0</v>
      </c>
      <c r="CH740" s="134">
        <f t="shared" si="1414"/>
        <v>0</v>
      </c>
      <c r="CI740" s="134">
        <f t="shared" si="1415"/>
        <v>1</v>
      </c>
      <c r="CJ740" s="134">
        <f t="shared" si="1416"/>
        <v>0</v>
      </c>
      <c r="CK740" s="134">
        <f t="shared" si="1417"/>
        <v>0</v>
      </c>
      <c r="CL740" s="134">
        <f t="shared" si="1418"/>
        <v>0</v>
      </c>
      <c r="CM740" s="134">
        <f t="shared" si="1419"/>
        <v>0</v>
      </c>
      <c r="CN740" s="134">
        <f t="shared" si="1420"/>
        <v>0</v>
      </c>
      <c r="CO740" s="134">
        <f t="shared" si="1421"/>
        <v>0</v>
      </c>
      <c r="CP740" s="134">
        <f t="shared" si="1422"/>
        <v>0</v>
      </c>
      <c r="CQ740" s="134">
        <f t="shared" si="1423"/>
        <v>0</v>
      </c>
      <c r="CR740" s="134">
        <f t="shared" si="1424"/>
        <v>0</v>
      </c>
      <c r="CS740" s="134">
        <f t="shared" si="1425"/>
        <v>0</v>
      </c>
      <c r="CT740" s="115">
        <f t="shared" si="1426"/>
        <v>0</v>
      </c>
      <c r="CU740" s="116">
        <f t="shared" si="1427"/>
        <v>0</v>
      </c>
      <c r="CV740" s="116">
        <f t="shared" si="1428"/>
        <v>0</v>
      </c>
      <c r="CW740" s="116">
        <f t="shared" si="1429"/>
        <v>0</v>
      </c>
      <c r="CX740" s="116">
        <f t="shared" si="1430"/>
        <v>0</v>
      </c>
      <c r="CY740" s="116">
        <f t="shared" si="1431"/>
        <v>0</v>
      </c>
      <c r="CZ740" s="116">
        <f t="shared" si="1432"/>
        <v>0</v>
      </c>
      <c r="DA740" s="116">
        <f t="shared" si="1433"/>
        <v>0</v>
      </c>
      <c r="DB740" s="116">
        <f t="shared" si="1434"/>
        <v>0</v>
      </c>
      <c r="DC740" s="116">
        <f t="shared" si="1435"/>
        <v>0</v>
      </c>
      <c r="DD740" s="116">
        <f t="shared" si="1436"/>
        <v>0</v>
      </c>
      <c r="DE740" s="117">
        <f t="shared" si="1437"/>
        <v>0</v>
      </c>
      <c r="DF740" s="118">
        <f t="shared" si="1440"/>
        <v>43</v>
      </c>
      <c r="DG740" s="106">
        <f t="shared" si="1441"/>
        <v>57.167999999999992</v>
      </c>
      <c r="DH740" s="116">
        <f t="shared" si="1442"/>
        <v>16</v>
      </c>
      <c r="DI740" s="106">
        <f t="shared" si="1443"/>
        <v>68.699999999999989</v>
      </c>
      <c r="DJ740" s="201" t="str">
        <f>IF($D739="","",$D739)</f>
        <v>23</v>
      </c>
      <c r="DK740" s="466"/>
    </row>
    <row r="741" spans="1:115" ht="14.5" customHeight="1" x14ac:dyDescent="0.2">
      <c r="A741" s="390"/>
      <c r="B741" s="457"/>
      <c r="C741" s="135" t="s">
        <v>54</v>
      </c>
      <c r="D741" s="375"/>
      <c r="E741" s="387"/>
      <c r="F741" s="378"/>
      <c r="G741" s="484"/>
      <c r="H741" s="477"/>
      <c r="I741" s="203" t="s">
        <v>66</v>
      </c>
      <c r="J741" s="204">
        <v>1</v>
      </c>
      <c r="K741" s="193" t="s">
        <v>47</v>
      </c>
      <c r="L741" s="194">
        <v>1.87</v>
      </c>
      <c r="M741" s="140">
        <v>18.2</v>
      </c>
      <c r="N741" s="407"/>
      <c r="O741" s="195">
        <f>IF(OR(AE739="",AE740=""),"",IF(L741&gt;0,ROUND(IF(M741&gt;0,M741,IF(M739&gt;0,ROUND((M739*AE741)/AE739,IF(N739=0,2,IF(N739=0.1,1,0))),IF(M740&gt;0,ROUND((M740*AE741)/AE740,IF(N739=0,2,IF(N739=0.1,1,0))),IF(M741&gt;0,M741,0)))),2),""))</f>
        <v>18.2</v>
      </c>
      <c r="P741" s="196">
        <f>IF(I740="Lay",O740*(L740/(L740-1))-O740,IF(I739="Lay",O739*(L739/(L739-1))-O739,IF(OR(L741="",O741=""),"",IF($C741="1/2W",O741/2+O741/2*L741,IF($C741="1/2L",O741/2,(O741*L741-O741)*(1-_xlfn.XLOOKUP(K741,'Fevereiro 2023 - Valor Real'!A3:A15,'Fevereiro 2023 - Valor Real'!C3:C15,0))+O741)))))</f>
        <v>34.033999999999999</v>
      </c>
      <c r="Q741" s="197">
        <f>IF(K741="","",IF(_xlfn.XLOOKUP(K741,K$4:K740,$DJ$4:DJ740,0,,-1)=DJ741,_xlfn.XLOOKUP(K741,K$4:K740,Q$4:Q740,1,,-1)+1,1))</f>
        <v>3</v>
      </c>
      <c r="R741" s="198">
        <f>IF(K741="","",_xlfn.XLOOKUP(K741,K$4:K740,R$4:R740,0,,-1)+IF($C741=" ",1,0))</f>
        <v>0</v>
      </c>
      <c r="S741" s="404"/>
      <c r="T741" s="378"/>
      <c r="U741" s="378"/>
      <c r="V741" s="404"/>
      <c r="W741" s="378"/>
      <c r="X741" s="453"/>
      <c r="Y741" s="383"/>
      <c r="Z741" s="384"/>
      <c r="AA741" s="384"/>
      <c r="AB741" s="384"/>
      <c r="AC741" s="384"/>
      <c r="AD741" s="145">
        <f>((L740/(L740-1)-1))</f>
        <v>0.95238095238095255</v>
      </c>
      <c r="AE741" s="199">
        <f>IF(L741="","",(SUM(((L739-1)*(1-_xlfn.XLOOKUP(K739,'Fevereiro 2023 - Valor Real'!A3:A15,'Fevereiro 2023 - Valor Real'!C3:C15,0))+1),((L740-1)*(1-_xlfn.XLOOKUP(K740,'Fevereiro 2023 - Valor Real'!A3:A15,'Fevereiro 2023 - Valor Real'!C3:C15,0))+1),((L741-1)*(1-_xlfn.XLOOKUP(K741,'Fevereiro 2023 - Valor Real'!A3:A15,'Fevereiro 2023 - Valor Real'!C3:C15,0))+1))/((L741-1)*(1-_xlfn.XLOOKUP(K741,'Fevereiro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Real'!C3:C15,0))+1))/((L739-1)*(1-_xlfn.XLOOKUP(K739,'Fevereiro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Real'!C3:C15,0))+1))/((L740-1)*(1-_xlfn.XLOOKUP(K740,'Fevereiro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Real'!C3:C15,0))+1))/((L741-1)*(1-_xlfn.XLOOKUP(K741,'Fevereiro 2023 - Valor Real'!A3:A15,'Fevereiro 2023 - Valor Real'!C3:C15,0))+1)))</f>
        <v>0.40054953442222557</v>
      </c>
      <c r="AF741" s="105">
        <f t="shared" si="1480"/>
        <v>0</v>
      </c>
      <c r="AG741" s="106">
        <f t="shared" si="1480"/>
        <v>0</v>
      </c>
      <c r="AH741" s="106">
        <f t="shared" si="1480"/>
        <v>0</v>
      </c>
      <c r="AI741" s="106">
        <f t="shared" si="1480"/>
        <v>0</v>
      </c>
      <c r="AJ741" s="106">
        <f t="shared" si="1480"/>
        <v>0</v>
      </c>
      <c r="AK741" s="106">
        <f t="shared" si="1480"/>
        <v>0</v>
      </c>
      <c r="AL741" s="106">
        <f t="shared" si="1480"/>
        <v>0</v>
      </c>
      <c r="AM741" s="106">
        <f t="shared" si="1480"/>
        <v>0</v>
      </c>
      <c r="AN741" s="106">
        <f t="shared" si="1480"/>
        <v>0</v>
      </c>
      <c r="AO741" s="106">
        <f t="shared" si="1480"/>
        <v>0</v>
      </c>
      <c r="AP741" s="106">
        <f t="shared" si="1480"/>
        <v>0</v>
      </c>
      <c r="AQ741" s="106">
        <f t="shared" si="1480"/>
        <v>15.83</v>
      </c>
      <c r="AR741" s="107">
        <f t="shared" si="1480"/>
        <v>0</v>
      </c>
      <c r="AS741" s="105">
        <f>IF(AND($B739=" ",$K741=AS$3),$O741,0)</f>
        <v>0</v>
      </c>
      <c r="AT741" s="106">
        <f>IF(AND($B739=" ",K741=AT$3),$O741,0)</f>
        <v>0</v>
      </c>
      <c r="AU741" s="106">
        <f t="shared" ref="AU741:BE741" si="1491">IF(AND($B739=" ",$K741=AU$3),$O741,0)</f>
        <v>0</v>
      </c>
      <c r="AV741" s="106">
        <f t="shared" si="1491"/>
        <v>0</v>
      </c>
      <c r="AW741" s="106">
        <f t="shared" si="1491"/>
        <v>0</v>
      </c>
      <c r="AX741" s="106">
        <f t="shared" si="1491"/>
        <v>0</v>
      </c>
      <c r="AY741" s="108">
        <f t="shared" si="1491"/>
        <v>0</v>
      </c>
      <c r="AZ741" s="109">
        <f t="shared" si="1491"/>
        <v>0</v>
      </c>
      <c r="BA741" s="109">
        <f t="shared" si="1491"/>
        <v>0</v>
      </c>
      <c r="BB741" s="109">
        <f t="shared" si="1491"/>
        <v>0</v>
      </c>
      <c r="BC741" s="110">
        <f t="shared" si="1491"/>
        <v>0</v>
      </c>
      <c r="BD741" s="106">
        <f t="shared" si="1491"/>
        <v>0</v>
      </c>
      <c r="BE741" s="107">
        <f t="shared" si="1491"/>
        <v>0</v>
      </c>
      <c r="BF741" s="105">
        <f t="shared" si="1482"/>
        <v>0</v>
      </c>
      <c r="BG741" s="106">
        <f t="shared" si="1482"/>
        <v>0</v>
      </c>
      <c r="BH741" s="106">
        <f t="shared" si="1482"/>
        <v>0</v>
      </c>
      <c r="BI741" s="106">
        <f t="shared" si="1482"/>
        <v>0</v>
      </c>
      <c r="BJ741" s="106">
        <f t="shared" si="1482"/>
        <v>0</v>
      </c>
      <c r="BK741" s="106">
        <f t="shared" si="1482"/>
        <v>0</v>
      </c>
      <c r="BL741" s="106">
        <f t="shared" si="1482"/>
        <v>0</v>
      </c>
      <c r="BM741" s="108">
        <f t="shared" si="1482"/>
        <v>0</v>
      </c>
      <c r="BN741" s="109">
        <f t="shared" si="1482"/>
        <v>0</v>
      </c>
      <c r="BO741" s="109">
        <f t="shared" si="1482"/>
        <v>0</v>
      </c>
      <c r="BP741" s="109">
        <f t="shared" si="1482"/>
        <v>0</v>
      </c>
      <c r="BQ741" s="110">
        <f t="shared" si="1482"/>
        <v>18.2</v>
      </c>
      <c r="BR741" s="107">
        <f t="shared" si="1482"/>
        <v>0</v>
      </c>
      <c r="BS741" s="464"/>
      <c r="BT741" s="461"/>
      <c r="BU741" s="392"/>
      <c r="BV741" s="461"/>
      <c r="BW741" s="392"/>
      <c r="BX741" s="392"/>
      <c r="BY741" s="392"/>
      <c r="BZ741" s="461"/>
      <c r="CA741" s="392"/>
      <c r="CB741" s="392"/>
      <c r="CC741" s="392"/>
      <c r="CD741" s="401"/>
      <c r="CE741" s="409"/>
      <c r="CF741" s="133">
        <f t="shared" si="1412"/>
        <v>0</v>
      </c>
      <c r="CG741" s="134">
        <f t="shared" si="1413"/>
        <v>0</v>
      </c>
      <c r="CH741" s="134">
        <f t="shared" si="1414"/>
        <v>0</v>
      </c>
      <c r="CI741" s="134">
        <f t="shared" si="1415"/>
        <v>0</v>
      </c>
      <c r="CJ741" s="134">
        <f t="shared" si="1416"/>
        <v>0</v>
      </c>
      <c r="CK741" s="134">
        <f t="shared" si="1417"/>
        <v>0</v>
      </c>
      <c r="CL741" s="134">
        <f t="shared" si="1418"/>
        <v>0</v>
      </c>
      <c r="CM741" s="134">
        <f t="shared" si="1419"/>
        <v>0</v>
      </c>
      <c r="CN741" s="134">
        <f t="shared" si="1420"/>
        <v>0</v>
      </c>
      <c r="CO741" s="134">
        <f t="shared" si="1421"/>
        <v>0</v>
      </c>
      <c r="CP741" s="134">
        <f t="shared" si="1422"/>
        <v>0</v>
      </c>
      <c r="CQ741" s="134">
        <f t="shared" si="1423"/>
        <v>0</v>
      </c>
      <c r="CR741" s="134">
        <f t="shared" si="1424"/>
        <v>0</v>
      </c>
      <c r="CS741" s="134">
        <f t="shared" si="1425"/>
        <v>0</v>
      </c>
      <c r="CT741" s="115">
        <f t="shared" si="1426"/>
        <v>0</v>
      </c>
      <c r="CU741" s="116">
        <f t="shared" si="1427"/>
        <v>0</v>
      </c>
      <c r="CV741" s="116">
        <f t="shared" si="1428"/>
        <v>0</v>
      </c>
      <c r="CW741" s="116">
        <f t="shared" si="1429"/>
        <v>0</v>
      </c>
      <c r="CX741" s="116">
        <f t="shared" si="1430"/>
        <v>0</v>
      </c>
      <c r="CY741" s="116">
        <f t="shared" si="1431"/>
        <v>0</v>
      </c>
      <c r="CZ741" s="116">
        <f t="shared" si="1432"/>
        <v>0</v>
      </c>
      <c r="DA741" s="116">
        <f t="shared" si="1433"/>
        <v>0</v>
      </c>
      <c r="DB741" s="116">
        <f t="shared" si="1434"/>
        <v>1</v>
      </c>
      <c r="DC741" s="116">
        <f t="shared" si="1435"/>
        <v>0</v>
      </c>
      <c r="DD741" s="116">
        <f t="shared" si="1436"/>
        <v>0</v>
      </c>
      <c r="DE741" s="117">
        <f t="shared" si="1437"/>
        <v>0</v>
      </c>
      <c r="DF741" s="118">
        <f t="shared" si="1440"/>
        <v>43</v>
      </c>
      <c r="DG741" s="106">
        <f t="shared" si="1441"/>
        <v>57.167999999999992</v>
      </c>
      <c r="DH741" s="116">
        <f t="shared" si="1442"/>
        <v>16</v>
      </c>
      <c r="DI741" s="106">
        <f t="shared" si="1443"/>
        <v>68.699999999999989</v>
      </c>
      <c r="DJ741" s="201" t="str">
        <f>IF($D739="","",$D739)</f>
        <v>23</v>
      </c>
      <c r="DK741" s="466"/>
    </row>
    <row r="742" spans="1:115" ht="14.5" customHeight="1" x14ac:dyDescent="0.2">
      <c r="A742" s="487">
        <f>$A739+1</f>
        <v>247</v>
      </c>
      <c r="B742" s="506" t="str">
        <f>IF(OR(C742="W",C743="W",C744="W",C742="1/2W",C743="1/2W",C744="1/2W",C742="1/2L",C743="1/2L",C744="1/2L"),"OK",IF(OR(C742="L",C743="L",C744="L"),"LOSS",IF(OR(C742="X",C743="X",C744="X"),"Anulado"," ")))</f>
        <v>OK</v>
      </c>
      <c r="C742" s="147" t="s">
        <v>55</v>
      </c>
      <c r="D742" s="494" t="str">
        <f>IF(G742="","",$D739)</f>
        <v>23</v>
      </c>
      <c r="E742" s="511" t="str">
        <f>IF(G742=""," ","– "&amp;COUNTIF(D$4:D744,$D742))</f>
        <v>– 13</v>
      </c>
      <c r="F742" s="510" t="str">
        <f ca="1">IF(G742="","",IF(OR(AND($C742&lt;&gt;" ",$C743=" "),AND($C743&lt;&gt;" ",$C742=" "),AND(L744&gt;0,OR(AND($C744&lt;&gt;" ",OR($C742=" ",$C743=" ")),AND($C744=" ",OR($C742&lt;&gt;" ",$C743&lt;&gt;" "))))),IF(SUM(F$4:F741)=0,1,LARGE(F$4:F741,1)+1),IF(MONTH(G742)=MONTH(TODAY()),IF(AND(DAY(G742)&lt;DAY(TODAY()),$B742=" "),IF(SUM(F$4:F741)=0,1,LARGE(F$4:F741,1)+1),IF($B742=" ",IF(AND(DAY(G742)=DAY(TODAY()),HOUR(G742)&lt;=HOUR(NOW())+1),IF(AND(HOUR(G742)+2&lt;=HOUR(NOW()),DAY(G742)&lt;=DAY(TODAY()),MINUTE(G742)&lt;=MINUTE(NOW())),IF(SUM(F$4:F741)=0,1,LARGE(F$4:F741,1)+1),IF(OR(MINUTE(G742)&lt;=MINUTE(NOW()),HOUR(G742)&lt;=HOUR(NOW())),"!!!","")),""),"")),"")))</f>
        <v/>
      </c>
      <c r="G742" s="508">
        <f>IF(H742="","",_xlfn.XLOOKUP(H742,$H$4:H741,$G$4:G741,""))</f>
        <v>45009.270833333336</v>
      </c>
      <c r="H742" s="502" t="s">
        <v>260</v>
      </c>
      <c r="I742" s="148">
        <v>2</v>
      </c>
      <c r="J742" s="149"/>
      <c r="K742" s="150" t="s">
        <v>37</v>
      </c>
      <c r="L742" s="151">
        <v>2</v>
      </c>
      <c r="M742" s="152"/>
      <c r="N742" s="503">
        <v>0</v>
      </c>
      <c r="O742" s="153">
        <f>IF(OR(AE742="",AE743=""),"",ROUND(IF(L744&gt;0,IF(M742&gt;0,M742,IF(M743&gt;0,ROUND((M743*AE742)/AE743,IF(N742=0,2,IF(N742=0.1,1,0))),ROUND((M744*AE742)/AE744,IF(N742=0,2,IF(N742=0.1,1,0))))),IF(M742&gt;0,M742,ROUND((M743*AE742)/AE743,IF(N742=0,2,IF(N742=0.1,1,0))))),2))</f>
        <v>24.24</v>
      </c>
      <c r="P742" s="154">
        <f>IF(OR(L742="",O742=""),"",IF($C742="1/2W",O742/2+O742/2*L742,IF($C742="1/2L",O742/2,IF(I742="Lay",(O742*(L742/(L742-1))-O742)*(1-_xlfn.XLOOKUP(K742,'Fevereiro 2023 - Valor Real'!A3:A15,'Fevereiro 2023 - Valor Real'!C3:C15,0))+O742,(O742*L742-O742)*(1-_xlfn.XLOOKUP(K742,'Fevereiro 2023 - Valor Real'!A3:A15,'Fevereiro 2023 - Valor Real'!C3:C15,0))+O742))))</f>
        <v>48.48</v>
      </c>
      <c r="Q742" s="155">
        <f>IF(K742="","",IF(_xlfn.XLOOKUP(K742,K$9:K734,$DJ$9:DJ734,0,,-1)=DJ742,_xlfn.XLOOKUP(K742,K$9:K734,Q$9:Q734,1,,-1)+1,1))</f>
        <v>5</v>
      </c>
      <c r="R742" s="156">
        <f>IF(K742="","",_xlfn.XLOOKUP(K742,K$9:K734,R$9:R734,0,,-1)+IF($C742=" ",1,0))</f>
        <v>0</v>
      </c>
      <c r="S742" s="501">
        <f>IF($B742="Anulado",0,ROUND(IF(OR($B742="LOSS",$B742="OK"),IF(OR($C742="W",$C742="1/2W",$C742="1/2L"),P742-O742,IF($C742="L",-O742,0))+IF(OR($C743="W",$C743="1/2W",$C743="1/2L"),P743-O743,IF($C743="L",-O743,0))+IF(OR($C744="W",$C744="1/2W",$C744="1/2L"),P744-O744,IF($C744="L",-O744,0)),IF(AND(OR($C742="W",$C742="1/2W",$C742="1/2L"),C743="W"),P742+P743-SUM(O742:O744)+_xlfn.XLOOKUP("X",C742:C744,O742:O744,0),IF(AND(C742=TRUE,C744="W"),P742+P744-SUM(O742:O744),IF(AND(C743="W",C744="W"),P743+P744-SUM(O742:O744)+_xlfn.XLOOKUP("X",C742:C744,O742:O744,0),IF(L744&gt;0,IF(OR($C742="W",$C742="1/2W",$C742="1/2L"),P742-SUM(O742:O744)+_xlfn.XLOOKUP("X",C742:C744,O742:O744,0),IF(OR($C742="W",$C742="1/2W",$C742="1/2L"),P743-SUM(O742:O744)+_xlfn.XLOOKUP("X",C742:C744,O742:O744,0),IF(OR($C742="W",$C742="1/2W",$C742="1/2L"),P744-SUM(O742:O744)+_xlfn.XLOOKUP("X",C742:C744,O742:O744,0),IF(SUM(P742:P744)/3-SUM(O742:O744)+_xlfn.XLOOKUP("X",C742:C744,O742:O744,0)&gt;0,SUM(P742:P744)/3-SUM(O742:O744)+_xlfn.XLOOKUP("X",C742:C744,O742:O744,0),LARGE(P742:P744,1)-SUM(O742:O744))))),IF(OR($C742="W",$C742="1/2W",$C742="1/2L"),P742-SUM(O742:O743)+_xlfn.XLOOKUP("X",C742:C744,O742:O744,0),IF(OR($C742="W",$C742="1/2W",$C742="1/2L"),P743-SUM(O742:O743)+_xlfn.XLOOKUP("X",C742:C744,O742:O744,0),SUM(P742:P743)/2-SUM(O742:O743)+_xlfn.XLOOKUP("X",C742:C744,O742:O744,0)))))))),2))</f>
        <v>1.9</v>
      </c>
      <c r="T742" s="486">
        <f>IF(S742=0,0,S742/SUM(O742:O744))</f>
        <v>4.0790038643194505E-2</v>
      </c>
      <c r="U742" s="496">
        <f>IF($D742=$D739,IF(OR($B742="LOSS",$B742="OK",$B742="Anulada"),S742,0)+U739,IF(OR($B742="LOSS",$B742="OK",$B742="Anulada"),S742,0))</f>
        <v>27.709999999999997</v>
      </c>
      <c r="V742" s="496">
        <f>IF($D742="",0,IF($D742=$D739,IF($B742=" ",IF(I744="",IF(OR(AND(I742="DNB1",I743="DNB2"),AND(OR(I742="DNB1",I742="DNB2"),J743=0),AND(OR(I743="DNB1",I743="DNB2"),J742=0),AND(I742="DNB2",I743="DNB1"),AND(IF(J742=0,(J742+1)/ROUND(J742+1,0),J742/ROUND(J742,0))=1,IF(J743=0,(J743+1)/ROUND(IF(J743="",0,J743)+1,0),IF(J743="",0,J743)/ROUND(IF(J743="",1,J743),0))=1,OR(J742&lt;&gt;""),J743&lt;&gt;"")),0,IF(S742&lt;0,IF(I744="",SMALL(P742:P743,1)-SUM(O742:O743),0),SMALL(P742:P743,1)-SUM(O742:O743))),IF(S742&lt;0,IF(I744="",SMALL(P742:P744,1)-SUM(O742:O744),0),LARGE(P742:P744,1)-SUM(O742:O744))),S742)+V739,IF(I744="",IF(OR(AND(I742="DNB1",I743="DNB2"),AND(OR(I742="DNB1",I742="DNB2"),J743=0),AND(OR(I743="DNB1",I743="DNB2"),J742=0),AND(I742="DNB2",I743="DNB1"),AND(IF(J742=0,(J742+1)/ROUND(J742+1,0),J742/ROUND(J742,0))=1,IF(J743=0,(IF(J743="",0,J743)+1)/ROUND(IF(J743="",0,J743)+1,0),IF(J743="",0,J743)/ROUND(IF(J743="",0,J743)+1,0))=1,OR(J742&lt;&gt;""),J743&lt;&gt;"")),0,IF(S742&lt;0,IF(I744="",SMALL(P742:P743,1)-SUM(O742:O743),0),SMALL(P742:P744,1)-SUM(O742:O744))),IF(S742&lt;0,IF(I744="",SMALL(P742:P744,1)-SUM(O742:O744),0),LARGE(P742:P744,1)-SUM(O742:O744)))))</f>
        <v>27.71</v>
      </c>
      <c r="W742" s="496">
        <f>IF($D742=$D739,IF(S742&lt;0,IF(I744="",S742,0),S742)+W739,S742)</f>
        <v>27.709999999999997</v>
      </c>
      <c r="X742" s="505" t="str">
        <f>IF(OR(SUM(R742:R744)=0,V742=W742),ROUND(IF(W742=0,0,W742/Y742)*100,2)&amp;"%",ROUND(IF(V742=0,0,V742/Y742)*100,2)&amp;"% a "&amp;ROUND(IF(W742=0,0,W742/Y742)*100,2)&amp;"%")</f>
        <v>7,66%</v>
      </c>
      <c r="Y742" s="497">
        <f>IF($D742=$D739,Y739+SUM(O742:O744),SUM(O742:O744))</f>
        <v>361.95</v>
      </c>
      <c r="Z742" s="496">
        <f>IF($B742=" ",SUM(O742:O744),0)+Z739</f>
        <v>0</v>
      </c>
      <c r="AA742" s="496">
        <f>IF(G742="","",IF($B742="Anulado",LARGE(P742:P744,1)-SUM(O742:O744)+AA739,AA739))</f>
        <v>13.381099999999991</v>
      </c>
      <c r="AB742" s="496">
        <f>IF($D742="","",AB739+S742)</f>
        <v>834.07000000000073</v>
      </c>
      <c r="AC742" s="499">
        <f ca="1">IF($D742="","",IF($B742=" ",IF(DAY(G742)=DAY(TODAY()),1+AC739,0+AC739),0+AC739))</f>
        <v>0</v>
      </c>
      <c r="AD742" s="157">
        <f>(1-_xlfn.XLOOKUP(K740,'Fevereiro 2023 - Valor Real'!A3:A15,'Fevereiro 2023 - Valor Real'!C3:C15,0))+1</f>
        <v>2</v>
      </c>
      <c r="AE742" s="158">
        <f>IF(L742="","",IF(L744&gt;0,(SUM(((L742-1)*(1-_xlfn.XLOOKUP(K742,'Fevereiro 2023 - Valor Real'!A3:A15,'Fevereiro 2023 - Valor Real'!C3:C15,0))+1),((L743-1)*(1-_xlfn.XLOOKUP(K743,'Fevereiro 2023 - Valor Real'!A3:A15,'Fevereiro 2023 - Valor Real'!C3:C15,0))+1),((L744-1)*(1-_xlfn.XLOOKUP(K744,'Fevereiro 2023 - Valor Real'!A3:A15,'Fevereiro 2023 - Valor Real'!C3:C15,0))+1))/((L742-1)*(1-_xlfn.XLOOKUP(K742,'Fevereiro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Real'!C3:C15,0))+1))/((L742-1)*(1-_xlfn.XLOOKUP(K742,'Fevereiro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Real'!C3:C15,0))+1))/((L743-1)*(1-_xlfn.XLOOKUP(K743,'Fevereiro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Real'!C3:C15,0))+1))/((L744-1)*(1-_xlfn.XLOOKUP(K744,'Fevereiro 2023 - Valor Real'!A3:A15,'Fevereiro 2023 - Valor Real'!C3:C15,0))+1)),IF(I742="Lay",IF(I743="Lay",((L743/(L743-1)-1)*(1-_xlfn.XLOOKUP(K743,'Fevereiro 2023 - Valor Real'!A3:A15,'Fevereiro 2023 - Valor Real'!C3:C15,0))+1)/(((L743/(L743-1)-1)*(1-_xlfn.XLOOKUP(K743,'Fevereiro 2023 - Valor Real'!A3:A15,'Fevereiro 2023 - Valor Real'!C3:C15,0))+1)+((L742/(L742-1)-1)*(1-_xlfn.XLOOKUP(K742,'Fevereiro 2023 - Valor Real'!A3:A15,'Fevereiro 2023 - Valor Real'!C3:C15,0))+1)),((L743-1)*(1-_xlfn.XLOOKUP(K743,'Fevereiro 2023 - Valor Real'!A3:A15,'Fevereiro 2023 - Valor Real'!C3:C15,0))+1)/(((L743-1)*(1-_xlfn.XLOOKUP(K743,'Fevereiro 2023 - Valor Real'!A3:A15,'Fevereiro 2023 - Valor Real'!C3:C15,0))+1)+((L742/(L742-1)-1)*(1-_xlfn.XLOOKUP(K742,'Fevereiro 2023 - Valor Real'!A3:A15,'Fevereiro 2023 - Valor Real'!C3:C15,0))+1))),IF(I743="Lay",(((L743/(L743-1)-1)*(1-_xlfn.XLOOKUP(K743,'Fevereiro 2023 - Valor Real'!A3:A15,'Fevereiro 2023 - Valor Real'!C3:C15,0))+1))/(((L742-1)*(1-_xlfn.XLOOKUP(K742,'Fevereiro 2023 - Valor Real'!A3:A15,'Fevereiro 2023 - Valor Real'!C3:C15,0))+1)+((L743/(L743-1)-1)*(1-_xlfn.XLOOKUP(K743,'Fevereiro 2023 - Valor Real'!A3:A15,'Fevereiro 2023 - Valor Real'!C3:C15,0))+1)),((L743-1)*(1-_xlfn.XLOOKUP(K743,'Fevereiro 2023 - Valor Real'!A3:A15,'Fevereiro 2023 - Valor Real'!C3:C15,0))+1)/(((L743-1)*(1-_xlfn.XLOOKUP(K743,'Fevereiro 2023 - Valor Real'!A3:A15,'Fevereiro 2023 - Valor Real'!C3:C15,0))+1)+((L742-1)*(1-_xlfn.XLOOKUP(K742,'Fevereiro 2023 - Valor Real'!A3:A15,'Fevereiro 2023 - Valor Real'!C3:C15,0))+1))))))</f>
        <v>0.52038369304556353</v>
      </c>
      <c r="AF742" s="66">
        <f t="shared" si="1480"/>
        <v>0</v>
      </c>
      <c r="AG742" s="67">
        <f t="shared" si="1480"/>
        <v>-24.24</v>
      </c>
      <c r="AH742" s="67">
        <f t="shared" si="1480"/>
        <v>0</v>
      </c>
      <c r="AI742" s="67">
        <f t="shared" si="1480"/>
        <v>0</v>
      </c>
      <c r="AJ742" s="67">
        <f t="shared" si="1480"/>
        <v>0</v>
      </c>
      <c r="AK742" s="67">
        <f t="shared" si="1480"/>
        <v>0</v>
      </c>
      <c r="AL742" s="67">
        <f t="shared" si="1480"/>
        <v>0</v>
      </c>
      <c r="AM742" s="67">
        <f t="shared" si="1480"/>
        <v>0</v>
      </c>
      <c r="AN742" s="67">
        <f t="shared" si="1480"/>
        <v>0</v>
      </c>
      <c r="AO742" s="67">
        <f t="shared" si="1480"/>
        <v>0</v>
      </c>
      <c r="AP742" s="67">
        <f t="shared" si="1480"/>
        <v>0</v>
      </c>
      <c r="AQ742" s="67">
        <f t="shared" si="1480"/>
        <v>0</v>
      </c>
      <c r="AR742" s="68">
        <f t="shared" si="1480"/>
        <v>0</v>
      </c>
      <c r="AS742" s="66">
        <f t="shared" ref="AS742:BE742" si="1492">IF(AND($B742=" ",$K742=AS$3),$O742,0)</f>
        <v>0</v>
      </c>
      <c r="AT742" s="67">
        <f t="shared" si="1492"/>
        <v>0</v>
      </c>
      <c r="AU742" s="67">
        <f t="shared" si="1492"/>
        <v>0</v>
      </c>
      <c r="AV742" s="67">
        <f t="shared" si="1492"/>
        <v>0</v>
      </c>
      <c r="AW742" s="67">
        <f t="shared" si="1492"/>
        <v>0</v>
      </c>
      <c r="AX742" s="67">
        <f t="shared" si="1492"/>
        <v>0</v>
      </c>
      <c r="AY742" s="69">
        <f t="shared" si="1492"/>
        <v>0</v>
      </c>
      <c r="AZ742" s="70">
        <f t="shared" si="1492"/>
        <v>0</v>
      </c>
      <c r="BA742" s="70">
        <f t="shared" si="1492"/>
        <v>0</v>
      </c>
      <c r="BB742" s="70">
        <f t="shared" si="1492"/>
        <v>0</v>
      </c>
      <c r="BC742" s="71">
        <f t="shared" si="1492"/>
        <v>0</v>
      </c>
      <c r="BD742" s="67">
        <f t="shared" si="1492"/>
        <v>0</v>
      </c>
      <c r="BE742" s="68">
        <f t="shared" si="1492"/>
        <v>0</v>
      </c>
      <c r="BF742" s="66">
        <f t="shared" si="1482"/>
        <v>0</v>
      </c>
      <c r="BG742" s="67">
        <f t="shared" si="1482"/>
        <v>24.24</v>
      </c>
      <c r="BH742" s="67">
        <f t="shared" si="1482"/>
        <v>0</v>
      </c>
      <c r="BI742" s="67">
        <f t="shared" si="1482"/>
        <v>0</v>
      </c>
      <c r="BJ742" s="67">
        <f t="shared" si="1482"/>
        <v>0</v>
      </c>
      <c r="BK742" s="67">
        <f t="shared" si="1482"/>
        <v>0</v>
      </c>
      <c r="BL742" s="67">
        <f t="shared" si="1482"/>
        <v>0</v>
      </c>
      <c r="BM742" s="69">
        <f t="shared" si="1482"/>
        <v>0</v>
      </c>
      <c r="BN742" s="70">
        <f t="shared" si="1482"/>
        <v>0</v>
      </c>
      <c r="BO742" s="70">
        <f t="shared" si="1482"/>
        <v>0</v>
      </c>
      <c r="BP742" s="70">
        <f t="shared" si="1482"/>
        <v>0</v>
      </c>
      <c r="BQ742" s="71">
        <f t="shared" si="1482"/>
        <v>0</v>
      </c>
      <c r="BR742" s="68">
        <f t="shared" si="1482"/>
        <v>0</v>
      </c>
      <c r="BS742" s="490">
        <f>IF($B742="LOSS",IF(AND($K742=BS$3,$C742="L"),-$O742,0)+IF(AND($K743=BS$3,$C743="L"),-$O743,0)+IF(AND($K744=BS$3,$C744="L"),-$O744,0),IF(OR(AND($K742=BS$3,OR($C742="W",$C742="1/2W")),AND($K743=BS$3,OR($C743="W",$C743="1/2W")),AND($K744=BS$3,OR($C744="W",$C744="1/2W"))),$S742,0))</f>
        <v>0</v>
      </c>
      <c r="BT742" s="498">
        <f>IF($B742="LOSS",IF(AND($K742=BT$3,$C742="L"),-$O742,0)+IF(AND($K743=BT$3,$C743="L"),-$O743,0)+IF(AND($K743=BT$3,$C744="L"),-$O744,0),IF(OR(AND($K743=BT$3,OR($C742="W",$C742="1/2W")),AND($K743=BT$3,OR($C743="W",$C743="1/2W")),AND($K743=BT$3,OR($C744="W",$C744="1/2W"))),$S742,0))</f>
        <v>0</v>
      </c>
      <c r="BU742" s="488">
        <f>IF($B742="LOSS",IF(AND($K742=BU$3,$C742="L"),-$O742,0)+IF(AND($K743=BU$3,$C743="L"),-$O743,0)+IF(AND($K743=BU$3,$C744="L"),-$O744,0),IF(OR(AND($K743=BU$3,OR($C742="W",$C742="1/2W")),AND($K743=BU$3,OR($C743="W",$C743="1/2W")),AND($K743=BU$3,OR($C744="W",$C744="1/2W"))),$S742,0))</f>
        <v>0</v>
      </c>
      <c r="BV742" s="488">
        <f t="shared" ref="BV742:CE742" si="1493">IF($B742="LOSS",IF(AND($K742=BV$3,$C742="L"),-$O742,0)+IF(AND($K743=BV$3,$C743="L"),-$O743,0)+IF(AND($K744=BV$3,$C744="L"),-$O744,0),IF(OR(AND($K742=BV$3,OR($C742="W",$C742="1/2W")),AND($K743=BV$3,OR($C743="W",$C743="1/2W")),AND($K744=BV$3,OR($C744="W",$C744="1/2W"))),$S742,0))</f>
        <v>0</v>
      </c>
      <c r="BW742" s="488">
        <f t="shared" si="1493"/>
        <v>0</v>
      </c>
      <c r="BX742" s="488">
        <f t="shared" si="1493"/>
        <v>0</v>
      </c>
      <c r="BY742" s="488">
        <f t="shared" si="1493"/>
        <v>0</v>
      </c>
      <c r="BZ742" s="488">
        <f t="shared" si="1493"/>
        <v>0</v>
      </c>
      <c r="CA742" s="488">
        <f t="shared" si="1493"/>
        <v>0</v>
      </c>
      <c r="CB742" s="488">
        <f t="shared" si="1493"/>
        <v>0</v>
      </c>
      <c r="CC742" s="488">
        <f t="shared" si="1493"/>
        <v>0</v>
      </c>
      <c r="CD742" s="500">
        <f t="shared" si="1493"/>
        <v>1.9</v>
      </c>
      <c r="CE742" s="504">
        <f t="shared" si="1493"/>
        <v>0</v>
      </c>
      <c r="CF742" s="160">
        <f t="shared" si="1412"/>
        <v>0</v>
      </c>
      <c r="CG742" s="161">
        <f t="shared" si="1413"/>
        <v>0</v>
      </c>
      <c r="CH742" s="161">
        <f t="shared" si="1414"/>
        <v>0</v>
      </c>
      <c r="CI742" s="161">
        <f t="shared" si="1415"/>
        <v>1</v>
      </c>
      <c r="CJ742" s="161">
        <f t="shared" si="1416"/>
        <v>0</v>
      </c>
      <c r="CK742" s="161">
        <f t="shared" si="1417"/>
        <v>0</v>
      </c>
      <c r="CL742" s="161">
        <f t="shared" si="1418"/>
        <v>0</v>
      </c>
      <c r="CM742" s="161">
        <f t="shared" si="1419"/>
        <v>0</v>
      </c>
      <c r="CN742" s="161">
        <f t="shared" si="1420"/>
        <v>0</v>
      </c>
      <c r="CO742" s="161">
        <f t="shared" si="1421"/>
        <v>0</v>
      </c>
      <c r="CP742" s="161">
        <f t="shared" si="1422"/>
        <v>0</v>
      </c>
      <c r="CQ742" s="161">
        <f t="shared" si="1423"/>
        <v>0</v>
      </c>
      <c r="CR742" s="161">
        <f t="shared" si="1424"/>
        <v>0</v>
      </c>
      <c r="CS742" s="161">
        <f t="shared" si="1425"/>
        <v>0</v>
      </c>
      <c r="CT742" s="75">
        <f t="shared" si="1426"/>
        <v>0</v>
      </c>
      <c r="CU742" s="76">
        <f t="shared" si="1427"/>
        <v>0</v>
      </c>
      <c r="CV742" s="76">
        <f t="shared" si="1428"/>
        <v>0</v>
      </c>
      <c r="CW742" s="76">
        <f t="shared" si="1429"/>
        <v>0</v>
      </c>
      <c r="CX742" s="76">
        <f t="shared" si="1430"/>
        <v>0</v>
      </c>
      <c r="CY742" s="76">
        <f t="shared" si="1431"/>
        <v>0</v>
      </c>
      <c r="CZ742" s="76">
        <f t="shared" si="1432"/>
        <v>0</v>
      </c>
      <c r="DA742" s="76">
        <f t="shared" si="1433"/>
        <v>0</v>
      </c>
      <c r="DB742" s="76">
        <f t="shared" si="1434"/>
        <v>0</v>
      </c>
      <c r="DC742" s="76">
        <f t="shared" si="1435"/>
        <v>0</v>
      </c>
      <c r="DD742" s="76">
        <f t="shared" si="1436"/>
        <v>0</v>
      </c>
      <c r="DE742" s="77">
        <f t="shared" si="1437"/>
        <v>0</v>
      </c>
      <c r="DF742" s="73">
        <f t="shared" si="1440"/>
        <v>43</v>
      </c>
      <c r="DG742" s="67">
        <f t="shared" si="1441"/>
        <v>57.167999999999992</v>
      </c>
      <c r="DH742" s="76">
        <f t="shared" si="1442"/>
        <v>16</v>
      </c>
      <c r="DI742" s="67">
        <f t="shared" si="1443"/>
        <v>68.699999999999989</v>
      </c>
      <c r="DJ742" s="202" t="str">
        <f>IF($D742="","",$D742)</f>
        <v>23</v>
      </c>
      <c r="DK742" s="492">
        <f>IF(AND($B742=" ",$D742&lt;&gt;""),1,0)</f>
        <v>0</v>
      </c>
    </row>
    <row r="743" spans="1:115" ht="14.5" customHeight="1" x14ac:dyDescent="0.2">
      <c r="A743" s="389"/>
      <c r="B743" s="456"/>
      <c r="C743" s="53" t="s">
        <v>54</v>
      </c>
      <c r="D743" s="374"/>
      <c r="E743" s="386"/>
      <c r="F743" s="377"/>
      <c r="G743" s="508"/>
      <c r="H743" s="476"/>
      <c r="I743" s="182" t="s">
        <v>66</v>
      </c>
      <c r="J743" s="56">
        <v>0.5</v>
      </c>
      <c r="K743" s="57" t="s">
        <v>47</v>
      </c>
      <c r="L743" s="164">
        <v>2.17</v>
      </c>
      <c r="M743" s="165">
        <v>22.34</v>
      </c>
      <c r="N743" s="406"/>
      <c r="O743" s="60">
        <f>IF(OR(AE742="",AE743=""),"",ROUND(IF(L744&gt;0,IF(M743&gt;0,M743,IF(M742&gt;0,IF(N742=TRUE,ROUND((M742*AE743)/AE742,0),(M742*AE743)/AE742),IF(M743&gt;0,ROUND(M743,IF(N742=0,2,IF(N742=0.1,1,0))),IF(M744&gt;0,ROUND(O744*AE743/AE744,IF(N742=0,2,IF(N742=0.1,1,0))),0)))),IF(M743&gt;0,M743,ROUND((M742*AE743)/AE742,IF(N742=0,2,IF(N742=0.1,1,0))))),2))</f>
        <v>22.34</v>
      </c>
      <c r="P743" s="61">
        <f>IF(OR(L743="",O743=""),"",IF($C743="1/2W",O743/2+O743/2*L743,IF($C743="1/2L",O743/2,IF(I743="Lay",((O743*(L743/(L743-1)))-O743)*(1-_xlfn.XLOOKUP(K743,'Fevereiro 2023 - Valor Real'!A3:A15,'Fevereiro 2023 - Valor Real'!C3:C15,0))+O743,(O743*L743-O743)*(1-_xlfn.XLOOKUP(K743,'Fevereiro 2023 - Valor Real'!A3:A15,'Fevereiro 2023 - Valor Real'!C3:C15,0))+O743))))</f>
        <v>48.477799999999995</v>
      </c>
      <c r="Q743" s="166">
        <f>IF(K743="","",IF(_xlfn.XLOOKUP(K743,K$10:K734,$DJ$10:DJ734,0,,-1)=DJ743,_xlfn.XLOOKUP(K743,K$10:K734,Q$10:Q734,1,,-1)+1,1))</f>
        <v>3</v>
      </c>
      <c r="R743" s="167">
        <f>IF(K743="","",_xlfn.XLOOKUP(K743,K$10:K734,R$10:R734,0,,-1)+IF($C743=" ",1,0))</f>
        <v>0</v>
      </c>
      <c r="S743" s="403"/>
      <c r="T743" s="380"/>
      <c r="U743" s="380"/>
      <c r="V743" s="481"/>
      <c r="W743" s="380"/>
      <c r="X743" s="452"/>
      <c r="Y743" s="383"/>
      <c r="Z743" s="384"/>
      <c r="AA743" s="384"/>
      <c r="AB743" s="384"/>
      <c r="AC743" s="384"/>
      <c r="AD743" s="64"/>
      <c r="AE743" s="65">
        <f>IF(L743="","",IF(L744&gt;0,(SUM(((L742-1)*(1-_xlfn.XLOOKUP(K742,'Fevereiro 2023 - Valor Real'!A3:A15,'Fevereiro 2023 - Valor Real'!C3:C15,0))+1),((L743-1)*(1-_xlfn.XLOOKUP(K743,'Fevereiro 2023 - Valor Real'!A3:A15,'Fevereiro 2023 - Valor Real'!C3:C15,0))+1),((L744-1)*(1-_xlfn.XLOOKUP(K744,'Fevereiro 2023 - Valor Real'!A3:A15,'Fevereiro 2023 - Valor Real'!C3:C15,0))+1))/((L743-1)*(1-_xlfn.XLOOKUP(K743,'Fevereiro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Real'!C3:C15,0))+1))/((L742-1)*(1-_xlfn.XLOOKUP(K742,'Fevereiro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Real'!C3:C15,0))+1))/((L743-1)*(1-_xlfn.XLOOKUP(K743,'Fevereiro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Real'!C3:C15,0))+1))/((L744-1)*(1-_xlfn.XLOOKUP(K744,'Fevereiro 2023 - Valor Real'!A3:A15,'Fevereiro 2023 - Valor Real'!C3:C15,0))+1)),IF(I743="Lay",IF(I742="Lay",((L742/(L742-1)-1)*(1-_xlfn.XLOOKUP(K742,'Fevereiro 2023 - Valor Real'!A3:A15,'Fevereiro 2023 - Valor Real'!C3:C15,0))+1)/(((L742/(L742-1)-1)*(1-_xlfn.XLOOKUP(K742,'Fevereiro 2023 - Valor Real'!A3:A15,'Fevereiro 2023 - Valor Real'!C3:C15,0))+1)+((L743/(L743-1)-1)*(1-_xlfn.XLOOKUP(K743,'Fevereiro 2023 - Valor Real'!A3:A15,'Fevereiro 2023 - Valor Real'!C3:C15,0))+1)),((L742-1)*(1-_xlfn.XLOOKUP(K742,'Fevereiro 2023 - Valor Real'!A3:A15,'Fevereiro 2023 - Valor Real'!C3:C15,0))+1)/(((L742-1)*(1-_xlfn.XLOOKUP(K742,'Fevereiro 2023 - Valor Real'!A3:A15,'Fevereiro 2023 - Valor Real'!C3:C15,0))+1)+((L743/(L743-1)-1)*(1-_xlfn.XLOOKUP(K743,'Fevereiro 2023 - Valor Real'!A3:A15,'Fevereiro 2023 - Valor Real'!C3:C15,0))+1))),IF(I742="Lay",((L742/(L742-1)-1)*(1-_xlfn.XLOOKUP(K742,'Fevereiro 2023 - Valor Real'!A3:A15,'Fevereiro 2023 - Valor Real'!C3:C15,0))+1)/((((L742/(L742-1)-1)*(1-_xlfn.XLOOKUP(K742,'Fevereiro 2023 - Valor Real'!A3:A15,'Fevereiro 2023 - Valor Real'!C3:C15,0))+1))+((L743-1)*(1-_xlfn.XLOOKUP(K743,'Fevereiro 2023 - Valor Real'!A3:A15,'Fevereiro 2023 - Valor Real'!C3:C15,0))+1)),((L742-1)*(1-_xlfn.XLOOKUP(K742,'Fevereiro 2023 - Valor Real'!A3:A15,'Fevereiro 2023 - Valor Real'!C3:C15,0))+1)/(((L742-1)*(1-_xlfn.XLOOKUP(K742,'Fevereiro 2023 - Valor Real'!A3:A15,'Fevereiro 2023 - Valor Real'!C3:C15,0))+1)+((L743-1)*(1-_xlfn.XLOOKUP(K743,'Fevereiro 2023 - Valor Real'!A3:A15,'Fevereiro 2023 - Valor Real'!C3:C15,0))+1))))))</f>
        <v>0.47961630695443647</v>
      </c>
      <c r="AF743" s="66">
        <f t="shared" si="1480"/>
        <v>0</v>
      </c>
      <c r="AG743" s="67">
        <f t="shared" si="1480"/>
        <v>0</v>
      </c>
      <c r="AH743" s="67">
        <f t="shared" si="1480"/>
        <v>0</v>
      </c>
      <c r="AI743" s="67">
        <f t="shared" si="1480"/>
        <v>0</v>
      </c>
      <c r="AJ743" s="67">
        <f t="shared" si="1480"/>
        <v>0</v>
      </c>
      <c r="AK743" s="67">
        <f t="shared" si="1480"/>
        <v>0</v>
      </c>
      <c r="AL743" s="67">
        <f t="shared" si="1480"/>
        <v>0</v>
      </c>
      <c r="AM743" s="67">
        <f t="shared" si="1480"/>
        <v>0</v>
      </c>
      <c r="AN743" s="67">
        <f t="shared" si="1480"/>
        <v>0</v>
      </c>
      <c r="AO743" s="67">
        <f t="shared" si="1480"/>
        <v>0</v>
      </c>
      <c r="AP743" s="67">
        <f t="shared" si="1480"/>
        <v>0</v>
      </c>
      <c r="AQ743" s="67">
        <f t="shared" si="1480"/>
        <v>26.14</v>
      </c>
      <c r="AR743" s="68">
        <f t="shared" si="1480"/>
        <v>0</v>
      </c>
      <c r="AS743" s="66">
        <f>IF(AND($B742=" ",$K743=AS$3),$O743,0)</f>
        <v>0</v>
      </c>
      <c r="AT743" s="67">
        <f>IF(AND($B742=" ",K743=AT$3),$O743,0)</f>
        <v>0</v>
      </c>
      <c r="AU743" s="67">
        <f t="shared" ref="AU743:BE743" si="1494">IF(AND($B742=" ",$K743=AU$3),$O743,0)</f>
        <v>0</v>
      </c>
      <c r="AV743" s="67">
        <f t="shared" si="1494"/>
        <v>0</v>
      </c>
      <c r="AW743" s="67">
        <f t="shared" si="1494"/>
        <v>0</v>
      </c>
      <c r="AX743" s="67">
        <f t="shared" si="1494"/>
        <v>0</v>
      </c>
      <c r="AY743" s="69">
        <f t="shared" si="1494"/>
        <v>0</v>
      </c>
      <c r="AZ743" s="70">
        <f t="shared" si="1494"/>
        <v>0</v>
      </c>
      <c r="BA743" s="70">
        <f t="shared" si="1494"/>
        <v>0</v>
      </c>
      <c r="BB743" s="70">
        <f t="shared" si="1494"/>
        <v>0</v>
      </c>
      <c r="BC743" s="71">
        <f t="shared" si="1494"/>
        <v>0</v>
      </c>
      <c r="BD743" s="67">
        <f t="shared" si="1494"/>
        <v>0</v>
      </c>
      <c r="BE743" s="68">
        <f t="shared" si="1494"/>
        <v>0</v>
      </c>
      <c r="BF743" s="66">
        <f t="shared" si="1482"/>
        <v>0</v>
      </c>
      <c r="BG743" s="168">
        <f t="shared" si="1482"/>
        <v>0</v>
      </c>
      <c r="BH743" s="67">
        <f t="shared" si="1482"/>
        <v>0</v>
      </c>
      <c r="BI743" s="67">
        <f t="shared" si="1482"/>
        <v>0</v>
      </c>
      <c r="BJ743" s="67">
        <f t="shared" si="1482"/>
        <v>0</v>
      </c>
      <c r="BK743" s="67">
        <f t="shared" si="1482"/>
        <v>0</v>
      </c>
      <c r="BL743" s="67">
        <f t="shared" si="1482"/>
        <v>0</v>
      </c>
      <c r="BM743" s="69">
        <f t="shared" si="1482"/>
        <v>0</v>
      </c>
      <c r="BN743" s="70">
        <f t="shared" si="1482"/>
        <v>0</v>
      </c>
      <c r="BO743" s="70">
        <f t="shared" si="1482"/>
        <v>0</v>
      </c>
      <c r="BP743" s="70">
        <f t="shared" si="1482"/>
        <v>0</v>
      </c>
      <c r="BQ743" s="71">
        <f t="shared" si="1482"/>
        <v>22.34</v>
      </c>
      <c r="BR743" s="68">
        <f t="shared" si="1482"/>
        <v>0</v>
      </c>
      <c r="BS743" s="491"/>
      <c r="BT743" s="489"/>
      <c r="BU743" s="392"/>
      <c r="BV743" s="489"/>
      <c r="BW743" s="392"/>
      <c r="BX743" s="392"/>
      <c r="BY743" s="392"/>
      <c r="BZ743" s="489"/>
      <c r="CA743" s="392"/>
      <c r="CB743" s="392"/>
      <c r="CC743" s="392"/>
      <c r="CD743" s="401"/>
      <c r="CE743" s="409"/>
      <c r="CF743" s="169">
        <f t="shared" si="1412"/>
        <v>0</v>
      </c>
      <c r="CG743" s="170">
        <f t="shared" si="1413"/>
        <v>0</v>
      </c>
      <c r="CH743" s="170">
        <f t="shared" si="1414"/>
        <v>0</v>
      </c>
      <c r="CI743" s="170">
        <f t="shared" si="1415"/>
        <v>0</v>
      </c>
      <c r="CJ743" s="170">
        <f t="shared" si="1416"/>
        <v>0</v>
      </c>
      <c r="CK743" s="170">
        <f t="shared" si="1417"/>
        <v>0</v>
      </c>
      <c r="CL743" s="170">
        <f t="shared" si="1418"/>
        <v>0</v>
      </c>
      <c r="CM743" s="170">
        <f t="shared" si="1419"/>
        <v>0</v>
      </c>
      <c r="CN743" s="170">
        <f t="shared" si="1420"/>
        <v>0</v>
      </c>
      <c r="CO743" s="170">
        <f t="shared" si="1421"/>
        <v>0</v>
      </c>
      <c r="CP743" s="170">
        <f t="shared" si="1422"/>
        <v>0</v>
      </c>
      <c r="CQ743" s="170">
        <f t="shared" si="1423"/>
        <v>0</v>
      </c>
      <c r="CR743" s="170">
        <f t="shared" si="1424"/>
        <v>0</v>
      </c>
      <c r="CS743" s="170">
        <f t="shared" si="1425"/>
        <v>0</v>
      </c>
      <c r="CT743" s="75">
        <f t="shared" si="1426"/>
        <v>0</v>
      </c>
      <c r="CU743" s="76">
        <f t="shared" si="1427"/>
        <v>0</v>
      </c>
      <c r="CV743" s="76">
        <f t="shared" si="1428"/>
        <v>0</v>
      </c>
      <c r="CW743" s="76">
        <f t="shared" si="1429"/>
        <v>0</v>
      </c>
      <c r="CX743" s="76">
        <f t="shared" si="1430"/>
        <v>0</v>
      </c>
      <c r="CY743" s="76">
        <f t="shared" si="1431"/>
        <v>0</v>
      </c>
      <c r="CZ743" s="76">
        <f t="shared" si="1432"/>
        <v>0</v>
      </c>
      <c r="DA743" s="76">
        <f t="shared" si="1433"/>
        <v>0</v>
      </c>
      <c r="DB743" s="76">
        <f t="shared" si="1434"/>
        <v>1</v>
      </c>
      <c r="DC743" s="76">
        <f t="shared" si="1435"/>
        <v>0</v>
      </c>
      <c r="DD743" s="76">
        <f t="shared" si="1436"/>
        <v>0</v>
      </c>
      <c r="DE743" s="77">
        <f t="shared" si="1437"/>
        <v>0</v>
      </c>
      <c r="DF743" s="73">
        <f t="shared" si="1440"/>
        <v>43</v>
      </c>
      <c r="DG743" s="67">
        <f t="shared" si="1441"/>
        <v>57.167999999999992</v>
      </c>
      <c r="DH743" s="76">
        <f t="shared" si="1442"/>
        <v>16</v>
      </c>
      <c r="DI743" s="67">
        <f t="shared" si="1443"/>
        <v>68.699999999999989</v>
      </c>
      <c r="DJ743" s="202" t="str">
        <f>IF($D742="","",$D742)</f>
        <v>23</v>
      </c>
      <c r="DK743" s="493"/>
    </row>
    <row r="744" spans="1:115" ht="14.5" customHeight="1" x14ac:dyDescent="0.2">
      <c r="A744" s="390"/>
      <c r="B744" s="457"/>
      <c r="C744" s="79" t="s">
        <v>53</v>
      </c>
      <c r="D744" s="375"/>
      <c r="E744" s="387"/>
      <c r="F744" s="378"/>
      <c r="G744" s="508"/>
      <c r="H744" s="477"/>
      <c r="I744" s="171"/>
      <c r="J744" s="172"/>
      <c r="K744" s="81"/>
      <c r="L744" s="173"/>
      <c r="M744" s="174"/>
      <c r="N744" s="407"/>
      <c r="O744" s="86" t="str">
        <f>IF(OR(AE742="",AE743=""),"",IF(L744&gt;0,ROUND(IF(M744&gt;0,M744,IF(M742&gt;0,ROUND((M742*AE744)/AE742,IF(N742=0,2,IF(N742=0.1,1,0))),IF(M743&gt;0,ROUND((M743*AE744)/AE743,IF(N742=0,2,IF(N742=0.1,1,0))),IF(M744&gt;0,M744,0)))),2),""))</f>
        <v/>
      </c>
      <c r="P744" s="87" t="str">
        <f>IF(I743="Lay",O743*(L743/(L743-1))-O743,IF(I742="Lay",O742*(L742/(L742-1))-O742,IF(OR(L744="",O744=""),"",IF($C744="1/2W",O744/2+O744/2*L744,IF($C744="1/2L",O744/2,(O744*L744-O744)*(1-_xlfn.XLOOKUP(K744,'Fevereiro 2023 - Valor Real'!A3:A15,'Fevereiro 2023 - Valor Real'!C3:C15,0))+O744)))))</f>
        <v/>
      </c>
      <c r="Q744" s="54" t="str">
        <f>IF(K744="","",IF(_xlfn.XLOOKUP(K744,K$11:K734,$DJ$11:DJ734,0,,-1)=DJ744,_xlfn.XLOOKUP(K744,K$11:K734,Q$11:Q734,1,,-1)+1,1))</f>
        <v/>
      </c>
      <c r="R744" s="87" t="str">
        <f>IF(K744="","",_xlfn.XLOOKUP(K744,K$11:K734,R$11:R734,0,,-1)+IF($C744=" ",1,0))</f>
        <v/>
      </c>
      <c r="S744" s="404"/>
      <c r="T744" s="378"/>
      <c r="U744" s="378"/>
      <c r="V744" s="404"/>
      <c r="W744" s="378"/>
      <c r="X744" s="453"/>
      <c r="Y744" s="383"/>
      <c r="Z744" s="384"/>
      <c r="AA744" s="384"/>
      <c r="AB744" s="384"/>
      <c r="AC744" s="384"/>
      <c r="AD744" s="90"/>
      <c r="AE744" s="91" t="str">
        <f>IF(L744="","",(SUM(((L742-1)*(1-_xlfn.XLOOKUP(K742,'Fevereiro 2023 - Valor Real'!A3:A15,'Fevereiro 2023 - Valor Real'!C3:C15,0))+1),((L743-1)*(1-_xlfn.XLOOKUP(K743,'Fevereiro 2023 - Valor Real'!A3:A15,'Fevereiro 2023 - Valor Real'!C3:C15,0))+1),((L744-1)*(1-_xlfn.XLOOKUP(K744,'Fevereiro 2023 - Valor Real'!A3:A15,'Fevereiro 2023 - Valor Real'!C3:C15,0))+1))/((L744-1)*(1-_xlfn.XLOOKUP(K744,'Fevereiro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Real'!C3:C15,0))+1))/((L742-1)*(1-_xlfn.XLOOKUP(K742,'Fevereiro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Real'!C3:C15,0))+1))/((L743-1)*(1-_xlfn.XLOOKUP(K743,'Fevereiro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Real'!C3:C15,0))+1))/((L744-1)*(1-_xlfn.XLOOKUP(K744,'Fevereiro 2023 - Valor Real'!A3:A15,'Fevereiro 2023 - Valor Real'!C3:C15,0))+1)))</f>
        <v/>
      </c>
      <c r="AF744" s="66">
        <f t="shared" ref="AF744:AR753" si="1495">IF($K744=AF$3,ROUND(IF(OR($C744="W",$C744="1/2W",$C744="1/2L"),$P744-$O744,IF($C744="X",0,-$O744)),2),0)</f>
        <v>0</v>
      </c>
      <c r="AG744" s="67">
        <f t="shared" si="1495"/>
        <v>0</v>
      </c>
      <c r="AH744" s="67">
        <f t="shared" si="1495"/>
        <v>0</v>
      </c>
      <c r="AI744" s="67">
        <f t="shared" si="1495"/>
        <v>0</v>
      </c>
      <c r="AJ744" s="67">
        <f t="shared" si="1495"/>
        <v>0</v>
      </c>
      <c r="AK744" s="67">
        <f t="shared" si="1495"/>
        <v>0</v>
      </c>
      <c r="AL744" s="67">
        <f t="shared" si="1495"/>
        <v>0</v>
      </c>
      <c r="AM744" s="67">
        <f t="shared" si="1495"/>
        <v>0</v>
      </c>
      <c r="AN744" s="67">
        <f t="shared" si="1495"/>
        <v>0</v>
      </c>
      <c r="AO744" s="67">
        <f t="shared" si="1495"/>
        <v>0</v>
      </c>
      <c r="AP744" s="67">
        <f t="shared" si="1495"/>
        <v>0</v>
      </c>
      <c r="AQ744" s="67">
        <f t="shared" si="1495"/>
        <v>0</v>
      </c>
      <c r="AR744" s="68">
        <f t="shared" si="1495"/>
        <v>0</v>
      </c>
      <c r="AS744" s="66">
        <f>IF(AND($B742=" ",$K744=AS$3),$O744,0)</f>
        <v>0</v>
      </c>
      <c r="AT744" s="67">
        <f>IF(AND($B742=" ",K744=AT$3),$O744,0)</f>
        <v>0</v>
      </c>
      <c r="AU744" s="67">
        <f t="shared" ref="AU744:BE744" si="1496">IF(AND($B742=" ",$K744=AU$3),$O744,0)</f>
        <v>0</v>
      </c>
      <c r="AV744" s="67">
        <f t="shared" si="1496"/>
        <v>0</v>
      </c>
      <c r="AW744" s="67">
        <f t="shared" si="1496"/>
        <v>0</v>
      </c>
      <c r="AX744" s="67">
        <f t="shared" si="1496"/>
        <v>0</v>
      </c>
      <c r="AY744" s="69">
        <f t="shared" si="1496"/>
        <v>0</v>
      </c>
      <c r="AZ744" s="70">
        <f t="shared" si="1496"/>
        <v>0</v>
      </c>
      <c r="BA744" s="70">
        <f t="shared" si="1496"/>
        <v>0</v>
      </c>
      <c r="BB744" s="70">
        <f t="shared" si="1496"/>
        <v>0</v>
      </c>
      <c r="BC744" s="71">
        <f t="shared" si="1496"/>
        <v>0</v>
      </c>
      <c r="BD744" s="67">
        <f t="shared" si="1496"/>
        <v>0</v>
      </c>
      <c r="BE744" s="68">
        <f t="shared" si="1496"/>
        <v>0</v>
      </c>
      <c r="BF744" s="66">
        <f t="shared" ref="BF744:BR753" si="1497">IF($K744=BF$3,IF($C744="X",0,$O744),0)</f>
        <v>0</v>
      </c>
      <c r="BG744" s="168">
        <f t="shared" si="1497"/>
        <v>0</v>
      </c>
      <c r="BH744" s="67">
        <f t="shared" si="1497"/>
        <v>0</v>
      </c>
      <c r="BI744" s="67">
        <f t="shared" si="1497"/>
        <v>0</v>
      </c>
      <c r="BJ744" s="67">
        <f t="shared" si="1497"/>
        <v>0</v>
      </c>
      <c r="BK744" s="67">
        <f t="shared" si="1497"/>
        <v>0</v>
      </c>
      <c r="BL744" s="67">
        <f t="shared" si="1497"/>
        <v>0</v>
      </c>
      <c r="BM744" s="69">
        <f t="shared" si="1497"/>
        <v>0</v>
      </c>
      <c r="BN744" s="70">
        <f t="shared" si="1497"/>
        <v>0</v>
      </c>
      <c r="BO744" s="70">
        <f t="shared" si="1497"/>
        <v>0</v>
      </c>
      <c r="BP744" s="70">
        <f t="shared" si="1497"/>
        <v>0</v>
      </c>
      <c r="BQ744" s="71">
        <f t="shared" si="1497"/>
        <v>0</v>
      </c>
      <c r="BR744" s="68">
        <f t="shared" si="1497"/>
        <v>0</v>
      </c>
      <c r="BS744" s="491"/>
      <c r="BT744" s="489"/>
      <c r="BU744" s="392"/>
      <c r="BV744" s="489"/>
      <c r="BW744" s="392"/>
      <c r="BX744" s="392"/>
      <c r="BY744" s="392"/>
      <c r="BZ744" s="489"/>
      <c r="CA744" s="392"/>
      <c r="CB744" s="392"/>
      <c r="CC744" s="392"/>
      <c r="CD744" s="401"/>
      <c r="CE744" s="409"/>
      <c r="CF744" s="169">
        <f t="shared" si="1412"/>
        <v>0</v>
      </c>
      <c r="CG744" s="170">
        <f t="shared" si="1413"/>
        <v>0</v>
      </c>
      <c r="CH744" s="170">
        <f t="shared" si="1414"/>
        <v>0</v>
      </c>
      <c r="CI744" s="170">
        <f t="shared" si="1415"/>
        <v>0</v>
      </c>
      <c r="CJ744" s="170">
        <f t="shared" si="1416"/>
        <v>0</v>
      </c>
      <c r="CK744" s="170">
        <f t="shared" si="1417"/>
        <v>0</v>
      </c>
      <c r="CL744" s="170">
        <f t="shared" si="1418"/>
        <v>0</v>
      </c>
      <c r="CM744" s="170">
        <f t="shared" si="1419"/>
        <v>0</v>
      </c>
      <c r="CN744" s="170">
        <f t="shared" si="1420"/>
        <v>0</v>
      </c>
      <c r="CO744" s="170">
        <f t="shared" si="1421"/>
        <v>0</v>
      </c>
      <c r="CP744" s="170">
        <f t="shared" si="1422"/>
        <v>0</v>
      </c>
      <c r="CQ744" s="170">
        <f t="shared" si="1423"/>
        <v>0</v>
      </c>
      <c r="CR744" s="170">
        <f t="shared" si="1424"/>
        <v>0</v>
      </c>
      <c r="CS744" s="170">
        <f t="shared" si="1425"/>
        <v>0</v>
      </c>
      <c r="CT744" s="75">
        <f t="shared" si="1426"/>
        <v>0</v>
      </c>
      <c r="CU744" s="76">
        <f t="shared" si="1427"/>
        <v>0</v>
      </c>
      <c r="CV744" s="76">
        <f t="shared" si="1428"/>
        <v>0</v>
      </c>
      <c r="CW744" s="76">
        <f t="shared" si="1429"/>
        <v>0</v>
      </c>
      <c r="CX744" s="76">
        <f t="shared" si="1430"/>
        <v>0</v>
      </c>
      <c r="CY744" s="76">
        <f t="shared" si="1431"/>
        <v>0</v>
      </c>
      <c r="CZ744" s="76">
        <f t="shared" si="1432"/>
        <v>0</v>
      </c>
      <c r="DA744" s="76">
        <f t="shared" si="1433"/>
        <v>0</v>
      </c>
      <c r="DB744" s="76">
        <f t="shared" si="1434"/>
        <v>0</v>
      </c>
      <c r="DC744" s="76">
        <f t="shared" si="1435"/>
        <v>0</v>
      </c>
      <c r="DD744" s="76">
        <f t="shared" si="1436"/>
        <v>0</v>
      </c>
      <c r="DE744" s="77">
        <f t="shared" si="1437"/>
        <v>0</v>
      </c>
      <c r="DF744" s="73">
        <f t="shared" si="1440"/>
        <v>43</v>
      </c>
      <c r="DG744" s="67">
        <f t="shared" si="1441"/>
        <v>57.167999999999992</v>
      </c>
      <c r="DH744" s="76">
        <f t="shared" si="1442"/>
        <v>16</v>
      </c>
      <c r="DI744" s="67">
        <f t="shared" si="1443"/>
        <v>68.699999999999989</v>
      </c>
      <c r="DJ744" s="202" t="str">
        <f>IF($D742="","",$D742)</f>
        <v>23</v>
      </c>
      <c r="DK744" s="493"/>
    </row>
    <row r="745" spans="1:115" ht="14.5" customHeight="1" x14ac:dyDescent="0.2">
      <c r="A745" s="459">
        <f>$A742+1</f>
        <v>248</v>
      </c>
      <c r="B745" s="507" t="str">
        <f>IF(OR(C745="W",C746="W",C747="W",C745="1/2W",C746="1/2W",C747="1/2W",C745="1/2L",C746="1/2L",C747="1/2L"),"OK",IF(OR(C745="L",C746="L",C747="L"),"LOSS",IF(OR(C745="X",C746="X",C747="X"),"Anulado"," ")))</f>
        <v>OK</v>
      </c>
      <c r="C745" s="93" t="s">
        <v>55</v>
      </c>
      <c r="D745" s="468" t="str">
        <f>IF(G745="","",$D742)</f>
        <v>23</v>
      </c>
      <c r="E745" s="485" t="str">
        <f>IF(G745=""," ","– "&amp;COUNTIF(D$4:D747,$D745))</f>
        <v>– 14</v>
      </c>
      <c r="F745" s="509" t="str">
        <f ca="1">IF(G745="","",IF(OR(AND($C745&lt;&gt;" ",$C746=" "),AND($C746&lt;&gt;" ",$C745=" "),AND(L747&gt;0,OR(AND($C747&lt;&gt;" ",OR($C745=" ",$C746=" ")),AND($C747=" ",OR($C745&lt;&gt;" ",$C746&lt;&gt;" "))))),IF(SUM(F$4:F744)=0,1,LARGE(F$4:F744,1)+1),IF(MONTH(G745)=MONTH(TODAY()),IF(AND(DAY(G745)&lt;DAY(TODAY()),$B745=" "),IF(SUM(F$4:F744)=0,1,LARGE(F$4:F744,1)+1),IF($B745=" ",IF(AND(DAY(G745)=DAY(TODAY()),HOUR(G745)&lt;=HOUR(NOW())+1),IF(AND(HOUR(G745)+2&lt;=HOUR(NOW()),DAY(G745)&lt;=DAY(TODAY()),MINUTE(G745)&lt;=MINUTE(NOW())),IF(SUM(F$4:F744)=0,1,LARGE(F$4:F744,1)+1),IF(OR(MINUTE(G745)&lt;=MINUTE(NOW()),HOUR(G745)&lt;=HOUR(NOW())),"!!!","")),""),"")),"")))</f>
        <v/>
      </c>
      <c r="G745" s="482">
        <v>45009.354166666664</v>
      </c>
      <c r="H745" s="475" t="s">
        <v>261</v>
      </c>
      <c r="I745" s="94" t="s">
        <v>76</v>
      </c>
      <c r="J745" s="95">
        <v>3</v>
      </c>
      <c r="K745" s="96" t="s">
        <v>43</v>
      </c>
      <c r="L745" s="97">
        <v>1.9</v>
      </c>
      <c r="M745" s="98"/>
      <c r="N745" s="478">
        <v>0</v>
      </c>
      <c r="O745" s="99">
        <f>IF(OR(AE745="",AE746=""),"",ROUND(IF(L747&gt;0,IF(M745&gt;0,M745,IF(M746&gt;0,ROUND((M746*AE745)/AE746,IF(N745=0,2,IF(N745=0.1,1,0))),ROUND((M747*AE745)/AE747,IF(N745=0,2,IF(N745=0.1,1,0))))),IF(M745&gt;0,M745,ROUND((M746*AE745)/AE746,IF(N745=0,2,IF(N745=0.1,1,0))))),2))</f>
        <v>23.25</v>
      </c>
      <c r="P745" s="100">
        <f>IF(OR(L745="",O745=""),"",IF($C745="1/2W",O745/2+O745/2*L745,IF($C745="1/2L",O745/2,IF(I745="Lay",(O745*(L745/(L745-1))-O745)*(1-_xlfn.XLOOKUP(K745,'Fevereiro 2023 - Valor Real'!A3:A15,'Fevereiro 2023 - Valor Real'!C3:C15,0))+O745,(O745*L745-O745)*(1-_xlfn.XLOOKUP(K745,'Fevereiro 2023 - Valor Real'!A3:A15,'Fevereiro 2023 - Valor Real'!C3:C15,0))+O745))))</f>
        <v>44.174999999999997</v>
      </c>
      <c r="Q745" s="101">
        <f>IF(K745="","",IF(_xlfn.XLOOKUP(K745,K$4:K744,$DJ$4:DJ744,0,,-1)=DJ745,_xlfn.XLOOKUP(K745,K$4:K744,Q$4:Q744,1,,-1)+1,1))</f>
        <v>3</v>
      </c>
      <c r="R745" s="102">
        <f>IF(K745="","",_xlfn.XLOOKUP(K745,K$4:K744,R$4:R744,0,,-1)+IF($C745=" ",1,0))</f>
        <v>0</v>
      </c>
      <c r="S745" s="474">
        <f>IF($B745="Anulado",0,ROUND(IF(OR($B745="LOSS",$B745="OK"),IF(OR($C745="W",$C745="1/2W",$C745="1/2L"),P745-O745,IF($C745="L",-O745,0))+IF(OR($C746="W",$C746="1/2W",$C746="1/2L"),P746-O746,IF($C746="L",-O746,0))+IF(OR($C747="W",$C747="1/2W",$C747="1/2L"),P747-O747,IF($C747="L",-O747,0)),IF(AND(OR($C745="W",$C745="1/2W",$C745="1/2L"),C746="W"),P745+P746-SUM(O745:O747)+_xlfn.XLOOKUP("X",C745:C747,O745:O747,0),IF(AND(C745=TRUE,C747="W"),P745+P747-SUM(O745:O747),IF(AND(C746="W",C747="W"),P746+P747-SUM(O745:O747)+_xlfn.XLOOKUP("X",C745:C747,O745:O747,0),IF(L747&gt;0,IF(OR($C745="W",$C745="1/2W",$C745="1/2L"),P745-SUM(O745:O747)+_xlfn.XLOOKUP("X",C745:C747,O745:O747,0),IF(OR($C745="W",$C745="1/2W",$C745="1/2L"),P746-SUM(O745:O747)+_xlfn.XLOOKUP("X",C745:C747,O745:O747,0),IF(OR($C745="W",$C745="1/2W",$C745="1/2L"),P747-SUM(O745:O747)+_xlfn.XLOOKUP("X",C745:C747,O745:O747,0),IF(SUM(P745:P747)/3-SUM(O745:O747)+_xlfn.XLOOKUP("X",C745:C747,O745:O747,0)&gt;0,SUM(P745:P747)/3-SUM(O745:O747)+_xlfn.XLOOKUP("X",C745:C747,O745:O747,0),LARGE(P745:P747,1)-SUM(O745:O747))))),IF(OR($C745="W",$C745="1/2W",$C745="1/2L"),P745-SUM(O745:O746)+_xlfn.XLOOKUP("X",C745:C747,O745:O747,0),IF(OR($C745="W",$C745="1/2W",$C745="1/2L"),P746-SUM(O745:O746)+_xlfn.XLOOKUP("X",C745:C747,O745:O747,0),SUM(P745:P746)/2-SUM(O745:O746)+_xlfn.XLOOKUP("X",C745:C747,O745:O747,0)))))))),2))</f>
        <v>2.89</v>
      </c>
      <c r="T745" s="458">
        <f>IF(S745=0,0,S745/SUM(O745:O747))</f>
        <v>7.000968992248062E-2</v>
      </c>
      <c r="U745" s="470">
        <f>IF($D745=$D742,IF(OR($B745="LOSS",$B745="OK",$B745="Anulada"),S745,0)+U742,IF(OR($B745="LOSS",$B745="OK",$B745="Anulada"),S745,0))</f>
        <v>30.599999999999998</v>
      </c>
      <c r="V745" s="470">
        <f>IF($D745="",0,IF($D745=$D742,IF($B745=" ",IF(I747="",IF(OR(AND(I745="DNB1",I746="DNB2"),AND(OR(I745="DNB1",I745="DNB2"),J746=0),AND(OR(I746="DNB1",I746="DNB2"),J745=0),AND(I745="DNB2",I746="DNB1"),AND(IF(J745=0,(J745+1)/ROUND(J745+1,0),J745/ROUND(J745,0))=1,IF(J746=0,(J746+1)/ROUND(IF(J746="",0,J746)+1,0),IF(J746="",0,J746)/ROUND(IF(J746="",1,J746),0))=1,OR(J745&lt;&gt;""),J746&lt;&gt;"")),0,IF(S745&lt;0,IF(I747="",SMALL(P745:P746,1)-SUM(O745:O746),0),SMALL(P745:P746,1)-SUM(O745:O746))),IF(S745&lt;0,IF(I747="",SMALL(P745:P747,1)-SUM(O745:O747),0),LARGE(P745:P747,1)-SUM(O745:O747))),S745)+V742,IF(I747="",IF(OR(AND(I745="DNB1",I746="DNB2"),AND(OR(I745="DNB1",I745="DNB2"),J746=0),AND(OR(I746="DNB1",I746="DNB2"),J745=0),AND(I745="DNB2",I746="DNB1"),AND(IF(J745=0,(J745+1)/ROUND(J745+1,0),J745/ROUND(J745,0))=1,IF(J746=0,(IF(J746="",0,J746)+1)/ROUND(IF(J746="",0,J746)+1,0),IF(J746="",0,J746)/ROUND(IF(J746="",0,J746)+1,0))=1,OR(J745&lt;&gt;""),J746&lt;&gt;"")),0,IF(S745&lt;0,IF(I747="",SMALL(P745:P746,1)-SUM(O745:O746),0),SMALL(P745:P747,1)-SUM(O745:O747))),IF(S745&lt;0,IF(I747="",SMALL(P745:P747,1)-SUM(O745:O747),0),LARGE(P745:P747,1)-SUM(O745:O747)))))</f>
        <v>30.6</v>
      </c>
      <c r="W745" s="470">
        <f>IF($D745=$D742,IF(S745&lt;0,IF(I747="",S745,0),S745)+W742,S745)</f>
        <v>30.599999999999998</v>
      </c>
      <c r="X745" s="480" t="str">
        <f>IF(OR(SUM(R745:R747)=0,V745=W745),ROUND(IF(W745=0,0,W745/Y745)*100,2)&amp;"%",ROUND(IF(V745=0,0,V745/Y745)*100,2)&amp;"% a "&amp;ROUND(IF(W745=0,0,W745/Y745)*100,2)&amp;"%")</f>
        <v>7,59%</v>
      </c>
      <c r="Y745" s="471">
        <f>IF($D745=$D742,Y742+SUM(O745:O747),SUM(O745:O747))</f>
        <v>403.23</v>
      </c>
      <c r="Z745" s="470">
        <f>IF($B745=" ",SUM(O745:O747),0)+Z742</f>
        <v>0</v>
      </c>
      <c r="AA745" s="470">
        <f>IF(G745="","",IF($B745="Anulado",LARGE(P745:P747,1)-SUM(O745:O747)+AA742,AA742))</f>
        <v>13.381099999999991</v>
      </c>
      <c r="AB745" s="470">
        <f>IF($D745="","",AB742+S745)</f>
        <v>836.96000000000072</v>
      </c>
      <c r="AC745" s="472">
        <f ca="1">IF($D745="","",IF($B745=" ",IF(DAY(G745)=DAY(TODAY()),1+AC742,0+AC742),0+AC742))</f>
        <v>0</v>
      </c>
      <c r="AD745" s="103">
        <f>(((L746/(L746-1)-1)*(1-_xlfn.XLOOKUP(K746,'Fevereiro 2023 - Valor Real'!A3:A15,'Fevereiro 2023 - Valor Real'!C3:C15,0))+1))/(((L745-1)*(1-_xlfn.XLOOKUP(K745,'Fevereiro 2023 - Valor Real'!A3:A15,'Fevereiro 2023 - Valor Real'!C3:C15,0))+1)+((L746/(L746-1)-1)*(1-_xlfn.XLOOKUP(K746,'Fevereiro 2023 - Valor Real'!A3:A15,'Fevereiro 2023 - Valor Real'!C3:C15,0))+1))</f>
        <v>0.47070124879923148</v>
      </c>
      <c r="AE745" s="104">
        <f>IF(L745="","",IF(L747&gt;0,(SUM(((L745-1)*(1-_xlfn.XLOOKUP(K745,'Fevereiro 2023 - Valor Real'!A3:A15,'Fevereiro 2023 - Valor Real'!C3:C15,0))+1),((L746-1)*(1-_xlfn.XLOOKUP(K746,'Fevereiro 2023 - Valor Real'!A3:A15,'Fevereiro 2023 - Valor Real'!C3:C15,0))+1),((L747-1)*(1-_xlfn.XLOOKUP(K747,'Fevereiro 2023 - Valor Real'!A3:A15,'Fevereiro 2023 - Valor Real'!C3:C15,0))+1))/((L745-1)*(1-_xlfn.XLOOKUP(K745,'Fevereiro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Real'!C3:C15,0))+1))/((L745-1)*(1-_xlfn.XLOOKUP(K745,'Fevereiro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Real'!C3:C15,0))+1))/((L746-1)*(1-_xlfn.XLOOKUP(K746,'Fevereiro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Real'!C3:C15,0))+1))/((L747-1)*(1-_xlfn.XLOOKUP(K747,'Fevereiro 2023 - Valor Real'!A3:A15,'Fevereiro 2023 - Valor Real'!C3:C15,0))+1)),IF(I745="Lay",IF(I746="Lay",((L746/(L746-1)-1)*(1-_xlfn.XLOOKUP(K746,'Fevereiro 2023 - Valor Real'!A3:A15,'Fevereiro 2023 - Valor Real'!C3:C15,0))+1)/(((L746/(L746-1)-1)*(1-_xlfn.XLOOKUP(K746,'Fevereiro 2023 - Valor Real'!A3:A15,'Fevereiro 2023 - Valor Real'!C3:C15,0))+1)+((L745/(L745-1)-1)*(1-_xlfn.XLOOKUP(K745,'Fevereiro 2023 - Valor Real'!A3:A15,'Fevereiro 2023 - Valor Real'!C3:C15,0))+1)),((L746-1)*(1-_xlfn.XLOOKUP(K746,'Fevereiro 2023 - Valor Real'!A3:A15,'Fevereiro 2023 - Valor Real'!C3:C15,0))+1)/(((L746-1)*(1-_xlfn.XLOOKUP(K746,'Fevereiro 2023 - Valor Real'!A3:A15,'Fevereiro 2023 - Valor Real'!C3:C15,0))+1)+((L745/(L745-1)-1)*(1-_xlfn.XLOOKUP(K745,'Fevereiro 2023 - Valor Real'!A3:A15,'Fevereiro 2023 - Valor Real'!C3:C15,0))+1))),IF(I746="Lay",(((L746/(L746-1)-1)*(1-_xlfn.XLOOKUP(K746,'Fevereiro 2023 - Valor Real'!A3:A15,'Fevereiro 2023 - Valor Real'!C3:C15,0))+1))/(((L745-1)*(1-_xlfn.XLOOKUP(K745,'Fevereiro 2023 - Valor Real'!A3:A15,'Fevereiro 2023 - Valor Real'!C3:C15,0))+1)+((L746/(L746-1)-1)*(1-_xlfn.XLOOKUP(K746,'Fevereiro 2023 - Valor Real'!A3:A15,'Fevereiro 2023 - Valor Real'!C3:C15,0))+1)),((L746-1)*(1-_xlfn.XLOOKUP(K746,'Fevereiro 2023 - Valor Real'!A3:A15,'Fevereiro 2023 - Valor Real'!C3:C15,0))+1)/(((L746-1)*(1-_xlfn.XLOOKUP(K746,'Fevereiro 2023 - Valor Real'!A3:A15,'Fevereiro 2023 - Valor Real'!C3:C15,0))+1)+((L745-1)*(1-_xlfn.XLOOKUP(K745,'Fevereiro 2023 - Valor Real'!A3:A15,'Fevereiro 2023 - Valor Real'!C3:C15,0))+1))))))</f>
        <v>0.56321839080459779</v>
      </c>
      <c r="AF745" s="105">
        <f t="shared" si="1495"/>
        <v>0</v>
      </c>
      <c r="AG745" s="106">
        <f t="shared" si="1495"/>
        <v>0</v>
      </c>
      <c r="AH745" s="106">
        <f t="shared" si="1495"/>
        <v>0</v>
      </c>
      <c r="AI745" s="106">
        <f t="shared" si="1495"/>
        <v>0</v>
      </c>
      <c r="AJ745" s="106">
        <f t="shared" si="1495"/>
        <v>0</v>
      </c>
      <c r="AK745" s="106">
        <f t="shared" si="1495"/>
        <v>0</v>
      </c>
      <c r="AL745" s="106">
        <f t="shared" si="1495"/>
        <v>0</v>
      </c>
      <c r="AM745" s="106">
        <f t="shared" si="1495"/>
        <v>-23.25</v>
      </c>
      <c r="AN745" s="106">
        <f t="shared" si="1495"/>
        <v>0</v>
      </c>
      <c r="AO745" s="106">
        <f t="shared" si="1495"/>
        <v>0</v>
      </c>
      <c r="AP745" s="106">
        <f t="shared" si="1495"/>
        <v>0</v>
      </c>
      <c r="AQ745" s="106">
        <f t="shared" si="1495"/>
        <v>0</v>
      </c>
      <c r="AR745" s="107">
        <f t="shared" si="1495"/>
        <v>0</v>
      </c>
      <c r="AS745" s="105">
        <f t="shared" ref="AS745:BE745" si="1498">IF(AND($B745=" ",$K745=AS$3),$O745,0)</f>
        <v>0</v>
      </c>
      <c r="AT745" s="106">
        <f t="shared" si="1498"/>
        <v>0</v>
      </c>
      <c r="AU745" s="106">
        <f t="shared" si="1498"/>
        <v>0</v>
      </c>
      <c r="AV745" s="106">
        <f t="shared" si="1498"/>
        <v>0</v>
      </c>
      <c r="AW745" s="106">
        <f t="shared" si="1498"/>
        <v>0</v>
      </c>
      <c r="AX745" s="106">
        <f t="shared" si="1498"/>
        <v>0</v>
      </c>
      <c r="AY745" s="108">
        <f t="shared" si="1498"/>
        <v>0</v>
      </c>
      <c r="AZ745" s="109">
        <f t="shared" si="1498"/>
        <v>0</v>
      </c>
      <c r="BA745" s="109">
        <f t="shared" si="1498"/>
        <v>0</v>
      </c>
      <c r="BB745" s="109">
        <f t="shared" si="1498"/>
        <v>0</v>
      </c>
      <c r="BC745" s="110">
        <f t="shared" si="1498"/>
        <v>0</v>
      </c>
      <c r="BD745" s="106">
        <f t="shared" si="1498"/>
        <v>0</v>
      </c>
      <c r="BE745" s="107">
        <f t="shared" si="1498"/>
        <v>0</v>
      </c>
      <c r="BF745" s="111">
        <f t="shared" si="1497"/>
        <v>0</v>
      </c>
      <c r="BG745" s="106">
        <f t="shared" si="1497"/>
        <v>0</v>
      </c>
      <c r="BH745" s="106">
        <f t="shared" si="1497"/>
        <v>0</v>
      </c>
      <c r="BI745" s="106">
        <f t="shared" si="1497"/>
        <v>0</v>
      </c>
      <c r="BJ745" s="106">
        <f t="shared" si="1497"/>
        <v>0</v>
      </c>
      <c r="BK745" s="106">
        <f t="shared" si="1497"/>
        <v>0</v>
      </c>
      <c r="BL745" s="106">
        <f t="shared" si="1497"/>
        <v>0</v>
      </c>
      <c r="BM745" s="108">
        <f t="shared" si="1497"/>
        <v>23.25</v>
      </c>
      <c r="BN745" s="109">
        <f t="shared" si="1497"/>
        <v>0</v>
      </c>
      <c r="BO745" s="109">
        <f t="shared" si="1497"/>
        <v>0</v>
      </c>
      <c r="BP745" s="109">
        <f t="shared" si="1497"/>
        <v>0</v>
      </c>
      <c r="BQ745" s="110">
        <f t="shared" si="1497"/>
        <v>0</v>
      </c>
      <c r="BR745" s="107">
        <f t="shared" si="1497"/>
        <v>0</v>
      </c>
      <c r="BS745" s="463">
        <f>IF($B745="LOSS",IF(AND($K745=BS$3,$C745="L"),-$O745,0)+IF(AND($K746=BS$3,$C746="L"),-$O746,0)+IF(AND($K747=BS$3,$C747="L"),-$O747,0),IF(OR(AND($K745=BS$3,OR($C745="W",$C745="1/2W")),AND($K746=BS$3,OR($C746="W",$C746="1/2W")),AND($K747=BS$3,OR($C747="W",$C747="1/2W"))),$S745,0))</f>
        <v>0</v>
      </c>
      <c r="BT745" s="462">
        <f>IF($B745="LOSS",IF(AND($K745=BT$3,$C745="L"),-$O745,0)+IF(AND($K746=BT$3,$C746="L"),-$O746,0)+IF(AND($K746=BT$3,$C747="L"),-$O747,0),IF(OR(AND($K746=BT$3,OR($C745="W",$C745="1/2W")),AND($K746=BT$3,OR($C746="W",$C746="1/2W")),AND($K746=BT$3,OR($C747="W",$C747="1/2W"))),$S745,0))</f>
        <v>0</v>
      </c>
      <c r="BU745" s="462">
        <f>IF($B745="LOSS",IF(AND($K745=BU$3,$C745="L"),-$O745,0)+IF(AND($K746=BU$3,$C746="L"),-$O746,0)+IF(AND($K746=BU$3,$C747="L"),-$O747,0),IF(OR(AND($K746=BU$3,OR($C745="W",$C745="1/2W")),AND($K746=BU$3,OR($C746="W",$C746="1/2W")),AND($K746=BU$3,OR($C747="W",$C747="1/2W"))),$S745,0))</f>
        <v>0</v>
      </c>
      <c r="BV745" s="462">
        <f t="shared" ref="BV745:CE745" si="1499">IF($B745="LOSS",IF(AND($K745=BV$3,$C745="L"),-$O745,0)+IF(AND($K746=BV$3,$C746="L"),-$O746,0)+IF(AND($K747=BV$3,$C747="L"),-$O747,0),IF(OR(AND($K745=BV$3,OR($C745="W",$C745="1/2W")),AND($K746=BV$3,OR($C746="W",$C746="1/2W")),AND($K747=BV$3,OR($C747="W",$C747="1/2W"))),$S745,0))</f>
        <v>0</v>
      </c>
      <c r="BW745" s="462">
        <f t="shared" si="1499"/>
        <v>0</v>
      </c>
      <c r="BX745" s="462">
        <f t="shared" si="1499"/>
        <v>0</v>
      </c>
      <c r="BY745" s="462">
        <f t="shared" si="1499"/>
        <v>0</v>
      </c>
      <c r="BZ745" s="460">
        <f t="shared" si="1499"/>
        <v>0</v>
      </c>
      <c r="CA745" s="460">
        <f t="shared" si="1499"/>
        <v>0</v>
      </c>
      <c r="CB745" s="460">
        <f t="shared" si="1499"/>
        <v>0</v>
      </c>
      <c r="CC745" s="460">
        <f t="shared" si="1499"/>
        <v>0</v>
      </c>
      <c r="CD745" s="473">
        <f t="shared" si="1499"/>
        <v>2.89</v>
      </c>
      <c r="CE745" s="479">
        <f t="shared" si="1499"/>
        <v>0</v>
      </c>
      <c r="CF745" s="113">
        <f t="shared" si="1412"/>
        <v>0</v>
      </c>
      <c r="CG745" s="114">
        <f t="shared" si="1413"/>
        <v>0</v>
      </c>
      <c r="CH745" s="114">
        <f t="shared" si="1414"/>
        <v>0</v>
      </c>
      <c r="CI745" s="114">
        <f t="shared" si="1415"/>
        <v>0</v>
      </c>
      <c r="CJ745" s="114">
        <f t="shared" si="1416"/>
        <v>0</v>
      </c>
      <c r="CK745" s="114">
        <f t="shared" si="1417"/>
        <v>0</v>
      </c>
      <c r="CL745" s="114">
        <f t="shared" si="1418"/>
        <v>0</v>
      </c>
      <c r="CM745" s="114">
        <f t="shared" si="1419"/>
        <v>0</v>
      </c>
      <c r="CN745" s="114">
        <f t="shared" si="1420"/>
        <v>0</v>
      </c>
      <c r="CO745" s="114">
        <f t="shared" si="1421"/>
        <v>0</v>
      </c>
      <c r="CP745" s="114">
        <f t="shared" si="1422"/>
        <v>0</v>
      </c>
      <c r="CQ745" s="114">
        <f t="shared" si="1423"/>
        <v>0</v>
      </c>
      <c r="CR745" s="114">
        <f t="shared" si="1424"/>
        <v>0</v>
      </c>
      <c r="CS745" s="114">
        <f t="shared" si="1425"/>
        <v>0</v>
      </c>
      <c r="CT745" s="115">
        <f t="shared" si="1426"/>
        <v>0</v>
      </c>
      <c r="CU745" s="116">
        <f t="shared" si="1427"/>
        <v>1</v>
      </c>
      <c r="CV745" s="116">
        <f t="shared" si="1428"/>
        <v>0</v>
      </c>
      <c r="CW745" s="116">
        <f t="shared" si="1429"/>
        <v>0</v>
      </c>
      <c r="CX745" s="116">
        <f t="shared" si="1430"/>
        <v>0</v>
      </c>
      <c r="CY745" s="116">
        <f t="shared" si="1431"/>
        <v>0</v>
      </c>
      <c r="CZ745" s="116">
        <f t="shared" si="1432"/>
        <v>0</v>
      </c>
      <c r="DA745" s="116">
        <f t="shared" si="1433"/>
        <v>0</v>
      </c>
      <c r="DB745" s="116">
        <f t="shared" si="1434"/>
        <v>0</v>
      </c>
      <c r="DC745" s="116">
        <f t="shared" si="1435"/>
        <v>0</v>
      </c>
      <c r="DD745" s="116">
        <f t="shared" si="1436"/>
        <v>0</v>
      </c>
      <c r="DE745" s="117">
        <f t="shared" si="1437"/>
        <v>0</v>
      </c>
      <c r="DF745" s="118">
        <f t="shared" si="1440"/>
        <v>43</v>
      </c>
      <c r="DG745" s="106">
        <f t="shared" si="1441"/>
        <v>57.167999999999992</v>
      </c>
      <c r="DH745" s="116">
        <f t="shared" si="1442"/>
        <v>16</v>
      </c>
      <c r="DI745" s="106">
        <f t="shared" si="1443"/>
        <v>68.699999999999989</v>
      </c>
      <c r="DJ745" s="201" t="str">
        <f>IF($D745="","",$D745)</f>
        <v>23</v>
      </c>
      <c r="DK745" s="465">
        <f>IF(AND($B745=" ",$D745&lt;&gt;""),1,0)</f>
        <v>0</v>
      </c>
    </row>
    <row r="746" spans="1:115" ht="14.5" customHeight="1" x14ac:dyDescent="0.2">
      <c r="A746" s="389"/>
      <c r="B746" s="456"/>
      <c r="C746" s="120" t="s">
        <v>54</v>
      </c>
      <c r="D746" s="374"/>
      <c r="E746" s="386"/>
      <c r="F746" s="377"/>
      <c r="G746" s="483"/>
      <c r="H746" s="476"/>
      <c r="I746" s="121" t="s">
        <v>66</v>
      </c>
      <c r="J746" s="122">
        <f>IF(OR(I745="TO",I745="TU",I745="TO1",I745="TU1",I745="TO2",I745="TU2"),J745,IF(OR(I745="AH1",I745="AH2"),IF(OR(I746="AH1",I746="AH2"),-J745,IF(OR(I746="EH1",I746="EH2"),-J745+0.5,"")),IF(OR(I745="EH1",I745="EH2"),IF(OR(I746="AH1",I746="AH2"),-J745+0.5,IF(OR(I746="EH1",I746="EH2"),-J745+1,"")),IF(AND(OR(I745="DNB1",I745="DNB2"),OR(I746="AH1",I746="AH2")),0,IF(AND(I745="Not ScoreBoth",OR(I746="TO1",I746="TO2")),0.5,"")))))</f>
        <v>-3</v>
      </c>
      <c r="K746" s="123" t="s">
        <v>47</v>
      </c>
      <c r="L746" s="124">
        <v>2.4500000000000002</v>
      </c>
      <c r="M746" s="125">
        <v>18.03</v>
      </c>
      <c r="N746" s="406"/>
      <c r="O746" s="126">
        <f>IF(OR(AE745="",AE746=""),"",ROUND(IF(L747&gt;0,IF(M746&gt;0,M746,IF(M745&gt;0,IF(N745=TRUE,ROUND((M745*AE746)/AE745,0),(M745*AE746)/AE745),IF(M746&gt;0,ROUND(M746,IF(N745=0,2,IF(N745=0.1,1,0))),IF(M747&gt;0,ROUND(O747*AE746/AE747,IF(N745=0,2,IF(N745=0.1,1,0))),0)))),IF(M746&gt;0,M746,ROUND((M745*AE746)/AE745,IF(N745=0,2,IF(N745=0.1,1,0))))),2))</f>
        <v>18.03</v>
      </c>
      <c r="P746" s="127">
        <f>IF(OR(L746="",O746=""),"",IF($C746="1/2W",O746/2+O746/2*L746,IF($C746="1/2L",O746/2,IF(I746="Lay",((O746*(L746/(L746-1)))-O746)*(1-_xlfn.XLOOKUP(K746,'Fevereiro 2023 - Valor Real'!A3:A15,'Fevereiro 2023 - Valor Real'!C3:C15,0))+O746,(O746*L746-O746)*(1-_xlfn.XLOOKUP(K746,'Fevereiro 2023 - Valor Real'!A3:A15,'Fevereiro 2023 - Valor Real'!C3:C15,0))+O746))))</f>
        <v>44.173500000000004</v>
      </c>
      <c r="Q746" s="128">
        <f>IF(K746="","",IF(_xlfn.XLOOKUP(K746,K$4:K745,$DJ$4:DJ745,0,,-1)=DJ746,_xlfn.XLOOKUP(K746,K$4:K745,Q$4:Q745,1,,-1)+1,1))</f>
        <v>4</v>
      </c>
      <c r="R746" s="129">
        <f>IF(K746="","",_xlfn.XLOOKUP(K746,K$4:K745,R$4:R745,0,,-1)+IF($C746=" ",1,0))</f>
        <v>0</v>
      </c>
      <c r="S746" s="403"/>
      <c r="T746" s="380"/>
      <c r="U746" s="380"/>
      <c r="V746" s="481"/>
      <c r="W746" s="380"/>
      <c r="X746" s="452"/>
      <c r="Y746" s="383"/>
      <c r="Z746" s="384"/>
      <c r="AA746" s="384"/>
      <c r="AB746" s="384"/>
      <c r="AC746" s="384"/>
      <c r="AD746" s="130">
        <f>(((L746/(L746-1)-1)*(1-_xlfn.XLOOKUP(K746,'Fevereiro 2023 - Valor Real'!A3:A15,'Fevereiro 2023 - Valor Real'!C3:C15,0))+1))</f>
        <v>1.6896551724137929</v>
      </c>
      <c r="AE746" s="131">
        <f>IF(L746="","",IF(L747&gt;0,(SUM(((L745-1)*(1-_xlfn.XLOOKUP(K745,'Fevereiro 2023 - Valor Real'!A3:A15,'Fevereiro 2023 - Valor Real'!C3:C15,0))+1),((L746-1)*(1-_xlfn.XLOOKUP(K746,'Fevereiro 2023 - Valor Real'!A3:A15,'Fevereiro 2023 - Valor Real'!C3:C15,0))+1),((L747-1)*(1-_xlfn.XLOOKUP(K747,'Fevereiro 2023 - Valor Real'!A3:A15,'Fevereiro 2023 - Valor Real'!C3:C15,0))+1))/((L746-1)*(1-_xlfn.XLOOKUP(K746,'Fevereiro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Real'!C3:C15,0))+1))/((L745-1)*(1-_xlfn.XLOOKUP(K745,'Fevereiro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Real'!C3:C15,0))+1))/((L746-1)*(1-_xlfn.XLOOKUP(K746,'Fevereiro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Real'!C3:C15,0))+1))/((L747-1)*(1-_xlfn.XLOOKUP(K747,'Fevereiro 2023 - Valor Real'!A3:A15,'Fevereiro 2023 - Valor Real'!C3:C15,0))+1)),IF(I746="Lay",IF(I745="Lay",((L745/(L745-1)-1)*(1-_xlfn.XLOOKUP(K745,'Fevereiro 2023 - Valor Real'!A3:A15,'Fevereiro 2023 - Valor Real'!C3:C15,0))+1)/(((L745/(L745-1)-1)*(1-_xlfn.XLOOKUP(K745,'Fevereiro 2023 - Valor Real'!A3:A15,'Fevereiro 2023 - Valor Real'!C3:C15,0))+1)+((L746/(L746-1)-1)*(1-_xlfn.XLOOKUP(K746,'Fevereiro 2023 - Valor Real'!A3:A15,'Fevereiro 2023 - Valor Real'!C3:C15,0))+1)),((L745-1)*(1-_xlfn.XLOOKUP(K745,'Fevereiro 2023 - Valor Real'!A3:A15,'Fevereiro 2023 - Valor Real'!C3:C15,0))+1)/(((L745-1)*(1-_xlfn.XLOOKUP(K745,'Fevereiro 2023 - Valor Real'!A3:A15,'Fevereiro 2023 - Valor Real'!C3:C15,0))+1)+((L746/(L746-1)-1)*(1-_xlfn.XLOOKUP(K746,'Fevereiro 2023 - Valor Real'!A3:A15,'Fevereiro 2023 - Valor Real'!C3:C15,0))+1))),IF(I745="Lay",((L745/(L745-1)-1)*(1-_xlfn.XLOOKUP(K745,'Fevereiro 2023 - Valor Real'!A3:A15,'Fevereiro 2023 - Valor Real'!C3:C15,0))+1)/((((L745/(L745-1)-1)*(1-_xlfn.XLOOKUP(K745,'Fevereiro 2023 - Valor Real'!A3:A15,'Fevereiro 2023 - Valor Real'!C3:C15,0))+1))+((L746-1)*(1-_xlfn.XLOOKUP(K746,'Fevereiro 2023 - Valor Real'!A3:A15,'Fevereiro 2023 - Valor Real'!C3:C15,0))+1)),((L745-1)*(1-_xlfn.XLOOKUP(K745,'Fevereiro 2023 - Valor Real'!A3:A15,'Fevereiro 2023 - Valor Real'!C3:C15,0))+1)/(((L745-1)*(1-_xlfn.XLOOKUP(K745,'Fevereiro 2023 - Valor Real'!A3:A15,'Fevereiro 2023 - Valor Real'!C3:C15,0))+1)+((L746-1)*(1-_xlfn.XLOOKUP(K746,'Fevereiro 2023 - Valor Real'!A3:A15,'Fevereiro 2023 - Valor Real'!C3:C15,0))+1))))))</f>
        <v>0.43678160919540232</v>
      </c>
      <c r="AF746" s="105">
        <f t="shared" si="1495"/>
        <v>0</v>
      </c>
      <c r="AG746" s="106">
        <f t="shared" si="1495"/>
        <v>0</v>
      </c>
      <c r="AH746" s="106">
        <f t="shared" si="1495"/>
        <v>0</v>
      </c>
      <c r="AI746" s="106">
        <f t="shared" si="1495"/>
        <v>0</v>
      </c>
      <c r="AJ746" s="106">
        <f t="shared" si="1495"/>
        <v>0</v>
      </c>
      <c r="AK746" s="106">
        <f t="shared" si="1495"/>
        <v>0</v>
      </c>
      <c r="AL746" s="106">
        <f t="shared" si="1495"/>
        <v>0</v>
      </c>
      <c r="AM746" s="106">
        <f t="shared" si="1495"/>
        <v>0</v>
      </c>
      <c r="AN746" s="106">
        <f t="shared" si="1495"/>
        <v>0</v>
      </c>
      <c r="AO746" s="106">
        <f t="shared" si="1495"/>
        <v>0</v>
      </c>
      <c r="AP746" s="106">
        <f t="shared" si="1495"/>
        <v>0</v>
      </c>
      <c r="AQ746" s="106">
        <f t="shared" si="1495"/>
        <v>26.14</v>
      </c>
      <c r="AR746" s="107">
        <f t="shared" si="1495"/>
        <v>0</v>
      </c>
      <c r="AS746" s="105">
        <f>IF(AND($B745=" ",$K746=AS$3),$O746,0)</f>
        <v>0</v>
      </c>
      <c r="AT746" s="106">
        <f>IF(AND($B745=" ",K746=AT$3),$O746,0)</f>
        <v>0</v>
      </c>
      <c r="AU746" s="106">
        <f t="shared" ref="AU746:BE746" si="1500">IF(AND($B745=" ",$K746=AU$3),$O746,0)</f>
        <v>0</v>
      </c>
      <c r="AV746" s="106">
        <f t="shared" si="1500"/>
        <v>0</v>
      </c>
      <c r="AW746" s="106">
        <f t="shared" si="1500"/>
        <v>0</v>
      </c>
      <c r="AX746" s="106">
        <f t="shared" si="1500"/>
        <v>0</v>
      </c>
      <c r="AY746" s="108">
        <f t="shared" si="1500"/>
        <v>0</v>
      </c>
      <c r="AZ746" s="109">
        <f t="shared" si="1500"/>
        <v>0</v>
      </c>
      <c r="BA746" s="109">
        <f t="shared" si="1500"/>
        <v>0</v>
      </c>
      <c r="BB746" s="109">
        <f t="shared" si="1500"/>
        <v>0</v>
      </c>
      <c r="BC746" s="110">
        <f t="shared" si="1500"/>
        <v>0</v>
      </c>
      <c r="BD746" s="106">
        <f t="shared" si="1500"/>
        <v>0</v>
      </c>
      <c r="BE746" s="107">
        <f t="shared" si="1500"/>
        <v>0</v>
      </c>
      <c r="BF746" s="105">
        <f t="shared" si="1497"/>
        <v>0</v>
      </c>
      <c r="BG746" s="106">
        <f t="shared" si="1497"/>
        <v>0</v>
      </c>
      <c r="BH746" s="106">
        <f t="shared" si="1497"/>
        <v>0</v>
      </c>
      <c r="BI746" s="106">
        <f t="shared" si="1497"/>
        <v>0</v>
      </c>
      <c r="BJ746" s="106">
        <f t="shared" si="1497"/>
        <v>0</v>
      </c>
      <c r="BK746" s="106">
        <f t="shared" si="1497"/>
        <v>0</v>
      </c>
      <c r="BL746" s="106">
        <f t="shared" si="1497"/>
        <v>0</v>
      </c>
      <c r="BM746" s="132">
        <f t="shared" si="1497"/>
        <v>0</v>
      </c>
      <c r="BN746" s="112">
        <f t="shared" si="1497"/>
        <v>0</v>
      </c>
      <c r="BO746" s="112">
        <f t="shared" si="1497"/>
        <v>0</v>
      </c>
      <c r="BP746" s="112">
        <f t="shared" si="1497"/>
        <v>0</v>
      </c>
      <c r="BQ746" s="110">
        <f t="shared" si="1497"/>
        <v>18.03</v>
      </c>
      <c r="BR746" s="107">
        <f t="shared" si="1497"/>
        <v>0</v>
      </c>
      <c r="BS746" s="464"/>
      <c r="BT746" s="461"/>
      <c r="BU746" s="392"/>
      <c r="BV746" s="461"/>
      <c r="BW746" s="392"/>
      <c r="BX746" s="392"/>
      <c r="BY746" s="392"/>
      <c r="BZ746" s="461"/>
      <c r="CA746" s="392"/>
      <c r="CB746" s="392"/>
      <c r="CC746" s="392"/>
      <c r="CD746" s="401"/>
      <c r="CE746" s="409"/>
      <c r="CF746" s="133">
        <f t="shared" si="1412"/>
        <v>0</v>
      </c>
      <c r="CG746" s="134">
        <f t="shared" si="1413"/>
        <v>0</v>
      </c>
      <c r="CH746" s="134">
        <f t="shared" si="1414"/>
        <v>0</v>
      </c>
      <c r="CI746" s="134">
        <f t="shared" si="1415"/>
        <v>0</v>
      </c>
      <c r="CJ746" s="134">
        <f t="shared" si="1416"/>
        <v>0</v>
      </c>
      <c r="CK746" s="134">
        <f t="shared" si="1417"/>
        <v>0</v>
      </c>
      <c r="CL746" s="134">
        <f t="shared" si="1418"/>
        <v>0</v>
      </c>
      <c r="CM746" s="134">
        <f t="shared" si="1419"/>
        <v>0</v>
      </c>
      <c r="CN746" s="134">
        <f t="shared" si="1420"/>
        <v>0</v>
      </c>
      <c r="CO746" s="134">
        <f t="shared" si="1421"/>
        <v>0</v>
      </c>
      <c r="CP746" s="134">
        <f t="shared" si="1422"/>
        <v>0</v>
      </c>
      <c r="CQ746" s="134">
        <f t="shared" si="1423"/>
        <v>0</v>
      </c>
      <c r="CR746" s="134">
        <f t="shared" si="1424"/>
        <v>0</v>
      </c>
      <c r="CS746" s="134">
        <f t="shared" si="1425"/>
        <v>0</v>
      </c>
      <c r="CT746" s="115">
        <f t="shared" si="1426"/>
        <v>0</v>
      </c>
      <c r="CU746" s="116">
        <f t="shared" si="1427"/>
        <v>0</v>
      </c>
      <c r="CV746" s="116">
        <f t="shared" si="1428"/>
        <v>0</v>
      </c>
      <c r="CW746" s="116">
        <f t="shared" si="1429"/>
        <v>0</v>
      </c>
      <c r="CX746" s="116">
        <f t="shared" si="1430"/>
        <v>0</v>
      </c>
      <c r="CY746" s="116">
        <f t="shared" si="1431"/>
        <v>0</v>
      </c>
      <c r="CZ746" s="116">
        <f t="shared" si="1432"/>
        <v>0</v>
      </c>
      <c r="DA746" s="116">
        <f t="shared" si="1433"/>
        <v>0</v>
      </c>
      <c r="DB746" s="116">
        <f t="shared" si="1434"/>
        <v>1</v>
      </c>
      <c r="DC746" s="116">
        <f t="shared" si="1435"/>
        <v>0</v>
      </c>
      <c r="DD746" s="116">
        <f t="shared" si="1436"/>
        <v>0</v>
      </c>
      <c r="DE746" s="117">
        <f t="shared" si="1437"/>
        <v>0</v>
      </c>
      <c r="DF746" s="118">
        <f t="shared" si="1440"/>
        <v>43</v>
      </c>
      <c r="DG746" s="106">
        <f t="shared" si="1441"/>
        <v>57.167999999999992</v>
      </c>
      <c r="DH746" s="116">
        <f t="shared" si="1442"/>
        <v>16</v>
      </c>
      <c r="DI746" s="106">
        <f t="shared" si="1443"/>
        <v>68.699999999999989</v>
      </c>
      <c r="DJ746" s="201" t="str">
        <f>IF($D745="","",$D745)</f>
        <v>23</v>
      </c>
      <c r="DK746" s="466"/>
    </row>
    <row r="747" spans="1:115" ht="14.5" customHeight="1" x14ac:dyDescent="0.2">
      <c r="A747" s="390"/>
      <c r="B747" s="457"/>
      <c r="C747" s="135" t="s">
        <v>53</v>
      </c>
      <c r="D747" s="375"/>
      <c r="E747" s="387"/>
      <c r="F747" s="378"/>
      <c r="G747" s="484"/>
      <c r="H747" s="477"/>
      <c r="I747" s="136"/>
      <c r="J747" s="137"/>
      <c r="K747" s="138"/>
      <c r="L747" s="139"/>
      <c r="M747" s="140"/>
      <c r="N747" s="407"/>
      <c r="O747" s="141" t="str">
        <f>IF(OR(AE745="",AE746=""),"",IF(L747&gt;0,ROUND(IF(M747&gt;0,M747,IF(M745&gt;0,ROUND((M745*AE747)/AE745,IF(N745=0,2,IF(N745=0.1,1,0))),IF(M746&gt;0,ROUND((M746*AE747)/AE746,IF(N745=0,2,IF(N745=0.1,1,0))),IF(M747&gt;0,M747,0)))),2),""))</f>
        <v/>
      </c>
      <c r="P747" s="142" t="str">
        <f>IF(I746="Lay",O746*(L746/(L746-1))-O746,IF(I745="Lay",O745*(L745/(L745-1))-O745,IF(OR(L747="",O747=""),"",IF($C747="1/2W",O747/2+O747/2*L747,IF($C747="1/2L",O747/2,(O747*L747-O747)*(1-_xlfn.XLOOKUP(K747,'Fevereiro 2023 - Valor Real'!A3:A15,'Fevereiro 2023 - Valor Real'!C3:C15,0))+O747)))))</f>
        <v/>
      </c>
      <c r="Q747" s="143" t="str">
        <f>IF(K747="","",IF(_xlfn.XLOOKUP(K747,K$4:K746,$DJ$4:DJ746,0,,-1)=DJ747,_xlfn.XLOOKUP(K747,K$4:K746,Q$4:Q746,1,,-1)+1,1))</f>
        <v/>
      </c>
      <c r="R747" s="144" t="str">
        <f>IF(K747="","",_xlfn.XLOOKUP(K747,K$4:K746,R$4:R746,0,,-1)+IF($C747=" ",1,0))</f>
        <v/>
      </c>
      <c r="S747" s="404"/>
      <c r="T747" s="378"/>
      <c r="U747" s="378"/>
      <c r="V747" s="404"/>
      <c r="W747" s="378"/>
      <c r="X747" s="453"/>
      <c r="Y747" s="383"/>
      <c r="Z747" s="384"/>
      <c r="AA747" s="384"/>
      <c r="AB747" s="384"/>
      <c r="AC747" s="384"/>
      <c r="AD747" s="145">
        <f>((L746/(L746-1)-1))</f>
        <v>0.68965517241379293</v>
      </c>
      <c r="AE747" s="146" t="str">
        <f>IF(L747="","",(SUM(((L745-1)*(1-_xlfn.XLOOKUP(K745,'Fevereiro 2023 - Valor Real'!A3:A15,'Fevereiro 2023 - Valor Real'!C3:C15,0))+1),((L746-1)*(1-_xlfn.XLOOKUP(K746,'Fevereiro 2023 - Valor Real'!A3:A15,'Fevereiro 2023 - Valor Real'!C3:C15,0))+1),((L747-1)*(1-_xlfn.XLOOKUP(K747,'Fevereiro 2023 - Valor Real'!A3:A15,'Fevereiro 2023 - Valor Real'!C3:C15,0))+1))/((L747-1)*(1-_xlfn.XLOOKUP(K747,'Fevereiro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Real'!C3:C15,0))+1))/((L745-1)*(1-_xlfn.XLOOKUP(K745,'Fevereiro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Real'!C3:C15,0))+1))/((L746-1)*(1-_xlfn.XLOOKUP(K746,'Fevereiro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Real'!C3:C15,0))+1))/((L747-1)*(1-_xlfn.XLOOKUP(K747,'Fevereiro 2023 - Valor Real'!A3:A15,'Fevereiro 2023 - Valor Real'!C3:C15,0))+1)))</f>
        <v/>
      </c>
      <c r="AF747" s="105">
        <f t="shared" si="1495"/>
        <v>0</v>
      </c>
      <c r="AG747" s="106">
        <f t="shared" si="1495"/>
        <v>0</v>
      </c>
      <c r="AH747" s="106">
        <f t="shared" si="1495"/>
        <v>0</v>
      </c>
      <c r="AI747" s="106">
        <f t="shared" si="1495"/>
        <v>0</v>
      </c>
      <c r="AJ747" s="106">
        <f t="shared" si="1495"/>
        <v>0</v>
      </c>
      <c r="AK747" s="106">
        <f t="shared" si="1495"/>
        <v>0</v>
      </c>
      <c r="AL747" s="106">
        <f t="shared" si="1495"/>
        <v>0</v>
      </c>
      <c r="AM747" s="106">
        <f t="shared" si="1495"/>
        <v>0</v>
      </c>
      <c r="AN747" s="106">
        <f t="shared" si="1495"/>
        <v>0</v>
      </c>
      <c r="AO747" s="106">
        <f t="shared" si="1495"/>
        <v>0</v>
      </c>
      <c r="AP747" s="106">
        <f t="shared" si="1495"/>
        <v>0</v>
      </c>
      <c r="AQ747" s="106">
        <f t="shared" si="1495"/>
        <v>0</v>
      </c>
      <c r="AR747" s="107">
        <f t="shared" si="1495"/>
        <v>0</v>
      </c>
      <c r="AS747" s="105">
        <f>IF(AND($B745=" ",$K747=AS$3),$O747,0)</f>
        <v>0</v>
      </c>
      <c r="AT747" s="106">
        <f>IF(AND($B745=" ",K747=AT$3),$O747,0)</f>
        <v>0</v>
      </c>
      <c r="AU747" s="106">
        <f t="shared" ref="AU747:BE747" si="1501">IF(AND($B745=" ",$K747=AU$3),$O747,0)</f>
        <v>0</v>
      </c>
      <c r="AV747" s="106">
        <f t="shared" si="1501"/>
        <v>0</v>
      </c>
      <c r="AW747" s="106">
        <f t="shared" si="1501"/>
        <v>0</v>
      </c>
      <c r="AX747" s="106">
        <f t="shared" si="1501"/>
        <v>0</v>
      </c>
      <c r="AY747" s="108">
        <f t="shared" si="1501"/>
        <v>0</v>
      </c>
      <c r="AZ747" s="109">
        <f t="shared" si="1501"/>
        <v>0</v>
      </c>
      <c r="BA747" s="109">
        <f t="shared" si="1501"/>
        <v>0</v>
      </c>
      <c r="BB747" s="109">
        <f t="shared" si="1501"/>
        <v>0</v>
      </c>
      <c r="BC747" s="110">
        <f t="shared" si="1501"/>
        <v>0</v>
      </c>
      <c r="BD747" s="106">
        <f t="shared" si="1501"/>
        <v>0</v>
      </c>
      <c r="BE747" s="107">
        <f t="shared" si="1501"/>
        <v>0</v>
      </c>
      <c r="BF747" s="105">
        <f t="shared" si="1497"/>
        <v>0</v>
      </c>
      <c r="BG747" s="106">
        <f t="shared" si="1497"/>
        <v>0</v>
      </c>
      <c r="BH747" s="106">
        <f t="shared" si="1497"/>
        <v>0</v>
      </c>
      <c r="BI747" s="106">
        <f t="shared" si="1497"/>
        <v>0</v>
      </c>
      <c r="BJ747" s="106">
        <f t="shared" si="1497"/>
        <v>0</v>
      </c>
      <c r="BK747" s="106">
        <f t="shared" si="1497"/>
        <v>0</v>
      </c>
      <c r="BL747" s="106">
        <f t="shared" si="1497"/>
        <v>0</v>
      </c>
      <c r="BM747" s="108">
        <f t="shared" si="1497"/>
        <v>0</v>
      </c>
      <c r="BN747" s="109">
        <f t="shared" si="1497"/>
        <v>0</v>
      </c>
      <c r="BO747" s="109">
        <f t="shared" si="1497"/>
        <v>0</v>
      </c>
      <c r="BP747" s="109">
        <f t="shared" si="1497"/>
        <v>0</v>
      </c>
      <c r="BQ747" s="110">
        <f t="shared" si="1497"/>
        <v>0</v>
      </c>
      <c r="BR747" s="107">
        <f t="shared" si="1497"/>
        <v>0</v>
      </c>
      <c r="BS747" s="464"/>
      <c r="BT747" s="461"/>
      <c r="BU747" s="392"/>
      <c r="BV747" s="461"/>
      <c r="BW747" s="392"/>
      <c r="BX747" s="392"/>
      <c r="BY747" s="392"/>
      <c r="BZ747" s="461"/>
      <c r="CA747" s="392"/>
      <c r="CB747" s="392"/>
      <c r="CC747" s="392"/>
      <c r="CD747" s="401"/>
      <c r="CE747" s="409"/>
      <c r="CF747" s="133">
        <f t="shared" si="1412"/>
        <v>0</v>
      </c>
      <c r="CG747" s="134">
        <f t="shared" si="1413"/>
        <v>0</v>
      </c>
      <c r="CH747" s="134">
        <f t="shared" si="1414"/>
        <v>0</v>
      </c>
      <c r="CI747" s="134">
        <f t="shared" si="1415"/>
        <v>0</v>
      </c>
      <c r="CJ747" s="134">
        <f t="shared" si="1416"/>
        <v>0</v>
      </c>
      <c r="CK747" s="134">
        <f t="shared" si="1417"/>
        <v>0</v>
      </c>
      <c r="CL747" s="134">
        <f t="shared" si="1418"/>
        <v>0</v>
      </c>
      <c r="CM747" s="134">
        <f t="shared" si="1419"/>
        <v>0</v>
      </c>
      <c r="CN747" s="134">
        <f t="shared" si="1420"/>
        <v>0</v>
      </c>
      <c r="CO747" s="134">
        <f t="shared" si="1421"/>
        <v>0</v>
      </c>
      <c r="CP747" s="134">
        <f t="shared" si="1422"/>
        <v>0</v>
      </c>
      <c r="CQ747" s="134">
        <f t="shared" si="1423"/>
        <v>0</v>
      </c>
      <c r="CR747" s="134">
        <f t="shared" si="1424"/>
        <v>0</v>
      </c>
      <c r="CS747" s="134">
        <f t="shared" si="1425"/>
        <v>0</v>
      </c>
      <c r="CT747" s="115">
        <f t="shared" si="1426"/>
        <v>0</v>
      </c>
      <c r="CU747" s="116">
        <f t="shared" si="1427"/>
        <v>0</v>
      </c>
      <c r="CV747" s="116">
        <f t="shared" si="1428"/>
        <v>0</v>
      </c>
      <c r="CW747" s="116">
        <f t="shared" si="1429"/>
        <v>0</v>
      </c>
      <c r="CX747" s="116">
        <f t="shared" si="1430"/>
        <v>0</v>
      </c>
      <c r="CY747" s="116">
        <f t="shared" si="1431"/>
        <v>0</v>
      </c>
      <c r="CZ747" s="116">
        <f t="shared" si="1432"/>
        <v>0</v>
      </c>
      <c r="DA747" s="116">
        <f t="shared" si="1433"/>
        <v>0</v>
      </c>
      <c r="DB747" s="116">
        <f t="shared" si="1434"/>
        <v>0</v>
      </c>
      <c r="DC747" s="116">
        <f t="shared" si="1435"/>
        <v>0</v>
      </c>
      <c r="DD747" s="116">
        <f t="shared" si="1436"/>
        <v>0</v>
      </c>
      <c r="DE747" s="117">
        <f t="shared" si="1437"/>
        <v>0</v>
      </c>
      <c r="DF747" s="118">
        <f t="shared" si="1440"/>
        <v>43</v>
      </c>
      <c r="DG747" s="106">
        <f t="shared" si="1441"/>
        <v>57.167999999999992</v>
      </c>
      <c r="DH747" s="116">
        <f t="shared" si="1442"/>
        <v>16</v>
      </c>
      <c r="DI747" s="106">
        <f t="shared" si="1443"/>
        <v>68.699999999999989</v>
      </c>
      <c r="DJ747" s="201" t="str">
        <f>IF($D745="","",$D745)</f>
        <v>23</v>
      </c>
      <c r="DK747" s="466"/>
    </row>
    <row r="748" spans="1:115" ht="14.5" customHeight="1" x14ac:dyDescent="0.2">
      <c r="A748" s="487">
        <f>$A745+1</f>
        <v>249</v>
      </c>
      <c r="B748" s="506" t="str">
        <f>IF(OR(C748="W",C749="W",C750="W",C748="1/2W",C749="1/2W",C750="1/2W",C748="1/2L",C749="1/2L",C750="1/2L"),"OK",IF(OR(C748="L",C749="L",C750="L"),"LOSS",IF(OR(C748="X",C749="X",C750="X"),"Anulado"," ")))</f>
        <v>OK</v>
      </c>
      <c r="C748" s="147" t="s">
        <v>55</v>
      </c>
      <c r="D748" s="494" t="str">
        <f>IF(G748="","",$D745)</f>
        <v>23</v>
      </c>
      <c r="E748" s="511" t="str">
        <f>IF(G748=""," ","– "&amp;COUNTIF(D$4:D750,$D748))</f>
        <v>– 15</v>
      </c>
      <c r="F748" s="510" t="str">
        <f ca="1">IF(G748="","",IF(OR(AND($C748&lt;&gt;" ",$C749=" "),AND($C749&lt;&gt;" ",$C748=" "),AND(L750&gt;0,OR(AND($C750&lt;&gt;" ",OR($C748=" ",$C749=" ")),AND($C750=" ",OR($C748&lt;&gt;" ",$C749&lt;&gt;" "))))),IF(SUM(F$4:F747)=0,1,LARGE(F$4:F747,1)+1),IF(MONTH(G748)=MONTH(TODAY()),IF(AND(DAY(G748)&lt;DAY(TODAY()),$B748=" "),IF(SUM(F$4:F747)=0,1,LARGE(F$4:F747,1)+1),IF($B748=" ",IF(AND(DAY(G748)=DAY(TODAY()),HOUR(G748)&lt;=HOUR(NOW())+1),IF(AND(HOUR(G748)+2&lt;=HOUR(NOW()),DAY(G748)&lt;=DAY(TODAY()),MINUTE(G748)&lt;=MINUTE(NOW())),IF(SUM(F$4:F747)=0,1,LARGE(F$4:F747,1)+1),IF(OR(MINUTE(G748)&lt;=MINUTE(NOW()),HOUR(G748)&lt;=HOUR(NOW())),"!!!","")),""),"")),"")))</f>
        <v/>
      </c>
      <c r="G748" s="508">
        <v>45009.697916666664</v>
      </c>
      <c r="H748" s="502" t="s">
        <v>262</v>
      </c>
      <c r="I748" s="180" t="s">
        <v>51</v>
      </c>
      <c r="J748" s="181">
        <v>3.5</v>
      </c>
      <c r="K748" s="150" t="s">
        <v>37</v>
      </c>
      <c r="L748" s="151">
        <v>2.2000000000000002</v>
      </c>
      <c r="M748" s="152">
        <v>48.23</v>
      </c>
      <c r="N748" s="503">
        <v>0</v>
      </c>
      <c r="O748" s="153">
        <f>IF(OR(AE748="",AE749=""),"",ROUND(IF(L750&gt;0,IF(M748&gt;0,M748,IF(M749&gt;0,ROUND((M749*AE748)/AE749,IF(N748=0,2,IF(N748=0.1,1,0))),ROUND((M750*AE748)/AE750,IF(N748=0,2,IF(N748=0.1,1,0))))),IF(M748&gt;0,M748,ROUND((M749*AE748)/AE749,IF(N748=0,2,IF(N748=0.1,1,0))))),2))</f>
        <v>48.23</v>
      </c>
      <c r="P748" s="154">
        <f>IF(OR(L748="",O748=""),"",IF($C748="1/2W",O748/2+O748/2*L748,IF($C748="1/2L",O748/2,IF(I748="Lay",(O748*(L748/(L748-1))-O748)*(1-_xlfn.XLOOKUP(K748,'Fevereiro 2023 - Valor Real'!A3:A15,'Fevereiro 2023 - Valor Real'!C3:C15,0))+O748,(O748*L748-O748)*(1-_xlfn.XLOOKUP(K748,'Fevereiro 2023 - Valor Real'!A3:A15,'Fevereiro 2023 - Valor Real'!C3:C15,0))+O748))))</f>
        <v>106.10600000000001</v>
      </c>
      <c r="Q748" s="155">
        <f>IF(K748="","",IF(_xlfn.XLOOKUP(K748,K$9:K740,$DJ$9:DJ740,0,,-1)=DJ748,_xlfn.XLOOKUP(K748,K$9:K740,Q$9:Q740,1,,-1)+1,1))</f>
        <v>7</v>
      </c>
      <c r="R748" s="156">
        <f>IF(K748="","",_xlfn.XLOOKUP(K748,K$9:K740,R$9:R740,0,,-1)+IF($C748=" ",1,0))</f>
        <v>0</v>
      </c>
      <c r="S748" s="501">
        <f>IF($B748="Anulado",0,ROUND(IF(OR($B748="LOSS",$B748="OK"),IF(OR($C748="W",$C748="1/2W",$C748="1/2L"),P748-O748,IF($C748="L",-O748,0))+IF(OR($C749="W",$C749="1/2W",$C749="1/2L"),P749-O749,IF($C749="L",-O749,0))+IF(OR($C750="W",$C750="1/2W",$C750="1/2L"),P750-O750,IF($C750="L",-O750,0)),IF(AND(OR($C748="W",$C748="1/2W",$C748="1/2L"),C749="W"),P748+P749-SUM(O748:O750)+_xlfn.XLOOKUP("X",C748:C750,O748:O750,0),IF(AND(C748=TRUE,C750="W"),P748+P750-SUM(O748:O750),IF(AND(C749="W",C750="W"),P749+P750-SUM(O748:O750)+_xlfn.XLOOKUP("X",C748:C750,O748:O750,0),IF(L750&gt;0,IF(OR($C748="W",$C748="1/2W",$C748="1/2L"),P748-SUM(O748:O750)+_xlfn.XLOOKUP("X",C748:C750,O748:O750,0),IF(OR($C748="W",$C748="1/2W",$C748="1/2L"),P749-SUM(O748:O750)+_xlfn.XLOOKUP("X",C748:C750,O748:O750,0),IF(OR($C748="W",$C748="1/2W",$C748="1/2L"),P750-SUM(O748:O750)+_xlfn.XLOOKUP("X",C748:C750,O748:O750,0),IF(SUM(P748:P750)/3-SUM(O748:O750)+_xlfn.XLOOKUP("X",C748:C750,O748:O750,0)&gt;0,SUM(P748:P750)/3-SUM(O748:O750)+_xlfn.XLOOKUP("X",C748:C750,O748:O750,0),LARGE(P748:P750,1)-SUM(O748:O750))))),IF(OR($C748="W",$C748="1/2W",$C748="1/2L"),P748-SUM(O748:O749)+_xlfn.XLOOKUP("X",C748:C750,O748:O750,0),IF(OR($C748="W",$C748="1/2W",$C748="1/2L"),P749-SUM(O748:O749)+_xlfn.XLOOKUP("X",C748:C750,O748:O750,0),SUM(P748:P749)/2-SUM(O748:O749)+_xlfn.XLOOKUP("X",C748:C750,O748:O750,0)))))))),2))</f>
        <v>4.68</v>
      </c>
      <c r="T748" s="486">
        <f>IF(S748=0,0,S748/SUM(O748:O750))</f>
        <v>4.6144744626306453E-2</v>
      </c>
      <c r="U748" s="496">
        <f>IF($D748=$D745,IF(OR($B748="LOSS",$B748="OK",$B748="Anulada"),S748,0)+U745,IF(OR($B748="LOSS",$B748="OK",$B748="Anulada"),S748,0))</f>
        <v>35.28</v>
      </c>
      <c r="V748" s="496">
        <f>IF($D748="",0,IF($D748=$D745,IF($B748=" ",IF(I750="",IF(OR(AND(I748="DNB1",I749="DNB2"),AND(OR(I748="DNB1",I748="DNB2"),J749=0),AND(OR(I749="DNB1",I749="DNB2"),J748=0),AND(I748="DNB2",I749="DNB1"),AND(IF(J748=0,(J748+1)/ROUND(J748+1,0),J748/ROUND(J748,0))=1,IF(J749=0,(J749+1)/ROUND(IF(J749="",0,J749)+1,0),IF(J749="",0,J749)/ROUND(IF(J749="",1,J749),0))=1,OR(J748&lt;&gt;""),J749&lt;&gt;"")),0,IF(S748&lt;0,IF(I750="",SMALL(P748:P749,1)-SUM(O748:O749),0),SMALL(P748:P749,1)-SUM(O748:O749))),IF(S748&lt;0,IF(I750="",SMALL(P748:P750,1)-SUM(O748:O750),0),LARGE(P748:P750,1)-SUM(O748:O750))),S748)+V745,IF(I750="",IF(OR(AND(I748="DNB1",I749="DNB2"),AND(OR(I748="DNB1",I748="DNB2"),J749=0),AND(OR(I749="DNB1",I749="DNB2"),J748=0),AND(I748="DNB2",I749="DNB1"),AND(IF(J748=0,(J748+1)/ROUND(J748+1,0),J748/ROUND(J748,0))=1,IF(J749=0,(IF(J749="",0,J749)+1)/ROUND(IF(J749="",0,J749)+1,0),IF(J749="",0,J749)/ROUND(IF(J749="",0,J749)+1,0))=1,OR(J748&lt;&gt;""),J749&lt;&gt;"")),0,IF(S748&lt;0,IF(I750="",SMALL(P748:P749,1)-SUM(O748:O749),0),SMALL(P748:P750,1)-SUM(O748:O750))),IF(S748&lt;0,IF(I750="",SMALL(P748:P750,1)-SUM(O748:O750),0),LARGE(P748:P750,1)-SUM(O748:O750)))))</f>
        <v>35.28</v>
      </c>
      <c r="W748" s="496">
        <f>IF($D748=$D745,IF(S748&lt;0,IF(I750="",S748,0),S748)+W745,S748)</f>
        <v>35.28</v>
      </c>
      <c r="X748" s="505" t="str">
        <f>IF(OR(SUM(R748:R750)=0,V748=W748),ROUND(IF(W748=0,0,W748/Y748)*100,2)&amp;"%",ROUND(IF(V748=0,0,V748/Y748)*100,2)&amp;"% a "&amp;ROUND(IF(W748=0,0,W748/Y748)*100,2)&amp;"%")</f>
        <v>6,99%</v>
      </c>
      <c r="Y748" s="497">
        <f>IF($D748=$D745,Y745+SUM(O748:O750),SUM(O748:O750))</f>
        <v>504.65</v>
      </c>
      <c r="Z748" s="496">
        <f>IF($B748=" ",SUM(O748:O750),0)+Z745</f>
        <v>0</v>
      </c>
      <c r="AA748" s="496">
        <f>IF(G748="","",IF($B748="Anulado",LARGE(P748:P750,1)-SUM(O748:O750)+AA745,AA745))</f>
        <v>13.381099999999991</v>
      </c>
      <c r="AB748" s="496">
        <f>IF($D748="","",AB745+S748)</f>
        <v>841.64000000000067</v>
      </c>
      <c r="AC748" s="499">
        <f ca="1">IF($D748="","",IF($B748=" ",IF(DAY(G748)=DAY(TODAY()),1+AC745,0+AC745),0+AC745))</f>
        <v>0</v>
      </c>
      <c r="AD748" s="157">
        <f>(1-_xlfn.XLOOKUP(K746,'Fevereiro 2023 - Valor Real'!A3:A15,'Fevereiro 2023 - Valor Real'!C3:C15,0))+1</f>
        <v>2</v>
      </c>
      <c r="AE748" s="158">
        <f>IF(L748="","",IF(L750&gt;0,(SUM(((L748-1)*(1-_xlfn.XLOOKUP(K748,'Fevereiro 2023 - Valor Real'!A3:A15,'Fevereiro 2023 - Valor Real'!C3:C15,0))+1),((L749-1)*(1-_xlfn.XLOOKUP(K749,'Fevereiro 2023 - Valor Real'!A3:A15,'Fevereiro 2023 - Valor Real'!C3:C15,0))+1),((L750-1)*(1-_xlfn.XLOOKUP(K750,'Fevereiro 2023 - Valor Real'!A3:A15,'Fevereiro 2023 - Valor Real'!C3:C15,0))+1))/((L748-1)*(1-_xlfn.XLOOKUP(K748,'Fevereiro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Real'!C3:C15,0))+1))/((L748-1)*(1-_xlfn.XLOOKUP(K748,'Fevereiro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Real'!C3:C15,0))+1))/((L749-1)*(1-_xlfn.XLOOKUP(K749,'Fevereiro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Real'!C3:C15,0))+1))/((L750-1)*(1-_xlfn.XLOOKUP(K750,'Fevereiro 2023 - Valor Real'!A3:A15,'Fevereiro 2023 - Valor Real'!C3:C15,0))+1)),IF(I748="Lay",IF(I749="Lay",((L749/(L749-1)-1)*(1-_xlfn.XLOOKUP(K749,'Fevereiro 2023 - Valor Real'!A3:A15,'Fevereiro 2023 - Valor Real'!C3:C15,0))+1)/(((L749/(L749-1)-1)*(1-_xlfn.XLOOKUP(K749,'Fevereiro 2023 - Valor Real'!A3:A15,'Fevereiro 2023 - Valor Real'!C3:C15,0))+1)+((L748/(L748-1)-1)*(1-_xlfn.XLOOKUP(K748,'Fevereiro 2023 - Valor Real'!A3:A15,'Fevereiro 2023 - Valor Real'!C3:C15,0))+1)),((L749-1)*(1-_xlfn.XLOOKUP(K749,'Fevereiro 2023 - Valor Real'!A3:A15,'Fevereiro 2023 - Valor Real'!C3:C15,0))+1)/(((L749-1)*(1-_xlfn.XLOOKUP(K749,'Fevereiro 2023 - Valor Real'!A3:A15,'Fevereiro 2023 - Valor Real'!C3:C15,0))+1)+((L748/(L748-1)-1)*(1-_xlfn.XLOOKUP(K748,'Fevereiro 2023 - Valor Real'!A3:A15,'Fevereiro 2023 - Valor Real'!C3:C15,0))+1))),IF(I749="Lay",(((L749/(L749-1)-1)*(1-_xlfn.XLOOKUP(K749,'Fevereiro 2023 - Valor Real'!A3:A15,'Fevereiro 2023 - Valor Real'!C3:C15,0))+1))/(((L748-1)*(1-_xlfn.XLOOKUP(K748,'Fevereiro 2023 - Valor Real'!A3:A15,'Fevereiro 2023 - Valor Real'!C3:C15,0))+1)+((L749/(L749-1)-1)*(1-_xlfn.XLOOKUP(K749,'Fevereiro 2023 - Valor Real'!A3:A15,'Fevereiro 2023 - Valor Real'!C3:C15,0))+1)),((L749-1)*(1-_xlfn.XLOOKUP(K749,'Fevereiro 2023 - Valor Real'!A3:A15,'Fevereiro 2023 - Valor Real'!C3:C15,0))+1)/(((L749-1)*(1-_xlfn.XLOOKUP(K749,'Fevereiro 2023 - Valor Real'!A3:A15,'Fevereiro 2023 - Valor Real'!C3:C15,0))+1)+((L748-1)*(1-_xlfn.XLOOKUP(K748,'Fevereiro 2023 - Valor Real'!A3:A15,'Fevereiro 2023 - Valor Real'!C3:C15,0))+1))))))</f>
        <v>0.47552624904894747</v>
      </c>
      <c r="AF748" s="66">
        <f t="shared" si="1495"/>
        <v>0</v>
      </c>
      <c r="AG748" s="67">
        <f t="shared" si="1495"/>
        <v>-48.23</v>
      </c>
      <c r="AH748" s="67">
        <f t="shared" si="1495"/>
        <v>0</v>
      </c>
      <c r="AI748" s="67">
        <f t="shared" si="1495"/>
        <v>0</v>
      </c>
      <c r="AJ748" s="67">
        <f t="shared" si="1495"/>
        <v>0</v>
      </c>
      <c r="AK748" s="67">
        <f t="shared" si="1495"/>
        <v>0</v>
      </c>
      <c r="AL748" s="67">
        <f t="shared" si="1495"/>
        <v>0</v>
      </c>
      <c r="AM748" s="67">
        <f t="shared" si="1495"/>
        <v>0</v>
      </c>
      <c r="AN748" s="67">
        <f t="shared" si="1495"/>
        <v>0</v>
      </c>
      <c r="AO748" s="67">
        <f t="shared" si="1495"/>
        <v>0</v>
      </c>
      <c r="AP748" s="67">
        <f t="shared" si="1495"/>
        <v>0</v>
      </c>
      <c r="AQ748" s="67">
        <f t="shared" si="1495"/>
        <v>0</v>
      </c>
      <c r="AR748" s="68">
        <f t="shared" si="1495"/>
        <v>0</v>
      </c>
      <c r="AS748" s="66">
        <f t="shared" ref="AS748:BE748" si="1502">IF(AND($B748=" ",$K748=AS$3),$O748,0)</f>
        <v>0</v>
      </c>
      <c r="AT748" s="67">
        <f t="shared" si="1502"/>
        <v>0</v>
      </c>
      <c r="AU748" s="67">
        <f t="shared" si="1502"/>
        <v>0</v>
      </c>
      <c r="AV748" s="67">
        <f t="shared" si="1502"/>
        <v>0</v>
      </c>
      <c r="AW748" s="67">
        <f t="shared" si="1502"/>
        <v>0</v>
      </c>
      <c r="AX748" s="67">
        <f t="shared" si="1502"/>
        <v>0</v>
      </c>
      <c r="AY748" s="69">
        <f t="shared" si="1502"/>
        <v>0</v>
      </c>
      <c r="AZ748" s="70">
        <f t="shared" si="1502"/>
        <v>0</v>
      </c>
      <c r="BA748" s="70">
        <f t="shared" si="1502"/>
        <v>0</v>
      </c>
      <c r="BB748" s="70">
        <f t="shared" si="1502"/>
        <v>0</v>
      </c>
      <c r="BC748" s="71">
        <f t="shared" si="1502"/>
        <v>0</v>
      </c>
      <c r="BD748" s="67">
        <f t="shared" si="1502"/>
        <v>0</v>
      </c>
      <c r="BE748" s="68">
        <f t="shared" si="1502"/>
        <v>0</v>
      </c>
      <c r="BF748" s="66">
        <f t="shared" si="1497"/>
        <v>0</v>
      </c>
      <c r="BG748" s="67">
        <f t="shared" si="1497"/>
        <v>48.23</v>
      </c>
      <c r="BH748" s="67">
        <f t="shared" si="1497"/>
        <v>0</v>
      </c>
      <c r="BI748" s="67">
        <f t="shared" si="1497"/>
        <v>0</v>
      </c>
      <c r="BJ748" s="67">
        <f t="shared" si="1497"/>
        <v>0</v>
      </c>
      <c r="BK748" s="67">
        <f t="shared" si="1497"/>
        <v>0</v>
      </c>
      <c r="BL748" s="67">
        <f t="shared" si="1497"/>
        <v>0</v>
      </c>
      <c r="BM748" s="69">
        <f t="shared" si="1497"/>
        <v>0</v>
      </c>
      <c r="BN748" s="70">
        <f t="shared" si="1497"/>
        <v>0</v>
      </c>
      <c r="BO748" s="70">
        <f t="shared" si="1497"/>
        <v>0</v>
      </c>
      <c r="BP748" s="70">
        <f t="shared" si="1497"/>
        <v>0</v>
      </c>
      <c r="BQ748" s="71">
        <f t="shared" si="1497"/>
        <v>0</v>
      </c>
      <c r="BR748" s="68">
        <f t="shared" si="1497"/>
        <v>0</v>
      </c>
      <c r="BS748" s="490">
        <f>IF($B748="LOSS",IF(AND($K748=BS$3,$C748="L"),-$O748,0)+IF(AND($K749=BS$3,$C749="L"),-$O749,0)+IF(AND($K750=BS$3,$C750="L"),-$O750,0),IF(OR(AND($K748=BS$3,OR($C748="W",$C748="1/2W")),AND($K749=BS$3,OR($C749="W",$C749="1/2W")),AND($K750=BS$3,OR($C750="W",$C750="1/2W"))),$S748,0))</f>
        <v>0</v>
      </c>
      <c r="BT748" s="498">
        <f>IF($B748="LOSS",IF(AND($K748=BT$3,$C748="L"),-$O748,0)+IF(AND($K749=BT$3,$C749="L"),-$O749,0)+IF(AND($K749=BT$3,$C750="L"),-$O750,0),IF(OR(AND($K749=BT$3,OR($C748="W",$C748="1/2W")),AND($K749=BT$3,OR($C749="W",$C749="1/2W")),AND($K749=BT$3,OR($C750="W",$C750="1/2W"))),$S748,0))</f>
        <v>0</v>
      </c>
      <c r="BU748" s="488">
        <f>IF($B748="LOSS",IF(AND($K748=BU$3,$C748="L"),-$O748,0)+IF(AND($K749=BU$3,$C749="L"),-$O749,0)+IF(AND($K749=BU$3,$C750="L"),-$O750,0),IF(OR(AND($K749=BU$3,OR($C748="W",$C748="1/2W")),AND($K749=BU$3,OR($C749="W",$C749="1/2W")),AND($K749=BU$3,OR($C750="W",$C750="1/2W"))),$S748,0))</f>
        <v>4.68</v>
      </c>
      <c r="BV748" s="488">
        <f t="shared" ref="BV748:CE748" si="1503">IF($B748="LOSS",IF(AND($K748=BV$3,$C748="L"),-$O748,0)+IF(AND($K749=BV$3,$C749="L"),-$O749,0)+IF(AND($K750=BV$3,$C750="L"),-$O750,0),IF(OR(AND($K748=BV$3,OR($C748="W",$C748="1/2W")),AND($K749=BV$3,OR($C749="W",$C749="1/2W")),AND($K750=BV$3,OR($C750="W",$C750="1/2W"))),$S748,0))</f>
        <v>0</v>
      </c>
      <c r="BW748" s="488">
        <f t="shared" si="1503"/>
        <v>0</v>
      </c>
      <c r="BX748" s="488">
        <f t="shared" si="1503"/>
        <v>0</v>
      </c>
      <c r="BY748" s="488">
        <f t="shared" si="1503"/>
        <v>0</v>
      </c>
      <c r="BZ748" s="488">
        <f t="shared" si="1503"/>
        <v>0</v>
      </c>
      <c r="CA748" s="488">
        <f t="shared" si="1503"/>
        <v>0</v>
      </c>
      <c r="CB748" s="488">
        <f t="shared" si="1503"/>
        <v>0</v>
      </c>
      <c r="CC748" s="488">
        <f t="shared" si="1503"/>
        <v>0</v>
      </c>
      <c r="CD748" s="500">
        <f t="shared" si="1503"/>
        <v>0</v>
      </c>
      <c r="CE748" s="504">
        <f t="shared" si="1503"/>
        <v>0</v>
      </c>
      <c r="CF748" s="160">
        <f t="shared" si="1412"/>
        <v>0</v>
      </c>
      <c r="CG748" s="161">
        <f t="shared" si="1413"/>
        <v>0</v>
      </c>
      <c r="CH748" s="161">
        <f t="shared" si="1414"/>
        <v>0</v>
      </c>
      <c r="CI748" s="161">
        <f t="shared" si="1415"/>
        <v>1</v>
      </c>
      <c r="CJ748" s="161">
        <f t="shared" si="1416"/>
        <v>0</v>
      </c>
      <c r="CK748" s="161">
        <f t="shared" si="1417"/>
        <v>0</v>
      </c>
      <c r="CL748" s="161">
        <f t="shared" si="1418"/>
        <v>0</v>
      </c>
      <c r="CM748" s="161">
        <f t="shared" si="1419"/>
        <v>0</v>
      </c>
      <c r="CN748" s="161">
        <f t="shared" si="1420"/>
        <v>0</v>
      </c>
      <c r="CO748" s="161">
        <f t="shared" si="1421"/>
        <v>0</v>
      </c>
      <c r="CP748" s="161">
        <f t="shared" si="1422"/>
        <v>0</v>
      </c>
      <c r="CQ748" s="161">
        <f t="shared" si="1423"/>
        <v>0</v>
      </c>
      <c r="CR748" s="161">
        <f t="shared" si="1424"/>
        <v>0</v>
      </c>
      <c r="CS748" s="161">
        <f t="shared" si="1425"/>
        <v>0</v>
      </c>
      <c r="CT748" s="75">
        <f t="shared" si="1426"/>
        <v>0</v>
      </c>
      <c r="CU748" s="76">
        <f t="shared" si="1427"/>
        <v>0</v>
      </c>
      <c r="CV748" s="76">
        <f t="shared" si="1428"/>
        <v>0</v>
      </c>
      <c r="CW748" s="76">
        <f t="shared" si="1429"/>
        <v>0</v>
      </c>
      <c r="CX748" s="76">
        <f t="shared" si="1430"/>
        <v>0</v>
      </c>
      <c r="CY748" s="76">
        <f t="shared" si="1431"/>
        <v>0</v>
      </c>
      <c r="CZ748" s="76">
        <f t="shared" si="1432"/>
        <v>0</v>
      </c>
      <c r="DA748" s="76">
        <f t="shared" si="1433"/>
        <v>0</v>
      </c>
      <c r="DB748" s="76">
        <f t="shared" si="1434"/>
        <v>0</v>
      </c>
      <c r="DC748" s="76">
        <f t="shared" si="1435"/>
        <v>0</v>
      </c>
      <c r="DD748" s="76">
        <f t="shared" si="1436"/>
        <v>0</v>
      </c>
      <c r="DE748" s="77">
        <f t="shared" si="1437"/>
        <v>0</v>
      </c>
      <c r="DF748" s="73">
        <f t="shared" si="1440"/>
        <v>43</v>
      </c>
      <c r="DG748" s="67">
        <f t="shared" si="1441"/>
        <v>57.167999999999992</v>
      </c>
      <c r="DH748" s="76">
        <f t="shared" si="1442"/>
        <v>16</v>
      </c>
      <c r="DI748" s="67">
        <f t="shared" si="1443"/>
        <v>68.699999999999989</v>
      </c>
      <c r="DJ748" s="202" t="str">
        <f>IF($D748="","",$D748)</f>
        <v>23</v>
      </c>
      <c r="DK748" s="492">
        <f>IF(AND($B748=" ",$D748&lt;&gt;""),1,0)</f>
        <v>0</v>
      </c>
    </row>
    <row r="749" spans="1:115" ht="14.5" customHeight="1" x14ac:dyDescent="0.2">
      <c r="A749" s="389"/>
      <c r="B749" s="456"/>
      <c r="C749" s="53" t="s">
        <v>54</v>
      </c>
      <c r="D749" s="374"/>
      <c r="E749" s="386"/>
      <c r="F749" s="377"/>
      <c r="G749" s="508"/>
      <c r="H749" s="476"/>
      <c r="I749" s="182" t="s">
        <v>88</v>
      </c>
      <c r="J749" s="56">
        <f>IF(OR(I748="TO",I748="TU",I748="TO1",I748="TU1",I748="TO2",I748="TU2"),J748,IF(OR(I748="AH1",I748="AH2"),IF(OR(I749="AH1",I749="AH2"),-J748,IF(OR(I749="EH1",I749="EH2"),-J748+0.5,"")),IF(OR(I748="EH1",I748="EH2"),IF(OR(I749="AH1",I749="AH2"),-J748+0.5,IF(OR(I749="EH1",I749="EH2"),-J748+1,"")),IF(AND(OR(I748="DNB1",I748="DNB2"),OR(I749="AH1",I749="AH2")),0,IF(AND(I748="Not ScoreBoth",OR(I749="TO1",I749="TO2")),0.5,"")))))</f>
        <v>3.5</v>
      </c>
      <c r="K749" s="57" t="s">
        <v>38</v>
      </c>
      <c r="L749" s="164">
        <v>1.94</v>
      </c>
      <c r="M749" s="165"/>
      <c r="N749" s="406"/>
      <c r="O749" s="60">
        <f>IF(OR(AE748="",AE749=""),"",ROUND(IF(L750&gt;0,IF(M749&gt;0,M749,IF(M748&gt;0,IF(N748=TRUE,ROUND((M748*AE749)/AE748,0),(M748*AE749)/AE748),IF(M749&gt;0,ROUND(M749,IF(N748=0,2,IF(N748=0.1,1,0))),IF(M750&gt;0,ROUND(O750*AE749/AE750,IF(N748=0,2,IF(N748=0.1,1,0))),0)))),IF(M749&gt;0,M749,ROUND((M748*AE749)/AE748,IF(N748=0,2,IF(N748=0.1,1,0))))),2))</f>
        <v>53.19</v>
      </c>
      <c r="P749" s="61">
        <f>IF(OR(L749="",O749=""),"",IF($C749="1/2W",O749/2+O749/2*L749,IF($C749="1/2L",O749/2,IF(I749="Lay",((O749*(L749/(L749-1)))-O749)*(1-_xlfn.XLOOKUP(K749,'Fevereiro 2023 - Valor Real'!A3:A15,'Fevereiro 2023 - Valor Real'!C3:C15,0))+O749,(O749*L749-O749)*(1-_xlfn.XLOOKUP(K749,'Fevereiro 2023 - Valor Real'!A3:A15,'Fevereiro 2023 - Valor Real'!C3:C15,0))+O749))))</f>
        <v>106.09707446808511</v>
      </c>
      <c r="Q749" s="166">
        <f>IF(K749="","",IF(_xlfn.XLOOKUP(K749,K$10:K740,$DJ$10:DJ740,0,,-1)=DJ749,_xlfn.XLOOKUP(K749,K$10:K740,Q$10:Q740,1,,-1)+1,1))</f>
        <v>3</v>
      </c>
      <c r="R749" s="167">
        <f>IF(K749="","",_xlfn.XLOOKUP(K749,K$10:K740,R$10:R740,0,,-1)+IF($C749=" ",1,0))</f>
        <v>0</v>
      </c>
      <c r="S749" s="403"/>
      <c r="T749" s="380"/>
      <c r="U749" s="380"/>
      <c r="V749" s="481"/>
      <c r="W749" s="380"/>
      <c r="X749" s="452"/>
      <c r="Y749" s="383"/>
      <c r="Z749" s="384"/>
      <c r="AA749" s="384"/>
      <c r="AB749" s="384"/>
      <c r="AC749" s="384"/>
      <c r="AD749" s="64"/>
      <c r="AE749" s="65">
        <f>IF(L749="","",IF(L750&gt;0,(SUM(((L748-1)*(1-_xlfn.XLOOKUP(K748,'Fevereiro 2023 - Valor Real'!A3:A15,'Fevereiro 2023 - Valor Real'!C3:C15,0))+1),((L749-1)*(1-_xlfn.XLOOKUP(K749,'Fevereiro 2023 - Valor Real'!A3:A15,'Fevereiro 2023 - Valor Real'!C3:C15,0))+1),((L750-1)*(1-_xlfn.XLOOKUP(K750,'Fevereiro 2023 - Valor Real'!A3:A15,'Fevereiro 2023 - Valor Real'!C3:C15,0))+1))/((L749-1)*(1-_xlfn.XLOOKUP(K749,'Fevereiro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Real'!C3:C15,0))+1))/((L748-1)*(1-_xlfn.XLOOKUP(K748,'Fevereiro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Real'!C3:C15,0))+1))/((L749-1)*(1-_xlfn.XLOOKUP(K749,'Fevereiro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Real'!C3:C15,0))+1))/((L750-1)*(1-_xlfn.XLOOKUP(K750,'Fevereiro 2023 - Valor Real'!A3:A15,'Fevereiro 2023 - Valor Real'!C3:C15,0))+1)),IF(I749="Lay",IF(I748="Lay",((L748/(L748-1)-1)*(1-_xlfn.XLOOKUP(K748,'Fevereiro 2023 - Valor Real'!A3:A15,'Fevereiro 2023 - Valor Real'!C3:C15,0))+1)/(((L748/(L748-1)-1)*(1-_xlfn.XLOOKUP(K748,'Fevereiro 2023 - Valor Real'!A3:A15,'Fevereiro 2023 - Valor Real'!C3:C15,0))+1)+((L749/(L749-1)-1)*(1-_xlfn.XLOOKUP(K749,'Fevereiro 2023 - Valor Real'!A3:A15,'Fevereiro 2023 - Valor Real'!C3:C15,0))+1)),((L748-1)*(1-_xlfn.XLOOKUP(K748,'Fevereiro 2023 - Valor Real'!A3:A15,'Fevereiro 2023 - Valor Real'!C3:C15,0))+1)/(((L748-1)*(1-_xlfn.XLOOKUP(K748,'Fevereiro 2023 - Valor Real'!A3:A15,'Fevereiro 2023 - Valor Real'!C3:C15,0))+1)+((L749/(L749-1)-1)*(1-_xlfn.XLOOKUP(K749,'Fevereiro 2023 - Valor Real'!A3:A15,'Fevereiro 2023 - Valor Real'!C3:C15,0))+1))),IF(I748="Lay",((L748/(L748-1)-1)*(1-_xlfn.XLOOKUP(K748,'Fevereiro 2023 - Valor Real'!A3:A15,'Fevereiro 2023 - Valor Real'!C3:C15,0))+1)/((((L748/(L748-1)-1)*(1-_xlfn.XLOOKUP(K748,'Fevereiro 2023 - Valor Real'!A3:A15,'Fevereiro 2023 - Valor Real'!C3:C15,0))+1))+((L749-1)*(1-_xlfn.XLOOKUP(K749,'Fevereiro 2023 - Valor Real'!A3:A15,'Fevereiro 2023 - Valor Real'!C3:C15,0))+1)),((L748-1)*(1-_xlfn.XLOOKUP(K748,'Fevereiro 2023 - Valor Real'!A3:A15,'Fevereiro 2023 - Valor Real'!C3:C15,0))+1)/(((L748-1)*(1-_xlfn.XLOOKUP(K748,'Fevereiro 2023 - Valor Real'!A3:A15,'Fevereiro 2023 - Valor Real'!C3:C15,0))+1)+((L749-1)*(1-_xlfn.XLOOKUP(K749,'Fevereiro 2023 - Valor Real'!A3:A15,'Fevereiro 2023 - Valor Real'!C3:C15,0))+1))))))</f>
        <v>0.52447375095105253</v>
      </c>
      <c r="AF749" s="66">
        <f t="shared" si="1495"/>
        <v>0</v>
      </c>
      <c r="AG749" s="67">
        <f t="shared" si="1495"/>
        <v>0</v>
      </c>
      <c r="AH749" s="67">
        <f t="shared" si="1495"/>
        <v>52.91</v>
      </c>
      <c r="AI749" s="67">
        <f t="shared" si="1495"/>
        <v>0</v>
      </c>
      <c r="AJ749" s="67">
        <f t="shared" si="1495"/>
        <v>0</v>
      </c>
      <c r="AK749" s="67">
        <f t="shared" si="1495"/>
        <v>0</v>
      </c>
      <c r="AL749" s="67">
        <f t="shared" si="1495"/>
        <v>0</v>
      </c>
      <c r="AM749" s="67">
        <f t="shared" si="1495"/>
        <v>0</v>
      </c>
      <c r="AN749" s="67">
        <f t="shared" si="1495"/>
        <v>0</v>
      </c>
      <c r="AO749" s="67">
        <f t="shared" si="1495"/>
        <v>0</v>
      </c>
      <c r="AP749" s="67">
        <f t="shared" si="1495"/>
        <v>0</v>
      </c>
      <c r="AQ749" s="67">
        <f t="shared" si="1495"/>
        <v>0</v>
      </c>
      <c r="AR749" s="68">
        <f t="shared" si="1495"/>
        <v>0</v>
      </c>
      <c r="AS749" s="66">
        <f>IF(AND($B748=" ",$K749=AS$3),$O749,0)</f>
        <v>0</v>
      </c>
      <c r="AT749" s="67">
        <f>IF(AND($B748=" ",K749=AT$3),$O749,0)</f>
        <v>0</v>
      </c>
      <c r="AU749" s="67">
        <f t="shared" ref="AU749:BE749" si="1504">IF(AND($B748=" ",$K749=AU$3),$O749,0)</f>
        <v>0</v>
      </c>
      <c r="AV749" s="67">
        <f t="shared" si="1504"/>
        <v>0</v>
      </c>
      <c r="AW749" s="67">
        <f t="shared" si="1504"/>
        <v>0</v>
      </c>
      <c r="AX749" s="67">
        <f t="shared" si="1504"/>
        <v>0</v>
      </c>
      <c r="AY749" s="69">
        <f t="shared" si="1504"/>
        <v>0</v>
      </c>
      <c r="AZ749" s="70">
        <f t="shared" si="1504"/>
        <v>0</v>
      </c>
      <c r="BA749" s="70">
        <f t="shared" si="1504"/>
        <v>0</v>
      </c>
      <c r="BB749" s="70">
        <f t="shared" si="1504"/>
        <v>0</v>
      </c>
      <c r="BC749" s="71">
        <f t="shared" si="1504"/>
        <v>0</v>
      </c>
      <c r="BD749" s="67">
        <f t="shared" si="1504"/>
        <v>0</v>
      </c>
      <c r="BE749" s="68">
        <f t="shared" si="1504"/>
        <v>0</v>
      </c>
      <c r="BF749" s="66">
        <f t="shared" si="1497"/>
        <v>0</v>
      </c>
      <c r="BG749" s="168">
        <f t="shared" si="1497"/>
        <v>0</v>
      </c>
      <c r="BH749" s="67">
        <f t="shared" si="1497"/>
        <v>53.19</v>
      </c>
      <c r="BI749" s="67">
        <f t="shared" si="1497"/>
        <v>0</v>
      </c>
      <c r="BJ749" s="67">
        <f t="shared" si="1497"/>
        <v>0</v>
      </c>
      <c r="BK749" s="67">
        <f t="shared" si="1497"/>
        <v>0</v>
      </c>
      <c r="BL749" s="67">
        <f t="shared" si="1497"/>
        <v>0</v>
      </c>
      <c r="BM749" s="69">
        <f t="shared" si="1497"/>
        <v>0</v>
      </c>
      <c r="BN749" s="70">
        <f t="shared" si="1497"/>
        <v>0</v>
      </c>
      <c r="BO749" s="70">
        <f t="shared" si="1497"/>
        <v>0</v>
      </c>
      <c r="BP749" s="70">
        <f t="shared" si="1497"/>
        <v>0</v>
      </c>
      <c r="BQ749" s="71">
        <f t="shared" si="1497"/>
        <v>0</v>
      </c>
      <c r="BR749" s="68">
        <f t="shared" si="1497"/>
        <v>0</v>
      </c>
      <c r="BS749" s="491"/>
      <c r="BT749" s="489"/>
      <c r="BU749" s="392"/>
      <c r="BV749" s="489"/>
      <c r="BW749" s="392"/>
      <c r="BX749" s="392"/>
      <c r="BY749" s="392"/>
      <c r="BZ749" s="489"/>
      <c r="CA749" s="392"/>
      <c r="CB749" s="392"/>
      <c r="CC749" s="392"/>
      <c r="CD749" s="401"/>
      <c r="CE749" s="409"/>
      <c r="CF749" s="169">
        <f t="shared" si="1412"/>
        <v>0</v>
      </c>
      <c r="CG749" s="170">
        <f t="shared" si="1413"/>
        <v>0</v>
      </c>
      <c r="CH749" s="170">
        <f t="shared" si="1414"/>
        <v>0</v>
      </c>
      <c r="CI749" s="170">
        <f t="shared" si="1415"/>
        <v>0</v>
      </c>
      <c r="CJ749" s="170">
        <f t="shared" si="1416"/>
        <v>1</v>
      </c>
      <c r="CK749" s="170">
        <f t="shared" si="1417"/>
        <v>0</v>
      </c>
      <c r="CL749" s="170">
        <f t="shared" si="1418"/>
        <v>0</v>
      </c>
      <c r="CM749" s="170">
        <f t="shared" si="1419"/>
        <v>0</v>
      </c>
      <c r="CN749" s="170">
        <f t="shared" si="1420"/>
        <v>0</v>
      </c>
      <c r="CO749" s="170">
        <f t="shared" si="1421"/>
        <v>0</v>
      </c>
      <c r="CP749" s="170">
        <f t="shared" si="1422"/>
        <v>0</v>
      </c>
      <c r="CQ749" s="170">
        <f t="shared" si="1423"/>
        <v>0</v>
      </c>
      <c r="CR749" s="170">
        <f t="shared" si="1424"/>
        <v>0</v>
      </c>
      <c r="CS749" s="170">
        <f t="shared" si="1425"/>
        <v>0</v>
      </c>
      <c r="CT749" s="75">
        <f t="shared" si="1426"/>
        <v>0</v>
      </c>
      <c r="CU749" s="76">
        <f t="shared" si="1427"/>
        <v>0</v>
      </c>
      <c r="CV749" s="76">
        <f t="shared" si="1428"/>
        <v>0</v>
      </c>
      <c r="CW749" s="76">
        <f t="shared" si="1429"/>
        <v>0</v>
      </c>
      <c r="CX749" s="76">
        <f t="shared" si="1430"/>
        <v>0</v>
      </c>
      <c r="CY749" s="76">
        <f t="shared" si="1431"/>
        <v>0</v>
      </c>
      <c r="CZ749" s="76">
        <f t="shared" si="1432"/>
        <v>0</v>
      </c>
      <c r="DA749" s="76">
        <f t="shared" si="1433"/>
        <v>0</v>
      </c>
      <c r="DB749" s="76">
        <f t="shared" si="1434"/>
        <v>0</v>
      </c>
      <c r="DC749" s="76">
        <f t="shared" si="1435"/>
        <v>0</v>
      </c>
      <c r="DD749" s="76">
        <f t="shared" si="1436"/>
        <v>0</v>
      </c>
      <c r="DE749" s="77">
        <f t="shared" si="1437"/>
        <v>0</v>
      </c>
      <c r="DF749" s="73">
        <f t="shared" si="1440"/>
        <v>43</v>
      </c>
      <c r="DG749" s="67">
        <f t="shared" si="1441"/>
        <v>57.167999999999992</v>
      </c>
      <c r="DH749" s="76">
        <f t="shared" si="1442"/>
        <v>16</v>
      </c>
      <c r="DI749" s="67">
        <f t="shared" si="1443"/>
        <v>68.699999999999989</v>
      </c>
      <c r="DJ749" s="202" t="str">
        <f>IF($D748="","",$D748)</f>
        <v>23</v>
      </c>
      <c r="DK749" s="493"/>
    </row>
    <row r="750" spans="1:115" ht="14.5" customHeight="1" x14ac:dyDescent="0.2">
      <c r="A750" s="390"/>
      <c r="B750" s="457"/>
      <c r="C750" s="79" t="s">
        <v>53</v>
      </c>
      <c r="D750" s="375"/>
      <c r="E750" s="387"/>
      <c r="F750" s="378"/>
      <c r="G750" s="508"/>
      <c r="H750" s="477"/>
      <c r="I750" s="171"/>
      <c r="J750" s="172"/>
      <c r="K750" s="81"/>
      <c r="L750" s="173"/>
      <c r="M750" s="174"/>
      <c r="N750" s="407"/>
      <c r="O750" s="86" t="str">
        <f>IF(OR(AE748="",AE749=""),"",IF(L750&gt;0,ROUND(IF(M750&gt;0,M750,IF(M748&gt;0,ROUND((M748*AE750)/AE748,IF(N748=0,2,IF(N748=0.1,1,0))),IF(M749&gt;0,ROUND((M749*AE750)/AE749,IF(N748=0,2,IF(N748=0.1,1,0))),IF(M750&gt;0,M750,0)))),2),""))</f>
        <v/>
      </c>
      <c r="P750" s="188">
        <f>IF(I749="Lay",O749*(L749/(L749-1))-O749,IF(I748="Lay",O748*(L748/(L748-1))-O748,IF(OR(L750="",O750=""),"",IF($C750="1/2W",O750/2+O750/2*L750,IF($C750="1/2L",O750/2,(O750*L750-O750)*(1-_xlfn.XLOOKUP(K750,'Fevereiro 2023 - Valor Real'!A3:A15,'Fevereiro 2023 - Valor Real'!C3:C15,0))+O750)))))</f>
        <v>56.585106382978722</v>
      </c>
      <c r="Q750" s="54" t="str">
        <f>IF(K750="","",IF(_xlfn.XLOOKUP(K750,K$11:K740,$DJ$11:DJ740,0,,-1)=DJ750,_xlfn.XLOOKUP(K750,K$11:K740,Q$11:Q740,1,,-1)+1,1))</f>
        <v/>
      </c>
      <c r="R750" s="87" t="str">
        <f>IF(K750="","",_xlfn.XLOOKUP(K750,K$11:K740,R$11:R740,0,,-1)+IF($C750=" ",1,0))</f>
        <v/>
      </c>
      <c r="S750" s="404"/>
      <c r="T750" s="378"/>
      <c r="U750" s="378"/>
      <c r="V750" s="404"/>
      <c r="W750" s="378"/>
      <c r="X750" s="453"/>
      <c r="Y750" s="383"/>
      <c r="Z750" s="384"/>
      <c r="AA750" s="384"/>
      <c r="AB750" s="384"/>
      <c r="AC750" s="384"/>
      <c r="AD750" s="90"/>
      <c r="AE750" s="91" t="str">
        <f>IF(L750="","",(SUM(((L748-1)*(1-_xlfn.XLOOKUP(K748,'Fevereiro 2023 - Valor Real'!A3:A15,'Fevereiro 2023 - Valor Real'!C3:C15,0))+1),((L749-1)*(1-_xlfn.XLOOKUP(K749,'Fevereiro 2023 - Valor Real'!A3:A15,'Fevereiro 2023 - Valor Real'!C3:C15,0))+1),((L750-1)*(1-_xlfn.XLOOKUP(K750,'Fevereiro 2023 - Valor Real'!A3:A15,'Fevereiro 2023 - Valor Real'!C3:C15,0))+1))/((L750-1)*(1-_xlfn.XLOOKUP(K750,'Fevereiro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Real'!C3:C15,0))+1))/((L748-1)*(1-_xlfn.XLOOKUP(K748,'Fevereiro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Real'!C3:C15,0))+1))/((L749-1)*(1-_xlfn.XLOOKUP(K749,'Fevereiro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Real'!C3:C15,0))+1))/((L750-1)*(1-_xlfn.XLOOKUP(K750,'Fevereiro 2023 - Valor Real'!A3:A15,'Fevereiro 2023 - Valor Real'!C3:C15,0))+1)))</f>
        <v/>
      </c>
      <c r="AF750" s="66">
        <f t="shared" si="1495"/>
        <v>0</v>
      </c>
      <c r="AG750" s="67">
        <f t="shared" si="1495"/>
        <v>0</v>
      </c>
      <c r="AH750" s="67">
        <f t="shared" si="1495"/>
        <v>0</v>
      </c>
      <c r="AI750" s="67">
        <f t="shared" si="1495"/>
        <v>0</v>
      </c>
      <c r="AJ750" s="67">
        <f t="shared" si="1495"/>
        <v>0</v>
      </c>
      <c r="AK750" s="67">
        <f t="shared" si="1495"/>
        <v>0</v>
      </c>
      <c r="AL750" s="67">
        <f t="shared" si="1495"/>
        <v>0</v>
      </c>
      <c r="AM750" s="67">
        <f t="shared" si="1495"/>
        <v>0</v>
      </c>
      <c r="AN750" s="67">
        <f t="shared" si="1495"/>
        <v>0</v>
      </c>
      <c r="AO750" s="67">
        <f t="shared" si="1495"/>
        <v>0</v>
      </c>
      <c r="AP750" s="67">
        <f t="shared" si="1495"/>
        <v>0</v>
      </c>
      <c r="AQ750" s="67">
        <f t="shared" si="1495"/>
        <v>0</v>
      </c>
      <c r="AR750" s="68">
        <f t="shared" si="1495"/>
        <v>0</v>
      </c>
      <c r="AS750" s="66">
        <f>IF(AND($B748=" ",$K750=AS$3),$O750,0)</f>
        <v>0</v>
      </c>
      <c r="AT750" s="67">
        <f>IF(AND($B748=" ",K750=AT$3),$O750,0)</f>
        <v>0</v>
      </c>
      <c r="AU750" s="67">
        <f t="shared" ref="AU750:BE750" si="1505">IF(AND($B748=" ",$K750=AU$3),$O750,0)</f>
        <v>0</v>
      </c>
      <c r="AV750" s="67">
        <f t="shared" si="1505"/>
        <v>0</v>
      </c>
      <c r="AW750" s="67">
        <f t="shared" si="1505"/>
        <v>0</v>
      </c>
      <c r="AX750" s="67">
        <f t="shared" si="1505"/>
        <v>0</v>
      </c>
      <c r="AY750" s="69">
        <f t="shared" si="1505"/>
        <v>0</v>
      </c>
      <c r="AZ750" s="70">
        <f t="shared" si="1505"/>
        <v>0</v>
      </c>
      <c r="BA750" s="70">
        <f t="shared" si="1505"/>
        <v>0</v>
      </c>
      <c r="BB750" s="70">
        <f t="shared" si="1505"/>
        <v>0</v>
      </c>
      <c r="BC750" s="71">
        <f t="shared" si="1505"/>
        <v>0</v>
      </c>
      <c r="BD750" s="67">
        <f t="shared" si="1505"/>
        <v>0</v>
      </c>
      <c r="BE750" s="68">
        <f t="shared" si="1505"/>
        <v>0</v>
      </c>
      <c r="BF750" s="66">
        <f t="shared" si="1497"/>
        <v>0</v>
      </c>
      <c r="BG750" s="168">
        <f t="shared" si="1497"/>
        <v>0</v>
      </c>
      <c r="BH750" s="67">
        <f t="shared" si="1497"/>
        <v>0</v>
      </c>
      <c r="BI750" s="67">
        <f t="shared" si="1497"/>
        <v>0</v>
      </c>
      <c r="BJ750" s="67">
        <f t="shared" si="1497"/>
        <v>0</v>
      </c>
      <c r="BK750" s="67">
        <f t="shared" si="1497"/>
        <v>0</v>
      </c>
      <c r="BL750" s="67">
        <f t="shared" si="1497"/>
        <v>0</v>
      </c>
      <c r="BM750" s="69">
        <f t="shared" si="1497"/>
        <v>0</v>
      </c>
      <c r="BN750" s="70">
        <f t="shared" si="1497"/>
        <v>0</v>
      </c>
      <c r="BO750" s="70">
        <f t="shared" si="1497"/>
        <v>0</v>
      </c>
      <c r="BP750" s="70">
        <f t="shared" si="1497"/>
        <v>0</v>
      </c>
      <c r="BQ750" s="71">
        <f t="shared" si="1497"/>
        <v>0</v>
      </c>
      <c r="BR750" s="68">
        <f t="shared" si="1497"/>
        <v>0</v>
      </c>
      <c r="BS750" s="491"/>
      <c r="BT750" s="489"/>
      <c r="BU750" s="392"/>
      <c r="BV750" s="489"/>
      <c r="BW750" s="392"/>
      <c r="BX750" s="392"/>
      <c r="BY750" s="392"/>
      <c r="BZ750" s="489"/>
      <c r="CA750" s="392"/>
      <c r="CB750" s="392"/>
      <c r="CC750" s="392"/>
      <c r="CD750" s="401"/>
      <c r="CE750" s="409"/>
      <c r="CF750" s="169">
        <f t="shared" si="1412"/>
        <v>0</v>
      </c>
      <c r="CG750" s="170">
        <f t="shared" si="1413"/>
        <v>0</v>
      </c>
      <c r="CH750" s="170">
        <f t="shared" si="1414"/>
        <v>0</v>
      </c>
      <c r="CI750" s="170">
        <f t="shared" si="1415"/>
        <v>0</v>
      </c>
      <c r="CJ750" s="170">
        <f t="shared" si="1416"/>
        <v>0</v>
      </c>
      <c r="CK750" s="170">
        <f t="shared" si="1417"/>
        <v>0</v>
      </c>
      <c r="CL750" s="170">
        <f t="shared" si="1418"/>
        <v>0</v>
      </c>
      <c r="CM750" s="170">
        <f t="shared" si="1419"/>
        <v>0</v>
      </c>
      <c r="CN750" s="170">
        <f t="shared" si="1420"/>
        <v>0</v>
      </c>
      <c r="CO750" s="170">
        <f t="shared" si="1421"/>
        <v>0</v>
      </c>
      <c r="CP750" s="170">
        <f t="shared" si="1422"/>
        <v>0</v>
      </c>
      <c r="CQ750" s="170">
        <f t="shared" si="1423"/>
        <v>0</v>
      </c>
      <c r="CR750" s="170">
        <f t="shared" si="1424"/>
        <v>0</v>
      </c>
      <c r="CS750" s="170">
        <f t="shared" si="1425"/>
        <v>0</v>
      </c>
      <c r="CT750" s="75">
        <f t="shared" si="1426"/>
        <v>0</v>
      </c>
      <c r="CU750" s="76">
        <f t="shared" si="1427"/>
        <v>0</v>
      </c>
      <c r="CV750" s="76">
        <f t="shared" si="1428"/>
        <v>0</v>
      </c>
      <c r="CW750" s="76">
        <f t="shared" si="1429"/>
        <v>0</v>
      </c>
      <c r="CX750" s="76">
        <f t="shared" si="1430"/>
        <v>0</v>
      </c>
      <c r="CY750" s="76">
        <f t="shared" si="1431"/>
        <v>0</v>
      </c>
      <c r="CZ750" s="76">
        <f t="shared" si="1432"/>
        <v>0</v>
      </c>
      <c r="DA750" s="76">
        <f t="shared" si="1433"/>
        <v>0</v>
      </c>
      <c r="DB750" s="76">
        <f t="shared" si="1434"/>
        <v>0</v>
      </c>
      <c r="DC750" s="76">
        <f t="shared" si="1435"/>
        <v>0</v>
      </c>
      <c r="DD750" s="76">
        <f t="shared" si="1436"/>
        <v>0</v>
      </c>
      <c r="DE750" s="77">
        <f t="shared" si="1437"/>
        <v>0</v>
      </c>
      <c r="DF750" s="73">
        <f t="shared" si="1440"/>
        <v>43</v>
      </c>
      <c r="DG750" s="67">
        <f t="shared" si="1441"/>
        <v>57.167999999999992</v>
      </c>
      <c r="DH750" s="76">
        <f t="shared" si="1442"/>
        <v>16</v>
      </c>
      <c r="DI750" s="67">
        <f t="shared" si="1443"/>
        <v>68.699999999999989</v>
      </c>
      <c r="DJ750" s="202" t="str">
        <f>IF($D748="","",$D748)</f>
        <v>23</v>
      </c>
      <c r="DK750" s="493"/>
    </row>
    <row r="751" spans="1:115" ht="14.5" customHeight="1" x14ac:dyDescent="0.2">
      <c r="A751" s="459">
        <f>$A748+1</f>
        <v>250</v>
      </c>
      <c r="B751" s="507" t="str">
        <f>IF(OR(C751="W",C752="W",C753="W",C751="1/2W",C752="1/2W",C753="1/2W",C751="1/2L",C752="1/2L",C753="1/2L"),"OK",IF(OR(C751="L",C752="L",C753="L"),"LOSS",IF(OR(C751="X",C752="X",C753="X"),"Anulado"," ")))</f>
        <v>OK</v>
      </c>
      <c r="C751" s="93" t="s">
        <v>55</v>
      </c>
      <c r="D751" s="468" t="str">
        <f>IF(G751="","",$D748)</f>
        <v>23</v>
      </c>
      <c r="E751" s="485" t="str">
        <f>IF(G751=""," ","– "&amp;COUNTIF(D$4:D753,$D751))</f>
        <v>– 16</v>
      </c>
      <c r="F751" s="509" t="str">
        <f ca="1">IF(G751="","",IF(OR(AND($C751&lt;&gt;" ",$C752=" "),AND($C752&lt;&gt;" ",$C751=" "),AND(L753&gt;0,OR(AND($C753&lt;&gt;" ",OR($C751=" ",$C752=" ")),AND($C753=" ",OR($C751&lt;&gt;" ",$C752&lt;&gt;" "))))),IF(SUM(F$4:F750)=0,1,LARGE(F$4:F750,1)+1),IF(MONTH(G751)=MONTH(TODAY()),IF(AND(DAY(G751)&lt;DAY(TODAY()),$B751=" "),IF(SUM(F$4:F750)=0,1,LARGE(F$4:F750,1)+1),IF($B751=" ",IF(AND(DAY(G751)=DAY(TODAY()),HOUR(G751)&lt;=HOUR(NOW())+1),IF(AND(HOUR(G751)+2&lt;=HOUR(NOW()),DAY(G751)&lt;=DAY(TODAY()),MINUTE(G751)&lt;=MINUTE(NOW())),IF(SUM(F$4:F750)=0,1,LARGE(F$4:F750,1)+1),IF(OR(MINUTE(G751)&lt;=MINUTE(NOW()),HOUR(G751)&lt;=HOUR(NOW())),"!!!","")),""),"")),"")))</f>
        <v/>
      </c>
      <c r="G751" s="482">
        <v>45010.479166666664</v>
      </c>
      <c r="H751" s="475" t="s">
        <v>263</v>
      </c>
      <c r="I751" s="94" t="s">
        <v>76</v>
      </c>
      <c r="J751" s="95">
        <v>2</v>
      </c>
      <c r="K751" s="96" t="s">
        <v>47</v>
      </c>
      <c r="L751" s="97">
        <v>3.55</v>
      </c>
      <c r="M751" s="98">
        <v>5.13</v>
      </c>
      <c r="N751" s="478">
        <v>0</v>
      </c>
      <c r="O751" s="99">
        <f>IF(OR(AE751="",AE752=""),"",ROUND(IF(L753&gt;0,IF(M751&gt;0,M751,IF(M752&gt;0,ROUND((M752*AE751)/AE752,IF(N751=0,2,IF(N751=0.1,1,0))),ROUND((M753*AE751)/AE753,IF(N751=0,2,IF(N751=0.1,1,0))))),IF(M751&gt;0,M751,ROUND((M752*AE751)/AE752,IF(N751=0,2,IF(N751=0.1,1,0))))),2))</f>
        <v>5.13</v>
      </c>
      <c r="P751" s="100">
        <f>IF(OR(L751="",O751=""),"",IF($C751="1/2W",O751/2+O751/2*L751,IF($C751="1/2L",O751/2,IF(I751="Lay",(O751*(L751/(L751-1))-O751)*(1-_xlfn.XLOOKUP(K751,'Fevereiro 2023 - Valor Real'!A3:A15,'Fevereiro 2023 - Valor Real'!C3:C15,0))+O751,(O751*L751-O751)*(1-_xlfn.XLOOKUP(K751,'Fevereiro 2023 - Valor Real'!A3:A15,'Fevereiro 2023 - Valor Real'!C3:C15,0))+O751))))</f>
        <v>18.211499999999997</v>
      </c>
      <c r="Q751" s="101">
        <f>IF(K751="","",IF(_xlfn.XLOOKUP(K751,K$4:K750,$DJ$4:DJ750,0,,-1)=DJ751,_xlfn.XLOOKUP(K751,K$4:K750,Q$4:Q750,1,,-1)+1,1))</f>
        <v>5</v>
      </c>
      <c r="R751" s="102">
        <f>IF(K751="","",_xlfn.XLOOKUP(K751,K$4:K750,R$4:R750,0,,-1)+IF($C751=" ",1,0))</f>
        <v>0</v>
      </c>
      <c r="S751" s="474">
        <f>IF($B751="Anulado",0,ROUND(IF(OR($B751="LOSS",$B751="OK"),IF(OR($C751="W",$C751="1/2W",$C751="1/2L"),P751-O751,IF($C751="L",-O751,0))+IF(OR($C752="W",$C752="1/2W",$C752="1/2L"),P752-O752,IF($C752="L",-O752,0))+IF(OR($C753="W",$C753="1/2W",$C753="1/2L"),P753-O753,IF($C753="L",-O753,0)),IF(AND(OR($C751="W",$C751="1/2W",$C751="1/2L"),C752="W"),P751+P752-SUM(O751:O753)+_xlfn.XLOOKUP("X",C751:C753,O751:O753,0),IF(AND(C751=TRUE,C753="W"),P751+P753-SUM(O751:O753),IF(AND(C752="W",C753="W"),P752+P753-SUM(O751:O753)+_xlfn.XLOOKUP("X",C751:C753,O751:O753,0),IF(L753&gt;0,IF(OR($C751="W",$C751="1/2W",$C751="1/2L"),P751-SUM(O751:O753)+_xlfn.XLOOKUP("X",C751:C753,O751:O753,0),IF(OR($C751="W",$C751="1/2W",$C751="1/2L"),P752-SUM(O751:O753)+_xlfn.XLOOKUP("X",C751:C753,O751:O753,0),IF(OR($C751="W",$C751="1/2W",$C751="1/2L"),P753-SUM(O751:O753)+_xlfn.XLOOKUP("X",C751:C753,O751:O753,0),IF(SUM(P751:P753)/3-SUM(O751:O753)+_xlfn.XLOOKUP("X",C751:C753,O751:O753,0)&gt;0,SUM(P751:P753)/3-SUM(O751:O753)+_xlfn.XLOOKUP("X",C751:C753,O751:O753,0),LARGE(P751:P753,1)-SUM(O751:O753))))),IF(OR($C751="W",$C751="1/2W",$C751="1/2L"),P751-SUM(O751:O752)+_xlfn.XLOOKUP("X",C751:C753,O751:O753,0),IF(OR($C751="W",$C751="1/2W",$C751="1/2L"),P752-SUM(O751:O752)+_xlfn.XLOOKUP("X",C751:C753,O751:O753,0),SUM(P751:P752)/2-SUM(O751:O752)+_xlfn.XLOOKUP("X",C751:C753,O751:O753,0)))))))),2))</f>
        <v>0.95</v>
      </c>
      <c r="T751" s="458">
        <f>IF(S751=0,0,S751/SUM(O751:O753))</f>
        <v>5.4976851851851846E-2</v>
      </c>
      <c r="U751" s="470">
        <f>IF($D751=$D748,IF(OR($B751="LOSS",$B751="OK",$B751="Anulada"),S751,0)+U748,IF(OR($B751="LOSS",$B751="OK",$B751="Anulada"),S751,0))</f>
        <v>36.230000000000004</v>
      </c>
      <c r="V751" s="470">
        <f>IF($D751="",0,IF($D751=$D748,IF($B751=" ",IF(I753="",IF(OR(AND(I751="DNB1",I752="DNB2"),AND(OR(I751="DNB1",I751="DNB2"),J752=0),AND(OR(I752="DNB1",I752="DNB2"),J751=0),AND(I751="DNB2",I752="DNB1"),AND(IF(J751=0,(J751+1)/ROUND(J751+1,0),J751/ROUND(J751,0))=1,IF(J752=0,(J752+1)/ROUND(IF(J752="",0,J752)+1,0),IF(J752="",0,J752)/ROUND(IF(J752="",1,J752),0))=1,OR(J751&lt;&gt;""),J752&lt;&gt;"")),0,IF(S751&lt;0,IF(I753="",SMALL(P751:P752,1)-SUM(O751:O752),0),SMALL(P751:P752,1)-SUM(O751:O752))),IF(S751&lt;0,IF(I753="",SMALL(P751:P753,1)-SUM(O751:O753),0),LARGE(P751:P753,1)-SUM(O751:O753))),S751)+V748,IF(I753="",IF(OR(AND(I751="DNB1",I752="DNB2"),AND(OR(I751="DNB1",I751="DNB2"),J752=0),AND(OR(I752="DNB1",I752="DNB2"),J751=0),AND(I751="DNB2",I752="DNB1"),AND(IF(J751=0,(J751+1)/ROUND(J751+1,0),J751/ROUND(J751,0))=1,IF(J752=0,(IF(J752="",0,J752)+1)/ROUND(IF(J752="",0,J752)+1,0),IF(J752="",0,J752)/ROUND(IF(J752="",0,J752)+1,0))=1,OR(J751&lt;&gt;""),J752&lt;&gt;"")),0,IF(S751&lt;0,IF(I753="",SMALL(P751:P752,1)-SUM(O751:O752),0),SMALL(P751:P753,1)-SUM(O751:O753))),IF(S751&lt;0,IF(I753="",SMALL(P751:P753,1)-SUM(O751:O753),0),LARGE(P751:P753,1)-SUM(O751:O753)))))</f>
        <v>36.230000000000004</v>
      </c>
      <c r="W751" s="470">
        <f>IF($D751=$D748,IF(S751&lt;0,IF(I753="",S751,0),S751)+W748,S751)</f>
        <v>36.230000000000004</v>
      </c>
      <c r="X751" s="480" t="str">
        <f>IF(OR(SUM(R751:R753)=0,V751=W751),ROUND(IF(W751=0,0,W751/Y751)*100,2)&amp;"%",ROUND(IF(V751=0,0,V751/Y751)*100,2)&amp;"% a "&amp;ROUND(IF(W751=0,0,W751/Y751)*100,2)&amp;"%")</f>
        <v>6,94%</v>
      </c>
      <c r="Y751" s="471">
        <f>IF($D751=$D748,Y748+SUM(O751:O753),SUM(O751:O753))</f>
        <v>521.92999999999995</v>
      </c>
      <c r="Z751" s="470">
        <f>IF($B751=" ",SUM(O751:O753),0)+Z748</f>
        <v>0</v>
      </c>
      <c r="AA751" s="470">
        <f>IF(G751="","",IF($B751="Anulado",LARGE(P751:P753,1)-SUM(O751:O753)+AA748,AA748))</f>
        <v>13.381099999999991</v>
      </c>
      <c r="AB751" s="470">
        <f>IF($D751="","",AB748+S751)</f>
        <v>842.59000000000071</v>
      </c>
      <c r="AC751" s="472">
        <f ca="1">IF($D751="","",IF($B751=" ",IF(DAY(G751)=DAY(TODAY()),1+AC748,0+AC748),0+AC748))</f>
        <v>0</v>
      </c>
      <c r="AD751" s="103">
        <f>(((L752/(L752-1)-1)*(1-_xlfn.XLOOKUP(K752,'Fevereiro 2023 - Valor Real'!A3:A15,'Fevereiro 2023 - Valor Real'!C3:C15,0))+1))/(((L751-1)*(1-_xlfn.XLOOKUP(K751,'Fevereiro 2023 - Valor Real'!A3:A15,'Fevereiro 2023 - Valor Real'!C3:C15,0))+1)+((L752/(L752-1)-1)*(1-_xlfn.XLOOKUP(K752,'Fevereiro 2023 - Valor Real'!A3:A15,'Fevereiro 2023 - Valor Real'!C3:C15,0))+1))</f>
        <v>0.4580152671755725</v>
      </c>
      <c r="AE751" s="104">
        <f>IF(L751="","",IF(L753&gt;0,(SUM(((L751-1)*(1-_xlfn.XLOOKUP(K751,'Fevereiro 2023 - Valor Real'!A3:A15,'Fevereiro 2023 - Valor Real'!C3:C15,0))+1),((L752-1)*(1-_xlfn.XLOOKUP(K752,'Fevereiro 2023 - Valor Real'!A3:A15,'Fevereiro 2023 - Valor Real'!C3:C15,0))+1),((L753-1)*(1-_xlfn.XLOOKUP(K753,'Fevereiro 2023 - Valor Real'!A3:A15,'Fevereiro 2023 - Valor Real'!C3:C15,0))+1))/((L751-1)*(1-_xlfn.XLOOKUP(K751,'Fevereiro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Real'!C3:C15,0))+1))/((L751-1)*(1-_xlfn.XLOOKUP(K751,'Fevereiro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Real'!C3:C15,0))+1))/((L752-1)*(1-_xlfn.XLOOKUP(K752,'Fevereiro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Real'!C3:C15,0))+1))/((L753-1)*(1-_xlfn.XLOOKUP(K753,'Fevereiro 2023 - Valor Real'!A3:A15,'Fevereiro 2023 - Valor Real'!C3:C15,0))+1)),IF(I751="Lay",IF(I752="Lay",((L752/(L752-1)-1)*(1-_xlfn.XLOOKUP(K752,'Fevereiro 2023 - Valor Real'!A3:A15,'Fevereiro 2023 - Valor Real'!C3:C15,0))+1)/(((L752/(L752-1)-1)*(1-_xlfn.XLOOKUP(K752,'Fevereiro 2023 - Valor Real'!A3:A15,'Fevereiro 2023 - Valor Real'!C3:C15,0))+1)+((L751/(L751-1)-1)*(1-_xlfn.XLOOKUP(K751,'Fevereiro 2023 - Valor Real'!A3:A15,'Fevereiro 2023 - Valor Real'!C3:C15,0))+1)),((L752-1)*(1-_xlfn.XLOOKUP(K752,'Fevereiro 2023 - Valor Real'!A3:A15,'Fevereiro 2023 - Valor Real'!C3:C15,0))+1)/(((L752-1)*(1-_xlfn.XLOOKUP(K752,'Fevereiro 2023 - Valor Real'!A3:A15,'Fevereiro 2023 - Valor Real'!C3:C15,0))+1)+((L751/(L751-1)-1)*(1-_xlfn.XLOOKUP(K751,'Fevereiro 2023 - Valor Real'!A3:A15,'Fevereiro 2023 - Valor Real'!C3:C15,0))+1))),IF(I752="Lay",(((L752/(L752-1)-1)*(1-_xlfn.XLOOKUP(K752,'Fevereiro 2023 - Valor Real'!A3:A15,'Fevereiro 2023 - Valor Real'!C3:C15,0))+1))/(((L751-1)*(1-_xlfn.XLOOKUP(K751,'Fevereiro 2023 - Valor Real'!A3:A15,'Fevereiro 2023 - Valor Real'!C3:C15,0))+1)+((L752/(L752-1)-1)*(1-_xlfn.XLOOKUP(K752,'Fevereiro 2023 - Valor Real'!A3:A15,'Fevereiro 2023 - Valor Real'!C3:C15,0))+1)),((L752-1)*(1-_xlfn.XLOOKUP(K752,'Fevereiro 2023 - Valor Real'!A3:A15,'Fevereiro 2023 - Valor Real'!C3:C15,0))+1)/(((L752-1)*(1-_xlfn.XLOOKUP(K752,'Fevereiro 2023 - Valor Real'!A3:A15,'Fevereiro 2023 - Valor Real'!C3:C15,0))+1)+((L751-1)*(1-_xlfn.XLOOKUP(K751,'Fevereiro 2023 - Valor Real'!A3:A15,'Fevereiro 2023 - Valor Real'!C3:C15,0))+1))))))</f>
        <v>0.29702970297029702</v>
      </c>
      <c r="AF751" s="105">
        <f t="shared" si="1495"/>
        <v>0</v>
      </c>
      <c r="AG751" s="106">
        <f t="shared" si="1495"/>
        <v>0</v>
      </c>
      <c r="AH751" s="106">
        <f t="shared" si="1495"/>
        <v>0</v>
      </c>
      <c r="AI751" s="106">
        <f t="shared" si="1495"/>
        <v>0</v>
      </c>
      <c r="AJ751" s="106">
        <f t="shared" si="1495"/>
        <v>0</v>
      </c>
      <c r="AK751" s="106">
        <f t="shared" si="1495"/>
        <v>0</v>
      </c>
      <c r="AL751" s="106">
        <f t="shared" si="1495"/>
        <v>0</v>
      </c>
      <c r="AM751" s="106">
        <f t="shared" si="1495"/>
        <v>0</v>
      </c>
      <c r="AN751" s="106">
        <f t="shared" si="1495"/>
        <v>0</v>
      </c>
      <c r="AO751" s="106">
        <f t="shared" si="1495"/>
        <v>0</v>
      </c>
      <c r="AP751" s="106">
        <f t="shared" si="1495"/>
        <v>0</v>
      </c>
      <c r="AQ751" s="106">
        <f t="shared" si="1495"/>
        <v>-5.13</v>
      </c>
      <c r="AR751" s="107">
        <f t="shared" si="1495"/>
        <v>0</v>
      </c>
      <c r="AS751" s="105">
        <f t="shared" ref="AS751:BE751" si="1506">IF(AND($B751=" ",$K751=AS$3),$O751,0)</f>
        <v>0</v>
      </c>
      <c r="AT751" s="106">
        <f t="shared" si="1506"/>
        <v>0</v>
      </c>
      <c r="AU751" s="106">
        <f t="shared" si="1506"/>
        <v>0</v>
      </c>
      <c r="AV751" s="106">
        <f t="shared" si="1506"/>
        <v>0</v>
      </c>
      <c r="AW751" s="106">
        <f t="shared" si="1506"/>
        <v>0</v>
      </c>
      <c r="AX751" s="106">
        <f t="shared" si="1506"/>
        <v>0</v>
      </c>
      <c r="AY751" s="108">
        <f t="shared" si="1506"/>
        <v>0</v>
      </c>
      <c r="AZ751" s="109">
        <f t="shared" si="1506"/>
        <v>0</v>
      </c>
      <c r="BA751" s="109">
        <f t="shared" si="1506"/>
        <v>0</v>
      </c>
      <c r="BB751" s="109">
        <f t="shared" si="1506"/>
        <v>0</v>
      </c>
      <c r="BC751" s="110">
        <f t="shared" si="1506"/>
        <v>0</v>
      </c>
      <c r="BD751" s="106">
        <f t="shared" si="1506"/>
        <v>0</v>
      </c>
      <c r="BE751" s="107">
        <f t="shared" si="1506"/>
        <v>0</v>
      </c>
      <c r="BF751" s="111">
        <f t="shared" si="1497"/>
        <v>0</v>
      </c>
      <c r="BG751" s="106">
        <f t="shared" si="1497"/>
        <v>0</v>
      </c>
      <c r="BH751" s="106">
        <f t="shared" si="1497"/>
        <v>0</v>
      </c>
      <c r="BI751" s="106">
        <f t="shared" si="1497"/>
        <v>0</v>
      </c>
      <c r="BJ751" s="106">
        <f t="shared" si="1497"/>
        <v>0</v>
      </c>
      <c r="BK751" s="106">
        <f t="shared" si="1497"/>
        <v>0</v>
      </c>
      <c r="BL751" s="106">
        <f t="shared" si="1497"/>
        <v>0</v>
      </c>
      <c r="BM751" s="108">
        <f t="shared" si="1497"/>
        <v>0</v>
      </c>
      <c r="BN751" s="109">
        <f t="shared" si="1497"/>
        <v>0</v>
      </c>
      <c r="BO751" s="109">
        <f t="shared" si="1497"/>
        <v>0</v>
      </c>
      <c r="BP751" s="109">
        <f t="shared" si="1497"/>
        <v>0</v>
      </c>
      <c r="BQ751" s="110">
        <f t="shared" si="1497"/>
        <v>5.13</v>
      </c>
      <c r="BR751" s="107">
        <f t="shared" si="1497"/>
        <v>0</v>
      </c>
      <c r="BS751" s="463">
        <f>IF($B751="LOSS",IF(AND($K751=BS$3,$C751="L"),-$O751,0)+IF(AND($K752=BS$3,$C752="L"),-$O752,0)+IF(AND($K753=BS$3,$C753="L"),-$O753,0),IF(OR(AND($K751=BS$3,OR($C751="W",$C751="1/2W")),AND($K752=BS$3,OR($C752="W",$C752="1/2W")),AND($K753=BS$3,OR($C753="W",$C753="1/2W"))),$S751,0))</f>
        <v>0</v>
      </c>
      <c r="BT751" s="462">
        <f>IF($B751="LOSS",IF(AND($K751=BT$3,$C751="L"),-$O751,0)+IF(AND($K752=BT$3,$C752="L"),-$O752,0)+IF(AND($K752=BT$3,$C753="L"),-$O753,0),IF(OR(AND($K752=BT$3,OR($C751="W",$C751="1/2W")),AND($K752=BT$3,OR($C752="W",$C752="1/2W")),AND($K752=BT$3,OR($C753="W",$C753="1/2W"))),$S751,0))</f>
        <v>0</v>
      </c>
      <c r="BU751" s="462">
        <f>IF($B751="LOSS",IF(AND($K751=BU$3,$C751="L"),-$O751,0)+IF(AND($K752=BU$3,$C752="L"),-$O752,0)+IF(AND($K752=BU$3,$C753="L"),-$O753,0),IF(OR(AND($K752=BU$3,OR($C751="W",$C751="1/2W")),AND($K752=BU$3,OR($C752="W",$C752="1/2W")),AND($K752=BU$3,OR($C753="W",$C753="1/2W"))),$S751,0))</f>
        <v>0</v>
      </c>
      <c r="BV751" s="462">
        <f t="shared" ref="BV751:CE751" si="1507">IF($B751="LOSS",IF(AND($K751=BV$3,$C751="L"),-$O751,0)+IF(AND($K752=BV$3,$C752="L"),-$O752,0)+IF(AND($K753=BV$3,$C753="L"),-$O753,0),IF(OR(AND($K751=BV$3,OR($C751="W",$C751="1/2W")),AND($K752=BV$3,OR($C752="W",$C752="1/2W")),AND($K753=BV$3,OR($C753="W",$C753="1/2W"))),$S751,0))</f>
        <v>0</v>
      </c>
      <c r="BW751" s="462">
        <f t="shared" si="1507"/>
        <v>0.95</v>
      </c>
      <c r="BX751" s="462">
        <f t="shared" si="1507"/>
        <v>0</v>
      </c>
      <c r="BY751" s="462">
        <f t="shared" si="1507"/>
        <v>0</v>
      </c>
      <c r="BZ751" s="460">
        <f t="shared" si="1507"/>
        <v>0</v>
      </c>
      <c r="CA751" s="460">
        <f t="shared" si="1507"/>
        <v>0</v>
      </c>
      <c r="CB751" s="460">
        <f t="shared" si="1507"/>
        <v>0</v>
      </c>
      <c r="CC751" s="460">
        <f t="shared" si="1507"/>
        <v>0</v>
      </c>
      <c r="CD751" s="473">
        <f t="shared" si="1507"/>
        <v>0</v>
      </c>
      <c r="CE751" s="479">
        <f t="shared" si="1507"/>
        <v>0</v>
      </c>
      <c r="CF751" s="113">
        <f t="shared" si="1412"/>
        <v>0</v>
      </c>
      <c r="CG751" s="114">
        <f t="shared" si="1413"/>
        <v>0</v>
      </c>
      <c r="CH751" s="114">
        <f t="shared" si="1414"/>
        <v>0</v>
      </c>
      <c r="CI751" s="114">
        <f t="shared" si="1415"/>
        <v>0</v>
      </c>
      <c r="CJ751" s="114">
        <f t="shared" si="1416"/>
        <v>0</v>
      </c>
      <c r="CK751" s="114">
        <f t="shared" si="1417"/>
        <v>0</v>
      </c>
      <c r="CL751" s="114">
        <f t="shared" si="1418"/>
        <v>0</v>
      </c>
      <c r="CM751" s="114">
        <f t="shared" si="1419"/>
        <v>0</v>
      </c>
      <c r="CN751" s="114">
        <f t="shared" si="1420"/>
        <v>0</v>
      </c>
      <c r="CO751" s="114">
        <f t="shared" si="1421"/>
        <v>0</v>
      </c>
      <c r="CP751" s="114">
        <f t="shared" si="1422"/>
        <v>0</v>
      </c>
      <c r="CQ751" s="114">
        <f t="shared" si="1423"/>
        <v>0</v>
      </c>
      <c r="CR751" s="114">
        <f t="shared" si="1424"/>
        <v>0</v>
      </c>
      <c r="CS751" s="114">
        <f t="shared" si="1425"/>
        <v>0</v>
      </c>
      <c r="CT751" s="115">
        <f t="shared" si="1426"/>
        <v>0</v>
      </c>
      <c r="CU751" s="116">
        <f t="shared" si="1427"/>
        <v>0</v>
      </c>
      <c r="CV751" s="116">
        <f t="shared" si="1428"/>
        <v>0</v>
      </c>
      <c r="CW751" s="116">
        <f t="shared" si="1429"/>
        <v>0</v>
      </c>
      <c r="CX751" s="116">
        <f t="shared" si="1430"/>
        <v>0</v>
      </c>
      <c r="CY751" s="116">
        <f t="shared" si="1431"/>
        <v>0</v>
      </c>
      <c r="CZ751" s="116">
        <f t="shared" si="1432"/>
        <v>0</v>
      </c>
      <c r="DA751" s="116">
        <f t="shared" si="1433"/>
        <v>0</v>
      </c>
      <c r="DB751" s="116">
        <f t="shared" si="1434"/>
        <v>0</v>
      </c>
      <c r="DC751" s="116">
        <f t="shared" si="1435"/>
        <v>1</v>
      </c>
      <c r="DD751" s="116">
        <f t="shared" si="1436"/>
        <v>0</v>
      </c>
      <c r="DE751" s="117">
        <f t="shared" si="1437"/>
        <v>0</v>
      </c>
      <c r="DF751" s="118">
        <f t="shared" si="1440"/>
        <v>43</v>
      </c>
      <c r="DG751" s="106">
        <f t="shared" si="1441"/>
        <v>57.167999999999992</v>
      </c>
      <c r="DH751" s="116">
        <f t="shared" si="1442"/>
        <v>16</v>
      </c>
      <c r="DI751" s="106">
        <f t="shared" si="1443"/>
        <v>68.699999999999989</v>
      </c>
      <c r="DJ751" s="201" t="str">
        <f>IF($D751="","",$D751)</f>
        <v>23</v>
      </c>
      <c r="DK751" s="465">
        <f>IF(AND($B751=" ",$D751&lt;&gt;""),1,0)</f>
        <v>0</v>
      </c>
    </row>
    <row r="752" spans="1:115" ht="14.5" customHeight="1" x14ac:dyDescent="0.2">
      <c r="A752" s="389"/>
      <c r="B752" s="456"/>
      <c r="C752" s="120" t="s">
        <v>54</v>
      </c>
      <c r="D752" s="374"/>
      <c r="E752" s="386"/>
      <c r="F752" s="377"/>
      <c r="G752" s="483"/>
      <c r="H752" s="476"/>
      <c r="I752" s="121" t="s">
        <v>66</v>
      </c>
      <c r="J752" s="122">
        <f>IF(OR(I751="TO",I751="TU",I751="TO1",I751="TU1",I751="TO2",I751="TU2"),J751,IF(OR(I751="AH1",I751="AH2"),IF(OR(I752="AH1",I752="AH2"),-J751,IF(OR(I752="EH1",I752="EH2"),-J751+0.5,"")),IF(OR(I751="EH1",I751="EH2"),IF(OR(I752="AH1",I752="AH2"),-J751+0.5,IF(OR(I752="EH1",I752="EH2"),-J751+1,"")),IF(AND(OR(I751="DNB1",I751="DNB2"),OR(I752="AH1",I752="AH2")),0,IF(AND(I751="Not ScoreBoth",OR(I752="TO1",I752="TO2")),0.5,"")))))</f>
        <v>-2</v>
      </c>
      <c r="K752" s="123" t="s">
        <v>40</v>
      </c>
      <c r="L752" s="124">
        <v>1.5</v>
      </c>
      <c r="M752" s="125">
        <v>12.15</v>
      </c>
      <c r="N752" s="406"/>
      <c r="O752" s="126">
        <f>IF(OR(AE751="",AE752=""),"",ROUND(IF(L753&gt;0,IF(M752&gt;0,M752,IF(M751&gt;0,IF(N751=TRUE,ROUND((M751*AE752)/AE751,0),(M751*AE752)/AE751),IF(M752&gt;0,ROUND(M752,IF(N751=0,2,IF(N751=0.1,1,0))),IF(M753&gt;0,ROUND(O753*AE752/AE753,IF(N751=0,2,IF(N751=0.1,1,0))),0)))),IF(M752&gt;0,M752,ROUND((M751*AE752)/AE751,IF(N751=0,2,IF(N751=0.1,1,0))))),2))</f>
        <v>12.15</v>
      </c>
      <c r="P752" s="127">
        <f>IF(OR(L752="",O752=""),"",IF($C752="1/2W",O752/2+O752/2*L752,IF($C752="1/2L",O752/2,IF(I752="Lay",((O752*(L752/(L752-1)))-O752)*(1-_xlfn.XLOOKUP(K752,'Fevereiro 2023 - Valor Real'!A3:A15,'Fevereiro 2023 - Valor Real'!C3:C15,0))+O752,(O752*L752-O752)*(1-_xlfn.XLOOKUP(K752,'Fevereiro 2023 - Valor Real'!A3:A15,'Fevereiro 2023 - Valor Real'!C3:C15,0))+O752))))</f>
        <v>18.225000000000001</v>
      </c>
      <c r="Q752" s="128">
        <f>IF(K752="","",IF(_xlfn.XLOOKUP(K752,K$4:K751,$DJ$4:DJ751,0,,-1)=DJ752,_xlfn.XLOOKUP(K752,K$4:K751,Q$4:Q751,1,,-1)+1,1))</f>
        <v>4</v>
      </c>
      <c r="R752" s="129">
        <f>IF(K752="","",_xlfn.XLOOKUP(K752,K$4:K751,R$4:R751,0,,-1)+IF($C752=" ",1,0))</f>
        <v>0</v>
      </c>
      <c r="S752" s="403"/>
      <c r="T752" s="380"/>
      <c r="U752" s="380"/>
      <c r="V752" s="481"/>
      <c r="W752" s="380"/>
      <c r="X752" s="452"/>
      <c r="Y752" s="383"/>
      <c r="Z752" s="384"/>
      <c r="AA752" s="384"/>
      <c r="AB752" s="384"/>
      <c r="AC752" s="384"/>
      <c r="AD752" s="130">
        <f>(((L752/(L752-1)-1)*(1-_xlfn.XLOOKUP(K752,'Fevereiro 2023 - Valor Real'!A3:A15,'Fevereiro 2023 - Valor Real'!C3:C15,0))+1))</f>
        <v>3</v>
      </c>
      <c r="AE752" s="131">
        <f>IF(L752="","",IF(L753&gt;0,(SUM(((L751-1)*(1-_xlfn.XLOOKUP(K751,'Fevereiro 2023 - Valor Real'!A3:A15,'Fevereiro 2023 - Valor Real'!C3:C15,0))+1),((L752-1)*(1-_xlfn.XLOOKUP(K752,'Fevereiro 2023 - Valor Real'!A3:A15,'Fevereiro 2023 - Valor Real'!C3:C15,0))+1),((L753-1)*(1-_xlfn.XLOOKUP(K753,'Fevereiro 2023 - Valor Real'!A3:A15,'Fevereiro 2023 - Valor Real'!C3:C15,0))+1))/((L752-1)*(1-_xlfn.XLOOKUP(K752,'Fevereiro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Real'!C3:C15,0))+1))/((L751-1)*(1-_xlfn.XLOOKUP(K751,'Fevereiro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Real'!C3:C15,0))+1))/((L752-1)*(1-_xlfn.XLOOKUP(K752,'Fevereiro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Real'!C3:C15,0))+1))/((L753-1)*(1-_xlfn.XLOOKUP(K753,'Fevereiro 2023 - Valor Real'!A3:A15,'Fevereiro 2023 - Valor Real'!C3:C15,0))+1)),IF(I752="Lay",IF(I751="Lay",((L751/(L751-1)-1)*(1-_xlfn.XLOOKUP(K751,'Fevereiro 2023 - Valor Real'!A3:A15,'Fevereiro 2023 - Valor Real'!C3:C15,0))+1)/(((L751/(L751-1)-1)*(1-_xlfn.XLOOKUP(K751,'Fevereiro 2023 - Valor Real'!A3:A15,'Fevereiro 2023 - Valor Real'!C3:C15,0))+1)+((L752/(L752-1)-1)*(1-_xlfn.XLOOKUP(K752,'Fevereiro 2023 - Valor Real'!A3:A15,'Fevereiro 2023 - Valor Real'!C3:C15,0))+1)),((L751-1)*(1-_xlfn.XLOOKUP(K751,'Fevereiro 2023 - Valor Real'!A3:A15,'Fevereiro 2023 - Valor Real'!C3:C15,0))+1)/(((L751-1)*(1-_xlfn.XLOOKUP(K751,'Fevereiro 2023 - Valor Real'!A3:A15,'Fevereiro 2023 - Valor Real'!C3:C15,0))+1)+((L752/(L752-1)-1)*(1-_xlfn.XLOOKUP(K752,'Fevereiro 2023 - Valor Real'!A3:A15,'Fevereiro 2023 - Valor Real'!C3:C15,0))+1))),IF(I751="Lay",((L751/(L751-1)-1)*(1-_xlfn.XLOOKUP(K751,'Fevereiro 2023 - Valor Real'!A3:A15,'Fevereiro 2023 - Valor Real'!C3:C15,0))+1)/((((L751/(L751-1)-1)*(1-_xlfn.XLOOKUP(K751,'Fevereiro 2023 - Valor Real'!A3:A15,'Fevereiro 2023 - Valor Real'!C3:C15,0))+1))+((L752-1)*(1-_xlfn.XLOOKUP(K752,'Fevereiro 2023 - Valor Real'!A3:A15,'Fevereiro 2023 - Valor Real'!C3:C15,0))+1)),((L751-1)*(1-_xlfn.XLOOKUP(K751,'Fevereiro 2023 - Valor Real'!A3:A15,'Fevereiro 2023 - Valor Real'!C3:C15,0))+1)/(((L751-1)*(1-_xlfn.XLOOKUP(K751,'Fevereiro 2023 - Valor Real'!A3:A15,'Fevereiro 2023 - Valor Real'!C3:C15,0))+1)+((L752-1)*(1-_xlfn.XLOOKUP(K752,'Fevereiro 2023 - Valor Real'!A3:A15,'Fevereiro 2023 - Valor Real'!C3:C15,0))+1))))))</f>
        <v>0.70297029702970293</v>
      </c>
      <c r="AF752" s="105">
        <f t="shared" si="1495"/>
        <v>0</v>
      </c>
      <c r="AG752" s="106">
        <f t="shared" si="1495"/>
        <v>0</v>
      </c>
      <c r="AH752" s="106">
        <f t="shared" si="1495"/>
        <v>0</v>
      </c>
      <c r="AI752" s="106">
        <f t="shared" si="1495"/>
        <v>0</v>
      </c>
      <c r="AJ752" s="106">
        <f t="shared" si="1495"/>
        <v>6.08</v>
      </c>
      <c r="AK752" s="106">
        <f t="shared" si="1495"/>
        <v>0</v>
      </c>
      <c r="AL752" s="106">
        <f t="shared" si="1495"/>
        <v>0</v>
      </c>
      <c r="AM752" s="106">
        <f t="shared" si="1495"/>
        <v>0</v>
      </c>
      <c r="AN752" s="106">
        <f t="shared" si="1495"/>
        <v>0</v>
      </c>
      <c r="AO752" s="106">
        <f t="shared" si="1495"/>
        <v>0</v>
      </c>
      <c r="AP752" s="106">
        <f t="shared" si="1495"/>
        <v>0</v>
      </c>
      <c r="AQ752" s="106">
        <f t="shared" si="1495"/>
        <v>0</v>
      </c>
      <c r="AR752" s="107">
        <f t="shared" si="1495"/>
        <v>0</v>
      </c>
      <c r="AS752" s="105">
        <f>IF(AND($B751=" ",$K752=AS$3),$O752,0)</f>
        <v>0</v>
      </c>
      <c r="AT752" s="106">
        <f>IF(AND($B751=" ",K752=AT$3),$O752,0)</f>
        <v>0</v>
      </c>
      <c r="AU752" s="106">
        <f t="shared" ref="AU752:BE752" si="1508">IF(AND($B751=" ",$K752=AU$3),$O752,0)</f>
        <v>0</v>
      </c>
      <c r="AV752" s="106">
        <f t="shared" si="1508"/>
        <v>0</v>
      </c>
      <c r="AW752" s="106">
        <f t="shared" si="1508"/>
        <v>0</v>
      </c>
      <c r="AX752" s="106">
        <f t="shared" si="1508"/>
        <v>0</v>
      </c>
      <c r="AY752" s="108">
        <f t="shared" si="1508"/>
        <v>0</v>
      </c>
      <c r="AZ752" s="109">
        <f t="shared" si="1508"/>
        <v>0</v>
      </c>
      <c r="BA752" s="109">
        <f t="shared" si="1508"/>
        <v>0</v>
      </c>
      <c r="BB752" s="109">
        <f t="shared" si="1508"/>
        <v>0</v>
      </c>
      <c r="BC752" s="110">
        <f t="shared" si="1508"/>
        <v>0</v>
      </c>
      <c r="BD752" s="106">
        <f t="shared" si="1508"/>
        <v>0</v>
      </c>
      <c r="BE752" s="107">
        <f t="shared" si="1508"/>
        <v>0</v>
      </c>
      <c r="BF752" s="105">
        <f t="shared" si="1497"/>
        <v>0</v>
      </c>
      <c r="BG752" s="106">
        <f t="shared" si="1497"/>
        <v>0</v>
      </c>
      <c r="BH752" s="106">
        <f t="shared" si="1497"/>
        <v>0</v>
      </c>
      <c r="BI752" s="106">
        <f t="shared" si="1497"/>
        <v>0</v>
      </c>
      <c r="BJ752" s="106">
        <f t="shared" si="1497"/>
        <v>12.15</v>
      </c>
      <c r="BK752" s="106">
        <f t="shared" si="1497"/>
        <v>0</v>
      </c>
      <c r="BL752" s="106">
        <f t="shared" si="1497"/>
        <v>0</v>
      </c>
      <c r="BM752" s="132">
        <f t="shared" si="1497"/>
        <v>0</v>
      </c>
      <c r="BN752" s="112">
        <f t="shared" si="1497"/>
        <v>0</v>
      </c>
      <c r="BO752" s="112">
        <f t="shared" si="1497"/>
        <v>0</v>
      </c>
      <c r="BP752" s="112">
        <f t="shared" si="1497"/>
        <v>0</v>
      </c>
      <c r="BQ752" s="110">
        <f t="shared" si="1497"/>
        <v>0</v>
      </c>
      <c r="BR752" s="107">
        <f t="shared" si="1497"/>
        <v>0</v>
      </c>
      <c r="BS752" s="464"/>
      <c r="BT752" s="461"/>
      <c r="BU752" s="392"/>
      <c r="BV752" s="461"/>
      <c r="BW752" s="392"/>
      <c r="BX752" s="392"/>
      <c r="BY752" s="392"/>
      <c r="BZ752" s="461"/>
      <c r="CA752" s="392"/>
      <c r="CB752" s="392"/>
      <c r="CC752" s="392"/>
      <c r="CD752" s="401"/>
      <c r="CE752" s="409"/>
      <c r="CF752" s="133">
        <f t="shared" si="1412"/>
        <v>0</v>
      </c>
      <c r="CG752" s="134">
        <f t="shared" si="1413"/>
        <v>0</v>
      </c>
      <c r="CH752" s="134">
        <f t="shared" si="1414"/>
        <v>0</v>
      </c>
      <c r="CI752" s="134">
        <f t="shared" si="1415"/>
        <v>0</v>
      </c>
      <c r="CJ752" s="134">
        <f t="shared" si="1416"/>
        <v>0</v>
      </c>
      <c r="CK752" s="134">
        <f t="shared" si="1417"/>
        <v>0</v>
      </c>
      <c r="CL752" s="134">
        <f t="shared" si="1418"/>
        <v>0</v>
      </c>
      <c r="CM752" s="134">
        <f t="shared" si="1419"/>
        <v>0</v>
      </c>
      <c r="CN752" s="134">
        <f t="shared" si="1420"/>
        <v>1</v>
      </c>
      <c r="CO752" s="134">
        <f t="shared" si="1421"/>
        <v>0</v>
      </c>
      <c r="CP752" s="134">
        <f t="shared" si="1422"/>
        <v>0</v>
      </c>
      <c r="CQ752" s="134">
        <f t="shared" si="1423"/>
        <v>0</v>
      </c>
      <c r="CR752" s="134">
        <f t="shared" si="1424"/>
        <v>0</v>
      </c>
      <c r="CS752" s="134">
        <f t="shared" si="1425"/>
        <v>0</v>
      </c>
      <c r="CT752" s="115">
        <f t="shared" si="1426"/>
        <v>0</v>
      </c>
      <c r="CU752" s="116">
        <f t="shared" si="1427"/>
        <v>0</v>
      </c>
      <c r="CV752" s="116">
        <f t="shared" si="1428"/>
        <v>0</v>
      </c>
      <c r="CW752" s="116">
        <f t="shared" si="1429"/>
        <v>0</v>
      </c>
      <c r="CX752" s="116">
        <f t="shared" si="1430"/>
        <v>0</v>
      </c>
      <c r="CY752" s="116">
        <f t="shared" si="1431"/>
        <v>0</v>
      </c>
      <c r="CZ752" s="116">
        <f t="shared" si="1432"/>
        <v>0</v>
      </c>
      <c r="DA752" s="116">
        <f t="shared" si="1433"/>
        <v>0</v>
      </c>
      <c r="DB752" s="116">
        <f t="shared" si="1434"/>
        <v>0</v>
      </c>
      <c r="DC752" s="116">
        <f t="shared" si="1435"/>
        <v>0</v>
      </c>
      <c r="DD752" s="116">
        <f t="shared" si="1436"/>
        <v>0</v>
      </c>
      <c r="DE752" s="117">
        <f t="shared" si="1437"/>
        <v>0</v>
      </c>
      <c r="DF752" s="118">
        <f t="shared" si="1440"/>
        <v>43</v>
      </c>
      <c r="DG752" s="106">
        <f t="shared" si="1441"/>
        <v>57.167999999999992</v>
      </c>
      <c r="DH752" s="116">
        <f t="shared" si="1442"/>
        <v>16</v>
      </c>
      <c r="DI752" s="106">
        <f t="shared" si="1443"/>
        <v>68.699999999999989</v>
      </c>
      <c r="DJ752" s="201" t="str">
        <f>IF($D751="","",$D751)</f>
        <v>23</v>
      </c>
      <c r="DK752" s="466"/>
    </row>
    <row r="753" spans="1:115" ht="14.5" customHeight="1" x14ac:dyDescent="0.2">
      <c r="A753" s="390"/>
      <c r="B753" s="457"/>
      <c r="C753" s="135" t="s">
        <v>53</v>
      </c>
      <c r="D753" s="375"/>
      <c r="E753" s="387"/>
      <c r="F753" s="378"/>
      <c r="G753" s="484"/>
      <c r="H753" s="477"/>
      <c r="I753" s="136"/>
      <c r="J753" s="137"/>
      <c r="K753" s="138"/>
      <c r="L753" s="139"/>
      <c r="M753" s="140"/>
      <c r="N753" s="407"/>
      <c r="O753" s="141" t="str">
        <f>IF(OR(AE751="",AE752=""),"",IF(L753&gt;0,ROUND(IF(M753&gt;0,M753,IF(M751&gt;0,ROUND((M751*AE753)/AE751,IF(N751=0,2,IF(N751=0.1,1,0))),IF(M752&gt;0,ROUND((M752*AE753)/AE752,IF(N751=0,2,IF(N751=0.1,1,0))),IF(M753&gt;0,M753,0)))),2),""))</f>
        <v/>
      </c>
      <c r="P753" s="142" t="str">
        <f>IF(I752="Lay",O752*(L752/(L752-1))-O752,IF(I751="Lay",O751*(L751/(L751-1))-O751,IF(OR(L753="",O753=""),"",IF($C753="1/2W",O753/2+O753/2*L753,IF($C753="1/2L",O753/2,(O753*L753-O753)*(1-_xlfn.XLOOKUP(K753,'Fevereiro 2023 - Valor Real'!A3:A15,'Fevereiro 2023 - Valor Real'!C3:C15,0))+O753)))))</f>
        <v/>
      </c>
      <c r="Q753" s="221" t="str">
        <f>IF(K753="","",IF(_xlfn.XLOOKUP(K753,K$4:K752,$DJ$4:DJ752,0,,-1)=DJ753,_xlfn.XLOOKUP(K753,K$4:K752,Q$4:Q752,1,,-1)+1,1))</f>
        <v/>
      </c>
      <c r="R753" s="144" t="str">
        <f>IF(K753="","",_xlfn.XLOOKUP(K753,K$4:K752,R$4:R752,0,,-1)+IF($C753=" ",1,0))</f>
        <v/>
      </c>
      <c r="S753" s="404"/>
      <c r="T753" s="378"/>
      <c r="U753" s="378"/>
      <c r="V753" s="404"/>
      <c r="W753" s="378"/>
      <c r="X753" s="453"/>
      <c r="Y753" s="383"/>
      <c r="Z753" s="384"/>
      <c r="AA753" s="384"/>
      <c r="AB753" s="384"/>
      <c r="AC753" s="384"/>
      <c r="AD753" s="145">
        <f>((L752/(L752-1)-1))</f>
        <v>2</v>
      </c>
      <c r="AE753" s="146" t="str">
        <f>IF(L753="","",(SUM(((L751-1)*(1-_xlfn.XLOOKUP(K751,'Fevereiro 2023 - Valor Real'!A3:A15,'Fevereiro 2023 - Valor Real'!C3:C15,0))+1),((L752-1)*(1-_xlfn.XLOOKUP(K752,'Fevereiro 2023 - Valor Real'!A3:A15,'Fevereiro 2023 - Valor Real'!C3:C15,0))+1),((L753-1)*(1-_xlfn.XLOOKUP(K753,'Fevereiro 2023 - Valor Real'!A3:A15,'Fevereiro 2023 - Valor Real'!C3:C15,0))+1))/((L753-1)*(1-_xlfn.XLOOKUP(K753,'Fevereiro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Real'!C3:C15,0))+1))/((L751-1)*(1-_xlfn.XLOOKUP(K751,'Fevereiro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Real'!C3:C15,0))+1))/((L752-1)*(1-_xlfn.XLOOKUP(K752,'Fevereiro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Real'!C3:C15,0))+1))/((L753-1)*(1-_xlfn.XLOOKUP(K753,'Fevereiro 2023 - Valor Real'!A3:A15,'Fevereiro 2023 - Valor Real'!C3:C15,0))+1)))</f>
        <v/>
      </c>
      <c r="AF753" s="105">
        <f t="shared" si="1495"/>
        <v>0</v>
      </c>
      <c r="AG753" s="106">
        <f t="shared" si="1495"/>
        <v>0</v>
      </c>
      <c r="AH753" s="106">
        <f t="shared" si="1495"/>
        <v>0</v>
      </c>
      <c r="AI753" s="106">
        <f t="shared" si="1495"/>
        <v>0</v>
      </c>
      <c r="AJ753" s="106">
        <f t="shared" si="1495"/>
        <v>0</v>
      </c>
      <c r="AK753" s="106">
        <f t="shared" si="1495"/>
        <v>0</v>
      </c>
      <c r="AL753" s="106">
        <f t="shared" si="1495"/>
        <v>0</v>
      </c>
      <c r="AM753" s="106">
        <f t="shared" si="1495"/>
        <v>0</v>
      </c>
      <c r="AN753" s="106">
        <f t="shared" si="1495"/>
        <v>0</v>
      </c>
      <c r="AO753" s="106">
        <f t="shared" si="1495"/>
        <v>0</v>
      </c>
      <c r="AP753" s="106">
        <f t="shared" si="1495"/>
        <v>0</v>
      </c>
      <c r="AQ753" s="106">
        <f t="shared" si="1495"/>
        <v>0</v>
      </c>
      <c r="AR753" s="107">
        <f t="shared" si="1495"/>
        <v>0</v>
      </c>
      <c r="AS753" s="105">
        <f>IF(AND($B751=" ",$K753=AS$3),$O753,0)</f>
        <v>0</v>
      </c>
      <c r="AT753" s="106">
        <f>IF(AND($B751=" ",K753=AT$3),$O753,0)</f>
        <v>0</v>
      </c>
      <c r="AU753" s="106">
        <f t="shared" ref="AU753:BE753" si="1509">IF(AND($B751=" ",$K753=AU$3),$O753,0)</f>
        <v>0</v>
      </c>
      <c r="AV753" s="106">
        <f t="shared" si="1509"/>
        <v>0</v>
      </c>
      <c r="AW753" s="106">
        <f t="shared" si="1509"/>
        <v>0</v>
      </c>
      <c r="AX753" s="106">
        <f t="shared" si="1509"/>
        <v>0</v>
      </c>
      <c r="AY753" s="108">
        <f t="shared" si="1509"/>
        <v>0</v>
      </c>
      <c r="AZ753" s="109">
        <f t="shared" si="1509"/>
        <v>0</v>
      </c>
      <c r="BA753" s="109">
        <f t="shared" si="1509"/>
        <v>0</v>
      </c>
      <c r="BB753" s="109">
        <f t="shared" si="1509"/>
        <v>0</v>
      </c>
      <c r="BC753" s="110">
        <f t="shared" si="1509"/>
        <v>0</v>
      </c>
      <c r="BD753" s="106">
        <f t="shared" si="1509"/>
        <v>0</v>
      </c>
      <c r="BE753" s="107">
        <f t="shared" si="1509"/>
        <v>0</v>
      </c>
      <c r="BF753" s="105">
        <f t="shared" si="1497"/>
        <v>0</v>
      </c>
      <c r="BG753" s="106">
        <f t="shared" si="1497"/>
        <v>0</v>
      </c>
      <c r="BH753" s="106">
        <f t="shared" si="1497"/>
        <v>0</v>
      </c>
      <c r="BI753" s="106">
        <f t="shared" si="1497"/>
        <v>0</v>
      </c>
      <c r="BJ753" s="106">
        <f t="shared" si="1497"/>
        <v>0</v>
      </c>
      <c r="BK753" s="106">
        <f t="shared" si="1497"/>
        <v>0</v>
      </c>
      <c r="BL753" s="106">
        <f t="shared" si="1497"/>
        <v>0</v>
      </c>
      <c r="BM753" s="108">
        <f t="shared" si="1497"/>
        <v>0</v>
      </c>
      <c r="BN753" s="109">
        <f t="shared" si="1497"/>
        <v>0</v>
      </c>
      <c r="BO753" s="109">
        <f t="shared" si="1497"/>
        <v>0</v>
      </c>
      <c r="BP753" s="109">
        <f t="shared" si="1497"/>
        <v>0</v>
      </c>
      <c r="BQ753" s="110">
        <f t="shared" si="1497"/>
        <v>0</v>
      </c>
      <c r="BR753" s="107">
        <f t="shared" si="1497"/>
        <v>0</v>
      </c>
      <c r="BS753" s="464"/>
      <c r="BT753" s="461"/>
      <c r="BU753" s="392"/>
      <c r="BV753" s="461"/>
      <c r="BW753" s="392"/>
      <c r="BX753" s="392"/>
      <c r="BY753" s="392"/>
      <c r="BZ753" s="461"/>
      <c r="CA753" s="392"/>
      <c r="CB753" s="392"/>
      <c r="CC753" s="392"/>
      <c r="CD753" s="401"/>
      <c r="CE753" s="409"/>
      <c r="CF753" s="133">
        <f t="shared" si="1412"/>
        <v>0</v>
      </c>
      <c r="CG753" s="134">
        <f t="shared" si="1413"/>
        <v>0</v>
      </c>
      <c r="CH753" s="134">
        <f t="shared" si="1414"/>
        <v>0</v>
      </c>
      <c r="CI753" s="134">
        <f t="shared" si="1415"/>
        <v>0</v>
      </c>
      <c r="CJ753" s="134">
        <f t="shared" si="1416"/>
        <v>0</v>
      </c>
      <c r="CK753" s="134">
        <f t="shared" si="1417"/>
        <v>0</v>
      </c>
      <c r="CL753" s="134">
        <f t="shared" si="1418"/>
        <v>0</v>
      </c>
      <c r="CM753" s="134">
        <f t="shared" si="1419"/>
        <v>0</v>
      </c>
      <c r="CN753" s="134">
        <f t="shared" si="1420"/>
        <v>0</v>
      </c>
      <c r="CO753" s="134">
        <f t="shared" si="1421"/>
        <v>0</v>
      </c>
      <c r="CP753" s="134">
        <f t="shared" si="1422"/>
        <v>0</v>
      </c>
      <c r="CQ753" s="134">
        <f t="shared" si="1423"/>
        <v>0</v>
      </c>
      <c r="CR753" s="134">
        <f t="shared" si="1424"/>
        <v>0</v>
      </c>
      <c r="CS753" s="134">
        <f t="shared" si="1425"/>
        <v>0</v>
      </c>
      <c r="CT753" s="115">
        <f t="shared" si="1426"/>
        <v>0</v>
      </c>
      <c r="CU753" s="116">
        <f t="shared" si="1427"/>
        <v>0</v>
      </c>
      <c r="CV753" s="116">
        <f t="shared" si="1428"/>
        <v>0</v>
      </c>
      <c r="CW753" s="116">
        <f t="shared" si="1429"/>
        <v>0</v>
      </c>
      <c r="CX753" s="116">
        <f t="shared" si="1430"/>
        <v>0</v>
      </c>
      <c r="CY753" s="116">
        <f t="shared" si="1431"/>
        <v>0</v>
      </c>
      <c r="CZ753" s="116">
        <f t="shared" si="1432"/>
        <v>0</v>
      </c>
      <c r="DA753" s="116">
        <f t="shared" si="1433"/>
        <v>0</v>
      </c>
      <c r="DB753" s="116">
        <f t="shared" si="1434"/>
        <v>0</v>
      </c>
      <c r="DC753" s="116">
        <f t="shared" si="1435"/>
        <v>0</v>
      </c>
      <c r="DD753" s="116">
        <f t="shared" si="1436"/>
        <v>0</v>
      </c>
      <c r="DE753" s="117">
        <f t="shared" si="1437"/>
        <v>0</v>
      </c>
      <c r="DF753" s="118">
        <f t="shared" si="1440"/>
        <v>43</v>
      </c>
      <c r="DG753" s="106">
        <f t="shared" si="1441"/>
        <v>57.167999999999992</v>
      </c>
      <c r="DH753" s="116">
        <f t="shared" si="1442"/>
        <v>16</v>
      </c>
      <c r="DI753" s="106">
        <f t="shared" si="1443"/>
        <v>68.699999999999989</v>
      </c>
      <c r="DJ753" s="201" t="str">
        <f>IF($D751="","",$D751)</f>
        <v>23</v>
      </c>
      <c r="DK753" s="466"/>
    </row>
    <row r="754" spans="1:115" ht="14.5" customHeight="1" x14ac:dyDescent="0.2">
      <c r="A754" s="487">
        <f>$A751+1</f>
        <v>251</v>
      </c>
      <c r="B754" s="506" t="str">
        <f>IF(OR(C754="W",C755="W",C756="W",C754="1/2W",C755="1/2W",C756="1/2W",C754="1/2L",C755="1/2L",C756="1/2L"),"OK",IF(OR(C754="L",C755="L",C756="L"),"LOSS",IF(OR(C754="X",C755="X",C756="X"),"Anulado"," ")))</f>
        <v>OK</v>
      </c>
      <c r="C754" s="147" t="s">
        <v>55</v>
      </c>
      <c r="D754" s="494" t="str">
        <f>IF(G754="","",$D751)</f>
        <v>23</v>
      </c>
      <c r="E754" s="511" t="str">
        <f>IF(G754=""," ","– "&amp;COUNTIF(D$4:D756,$D754))</f>
        <v>– 17</v>
      </c>
      <c r="F754" s="510" t="str">
        <f ca="1">IF(G754="","",IF(OR(AND($C754&lt;&gt;" ",$C755=" "),AND($C755&lt;&gt;" ",$C754=" "),AND(L756&gt;0,OR(AND($C756&lt;&gt;" ",OR($C754=" ",$C755=" ")),AND($C756=" ",OR($C754&lt;&gt;" ",$C755&lt;&gt;" "))))),IF(SUM(F$4:F753)=0,1,LARGE(F$4:F753,1)+1),IF(MONTH(G754)=MONTH(TODAY()),IF(AND(DAY(G754)&lt;DAY(TODAY()),$B754=" "),IF(SUM(F$4:F753)=0,1,LARGE(F$4:F753,1)+1),IF($B754=" ",IF(AND(DAY(G754)=DAY(TODAY()),HOUR(G754)&lt;=HOUR(NOW())+1),IF(AND(HOUR(G754)+2&lt;=HOUR(NOW()),DAY(G754)&lt;=DAY(TODAY()),MINUTE(G754)&lt;=MINUTE(NOW())),IF(SUM(F$4:F753)=0,1,LARGE(F$4:F753,1)+1),IF(OR(MINUTE(G754)&lt;=MINUTE(NOW()),HOUR(G754)&lt;=HOUR(NOW())),"!!!","")),""),"")),"")))</f>
        <v/>
      </c>
      <c r="G754" s="517">
        <f>IF(H754="","",_xlfn.XLOOKUP(H754,$H$4:H753,$G$4:G753,""))</f>
        <v>45010.479166666664</v>
      </c>
      <c r="H754" s="516" t="s">
        <v>263</v>
      </c>
      <c r="I754" s="222" t="s">
        <v>76</v>
      </c>
      <c r="J754" s="223">
        <v>1</v>
      </c>
      <c r="K754" s="224" t="s">
        <v>47</v>
      </c>
      <c r="L754" s="225">
        <v>2.95</v>
      </c>
      <c r="M754" s="226">
        <v>6.7</v>
      </c>
      <c r="N754" s="503">
        <v>0</v>
      </c>
      <c r="O754" s="153">
        <f>IF(OR(AE754="",AE755=""),"",ROUND(IF(L756&gt;0,IF(M754&gt;0,M754,IF(M755&gt;0,ROUND((M755*AE754)/AE755,IF(N754=0,2,IF(N754=0.1,1,0))),ROUND((M756*AE754)/AE756,IF(N754=0,2,IF(N754=0.1,1,0))))),IF(M754&gt;0,M754,ROUND((M755*AE754)/AE755,IF(N754=0,2,IF(N754=0.1,1,0))))),2))</f>
        <v>6.7</v>
      </c>
      <c r="P754" s="227">
        <f>IF(OR(L754="",O754=""),"",IF($C754="1/2W",O754/2+O754/2*L754,IF($C754="1/2L",O754/2,IF(I754="Lay",(O754*(L754/(L754-1))-O754)*(1-_xlfn.XLOOKUP(K754,'Fevereiro 2023 - Valor Real'!A3:A15,'Fevereiro 2023 - Valor Real'!C3:C15,0))+O754,(O754*L754-O754)*(1-_xlfn.XLOOKUP(K754,'Fevereiro 2023 - Valor Real'!A3:A15,'Fevereiro 2023 - Valor Real'!C3:C15,0))+O754))))</f>
        <v>19.765000000000001</v>
      </c>
      <c r="Q754" s="228">
        <f>IF(K754="","",IF(_xlfn.XLOOKUP(K754,K$4:K753,$DJ$4:DJ753,0,,-1)=DJ754,_xlfn.XLOOKUP(K754,K$4:K753,Q$4:Q753,1,,-1)+1,1))</f>
        <v>6</v>
      </c>
      <c r="R754" s="229">
        <f>IF(K754="","",_xlfn.XLOOKUP(K754,K$4:K753,R$4:R753,0,,-1)+IF($C754=" ",1,0))</f>
        <v>0</v>
      </c>
      <c r="S754" s="501">
        <f>IF($B754="Anulado",0,ROUND(IF(OR($B754="LOSS",$B754="OK"),IF(OR($C754="W",$C754="1/2W",$C754="1/2L"),P754-O754,IF($C754="L",-O754,0))+IF(OR($C755="W",$C755="1/2W",$C755="1/2L"),P755-O755,IF($C755="L",-O755,0))+IF(OR($C756="W",$C756="1/2W",$C756="1/2L"),P756-O756,IF($C756="L",-O756,0)),IF(AND(OR($C754="W",$C754="1/2W",$C754="1/2L"),C755="W"),P754+P755-SUM(O754:O756)+_xlfn.XLOOKUP("X",C754:C756,O754:O756,0),IF(AND(C754=TRUE,C756="W"),P754+P756-SUM(O754:O756),IF(AND(C755="W",C756="W"),P755+P756-SUM(O754:O756)+_xlfn.XLOOKUP("X",C754:C756,O754:O756,0),IF(L756&gt;0,IF(OR($C754="W",$C754="1/2W",$C754="1/2L"),P754-SUM(O754:O756)+_xlfn.XLOOKUP("X",C754:C756,O754:O756,0),IF(OR($C754="W",$C754="1/2W",$C754="1/2L"),P755-SUM(O754:O756)+_xlfn.XLOOKUP("X",C754:C756,O754:O756,0),IF(OR($C754="W",$C754="1/2W",$C754="1/2L"),P756-SUM(O754:O756)+_xlfn.XLOOKUP("X",C754:C756,O754:O756,0),IF(SUM(P754:P756)/3-SUM(O754:O756)+_xlfn.XLOOKUP("X",C754:C756,O754:O756,0)&gt;0,SUM(P754:P756)/3-SUM(O754:O756)+_xlfn.XLOOKUP("X",C754:C756,O754:O756,0),LARGE(P754:P756,1)-SUM(O754:O756))))),IF(OR($C754="W",$C754="1/2W",$C754="1/2L"),P754-SUM(O754:O755)+_xlfn.XLOOKUP("X",C754:C756,O754:O756,0),IF(OR($C754="W",$C754="1/2W",$C754="1/2L"),P755-SUM(O754:O755)+_xlfn.XLOOKUP("X",C754:C756,O754:O756,0),SUM(P754:P755)/2-SUM(O754:O755)+_xlfn.XLOOKUP("X",C754:C756,O754:O756,0)))))))),2))</f>
        <v>2.66</v>
      </c>
      <c r="T754" s="486">
        <f>IF(S754=0,0,S754/SUM(O754:O756))</f>
        <v>0.14575342465753424</v>
      </c>
      <c r="U754" s="496">
        <f>IF($D754=$D751,IF(OR($B754="LOSS",$B754="OK",$B754="Anulada"),S754,0)+U751,IF(OR($B754="LOSS",$B754="OK",$B754="Anulada"),S754,0))</f>
        <v>38.89</v>
      </c>
      <c r="V754" s="496">
        <f>IF($D754="",0,IF($D754=$D751,IF($B754=" ",IF(I756="",IF(OR(AND(I754="DNB1",I755="DNB2"),AND(OR(I754="DNB1",I754="DNB2"),J755=0),AND(OR(I755="DNB1",I755="DNB2"),J754=0),AND(I754="DNB2",I755="DNB1"),AND(IF(J754=0,(J754+1)/ROUND(J754+1,0),J754/ROUND(J754,0))=1,IF(J755=0,(J755+1)/ROUND(IF(J755="",0,J755)+1,0),IF(J755="",0,J755)/ROUND(IF(J755="",1,J755),0))=1,OR(J754&lt;&gt;""),J755&lt;&gt;"")),0,IF(S754&lt;0,IF(I756="",SMALL(P754:P755,1)-SUM(O754:O755),0),SMALL(P754:P755,1)-SUM(O754:O755))),IF(S754&lt;0,IF(I756="",SMALL(P754:P756,1)-SUM(O754:O756),0),LARGE(P754:P756,1)-SUM(O754:O756))),S754)+V751,IF(I756="",IF(OR(AND(I754="DNB1",I755="DNB2"),AND(OR(I754="DNB1",I754="DNB2"),J755=0),AND(OR(I755="DNB1",I755="DNB2"),J754=0),AND(I754="DNB2",I755="DNB1"),AND(IF(J754=0,(J754+1)/ROUND(J754+1,0),J754/ROUND(J754,0))=1,IF(J755=0,(IF(J755="",0,J755)+1)/ROUND(IF(J755="",0,J755)+1,0),IF(J755="",0,J755)/ROUND(IF(J755="",0,J755)+1,0))=1,OR(J754&lt;&gt;""),J755&lt;&gt;"")),0,IF(S754&lt;0,IF(I756="",SMALL(P754:P755,1)-SUM(O754:O755),0),SMALL(P754:P756,1)-SUM(O754:O756))),IF(S754&lt;0,IF(I756="",SMALL(P754:P756,1)-SUM(O754:O756),0),LARGE(P754:P756,1)-SUM(O754:O756)))))</f>
        <v>38.89</v>
      </c>
      <c r="W754" s="496">
        <f>IF($D754=$D751,IF(S754&lt;0,IF(I756="",S754,0),S754)+W751,S754)</f>
        <v>38.89</v>
      </c>
      <c r="X754" s="505" t="str">
        <f>IF(OR(SUM(R754:R756)=0,V754=W754),ROUND(IF(W754=0,0,W754/Y754)*100,2)&amp;"%",ROUND(IF(V754=0,0,V754/Y754)*100,2)&amp;"% a "&amp;ROUND(IF(W754=0,0,W754/Y754)*100,2)&amp;"%")</f>
        <v>7,2%</v>
      </c>
      <c r="Y754" s="497">
        <f>IF($D754=$D751,Y751+SUM(O754:O756),SUM(O754:O756))</f>
        <v>540.17999999999995</v>
      </c>
      <c r="Z754" s="496">
        <f>IF($B754=" ",SUM(O754:O756),0)+Z751</f>
        <v>0</v>
      </c>
      <c r="AA754" s="496">
        <f>IF(G754="","",IF($B754="Anulado",LARGE(P754:P756,1)-SUM(O754:O756)+AA751,AA751))</f>
        <v>13.381099999999991</v>
      </c>
      <c r="AB754" s="496">
        <f>IF($D754="","",AB751+S754)</f>
        <v>845.25000000000068</v>
      </c>
      <c r="AC754" s="499">
        <f ca="1">IF($D754="","",IF($B754=" ",IF(DAY(G754)=DAY(TODAY()),1+AC751,0+AC751),0+AC751))</f>
        <v>0</v>
      </c>
      <c r="AD754" s="157">
        <f>(((L755/(L755-1)-1)*(1-_xlfn.XLOOKUP(K755,'Fevereiro 2023 - Valor Real'!A3:A15,'Fevereiro 2023 - Valor Real'!C3:C15,0))+1))/(((L754-1)*(1-_xlfn.XLOOKUP(K754,'Fevereiro 2023 - Valor Real'!A3:A15,'Fevereiro 2023 - Valor Real'!C3:C15,0))+1)+((L755/(L755-1)-1)*(1-_xlfn.XLOOKUP(K755,'Fevereiro 2023 - Valor Real'!A3:A15,'Fevereiro 2023 - Valor Real'!C3:C15,0))+1))</f>
        <v>0.43100369091558516</v>
      </c>
      <c r="AE754" s="158">
        <f>IF(L754="","",IF(L756&gt;0,(SUM(((L754-1)*(1-_xlfn.XLOOKUP(K754,'Fevereiro 2023 - Valor Real'!A3:A15,'Fevereiro 2023 - Valor Real'!C3:C15,0))+1),((L755-1)*(1-_xlfn.XLOOKUP(K755,'Fevereiro 2023 - Valor Real'!A3:A15,'Fevereiro 2023 - Valor Real'!C3:C15,0))+1),((L756-1)*(1-_xlfn.XLOOKUP(K756,'Fevereiro 2023 - Valor Real'!A3:A15,'Fevereiro 2023 - Valor Real'!C3:C15,0))+1))/((L754-1)*(1-_xlfn.XLOOKUP(K754,'Fevereiro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Real'!C3:C15,0))+1))/((L754-1)*(1-_xlfn.XLOOKUP(K754,'Fevereiro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Real'!C3:C15,0))+1))/((L755-1)*(1-_xlfn.XLOOKUP(K755,'Fevereiro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Real'!C3:C15,0))+1))/((L756-1)*(1-_xlfn.XLOOKUP(K756,'Fevereiro 2023 - Valor Real'!A3:A15,'Fevereiro 2023 - Valor Real'!C3:C15,0))+1)),IF(I754="Lay",IF(I755="Lay",((L755/(L755-1)-1)*(1-_xlfn.XLOOKUP(K755,'Fevereiro 2023 - Valor Real'!A3:A15,'Fevereiro 2023 - Valor Real'!C3:C15,0))+1)/(((L755/(L755-1)-1)*(1-_xlfn.XLOOKUP(K755,'Fevereiro 2023 - Valor Real'!A3:A15,'Fevereiro 2023 - Valor Real'!C3:C15,0))+1)+((L754/(L754-1)-1)*(1-_xlfn.XLOOKUP(K754,'Fevereiro 2023 - Valor Real'!A3:A15,'Fevereiro 2023 - Valor Real'!C3:C15,0))+1)),((L755-1)*(1-_xlfn.XLOOKUP(K755,'Fevereiro 2023 - Valor Real'!A3:A15,'Fevereiro 2023 - Valor Real'!C3:C15,0))+1)/(((L755-1)*(1-_xlfn.XLOOKUP(K755,'Fevereiro 2023 - Valor Real'!A3:A15,'Fevereiro 2023 - Valor Real'!C3:C15,0))+1)+((L754/(L754-1)-1)*(1-_xlfn.XLOOKUP(K754,'Fevereiro 2023 - Valor Real'!A3:A15,'Fevereiro 2023 - Valor Real'!C3:C15,0))+1))),IF(I755="Lay",(((L755/(L755-1)-1)*(1-_xlfn.XLOOKUP(K755,'Fevereiro 2023 - Valor Real'!A3:A15,'Fevereiro 2023 - Valor Real'!C3:C15,0))+1))/(((L754-1)*(1-_xlfn.XLOOKUP(K754,'Fevereiro 2023 - Valor Real'!A3:A15,'Fevereiro 2023 - Valor Real'!C3:C15,0))+1)+((L755/(L755-1)-1)*(1-_xlfn.XLOOKUP(K755,'Fevereiro 2023 - Valor Real'!A3:A15,'Fevereiro 2023 - Valor Real'!C3:C15,0))+1)),((L755-1)*(1-_xlfn.XLOOKUP(K755,'Fevereiro 2023 - Valor Real'!A3:A15,'Fevereiro 2023 - Valor Real'!C3:C15,0))+1)/(((L755-1)*(1-_xlfn.XLOOKUP(K755,'Fevereiro 2023 - Valor Real'!A3:A15,'Fevereiro 2023 - Valor Real'!C3:C15,0))+1)+((L754-1)*(1-_xlfn.XLOOKUP(K754,'Fevereiro 2023 - Valor Real'!A3:A15,'Fevereiro 2023 - Valor Real'!C3:C15,0))+1))))))</f>
        <v>0.38025210084033617</v>
      </c>
      <c r="AF754" s="66">
        <f t="shared" ref="AF754:AR763" si="1510">IF($K754=AF$3,ROUND(IF(OR($C754="W",$C754="1/2W",$C754="1/2L"),$P754-$O754,IF($C754="X",0,-$O754)),2),0)</f>
        <v>0</v>
      </c>
      <c r="AG754" s="67">
        <f t="shared" si="1510"/>
        <v>0</v>
      </c>
      <c r="AH754" s="67">
        <f t="shared" si="1510"/>
        <v>0</v>
      </c>
      <c r="AI754" s="67">
        <f t="shared" si="1510"/>
        <v>0</v>
      </c>
      <c r="AJ754" s="67">
        <f t="shared" si="1510"/>
        <v>0</v>
      </c>
      <c r="AK754" s="67">
        <f t="shared" si="1510"/>
        <v>0</v>
      </c>
      <c r="AL754" s="67">
        <f t="shared" si="1510"/>
        <v>0</v>
      </c>
      <c r="AM754" s="67">
        <f t="shared" si="1510"/>
        <v>0</v>
      </c>
      <c r="AN754" s="67">
        <f t="shared" si="1510"/>
        <v>0</v>
      </c>
      <c r="AO754" s="67">
        <f t="shared" si="1510"/>
        <v>0</v>
      </c>
      <c r="AP754" s="67">
        <f t="shared" si="1510"/>
        <v>0</v>
      </c>
      <c r="AQ754" s="67">
        <f t="shared" si="1510"/>
        <v>-6.7</v>
      </c>
      <c r="AR754" s="68">
        <f t="shared" si="1510"/>
        <v>0</v>
      </c>
      <c r="AS754" s="66">
        <f t="shared" ref="AS754:BE754" si="1511">IF(AND($B754=" ",$K754=AS$3),$O754,0)</f>
        <v>0</v>
      </c>
      <c r="AT754" s="67">
        <f t="shared" si="1511"/>
        <v>0</v>
      </c>
      <c r="AU754" s="67">
        <f t="shared" si="1511"/>
        <v>0</v>
      </c>
      <c r="AV754" s="67">
        <f t="shared" si="1511"/>
        <v>0</v>
      </c>
      <c r="AW754" s="67">
        <f t="shared" si="1511"/>
        <v>0</v>
      </c>
      <c r="AX754" s="67">
        <f t="shared" si="1511"/>
        <v>0</v>
      </c>
      <c r="AY754" s="69">
        <f t="shared" si="1511"/>
        <v>0</v>
      </c>
      <c r="AZ754" s="70">
        <f t="shared" si="1511"/>
        <v>0</v>
      </c>
      <c r="BA754" s="70">
        <f t="shared" si="1511"/>
        <v>0</v>
      </c>
      <c r="BB754" s="70">
        <f t="shared" si="1511"/>
        <v>0</v>
      </c>
      <c r="BC754" s="71">
        <f t="shared" si="1511"/>
        <v>0</v>
      </c>
      <c r="BD754" s="67">
        <f t="shared" si="1511"/>
        <v>0</v>
      </c>
      <c r="BE754" s="68">
        <f t="shared" si="1511"/>
        <v>0</v>
      </c>
      <c r="BF754" s="230">
        <f t="shared" ref="BF754:BR763" si="1512">IF($K754=BF$3,IF($C754="X",0,$O754),0)</f>
        <v>0</v>
      </c>
      <c r="BG754" s="67">
        <f t="shared" si="1512"/>
        <v>0</v>
      </c>
      <c r="BH754" s="67">
        <f t="shared" si="1512"/>
        <v>0</v>
      </c>
      <c r="BI754" s="67">
        <f t="shared" si="1512"/>
        <v>0</v>
      </c>
      <c r="BJ754" s="67">
        <f t="shared" si="1512"/>
        <v>0</v>
      </c>
      <c r="BK754" s="67">
        <f t="shared" si="1512"/>
        <v>0</v>
      </c>
      <c r="BL754" s="67">
        <f t="shared" si="1512"/>
        <v>0</v>
      </c>
      <c r="BM754" s="69">
        <f t="shared" si="1512"/>
        <v>0</v>
      </c>
      <c r="BN754" s="70">
        <f t="shared" si="1512"/>
        <v>0</v>
      </c>
      <c r="BO754" s="70">
        <f t="shared" si="1512"/>
        <v>0</v>
      </c>
      <c r="BP754" s="70">
        <f t="shared" si="1512"/>
        <v>0</v>
      </c>
      <c r="BQ754" s="71">
        <f t="shared" si="1512"/>
        <v>6.7</v>
      </c>
      <c r="BR754" s="68">
        <f t="shared" si="1512"/>
        <v>0</v>
      </c>
      <c r="BS754" s="490">
        <f>IF($B754="LOSS",IF(AND($K754=BS$3,$C754="L"),-$O754,0)+IF(AND($K755=BS$3,$C755="L"),-$O755,0)+IF(AND($K756=BS$3,$C756="L"),-$O756,0),IF(OR(AND($K754=BS$3,OR($C754="W",$C754="1/2W")),AND($K755=BS$3,OR($C755="W",$C755="1/2W")),AND($K756=BS$3,OR($C756="W",$C756="1/2W"))),$S754,0))</f>
        <v>0</v>
      </c>
      <c r="BT754" s="488">
        <f>IF($B754="LOSS",IF(AND($K754=BT$3,$C754="L"),-$O754,0)+IF(AND($K755=BT$3,$C755="L"),-$O755,0)+IF(AND($K755=BT$3,$C756="L"),-$O756,0),IF(OR(AND($K755=BT$3,OR($C754="W",$C754="1/2W")),AND($K755=BT$3,OR($C755="W",$C755="1/2W")),AND($K755=BT$3,OR($C756="W",$C756="1/2W"))),$S754,0))</f>
        <v>0</v>
      </c>
      <c r="BU754" s="488">
        <f>IF($B754="LOSS",IF(AND($K754=BU$3,$C754="L"),-$O754,0)+IF(AND($K755=BU$3,$C755="L"),-$O755,0)+IF(AND($K755=BU$3,$C756="L"),-$O756,0),IF(OR(AND($K755=BU$3,OR($C754="W",$C754="1/2W")),AND($K755=BU$3,OR($C755="W",$C755="1/2W")),AND($K755=BU$3,OR($C756="W",$C756="1/2W"))),$S754,0))</f>
        <v>0</v>
      </c>
      <c r="BV754" s="488">
        <f t="shared" ref="BV754:CE754" si="1513">IF($B754="LOSS",IF(AND($K754=BV$3,$C754="L"),-$O754,0)+IF(AND($K755=BV$3,$C755="L"),-$O755,0)+IF(AND($K756=BV$3,$C756="L"),-$O756,0),IF(OR(AND($K754=BV$3,OR($C754="W",$C754="1/2W")),AND($K755=BV$3,OR($C755="W",$C755="1/2W")),AND($K756=BV$3,OR($C756="W",$C756="1/2W"))),$S754,0))</f>
        <v>0</v>
      </c>
      <c r="BW754" s="488">
        <f t="shared" si="1513"/>
        <v>2.66</v>
      </c>
      <c r="BX754" s="488">
        <f t="shared" si="1513"/>
        <v>0</v>
      </c>
      <c r="BY754" s="488">
        <f t="shared" si="1513"/>
        <v>0</v>
      </c>
      <c r="BZ754" s="498">
        <f t="shared" si="1513"/>
        <v>0</v>
      </c>
      <c r="CA754" s="498">
        <f t="shared" si="1513"/>
        <v>0</v>
      </c>
      <c r="CB754" s="498">
        <f t="shared" si="1513"/>
        <v>0</v>
      </c>
      <c r="CC754" s="498">
        <f t="shared" si="1513"/>
        <v>0</v>
      </c>
      <c r="CD754" s="500">
        <f t="shared" si="1513"/>
        <v>0</v>
      </c>
      <c r="CE754" s="504">
        <f t="shared" si="1513"/>
        <v>0</v>
      </c>
      <c r="CF754" s="160">
        <f t="shared" si="1412"/>
        <v>0</v>
      </c>
      <c r="CG754" s="161">
        <f t="shared" si="1413"/>
        <v>0</v>
      </c>
      <c r="CH754" s="161">
        <f t="shared" si="1414"/>
        <v>0</v>
      </c>
      <c r="CI754" s="161">
        <f t="shared" si="1415"/>
        <v>0</v>
      </c>
      <c r="CJ754" s="161">
        <f t="shared" si="1416"/>
        <v>0</v>
      </c>
      <c r="CK754" s="161">
        <f t="shared" si="1417"/>
        <v>0</v>
      </c>
      <c r="CL754" s="161">
        <f t="shared" si="1418"/>
        <v>0</v>
      </c>
      <c r="CM754" s="161">
        <f t="shared" si="1419"/>
        <v>0</v>
      </c>
      <c r="CN754" s="161">
        <f t="shared" si="1420"/>
        <v>0</v>
      </c>
      <c r="CO754" s="161">
        <f t="shared" si="1421"/>
        <v>0</v>
      </c>
      <c r="CP754" s="161">
        <f t="shared" si="1422"/>
        <v>0</v>
      </c>
      <c r="CQ754" s="161">
        <f t="shared" si="1423"/>
        <v>0</v>
      </c>
      <c r="CR754" s="161">
        <f t="shared" si="1424"/>
        <v>0</v>
      </c>
      <c r="CS754" s="161">
        <f t="shared" si="1425"/>
        <v>0</v>
      </c>
      <c r="CT754" s="75">
        <f t="shared" si="1426"/>
        <v>0</v>
      </c>
      <c r="CU754" s="76">
        <f t="shared" si="1427"/>
        <v>0</v>
      </c>
      <c r="CV754" s="76">
        <f t="shared" si="1428"/>
        <v>0</v>
      </c>
      <c r="CW754" s="76">
        <f t="shared" si="1429"/>
        <v>0</v>
      </c>
      <c r="CX754" s="76">
        <f t="shared" si="1430"/>
        <v>0</v>
      </c>
      <c r="CY754" s="76">
        <f t="shared" si="1431"/>
        <v>0</v>
      </c>
      <c r="CZ754" s="76">
        <f t="shared" si="1432"/>
        <v>0</v>
      </c>
      <c r="DA754" s="76">
        <f t="shared" si="1433"/>
        <v>0</v>
      </c>
      <c r="DB754" s="76">
        <f t="shared" si="1434"/>
        <v>0</v>
      </c>
      <c r="DC754" s="76">
        <f t="shared" si="1435"/>
        <v>1</v>
      </c>
      <c r="DD754" s="76">
        <f t="shared" si="1436"/>
        <v>0</v>
      </c>
      <c r="DE754" s="77">
        <f t="shared" si="1437"/>
        <v>0</v>
      </c>
      <c r="DF754" s="73">
        <f t="shared" si="1440"/>
        <v>43</v>
      </c>
      <c r="DG754" s="67">
        <f t="shared" si="1441"/>
        <v>57.167999999999992</v>
      </c>
      <c r="DH754" s="76">
        <f t="shared" si="1442"/>
        <v>16</v>
      </c>
      <c r="DI754" s="67">
        <f t="shared" si="1443"/>
        <v>68.699999999999989</v>
      </c>
      <c r="DJ754" s="202" t="str">
        <f>IF($D754="","",$D754)</f>
        <v>23</v>
      </c>
      <c r="DK754" s="492">
        <f>IF(AND($B754=" ",$D754&lt;&gt;""),1,0)</f>
        <v>0</v>
      </c>
    </row>
    <row r="755" spans="1:115" ht="14.5" customHeight="1" x14ac:dyDescent="0.2">
      <c r="A755" s="389"/>
      <c r="B755" s="456"/>
      <c r="C755" s="53" t="s">
        <v>54</v>
      </c>
      <c r="D755" s="374"/>
      <c r="E755" s="386"/>
      <c r="F755" s="377"/>
      <c r="G755" s="483"/>
      <c r="H755" s="476"/>
      <c r="I755" s="55" t="s">
        <v>66</v>
      </c>
      <c r="J755" s="231">
        <f>IF(OR(I754="TO",I754="TU",I754="TO1",I754="TU1",I754="TO2",I754="TU2"),J754,IF(OR(I754="AH1",I754="AH2"),IF(OR(I755="AH1",I755="AH2"),-J754,IF(OR(I755="EH1",I755="EH2"),-J754+0.5,"")),IF(OR(I754="EH1",I754="EH2"),IF(OR(I755="AH1",I755="AH2"),-J754+0.5,IF(OR(I755="EH1",I755="EH2"),-J754+1,"")),IF(AND(OR(I754="DNB1",I754="DNB2"),OR(I755="AH1",I755="AH2")),0,IF(AND(I754="Not ScoreBoth",OR(I755="TO1",I755="TO2")),0.5,"")))))</f>
        <v>-1</v>
      </c>
      <c r="K755" s="232" t="s">
        <v>40</v>
      </c>
      <c r="L755" s="58">
        <v>1.81</v>
      </c>
      <c r="M755" s="59">
        <v>11.55</v>
      </c>
      <c r="N755" s="406"/>
      <c r="O755" s="60">
        <f>IF(OR(AE754="",AE755=""),"",ROUND(IF(L756&gt;0,IF(M755&gt;0,M755,IF(M754&gt;0,IF(N754=TRUE,ROUND((M754*AE755)/AE754,0),(M754*AE755)/AE754),IF(M755&gt;0,ROUND(M755,IF(N754=0,2,IF(N754=0.1,1,0))),IF(M756&gt;0,ROUND(O756*AE755/AE756,IF(N754=0,2,IF(N754=0.1,1,0))),0)))),IF(M755&gt;0,M755,ROUND((M754*AE755)/AE754,IF(N754=0,2,IF(N754=0.1,1,0))))),2))</f>
        <v>11.55</v>
      </c>
      <c r="P755" s="61">
        <f>IF(OR(L755="",O755=""),"",IF($C755="1/2W",O755/2+O755/2*L755,IF($C755="1/2L",O755/2,IF(I755="Lay",((O755*(L755/(L755-1)))-O755)*(1-_xlfn.XLOOKUP(K755,'Fevereiro 2023 - Valor Real'!A3:A15,'Fevereiro 2023 - Valor Real'!C3:C15,0))+O755,(O755*L755-O755)*(1-_xlfn.XLOOKUP(K755,'Fevereiro 2023 - Valor Real'!A3:A15,'Fevereiro 2023 - Valor Real'!C3:C15,0))+O755))))</f>
        <v>20.905500000000004</v>
      </c>
      <c r="Q755" s="233">
        <f>IF(K755="","",IF(_xlfn.XLOOKUP(K755,K$4:K754,$DJ$4:DJ754,0,,-1)=DJ755,_xlfn.XLOOKUP(K755,K$4:K754,Q$4:Q754,1,,-1)+1,1))</f>
        <v>5</v>
      </c>
      <c r="R755" s="234">
        <f>IF(K755="","",_xlfn.XLOOKUP(K755,K$4:K754,R$4:R754,0,,-1)+IF($C755=" ",1,0))</f>
        <v>0</v>
      </c>
      <c r="S755" s="403"/>
      <c r="T755" s="380"/>
      <c r="U755" s="380"/>
      <c r="V755" s="481"/>
      <c r="W755" s="380"/>
      <c r="X755" s="452"/>
      <c r="Y755" s="383"/>
      <c r="Z755" s="384"/>
      <c r="AA755" s="384"/>
      <c r="AB755" s="384"/>
      <c r="AC755" s="384"/>
      <c r="AD755" s="64">
        <f>(((L755/(L755-1)-1)*(1-_xlfn.XLOOKUP(K755,'Fevereiro 2023 - Valor Real'!A3:A15,'Fevereiro 2023 - Valor Real'!C3:C15,0))+1))</f>
        <v>2.2345679012345676</v>
      </c>
      <c r="AE755" s="65">
        <f>IF(L755="","",IF(L756&gt;0,(SUM(((L754-1)*(1-_xlfn.XLOOKUP(K754,'Fevereiro 2023 - Valor Real'!A3:A15,'Fevereiro 2023 - Valor Real'!C3:C15,0))+1),((L755-1)*(1-_xlfn.XLOOKUP(K755,'Fevereiro 2023 - Valor Real'!A3:A15,'Fevereiro 2023 - Valor Real'!C3:C15,0))+1),((L756-1)*(1-_xlfn.XLOOKUP(K756,'Fevereiro 2023 - Valor Real'!A3:A15,'Fevereiro 2023 - Valor Real'!C3:C15,0))+1))/((L755-1)*(1-_xlfn.XLOOKUP(K755,'Fevereiro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Real'!C3:C15,0))+1))/((L754-1)*(1-_xlfn.XLOOKUP(K754,'Fevereiro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Real'!C3:C15,0))+1))/((L755-1)*(1-_xlfn.XLOOKUP(K755,'Fevereiro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Real'!C3:C15,0))+1))/((L756-1)*(1-_xlfn.XLOOKUP(K756,'Fevereiro 2023 - Valor Real'!A3:A15,'Fevereiro 2023 - Valor Real'!C3:C15,0))+1)),IF(I755="Lay",IF(I754="Lay",((L754/(L754-1)-1)*(1-_xlfn.XLOOKUP(K754,'Fevereiro 2023 - Valor Real'!A3:A15,'Fevereiro 2023 - Valor Real'!C3:C15,0))+1)/(((L754/(L754-1)-1)*(1-_xlfn.XLOOKUP(K754,'Fevereiro 2023 - Valor Real'!A3:A15,'Fevereiro 2023 - Valor Real'!C3:C15,0))+1)+((L755/(L755-1)-1)*(1-_xlfn.XLOOKUP(K755,'Fevereiro 2023 - Valor Real'!A3:A15,'Fevereiro 2023 - Valor Real'!C3:C15,0))+1)),((L754-1)*(1-_xlfn.XLOOKUP(K754,'Fevereiro 2023 - Valor Real'!A3:A15,'Fevereiro 2023 - Valor Real'!C3:C15,0))+1)/(((L754-1)*(1-_xlfn.XLOOKUP(K754,'Fevereiro 2023 - Valor Real'!A3:A15,'Fevereiro 2023 - Valor Real'!C3:C15,0))+1)+((L755/(L755-1)-1)*(1-_xlfn.XLOOKUP(K755,'Fevereiro 2023 - Valor Real'!A3:A15,'Fevereiro 2023 - Valor Real'!C3:C15,0))+1))),IF(I754="Lay",((L754/(L754-1)-1)*(1-_xlfn.XLOOKUP(K754,'Fevereiro 2023 - Valor Real'!A3:A15,'Fevereiro 2023 - Valor Real'!C3:C15,0))+1)/((((L754/(L754-1)-1)*(1-_xlfn.XLOOKUP(K754,'Fevereiro 2023 - Valor Real'!A3:A15,'Fevereiro 2023 - Valor Real'!C3:C15,0))+1))+((L755-1)*(1-_xlfn.XLOOKUP(K755,'Fevereiro 2023 - Valor Real'!A3:A15,'Fevereiro 2023 - Valor Real'!C3:C15,0))+1)),((L754-1)*(1-_xlfn.XLOOKUP(K754,'Fevereiro 2023 - Valor Real'!A3:A15,'Fevereiro 2023 - Valor Real'!C3:C15,0))+1)/(((L754-1)*(1-_xlfn.XLOOKUP(K754,'Fevereiro 2023 - Valor Real'!A3:A15,'Fevereiro 2023 - Valor Real'!C3:C15,0))+1)+((L755-1)*(1-_xlfn.XLOOKUP(K755,'Fevereiro 2023 - Valor Real'!A3:A15,'Fevereiro 2023 - Valor Real'!C3:C15,0))+1))))))</f>
        <v>0.61974789915966388</v>
      </c>
      <c r="AF755" s="66">
        <f t="shared" si="1510"/>
        <v>0</v>
      </c>
      <c r="AG755" s="67">
        <f t="shared" si="1510"/>
        <v>0</v>
      </c>
      <c r="AH755" s="67">
        <f t="shared" si="1510"/>
        <v>0</v>
      </c>
      <c r="AI755" s="67">
        <f t="shared" si="1510"/>
        <v>0</v>
      </c>
      <c r="AJ755" s="67">
        <f t="shared" si="1510"/>
        <v>9.36</v>
      </c>
      <c r="AK755" s="67">
        <f t="shared" si="1510"/>
        <v>0</v>
      </c>
      <c r="AL755" s="67">
        <f t="shared" si="1510"/>
        <v>0</v>
      </c>
      <c r="AM755" s="67">
        <f t="shared" si="1510"/>
        <v>0</v>
      </c>
      <c r="AN755" s="67">
        <f t="shared" si="1510"/>
        <v>0</v>
      </c>
      <c r="AO755" s="67">
        <f t="shared" si="1510"/>
        <v>0</v>
      </c>
      <c r="AP755" s="67">
        <f t="shared" si="1510"/>
        <v>0</v>
      </c>
      <c r="AQ755" s="67">
        <f t="shared" si="1510"/>
        <v>0</v>
      </c>
      <c r="AR755" s="68">
        <f t="shared" si="1510"/>
        <v>0</v>
      </c>
      <c r="AS755" s="66">
        <f>IF(AND($B754=" ",$K755=AS$3),$O755,0)</f>
        <v>0</v>
      </c>
      <c r="AT755" s="67">
        <f>IF(AND($B754=" ",K755=AT$3),$O755,0)</f>
        <v>0</v>
      </c>
      <c r="AU755" s="67">
        <f t="shared" ref="AU755:BE755" si="1514">IF(AND($B754=" ",$K755=AU$3),$O755,0)</f>
        <v>0</v>
      </c>
      <c r="AV755" s="67">
        <f t="shared" si="1514"/>
        <v>0</v>
      </c>
      <c r="AW755" s="67">
        <f t="shared" si="1514"/>
        <v>0</v>
      </c>
      <c r="AX755" s="67">
        <f t="shared" si="1514"/>
        <v>0</v>
      </c>
      <c r="AY755" s="69">
        <f t="shared" si="1514"/>
        <v>0</v>
      </c>
      <c r="AZ755" s="70">
        <f t="shared" si="1514"/>
        <v>0</v>
      </c>
      <c r="BA755" s="70">
        <f t="shared" si="1514"/>
        <v>0</v>
      </c>
      <c r="BB755" s="70">
        <f t="shared" si="1514"/>
        <v>0</v>
      </c>
      <c r="BC755" s="71">
        <f t="shared" si="1514"/>
        <v>0</v>
      </c>
      <c r="BD755" s="67">
        <f t="shared" si="1514"/>
        <v>0</v>
      </c>
      <c r="BE755" s="68">
        <f t="shared" si="1514"/>
        <v>0</v>
      </c>
      <c r="BF755" s="66">
        <f t="shared" si="1512"/>
        <v>0</v>
      </c>
      <c r="BG755" s="67">
        <f t="shared" si="1512"/>
        <v>0</v>
      </c>
      <c r="BH755" s="67">
        <f t="shared" si="1512"/>
        <v>0</v>
      </c>
      <c r="BI755" s="67">
        <f t="shared" si="1512"/>
        <v>0</v>
      </c>
      <c r="BJ755" s="67">
        <f t="shared" si="1512"/>
        <v>11.55</v>
      </c>
      <c r="BK755" s="67">
        <f t="shared" si="1512"/>
        <v>0</v>
      </c>
      <c r="BL755" s="67">
        <f t="shared" si="1512"/>
        <v>0</v>
      </c>
      <c r="BM755" s="235">
        <f t="shared" si="1512"/>
        <v>0</v>
      </c>
      <c r="BN755" s="159">
        <f t="shared" si="1512"/>
        <v>0</v>
      </c>
      <c r="BO755" s="159">
        <f t="shared" si="1512"/>
        <v>0</v>
      </c>
      <c r="BP755" s="159">
        <f t="shared" si="1512"/>
        <v>0</v>
      </c>
      <c r="BQ755" s="71">
        <f t="shared" si="1512"/>
        <v>0</v>
      </c>
      <c r="BR755" s="68">
        <f t="shared" si="1512"/>
        <v>0</v>
      </c>
      <c r="BS755" s="464"/>
      <c r="BT755" s="461"/>
      <c r="BU755" s="392"/>
      <c r="BV755" s="461"/>
      <c r="BW755" s="392"/>
      <c r="BX755" s="392"/>
      <c r="BY755" s="392"/>
      <c r="BZ755" s="461"/>
      <c r="CA755" s="392"/>
      <c r="CB755" s="392"/>
      <c r="CC755" s="392"/>
      <c r="CD755" s="401"/>
      <c r="CE755" s="409"/>
      <c r="CF755" s="236">
        <f t="shared" si="1412"/>
        <v>0</v>
      </c>
      <c r="CG755" s="237">
        <f t="shared" si="1413"/>
        <v>0</v>
      </c>
      <c r="CH755" s="237">
        <f t="shared" si="1414"/>
        <v>0</v>
      </c>
      <c r="CI755" s="237">
        <f t="shared" si="1415"/>
        <v>0</v>
      </c>
      <c r="CJ755" s="237">
        <f t="shared" si="1416"/>
        <v>0</v>
      </c>
      <c r="CK755" s="237">
        <f t="shared" si="1417"/>
        <v>0</v>
      </c>
      <c r="CL755" s="237">
        <f t="shared" si="1418"/>
        <v>0</v>
      </c>
      <c r="CM755" s="237">
        <f t="shared" si="1419"/>
        <v>0</v>
      </c>
      <c r="CN755" s="237">
        <f t="shared" si="1420"/>
        <v>1</v>
      </c>
      <c r="CO755" s="237">
        <f t="shared" si="1421"/>
        <v>0</v>
      </c>
      <c r="CP755" s="237">
        <f t="shared" si="1422"/>
        <v>0</v>
      </c>
      <c r="CQ755" s="237">
        <f t="shared" si="1423"/>
        <v>0</v>
      </c>
      <c r="CR755" s="237">
        <f t="shared" si="1424"/>
        <v>0</v>
      </c>
      <c r="CS755" s="237">
        <f t="shared" si="1425"/>
        <v>0</v>
      </c>
      <c r="CT755" s="75">
        <f t="shared" si="1426"/>
        <v>0</v>
      </c>
      <c r="CU755" s="76">
        <f t="shared" si="1427"/>
        <v>0</v>
      </c>
      <c r="CV755" s="76">
        <f t="shared" si="1428"/>
        <v>0</v>
      </c>
      <c r="CW755" s="76">
        <f t="shared" si="1429"/>
        <v>0</v>
      </c>
      <c r="CX755" s="76">
        <f t="shared" si="1430"/>
        <v>0</v>
      </c>
      <c r="CY755" s="76">
        <f t="shared" si="1431"/>
        <v>0</v>
      </c>
      <c r="CZ755" s="76">
        <f t="shared" si="1432"/>
        <v>0</v>
      </c>
      <c r="DA755" s="76">
        <f t="shared" si="1433"/>
        <v>0</v>
      </c>
      <c r="DB755" s="76">
        <f t="shared" si="1434"/>
        <v>0</v>
      </c>
      <c r="DC755" s="76">
        <f t="shared" si="1435"/>
        <v>0</v>
      </c>
      <c r="DD755" s="76">
        <f t="shared" si="1436"/>
        <v>0</v>
      </c>
      <c r="DE755" s="77">
        <f t="shared" si="1437"/>
        <v>0</v>
      </c>
      <c r="DF755" s="73">
        <f t="shared" si="1440"/>
        <v>43</v>
      </c>
      <c r="DG755" s="67">
        <f t="shared" si="1441"/>
        <v>57.167999999999992</v>
      </c>
      <c r="DH755" s="76">
        <f t="shared" si="1442"/>
        <v>16</v>
      </c>
      <c r="DI755" s="67">
        <f t="shared" si="1443"/>
        <v>68.699999999999989</v>
      </c>
      <c r="DJ755" s="202" t="str">
        <f>IF($D754="","",$D754)</f>
        <v>23</v>
      </c>
      <c r="DK755" s="466"/>
    </row>
    <row r="756" spans="1:115" ht="14.5" customHeight="1" x14ac:dyDescent="0.2">
      <c r="A756" s="390"/>
      <c r="B756" s="457"/>
      <c r="C756" s="79" t="s">
        <v>53</v>
      </c>
      <c r="D756" s="375"/>
      <c r="E756" s="387"/>
      <c r="F756" s="378"/>
      <c r="G756" s="484"/>
      <c r="H756" s="477"/>
      <c r="I756" s="82"/>
      <c r="J756" s="83"/>
      <c r="K756" s="90"/>
      <c r="L756" s="84"/>
      <c r="M756" s="85"/>
      <c r="N756" s="407"/>
      <c r="O756" s="86" t="str">
        <f>IF(OR(AE754="",AE755=""),"",IF(L756&gt;0,ROUND(IF(M756&gt;0,M756,IF(M754&gt;0,ROUND((M754*AE756)/AE754,IF(N754=0,2,IF(N754=0.1,1,0))),IF(M755&gt;0,ROUND((M755*AE756)/AE755,IF(N754=0,2,IF(N754=0.1,1,0))),IF(M756&gt;0,M756,0)))),2),""))</f>
        <v/>
      </c>
      <c r="P756" s="87" t="str">
        <f>IF(I755="Lay",O755*(L755/(L755-1))-O755,IF(I754="Lay",O754*(L754/(L754-1))-O754,IF(OR(L756="",O756=""),"",IF($C756="1/2W",O756/2+O756/2*L756,IF($C756="1/2L",O756/2,(O756*L756-O756)*(1-_xlfn.XLOOKUP(K756,'Fevereiro 2023 - Valor Real'!A3:A15,'Fevereiro 2023 - Valor Real'!C3:C15,0))+O756)))))</f>
        <v/>
      </c>
      <c r="Q756" s="238" t="str">
        <f>IF(K756="","",IF(_xlfn.XLOOKUP(K756,K$4:K755,$DJ$4:DJ755,0,,-1)=DJ756,_xlfn.XLOOKUP(K756,K$4:K755,Q$4:Q755,1,,-1)+1,1))</f>
        <v/>
      </c>
      <c r="R756" s="239" t="str">
        <f>IF(K756="","",_xlfn.XLOOKUP(K756,K$4:K755,R$4:R755,0,,-1)+IF($C756=" ",1,0))</f>
        <v/>
      </c>
      <c r="S756" s="404"/>
      <c r="T756" s="378"/>
      <c r="U756" s="378"/>
      <c r="V756" s="404"/>
      <c r="W756" s="378"/>
      <c r="X756" s="453"/>
      <c r="Y756" s="383"/>
      <c r="Z756" s="384"/>
      <c r="AA756" s="384"/>
      <c r="AB756" s="384"/>
      <c r="AC756" s="384"/>
      <c r="AD756" s="240">
        <f>((L755/(L755-1)-1))</f>
        <v>1.2345679012345676</v>
      </c>
      <c r="AE756" s="91" t="str">
        <f>IF(L756="","",(SUM(((L754-1)*(1-_xlfn.XLOOKUP(K754,'Fevereiro 2023 - Valor Real'!A3:A15,'Fevereiro 2023 - Valor Real'!C3:C15,0))+1),((L755-1)*(1-_xlfn.XLOOKUP(K755,'Fevereiro 2023 - Valor Real'!A3:A15,'Fevereiro 2023 - Valor Real'!C3:C15,0))+1),((L756-1)*(1-_xlfn.XLOOKUP(K756,'Fevereiro 2023 - Valor Real'!A3:A15,'Fevereiro 2023 - Valor Real'!C3:C15,0))+1))/((L756-1)*(1-_xlfn.XLOOKUP(K756,'Fevereiro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Real'!C3:C15,0))+1))/((L754-1)*(1-_xlfn.XLOOKUP(K754,'Fevereiro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Real'!C3:C15,0))+1))/((L755-1)*(1-_xlfn.XLOOKUP(K755,'Fevereiro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Real'!C3:C15,0))+1))/((L756-1)*(1-_xlfn.XLOOKUP(K756,'Fevereiro 2023 - Valor Real'!A3:A15,'Fevereiro 2023 - Valor Real'!C3:C15,0))+1)))</f>
        <v/>
      </c>
      <c r="AF756" s="66">
        <f t="shared" si="1510"/>
        <v>0</v>
      </c>
      <c r="AG756" s="67">
        <f t="shared" si="1510"/>
        <v>0</v>
      </c>
      <c r="AH756" s="67">
        <f t="shared" si="1510"/>
        <v>0</v>
      </c>
      <c r="AI756" s="67">
        <f t="shared" si="1510"/>
        <v>0</v>
      </c>
      <c r="AJ756" s="67">
        <f t="shared" si="1510"/>
        <v>0</v>
      </c>
      <c r="AK756" s="67">
        <f t="shared" si="1510"/>
        <v>0</v>
      </c>
      <c r="AL756" s="67">
        <f t="shared" si="1510"/>
        <v>0</v>
      </c>
      <c r="AM756" s="67">
        <f t="shared" si="1510"/>
        <v>0</v>
      </c>
      <c r="AN756" s="67">
        <f t="shared" si="1510"/>
        <v>0</v>
      </c>
      <c r="AO756" s="67">
        <f t="shared" si="1510"/>
        <v>0</v>
      </c>
      <c r="AP756" s="67">
        <f t="shared" si="1510"/>
        <v>0</v>
      </c>
      <c r="AQ756" s="67">
        <f t="shared" si="1510"/>
        <v>0</v>
      </c>
      <c r="AR756" s="68">
        <f t="shared" si="1510"/>
        <v>0</v>
      </c>
      <c r="AS756" s="66">
        <f>IF(AND($B754=" ",$K756=AS$3),$O756,0)</f>
        <v>0</v>
      </c>
      <c r="AT756" s="67">
        <f>IF(AND($B754=" ",K756=AT$3),$O756,0)</f>
        <v>0</v>
      </c>
      <c r="AU756" s="67">
        <f t="shared" ref="AU756:BE756" si="1515">IF(AND($B754=" ",$K756=AU$3),$O756,0)</f>
        <v>0</v>
      </c>
      <c r="AV756" s="67">
        <f t="shared" si="1515"/>
        <v>0</v>
      </c>
      <c r="AW756" s="67">
        <f t="shared" si="1515"/>
        <v>0</v>
      </c>
      <c r="AX756" s="67">
        <f t="shared" si="1515"/>
        <v>0</v>
      </c>
      <c r="AY756" s="69">
        <f t="shared" si="1515"/>
        <v>0</v>
      </c>
      <c r="AZ756" s="70">
        <f t="shared" si="1515"/>
        <v>0</v>
      </c>
      <c r="BA756" s="70">
        <f t="shared" si="1515"/>
        <v>0</v>
      </c>
      <c r="BB756" s="70">
        <f t="shared" si="1515"/>
        <v>0</v>
      </c>
      <c r="BC756" s="71">
        <f t="shared" si="1515"/>
        <v>0</v>
      </c>
      <c r="BD756" s="67">
        <f t="shared" si="1515"/>
        <v>0</v>
      </c>
      <c r="BE756" s="68">
        <f t="shared" si="1515"/>
        <v>0</v>
      </c>
      <c r="BF756" s="66">
        <f t="shared" si="1512"/>
        <v>0</v>
      </c>
      <c r="BG756" s="67">
        <f t="shared" si="1512"/>
        <v>0</v>
      </c>
      <c r="BH756" s="67">
        <f t="shared" si="1512"/>
        <v>0</v>
      </c>
      <c r="BI756" s="67">
        <f t="shared" si="1512"/>
        <v>0</v>
      </c>
      <c r="BJ756" s="67">
        <f t="shared" si="1512"/>
        <v>0</v>
      </c>
      <c r="BK756" s="67">
        <f t="shared" si="1512"/>
        <v>0</v>
      </c>
      <c r="BL756" s="67">
        <f t="shared" si="1512"/>
        <v>0</v>
      </c>
      <c r="BM756" s="69">
        <f t="shared" si="1512"/>
        <v>0</v>
      </c>
      <c r="BN756" s="70">
        <f t="shared" si="1512"/>
        <v>0</v>
      </c>
      <c r="BO756" s="70">
        <f t="shared" si="1512"/>
        <v>0</v>
      </c>
      <c r="BP756" s="70">
        <f t="shared" si="1512"/>
        <v>0</v>
      </c>
      <c r="BQ756" s="71">
        <f t="shared" si="1512"/>
        <v>0</v>
      </c>
      <c r="BR756" s="68">
        <f t="shared" si="1512"/>
        <v>0</v>
      </c>
      <c r="BS756" s="464"/>
      <c r="BT756" s="461"/>
      <c r="BU756" s="392"/>
      <c r="BV756" s="461"/>
      <c r="BW756" s="392"/>
      <c r="BX756" s="392"/>
      <c r="BY756" s="392"/>
      <c r="BZ756" s="461"/>
      <c r="CA756" s="392"/>
      <c r="CB756" s="392"/>
      <c r="CC756" s="392"/>
      <c r="CD756" s="401"/>
      <c r="CE756" s="409"/>
      <c r="CF756" s="236">
        <f t="shared" si="1412"/>
        <v>0</v>
      </c>
      <c r="CG756" s="237">
        <f t="shared" si="1413"/>
        <v>0</v>
      </c>
      <c r="CH756" s="237">
        <f t="shared" si="1414"/>
        <v>0</v>
      </c>
      <c r="CI756" s="237">
        <f t="shared" si="1415"/>
        <v>0</v>
      </c>
      <c r="CJ756" s="237">
        <f t="shared" si="1416"/>
        <v>0</v>
      </c>
      <c r="CK756" s="237">
        <f t="shared" si="1417"/>
        <v>0</v>
      </c>
      <c r="CL756" s="237">
        <f t="shared" si="1418"/>
        <v>0</v>
      </c>
      <c r="CM756" s="237">
        <f t="shared" si="1419"/>
        <v>0</v>
      </c>
      <c r="CN756" s="237">
        <f t="shared" si="1420"/>
        <v>0</v>
      </c>
      <c r="CO756" s="237">
        <f t="shared" si="1421"/>
        <v>0</v>
      </c>
      <c r="CP756" s="237">
        <f t="shared" si="1422"/>
        <v>0</v>
      </c>
      <c r="CQ756" s="237">
        <f t="shared" si="1423"/>
        <v>0</v>
      </c>
      <c r="CR756" s="237">
        <f t="shared" si="1424"/>
        <v>0</v>
      </c>
      <c r="CS756" s="237">
        <f t="shared" si="1425"/>
        <v>0</v>
      </c>
      <c r="CT756" s="75">
        <f t="shared" si="1426"/>
        <v>0</v>
      </c>
      <c r="CU756" s="76">
        <f t="shared" si="1427"/>
        <v>0</v>
      </c>
      <c r="CV756" s="76">
        <f t="shared" si="1428"/>
        <v>0</v>
      </c>
      <c r="CW756" s="76">
        <f t="shared" si="1429"/>
        <v>0</v>
      </c>
      <c r="CX756" s="76">
        <f t="shared" si="1430"/>
        <v>0</v>
      </c>
      <c r="CY756" s="76">
        <f t="shared" si="1431"/>
        <v>0</v>
      </c>
      <c r="CZ756" s="76">
        <f t="shared" si="1432"/>
        <v>0</v>
      </c>
      <c r="DA756" s="76">
        <f t="shared" si="1433"/>
        <v>0</v>
      </c>
      <c r="DB756" s="76">
        <f t="shared" si="1434"/>
        <v>0</v>
      </c>
      <c r="DC756" s="76">
        <f t="shared" si="1435"/>
        <v>0</v>
      </c>
      <c r="DD756" s="76">
        <f t="shared" si="1436"/>
        <v>0</v>
      </c>
      <c r="DE756" s="77">
        <f t="shared" si="1437"/>
        <v>0</v>
      </c>
      <c r="DF756" s="73">
        <f t="shared" si="1440"/>
        <v>43</v>
      </c>
      <c r="DG756" s="67">
        <f t="shared" si="1441"/>
        <v>57.167999999999992</v>
      </c>
      <c r="DH756" s="76">
        <f t="shared" si="1442"/>
        <v>16</v>
      </c>
      <c r="DI756" s="67">
        <f t="shared" si="1443"/>
        <v>68.699999999999989</v>
      </c>
      <c r="DJ756" s="202" t="str">
        <f>IF($D754="","",$D754)</f>
        <v>23</v>
      </c>
      <c r="DK756" s="466"/>
    </row>
    <row r="757" spans="1:115" ht="14.5" customHeight="1" x14ac:dyDescent="0.2">
      <c r="A757" s="459">
        <f>$A754+1</f>
        <v>252</v>
      </c>
      <c r="B757" s="507" t="str">
        <f>IF(OR(C757="W",C758="W",C759="W",C757="1/2W",C758="1/2W",C759="1/2W",C757="1/2L",C758="1/2L",C759="1/2L"),"OK",IF(OR(C757="L",C758="L",C759="L"),"LOSS",IF(OR(C757="X",C758="X",C759="X"),"Anulado"," ")))</f>
        <v>OK</v>
      </c>
      <c r="C757" s="93" t="s">
        <v>55</v>
      </c>
      <c r="D757" s="468" t="str">
        <f>IF(G757="","",$D754)</f>
        <v>23</v>
      </c>
      <c r="E757" s="485" t="str">
        <f>IF(G757=""," ","– "&amp;COUNTIF(D$4:D759,$D757))</f>
        <v>– 18</v>
      </c>
      <c r="F757" s="509" t="str">
        <f ca="1">IF(G757="","",IF(OR(AND($C757&lt;&gt;" ",$C758=" "),AND($C758&lt;&gt;" ",$C757=" "),AND(L759&gt;0,OR(AND($C759&lt;&gt;" ",OR($C757=" ",$C758=" ")),AND($C759=" ",OR($C757&lt;&gt;" ",$C758&lt;&gt;" "))))),IF(SUM(F$4:F756)=0,1,LARGE(F$4:F756,1)+1),IF(MONTH(G757)=MONTH(TODAY()),IF(AND(DAY(G757)&lt;DAY(TODAY()),$B757=" "),IF(SUM(F$4:F756)=0,1,LARGE(F$4:F756,1)+1),IF($B757=" ",IF(AND(DAY(G757)=DAY(TODAY()),HOUR(G757)&lt;=HOUR(NOW())+1),IF(AND(HOUR(G757)+2&lt;=HOUR(NOW()),DAY(G757)&lt;=DAY(TODAY()),MINUTE(G757)&lt;=MINUTE(NOW())),IF(SUM(F$4:F756)=0,1,LARGE(F$4:F756,1)+1),IF(OR(MINUTE(G757)&lt;=MINUTE(NOW()),HOUR(G757)&lt;=HOUR(NOW())),"!!!","")),""),"")),"")))</f>
        <v/>
      </c>
      <c r="G757" s="482">
        <f>IF(H757="","",_xlfn.XLOOKUP(H757,$H$4:H756,$G$4:G756,""))</f>
        <v>45010.479166666664</v>
      </c>
      <c r="H757" s="475" t="s">
        <v>263</v>
      </c>
      <c r="I757" s="94" t="s">
        <v>76</v>
      </c>
      <c r="J757" s="95">
        <v>2.5</v>
      </c>
      <c r="K757" s="96" t="s">
        <v>47</v>
      </c>
      <c r="L757" s="97">
        <v>2.35</v>
      </c>
      <c r="M757" s="98">
        <v>9.68</v>
      </c>
      <c r="N757" s="478">
        <v>0.1</v>
      </c>
      <c r="O757" s="99">
        <f>IF(OR(AE757="",AE758=""),"",ROUND(IF(L759&gt;0,IF(M757&gt;0,M757,IF(M758&gt;0,ROUND((M758*AE757)/AE758,IF(N757=0,2,IF(N757=0.1,1,0))),ROUND((M759*AE757)/AE759,IF(N757=0,2,IF(N757=0.1,1,0))))),IF(M757&gt;0,M757,ROUND((M758*AE757)/AE758,IF(N757=0,2,IF(N757=0.1,1,0))))),2))</f>
        <v>9.68</v>
      </c>
      <c r="P757" s="100">
        <f>IF(OR(L757="",O757=""),"",IF($C757="1/2W",O757/2+O757/2*L757,IF($C757="1/2L",O757/2,IF(I757="Lay",(O757*(L757/(L757-1))-O757)*(1-_xlfn.XLOOKUP(K757,'Fevereiro 2023 - Valor Real'!A3:A15,'Fevereiro 2023 - Valor Real'!C3:C15,0))+O757,(O757*L757-O757)*(1-_xlfn.XLOOKUP(K757,'Fevereiro 2023 - Valor Real'!A3:A15,'Fevereiro 2023 - Valor Real'!C3:C15,0))+O757))))</f>
        <v>22.748000000000001</v>
      </c>
      <c r="Q757" s="101">
        <f>IF(K757="","",IF(_xlfn.XLOOKUP(K757,K$4:K756,$DJ$4:DJ756,0,,-1)=DJ757,_xlfn.XLOOKUP(K757,K$4:K756,Q$4:Q756,1,,-1)+1,1))</f>
        <v>7</v>
      </c>
      <c r="R757" s="102">
        <f>IF(K757="","",_xlfn.XLOOKUP(K757,K$4:K756,R$4:R756,0,,-1)+IF($C757=" ",1,0))</f>
        <v>0</v>
      </c>
      <c r="S757" s="474">
        <f>IF($B757="Anulado",0,ROUND(IF(OR($B757="LOSS",$B757="OK"),IF(OR($C757="W",$C757="1/2W",$C757="1/2L"),P757-O757,IF($C757="L",-O757,0))+IF(OR($C758="W",$C758="1/2W",$C758="1/2L"),P758-O758,IF($C758="L",-O758,0))+IF(OR($C759="W",$C759="1/2W",$C759="1/2L"),P759-O759,IF($C759="L",-O759,0)),IF(AND(OR($C757="W",$C757="1/2W",$C757="1/2L"),C758="W"),P757+P758-SUM(O757:O759)+_xlfn.XLOOKUP("X",C757:C759,O757:O759,0),IF(AND(C757=TRUE,C759="W"),P757+P759-SUM(O757:O759),IF(AND(C758="W",C759="W"),P758+P759-SUM(O757:O759)+_xlfn.XLOOKUP("X",C757:C759,O757:O759,0),IF(L759&gt;0,IF(OR($C757="W",$C757="1/2W",$C757="1/2L"),P757-SUM(O757:O759)+_xlfn.XLOOKUP("X",C757:C759,O757:O759,0),IF(OR($C757="W",$C757="1/2W",$C757="1/2L"),P758-SUM(O757:O759)+_xlfn.XLOOKUP("X",C757:C759,O757:O759,0),IF(OR($C757="W",$C757="1/2W",$C757="1/2L"),P759-SUM(O757:O759)+_xlfn.XLOOKUP("X",C757:C759,O757:O759,0),IF(SUM(P757:P759)/3-SUM(O757:O759)+_xlfn.XLOOKUP("X",C757:C759,O757:O759,0)&gt;0,SUM(P757:P759)/3-SUM(O757:O759)+_xlfn.XLOOKUP("X",C757:C759,O757:O759,0),LARGE(P757:P759,1)-SUM(O757:O759))))),IF(OR($C757="W",$C757="1/2W",$C757="1/2L"),P757-SUM(O757:O758)+_xlfn.XLOOKUP("X",C757:C759,O757:O759,0),IF(OR($C757="W",$C757="1/2W",$C757="1/2L"),P758-SUM(O757:O758)+_xlfn.XLOOKUP("X",C757:C759,O757:O759,0),SUM(P757:P758)/2-SUM(O757:O758)+_xlfn.XLOOKUP("X",C757:C759,O757:O759,0)))))))),2))</f>
        <v>1.1200000000000001</v>
      </c>
      <c r="T757" s="458">
        <f>IF(S757=0,0,S757/SUM(O757:O759))</f>
        <v>5.166051660516606E-2</v>
      </c>
      <c r="U757" s="470">
        <f>IF($D757=$D754,IF(OR($B757="LOSS",$B757="OK",$B757="Anulada"),S757,0)+U754,IF(OR($B757="LOSS",$B757="OK",$B757="Anulada"),S757,0))</f>
        <v>40.01</v>
      </c>
      <c r="V757" s="470">
        <f>IF($D757="",0,IF($D757=$D754,IF($B757=" ",IF(I759="",IF(OR(AND(I757="DNB1",I758="DNB2"),AND(OR(I757="DNB1",I757="DNB2"),J758=0),AND(OR(I758="DNB1",I758="DNB2"),J757=0),AND(I757="DNB2",I758="DNB1"),AND(IF(J757=0,(J757+1)/ROUND(J757+1,0),J757/ROUND(J757,0))=1,IF(J758=0,(J758+1)/ROUND(IF(J758="",0,J758)+1,0),IF(J758="",0,J758)/ROUND(IF(J758="",1,J758),0))=1,OR(J757&lt;&gt;""),J758&lt;&gt;"")),0,IF(S757&lt;0,IF(I759="",SMALL(P757:P758,1)-SUM(O757:O758),0),SMALL(P757:P758,1)-SUM(O757:O758))),IF(S757&lt;0,IF(I759="",SMALL(P757:P759,1)-SUM(O757:O759),0),LARGE(P757:P759,1)-SUM(O757:O759))),S757)+V754,IF(I759="",IF(OR(AND(I757="DNB1",I758="DNB2"),AND(OR(I757="DNB1",I757="DNB2"),J758=0),AND(OR(I758="DNB1",I758="DNB2"),J757=0),AND(I757="DNB2",I758="DNB1"),AND(IF(J757=0,(J757+1)/ROUND(J757+1,0),J757/ROUND(J757,0))=1,IF(J758=0,(IF(J758="",0,J758)+1)/ROUND(IF(J758="",0,J758)+1,0),IF(J758="",0,J758)/ROUND(IF(J758="",0,J758)+1,0))=1,OR(J757&lt;&gt;""),J758&lt;&gt;"")),0,IF(S757&lt;0,IF(I759="",SMALL(P757:P758,1)-SUM(O757:O758),0),SMALL(P757:P759,1)-SUM(O757:O759))),IF(S757&lt;0,IF(I759="",SMALL(P757:P759,1)-SUM(O757:O759),0),LARGE(P757:P759,1)-SUM(O757:O759)))))</f>
        <v>40.01</v>
      </c>
      <c r="W757" s="470">
        <f>IF($D757=$D754,IF(S757&lt;0,IF(I759="",S757,0),S757)+W754,S757)</f>
        <v>40.01</v>
      </c>
      <c r="X757" s="480" t="str">
        <f>IF(OR(SUM(R757:R759)=0,V757=W757),ROUND(IF(W757=0,0,W757/Y757)*100,2)&amp;"%",ROUND(IF(V757=0,0,V757/Y757)*100,2)&amp;"% a "&amp;ROUND(IF(W757=0,0,W757/Y757)*100,2)&amp;"%")</f>
        <v>7,12%</v>
      </c>
      <c r="Y757" s="471">
        <f>IF($D757=$D754,Y754+SUM(O757:O759),SUM(O757:O759))</f>
        <v>561.8599999999999</v>
      </c>
      <c r="Z757" s="470">
        <f>IF($B757=" ",SUM(O757:O759),0)+Z754</f>
        <v>0</v>
      </c>
      <c r="AA757" s="470">
        <f>IF(G757="","",IF($B757="Anulado",LARGE(P757:P759,1)-SUM(O757:O759)+AA754,AA754))</f>
        <v>13.381099999999991</v>
      </c>
      <c r="AB757" s="470">
        <f>IF($D757="","",AB754+S757)</f>
        <v>846.37000000000069</v>
      </c>
      <c r="AC757" s="472">
        <f ca="1">IF($D757="","",IF($B757=" ",IF(DAY(G757)=DAY(TODAY()),1+AC754,0+AC754),0+AC754))</f>
        <v>0</v>
      </c>
      <c r="AD757" s="103">
        <f>(((L758/(L758-1)-1)*(1-_xlfn.XLOOKUP(K758,'Fevereiro 2023 - Valor Real'!A3:A15,'Fevereiro 2023 - Valor Real'!C3:C15,0))+1))/(((L757-1)*(1-_xlfn.XLOOKUP(K757,'Fevereiro 2023 - Valor Real'!A3:A15,'Fevereiro 2023 - Valor Real'!C3:C15,0))+1)+((L758/(L758-1)-1)*(1-_xlfn.XLOOKUP(K758,'Fevereiro 2023 - Valor Real'!A3:A15,'Fevereiro 2023 - Valor Real'!C3:C15,0))+1))</f>
        <v>0.47322540473225405</v>
      </c>
      <c r="AE757" s="104">
        <f>IF(L757="","",IF(L759&gt;0,(SUM(((L757-1)*(1-_xlfn.XLOOKUP(K757,'Fevereiro 2023 - Valor Real'!A3:A15,'Fevereiro 2023 - Valor Real'!C3:C15,0))+1),((L758-1)*(1-_xlfn.XLOOKUP(K758,'Fevereiro 2023 - Valor Real'!A3:A15,'Fevereiro 2023 - Valor Real'!C3:C15,0))+1),((L759-1)*(1-_xlfn.XLOOKUP(K759,'Fevereiro 2023 - Valor Real'!A3:A15,'Fevereiro 2023 - Valor Real'!C3:C15,0))+1))/((L757-1)*(1-_xlfn.XLOOKUP(K757,'Fevereiro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Real'!C3:C15,0))+1))/((L757-1)*(1-_xlfn.XLOOKUP(K757,'Fevereiro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Real'!C3:C15,0))+1))/((L758-1)*(1-_xlfn.XLOOKUP(K758,'Fevereiro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Real'!C3:C15,0))+1))/((L759-1)*(1-_xlfn.XLOOKUP(K759,'Fevereiro 2023 - Valor Real'!A3:A15,'Fevereiro 2023 - Valor Real'!C3:C15,0))+1)),IF(I757="Lay",IF(I758="Lay",((L758/(L758-1)-1)*(1-_xlfn.XLOOKUP(K758,'Fevereiro 2023 - Valor Real'!A3:A15,'Fevereiro 2023 - Valor Real'!C3:C15,0))+1)/(((L758/(L758-1)-1)*(1-_xlfn.XLOOKUP(K758,'Fevereiro 2023 - Valor Real'!A3:A15,'Fevereiro 2023 - Valor Real'!C3:C15,0))+1)+((L757/(L757-1)-1)*(1-_xlfn.XLOOKUP(K757,'Fevereiro 2023 - Valor Real'!A3:A15,'Fevereiro 2023 - Valor Real'!C3:C15,0))+1)),((L758-1)*(1-_xlfn.XLOOKUP(K758,'Fevereiro 2023 - Valor Real'!A3:A15,'Fevereiro 2023 - Valor Real'!C3:C15,0))+1)/(((L758-1)*(1-_xlfn.XLOOKUP(K758,'Fevereiro 2023 - Valor Real'!A3:A15,'Fevereiro 2023 - Valor Real'!C3:C15,0))+1)+((L757/(L757-1)-1)*(1-_xlfn.XLOOKUP(K757,'Fevereiro 2023 - Valor Real'!A3:A15,'Fevereiro 2023 - Valor Real'!C3:C15,0))+1))),IF(I758="Lay",(((L758/(L758-1)-1)*(1-_xlfn.XLOOKUP(K758,'Fevereiro 2023 - Valor Real'!A3:A15,'Fevereiro 2023 - Valor Real'!C3:C15,0))+1))/(((L757-1)*(1-_xlfn.XLOOKUP(K757,'Fevereiro 2023 - Valor Real'!A3:A15,'Fevereiro 2023 - Valor Real'!C3:C15,0))+1)+((L758/(L758-1)-1)*(1-_xlfn.XLOOKUP(K758,'Fevereiro 2023 - Valor Real'!A3:A15,'Fevereiro 2023 - Valor Real'!C3:C15,0))+1)),((L758-1)*(1-_xlfn.XLOOKUP(K758,'Fevereiro 2023 - Valor Real'!A3:A15,'Fevereiro 2023 - Valor Real'!C3:C15,0))+1)/(((L758-1)*(1-_xlfn.XLOOKUP(K758,'Fevereiro 2023 - Valor Real'!A3:A15,'Fevereiro 2023 - Valor Real'!C3:C15,0))+1)+((L757-1)*(1-_xlfn.XLOOKUP(K757,'Fevereiro 2023 - Valor Real'!A3:A15,'Fevereiro 2023 - Valor Real'!C3:C15,0))+1))))))</f>
        <v>0.44705882352941173</v>
      </c>
      <c r="AF757" s="105">
        <f t="shared" si="1510"/>
        <v>0</v>
      </c>
      <c r="AG757" s="106">
        <f t="shared" si="1510"/>
        <v>0</v>
      </c>
      <c r="AH757" s="106">
        <f t="shared" si="1510"/>
        <v>0</v>
      </c>
      <c r="AI757" s="106">
        <f t="shared" si="1510"/>
        <v>0</v>
      </c>
      <c r="AJ757" s="106">
        <f t="shared" si="1510"/>
        <v>0</v>
      </c>
      <c r="AK757" s="106">
        <f t="shared" si="1510"/>
        <v>0</v>
      </c>
      <c r="AL757" s="106">
        <f t="shared" si="1510"/>
        <v>0</v>
      </c>
      <c r="AM757" s="106">
        <f t="shared" si="1510"/>
        <v>0</v>
      </c>
      <c r="AN757" s="106">
        <f t="shared" si="1510"/>
        <v>0</v>
      </c>
      <c r="AO757" s="106">
        <f t="shared" si="1510"/>
        <v>0</v>
      </c>
      <c r="AP757" s="106">
        <f t="shared" si="1510"/>
        <v>0</v>
      </c>
      <c r="AQ757" s="106">
        <f t="shared" si="1510"/>
        <v>-9.68</v>
      </c>
      <c r="AR757" s="107">
        <f t="shared" si="1510"/>
        <v>0</v>
      </c>
      <c r="AS757" s="105">
        <f t="shared" ref="AS757:BE757" si="1516">IF(AND($B757=" ",$K757=AS$3),$O757,0)</f>
        <v>0</v>
      </c>
      <c r="AT757" s="106">
        <f t="shared" si="1516"/>
        <v>0</v>
      </c>
      <c r="AU757" s="106">
        <f t="shared" si="1516"/>
        <v>0</v>
      </c>
      <c r="AV757" s="106">
        <f t="shared" si="1516"/>
        <v>0</v>
      </c>
      <c r="AW757" s="106">
        <f t="shared" si="1516"/>
        <v>0</v>
      </c>
      <c r="AX757" s="106">
        <f t="shared" si="1516"/>
        <v>0</v>
      </c>
      <c r="AY757" s="108">
        <f t="shared" si="1516"/>
        <v>0</v>
      </c>
      <c r="AZ757" s="109">
        <f t="shared" si="1516"/>
        <v>0</v>
      </c>
      <c r="BA757" s="109">
        <f t="shared" si="1516"/>
        <v>0</v>
      </c>
      <c r="BB757" s="109">
        <f t="shared" si="1516"/>
        <v>0</v>
      </c>
      <c r="BC757" s="110">
        <f t="shared" si="1516"/>
        <v>0</v>
      </c>
      <c r="BD757" s="106">
        <f t="shared" si="1516"/>
        <v>0</v>
      </c>
      <c r="BE757" s="107">
        <f t="shared" si="1516"/>
        <v>0</v>
      </c>
      <c r="BF757" s="111">
        <f t="shared" si="1512"/>
        <v>0</v>
      </c>
      <c r="BG757" s="106">
        <f t="shared" si="1512"/>
        <v>0</v>
      </c>
      <c r="BH757" s="106">
        <f t="shared" si="1512"/>
        <v>0</v>
      </c>
      <c r="BI757" s="106">
        <f t="shared" si="1512"/>
        <v>0</v>
      </c>
      <c r="BJ757" s="106">
        <f t="shared" si="1512"/>
        <v>0</v>
      </c>
      <c r="BK757" s="106">
        <f t="shared" si="1512"/>
        <v>0</v>
      </c>
      <c r="BL757" s="106">
        <f t="shared" si="1512"/>
        <v>0</v>
      </c>
      <c r="BM757" s="108">
        <f t="shared" si="1512"/>
        <v>0</v>
      </c>
      <c r="BN757" s="109">
        <f t="shared" si="1512"/>
        <v>0</v>
      </c>
      <c r="BO757" s="109">
        <f t="shared" si="1512"/>
        <v>0</v>
      </c>
      <c r="BP757" s="109">
        <f t="shared" si="1512"/>
        <v>0</v>
      </c>
      <c r="BQ757" s="110">
        <f t="shared" si="1512"/>
        <v>9.68</v>
      </c>
      <c r="BR757" s="107">
        <f t="shared" si="1512"/>
        <v>0</v>
      </c>
      <c r="BS757" s="463">
        <f>IF($B757="LOSS",IF(AND($K757=BS$3,$C757="L"),-$O757,0)+IF(AND($K758=BS$3,$C758="L"),-$O758,0)+IF(AND($K759=BS$3,$C759="L"),-$O759,0),IF(OR(AND($K757=BS$3,OR($C757="W",$C757="1/2W")),AND($K758=BS$3,OR($C758="W",$C758="1/2W")),AND($K759=BS$3,OR($C759="W",$C759="1/2W"))),$S757,0))</f>
        <v>0</v>
      </c>
      <c r="BT757" s="462">
        <f>IF($B757="LOSS",IF(AND($K757=BT$3,$C757="L"),-$O757,0)+IF(AND($K758=BT$3,$C758="L"),-$O758,0)+IF(AND($K758=BT$3,$C759="L"),-$O759,0),IF(OR(AND($K758=BT$3,OR($C757="W",$C757="1/2W")),AND($K758=BT$3,OR($C758="W",$C758="1/2W")),AND($K758=BT$3,OR($C759="W",$C759="1/2W"))),$S757,0))</f>
        <v>0</v>
      </c>
      <c r="BU757" s="462">
        <f>IF($B757="LOSS",IF(AND($K757=BU$3,$C757="L"),-$O757,0)+IF(AND($K758=BU$3,$C758="L"),-$O758,0)+IF(AND($K758=BU$3,$C759="L"),-$O759,0),IF(OR(AND($K758=BU$3,OR($C757="W",$C757="1/2W")),AND($K758=BU$3,OR($C758="W",$C758="1/2W")),AND($K758=BU$3,OR($C759="W",$C759="1/2W"))),$S757,0))</f>
        <v>0</v>
      </c>
      <c r="BV757" s="462">
        <f t="shared" ref="BV757:CE757" si="1517">IF($B757="LOSS",IF(AND($K757=BV$3,$C757="L"),-$O757,0)+IF(AND($K758=BV$3,$C758="L"),-$O758,0)+IF(AND($K759=BV$3,$C759="L"),-$O759,0),IF(OR(AND($K757=BV$3,OR($C757="W",$C757="1/2W")),AND($K758=BV$3,OR($C758="W",$C758="1/2W")),AND($K759=BV$3,OR($C759="W",$C759="1/2W"))),$S757,0))</f>
        <v>0</v>
      </c>
      <c r="BW757" s="462">
        <f t="shared" si="1517"/>
        <v>1.1200000000000001</v>
      </c>
      <c r="BX757" s="462">
        <f t="shared" si="1517"/>
        <v>0</v>
      </c>
      <c r="BY757" s="462">
        <f t="shared" si="1517"/>
        <v>0</v>
      </c>
      <c r="BZ757" s="460">
        <f t="shared" si="1517"/>
        <v>0</v>
      </c>
      <c r="CA757" s="460">
        <f t="shared" si="1517"/>
        <v>0</v>
      </c>
      <c r="CB757" s="460">
        <f t="shared" si="1517"/>
        <v>0</v>
      </c>
      <c r="CC757" s="460">
        <f t="shared" si="1517"/>
        <v>0</v>
      </c>
      <c r="CD757" s="473">
        <f t="shared" si="1517"/>
        <v>0</v>
      </c>
      <c r="CE757" s="479">
        <f t="shared" si="1517"/>
        <v>0</v>
      </c>
      <c r="CF757" s="113">
        <f t="shared" si="1412"/>
        <v>0</v>
      </c>
      <c r="CG757" s="114">
        <f t="shared" si="1413"/>
        <v>0</v>
      </c>
      <c r="CH757" s="114">
        <f t="shared" si="1414"/>
        <v>0</v>
      </c>
      <c r="CI757" s="114">
        <f t="shared" si="1415"/>
        <v>0</v>
      </c>
      <c r="CJ757" s="114">
        <f t="shared" si="1416"/>
        <v>0</v>
      </c>
      <c r="CK757" s="114">
        <f t="shared" si="1417"/>
        <v>0</v>
      </c>
      <c r="CL757" s="114">
        <f t="shared" si="1418"/>
        <v>0</v>
      </c>
      <c r="CM757" s="114">
        <f t="shared" si="1419"/>
        <v>0</v>
      </c>
      <c r="CN757" s="114">
        <f t="shared" si="1420"/>
        <v>0</v>
      </c>
      <c r="CO757" s="114">
        <f t="shared" si="1421"/>
        <v>0</v>
      </c>
      <c r="CP757" s="114">
        <f t="shared" si="1422"/>
        <v>0</v>
      </c>
      <c r="CQ757" s="114">
        <f t="shared" si="1423"/>
        <v>0</v>
      </c>
      <c r="CR757" s="114">
        <f t="shared" si="1424"/>
        <v>0</v>
      </c>
      <c r="CS757" s="114">
        <f t="shared" si="1425"/>
        <v>0</v>
      </c>
      <c r="CT757" s="115">
        <f t="shared" si="1426"/>
        <v>0</v>
      </c>
      <c r="CU757" s="116">
        <f t="shared" si="1427"/>
        <v>0</v>
      </c>
      <c r="CV757" s="116">
        <f t="shared" si="1428"/>
        <v>0</v>
      </c>
      <c r="CW757" s="116">
        <f t="shared" si="1429"/>
        <v>0</v>
      </c>
      <c r="CX757" s="116">
        <f t="shared" si="1430"/>
        <v>0</v>
      </c>
      <c r="CY757" s="116">
        <f t="shared" si="1431"/>
        <v>0</v>
      </c>
      <c r="CZ757" s="116">
        <f t="shared" si="1432"/>
        <v>0</v>
      </c>
      <c r="DA757" s="116">
        <f t="shared" si="1433"/>
        <v>0</v>
      </c>
      <c r="DB757" s="116">
        <f t="shared" si="1434"/>
        <v>0</v>
      </c>
      <c r="DC757" s="116">
        <f t="shared" si="1435"/>
        <v>1</v>
      </c>
      <c r="DD757" s="116">
        <f t="shared" si="1436"/>
        <v>0</v>
      </c>
      <c r="DE757" s="117">
        <f t="shared" si="1437"/>
        <v>0</v>
      </c>
      <c r="DF757" s="118">
        <f t="shared" si="1440"/>
        <v>43</v>
      </c>
      <c r="DG757" s="106">
        <f t="shared" si="1441"/>
        <v>57.167999999999992</v>
      </c>
      <c r="DH757" s="116">
        <f t="shared" si="1442"/>
        <v>16</v>
      </c>
      <c r="DI757" s="106">
        <f t="shared" si="1443"/>
        <v>68.699999999999989</v>
      </c>
      <c r="DJ757" s="201" t="str">
        <f>IF($D757="","",$D757)</f>
        <v>23</v>
      </c>
      <c r="DK757" s="465">
        <f>IF(AND($B757=" ",$D757&lt;&gt;""),1,0)</f>
        <v>0</v>
      </c>
    </row>
    <row r="758" spans="1:115" ht="14.5" customHeight="1" x14ac:dyDescent="0.2">
      <c r="A758" s="389"/>
      <c r="B758" s="456"/>
      <c r="C758" s="120" t="s">
        <v>54</v>
      </c>
      <c r="D758" s="374"/>
      <c r="E758" s="386"/>
      <c r="F758" s="377"/>
      <c r="G758" s="483"/>
      <c r="H758" s="476"/>
      <c r="I758" s="121" t="s">
        <v>66</v>
      </c>
      <c r="J758" s="122">
        <f>IF(OR(I757="TO",I757="TU",I757="TO1",I757="TU1",I757="TO2",I757="TU2"),J757,IF(OR(I757="AH1",I757="AH2"),IF(OR(I758="AH1",I758="AH2"),-J757,IF(OR(I758="EH1",I758="EH2"),-J757+0.5,"")),IF(OR(I757="EH1",I757="EH2"),IF(OR(I758="AH1",I758="AH2"),-J757+0.5,IF(OR(I758="EH1",I758="EH2"),-J757+1,"")),IF(AND(OR(I757="DNB1",I757="DNB2"),OR(I758="AH1",I758="AH2")),0,IF(AND(I757="Not ScoreBoth",OR(I758="TO1",I758="TO2")),0.5,"")))))</f>
        <v>-2.5</v>
      </c>
      <c r="K758" s="123" t="s">
        <v>40</v>
      </c>
      <c r="L758" s="124">
        <v>1.9</v>
      </c>
      <c r="M758" s="125"/>
      <c r="N758" s="406"/>
      <c r="O758" s="126">
        <f>IF(OR(AE757="",AE758=""),"",ROUND(IF(L759&gt;0,IF(M758&gt;0,M758,IF(M757&gt;0,IF(N757=TRUE,ROUND((M757*AE758)/AE757,0),(M757*AE758)/AE757),IF(M758&gt;0,ROUND(M758,IF(N757=0,2,IF(N757=0.1,1,0))),IF(M759&gt;0,ROUND(O759*AE758/AE759,IF(N757=0,2,IF(N757=0.1,1,0))),0)))),IF(M758&gt;0,M758,ROUND((M757*AE758)/AE757,IF(N757=0,2,IF(N757=0.1,1,0))))),2))</f>
        <v>12</v>
      </c>
      <c r="P758" s="127">
        <f>IF(OR(L758="",O758=""),"",IF($C758="1/2W",O758/2+O758/2*L758,IF($C758="1/2L",O758/2,IF(I758="Lay",((O758*(L758/(L758-1)))-O758)*(1-_xlfn.XLOOKUP(K758,'Fevereiro 2023 - Valor Real'!A3:A15,'Fevereiro 2023 - Valor Real'!C3:C15,0))+O758,(O758*L758-O758)*(1-_xlfn.XLOOKUP(K758,'Fevereiro 2023 - Valor Real'!A3:A15,'Fevereiro 2023 - Valor Real'!C3:C15,0))+O758))))</f>
        <v>22.799999999999997</v>
      </c>
      <c r="Q758" s="128">
        <f>IF(K758="","",IF(_xlfn.XLOOKUP(K758,K$4:K757,$DJ$4:DJ757,0,,-1)=DJ758,_xlfn.XLOOKUP(K758,K$4:K757,Q$4:Q757,1,,-1)+1,1))</f>
        <v>6</v>
      </c>
      <c r="R758" s="129">
        <f>IF(K758="","",_xlfn.XLOOKUP(K758,K$4:K757,R$4:R757,0,,-1)+IF($C758=" ",1,0))</f>
        <v>0</v>
      </c>
      <c r="S758" s="403"/>
      <c r="T758" s="380"/>
      <c r="U758" s="380"/>
      <c r="V758" s="481"/>
      <c r="W758" s="380"/>
      <c r="X758" s="452"/>
      <c r="Y758" s="383"/>
      <c r="Z758" s="384"/>
      <c r="AA758" s="384"/>
      <c r="AB758" s="384"/>
      <c r="AC758" s="384"/>
      <c r="AD758" s="130">
        <f>(((L758/(L758-1)-1)*(1-_xlfn.XLOOKUP(K758,'Fevereiro 2023 - Valor Real'!A3:A15,'Fevereiro 2023 - Valor Real'!C3:C15,0))+1))</f>
        <v>2.1111111111111112</v>
      </c>
      <c r="AE758" s="131">
        <f>IF(L758="","",IF(L759&gt;0,(SUM(((L757-1)*(1-_xlfn.XLOOKUP(K757,'Fevereiro 2023 - Valor Real'!A3:A15,'Fevereiro 2023 - Valor Real'!C3:C15,0))+1),((L758-1)*(1-_xlfn.XLOOKUP(K758,'Fevereiro 2023 - Valor Real'!A3:A15,'Fevereiro 2023 - Valor Real'!C3:C15,0))+1),((L759-1)*(1-_xlfn.XLOOKUP(K759,'Fevereiro 2023 - Valor Real'!A3:A15,'Fevereiro 2023 - Valor Real'!C3:C15,0))+1))/((L758-1)*(1-_xlfn.XLOOKUP(K758,'Fevereiro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Real'!C3:C15,0))+1))/((L757-1)*(1-_xlfn.XLOOKUP(K757,'Fevereiro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Real'!C3:C15,0))+1))/((L758-1)*(1-_xlfn.XLOOKUP(K758,'Fevereiro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Real'!C3:C15,0))+1))/((L759-1)*(1-_xlfn.XLOOKUP(K759,'Fevereiro 2023 - Valor Real'!A3:A15,'Fevereiro 2023 - Valor Real'!C3:C15,0))+1)),IF(I758="Lay",IF(I757="Lay",((L757/(L757-1)-1)*(1-_xlfn.XLOOKUP(K757,'Fevereiro 2023 - Valor Real'!A3:A15,'Fevereiro 2023 - Valor Real'!C3:C15,0))+1)/(((L757/(L757-1)-1)*(1-_xlfn.XLOOKUP(K757,'Fevereiro 2023 - Valor Real'!A3:A15,'Fevereiro 2023 - Valor Real'!C3:C15,0))+1)+((L758/(L758-1)-1)*(1-_xlfn.XLOOKUP(K758,'Fevereiro 2023 - Valor Real'!A3:A15,'Fevereiro 2023 - Valor Real'!C3:C15,0))+1)),((L757-1)*(1-_xlfn.XLOOKUP(K757,'Fevereiro 2023 - Valor Real'!A3:A15,'Fevereiro 2023 - Valor Real'!C3:C15,0))+1)/(((L757-1)*(1-_xlfn.XLOOKUP(K757,'Fevereiro 2023 - Valor Real'!A3:A15,'Fevereiro 2023 - Valor Real'!C3:C15,0))+1)+((L758/(L758-1)-1)*(1-_xlfn.XLOOKUP(K758,'Fevereiro 2023 - Valor Real'!A3:A15,'Fevereiro 2023 - Valor Real'!C3:C15,0))+1))),IF(I757="Lay",((L757/(L757-1)-1)*(1-_xlfn.XLOOKUP(K757,'Fevereiro 2023 - Valor Real'!A3:A15,'Fevereiro 2023 - Valor Real'!C3:C15,0))+1)/((((L757/(L757-1)-1)*(1-_xlfn.XLOOKUP(K757,'Fevereiro 2023 - Valor Real'!A3:A15,'Fevereiro 2023 - Valor Real'!C3:C15,0))+1))+((L758-1)*(1-_xlfn.XLOOKUP(K758,'Fevereiro 2023 - Valor Real'!A3:A15,'Fevereiro 2023 - Valor Real'!C3:C15,0))+1)),((L757-1)*(1-_xlfn.XLOOKUP(K757,'Fevereiro 2023 - Valor Real'!A3:A15,'Fevereiro 2023 - Valor Real'!C3:C15,0))+1)/(((L757-1)*(1-_xlfn.XLOOKUP(K757,'Fevereiro 2023 - Valor Real'!A3:A15,'Fevereiro 2023 - Valor Real'!C3:C15,0))+1)+((L758-1)*(1-_xlfn.XLOOKUP(K758,'Fevereiro 2023 - Valor Real'!A3:A15,'Fevereiro 2023 - Valor Real'!C3:C15,0))+1))))))</f>
        <v>0.55294117647058827</v>
      </c>
      <c r="AF758" s="105">
        <f t="shared" si="1510"/>
        <v>0</v>
      </c>
      <c r="AG758" s="106">
        <f t="shared" si="1510"/>
        <v>0</v>
      </c>
      <c r="AH758" s="106">
        <f t="shared" si="1510"/>
        <v>0</v>
      </c>
      <c r="AI758" s="106">
        <f t="shared" si="1510"/>
        <v>0</v>
      </c>
      <c r="AJ758" s="106">
        <f t="shared" si="1510"/>
        <v>10.8</v>
      </c>
      <c r="AK758" s="106">
        <f t="shared" si="1510"/>
        <v>0</v>
      </c>
      <c r="AL758" s="106">
        <f t="shared" si="1510"/>
        <v>0</v>
      </c>
      <c r="AM758" s="106">
        <f t="shared" si="1510"/>
        <v>0</v>
      </c>
      <c r="AN758" s="106">
        <f t="shared" si="1510"/>
        <v>0</v>
      </c>
      <c r="AO758" s="106">
        <f t="shared" si="1510"/>
        <v>0</v>
      </c>
      <c r="AP758" s="106">
        <f t="shared" si="1510"/>
        <v>0</v>
      </c>
      <c r="AQ758" s="106">
        <f t="shared" si="1510"/>
        <v>0</v>
      </c>
      <c r="AR758" s="107">
        <f t="shared" si="1510"/>
        <v>0</v>
      </c>
      <c r="AS758" s="105">
        <f>IF(AND($B757=" ",$K758=AS$3),$O758,0)</f>
        <v>0</v>
      </c>
      <c r="AT758" s="106">
        <f>IF(AND($B757=" ",K758=AT$3),$O758,0)</f>
        <v>0</v>
      </c>
      <c r="AU758" s="106">
        <f t="shared" ref="AU758:BE758" si="1518">IF(AND($B757=" ",$K758=AU$3),$O758,0)</f>
        <v>0</v>
      </c>
      <c r="AV758" s="106">
        <f t="shared" si="1518"/>
        <v>0</v>
      </c>
      <c r="AW758" s="106">
        <f t="shared" si="1518"/>
        <v>0</v>
      </c>
      <c r="AX758" s="106">
        <f t="shared" si="1518"/>
        <v>0</v>
      </c>
      <c r="AY758" s="108">
        <f t="shared" si="1518"/>
        <v>0</v>
      </c>
      <c r="AZ758" s="109">
        <f t="shared" si="1518"/>
        <v>0</v>
      </c>
      <c r="BA758" s="109">
        <f t="shared" si="1518"/>
        <v>0</v>
      </c>
      <c r="BB758" s="109">
        <f t="shared" si="1518"/>
        <v>0</v>
      </c>
      <c r="BC758" s="110">
        <f t="shared" si="1518"/>
        <v>0</v>
      </c>
      <c r="BD758" s="106">
        <f t="shared" si="1518"/>
        <v>0</v>
      </c>
      <c r="BE758" s="107">
        <f t="shared" si="1518"/>
        <v>0</v>
      </c>
      <c r="BF758" s="105">
        <f t="shared" si="1512"/>
        <v>0</v>
      </c>
      <c r="BG758" s="106">
        <f t="shared" si="1512"/>
        <v>0</v>
      </c>
      <c r="BH758" s="106">
        <f t="shared" si="1512"/>
        <v>0</v>
      </c>
      <c r="BI758" s="106">
        <f t="shared" si="1512"/>
        <v>0</v>
      </c>
      <c r="BJ758" s="106">
        <f t="shared" si="1512"/>
        <v>12</v>
      </c>
      <c r="BK758" s="106">
        <f t="shared" si="1512"/>
        <v>0</v>
      </c>
      <c r="BL758" s="106">
        <f t="shared" si="1512"/>
        <v>0</v>
      </c>
      <c r="BM758" s="132">
        <f t="shared" si="1512"/>
        <v>0</v>
      </c>
      <c r="BN758" s="112">
        <f t="shared" si="1512"/>
        <v>0</v>
      </c>
      <c r="BO758" s="112">
        <f t="shared" si="1512"/>
        <v>0</v>
      </c>
      <c r="BP758" s="112">
        <f t="shared" si="1512"/>
        <v>0</v>
      </c>
      <c r="BQ758" s="110">
        <f t="shared" si="1512"/>
        <v>0</v>
      </c>
      <c r="BR758" s="107">
        <f t="shared" si="1512"/>
        <v>0</v>
      </c>
      <c r="BS758" s="464"/>
      <c r="BT758" s="461"/>
      <c r="BU758" s="392"/>
      <c r="BV758" s="461"/>
      <c r="BW758" s="392"/>
      <c r="BX758" s="392"/>
      <c r="BY758" s="392"/>
      <c r="BZ758" s="461"/>
      <c r="CA758" s="392"/>
      <c r="CB758" s="392"/>
      <c r="CC758" s="392"/>
      <c r="CD758" s="401"/>
      <c r="CE758" s="409"/>
      <c r="CF758" s="133">
        <f t="shared" si="1412"/>
        <v>0</v>
      </c>
      <c r="CG758" s="134">
        <f t="shared" si="1413"/>
        <v>0</v>
      </c>
      <c r="CH758" s="134">
        <f t="shared" si="1414"/>
        <v>0</v>
      </c>
      <c r="CI758" s="134">
        <f t="shared" si="1415"/>
        <v>0</v>
      </c>
      <c r="CJ758" s="134">
        <f t="shared" si="1416"/>
        <v>0</v>
      </c>
      <c r="CK758" s="134">
        <f t="shared" si="1417"/>
        <v>0</v>
      </c>
      <c r="CL758" s="134">
        <f t="shared" si="1418"/>
        <v>0</v>
      </c>
      <c r="CM758" s="134">
        <f t="shared" si="1419"/>
        <v>0</v>
      </c>
      <c r="CN758" s="134">
        <f t="shared" si="1420"/>
        <v>1</v>
      </c>
      <c r="CO758" s="134">
        <f t="shared" si="1421"/>
        <v>0</v>
      </c>
      <c r="CP758" s="134">
        <f t="shared" si="1422"/>
        <v>0</v>
      </c>
      <c r="CQ758" s="134">
        <f t="shared" si="1423"/>
        <v>0</v>
      </c>
      <c r="CR758" s="134">
        <f t="shared" si="1424"/>
        <v>0</v>
      </c>
      <c r="CS758" s="134">
        <f t="shared" si="1425"/>
        <v>0</v>
      </c>
      <c r="CT758" s="115">
        <f t="shared" si="1426"/>
        <v>0</v>
      </c>
      <c r="CU758" s="116">
        <f t="shared" si="1427"/>
        <v>0</v>
      </c>
      <c r="CV758" s="116">
        <f t="shared" si="1428"/>
        <v>0</v>
      </c>
      <c r="CW758" s="116">
        <f t="shared" si="1429"/>
        <v>0</v>
      </c>
      <c r="CX758" s="116">
        <f t="shared" si="1430"/>
        <v>0</v>
      </c>
      <c r="CY758" s="116">
        <f t="shared" si="1431"/>
        <v>0</v>
      </c>
      <c r="CZ758" s="116">
        <f t="shared" si="1432"/>
        <v>0</v>
      </c>
      <c r="DA758" s="116">
        <f t="shared" si="1433"/>
        <v>0</v>
      </c>
      <c r="DB758" s="116">
        <f t="shared" si="1434"/>
        <v>0</v>
      </c>
      <c r="DC758" s="116">
        <f t="shared" si="1435"/>
        <v>0</v>
      </c>
      <c r="DD758" s="116">
        <f t="shared" si="1436"/>
        <v>0</v>
      </c>
      <c r="DE758" s="117">
        <f t="shared" si="1437"/>
        <v>0</v>
      </c>
      <c r="DF758" s="118">
        <f t="shared" si="1440"/>
        <v>43</v>
      </c>
      <c r="DG758" s="106">
        <f t="shared" si="1441"/>
        <v>57.167999999999992</v>
      </c>
      <c r="DH758" s="116">
        <f t="shared" si="1442"/>
        <v>16</v>
      </c>
      <c r="DI758" s="106">
        <f t="shared" si="1443"/>
        <v>68.699999999999989</v>
      </c>
      <c r="DJ758" s="201" t="str">
        <f>IF($D757="","",$D757)</f>
        <v>23</v>
      </c>
      <c r="DK758" s="466"/>
    </row>
    <row r="759" spans="1:115" ht="14.5" customHeight="1" x14ac:dyDescent="0.2">
      <c r="A759" s="390"/>
      <c r="B759" s="457"/>
      <c r="C759" s="135" t="s">
        <v>53</v>
      </c>
      <c r="D759" s="375"/>
      <c r="E759" s="387"/>
      <c r="F759" s="378"/>
      <c r="G759" s="484"/>
      <c r="H759" s="477"/>
      <c r="I759" s="136"/>
      <c r="J759" s="137"/>
      <c r="K759" s="138"/>
      <c r="L759" s="139"/>
      <c r="M759" s="140"/>
      <c r="N759" s="407"/>
      <c r="O759" s="141" t="str">
        <f>IF(OR(AE757="",AE758=""),"",IF(L759&gt;0,ROUND(IF(M759&gt;0,M759,IF(M757&gt;0,ROUND((M757*AE759)/AE757,IF(N757=0,2,IF(N757=0.1,1,0))),IF(M758&gt;0,ROUND((M758*AE759)/AE758,IF(N757=0,2,IF(N757=0.1,1,0))),IF(M759&gt;0,M759,0)))),2),""))</f>
        <v/>
      </c>
      <c r="P759" s="142" t="str">
        <f>IF(I758="Lay",O758*(L758/(L758-1))-O758,IF(I757="Lay",O757*(L757/(L757-1))-O757,IF(OR(L759="",O759=""),"",IF($C759="1/2W",O759/2+O759/2*L759,IF($C759="1/2L",O759/2,(O759*L759-O759)*(1-_xlfn.XLOOKUP(K759,'Fevereiro 2023 - Valor Real'!A3:A15,'Fevereiro 2023 - Valor Real'!C3:C15,0))+O759)))))</f>
        <v/>
      </c>
      <c r="Q759" s="221" t="str">
        <f>IF(K759="","",IF(_xlfn.XLOOKUP(K759,K$4:K758,$DJ$4:DJ758,0,,-1)=DJ759,_xlfn.XLOOKUP(K759,K$4:K758,Q$4:Q758,1,,-1)+1,1))</f>
        <v/>
      </c>
      <c r="R759" s="144" t="str">
        <f>IF(K759="","",_xlfn.XLOOKUP(K759,K$4:K758,R$4:R758,0,,-1)+IF($C759=" ",1,0))</f>
        <v/>
      </c>
      <c r="S759" s="404"/>
      <c r="T759" s="378"/>
      <c r="U759" s="378"/>
      <c r="V759" s="404"/>
      <c r="W759" s="378"/>
      <c r="X759" s="453"/>
      <c r="Y759" s="383"/>
      <c r="Z759" s="384"/>
      <c r="AA759" s="384"/>
      <c r="AB759" s="384"/>
      <c r="AC759" s="384"/>
      <c r="AD759" s="145">
        <f>((L758/(L758-1)-1))</f>
        <v>1.1111111111111112</v>
      </c>
      <c r="AE759" s="146" t="str">
        <f>IF(L759="","",(SUM(((L757-1)*(1-_xlfn.XLOOKUP(K757,'Fevereiro 2023 - Valor Real'!A3:A15,'Fevereiro 2023 - Valor Real'!C3:C15,0))+1),((L758-1)*(1-_xlfn.XLOOKUP(K758,'Fevereiro 2023 - Valor Real'!A3:A15,'Fevereiro 2023 - Valor Real'!C3:C15,0))+1),((L759-1)*(1-_xlfn.XLOOKUP(K759,'Fevereiro 2023 - Valor Real'!A3:A15,'Fevereiro 2023 - Valor Real'!C3:C15,0))+1))/((L759-1)*(1-_xlfn.XLOOKUP(K759,'Fevereiro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Real'!C3:C15,0))+1))/((L757-1)*(1-_xlfn.XLOOKUP(K757,'Fevereiro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Real'!C3:C15,0))+1))/((L758-1)*(1-_xlfn.XLOOKUP(K758,'Fevereiro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Real'!C3:C15,0))+1))/((L759-1)*(1-_xlfn.XLOOKUP(K759,'Fevereiro 2023 - Valor Real'!A3:A15,'Fevereiro 2023 - Valor Real'!C3:C15,0))+1)))</f>
        <v/>
      </c>
      <c r="AF759" s="105">
        <f t="shared" si="1510"/>
        <v>0</v>
      </c>
      <c r="AG759" s="106">
        <f t="shared" si="1510"/>
        <v>0</v>
      </c>
      <c r="AH759" s="106">
        <f t="shared" si="1510"/>
        <v>0</v>
      </c>
      <c r="AI759" s="106">
        <f t="shared" si="1510"/>
        <v>0</v>
      </c>
      <c r="AJ759" s="106">
        <f t="shared" si="1510"/>
        <v>0</v>
      </c>
      <c r="AK759" s="106">
        <f t="shared" si="1510"/>
        <v>0</v>
      </c>
      <c r="AL759" s="106">
        <f t="shared" si="1510"/>
        <v>0</v>
      </c>
      <c r="AM759" s="106">
        <f t="shared" si="1510"/>
        <v>0</v>
      </c>
      <c r="AN759" s="106">
        <f t="shared" si="1510"/>
        <v>0</v>
      </c>
      <c r="AO759" s="106">
        <f t="shared" si="1510"/>
        <v>0</v>
      </c>
      <c r="AP759" s="106">
        <f t="shared" si="1510"/>
        <v>0</v>
      </c>
      <c r="AQ759" s="106">
        <f t="shared" si="1510"/>
        <v>0</v>
      </c>
      <c r="AR759" s="107">
        <f t="shared" si="1510"/>
        <v>0</v>
      </c>
      <c r="AS759" s="105">
        <f>IF(AND($B757=" ",$K759=AS$3),$O759,0)</f>
        <v>0</v>
      </c>
      <c r="AT759" s="106">
        <f>IF(AND($B757=" ",K759=AT$3),$O759,0)</f>
        <v>0</v>
      </c>
      <c r="AU759" s="106">
        <f t="shared" ref="AU759:BE759" si="1519">IF(AND($B757=" ",$K759=AU$3),$O759,0)</f>
        <v>0</v>
      </c>
      <c r="AV759" s="106">
        <f t="shared" si="1519"/>
        <v>0</v>
      </c>
      <c r="AW759" s="106">
        <f t="shared" si="1519"/>
        <v>0</v>
      </c>
      <c r="AX759" s="106">
        <f t="shared" si="1519"/>
        <v>0</v>
      </c>
      <c r="AY759" s="108">
        <f t="shared" si="1519"/>
        <v>0</v>
      </c>
      <c r="AZ759" s="109">
        <f t="shared" si="1519"/>
        <v>0</v>
      </c>
      <c r="BA759" s="109">
        <f t="shared" si="1519"/>
        <v>0</v>
      </c>
      <c r="BB759" s="109">
        <f t="shared" si="1519"/>
        <v>0</v>
      </c>
      <c r="BC759" s="110">
        <f t="shared" si="1519"/>
        <v>0</v>
      </c>
      <c r="BD759" s="106">
        <f t="shared" si="1519"/>
        <v>0</v>
      </c>
      <c r="BE759" s="107">
        <f t="shared" si="1519"/>
        <v>0</v>
      </c>
      <c r="BF759" s="105">
        <f t="shared" si="1512"/>
        <v>0</v>
      </c>
      <c r="BG759" s="106">
        <f t="shared" si="1512"/>
        <v>0</v>
      </c>
      <c r="BH759" s="106">
        <f t="shared" si="1512"/>
        <v>0</v>
      </c>
      <c r="BI759" s="106">
        <f t="shared" si="1512"/>
        <v>0</v>
      </c>
      <c r="BJ759" s="106">
        <f t="shared" si="1512"/>
        <v>0</v>
      </c>
      <c r="BK759" s="106">
        <f t="shared" si="1512"/>
        <v>0</v>
      </c>
      <c r="BL759" s="106">
        <f t="shared" si="1512"/>
        <v>0</v>
      </c>
      <c r="BM759" s="108">
        <f t="shared" si="1512"/>
        <v>0</v>
      </c>
      <c r="BN759" s="109">
        <f t="shared" si="1512"/>
        <v>0</v>
      </c>
      <c r="BO759" s="109">
        <f t="shared" si="1512"/>
        <v>0</v>
      </c>
      <c r="BP759" s="109">
        <f t="shared" si="1512"/>
        <v>0</v>
      </c>
      <c r="BQ759" s="110">
        <f t="shared" si="1512"/>
        <v>0</v>
      </c>
      <c r="BR759" s="107">
        <f t="shared" si="1512"/>
        <v>0</v>
      </c>
      <c r="BS759" s="464"/>
      <c r="BT759" s="461"/>
      <c r="BU759" s="392"/>
      <c r="BV759" s="461"/>
      <c r="BW759" s="392"/>
      <c r="BX759" s="392"/>
      <c r="BY759" s="392"/>
      <c r="BZ759" s="461"/>
      <c r="CA759" s="392"/>
      <c r="CB759" s="392"/>
      <c r="CC759" s="392"/>
      <c r="CD759" s="401"/>
      <c r="CE759" s="409"/>
      <c r="CF759" s="133">
        <f t="shared" si="1412"/>
        <v>0</v>
      </c>
      <c r="CG759" s="134">
        <f t="shared" si="1413"/>
        <v>0</v>
      </c>
      <c r="CH759" s="134">
        <f t="shared" si="1414"/>
        <v>0</v>
      </c>
      <c r="CI759" s="134">
        <f t="shared" si="1415"/>
        <v>0</v>
      </c>
      <c r="CJ759" s="134">
        <f t="shared" si="1416"/>
        <v>0</v>
      </c>
      <c r="CK759" s="134">
        <f t="shared" si="1417"/>
        <v>0</v>
      </c>
      <c r="CL759" s="134">
        <f t="shared" si="1418"/>
        <v>0</v>
      </c>
      <c r="CM759" s="134">
        <f t="shared" si="1419"/>
        <v>0</v>
      </c>
      <c r="CN759" s="134">
        <f t="shared" si="1420"/>
        <v>0</v>
      </c>
      <c r="CO759" s="134">
        <f t="shared" si="1421"/>
        <v>0</v>
      </c>
      <c r="CP759" s="134">
        <f t="shared" si="1422"/>
        <v>0</v>
      </c>
      <c r="CQ759" s="134">
        <f t="shared" si="1423"/>
        <v>0</v>
      </c>
      <c r="CR759" s="134">
        <f t="shared" si="1424"/>
        <v>0</v>
      </c>
      <c r="CS759" s="134">
        <f t="shared" si="1425"/>
        <v>0</v>
      </c>
      <c r="CT759" s="115">
        <f t="shared" si="1426"/>
        <v>0</v>
      </c>
      <c r="CU759" s="116">
        <f t="shared" si="1427"/>
        <v>0</v>
      </c>
      <c r="CV759" s="116">
        <f t="shared" si="1428"/>
        <v>0</v>
      </c>
      <c r="CW759" s="116">
        <f t="shared" si="1429"/>
        <v>0</v>
      </c>
      <c r="CX759" s="116">
        <f t="shared" si="1430"/>
        <v>0</v>
      </c>
      <c r="CY759" s="116">
        <f t="shared" si="1431"/>
        <v>0</v>
      </c>
      <c r="CZ759" s="116">
        <f t="shared" si="1432"/>
        <v>0</v>
      </c>
      <c r="DA759" s="116">
        <f t="shared" si="1433"/>
        <v>0</v>
      </c>
      <c r="DB759" s="116">
        <f t="shared" si="1434"/>
        <v>0</v>
      </c>
      <c r="DC759" s="116">
        <f t="shared" si="1435"/>
        <v>0</v>
      </c>
      <c r="DD759" s="116">
        <f t="shared" si="1436"/>
        <v>0</v>
      </c>
      <c r="DE759" s="117">
        <f t="shared" si="1437"/>
        <v>0</v>
      </c>
      <c r="DF759" s="118">
        <f t="shared" si="1440"/>
        <v>43</v>
      </c>
      <c r="DG759" s="106">
        <f t="shared" si="1441"/>
        <v>57.167999999999992</v>
      </c>
      <c r="DH759" s="116">
        <f t="shared" si="1442"/>
        <v>16</v>
      </c>
      <c r="DI759" s="106">
        <f t="shared" si="1443"/>
        <v>68.699999999999989</v>
      </c>
      <c r="DJ759" s="201" t="str">
        <f>IF($D757="","",$D757)</f>
        <v>23</v>
      </c>
      <c r="DK759" s="466"/>
    </row>
    <row r="760" spans="1:115" ht="14.5" customHeight="1" x14ac:dyDescent="0.2">
      <c r="A760" s="487">
        <f>$A757+1</f>
        <v>253</v>
      </c>
      <c r="B760" s="506" t="str">
        <f>IF(OR(C760="W",C761="W",C762="W",C760="1/2W",C761="1/2W",C762="1/2W",C760="1/2L",C761="1/2L",C762="1/2L"),"OK",IF(OR(C760="L",C761="L",C762="L"),"LOSS",IF(OR(C760="X",C761="X",C762="X"),"Anulado"," ")))</f>
        <v>OK</v>
      </c>
      <c r="C760" s="147" t="s">
        <v>55</v>
      </c>
      <c r="D760" s="494" t="str">
        <f>IF(G760="","",$D757)</f>
        <v>23</v>
      </c>
      <c r="E760" s="511" t="str">
        <f>IF(G760=""," ","– "&amp;COUNTIF(D$4:D762,$D760))</f>
        <v>– 19</v>
      </c>
      <c r="F760" s="510" t="str">
        <f ca="1">IF(G760="","",IF(OR(AND($C760&lt;&gt;" ",$C761=" "),AND($C761&lt;&gt;" ",$C760=" "),AND(L762&gt;0,OR(AND($C762&lt;&gt;" ",OR($C760=" ",$C761=" ")),AND($C762=" ",OR($C760&lt;&gt;" ",$C761&lt;&gt;" "))))),IF(SUM(F$4:F759)=0,1,LARGE(F$4:F759,1)+1),IF(MONTH(G760)=MONTH(TODAY()),IF(AND(DAY(G760)&lt;DAY(TODAY()),$B760=" "),IF(SUM(F$4:F759)=0,1,LARGE(F$4:F759,1)+1),IF($B760=" ",IF(AND(DAY(G760)=DAY(TODAY()),HOUR(G760)&lt;=HOUR(NOW())+1),IF(AND(HOUR(G760)+2&lt;=HOUR(NOW()),DAY(G760)&lt;=DAY(TODAY()),MINUTE(G760)&lt;=MINUTE(NOW())),IF(SUM(F$4:F759)=0,1,LARGE(F$4:F759,1)+1),IF(OR(MINUTE(G760)&lt;=MINUTE(NOW()),HOUR(G760)&lt;=HOUR(NOW())),"!!!","")),""),"")),"")))</f>
        <v/>
      </c>
      <c r="G760" s="517">
        <f>IF(H760="","",_xlfn.XLOOKUP(H760,$H$4:H759,$G$4:G759,""))</f>
        <v>45010.479166666664</v>
      </c>
      <c r="H760" s="516" t="s">
        <v>263</v>
      </c>
      <c r="I760" s="222" t="s">
        <v>71</v>
      </c>
      <c r="J760" s="241"/>
      <c r="K760" s="224" t="s">
        <v>47</v>
      </c>
      <c r="L760" s="225">
        <v>2.8</v>
      </c>
      <c r="M760" s="226"/>
      <c r="N760" s="503">
        <v>0.1</v>
      </c>
      <c r="O760" s="153">
        <f>IF(OR(AE760="",AE761=""),"",ROUND(IF(L762&gt;0,IF(M760&gt;0,M760,IF(M761&gt;0,ROUND((M761*AE760)/AE761,IF(N760=0,2,IF(N760=0.1,1,0))),ROUND((M762*AE760)/AE762,IF(N760=0,2,IF(N760=0.1,1,0))))),IF(M760&gt;0,M760,ROUND((M761*AE760)/AE761,IF(N760=0,2,IF(N760=0.1,1,0))))),2))</f>
        <v>6.2</v>
      </c>
      <c r="P760" s="227">
        <f>IF(OR(L760="",O760=""),"",IF($C760="1/2W",O760/2+O760/2*L760,IF($C760="1/2L",O760/2,IF(I760="Lay",(O760*(L760/(L760-1))-O760)*(1-_xlfn.XLOOKUP(K760,'Fevereiro 2023 - Valor Real'!A3:A15,'Fevereiro 2023 - Valor Real'!C3:C15,0))+O760,(O760*L760-O760)*(1-_xlfn.XLOOKUP(K760,'Fevereiro 2023 - Valor Real'!A3:A15,'Fevereiro 2023 - Valor Real'!C3:C15,0))+O760))))</f>
        <v>17.36</v>
      </c>
      <c r="Q760" s="228">
        <f>IF(K760="","",IF(_xlfn.XLOOKUP(K760,K$4:K759,$DJ$4:DJ759,0,,-1)=DJ760,_xlfn.XLOOKUP(K760,K$4:K759,Q$4:Q759,1,,-1)+1,1))</f>
        <v>8</v>
      </c>
      <c r="R760" s="229">
        <f>IF(K760="","",_xlfn.XLOOKUP(K760,K$4:K759,R$4:R759,0,,-1)+IF($C760=" ",1,0))</f>
        <v>0</v>
      </c>
      <c r="S760" s="501">
        <f>IF($B760="Anulado",0,ROUND(IF(OR($B760="LOSS",$B760="OK"),IF(OR($C760="W",$C760="1/2W",$C760="1/2L"),P760-O760,IF($C760="L",-O760,0))+IF(OR($C761="W",$C761="1/2W",$C761="1/2L"),P761-O761,IF($C761="L",-O761,0))+IF(OR($C762="W",$C762="1/2W",$C762="1/2L"),P762-O762,IF($C762="L",-O762,0)),IF(AND(OR($C760="W",$C760="1/2W",$C760="1/2L"),C761="W"),P760+P761-SUM(O760:O762)+_xlfn.XLOOKUP("X",C760:C762,O760:O762,0),IF(AND(C760=TRUE,C762="W"),P760+P762-SUM(O760:O762),IF(AND(C761="W",C762="W"),P761+P762-SUM(O760:O762)+_xlfn.XLOOKUP("X",C760:C762,O760:O762,0),IF(L762&gt;0,IF(OR($C760="W",$C760="1/2W",$C760="1/2L"),P760-SUM(O760:O762)+_xlfn.XLOOKUP("X",C760:C762,O760:O762,0),IF(OR($C760="W",$C760="1/2W",$C760="1/2L"),P761-SUM(O760:O762)+_xlfn.XLOOKUP("X",C760:C762,O760:O762,0),IF(OR($C760="W",$C760="1/2W",$C760="1/2L"),P762-SUM(O760:O762)+_xlfn.XLOOKUP("X",C760:C762,O760:O762,0),IF(SUM(P760:P762)/3-SUM(O760:O762)+_xlfn.XLOOKUP("X",C760:C762,O760:O762,0)&gt;0,SUM(P760:P762)/3-SUM(O760:O762)+_xlfn.XLOOKUP("X",C760:C762,O760:O762,0),LARGE(P760:P762,1)-SUM(O760:O762))))),IF(OR($C760="W",$C760="1/2W",$C760="1/2L"),P760-SUM(O760:O761)+_xlfn.XLOOKUP("X",C760:C762,O760:O762,0),IF(OR($C760="W",$C760="1/2W",$C760="1/2L"),P761-SUM(O760:O761)+_xlfn.XLOOKUP("X",C760:C762,O760:O762,0),SUM(P760:P761)/2-SUM(O760:O761)+_xlfn.XLOOKUP("X",C760:C762,O760:O762,0)))))))),2))</f>
        <v>1.32</v>
      </c>
      <c r="T760" s="486">
        <f>IF(S760=0,0,S760/SUM(O760:O762))</f>
        <v>8.2654978083907329E-2</v>
      </c>
      <c r="U760" s="496">
        <f>IF($D760=$D757,IF(OR($B760="LOSS",$B760="OK",$B760="Anulada"),S760,0)+U757,IF(OR($B760="LOSS",$B760="OK",$B760="Anulada"),S760,0))</f>
        <v>41.33</v>
      </c>
      <c r="V760" s="496">
        <f>IF($D760="",0,IF($D760=$D757,IF($B760=" ",IF(I762="",IF(OR(AND(I760="DNB1",I761="DNB2"),AND(OR(I760="DNB1",I760="DNB2"),J761=0),AND(OR(I761="DNB1",I761="DNB2"),J760=0),AND(I760="DNB2",I761="DNB1"),AND(IF(J760=0,(J760+1)/ROUND(J760+1,0),J760/ROUND(J760,0))=1,IF(J761=0,(J761+1)/ROUND(IF(J761="",0,J761)+1,0),IF(J761="",0,J761)/ROUND(IF(J761="",1,J761),0))=1,OR(J760&lt;&gt;""),J761&lt;&gt;"")),0,IF(S760&lt;0,IF(I762="",SMALL(P760:P761,1)-SUM(O760:O761),0),SMALL(P760:P761,1)-SUM(O760:O761))),IF(S760&lt;0,IF(I762="",SMALL(P760:P762,1)-SUM(O760:O762),0),LARGE(P760:P762,1)-SUM(O760:O762))),S760)+V757,IF(I762="",IF(OR(AND(I760="DNB1",I761="DNB2"),AND(OR(I760="DNB1",I760="DNB2"),J761=0),AND(OR(I761="DNB1",I761="DNB2"),J760=0),AND(I760="DNB2",I761="DNB1"),AND(IF(J760=0,(J760+1)/ROUND(J760+1,0),J760/ROUND(J760,0))=1,IF(J761=0,(IF(J761="",0,J761)+1)/ROUND(IF(J761="",0,J761)+1,0),IF(J761="",0,J761)/ROUND(IF(J761="",0,J761)+1,0))=1,OR(J760&lt;&gt;""),J761&lt;&gt;"")),0,IF(S760&lt;0,IF(I762="",SMALL(P760:P761,1)-SUM(O760:O761),0),SMALL(P760:P762,1)-SUM(O760:O762))),IF(S760&lt;0,IF(I762="",SMALL(P760:P762,1)-SUM(O760:O762),0),LARGE(P760:P762,1)-SUM(O760:O762)))))</f>
        <v>41.33</v>
      </c>
      <c r="W760" s="496">
        <f>IF($D760=$D757,IF(S760&lt;0,IF(I762="",S760,0),S760)+W757,S760)</f>
        <v>41.33</v>
      </c>
      <c r="X760" s="505" t="str">
        <f>IF(OR(SUM(R760:R762)=0,V760=W760),ROUND(IF(W760=0,0,W760/Y760)*100,2)&amp;"%",ROUND(IF(V760=0,0,V760/Y760)*100,2)&amp;"% a "&amp;ROUND(IF(W760=0,0,W760/Y760)*100,2)&amp;"%")</f>
        <v>7,15%</v>
      </c>
      <c r="Y760" s="497">
        <f>IF($D760=$D757,Y757+SUM(O760:O762),SUM(O760:O762))</f>
        <v>577.82999999999993</v>
      </c>
      <c r="Z760" s="496">
        <f>IF($B760=" ",SUM(O760:O762),0)+Z757</f>
        <v>0</v>
      </c>
      <c r="AA760" s="496">
        <f>IF(G760="","",IF($B760="Anulado",LARGE(P760:P762,1)-SUM(O760:O762)+AA757,AA757))</f>
        <v>13.381099999999991</v>
      </c>
      <c r="AB760" s="496">
        <f>IF($D760="","",AB757+S760)</f>
        <v>847.69000000000074</v>
      </c>
      <c r="AC760" s="499">
        <f ca="1">IF($D760="","",IF($B760=" ",IF(DAY(G760)=DAY(TODAY()),1+AC757,0+AC757),0+AC757))</f>
        <v>0</v>
      </c>
      <c r="AD760" s="157">
        <f>(((L761/(L761-1)-1)*(1-_xlfn.XLOOKUP(K761,'Fevereiro 2023 - Valor Real'!A3:A15,'Fevereiro 2023 - Valor Real'!C3:C15,0))+1))/(((L760-1)*(1-_xlfn.XLOOKUP(K760,'Fevereiro 2023 - Valor Real'!A3:A15,'Fevereiro 2023 - Valor Real'!C3:C15,0))+1)+((L761/(L761-1)-1)*(1-_xlfn.XLOOKUP(K761,'Fevereiro 2023 - Valor Real'!A3:A15,'Fevereiro 2023 - Valor Real'!C3:C15,0))+1))</f>
        <v>0.45084055017829855</v>
      </c>
      <c r="AE760" s="158">
        <f>IF(L760="","",IF(L762&gt;0,(SUM(((L760-1)*(1-_xlfn.XLOOKUP(K760,'Fevereiro 2023 - Valor Real'!A3:A15,'Fevereiro 2023 - Valor Real'!C3:C15,0))+1),((L761-1)*(1-_xlfn.XLOOKUP(K761,'Fevereiro 2023 - Valor Real'!A3:A15,'Fevereiro 2023 - Valor Real'!C3:C15,0))+1),((L762-1)*(1-_xlfn.XLOOKUP(K762,'Fevereiro 2023 - Valor Real'!A3:A15,'Fevereiro 2023 - Valor Real'!C3:C15,0))+1))/((L760-1)*(1-_xlfn.XLOOKUP(K760,'Fevereiro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Real'!C3:C15,0))+1))/((L760-1)*(1-_xlfn.XLOOKUP(K760,'Fevereiro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Real'!C3:C15,0))+1))/((L761-1)*(1-_xlfn.XLOOKUP(K761,'Fevereiro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Real'!C3:C15,0))+1))/((L762-1)*(1-_xlfn.XLOOKUP(K762,'Fevereiro 2023 - Valor Real'!A3:A15,'Fevereiro 2023 - Valor Real'!C3:C15,0))+1)),IF(I760="Lay",IF(I761="Lay",((L761/(L761-1)-1)*(1-_xlfn.XLOOKUP(K761,'Fevereiro 2023 - Valor Real'!A3:A15,'Fevereiro 2023 - Valor Real'!C3:C15,0))+1)/(((L761/(L761-1)-1)*(1-_xlfn.XLOOKUP(K761,'Fevereiro 2023 - Valor Real'!A3:A15,'Fevereiro 2023 - Valor Real'!C3:C15,0))+1)+((L760/(L760-1)-1)*(1-_xlfn.XLOOKUP(K760,'Fevereiro 2023 - Valor Real'!A3:A15,'Fevereiro 2023 - Valor Real'!C3:C15,0))+1)),((L761-1)*(1-_xlfn.XLOOKUP(K761,'Fevereiro 2023 - Valor Real'!A3:A15,'Fevereiro 2023 - Valor Real'!C3:C15,0))+1)/(((L761-1)*(1-_xlfn.XLOOKUP(K761,'Fevereiro 2023 - Valor Real'!A3:A15,'Fevereiro 2023 - Valor Real'!C3:C15,0))+1)+((L760/(L760-1)-1)*(1-_xlfn.XLOOKUP(K760,'Fevereiro 2023 - Valor Real'!A3:A15,'Fevereiro 2023 - Valor Real'!C3:C15,0))+1))),IF(I761="Lay",(((L761/(L761-1)-1)*(1-_xlfn.XLOOKUP(K761,'Fevereiro 2023 - Valor Real'!A3:A15,'Fevereiro 2023 - Valor Real'!C3:C15,0))+1))/(((L760-1)*(1-_xlfn.XLOOKUP(K760,'Fevereiro 2023 - Valor Real'!A3:A15,'Fevereiro 2023 - Valor Real'!C3:C15,0))+1)+((L761/(L761-1)-1)*(1-_xlfn.XLOOKUP(K761,'Fevereiro 2023 - Valor Real'!A3:A15,'Fevereiro 2023 - Valor Real'!C3:C15,0))+1)),((L761-1)*(1-_xlfn.XLOOKUP(K761,'Fevereiro 2023 - Valor Real'!A3:A15,'Fevereiro 2023 - Valor Real'!C3:C15,0))+1)/(((L761-1)*(1-_xlfn.XLOOKUP(K761,'Fevereiro 2023 - Valor Real'!A3:A15,'Fevereiro 2023 - Valor Real'!C3:C15,0))+1)+((L760-1)*(1-_xlfn.XLOOKUP(K760,'Fevereiro 2023 - Valor Real'!A3:A15,'Fevereiro 2023 - Valor Real'!C3:C15,0))+1))))))</f>
        <v>0.387308533916849</v>
      </c>
      <c r="AF760" s="66">
        <f t="shared" si="1510"/>
        <v>0</v>
      </c>
      <c r="AG760" s="67">
        <f t="shared" si="1510"/>
        <v>0</v>
      </c>
      <c r="AH760" s="67">
        <f t="shared" si="1510"/>
        <v>0</v>
      </c>
      <c r="AI760" s="67">
        <f t="shared" si="1510"/>
        <v>0</v>
      </c>
      <c r="AJ760" s="67">
        <f t="shared" si="1510"/>
        <v>0</v>
      </c>
      <c r="AK760" s="67">
        <f t="shared" si="1510"/>
        <v>0</v>
      </c>
      <c r="AL760" s="67">
        <f t="shared" si="1510"/>
        <v>0</v>
      </c>
      <c r="AM760" s="67">
        <f t="shared" si="1510"/>
        <v>0</v>
      </c>
      <c r="AN760" s="67">
        <f t="shared" si="1510"/>
        <v>0</v>
      </c>
      <c r="AO760" s="67">
        <f t="shared" si="1510"/>
        <v>0</v>
      </c>
      <c r="AP760" s="67">
        <f t="shared" si="1510"/>
        <v>0</v>
      </c>
      <c r="AQ760" s="67">
        <f t="shared" si="1510"/>
        <v>-6.2</v>
      </c>
      <c r="AR760" s="68">
        <f t="shared" si="1510"/>
        <v>0</v>
      </c>
      <c r="AS760" s="66">
        <f t="shared" ref="AS760:BE760" si="1520">IF(AND($B760=" ",$K760=AS$3),$O760,0)</f>
        <v>0</v>
      </c>
      <c r="AT760" s="67">
        <f t="shared" si="1520"/>
        <v>0</v>
      </c>
      <c r="AU760" s="67">
        <f t="shared" si="1520"/>
        <v>0</v>
      </c>
      <c r="AV760" s="67">
        <f t="shared" si="1520"/>
        <v>0</v>
      </c>
      <c r="AW760" s="67">
        <f t="shared" si="1520"/>
        <v>0</v>
      </c>
      <c r="AX760" s="67">
        <f t="shared" si="1520"/>
        <v>0</v>
      </c>
      <c r="AY760" s="69">
        <f t="shared" si="1520"/>
        <v>0</v>
      </c>
      <c r="AZ760" s="70">
        <f t="shared" si="1520"/>
        <v>0</v>
      </c>
      <c r="BA760" s="70">
        <f t="shared" si="1520"/>
        <v>0</v>
      </c>
      <c r="BB760" s="70">
        <f t="shared" si="1520"/>
        <v>0</v>
      </c>
      <c r="BC760" s="71">
        <f t="shared" si="1520"/>
        <v>0</v>
      </c>
      <c r="BD760" s="67">
        <f t="shared" si="1520"/>
        <v>0</v>
      </c>
      <c r="BE760" s="68">
        <f t="shared" si="1520"/>
        <v>0</v>
      </c>
      <c r="BF760" s="230">
        <f t="shared" si="1512"/>
        <v>0</v>
      </c>
      <c r="BG760" s="67">
        <f t="shared" si="1512"/>
        <v>0</v>
      </c>
      <c r="BH760" s="67">
        <f t="shared" si="1512"/>
        <v>0</v>
      </c>
      <c r="BI760" s="67">
        <f t="shared" si="1512"/>
        <v>0</v>
      </c>
      <c r="BJ760" s="67">
        <f t="shared" si="1512"/>
        <v>0</v>
      </c>
      <c r="BK760" s="67">
        <f t="shared" si="1512"/>
        <v>0</v>
      </c>
      <c r="BL760" s="67">
        <f t="shared" si="1512"/>
        <v>0</v>
      </c>
      <c r="BM760" s="69">
        <f t="shared" si="1512"/>
        <v>0</v>
      </c>
      <c r="BN760" s="70">
        <f t="shared" si="1512"/>
        <v>0</v>
      </c>
      <c r="BO760" s="70">
        <f t="shared" si="1512"/>
        <v>0</v>
      </c>
      <c r="BP760" s="70">
        <f t="shared" si="1512"/>
        <v>0</v>
      </c>
      <c r="BQ760" s="71">
        <f t="shared" si="1512"/>
        <v>6.2</v>
      </c>
      <c r="BR760" s="68">
        <f t="shared" si="1512"/>
        <v>0</v>
      </c>
      <c r="BS760" s="490">
        <f>IF($B760="LOSS",IF(AND($K760=BS$3,$C760="L"),-$O760,0)+IF(AND($K761=BS$3,$C761="L"),-$O761,0)+IF(AND($K762=BS$3,$C762="L"),-$O762,0),IF(OR(AND($K760=BS$3,OR($C760="W",$C760="1/2W")),AND($K761=BS$3,OR($C761="W",$C761="1/2W")),AND($K762=BS$3,OR($C762="W",$C762="1/2W"))),$S760,0))</f>
        <v>0</v>
      </c>
      <c r="BT760" s="488">
        <f>IF($B760="LOSS",IF(AND($K760=BT$3,$C760="L"),-$O760,0)+IF(AND($K761=BT$3,$C761="L"),-$O761,0)+IF(AND($K761=BT$3,$C762="L"),-$O762,0),IF(OR(AND($K761=BT$3,OR($C760="W",$C760="1/2W")),AND($K761=BT$3,OR($C761="W",$C761="1/2W")),AND($K761=BT$3,OR($C762="W",$C762="1/2W"))),$S760,0))</f>
        <v>0</v>
      </c>
      <c r="BU760" s="488">
        <f>IF($B760="LOSS",IF(AND($K760=BU$3,$C760="L"),-$O760,0)+IF(AND($K761=BU$3,$C761="L"),-$O761,0)+IF(AND($K761=BU$3,$C762="L"),-$O762,0),IF(OR(AND($K761=BU$3,OR($C760="W",$C760="1/2W")),AND($K761=BU$3,OR($C761="W",$C761="1/2W")),AND($K761=BU$3,OR($C762="W",$C762="1/2W"))),$S760,0))</f>
        <v>0</v>
      </c>
      <c r="BV760" s="488">
        <f t="shared" ref="BV760:CE760" si="1521">IF($B760="LOSS",IF(AND($K760=BV$3,$C760="L"),-$O760,0)+IF(AND($K761=BV$3,$C761="L"),-$O761,0)+IF(AND($K762=BV$3,$C762="L"),-$O762,0),IF(OR(AND($K760=BV$3,OR($C760="W",$C760="1/2W")),AND($K761=BV$3,OR($C761="W",$C761="1/2W")),AND($K762=BV$3,OR($C762="W",$C762="1/2W"))),$S760,0))</f>
        <v>0</v>
      </c>
      <c r="BW760" s="488">
        <f t="shared" si="1521"/>
        <v>1.32</v>
      </c>
      <c r="BX760" s="488">
        <f t="shared" si="1521"/>
        <v>0</v>
      </c>
      <c r="BY760" s="488">
        <f t="shared" si="1521"/>
        <v>0</v>
      </c>
      <c r="BZ760" s="498">
        <f t="shared" si="1521"/>
        <v>0</v>
      </c>
      <c r="CA760" s="498">
        <f t="shared" si="1521"/>
        <v>0</v>
      </c>
      <c r="CB760" s="498">
        <f t="shared" si="1521"/>
        <v>0</v>
      </c>
      <c r="CC760" s="498">
        <f t="shared" si="1521"/>
        <v>0</v>
      </c>
      <c r="CD760" s="500">
        <f t="shared" si="1521"/>
        <v>0</v>
      </c>
      <c r="CE760" s="504">
        <f t="shared" si="1521"/>
        <v>0</v>
      </c>
      <c r="CF760" s="160">
        <f t="shared" si="1412"/>
        <v>0</v>
      </c>
      <c r="CG760" s="161">
        <f t="shared" si="1413"/>
        <v>0</v>
      </c>
      <c r="CH760" s="161">
        <f t="shared" si="1414"/>
        <v>0</v>
      </c>
      <c r="CI760" s="161">
        <f t="shared" si="1415"/>
        <v>0</v>
      </c>
      <c r="CJ760" s="161">
        <f t="shared" si="1416"/>
        <v>0</v>
      </c>
      <c r="CK760" s="161">
        <f t="shared" si="1417"/>
        <v>0</v>
      </c>
      <c r="CL760" s="161">
        <f t="shared" si="1418"/>
        <v>0</v>
      </c>
      <c r="CM760" s="161">
        <f t="shared" si="1419"/>
        <v>0</v>
      </c>
      <c r="CN760" s="161">
        <f t="shared" si="1420"/>
        <v>0</v>
      </c>
      <c r="CO760" s="161">
        <f t="shared" si="1421"/>
        <v>0</v>
      </c>
      <c r="CP760" s="161">
        <f t="shared" si="1422"/>
        <v>0</v>
      </c>
      <c r="CQ760" s="161">
        <f t="shared" si="1423"/>
        <v>0</v>
      </c>
      <c r="CR760" s="161">
        <f t="shared" si="1424"/>
        <v>0</v>
      </c>
      <c r="CS760" s="161">
        <f t="shared" si="1425"/>
        <v>0</v>
      </c>
      <c r="CT760" s="75">
        <f t="shared" si="1426"/>
        <v>0</v>
      </c>
      <c r="CU760" s="76">
        <f t="shared" si="1427"/>
        <v>0</v>
      </c>
      <c r="CV760" s="76">
        <f t="shared" si="1428"/>
        <v>0</v>
      </c>
      <c r="CW760" s="76">
        <f t="shared" si="1429"/>
        <v>0</v>
      </c>
      <c r="CX760" s="76">
        <f t="shared" si="1430"/>
        <v>0</v>
      </c>
      <c r="CY760" s="76">
        <f t="shared" si="1431"/>
        <v>0</v>
      </c>
      <c r="CZ760" s="76">
        <f t="shared" si="1432"/>
        <v>0</v>
      </c>
      <c r="DA760" s="76">
        <f t="shared" si="1433"/>
        <v>0</v>
      </c>
      <c r="DB760" s="76">
        <f t="shared" si="1434"/>
        <v>0</v>
      </c>
      <c r="DC760" s="76">
        <f t="shared" si="1435"/>
        <v>1</v>
      </c>
      <c r="DD760" s="76">
        <f t="shared" si="1436"/>
        <v>0</v>
      </c>
      <c r="DE760" s="77">
        <f t="shared" si="1437"/>
        <v>0</v>
      </c>
      <c r="DF760" s="73">
        <f t="shared" si="1440"/>
        <v>43</v>
      </c>
      <c r="DG760" s="67">
        <f t="shared" si="1441"/>
        <v>57.167999999999992</v>
      </c>
      <c r="DH760" s="76">
        <f t="shared" si="1442"/>
        <v>16</v>
      </c>
      <c r="DI760" s="67">
        <f t="shared" si="1443"/>
        <v>68.699999999999989</v>
      </c>
      <c r="DJ760" s="202" t="str">
        <f>IF($D760="","",$D760)</f>
        <v>23</v>
      </c>
      <c r="DK760" s="492">
        <f>IF(AND($B760=" ",$D760&lt;&gt;""),1,0)</f>
        <v>0</v>
      </c>
    </row>
    <row r="761" spans="1:115" ht="14.5" customHeight="1" x14ac:dyDescent="0.2">
      <c r="A761" s="389"/>
      <c r="B761" s="456"/>
      <c r="C761" s="53" t="s">
        <v>54</v>
      </c>
      <c r="D761" s="374"/>
      <c r="E761" s="386"/>
      <c r="F761" s="377"/>
      <c r="G761" s="483"/>
      <c r="H761" s="476"/>
      <c r="I761" s="55" t="s">
        <v>72</v>
      </c>
      <c r="J761" s="242" t="str">
        <f>IF(OR(I760="TO",I760="TU",I760="TO1",I760="TU1",I760="TO2",I760="TU2"),J760,IF(OR(I760="AH1",I760="AH2"),IF(OR(I761="AH1",I761="AH2"),-J760,IF(OR(I761="EH1",I761="EH2"),-J760+0.5,"")),IF(OR(I760="EH1",I760="EH2"),IF(OR(I761="AH1",I761="AH2"),-J760+0.5,IF(OR(I761="EH1",I761="EH2"),-J760+1,"")),IF(AND(OR(I760="DNB1",I760="DNB2"),OR(I761="AH1",I761="AH2")),0,IF(AND(I760="Not ScoreBoth",OR(I761="TO1",I761="TO2")),0.5,"")))))</f>
        <v/>
      </c>
      <c r="K761" s="232" t="s">
        <v>40</v>
      </c>
      <c r="L761" s="58">
        <v>1.77</v>
      </c>
      <c r="M761" s="59">
        <v>9.77</v>
      </c>
      <c r="N761" s="406"/>
      <c r="O761" s="60">
        <f>IF(OR(AE760="",AE761=""),"",ROUND(IF(L762&gt;0,IF(M761&gt;0,M761,IF(M760&gt;0,IF(N760=TRUE,ROUND((M760*AE761)/AE760,0),(M760*AE761)/AE760),IF(M761&gt;0,ROUND(M761,IF(N760=0,2,IF(N760=0.1,1,0))),IF(M762&gt;0,ROUND(O762*AE761/AE762,IF(N760=0,2,IF(N760=0.1,1,0))),0)))),IF(M761&gt;0,M761,ROUND((M760*AE761)/AE760,IF(N760=0,2,IF(N760=0.1,1,0))))),2))</f>
        <v>9.77</v>
      </c>
      <c r="P761" s="61">
        <f>IF(OR(L761="",O761=""),"",IF($C761="1/2W",O761/2+O761/2*L761,IF($C761="1/2L",O761/2,IF(I761="Lay",((O761*(L761/(L761-1)))-O761)*(1-_xlfn.XLOOKUP(K761,'Fevereiro 2023 - Valor Real'!A3:A15,'Fevereiro 2023 - Valor Real'!C3:C15,0))+O761,(O761*L761-O761)*(1-_xlfn.XLOOKUP(K761,'Fevereiro 2023 - Valor Real'!A3:A15,'Fevereiro 2023 - Valor Real'!C3:C15,0))+O761))))</f>
        <v>17.292899999999999</v>
      </c>
      <c r="Q761" s="233">
        <f>IF(K761="","",IF(_xlfn.XLOOKUP(K761,K$4:K760,$DJ$4:DJ760,0,,-1)=DJ761,_xlfn.XLOOKUP(K761,K$4:K760,Q$4:Q760,1,,-1)+1,1))</f>
        <v>7</v>
      </c>
      <c r="R761" s="234">
        <f>IF(K761="","",_xlfn.XLOOKUP(K761,K$4:K760,R$4:R760,0,,-1)+IF($C761=" ",1,0))</f>
        <v>0</v>
      </c>
      <c r="S761" s="403"/>
      <c r="T761" s="380"/>
      <c r="U761" s="380"/>
      <c r="V761" s="481"/>
      <c r="W761" s="380"/>
      <c r="X761" s="452"/>
      <c r="Y761" s="383"/>
      <c r="Z761" s="384"/>
      <c r="AA761" s="384"/>
      <c r="AB761" s="384"/>
      <c r="AC761" s="384"/>
      <c r="AD761" s="64">
        <f>(((L761/(L761-1)-1)*(1-_xlfn.XLOOKUP(K761,'Fevereiro 2023 - Valor Real'!A3:A15,'Fevereiro 2023 - Valor Real'!C3:C15,0))+1))</f>
        <v>2.2987012987012987</v>
      </c>
      <c r="AE761" s="65">
        <f>IF(L761="","",IF(L762&gt;0,(SUM(((L760-1)*(1-_xlfn.XLOOKUP(K760,'Fevereiro 2023 - Valor Real'!A3:A15,'Fevereiro 2023 - Valor Real'!C3:C15,0))+1),((L761-1)*(1-_xlfn.XLOOKUP(K761,'Fevereiro 2023 - Valor Real'!A3:A15,'Fevereiro 2023 - Valor Real'!C3:C15,0))+1),((L762-1)*(1-_xlfn.XLOOKUP(K762,'Fevereiro 2023 - Valor Real'!A3:A15,'Fevereiro 2023 - Valor Real'!C3:C15,0))+1))/((L761-1)*(1-_xlfn.XLOOKUP(K761,'Fevereiro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Real'!C3:C15,0))+1))/((L760-1)*(1-_xlfn.XLOOKUP(K760,'Fevereiro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Real'!C3:C15,0))+1))/((L761-1)*(1-_xlfn.XLOOKUP(K761,'Fevereiro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Real'!C3:C15,0))+1))/((L762-1)*(1-_xlfn.XLOOKUP(K762,'Fevereiro 2023 - Valor Real'!A3:A15,'Fevereiro 2023 - Valor Real'!C3:C15,0))+1)),IF(I761="Lay",IF(I760="Lay",((L760/(L760-1)-1)*(1-_xlfn.XLOOKUP(K760,'Fevereiro 2023 - Valor Real'!A3:A15,'Fevereiro 2023 - Valor Real'!C3:C15,0))+1)/(((L760/(L760-1)-1)*(1-_xlfn.XLOOKUP(K760,'Fevereiro 2023 - Valor Real'!A3:A15,'Fevereiro 2023 - Valor Real'!C3:C15,0))+1)+((L761/(L761-1)-1)*(1-_xlfn.XLOOKUP(K761,'Fevereiro 2023 - Valor Real'!A3:A15,'Fevereiro 2023 - Valor Real'!C3:C15,0))+1)),((L760-1)*(1-_xlfn.XLOOKUP(K760,'Fevereiro 2023 - Valor Real'!A3:A15,'Fevereiro 2023 - Valor Real'!C3:C15,0))+1)/(((L760-1)*(1-_xlfn.XLOOKUP(K760,'Fevereiro 2023 - Valor Real'!A3:A15,'Fevereiro 2023 - Valor Real'!C3:C15,0))+1)+((L761/(L761-1)-1)*(1-_xlfn.XLOOKUP(K761,'Fevereiro 2023 - Valor Real'!A3:A15,'Fevereiro 2023 - Valor Real'!C3:C15,0))+1))),IF(I760="Lay",((L760/(L760-1)-1)*(1-_xlfn.XLOOKUP(K760,'Fevereiro 2023 - Valor Real'!A3:A15,'Fevereiro 2023 - Valor Real'!C3:C15,0))+1)/((((L760/(L760-1)-1)*(1-_xlfn.XLOOKUP(K760,'Fevereiro 2023 - Valor Real'!A3:A15,'Fevereiro 2023 - Valor Real'!C3:C15,0))+1))+((L761-1)*(1-_xlfn.XLOOKUP(K761,'Fevereiro 2023 - Valor Real'!A3:A15,'Fevereiro 2023 - Valor Real'!C3:C15,0))+1)),((L760-1)*(1-_xlfn.XLOOKUP(K760,'Fevereiro 2023 - Valor Real'!A3:A15,'Fevereiro 2023 - Valor Real'!C3:C15,0))+1)/(((L760-1)*(1-_xlfn.XLOOKUP(K760,'Fevereiro 2023 - Valor Real'!A3:A15,'Fevereiro 2023 - Valor Real'!C3:C15,0))+1)+((L761-1)*(1-_xlfn.XLOOKUP(K761,'Fevereiro 2023 - Valor Real'!A3:A15,'Fevereiro 2023 - Valor Real'!C3:C15,0))+1))))))</f>
        <v>0.61269146608315095</v>
      </c>
      <c r="AF761" s="66">
        <f t="shared" si="1510"/>
        <v>0</v>
      </c>
      <c r="AG761" s="67">
        <f t="shared" si="1510"/>
        <v>0</v>
      </c>
      <c r="AH761" s="67">
        <f t="shared" si="1510"/>
        <v>0</v>
      </c>
      <c r="AI761" s="67">
        <f t="shared" si="1510"/>
        <v>0</v>
      </c>
      <c r="AJ761" s="67">
        <f t="shared" si="1510"/>
        <v>7.52</v>
      </c>
      <c r="AK761" s="67">
        <f t="shared" si="1510"/>
        <v>0</v>
      </c>
      <c r="AL761" s="67">
        <f t="shared" si="1510"/>
        <v>0</v>
      </c>
      <c r="AM761" s="67">
        <f t="shared" si="1510"/>
        <v>0</v>
      </c>
      <c r="AN761" s="67">
        <f t="shared" si="1510"/>
        <v>0</v>
      </c>
      <c r="AO761" s="67">
        <f t="shared" si="1510"/>
        <v>0</v>
      </c>
      <c r="AP761" s="67">
        <f t="shared" si="1510"/>
        <v>0</v>
      </c>
      <c r="AQ761" s="67">
        <f t="shared" si="1510"/>
        <v>0</v>
      </c>
      <c r="AR761" s="68">
        <f t="shared" si="1510"/>
        <v>0</v>
      </c>
      <c r="AS761" s="66">
        <f>IF(AND($B760=" ",$K761=AS$3),$O761,0)</f>
        <v>0</v>
      </c>
      <c r="AT761" s="67">
        <f>IF(AND($B760=" ",K761=AT$3),$O761,0)</f>
        <v>0</v>
      </c>
      <c r="AU761" s="67">
        <f t="shared" ref="AU761:BE761" si="1522">IF(AND($B760=" ",$K761=AU$3),$O761,0)</f>
        <v>0</v>
      </c>
      <c r="AV761" s="67">
        <f t="shared" si="1522"/>
        <v>0</v>
      </c>
      <c r="AW761" s="67">
        <f t="shared" si="1522"/>
        <v>0</v>
      </c>
      <c r="AX761" s="67">
        <f t="shared" si="1522"/>
        <v>0</v>
      </c>
      <c r="AY761" s="69">
        <f t="shared" si="1522"/>
        <v>0</v>
      </c>
      <c r="AZ761" s="70">
        <f t="shared" si="1522"/>
        <v>0</v>
      </c>
      <c r="BA761" s="70">
        <f t="shared" si="1522"/>
        <v>0</v>
      </c>
      <c r="BB761" s="70">
        <f t="shared" si="1522"/>
        <v>0</v>
      </c>
      <c r="BC761" s="71">
        <f t="shared" si="1522"/>
        <v>0</v>
      </c>
      <c r="BD761" s="67">
        <f t="shared" si="1522"/>
        <v>0</v>
      </c>
      <c r="BE761" s="68">
        <f t="shared" si="1522"/>
        <v>0</v>
      </c>
      <c r="BF761" s="66">
        <f t="shared" si="1512"/>
        <v>0</v>
      </c>
      <c r="BG761" s="67">
        <f t="shared" si="1512"/>
        <v>0</v>
      </c>
      <c r="BH761" s="67">
        <f t="shared" si="1512"/>
        <v>0</v>
      </c>
      <c r="BI761" s="67">
        <f t="shared" si="1512"/>
        <v>0</v>
      </c>
      <c r="BJ761" s="67">
        <f t="shared" si="1512"/>
        <v>9.77</v>
      </c>
      <c r="BK761" s="67">
        <f t="shared" si="1512"/>
        <v>0</v>
      </c>
      <c r="BL761" s="67">
        <f t="shared" si="1512"/>
        <v>0</v>
      </c>
      <c r="BM761" s="235">
        <f t="shared" si="1512"/>
        <v>0</v>
      </c>
      <c r="BN761" s="159">
        <f t="shared" si="1512"/>
        <v>0</v>
      </c>
      <c r="BO761" s="159">
        <f t="shared" si="1512"/>
        <v>0</v>
      </c>
      <c r="BP761" s="159">
        <f t="shared" si="1512"/>
        <v>0</v>
      </c>
      <c r="BQ761" s="71">
        <f t="shared" si="1512"/>
        <v>0</v>
      </c>
      <c r="BR761" s="68">
        <f t="shared" si="1512"/>
        <v>0</v>
      </c>
      <c r="BS761" s="464"/>
      <c r="BT761" s="461"/>
      <c r="BU761" s="392"/>
      <c r="BV761" s="461"/>
      <c r="BW761" s="392"/>
      <c r="BX761" s="392"/>
      <c r="BY761" s="392"/>
      <c r="BZ761" s="461"/>
      <c r="CA761" s="392"/>
      <c r="CB761" s="392"/>
      <c r="CC761" s="392"/>
      <c r="CD761" s="401"/>
      <c r="CE761" s="409"/>
      <c r="CF761" s="236">
        <f t="shared" si="1412"/>
        <v>0</v>
      </c>
      <c r="CG761" s="237">
        <f t="shared" si="1413"/>
        <v>0</v>
      </c>
      <c r="CH761" s="237">
        <f t="shared" si="1414"/>
        <v>0</v>
      </c>
      <c r="CI761" s="237">
        <f t="shared" si="1415"/>
        <v>0</v>
      </c>
      <c r="CJ761" s="237">
        <f t="shared" si="1416"/>
        <v>0</v>
      </c>
      <c r="CK761" s="237">
        <f t="shared" si="1417"/>
        <v>0</v>
      </c>
      <c r="CL761" s="237">
        <f t="shared" si="1418"/>
        <v>0</v>
      </c>
      <c r="CM761" s="237">
        <f t="shared" si="1419"/>
        <v>0</v>
      </c>
      <c r="CN761" s="237">
        <f t="shared" si="1420"/>
        <v>1</v>
      </c>
      <c r="CO761" s="237">
        <f t="shared" si="1421"/>
        <v>0</v>
      </c>
      <c r="CP761" s="237">
        <f t="shared" si="1422"/>
        <v>0</v>
      </c>
      <c r="CQ761" s="237">
        <f t="shared" si="1423"/>
        <v>0</v>
      </c>
      <c r="CR761" s="237">
        <f t="shared" si="1424"/>
        <v>0</v>
      </c>
      <c r="CS761" s="237">
        <f t="shared" si="1425"/>
        <v>0</v>
      </c>
      <c r="CT761" s="75">
        <f t="shared" si="1426"/>
        <v>0</v>
      </c>
      <c r="CU761" s="76">
        <f t="shared" si="1427"/>
        <v>0</v>
      </c>
      <c r="CV761" s="76">
        <f t="shared" si="1428"/>
        <v>0</v>
      </c>
      <c r="CW761" s="76">
        <f t="shared" si="1429"/>
        <v>0</v>
      </c>
      <c r="CX761" s="76">
        <f t="shared" si="1430"/>
        <v>0</v>
      </c>
      <c r="CY761" s="76">
        <f t="shared" si="1431"/>
        <v>0</v>
      </c>
      <c r="CZ761" s="76">
        <f t="shared" si="1432"/>
        <v>0</v>
      </c>
      <c r="DA761" s="76">
        <f t="shared" si="1433"/>
        <v>0</v>
      </c>
      <c r="DB761" s="76">
        <f t="shared" si="1434"/>
        <v>0</v>
      </c>
      <c r="DC761" s="76">
        <f t="shared" si="1435"/>
        <v>0</v>
      </c>
      <c r="DD761" s="76">
        <f t="shared" si="1436"/>
        <v>0</v>
      </c>
      <c r="DE761" s="77">
        <f t="shared" si="1437"/>
        <v>0</v>
      </c>
      <c r="DF761" s="73">
        <f t="shared" si="1440"/>
        <v>43</v>
      </c>
      <c r="DG761" s="67">
        <f t="shared" si="1441"/>
        <v>57.167999999999992</v>
      </c>
      <c r="DH761" s="76">
        <f t="shared" si="1442"/>
        <v>16</v>
      </c>
      <c r="DI761" s="67">
        <f t="shared" si="1443"/>
        <v>68.699999999999989</v>
      </c>
      <c r="DJ761" s="202" t="str">
        <f>IF($D760="","",$D760)</f>
        <v>23</v>
      </c>
      <c r="DK761" s="466"/>
    </row>
    <row r="762" spans="1:115" ht="14.5" customHeight="1" x14ac:dyDescent="0.2">
      <c r="A762" s="390"/>
      <c r="B762" s="457"/>
      <c r="C762" s="79" t="s">
        <v>53</v>
      </c>
      <c r="D762" s="375"/>
      <c r="E762" s="387"/>
      <c r="F762" s="378"/>
      <c r="G762" s="484"/>
      <c r="H762" s="477"/>
      <c r="I762" s="82"/>
      <c r="J762" s="83"/>
      <c r="K762" s="90"/>
      <c r="L762" s="84"/>
      <c r="M762" s="85"/>
      <c r="N762" s="407"/>
      <c r="O762" s="86" t="str">
        <f>IF(OR(AE760="",AE761=""),"",IF(L762&gt;0,ROUND(IF(M762&gt;0,M762,IF(M760&gt;0,ROUND((M760*AE762)/AE760,IF(N760=0,2,IF(N760=0.1,1,0))),IF(M761&gt;0,ROUND((M761*AE762)/AE761,IF(N760=0,2,IF(N760=0.1,1,0))),IF(M762&gt;0,M762,0)))),2),""))</f>
        <v/>
      </c>
      <c r="P762" s="87" t="str">
        <f>IF(I761="Lay",O761*(L761/(L761-1))-O761,IF(I760="Lay",O760*(L760/(L760-1))-O760,IF(OR(L762="",O762=""),"",IF($C762="1/2W",O762/2+O762/2*L762,IF($C762="1/2L",O762/2,(O762*L762-O762)*(1-_xlfn.XLOOKUP(K762,'Fevereiro 2023 - Valor Real'!A3:A15,'Fevereiro 2023 - Valor Real'!C3:C15,0))+O762)))))</f>
        <v/>
      </c>
      <c r="Q762" s="238" t="str">
        <f>IF(K762="","",IF(_xlfn.XLOOKUP(K762,K$4:K761,$DJ$4:DJ761,0,,-1)=DJ762,_xlfn.XLOOKUP(K762,K$4:K761,Q$4:Q761,1,,-1)+1,1))</f>
        <v/>
      </c>
      <c r="R762" s="239" t="str">
        <f>IF(K762="","",_xlfn.XLOOKUP(K762,K$4:K761,R$4:R761,0,,-1)+IF($C762=" ",1,0))</f>
        <v/>
      </c>
      <c r="S762" s="404"/>
      <c r="T762" s="378"/>
      <c r="U762" s="378"/>
      <c r="V762" s="404"/>
      <c r="W762" s="378"/>
      <c r="X762" s="453"/>
      <c r="Y762" s="383"/>
      <c r="Z762" s="384"/>
      <c r="AA762" s="384"/>
      <c r="AB762" s="384"/>
      <c r="AC762" s="384"/>
      <c r="AD762" s="240">
        <f>((L761/(L761-1)-1))</f>
        <v>1.2987012987012987</v>
      </c>
      <c r="AE762" s="91" t="str">
        <f>IF(L762="","",(SUM(((L760-1)*(1-_xlfn.XLOOKUP(K760,'Fevereiro 2023 - Valor Real'!A3:A15,'Fevereiro 2023 - Valor Real'!C3:C15,0))+1),((L761-1)*(1-_xlfn.XLOOKUP(K761,'Fevereiro 2023 - Valor Real'!A3:A15,'Fevereiro 2023 - Valor Real'!C3:C15,0))+1),((L762-1)*(1-_xlfn.XLOOKUP(K762,'Fevereiro 2023 - Valor Real'!A3:A15,'Fevereiro 2023 - Valor Real'!C3:C15,0))+1))/((L762-1)*(1-_xlfn.XLOOKUP(K762,'Fevereiro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Real'!C3:C15,0))+1))/((L760-1)*(1-_xlfn.XLOOKUP(K760,'Fevereiro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Real'!C3:C15,0))+1))/((L761-1)*(1-_xlfn.XLOOKUP(K761,'Fevereiro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Real'!C3:C15,0))+1))/((L762-1)*(1-_xlfn.XLOOKUP(K762,'Fevereiro 2023 - Valor Real'!A3:A15,'Fevereiro 2023 - Valor Real'!C3:C15,0))+1)))</f>
        <v/>
      </c>
      <c r="AF762" s="66">
        <f t="shared" si="1510"/>
        <v>0</v>
      </c>
      <c r="AG762" s="67">
        <f t="shared" si="1510"/>
        <v>0</v>
      </c>
      <c r="AH762" s="67">
        <f t="shared" si="1510"/>
        <v>0</v>
      </c>
      <c r="AI762" s="67">
        <f t="shared" si="1510"/>
        <v>0</v>
      </c>
      <c r="AJ762" s="67">
        <f t="shared" si="1510"/>
        <v>0</v>
      </c>
      <c r="AK762" s="67">
        <f t="shared" si="1510"/>
        <v>0</v>
      </c>
      <c r="AL762" s="67">
        <f t="shared" si="1510"/>
        <v>0</v>
      </c>
      <c r="AM762" s="67">
        <f t="shared" si="1510"/>
        <v>0</v>
      </c>
      <c r="AN762" s="67">
        <f t="shared" si="1510"/>
        <v>0</v>
      </c>
      <c r="AO762" s="67">
        <f t="shared" si="1510"/>
        <v>0</v>
      </c>
      <c r="AP762" s="67">
        <f t="shared" si="1510"/>
        <v>0</v>
      </c>
      <c r="AQ762" s="67">
        <f t="shared" si="1510"/>
        <v>0</v>
      </c>
      <c r="AR762" s="68">
        <f t="shared" si="1510"/>
        <v>0</v>
      </c>
      <c r="AS762" s="66">
        <f>IF(AND($B760=" ",$K762=AS$3),$O762,0)</f>
        <v>0</v>
      </c>
      <c r="AT762" s="67">
        <f>IF(AND($B760=" ",K762=AT$3),$O762,0)</f>
        <v>0</v>
      </c>
      <c r="AU762" s="67">
        <f t="shared" ref="AU762:BE762" si="1523">IF(AND($B760=" ",$K762=AU$3),$O762,0)</f>
        <v>0</v>
      </c>
      <c r="AV762" s="67">
        <f t="shared" si="1523"/>
        <v>0</v>
      </c>
      <c r="AW762" s="67">
        <f t="shared" si="1523"/>
        <v>0</v>
      </c>
      <c r="AX762" s="67">
        <f t="shared" si="1523"/>
        <v>0</v>
      </c>
      <c r="AY762" s="69">
        <f t="shared" si="1523"/>
        <v>0</v>
      </c>
      <c r="AZ762" s="70">
        <f t="shared" si="1523"/>
        <v>0</v>
      </c>
      <c r="BA762" s="70">
        <f t="shared" si="1523"/>
        <v>0</v>
      </c>
      <c r="BB762" s="70">
        <f t="shared" si="1523"/>
        <v>0</v>
      </c>
      <c r="BC762" s="71">
        <f t="shared" si="1523"/>
        <v>0</v>
      </c>
      <c r="BD762" s="67">
        <f t="shared" si="1523"/>
        <v>0</v>
      </c>
      <c r="BE762" s="68">
        <f t="shared" si="1523"/>
        <v>0</v>
      </c>
      <c r="BF762" s="66">
        <f t="shared" si="1512"/>
        <v>0</v>
      </c>
      <c r="BG762" s="67">
        <f t="shared" si="1512"/>
        <v>0</v>
      </c>
      <c r="BH762" s="67">
        <f t="shared" si="1512"/>
        <v>0</v>
      </c>
      <c r="BI762" s="67">
        <f t="shared" si="1512"/>
        <v>0</v>
      </c>
      <c r="BJ762" s="67">
        <f t="shared" si="1512"/>
        <v>0</v>
      </c>
      <c r="BK762" s="67">
        <f t="shared" si="1512"/>
        <v>0</v>
      </c>
      <c r="BL762" s="67">
        <f t="shared" si="1512"/>
        <v>0</v>
      </c>
      <c r="BM762" s="69">
        <f t="shared" si="1512"/>
        <v>0</v>
      </c>
      <c r="BN762" s="70">
        <f t="shared" si="1512"/>
        <v>0</v>
      </c>
      <c r="BO762" s="70">
        <f t="shared" si="1512"/>
        <v>0</v>
      </c>
      <c r="BP762" s="70">
        <f t="shared" si="1512"/>
        <v>0</v>
      </c>
      <c r="BQ762" s="71">
        <f t="shared" si="1512"/>
        <v>0</v>
      </c>
      <c r="BR762" s="68">
        <f t="shared" si="1512"/>
        <v>0</v>
      </c>
      <c r="BS762" s="464"/>
      <c r="BT762" s="461"/>
      <c r="BU762" s="392"/>
      <c r="BV762" s="461"/>
      <c r="BW762" s="392"/>
      <c r="BX762" s="392"/>
      <c r="BY762" s="392"/>
      <c r="BZ762" s="461"/>
      <c r="CA762" s="392"/>
      <c r="CB762" s="392"/>
      <c r="CC762" s="392"/>
      <c r="CD762" s="401"/>
      <c r="CE762" s="409"/>
      <c r="CF762" s="236">
        <f t="shared" si="1412"/>
        <v>0</v>
      </c>
      <c r="CG762" s="237">
        <f t="shared" si="1413"/>
        <v>0</v>
      </c>
      <c r="CH762" s="237">
        <f t="shared" si="1414"/>
        <v>0</v>
      </c>
      <c r="CI762" s="237">
        <f t="shared" si="1415"/>
        <v>0</v>
      </c>
      <c r="CJ762" s="237">
        <f t="shared" si="1416"/>
        <v>0</v>
      </c>
      <c r="CK762" s="237">
        <f t="shared" si="1417"/>
        <v>0</v>
      </c>
      <c r="CL762" s="237">
        <f t="shared" si="1418"/>
        <v>0</v>
      </c>
      <c r="CM762" s="237">
        <f t="shared" si="1419"/>
        <v>0</v>
      </c>
      <c r="CN762" s="237">
        <f t="shared" si="1420"/>
        <v>0</v>
      </c>
      <c r="CO762" s="237">
        <f t="shared" si="1421"/>
        <v>0</v>
      </c>
      <c r="CP762" s="237">
        <f t="shared" si="1422"/>
        <v>0</v>
      </c>
      <c r="CQ762" s="237">
        <f t="shared" si="1423"/>
        <v>0</v>
      </c>
      <c r="CR762" s="237">
        <f t="shared" si="1424"/>
        <v>0</v>
      </c>
      <c r="CS762" s="237">
        <f t="shared" si="1425"/>
        <v>0</v>
      </c>
      <c r="CT762" s="75">
        <f t="shared" si="1426"/>
        <v>0</v>
      </c>
      <c r="CU762" s="76">
        <f t="shared" si="1427"/>
        <v>0</v>
      </c>
      <c r="CV762" s="76">
        <f t="shared" si="1428"/>
        <v>0</v>
      </c>
      <c r="CW762" s="76">
        <f t="shared" si="1429"/>
        <v>0</v>
      </c>
      <c r="CX762" s="76">
        <f t="shared" si="1430"/>
        <v>0</v>
      </c>
      <c r="CY762" s="76">
        <f t="shared" si="1431"/>
        <v>0</v>
      </c>
      <c r="CZ762" s="76">
        <f t="shared" si="1432"/>
        <v>0</v>
      </c>
      <c r="DA762" s="76">
        <f t="shared" si="1433"/>
        <v>0</v>
      </c>
      <c r="DB762" s="76">
        <f t="shared" si="1434"/>
        <v>0</v>
      </c>
      <c r="DC762" s="76">
        <f t="shared" si="1435"/>
        <v>0</v>
      </c>
      <c r="DD762" s="76">
        <f t="shared" si="1436"/>
        <v>0</v>
      </c>
      <c r="DE762" s="77">
        <f t="shared" si="1437"/>
        <v>0</v>
      </c>
      <c r="DF762" s="73">
        <f t="shared" si="1440"/>
        <v>43</v>
      </c>
      <c r="DG762" s="67">
        <f t="shared" si="1441"/>
        <v>57.167999999999992</v>
      </c>
      <c r="DH762" s="76">
        <f t="shared" si="1442"/>
        <v>16</v>
      </c>
      <c r="DI762" s="67">
        <f t="shared" si="1443"/>
        <v>68.699999999999989</v>
      </c>
      <c r="DJ762" s="202" t="str">
        <f>IF($D760="","",$D760)</f>
        <v>23</v>
      </c>
      <c r="DK762" s="466"/>
    </row>
    <row r="763" spans="1:115" ht="14.5" customHeight="1" x14ac:dyDescent="0.2">
      <c r="A763" s="459">
        <f>$A760+1</f>
        <v>254</v>
      </c>
      <c r="B763" s="507" t="str">
        <f>IF(OR(C763="W",C764="W",C765="W",C763="1/2W",C764="1/2W",C765="1/2W",C763="1/2L",C764="1/2L",C765="1/2L"),"OK",IF(OR(C763="L",C764="L",C765="L"),"LOSS",IF(OR(C763="X",C764="X",C765="X"),"Anulado"," ")))</f>
        <v>OK</v>
      </c>
      <c r="C763" s="93" t="s">
        <v>55</v>
      </c>
      <c r="D763" s="468" t="s">
        <v>264</v>
      </c>
      <c r="E763" s="485" t="str">
        <f>IF(G763=""," ","– "&amp;COUNTIF(D$4:D765,$D763))</f>
        <v>– 1</v>
      </c>
      <c r="F763" s="509" t="str">
        <f ca="1">IF(G763="","",IF(OR(AND($C763&lt;&gt;" ",$C764=" "),AND($C764&lt;&gt;" ",$C763=" "),AND(L765&gt;0,OR(AND($C765&lt;&gt;" ",OR($C763=" ",$C764=" ")),AND($C765=" ",OR($C763&lt;&gt;" ",$C764&lt;&gt;" "))))),IF(SUM(F$4:F762)=0,1,LARGE(F$4:F762,1)+1),IF(MONTH(G763)=MONTH(TODAY()),IF(AND(DAY(G763)&lt;DAY(TODAY()),$B763=" "),IF(SUM(F$4:F762)=0,1,LARGE(F$4:F762,1)+1),IF($B763=" ",IF(AND(DAY(G763)=DAY(TODAY()),HOUR(G763)&lt;=HOUR(NOW())+1),IF(AND(HOUR(G763)+2&lt;=HOUR(NOW()),DAY(G763)&lt;=DAY(TODAY()),MINUTE(G763)&lt;=MINUTE(NOW())),IF(SUM(F$4:F762)=0,1,LARGE(F$4:F762,1)+1),IF(OR(MINUTE(G763)&lt;=MINUTE(NOW()),HOUR(G763)&lt;=HOUR(NOW())),"!!!","")),""),"")),"")))</f>
        <v/>
      </c>
      <c r="G763" s="482">
        <v>45012.416666666664</v>
      </c>
      <c r="H763" s="475" t="s">
        <v>265</v>
      </c>
      <c r="I763" s="94" t="s">
        <v>51</v>
      </c>
      <c r="J763" s="95">
        <v>0.5</v>
      </c>
      <c r="K763" s="96" t="s">
        <v>36</v>
      </c>
      <c r="L763" s="97">
        <v>1.83</v>
      </c>
      <c r="M763" s="98">
        <v>16.8</v>
      </c>
      <c r="N763" s="478">
        <v>0.1</v>
      </c>
      <c r="O763" s="99">
        <f>IF(OR(AE763="",AE764=""),"",ROUND(IF(L765&gt;0,IF(M763&gt;0,M763,IF(M764&gt;0,ROUND((M764*AE763)/AE764,IF(N763=0,2,IF(N763=0.1,1,0))),ROUND((M765*AE763)/AE765,IF(N763=0,2,IF(N763=0.1,1,0))))),IF(M763&gt;0,M763,ROUND((M764*AE763)/AE764,IF(N763=0,2,IF(N763=0.1,1,0))))),2))</f>
        <v>16.8</v>
      </c>
      <c r="P763" s="100">
        <f>IF(OR(L763="",O763=""),"",IF($C763="1/2W",O763/2+O763/2*L763,IF($C763="1/2L",O763/2,IF(I763="Lay",(O763*(L763/(L763-1))-O763)*(1-_xlfn.XLOOKUP(K763,'Fevereiro 2023 - Valor Real'!A3:A15,'Fevereiro 2023 - Valor Real'!C3:C15,0))+O763,(O763*L763-O763)*(1-_xlfn.XLOOKUP(K763,'Fevereiro 2023 - Valor Real'!A3:A15,'Fevereiro 2023 - Valor Real'!C3:C15,0))+O763))))</f>
        <v>30.744000000000003</v>
      </c>
      <c r="Q763" s="101">
        <f>IF(K763="","",IF(_xlfn.XLOOKUP(K763,K$4:K762,$DJ$4:DJ762,0,,-1)=DJ763,_xlfn.XLOOKUP(K763,K$4:K762,Q$4:Q762,1,,-1)+1,1))</f>
        <v>1</v>
      </c>
      <c r="R763" s="102">
        <f>IF(K763="","",_xlfn.XLOOKUP(K763,K$4:K762,R$4:R762,0,,-1)+IF($C763=" ",1,0))</f>
        <v>0</v>
      </c>
      <c r="S763" s="474">
        <f>IF($B763="Anulado",0,ROUND(IF(OR($B763="LOSS",$B763="OK"),IF(OR($C763="W",$C763="1/2W",$C763="1/2L"),P763-O763,IF($C763="L",-O763,0))+IF(OR($C764="W",$C764="1/2W",$C764="1/2L"),P764-O764,IF($C764="L",-O764,0))+IF(OR($C765="W",$C765="1/2W",$C765="1/2L"),P765-O765,IF($C765="L",-O765,0)),IF(AND(OR($C763="W",$C763="1/2W",$C763="1/2L"),C764="W"),P763+P764-SUM(O763:O765)+_xlfn.XLOOKUP("X",C763:C765,O763:O765,0),IF(AND(C763=TRUE,C765="W"),P763+P765-SUM(O763:O765),IF(AND(C764="W",C765="W"),P764+P765-SUM(O763:O765)+_xlfn.XLOOKUP("X",C763:C765,O763:O765,0),IF(L765&gt;0,IF(OR($C763="W",$C763="1/2W",$C763="1/2L"),P763-SUM(O763:O765)+_xlfn.XLOOKUP("X",C763:C765,O763:O765,0),IF(OR($C763="W",$C763="1/2W",$C763="1/2L"),P764-SUM(O763:O765)+_xlfn.XLOOKUP("X",C763:C765,O763:O765,0),IF(OR($C763="W",$C763="1/2W",$C763="1/2L"),P765-SUM(O763:O765)+_xlfn.XLOOKUP("X",C763:C765,O763:O765,0),IF(SUM(P763:P765)/3-SUM(O763:O765)+_xlfn.XLOOKUP("X",C763:C765,O763:O765,0)&gt;0,SUM(P763:P765)/3-SUM(O763:O765)+_xlfn.XLOOKUP("X",C763:C765,O763:O765,0),LARGE(P763:P765,1)-SUM(O763:O765))))),IF(OR($C763="W",$C763="1/2W",$C763="1/2L"),P763-SUM(O763:O764)+_xlfn.XLOOKUP("X",C763:C765,O763:O765,0),IF(OR($C763="W",$C763="1/2W",$C763="1/2L"),P764-SUM(O763:O764)+_xlfn.XLOOKUP("X",C763:C765,O763:O765,0),SUM(P763:P764)/2-SUM(O763:O764)+_xlfn.XLOOKUP("X",C763:C765,O763:O765,0)))))))),2))</f>
        <v>1.8</v>
      </c>
      <c r="T763" s="458">
        <f>IF(S763=0,0,S763/SUM(O763:O765))</f>
        <v>6.25E-2</v>
      </c>
      <c r="U763" s="470">
        <f>IF($D763=$D760,IF(OR($B763="LOSS",$B763="OK",$B763="Anulada"),S763,0)+U760,IF(OR($B763="LOSS",$B763="OK",$B763="Anulada"),S763,0))</f>
        <v>1.8</v>
      </c>
      <c r="V763" s="470">
        <f>IF($D763="",0,IF($D763=$D760,IF($B763=" ",IF(I765="",IF(OR(AND(I763="DNB1",I764="DNB2"),AND(OR(I763="DNB1",I763="DNB2"),J764=0),AND(OR(I764="DNB1",I764="DNB2"),J763=0),AND(I763="DNB2",I764="DNB1"),AND(IF(J763=0,(J763+1)/ROUND(J763+1,0),J763/ROUND(J763,0))=1,IF(J764=0,(J764+1)/ROUND(IF(J764="",0,J764)+1,0),IF(J764="",0,J764)/ROUND(IF(J764="",1,J764),0))=1,OR(J763&lt;&gt;""),J764&lt;&gt;"")),0,IF(S763&lt;0,IF(I765="",SMALL(P763:P764,1)-SUM(O763:O764),0),SMALL(P763:P764,1)-SUM(O763:O764))),IF(S763&lt;0,IF(I765="",SMALL(P763:P765,1)-SUM(O763:O765),0),LARGE(P763:P765,1)-SUM(O763:O765))),S763)+V760,IF(I765="",IF(OR(AND(I763="DNB1",I764="DNB2"),AND(OR(I763="DNB1",I763="DNB2"),J764=0),AND(OR(I764="DNB1",I764="DNB2"),J763=0),AND(I763="DNB2",I764="DNB1"),AND(IF(J763=0,(J763+1)/ROUND(J763+1,0),J763/ROUND(J763,0))=1,IF(J764=0,(IF(J764="",0,J764)+1)/ROUND(IF(J764="",0,J764)+1,0),IF(J764="",0,J764)/ROUND(IF(J764="",0,J764)+1,0))=1,OR(J763&lt;&gt;""),J764&lt;&gt;"")),0,IF(S763&lt;0,IF(I765="",SMALL(P763:P764,1)-SUM(O763:O764),0),SMALL(P763:P765,1)-SUM(O763:O765))),IF(S763&lt;0,IF(I765="",SMALL(P763:P765,1)-SUM(O763:O765),0),LARGE(P763:P765,1)-SUM(O763:O765)))))</f>
        <v>1.7999999999999972</v>
      </c>
      <c r="W763" s="470">
        <f>IF($D763=$D760,IF(S763&lt;0,IF(I765="",S763,0),S763)+W760,S763)</f>
        <v>1.8</v>
      </c>
      <c r="X763" s="480" t="str">
        <f>IF(OR(SUM(R763:R765)=0,V763=W763),ROUND(IF(W763=0,0,W763/Y763)*100,2)&amp;"%",ROUND(IF(V763=0,0,V763/Y763)*100,2)&amp;"% a "&amp;ROUND(IF(W763=0,0,W763/Y763)*100,2)&amp;"%")</f>
        <v>6,25%</v>
      </c>
      <c r="Y763" s="471">
        <f>IF($D763=$D760,Y760+SUM(O763:O765),SUM(O763:O765))</f>
        <v>28.8</v>
      </c>
      <c r="Z763" s="470">
        <f>IF($B763=" ",SUM(O763:O765),0)+Z760</f>
        <v>0</v>
      </c>
      <c r="AA763" s="470">
        <f>IF(G763="","",IF($B763="Anulado",LARGE(P763:P765,1)-SUM(O763:O765)+AA760,AA760))</f>
        <v>13.381099999999991</v>
      </c>
      <c r="AB763" s="470">
        <f>IF($D763="","",AB760+S763)</f>
        <v>849.49000000000069</v>
      </c>
      <c r="AC763" s="472">
        <f ca="1">IF($D763="","",IF($B763=" ",IF(DAY(G763)=DAY(TODAY()),1+AC760,0+AC760),0+AC760))</f>
        <v>0</v>
      </c>
      <c r="AD763" s="103">
        <f>(((L764/(L764-1)-1)*(1-_xlfn.XLOOKUP(K764,'Fevereiro 2023 - Valor Real'!A3:A15,'Fevereiro 2023 - Valor Real'!C3:C15,0))+1))/(((L763-1)*(1-_xlfn.XLOOKUP(K763,'Fevereiro 2023 - Valor Real'!A3:A15,'Fevereiro 2023 - Valor Real'!C3:C15,0))+1)+((L764/(L764-1)-1)*(1-_xlfn.XLOOKUP(K764,'Fevereiro 2023 - Valor Real'!A3:A15,'Fevereiro 2023 - Valor Real'!C3:C15,0))+1))</f>
        <v>0.47340573656363127</v>
      </c>
      <c r="AE763" s="104">
        <f>IF(L763="","",IF(L765&gt;0,(SUM(((L763-1)*(1-_xlfn.XLOOKUP(K763,'Fevereiro 2023 - Valor Real'!A3:A15,'Fevereiro 2023 - Valor Real'!C3:C15,0))+1),((L764-1)*(1-_xlfn.XLOOKUP(K764,'Fevereiro 2023 - Valor Real'!A3:A15,'Fevereiro 2023 - Valor Real'!C3:C15,0))+1),((L765-1)*(1-_xlfn.XLOOKUP(K765,'Fevereiro 2023 - Valor Real'!A3:A15,'Fevereiro 2023 - Valor Real'!C3:C15,0))+1))/((L763-1)*(1-_xlfn.XLOOKUP(K763,'Fevereiro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Real'!C3:C15,0))+1))/((L763-1)*(1-_xlfn.XLOOKUP(K763,'Fevereiro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Real'!C3:C15,0))+1))/((L764-1)*(1-_xlfn.XLOOKUP(K764,'Fevereiro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Real'!C3:C15,0))+1))/((L765-1)*(1-_xlfn.XLOOKUP(K765,'Fevereiro 2023 - Valor Real'!A3:A15,'Fevereiro 2023 - Valor Real'!C3:C15,0))+1)),IF(I763="Lay",IF(I764="Lay",((L764/(L764-1)-1)*(1-_xlfn.XLOOKUP(K764,'Fevereiro 2023 - Valor Real'!A3:A15,'Fevereiro 2023 - Valor Real'!C3:C15,0))+1)/(((L764/(L764-1)-1)*(1-_xlfn.XLOOKUP(K764,'Fevereiro 2023 - Valor Real'!A3:A15,'Fevereiro 2023 - Valor Real'!C3:C15,0))+1)+((L763/(L763-1)-1)*(1-_xlfn.XLOOKUP(K763,'Fevereiro 2023 - Valor Real'!A3:A15,'Fevereiro 2023 - Valor Real'!C3:C15,0))+1)),((L764-1)*(1-_xlfn.XLOOKUP(K764,'Fevereiro 2023 - Valor Real'!A3:A15,'Fevereiro 2023 - Valor Real'!C3:C15,0))+1)/(((L764-1)*(1-_xlfn.XLOOKUP(K764,'Fevereiro 2023 - Valor Real'!A3:A15,'Fevereiro 2023 - Valor Real'!C3:C15,0))+1)+((L763/(L763-1)-1)*(1-_xlfn.XLOOKUP(K763,'Fevereiro 2023 - Valor Real'!A3:A15,'Fevereiro 2023 - Valor Real'!C3:C15,0))+1))),IF(I764="Lay",(((L764/(L764-1)-1)*(1-_xlfn.XLOOKUP(K764,'Fevereiro 2023 - Valor Real'!A3:A15,'Fevereiro 2023 - Valor Real'!C3:C15,0))+1))/(((L763-1)*(1-_xlfn.XLOOKUP(K763,'Fevereiro 2023 - Valor Real'!A3:A15,'Fevereiro 2023 - Valor Real'!C3:C15,0))+1)+((L764/(L764-1)-1)*(1-_xlfn.XLOOKUP(K764,'Fevereiro 2023 - Valor Real'!A3:A15,'Fevereiro 2023 - Valor Real'!C3:C15,0))+1)),((L764-1)*(1-_xlfn.XLOOKUP(K764,'Fevereiro 2023 - Valor Real'!A3:A15,'Fevereiro 2023 - Valor Real'!C3:C15,0))+1)/(((L764-1)*(1-_xlfn.XLOOKUP(K764,'Fevereiro 2023 - Valor Real'!A3:A15,'Fevereiro 2023 - Valor Real'!C3:C15,0))+1)+((L763-1)*(1-_xlfn.XLOOKUP(K763,'Fevereiro 2023 - Valor Real'!A3:A15,'Fevereiro 2023 - Valor Real'!C3:C15,0))+1))))))</f>
        <v>0.5821917808219178</v>
      </c>
      <c r="AF763" s="105">
        <f t="shared" si="1510"/>
        <v>-16.8</v>
      </c>
      <c r="AG763" s="106">
        <f t="shared" si="1510"/>
        <v>0</v>
      </c>
      <c r="AH763" s="106">
        <f t="shared" si="1510"/>
        <v>0</v>
      </c>
      <c r="AI763" s="106">
        <f t="shared" si="1510"/>
        <v>0</v>
      </c>
      <c r="AJ763" s="106">
        <f t="shared" si="1510"/>
        <v>0</v>
      </c>
      <c r="AK763" s="106">
        <f t="shared" si="1510"/>
        <v>0</v>
      </c>
      <c r="AL763" s="106">
        <f t="shared" si="1510"/>
        <v>0</v>
      </c>
      <c r="AM763" s="106">
        <f t="shared" si="1510"/>
        <v>0</v>
      </c>
      <c r="AN763" s="106">
        <f t="shared" si="1510"/>
        <v>0</v>
      </c>
      <c r="AO763" s="106">
        <f t="shared" si="1510"/>
        <v>0</v>
      </c>
      <c r="AP763" s="106">
        <f t="shared" si="1510"/>
        <v>0</v>
      </c>
      <c r="AQ763" s="106">
        <f t="shared" si="1510"/>
        <v>0</v>
      </c>
      <c r="AR763" s="107">
        <f t="shared" si="1510"/>
        <v>0</v>
      </c>
      <c r="AS763" s="105">
        <f t="shared" ref="AS763:BE763" si="1524">IF(AND($B763=" ",$K763=AS$3),$O763,0)</f>
        <v>0</v>
      </c>
      <c r="AT763" s="106">
        <f t="shared" si="1524"/>
        <v>0</v>
      </c>
      <c r="AU763" s="106">
        <f t="shared" si="1524"/>
        <v>0</v>
      </c>
      <c r="AV763" s="106">
        <f t="shared" si="1524"/>
        <v>0</v>
      </c>
      <c r="AW763" s="106">
        <f t="shared" si="1524"/>
        <v>0</v>
      </c>
      <c r="AX763" s="106">
        <f t="shared" si="1524"/>
        <v>0</v>
      </c>
      <c r="AY763" s="108">
        <f t="shared" si="1524"/>
        <v>0</v>
      </c>
      <c r="AZ763" s="109">
        <f t="shared" si="1524"/>
        <v>0</v>
      </c>
      <c r="BA763" s="109">
        <f t="shared" si="1524"/>
        <v>0</v>
      </c>
      <c r="BB763" s="109">
        <f t="shared" si="1524"/>
        <v>0</v>
      </c>
      <c r="BC763" s="110">
        <f t="shared" si="1524"/>
        <v>0</v>
      </c>
      <c r="BD763" s="106">
        <f t="shared" si="1524"/>
        <v>0</v>
      </c>
      <c r="BE763" s="107">
        <f t="shared" si="1524"/>
        <v>0</v>
      </c>
      <c r="BF763" s="111">
        <f t="shared" si="1512"/>
        <v>16.8</v>
      </c>
      <c r="BG763" s="106">
        <f t="shared" si="1512"/>
        <v>0</v>
      </c>
      <c r="BH763" s="106">
        <f t="shared" si="1512"/>
        <v>0</v>
      </c>
      <c r="BI763" s="106">
        <f t="shared" si="1512"/>
        <v>0</v>
      </c>
      <c r="BJ763" s="106">
        <f t="shared" si="1512"/>
        <v>0</v>
      </c>
      <c r="BK763" s="106">
        <f t="shared" si="1512"/>
        <v>0</v>
      </c>
      <c r="BL763" s="106">
        <f t="shared" si="1512"/>
        <v>0</v>
      </c>
      <c r="BM763" s="108">
        <f t="shared" si="1512"/>
        <v>0</v>
      </c>
      <c r="BN763" s="109">
        <f t="shared" si="1512"/>
        <v>0</v>
      </c>
      <c r="BO763" s="109">
        <f t="shared" si="1512"/>
        <v>0</v>
      </c>
      <c r="BP763" s="109">
        <f t="shared" si="1512"/>
        <v>0</v>
      </c>
      <c r="BQ763" s="110">
        <f t="shared" si="1512"/>
        <v>0</v>
      </c>
      <c r="BR763" s="107">
        <f t="shared" si="1512"/>
        <v>0</v>
      </c>
      <c r="BS763" s="463">
        <f>IF($B763="LOSS",IF(AND($K763=BS$3,$C763="L"),-$O763,0)+IF(AND($K764=BS$3,$C764="L"),-$O764,0)+IF(AND($K765=BS$3,$C765="L"),-$O765,0),IF(OR(AND($K763=BS$3,OR($C763="W",$C763="1/2W")),AND($K764=BS$3,OR($C764="W",$C764="1/2W")),AND($K765=BS$3,OR($C765="W",$C765="1/2W"))),$S763,0))</f>
        <v>0</v>
      </c>
      <c r="BT763" s="462">
        <f>IF($B763="LOSS",IF(AND($K763=BT$3,$C763="L"),-$O763,0)+IF(AND($K764=BT$3,$C764="L"),-$O764,0)+IF(AND($K764=BT$3,$C765="L"),-$O765,0),IF(OR(AND($K764=BT$3,OR($C763="W",$C763="1/2W")),AND($K764=BT$3,OR($C764="W",$C764="1/2W")),AND($K764=BT$3,OR($C765="W",$C765="1/2W"))),$S763,0))</f>
        <v>0</v>
      </c>
      <c r="BU763" s="462">
        <f>IF($B763="LOSS",IF(AND($K763=BU$3,$C763="L"),-$O763,0)+IF(AND($K764=BU$3,$C764="L"),-$O764,0)+IF(AND($K764=BU$3,$C765="L"),-$O765,0),IF(OR(AND($K764=BU$3,OR($C763="W",$C763="1/2W")),AND($K764=BU$3,OR($C764="W",$C764="1/2W")),AND($K764=BU$3,OR($C765="W",$C765="1/2W"))),$S763,0))</f>
        <v>0</v>
      </c>
      <c r="BV763" s="462">
        <f t="shared" ref="BV763:CE763" si="1525">IF($B763="LOSS",IF(AND($K763=BV$3,$C763="L"),-$O763,0)+IF(AND($K764=BV$3,$C764="L"),-$O764,0)+IF(AND($K765=BV$3,$C765="L"),-$O765,0),IF(OR(AND($K763=BV$3,OR($C763="W",$C763="1/2W")),AND($K764=BV$3,OR($C764="W",$C764="1/2W")),AND($K765=BV$3,OR($C765="W",$C765="1/2W"))),$S763,0))</f>
        <v>0</v>
      </c>
      <c r="BW763" s="462">
        <f t="shared" si="1525"/>
        <v>1.8</v>
      </c>
      <c r="BX763" s="462">
        <f t="shared" si="1525"/>
        <v>0</v>
      </c>
      <c r="BY763" s="462">
        <f t="shared" si="1525"/>
        <v>0</v>
      </c>
      <c r="BZ763" s="460">
        <f t="shared" si="1525"/>
        <v>0</v>
      </c>
      <c r="CA763" s="460">
        <f t="shared" si="1525"/>
        <v>0</v>
      </c>
      <c r="CB763" s="460">
        <f t="shared" si="1525"/>
        <v>0</v>
      </c>
      <c r="CC763" s="460">
        <f t="shared" si="1525"/>
        <v>0</v>
      </c>
      <c r="CD763" s="473">
        <f t="shared" si="1525"/>
        <v>0</v>
      </c>
      <c r="CE763" s="479">
        <f t="shared" si="1525"/>
        <v>0</v>
      </c>
      <c r="CF763" s="113">
        <f t="shared" si="1412"/>
        <v>0</v>
      </c>
      <c r="CG763" s="114">
        <f t="shared" si="1413"/>
        <v>1</v>
      </c>
      <c r="CH763" s="114">
        <f t="shared" si="1414"/>
        <v>0</v>
      </c>
      <c r="CI763" s="114">
        <f t="shared" si="1415"/>
        <v>0</v>
      </c>
      <c r="CJ763" s="114">
        <f t="shared" si="1416"/>
        <v>0</v>
      </c>
      <c r="CK763" s="114">
        <f t="shared" si="1417"/>
        <v>0</v>
      </c>
      <c r="CL763" s="114">
        <f t="shared" si="1418"/>
        <v>0</v>
      </c>
      <c r="CM763" s="114">
        <f t="shared" si="1419"/>
        <v>0</v>
      </c>
      <c r="CN763" s="114">
        <f t="shared" si="1420"/>
        <v>0</v>
      </c>
      <c r="CO763" s="114">
        <f t="shared" si="1421"/>
        <v>0</v>
      </c>
      <c r="CP763" s="114">
        <f t="shared" si="1422"/>
        <v>0</v>
      </c>
      <c r="CQ763" s="114">
        <f t="shared" si="1423"/>
        <v>0</v>
      </c>
      <c r="CR763" s="114">
        <f t="shared" si="1424"/>
        <v>0</v>
      </c>
      <c r="CS763" s="114">
        <f t="shared" si="1425"/>
        <v>0</v>
      </c>
      <c r="CT763" s="115">
        <f t="shared" si="1426"/>
        <v>0</v>
      </c>
      <c r="CU763" s="116">
        <f t="shared" si="1427"/>
        <v>0</v>
      </c>
      <c r="CV763" s="116">
        <f t="shared" si="1428"/>
        <v>0</v>
      </c>
      <c r="CW763" s="116">
        <f t="shared" si="1429"/>
        <v>0</v>
      </c>
      <c r="CX763" s="116">
        <f t="shared" si="1430"/>
        <v>0</v>
      </c>
      <c r="CY763" s="116">
        <f t="shared" si="1431"/>
        <v>0</v>
      </c>
      <c r="CZ763" s="116">
        <f t="shared" si="1432"/>
        <v>0</v>
      </c>
      <c r="DA763" s="116">
        <f t="shared" si="1433"/>
        <v>0</v>
      </c>
      <c r="DB763" s="116">
        <f t="shared" si="1434"/>
        <v>0</v>
      </c>
      <c r="DC763" s="116">
        <f t="shared" si="1435"/>
        <v>0</v>
      </c>
      <c r="DD763" s="116">
        <f t="shared" si="1436"/>
        <v>0</v>
      </c>
      <c r="DE763" s="117">
        <f t="shared" si="1437"/>
        <v>0</v>
      </c>
      <c r="DF763" s="118">
        <f t="shared" si="1440"/>
        <v>43</v>
      </c>
      <c r="DG763" s="106">
        <f t="shared" si="1441"/>
        <v>57.167999999999992</v>
      </c>
      <c r="DH763" s="116">
        <f t="shared" si="1442"/>
        <v>16</v>
      </c>
      <c r="DI763" s="106">
        <f t="shared" si="1443"/>
        <v>68.699999999999989</v>
      </c>
      <c r="DJ763" s="201" t="str">
        <f>IF($D763="","",$D763)</f>
        <v>27</v>
      </c>
      <c r="DK763" s="465">
        <f>IF(AND($B763=" ",$D763&lt;&gt;""),1,0)</f>
        <v>0</v>
      </c>
    </row>
    <row r="764" spans="1:115" ht="14.5" customHeight="1" x14ac:dyDescent="0.2">
      <c r="A764" s="389"/>
      <c r="B764" s="456"/>
      <c r="C764" s="120" t="s">
        <v>54</v>
      </c>
      <c r="D764" s="374"/>
      <c r="E764" s="386"/>
      <c r="F764" s="377"/>
      <c r="G764" s="483"/>
      <c r="H764" s="476"/>
      <c r="I764" s="121" t="s">
        <v>52</v>
      </c>
      <c r="J764" s="122">
        <f>IF(OR(I763="TO",I763="TU",I763="TO1",I763="TU1",I763="TO2",I763="TU2"),J763,IF(OR(I763="AH1",I763="AH2"),IF(OR(I764="AH1",I764="AH2"),-J763,IF(OR(I764="EH1",I764="EH2"),-J763+0.5,"")),IF(OR(I763="EH1",I763="EH2"),IF(OR(I764="AH1",I764="AH2"),-J763+0.5,IF(OR(I764="EH1",I764="EH2"),-J763+1,"")),IF(AND(OR(I763="DNB1",I763="DNB2"),OR(I764="AH1",I764="AH2")),0,IF(AND(I763="Not ScoreBoth",OR(I764="TO1",I764="TO2")),0.5,"")))))</f>
        <v>0.5</v>
      </c>
      <c r="K764" s="123" t="s">
        <v>40</v>
      </c>
      <c r="L764" s="124">
        <v>2.5499999999999998</v>
      </c>
      <c r="M764" s="125">
        <v>12</v>
      </c>
      <c r="N764" s="406"/>
      <c r="O764" s="126">
        <f>IF(OR(AE763="",AE764=""),"",ROUND(IF(L765&gt;0,IF(M764&gt;0,M764,IF(M763&gt;0,IF(N763=TRUE,ROUND((M763*AE764)/AE763,0),(M763*AE764)/AE763),IF(M764&gt;0,ROUND(M764,IF(N763=0,2,IF(N763=0.1,1,0))),IF(M765&gt;0,ROUND(O765*AE764/AE765,IF(N763=0,2,IF(N763=0.1,1,0))),0)))),IF(M764&gt;0,M764,ROUND((M763*AE764)/AE763,IF(N763=0,2,IF(N763=0.1,1,0))))),2))</f>
        <v>12</v>
      </c>
      <c r="P764" s="127">
        <f>IF(OR(L764="",O764=""),"",IF($C764="1/2W",O764/2+O764/2*L764,IF($C764="1/2L",O764/2,IF(I764="Lay",((O764*(L764/(L764-1)))-O764)*(1-_xlfn.XLOOKUP(K764,'Fevereiro 2023 - Valor Real'!A3:A15,'Fevereiro 2023 - Valor Real'!C3:C15,0))+O764,(O764*L764-O764)*(1-_xlfn.XLOOKUP(K764,'Fevereiro 2023 - Valor Real'!A3:A15,'Fevereiro 2023 - Valor Real'!C3:C15,0))+O764))))</f>
        <v>30.599999999999998</v>
      </c>
      <c r="Q764" s="128">
        <f>IF(K764="","",IF(_xlfn.XLOOKUP(K764,K$4:K763,$DJ$4:DJ763,0,,-1)=DJ764,_xlfn.XLOOKUP(K764,K$4:K763,Q$4:Q763,1,,-1)+1,1))</f>
        <v>1</v>
      </c>
      <c r="R764" s="129">
        <f>IF(K764="","",_xlfn.XLOOKUP(K764,K$4:K763,R$4:R763,0,,-1)+IF($C764=" ",1,0))</f>
        <v>0</v>
      </c>
      <c r="S764" s="403"/>
      <c r="T764" s="380"/>
      <c r="U764" s="380"/>
      <c r="V764" s="481"/>
      <c r="W764" s="380"/>
      <c r="X764" s="452"/>
      <c r="Y764" s="383"/>
      <c r="Z764" s="384"/>
      <c r="AA764" s="384"/>
      <c r="AB764" s="384"/>
      <c r="AC764" s="384"/>
      <c r="AD764" s="130">
        <f>(((L764/(L764-1)-1)*(1-_xlfn.XLOOKUP(K764,'Fevereiro 2023 - Valor Real'!A3:A15,'Fevereiro 2023 - Valor Real'!C3:C15,0))+1))</f>
        <v>1.6451612903225807</v>
      </c>
      <c r="AE764" s="131">
        <f>IF(L764="","",IF(L765&gt;0,(SUM(((L763-1)*(1-_xlfn.XLOOKUP(K763,'Fevereiro 2023 - Valor Real'!A3:A15,'Fevereiro 2023 - Valor Real'!C3:C15,0))+1),((L764-1)*(1-_xlfn.XLOOKUP(K764,'Fevereiro 2023 - Valor Real'!A3:A15,'Fevereiro 2023 - Valor Real'!C3:C15,0))+1),((L765-1)*(1-_xlfn.XLOOKUP(K765,'Fevereiro 2023 - Valor Real'!A3:A15,'Fevereiro 2023 - Valor Real'!C3:C15,0))+1))/((L764-1)*(1-_xlfn.XLOOKUP(K764,'Fevereiro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Real'!C3:C15,0))+1))/((L763-1)*(1-_xlfn.XLOOKUP(K763,'Fevereiro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Real'!C3:C15,0))+1))/((L764-1)*(1-_xlfn.XLOOKUP(K764,'Fevereiro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Real'!C3:C15,0))+1))/((L765-1)*(1-_xlfn.XLOOKUP(K765,'Fevereiro 2023 - Valor Real'!A3:A15,'Fevereiro 2023 - Valor Real'!C3:C15,0))+1)),IF(I764="Lay",IF(I763="Lay",((L763/(L763-1)-1)*(1-_xlfn.XLOOKUP(K763,'Fevereiro 2023 - Valor Real'!A3:A15,'Fevereiro 2023 - Valor Real'!C3:C15,0))+1)/(((L763/(L763-1)-1)*(1-_xlfn.XLOOKUP(K763,'Fevereiro 2023 - Valor Real'!A3:A15,'Fevereiro 2023 - Valor Real'!C3:C15,0))+1)+((L764/(L764-1)-1)*(1-_xlfn.XLOOKUP(K764,'Fevereiro 2023 - Valor Real'!A3:A15,'Fevereiro 2023 - Valor Real'!C3:C15,0))+1)),((L763-1)*(1-_xlfn.XLOOKUP(K763,'Fevereiro 2023 - Valor Real'!A3:A15,'Fevereiro 2023 - Valor Real'!C3:C15,0))+1)/(((L763-1)*(1-_xlfn.XLOOKUP(K763,'Fevereiro 2023 - Valor Real'!A3:A15,'Fevereiro 2023 - Valor Real'!C3:C15,0))+1)+((L764/(L764-1)-1)*(1-_xlfn.XLOOKUP(K764,'Fevereiro 2023 - Valor Real'!A3:A15,'Fevereiro 2023 - Valor Real'!C3:C15,0))+1))),IF(I763="Lay",((L763/(L763-1)-1)*(1-_xlfn.XLOOKUP(K763,'Fevereiro 2023 - Valor Real'!A3:A15,'Fevereiro 2023 - Valor Real'!C3:C15,0))+1)/((((L763/(L763-1)-1)*(1-_xlfn.XLOOKUP(K763,'Fevereiro 2023 - Valor Real'!A3:A15,'Fevereiro 2023 - Valor Real'!C3:C15,0))+1))+((L764-1)*(1-_xlfn.XLOOKUP(K764,'Fevereiro 2023 - Valor Real'!A3:A15,'Fevereiro 2023 - Valor Real'!C3:C15,0))+1)),((L763-1)*(1-_xlfn.XLOOKUP(K763,'Fevereiro 2023 - Valor Real'!A3:A15,'Fevereiro 2023 - Valor Real'!C3:C15,0))+1)/(((L763-1)*(1-_xlfn.XLOOKUP(K763,'Fevereiro 2023 - Valor Real'!A3:A15,'Fevereiro 2023 - Valor Real'!C3:C15,0))+1)+((L764-1)*(1-_xlfn.XLOOKUP(K764,'Fevereiro 2023 - Valor Real'!A3:A15,'Fevereiro 2023 - Valor Real'!C3:C15,0))+1))))))</f>
        <v>0.4178082191780822</v>
      </c>
      <c r="AF764" s="105">
        <f t="shared" ref="AF764:AR773" si="1526">IF($K764=AF$3,ROUND(IF(OR($C764="W",$C764="1/2W",$C764="1/2L"),$P764-$O764,IF($C764="X",0,-$O764)),2),0)</f>
        <v>0</v>
      </c>
      <c r="AG764" s="106">
        <f t="shared" si="1526"/>
        <v>0</v>
      </c>
      <c r="AH764" s="106">
        <f t="shared" si="1526"/>
        <v>0</v>
      </c>
      <c r="AI764" s="106">
        <f t="shared" si="1526"/>
        <v>0</v>
      </c>
      <c r="AJ764" s="106">
        <f t="shared" si="1526"/>
        <v>18.600000000000001</v>
      </c>
      <c r="AK764" s="106">
        <f t="shared" si="1526"/>
        <v>0</v>
      </c>
      <c r="AL764" s="106">
        <f t="shared" si="1526"/>
        <v>0</v>
      </c>
      <c r="AM764" s="106">
        <f t="shared" si="1526"/>
        <v>0</v>
      </c>
      <c r="AN764" s="106">
        <f t="shared" si="1526"/>
        <v>0</v>
      </c>
      <c r="AO764" s="106">
        <f t="shared" si="1526"/>
        <v>0</v>
      </c>
      <c r="AP764" s="106">
        <f t="shared" si="1526"/>
        <v>0</v>
      </c>
      <c r="AQ764" s="106">
        <f t="shared" si="1526"/>
        <v>0</v>
      </c>
      <c r="AR764" s="107">
        <f t="shared" si="1526"/>
        <v>0</v>
      </c>
      <c r="AS764" s="105">
        <f>IF(AND($B763=" ",$K764=AS$3),$O764,0)</f>
        <v>0</v>
      </c>
      <c r="AT764" s="106">
        <f>IF(AND($B763=" ",K764=AT$3),$O764,0)</f>
        <v>0</v>
      </c>
      <c r="AU764" s="106">
        <f t="shared" ref="AU764:BE764" si="1527">IF(AND($B763=" ",$K764=AU$3),$O764,0)</f>
        <v>0</v>
      </c>
      <c r="AV764" s="106">
        <f t="shared" si="1527"/>
        <v>0</v>
      </c>
      <c r="AW764" s="106">
        <f t="shared" si="1527"/>
        <v>0</v>
      </c>
      <c r="AX764" s="106">
        <f t="shared" si="1527"/>
        <v>0</v>
      </c>
      <c r="AY764" s="108">
        <f t="shared" si="1527"/>
        <v>0</v>
      </c>
      <c r="AZ764" s="109">
        <f t="shared" si="1527"/>
        <v>0</v>
      </c>
      <c r="BA764" s="109">
        <f t="shared" si="1527"/>
        <v>0</v>
      </c>
      <c r="BB764" s="109">
        <f t="shared" si="1527"/>
        <v>0</v>
      </c>
      <c r="BC764" s="110">
        <f t="shared" si="1527"/>
        <v>0</v>
      </c>
      <c r="BD764" s="106">
        <f t="shared" si="1527"/>
        <v>0</v>
      </c>
      <c r="BE764" s="107">
        <f t="shared" si="1527"/>
        <v>0</v>
      </c>
      <c r="BF764" s="105">
        <f t="shared" ref="BF764:BR773" si="1528">IF($K764=BF$3,IF($C764="X",0,$O764),0)</f>
        <v>0</v>
      </c>
      <c r="BG764" s="106">
        <f t="shared" si="1528"/>
        <v>0</v>
      </c>
      <c r="BH764" s="106">
        <f t="shared" si="1528"/>
        <v>0</v>
      </c>
      <c r="BI764" s="106">
        <f t="shared" si="1528"/>
        <v>0</v>
      </c>
      <c r="BJ764" s="106">
        <f t="shared" si="1528"/>
        <v>12</v>
      </c>
      <c r="BK764" s="106">
        <f t="shared" si="1528"/>
        <v>0</v>
      </c>
      <c r="BL764" s="106">
        <f t="shared" si="1528"/>
        <v>0</v>
      </c>
      <c r="BM764" s="132">
        <f t="shared" si="1528"/>
        <v>0</v>
      </c>
      <c r="BN764" s="112">
        <f t="shared" si="1528"/>
        <v>0</v>
      </c>
      <c r="BO764" s="112">
        <f t="shared" si="1528"/>
        <v>0</v>
      </c>
      <c r="BP764" s="112">
        <f t="shared" si="1528"/>
        <v>0</v>
      </c>
      <c r="BQ764" s="110">
        <f t="shared" si="1528"/>
        <v>0</v>
      </c>
      <c r="BR764" s="107">
        <f t="shared" si="1528"/>
        <v>0</v>
      </c>
      <c r="BS764" s="464"/>
      <c r="BT764" s="461"/>
      <c r="BU764" s="392"/>
      <c r="BV764" s="461"/>
      <c r="BW764" s="392"/>
      <c r="BX764" s="392"/>
      <c r="BY764" s="392"/>
      <c r="BZ764" s="461"/>
      <c r="CA764" s="392"/>
      <c r="CB764" s="392"/>
      <c r="CC764" s="392"/>
      <c r="CD764" s="401"/>
      <c r="CE764" s="409"/>
      <c r="CF764" s="133">
        <f t="shared" si="1412"/>
        <v>0</v>
      </c>
      <c r="CG764" s="134">
        <f t="shared" si="1413"/>
        <v>0</v>
      </c>
      <c r="CH764" s="134">
        <f t="shared" si="1414"/>
        <v>0</v>
      </c>
      <c r="CI764" s="134">
        <f t="shared" si="1415"/>
        <v>0</v>
      </c>
      <c r="CJ764" s="134">
        <f t="shared" si="1416"/>
        <v>0</v>
      </c>
      <c r="CK764" s="134">
        <f t="shared" si="1417"/>
        <v>0</v>
      </c>
      <c r="CL764" s="134">
        <f t="shared" si="1418"/>
        <v>0</v>
      </c>
      <c r="CM764" s="134">
        <f t="shared" si="1419"/>
        <v>0</v>
      </c>
      <c r="CN764" s="134">
        <f t="shared" si="1420"/>
        <v>1</v>
      </c>
      <c r="CO764" s="134">
        <f t="shared" si="1421"/>
        <v>0</v>
      </c>
      <c r="CP764" s="134">
        <f t="shared" si="1422"/>
        <v>0</v>
      </c>
      <c r="CQ764" s="134">
        <f t="shared" si="1423"/>
        <v>0</v>
      </c>
      <c r="CR764" s="134">
        <f t="shared" si="1424"/>
        <v>0</v>
      </c>
      <c r="CS764" s="134">
        <f t="shared" si="1425"/>
        <v>0</v>
      </c>
      <c r="CT764" s="115">
        <f t="shared" si="1426"/>
        <v>0</v>
      </c>
      <c r="CU764" s="116">
        <f t="shared" si="1427"/>
        <v>0</v>
      </c>
      <c r="CV764" s="116">
        <f t="shared" si="1428"/>
        <v>0</v>
      </c>
      <c r="CW764" s="116">
        <f t="shared" si="1429"/>
        <v>0</v>
      </c>
      <c r="CX764" s="116">
        <f t="shared" si="1430"/>
        <v>0</v>
      </c>
      <c r="CY764" s="116">
        <f t="shared" si="1431"/>
        <v>0</v>
      </c>
      <c r="CZ764" s="116">
        <f t="shared" si="1432"/>
        <v>0</v>
      </c>
      <c r="DA764" s="116">
        <f t="shared" si="1433"/>
        <v>0</v>
      </c>
      <c r="DB764" s="116">
        <f t="shared" si="1434"/>
        <v>0</v>
      </c>
      <c r="DC764" s="116">
        <f t="shared" si="1435"/>
        <v>0</v>
      </c>
      <c r="DD764" s="116">
        <f t="shared" si="1436"/>
        <v>0</v>
      </c>
      <c r="DE764" s="117">
        <f t="shared" si="1437"/>
        <v>0</v>
      </c>
      <c r="DF764" s="118">
        <f t="shared" si="1440"/>
        <v>43</v>
      </c>
      <c r="DG764" s="106">
        <f t="shared" si="1441"/>
        <v>57.167999999999992</v>
      </c>
      <c r="DH764" s="116">
        <f t="shared" si="1442"/>
        <v>16</v>
      </c>
      <c r="DI764" s="106">
        <f t="shared" si="1443"/>
        <v>68.699999999999989</v>
      </c>
      <c r="DJ764" s="201" t="str">
        <f>IF($D763="","",$D763)</f>
        <v>27</v>
      </c>
      <c r="DK764" s="466"/>
    </row>
    <row r="765" spans="1:115" ht="14.5" customHeight="1" x14ac:dyDescent="0.2">
      <c r="A765" s="390"/>
      <c r="B765" s="457"/>
      <c r="C765" s="135" t="s">
        <v>53</v>
      </c>
      <c r="D765" s="375"/>
      <c r="E765" s="387"/>
      <c r="F765" s="378"/>
      <c r="G765" s="484"/>
      <c r="H765" s="477"/>
      <c r="I765" s="136"/>
      <c r="J765" s="137"/>
      <c r="K765" s="138"/>
      <c r="L765" s="139"/>
      <c r="M765" s="140"/>
      <c r="N765" s="407"/>
      <c r="O765" s="141" t="str">
        <f>IF(OR(AE763="",AE764=""),"",IF(L765&gt;0,ROUND(IF(M765&gt;0,M765,IF(M763&gt;0,ROUND((M763*AE765)/AE763,IF(N763=0,2,IF(N763=0.1,1,0))),IF(M764&gt;0,ROUND((M764*AE765)/AE764,IF(N763=0,2,IF(N763=0.1,1,0))),IF(M765&gt;0,M765,0)))),2),""))</f>
        <v/>
      </c>
      <c r="P765" s="142" t="str">
        <f>IF(I764="Lay",O764*(L764/(L764-1))-O764,IF(I763="Lay",O763*(L763/(L763-1))-O763,IF(OR(L765="",O765=""),"",IF($C765="1/2W",O765/2+O765/2*L765,IF($C765="1/2L",O765/2,(O765*L765-O765)*(1-_xlfn.XLOOKUP(K765,'Fevereiro 2023 - Valor Real'!A3:A15,'Fevereiro 2023 - Valor Real'!C3:C15,0))+O765)))))</f>
        <v/>
      </c>
      <c r="Q765" s="221" t="str">
        <f>IF(K765="","",IF(_xlfn.XLOOKUP(K765,K$4:K764,$DJ$4:DJ764,0,,-1)=DJ765,_xlfn.XLOOKUP(K765,K$4:K764,Q$4:Q764,1,,-1)+1,1))</f>
        <v/>
      </c>
      <c r="R765" s="144" t="str">
        <f>IF(K765="","",_xlfn.XLOOKUP(K765,K$4:K764,R$4:R764,0,,-1)+IF($C765=" ",1,0))</f>
        <v/>
      </c>
      <c r="S765" s="404"/>
      <c r="T765" s="378"/>
      <c r="U765" s="378"/>
      <c r="V765" s="404"/>
      <c r="W765" s="378"/>
      <c r="X765" s="453"/>
      <c r="Y765" s="383"/>
      <c r="Z765" s="384"/>
      <c r="AA765" s="384"/>
      <c r="AB765" s="384"/>
      <c r="AC765" s="384"/>
      <c r="AD765" s="145">
        <f>((L764/(L764-1)-1))</f>
        <v>0.64516129032258074</v>
      </c>
      <c r="AE765" s="146" t="str">
        <f>IF(L765="","",(SUM(((L763-1)*(1-_xlfn.XLOOKUP(K763,'Fevereiro 2023 - Valor Real'!A3:A15,'Fevereiro 2023 - Valor Real'!C3:C15,0))+1),((L764-1)*(1-_xlfn.XLOOKUP(K764,'Fevereiro 2023 - Valor Real'!A3:A15,'Fevereiro 2023 - Valor Real'!C3:C15,0))+1),((L765-1)*(1-_xlfn.XLOOKUP(K765,'Fevereiro 2023 - Valor Real'!A3:A15,'Fevereiro 2023 - Valor Real'!C3:C15,0))+1))/((L765-1)*(1-_xlfn.XLOOKUP(K765,'Fevereiro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Real'!C3:C15,0))+1))/((L763-1)*(1-_xlfn.XLOOKUP(K763,'Fevereiro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Real'!C3:C15,0))+1))/((L764-1)*(1-_xlfn.XLOOKUP(K764,'Fevereiro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Real'!C3:C15,0))+1))/((L765-1)*(1-_xlfn.XLOOKUP(K765,'Fevereiro 2023 - Valor Real'!A3:A15,'Fevereiro 2023 - Valor Real'!C3:C15,0))+1)))</f>
        <v/>
      </c>
      <c r="AF765" s="105">
        <f t="shared" si="1526"/>
        <v>0</v>
      </c>
      <c r="AG765" s="106">
        <f t="shared" si="1526"/>
        <v>0</v>
      </c>
      <c r="AH765" s="106">
        <f t="shared" si="1526"/>
        <v>0</v>
      </c>
      <c r="AI765" s="106">
        <f t="shared" si="1526"/>
        <v>0</v>
      </c>
      <c r="AJ765" s="106">
        <f t="shared" si="1526"/>
        <v>0</v>
      </c>
      <c r="AK765" s="106">
        <f t="shared" si="1526"/>
        <v>0</v>
      </c>
      <c r="AL765" s="106">
        <f t="shared" si="1526"/>
        <v>0</v>
      </c>
      <c r="AM765" s="106">
        <f t="shared" si="1526"/>
        <v>0</v>
      </c>
      <c r="AN765" s="106">
        <f t="shared" si="1526"/>
        <v>0</v>
      </c>
      <c r="AO765" s="106">
        <f t="shared" si="1526"/>
        <v>0</v>
      </c>
      <c r="AP765" s="106">
        <f t="shared" si="1526"/>
        <v>0</v>
      </c>
      <c r="AQ765" s="106">
        <f t="shared" si="1526"/>
        <v>0</v>
      </c>
      <c r="AR765" s="107">
        <f t="shared" si="1526"/>
        <v>0</v>
      </c>
      <c r="AS765" s="105">
        <f>IF(AND($B763=" ",$K765=AS$3),$O765,0)</f>
        <v>0</v>
      </c>
      <c r="AT765" s="106">
        <f>IF(AND($B763=" ",K765=AT$3),$O765,0)</f>
        <v>0</v>
      </c>
      <c r="AU765" s="106">
        <f t="shared" ref="AU765:BE765" si="1529">IF(AND($B763=" ",$K765=AU$3),$O765,0)</f>
        <v>0</v>
      </c>
      <c r="AV765" s="106">
        <f t="shared" si="1529"/>
        <v>0</v>
      </c>
      <c r="AW765" s="106">
        <f t="shared" si="1529"/>
        <v>0</v>
      </c>
      <c r="AX765" s="106">
        <f t="shared" si="1529"/>
        <v>0</v>
      </c>
      <c r="AY765" s="108">
        <f t="shared" si="1529"/>
        <v>0</v>
      </c>
      <c r="AZ765" s="109">
        <f t="shared" si="1529"/>
        <v>0</v>
      </c>
      <c r="BA765" s="109">
        <f t="shared" si="1529"/>
        <v>0</v>
      </c>
      <c r="BB765" s="109">
        <f t="shared" si="1529"/>
        <v>0</v>
      </c>
      <c r="BC765" s="110">
        <f t="shared" si="1529"/>
        <v>0</v>
      </c>
      <c r="BD765" s="106">
        <f t="shared" si="1529"/>
        <v>0</v>
      </c>
      <c r="BE765" s="107">
        <f t="shared" si="1529"/>
        <v>0</v>
      </c>
      <c r="BF765" s="105">
        <f t="shared" si="1528"/>
        <v>0</v>
      </c>
      <c r="BG765" s="106">
        <f t="shared" si="1528"/>
        <v>0</v>
      </c>
      <c r="BH765" s="106">
        <f t="shared" si="1528"/>
        <v>0</v>
      </c>
      <c r="BI765" s="106">
        <f t="shared" si="1528"/>
        <v>0</v>
      </c>
      <c r="BJ765" s="106">
        <f t="shared" si="1528"/>
        <v>0</v>
      </c>
      <c r="BK765" s="106">
        <f t="shared" si="1528"/>
        <v>0</v>
      </c>
      <c r="BL765" s="106">
        <f t="shared" si="1528"/>
        <v>0</v>
      </c>
      <c r="BM765" s="108">
        <f t="shared" si="1528"/>
        <v>0</v>
      </c>
      <c r="BN765" s="109">
        <f t="shared" si="1528"/>
        <v>0</v>
      </c>
      <c r="BO765" s="109">
        <f t="shared" si="1528"/>
        <v>0</v>
      </c>
      <c r="BP765" s="109">
        <f t="shared" si="1528"/>
        <v>0</v>
      </c>
      <c r="BQ765" s="110">
        <f t="shared" si="1528"/>
        <v>0</v>
      </c>
      <c r="BR765" s="107">
        <f t="shared" si="1528"/>
        <v>0</v>
      </c>
      <c r="BS765" s="464"/>
      <c r="BT765" s="461"/>
      <c r="BU765" s="392"/>
      <c r="BV765" s="461"/>
      <c r="BW765" s="392"/>
      <c r="BX765" s="392"/>
      <c r="BY765" s="392"/>
      <c r="BZ765" s="461"/>
      <c r="CA765" s="392"/>
      <c r="CB765" s="392"/>
      <c r="CC765" s="392"/>
      <c r="CD765" s="401"/>
      <c r="CE765" s="409"/>
      <c r="CF765" s="133">
        <f t="shared" si="1412"/>
        <v>0</v>
      </c>
      <c r="CG765" s="134">
        <f t="shared" si="1413"/>
        <v>0</v>
      </c>
      <c r="CH765" s="134">
        <f t="shared" si="1414"/>
        <v>0</v>
      </c>
      <c r="CI765" s="134">
        <f t="shared" si="1415"/>
        <v>0</v>
      </c>
      <c r="CJ765" s="134">
        <f t="shared" si="1416"/>
        <v>0</v>
      </c>
      <c r="CK765" s="134">
        <f t="shared" si="1417"/>
        <v>0</v>
      </c>
      <c r="CL765" s="134">
        <f t="shared" si="1418"/>
        <v>0</v>
      </c>
      <c r="CM765" s="134">
        <f t="shared" si="1419"/>
        <v>0</v>
      </c>
      <c r="CN765" s="134">
        <f t="shared" si="1420"/>
        <v>0</v>
      </c>
      <c r="CO765" s="134">
        <f t="shared" si="1421"/>
        <v>0</v>
      </c>
      <c r="CP765" s="134">
        <f t="shared" si="1422"/>
        <v>0</v>
      </c>
      <c r="CQ765" s="134">
        <f t="shared" si="1423"/>
        <v>0</v>
      </c>
      <c r="CR765" s="134">
        <f t="shared" si="1424"/>
        <v>0</v>
      </c>
      <c r="CS765" s="134">
        <f t="shared" si="1425"/>
        <v>0</v>
      </c>
      <c r="CT765" s="115">
        <f t="shared" si="1426"/>
        <v>0</v>
      </c>
      <c r="CU765" s="116">
        <f t="shared" si="1427"/>
        <v>0</v>
      </c>
      <c r="CV765" s="116">
        <f t="shared" si="1428"/>
        <v>0</v>
      </c>
      <c r="CW765" s="116">
        <f t="shared" si="1429"/>
        <v>0</v>
      </c>
      <c r="CX765" s="116">
        <f t="shared" si="1430"/>
        <v>0</v>
      </c>
      <c r="CY765" s="116">
        <f t="shared" si="1431"/>
        <v>0</v>
      </c>
      <c r="CZ765" s="116">
        <f t="shared" si="1432"/>
        <v>0</v>
      </c>
      <c r="DA765" s="116">
        <f t="shared" si="1433"/>
        <v>0</v>
      </c>
      <c r="DB765" s="116">
        <f t="shared" si="1434"/>
        <v>0</v>
      </c>
      <c r="DC765" s="116">
        <f t="shared" si="1435"/>
        <v>0</v>
      </c>
      <c r="DD765" s="116">
        <f t="shared" si="1436"/>
        <v>0</v>
      </c>
      <c r="DE765" s="117">
        <f t="shared" si="1437"/>
        <v>0</v>
      </c>
      <c r="DF765" s="118">
        <f t="shared" si="1440"/>
        <v>43</v>
      </c>
      <c r="DG765" s="106">
        <f t="shared" si="1441"/>
        <v>57.167999999999992</v>
      </c>
      <c r="DH765" s="116">
        <f t="shared" si="1442"/>
        <v>16</v>
      </c>
      <c r="DI765" s="106">
        <f t="shared" si="1443"/>
        <v>68.699999999999989</v>
      </c>
      <c r="DJ765" s="201" t="str">
        <f>IF($D763="","",$D763)</f>
        <v>27</v>
      </c>
      <c r="DK765" s="466"/>
    </row>
    <row r="766" spans="1:115" ht="14.5" customHeight="1" x14ac:dyDescent="0.2">
      <c r="A766" s="487">
        <f>$A763+1</f>
        <v>255</v>
      </c>
      <c r="B766" s="506" t="str">
        <f>IF(OR(C766="W",C767="W",C768="W",C766="1/2W",C767="1/2W",C768="1/2W",C766="1/2L",C767="1/2L",C768="1/2L"),"OK",IF(OR(C766="L",C767="L",C768="L"),"LOSS",IF(OR(C766="X",C767="X",C768="X"),"Anulado"," ")))</f>
        <v>OK</v>
      </c>
      <c r="C766" s="147" t="s">
        <v>55</v>
      </c>
      <c r="D766" s="494" t="str">
        <f>IF(G766="","",$D763)</f>
        <v>27</v>
      </c>
      <c r="E766" s="511" t="str">
        <f>IF(G766=""," ","– "&amp;COUNTIF(D$4:D768,$D766))</f>
        <v>– 2</v>
      </c>
      <c r="F766" s="510" t="str">
        <f ca="1">IF(G766="","",IF(OR(AND($C766&lt;&gt;" ",$C767=" "),AND($C767&lt;&gt;" ",$C766=" "),AND(L768&gt;0,OR(AND($C768&lt;&gt;" ",OR($C766=" ",$C767=" ")),AND($C768=" ",OR($C766&lt;&gt;" ",$C767&lt;&gt;" "))))),IF(SUM(F$4:F765)=0,1,LARGE(F$4:F765,1)+1),IF(MONTH(G766)=MONTH(TODAY()),IF(AND(DAY(G766)&lt;DAY(TODAY()),$B766=" "),IF(SUM(F$4:F765)=0,1,LARGE(F$4:F765,1)+1),IF($B766=" ",IF(AND(DAY(G766)=DAY(TODAY()),HOUR(G766)&lt;=HOUR(NOW())+1),IF(AND(HOUR(G766)+2&lt;=HOUR(NOW()),DAY(G766)&lt;=DAY(TODAY()),MINUTE(G766)&lt;=MINUTE(NOW())),IF(SUM(F$4:F765)=0,1,LARGE(F$4:F765,1)+1),IF(OR(MINUTE(G766)&lt;=MINUTE(NOW()),HOUR(G766)&lt;=HOUR(NOW())),"!!!","")),""),"")),"")))</f>
        <v/>
      </c>
      <c r="G766" s="517">
        <f>IF(H766="","",_xlfn.XLOOKUP(H766,$H$4:H765,$G$4:G765,""))</f>
        <v>45012.416666666664</v>
      </c>
      <c r="H766" s="516" t="s">
        <v>265</v>
      </c>
      <c r="I766" s="222" t="s">
        <v>51</v>
      </c>
      <c r="J766" s="223">
        <v>0.5</v>
      </c>
      <c r="K766" s="224" t="s">
        <v>36</v>
      </c>
      <c r="L766" s="225">
        <v>1.83</v>
      </c>
      <c r="M766" s="226">
        <v>16.8</v>
      </c>
      <c r="N766" s="503">
        <v>0.1</v>
      </c>
      <c r="O766" s="153">
        <f>IF(OR(AE766="",AE767=""),"",ROUND(IF(L768&gt;0,IF(M766&gt;0,M766,IF(M767&gt;0,ROUND((M767*AE766)/AE767,IF(N766=0,2,IF(N766=0.1,1,0))),ROUND((M768*AE766)/AE768,IF(N766=0,2,IF(N766=0.1,1,0))))),IF(M766&gt;0,M766,ROUND((M767*AE766)/AE767,IF(N766=0,2,IF(N766=0.1,1,0))))),2))</f>
        <v>16.8</v>
      </c>
      <c r="P766" s="227">
        <f>IF(OR(L766="",O766=""),"",IF($C766="1/2W",O766/2+O766/2*L766,IF($C766="1/2L",O766/2,IF(I766="Lay",(O766*(L766/(L766-1))-O766)*(1-_xlfn.XLOOKUP(K766,'Fevereiro 2023 - Valor Real'!A3:A15,'Fevereiro 2023 - Valor Real'!C3:C15,0))+O766,(O766*L766-O766)*(1-_xlfn.XLOOKUP(K766,'Fevereiro 2023 - Valor Real'!A3:A15,'Fevereiro 2023 - Valor Real'!C3:C15,0))+O766))))</f>
        <v>30.744000000000003</v>
      </c>
      <c r="Q766" s="228">
        <f>IF(K766="","",IF(_xlfn.XLOOKUP(K766,K$4:K765,$DJ$4:DJ765,0,,-1)=DJ766,_xlfn.XLOOKUP(K766,K$4:K765,Q$4:Q765,1,,-1)+1,1))</f>
        <v>2</v>
      </c>
      <c r="R766" s="229">
        <f>IF(K766="","",_xlfn.XLOOKUP(K766,K$4:K765,R$4:R765,0,,-1)+IF($C766=" ",1,0))</f>
        <v>0</v>
      </c>
      <c r="S766" s="501">
        <f>IF($B766="Anulado",0,ROUND(IF(OR($B766="LOSS",$B766="OK"),IF(OR($C766="W",$C766="1/2W",$C766="1/2L"),P766-O766,IF($C766="L",-O766,0))+IF(OR($C767="W",$C767="1/2W",$C767="1/2L"),P767-O767,IF($C767="L",-O767,0))+IF(OR($C768="W",$C768="1/2W",$C768="1/2L"),P768-O768,IF($C768="L",-O768,0)),IF(AND(OR($C766="W",$C766="1/2W",$C766="1/2L"),C767="W"),P766+P767-SUM(O766:O768)+_xlfn.XLOOKUP("X",C766:C768,O766:O768,0),IF(AND(C766=TRUE,C768="W"),P766+P768-SUM(O766:O768),IF(AND(C767="W",C768="W"),P767+P768-SUM(O766:O768)+_xlfn.XLOOKUP("X",C766:C768,O766:O768,0),IF(L768&gt;0,IF(OR($C766="W",$C766="1/2W",$C766="1/2L"),P766-SUM(O766:O768)+_xlfn.XLOOKUP("X",C766:C768,O766:O768,0),IF(OR($C766="W",$C766="1/2W",$C766="1/2L"),P767-SUM(O766:O768)+_xlfn.XLOOKUP("X",C766:C768,O766:O768,0),IF(OR($C766="W",$C766="1/2W",$C766="1/2L"),P768-SUM(O766:O768)+_xlfn.XLOOKUP("X",C766:C768,O766:O768,0),IF(SUM(P766:P768)/3-SUM(O766:O768)+_xlfn.XLOOKUP("X",C766:C768,O766:O768,0)&gt;0,SUM(P766:P768)/3-SUM(O766:O768)+_xlfn.XLOOKUP("X",C766:C768,O766:O768,0),LARGE(P766:P768,1)-SUM(O766:O768))))),IF(OR($C766="W",$C766="1/2W",$C766="1/2L"),P766-SUM(O766:O767)+_xlfn.XLOOKUP("X",C766:C768,O766:O768,0),IF(OR($C766="W",$C766="1/2W",$C766="1/2L"),P767-SUM(O766:O767)+_xlfn.XLOOKUP("X",C766:C768,O766:O768,0),SUM(P766:P767)/2-SUM(O766:O767)+_xlfn.XLOOKUP("X",C766:C768,O766:O768,0)))))))),2))</f>
        <v>1.65</v>
      </c>
      <c r="T766" s="486">
        <f>IF(S766=0,0,S766/SUM(O766:O768))</f>
        <v>5.6701030927835044E-2</v>
      </c>
      <c r="U766" s="496">
        <f>IF($D766=$D763,IF(OR($B766="LOSS",$B766="OK",$B766="Anulada"),S766,0)+U763,IF(OR($B766="LOSS",$B766="OK",$B766="Anulada"),S766,0))</f>
        <v>3.45</v>
      </c>
      <c r="V766" s="496">
        <f>IF($D766="",0,IF($D766=$D763,IF($B766=" ",IF(I768="",IF(OR(AND(I766="DNB1",I767="DNB2"),AND(OR(I766="DNB1",I766="DNB2"),J767=0),AND(OR(I767="DNB1",I767="DNB2"),J766=0),AND(I766="DNB2",I767="DNB1"),AND(IF(J766=0,(J766+1)/ROUND(J766+1,0),J766/ROUND(J766,0))=1,IF(J767=0,(J767+1)/ROUND(IF(J767="",0,J767)+1,0),IF(J767="",0,J767)/ROUND(IF(J767="",1,J767),0))=1,OR(J766&lt;&gt;""),J767&lt;&gt;"")),0,IF(S766&lt;0,IF(I768="",SMALL(P766:P767,1)-SUM(O766:O767),0),SMALL(P766:P767,1)-SUM(O766:O767))),IF(S766&lt;0,IF(I768="",SMALL(P766:P768,1)-SUM(O766:O768),0),LARGE(P766:P768,1)-SUM(O766:O768))),S766)+V763,IF(I768="",IF(OR(AND(I766="DNB1",I767="DNB2"),AND(OR(I766="DNB1",I766="DNB2"),J767=0),AND(OR(I767="DNB1",I767="DNB2"),J766=0),AND(I766="DNB2",I767="DNB1"),AND(IF(J766=0,(J766+1)/ROUND(J766+1,0),J766/ROUND(J766,0))=1,IF(J767=0,(IF(J767="",0,J767)+1)/ROUND(IF(J767="",0,J767)+1,0),IF(J767="",0,J767)/ROUND(IF(J767="",0,J767)+1,0))=1,OR(J766&lt;&gt;""),J767&lt;&gt;"")),0,IF(S766&lt;0,IF(I768="",SMALL(P766:P767,1)-SUM(O766:O767),0),SMALL(P766:P768,1)-SUM(O766:O768))),IF(S766&lt;0,IF(I768="",SMALL(P766:P768,1)-SUM(O766:O768),0),LARGE(P766:P768,1)-SUM(O766:O768)))))</f>
        <v>3.4499999999999971</v>
      </c>
      <c r="W766" s="496">
        <f>IF($D766=$D763,IF(S766&lt;0,IF(I768="",S766,0),S766)+W763,S766)</f>
        <v>3.45</v>
      </c>
      <c r="X766" s="505" t="str">
        <f>IF(OR(SUM(R766:R768)=0,V766=W766),ROUND(IF(W766=0,0,W766/Y766)*100,2)&amp;"%",ROUND(IF(V766=0,0,V766/Y766)*100,2)&amp;"% a "&amp;ROUND(IF(W766=0,0,W766/Y766)*100,2)&amp;"%")</f>
        <v>5,96%</v>
      </c>
      <c r="Y766" s="497">
        <f>IF($D766=$D763,Y763+SUM(O766:O768),SUM(O766:O768))</f>
        <v>57.900000000000006</v>
      </c>
      <c r="Z766" s="496">
        <f>IF($B766=" ",SUM(O766:O768),0)+Z763</f>
        <v>0</v>
      </c>
      <c r="AA766" s="496">
        <f>IF(G766="","",IF($B766="Anulado",LARGE(P766:P768,1)-SUM(O766:O768)+AA763,AA763))</f>
        <v>13.381099999999991</v>
      </c>
      <c r="AB766" s="496">
        <f>IF($D766="","",AB763+S766)</f>
        <v>851.14000000000067</v>
      </c>
      <c r="AC766" s="499">
        <f ca="1">IF($D766="","",IF($B766=" ",IF(DAY(G766)=DAY(TODAY()),1+AC763,0+AC763),0+AC763))</f>
        <v>0</v>
      </c>
      <c r="AD766" s="157">
        <f>(((L767/(L767-1)-1)*(1-_xlfn.XLOOKUP(K767,'Fevereiro 2023 - Valor Real'!A3:A15,'Fevereiro 2023 - Valor Real'!C3:C15,0))+1))/(((L766-1)*(1-_xlfn.XLOOKUP(K766,'Fevereiro 2023 - Valor Real'!A3:A15,'Fevereiro 2023 - Valor Real'!C3:C15,0))+1)+((L767/(L767-1)-1)*(1-_xlfn.XLOOKUP(K767,'Fevereiro 2023 - Valor Real'!A3:A15,'Fevereiro 2023 - Valor Real'!C3:C15,0))+1))</f>
        <v>0.47664442326024781</v>
      </c>
      <c r="AE766" s="158">
        <f>IF(L766="","",IF(L768&gt;0,(SUM(((L766-1)*(1-_xlfn.XLOOKUP(K766,'Fevereiro 2023 - Valor Real'!A3:A15,'Fevereiro 2023 - Valor Real'!C3:C15,0))+1),((L767-1)*(1-_xlfn.XLOOKUP(K767,'Fevereiro 2023 - Valor Real'!A3:A15,'Fevereiro 2023 - Valor Real'!C3:C15,0))+1),((L768-1)*(1-_xlfn.XLOOKUP(K768,'Fevereiro 2023 - Valor Real'!A3:A15,'Fevereiro 2023 - Valor Real'!C3:C15,0))+1))/((L766-1)*(1-_xlfn.XLOOKUP(K766,'Fevereiro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Real'!C3:C15,0))+1))/((L766-1)*(1-_xlfn.XLOOKUP(K766,'Fevereiro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Real'!C3:C15,0))+1))/((L767-1)*(1-_xlfn.XLOOKUP(K767,'Fevereiro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Real'!C3:C15,0))+1))/((L768-1)*(1-_xlfn.XLOOKUP(K768,'Fevereiro 2023 - Valor Real'!A3:A15,'Fevereiro 2023 - Valor Real'!C3:C15,0))+1)),IF(I766="Lay",IF(I767="Lay",((L767/(L767-1)-1)*(1-_xlfn.XLOOKUP(K767,'Fevereiro 2023 - Valor Real'!A3:A15,'Fevereiro 2023 - Valor Real'!C3:C15,0))+1)/(((L767/(L767-1)-1)*(1-_xlfn.XLOOKUP(K767,'Fevereiro 2023 - Valor Real'!A3:A15,'Fevereiro 2023 - Valor Real'!C3:C15,0))+1)+((L766/(L766-1)-1)*(1-_xlfn.XLOOKUP(K766,'Fevereiro 2023 - Valor Real'!A3:A15,'Fevereiro 2023 - Valor Real'!C3:C15,0))+1)),((L767-1)*(1-_xlfn.XLOOKUP(K767,'Fevereiro 2023 - Valor Real'!A3:A15,'Fevereiro 2023 - Valor Real'!C3:C15,0))+1)/(((L767-1)*(1-_xlfn.XLOOKUP(K767,'Fevereiro 2023 - Valor Real'!A3:A15,'Fevereiro 2023 - Valor Real'!C3:C15,0))+1)+((L766/(L766-1)-1)*(1-_xlfn.XLOOKUP(K766,'Fevereiro 2023 - Valor Real'!A3:A15,'Fevereiro 2023 - Valor Real'!C3:C15,0))+1))),IF(I767="Lay",(((L767/(L767-1)-1)*(1-_xlfn.XLOOKUP(K767,'Fevereiro 2023 - Valor Real'!A3:A15,'Fevereiro 2023 - Valor Real'!C3:C15,0))+1))/(((L766-1)*(1-_xlfn.XLOOKUP(K766,'Fevereiro 2023 - Valor Real'!A3:A15,'Fevereiro 2023 - Valor Real'!C3:C15,0))+1)+((L767/(L767-1)-1)*(1-_xlfn.XLOOKUP(K767,'Fevereiro 2023 - Valor Real'!A3:A15,'Fevereiro 2023 - Valor Real'!C3:C15,0))+1)),((L767-1)*(1-_xlfn.XLOOKUP(K767,'Fevereiro 2023 - Valor Real'!A3:A15,'Fevereiro 2023 - Valor Real'!C3:C15,0))+1)/(((L767-1)*(1-_xlfn.XLOOKUP(K767,'Fevereiro 2023 - Valor Real'!A3:A15,'Fevereiro 2023 - Valor Real'!C3:C15,0))+1)+((L766-1)*(1-_xlfn.XLOOKUP(K766,'Fevereiro 2023 - Valor Real'!A3:A15,'Fevereiro 2023 - Valor Real'!C3:C15,0))+1))))))</f>
        <v>0.57736720554272514</v>
      </c>
      <c r="AF766" s="66">
        <f t="shared" si="1526"/>
        <v>-16.8</v>
      </c>
      <c r="AG766" s="67">
        <f t="shared" si="1526"/>
        <v>0</v>
      </c>
      <c r="AH766" s="67">
        <f t="shared" si="1526"/>
        <v>0</v>
      </c>
      <c r="AI766" s="67">
        <f t="shared" si="1526"/>
        <v>0</v>
      </c>
      <c r="AJ766" s="67">
        <f t="shared" si="1526"/>
        <v>0</v>
      </c>
      <c r="AK766" s="67">
        <f t="shared" si="1526"/>
        <v>0</v>
      </c>
      <c r="AL766" s="67">
        <f t="shared" si="1526"/>
        <v>0</v>
      </c>
      <c r="AM766" s="67">
        <f t="shared" si="1526"/>
        <v>0</v>
      </c>
      <c r="AN766" s="67">
        <f t="shared" si="1526"/>
        <v>0</v>
      </c>
      <c r="AO766" s="67">
        <f t="shared" si="1526"/>
        <v>0</v>
      </c>
      <c r="AP766" s="67">
        <f t="shared" si="1526"/>
        <v>0</v>
      </c>
      <c r="AQ766" s="67">
        <f t="shared" si="1526"/>
        <v>0</v>
      </c>
      <c r="AR766" s="68">
        <f t="shared" si="1526"/>
        <v>0</v>
      </c>
      <c r="AS766" s="66">
        <f t="shared" ref="AS766:BE766" si="1530">IF(AND($B766=" ",$K766=AS$3),$O766,0)</f>
        <v>0</v>
      </c>
      <c r="AT766" s="67">
        <f t="shared" si="1530"/>
        <v>0</v>
      </c>
      <c r="AU766" s="67">
        <f t="shared" si="1530"/>
        <v>0</v>
      </c>
      <c r="AV766" s="67">
        <f t="shared" si="1530"/>
        <v>0</v>
      </c>
      <c r="AW766" s="67">
        <f t="shared" si="1530"/>
        <v>0</v>
      </c>
      <c r="AX766" s="67">
        <f t="shared" si="1530"/>
        <v>0</v>
      </c>
      <c r="AY766" s="69">
        <f t="shared" si="1530"/>
        <v>0</v>
      </c>
      <c r="AZ766" s="70">
        <f t="shared" si="1530"/>
        <v>0</v>
      </c>
      <c r="BA766" s="70">
        <f t="shared" si="1530"/>
        <v>0</v>
      </c>
      <c r="BB766" s="70">
        <f t="shared" si="1530"/>
        <v>0</v>
      </c>
      <c r="BC766" s="71">
        <f t="shared" si="1530"/>
        <v>0</v>
      </c>
      <c r="BD766" s="67">
        <f t="shared" si="1530"/>
        <v>0</v>
      </c>
      <c r="BE766" s="68">
        <f t="shared" si="1530"/>
        <v>0</v>
      </c>
      <c r="BF766" s="230">
        <f t="shared" si="1528"/>
        <v>16.8</v>
      </c>
      <c r="BG766" s="67">
        <f t="shared" si="1528"/>
        <v>0</v>
      </c>
      <c r="BH766" s="67">
        <f t="shared" si="1528"/>
        <v>0</v>
      </c>
      <c r="BI766" s="67">
        <f t="shared" si="1528"/>
        <v>0</v>
      </c>
      <c r="BJ766" s="67">
        <f t="shared" si="1528"/>
        <v>0</v>
      </c>
      <c r="BK766" s="67">
        <f t="shared" si="1528"/>
        <v>0</v>
      </c>
      <c r="BL766" s="67">
        <f t="shared" si="1528"/>
        <v>0</v>
      </c>
      <c r="BM766" s="69">
        <f t="shared" si="1528"/>
        <v>0</v>
      </c>
      <c r="BN766" s="70">
        <f t="shared" si="1528"/>
        <v>0</v>
      </c>
      <c r="BO766" s="70">
        <f t="shared" si="1528"/>
        <v>0</v>
      </c>
      <c r="BP766" s="70">
        <f t="shared" si="1528"/>
        <v>0</v>
      </c>
      <c r="BQ766" s="71">
        <f t="shared" si="1528"/>
        <v>0</v>
      </c>
      <c r="BR766" s="68">
        <f t="shared" si="1528"/>
        <v>0</v>
      </c>
      <c r="BS766" s="490">
        <f>IF($B766="LOSS",IF(AND($K766=BS$3,$C766="L"),-$O766,0)+IF(AND($K767=BS$3,$C767="L"),-$O767,0)+IF(AND($K768=BS$3,$C768="L"),-$O768,0),IF(OR(AND($K766=BS$3,OR($C766="W",$C766="1/2W")),AND($K767=BS$3,OR($C767="W",$C767="1/2W")),AND($K768=BS$3,OR($C768="W",$C768="1/2W"))),$S766,0))</f>
        <v>0</v>
      </c>
      <c r="BT766" s="488">
        <f>IF($B766="LOSS",IF(AND($K766=BT$3,$C766="L"),-$O766,0)+IF(AND($K767=BT$3,$C767="L"),-$O767,0)+IF(AND($K767=BT$3,$C768="L"),-$O768,0),IF(OR(AND($K767=BT$3,OR($C766="W",$C766="1/2W")),AND($K767=BT$3,OR($C767="W",$C767="1/2W")),AND($K767=BT$3,OR($C768="W",$C768="1/2W"))),$S766,0))</f>
        <v>0</v>
      </c>
      <c r="BU766" s="488">
        <f>IF($B766="LOSS",IF(AND($K766=BU$3,$C766="L"),-$O766,0)+IF(AND($K767=BU$3,$C767="L"),-$O767,0)+IF(AND($K767=BU$3,$C768="L"),-$O768,0),IF(OR(AND($K767=BU$3,OR($C766="W",$C766="1/2W")),AND($K767=BU$3,OR($C767="W",$C767="1/2W")),AND($K767=BU$3,OR($C768="W",$C768="1/2W"))),$S766,0))</f>
        <v>0</v>
      </c>
      <c r="BV766" s="488">
        <f t="shared" ref="BV766:CE766" si="1531">IF($B766="LOSS",IF(AND($K766=BV$3,$C766="L"),-$O766,0)+IF(AND($K767=BV$3,$C767="L"),-$O767,0)+IF(AND($K768=BV$3,$C768="L"),-$O768,0),IF(OR(AND($K766=BV$3,OR($C766="W",$C766="1/2W")),AND($K767=BV$3,OR($C767="W",$C767="1/2W")),AND($K768=BV$3,OR($C768="W",$C768="1/2W"))),$S766,0))</f>
        <v>0</v>
      </c>
      <c r="BW766" s="488">
        <f t="shared" si="1531"/>
        <v>1.65</v>
      </c>
      <c r="BX766" s="488">
        <f t="shared" si="1531"/>
        <v>0</v>
      </c>
      <c r="BY766" s="488">
        <f t="shared" si="1531"/>
        <v>0</v>
      </c>
      <c r="BZ766" s="498">
        <f t="shared" si="1531"/>
        <v>0</v>
      </c>
      <c r="CA766" s="498">
        <f t="shared" si="1531"/>
        <v>0</v>
      </c>
      <c r="CB766" s="498">
        <f t="shared" si="1531"/>
        <v>0</v>
      </c>
      <c r="CC766" s="498">
        <f t="shared" si="1531"/>
        <v>0</v>
      </c>
      <c r="CD766" s="500">
        <f t="shared" si="1531"/>
        <v>0</v>
      </c>
      <c r="CE766" s="504">
        <f t="shared" si="1531"/>
        <v>0</v>
      </c>
      <c r="CF766" s="160">
        <f t="shared" si="1412"/>
        <v>0</v>
      </c>
      <c r="CG766" s="161">
        <f t="shared" si="1413"/>
        <v>1</v>
      </c>
      <c r="CH766" s="161">
        <f t="shared" si="1414"/>
        <v>0</v>
      </c>
      <c r="CI766" s="161">
        <f t="shared" si="1415"/>
        <v>0</v>
      </c>
      <c r="CJ766" s="161">
        <f t="shared" si="1416"/>
        <v>0</v>
      </c>
      <c r="CK766" s="161">
        <f t="shared" si="1417"/>
        <v>0</v>
      </c>
      <c r="CL766" s="161">
        <f t="shared" si="1418"/>
        <v>0</v>
      </c>
      <c r="CM766" s="161">
        <f t="shared" si="1419"/>
        <v>0</v>
      </c>
      <c r="CN766" s="161">
        <f t="shared" si="1420"/>
        <v>0</v>
      </c>
      <c r="CO766" s="161">
        <f t="shared" si="1421"/>
        <v>0</v>
      </c>
      <c r="CP766" s="161">
        <f t="shared" si="1422"/>
        <v>0</v>
      </c>
      <c r="CQ766" s="161">
        <f t="shared" si="1423"/>
        <v>0</v>
      </c>
      <c r="CR766" s="161">
        <f t="shared" si="1424"/>
        <v>0</v>
      </c>
      <c r="CS766" s="161">
        <f t="shared" si="1425"/>
        <v>0</v>
      </c>
      <c r="CT766" s="75">
        <f t="shared" si="1426"/>
        <v>0</v>
      </c>
      <c r="CU766" s="76">
        <f t="shared" si="1427"/>
        <v>0</v>
      </c>
      <c r="CV766" s="76">
        <f t="shared" si="1428"/>
        <v>0</v>
      </c>
      <c r="CW766" s="76">
        <f t="shared" si="1429"/>
        <v>0</v>
      </c>
      <c r="CX766" s="76">
        <f t="shared" si="1430"/>
        <v>0</v>
      </c>
      <c r="CY766" s="76">
        <f t="shared" si="1431"/>
        <v>0</v>
      </c>
      <c r="CZ766" s="76">
        <f t="shared" si="1432"/>
        <v>0</v>
      </c>
      <c r="DA766" s="76">
        <f t="shared" si="1433"/>
        <v>0</v>
      </c>
      <c r="DB766" s="76">
        <f t="shared" si="1434"/>
        <v>0</v>
      </c>
      <c r="DC766" s="76">
        <f t="shared" si="1435"/>
        <v>0</v>
      </c>
      <c r="DD766" s="76">
        <f t="shared" si="1436"/>
        <v>0</v>
      </c>
      <c r="DE766" s="77">
        <f t="shared" si="1437"/>
        <v>0</v>
      </c>
      <c r="DF766" s="73">
        <f t="shared" si="1440"/>
        <v>43</v>
      </c>
      <c r="DG766" s="67">
        <f t="shared" si="1441"/>
        <v>57.167999999999992</v>
      </c>
      <c r="DH766" s="76">
        <f t="shared" si="1442"/>
        <v>16</v>
      </c>
      <c r="DI766" s="67">
        <f t="shared" si="1443"/>
        <v>68.699999999999989</v>
      </c>
      <c r="DJ766" s="202" t="str">
        <f>IF($D766="","",$D766)</f>
        <v>27</v>
      </c>
      <c r="DK766" s="492">
        <f>IF(AND($B766=" ",$D766&lt;&gt;""),1,0)</f>
        <v>0</v>
      </c>
    </row>
    <row r="767" spans="1:115" ht="14.5" customHeight="1" x14ac:dyDescent="0.2">
      <c r="A767" s="389"/>
      <c r="B767" s="456"/>
      <c r="C767" s="53" t="s">
        <v>54</v>
      </c>
      <c r="D767" s="374"/>
      <c r="E767" s="386"/>
      <c r="F767" s="377"/>
      <c r="G767" s="483"/>
      <c r="H767" s="476"/>
      <c r="I767" s="55" t="s">
        <v>52</v>
      </c>
      <c r="J767" s="231">
        <f>IF(OR(I766="TO",I766="TU",I766="TO1",I766="TU1",I766="TO2",I766="TU2"),J766,IF(OR(I766="AH1",I766="AH2"),IF(OR(I767="AH1",I767="AH2"),-J766,IF(OR(I767="EH1",I767="EH2"),-J766+0.5,"")),IF(OR(I766="EH1",I766="EH2"),IF(OR(I767="AH1",I767="AH2"),-J766+0.5,IF(OR(I767="EH1",I767="EH2"),-J766+1,"")),IF(AND(OR(I766="DNB1",I766="DNB2"),OR(I767="AH1",I767="AH2")),0,IF(AND(I766="Not ScoreBoth",OR(I767="TO1",I767="TO2")),0.5,"")))))</f>
        <v>0.5</v>
      </c>
      <c r="K767" s="232" t="s">
        <v>40</v>
      </c>
      <c r="L767" s="58">
        <v>2.5</v>
      </c>
      <c r="M767" s="59"/>
      <c r="N767" s="406"/>
      <c r="O767" s="60">
        <f>IF(OR(AE766="",AE767=""),"",ROUND(IF(L768&gt;0,IF(M767&gt;0,M767,IF(M766&gt;0,IF(N766=TRUE,ROUND((M766*AE767)/AE766,0),(M766*AE767)/AE766),IF(M767&gt;0,ROUND(M767,IF(N766=0,2,IF(N766=0.1,1,0))),IF(M768&gt;0,ROUND(O768*AE767/AE768,IF(N766=0,2,IF(N766=0.1,1,0))),0)))),IF(M767&gt;0,M767,ROUND((M766*AE767)/AE766,IF(N766=0,2,IF(N766=0.1,1,0))))),2))</f>
        <v>12.3</v>
      </c>
      <c r="P767" s="61">
        <f>IF(OR(L767="",O767=""),"",IF($C767="1/2W",O767/2+O767/2*L767,IF($C767="1/2L",O767/2,IF(I767="Lay",((O767*(L767/(L767-1)))-O767)*(1-_xlfn.XLOOKUP(K767,'Fevereiro 2023 - Valor Real'!A3:A15,'Fevereiro 2023 - Valor Real'!C3:C15,0))+O767,(O767*L767-O767)*(1-_xlfn.XLOOKUP(K767,'Fevereiro 2023 - Valor Real'!A3:A15,'Fevereiro 2023 - Valor Real'!C3:C15,0))+O767))))</f>
        <v>30.75</v>
      </c>
      <c r="Q767" s="233">
        <f>IF(K767="","",IF(_xlfn.XLOOKUP(K767,K$4:K766,$DJ$4:DJ766,0,,-1)=DJ767,_xlfn.XLOOKUP(K767,K$4:K766,Q$4:Q766,1,,-1)+1,1))</f>
        <v>2</v>
      </c>
      <c r="R767" s="234">
        <f>IF(K767="","",_xlfn.XLOOKUP(K767,K$4:K766,R$4:R766,0,,-1)+IF($C767=" ",1,0))</f>
        <v>0</v>
      </c>
      <c r="S767" s="403"/>
      <c r="T767" s="380"/>
      <c r="U767" s="380"/>
      <c r="V767" s="481"/>
      <c r="W767" s="380"/>
      <c r="X767" s="452"/>
      <c r="Y767" s="383"/>
      <c r="Z767" s="384"/>
      <c r="AA767" s="384"/>
      <c r="AB767" s="384"/>
      <c r="AC767" s="384"/>
      <c r="AD767" s="64">
        <f>(((L767/(L767-1)-1)*(1-_xlfn.XLOOKUP(K767,'Fevereiro 2023 - Valor Real'!A3:A15,'Fevereiro 2023 - Valor Real'!C3:C15,0))+1))</f>
        <v>1.6666666666666667</v>
      </c>
      <c r="AE767" s="65">
        <f>IF(L767="","",IF(L768&gt;0,(SUM(((L766-1)*(1-_xlfn.XLOOKUP(K766,'Fevereiro 2023 - Valor Real'!A3:A15,'Fevereiro 2023 - Valor Real'!C3:C15,0))+1),((L767-1)*(1-_xlfn.XLOOKUP(K767,'Fevereiro 2023 - Valor Real'!A3:A15,'Fevereiro 2023 - Valor Real'!C3:C15,0))+1),((L768-1)*(1-_xlfn.XLOOKUP(K768,'Fevereiro 2023 - Valor Real'!A3:A15,'Fevereiro 2023 - Valor Real'!C3:C15,0))+1))/((L767-1)*(1-_xlfn.XLOOKUP(K767,'Fevereiro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Real'!C3:C15,0))+1))/((L766-1)*(1-_xlfn.XLOOKUP(K766,'Fevereiro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Real'!C3:C15,0))+1))/((L767-1)*(1-_xlfn.XLOOKUP(K767,'Fevereiro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Real'!C3:C15,0))+1))/((L768-1)*(1-_xlfn.XLOOKUP(K768,'Fevereiro 2023 - Valor Real'!A3:A15,'Fevereiro 2023 - Valor Real'!C3:C15,0))+1)),IF(I767="Lay",IF(I766="Lay",((L766/(L766-1)-1)*(1-_xlfn.XLOOKUP(K766,'Fevereiro 2023 - Valor Real'!A3:A15,'Fevereiro 2023 - Valor Real'!C3:C15,0))+1)/(((L766/(L766-1)-1)*(1-_xlfn.XLOOKUP(K766,'Fevereiro 2023 - Valor Real'!A3:A15,'Fevereiro 2023 - Valor Real'!C3:C15,0))+1)+((L767/(L767-1)-1)*(1-_xlfn.XLOOKUP(K767,'Fevereiro 2023 - Valor Real'!A3:A15,'Fevereiro 2023 - Valor Real'!C3:C15,0))+1)),((L766-1)*(1-_xlfn.XLOOKUP(K766,'Fevereiro 2023 - Valor Real'!A3:A15,'Fevereiro 2023 - Valor Real'!C3:C15,0))+1)/(((L766-1)*(1-_xlfn.XLOOKUP(K766,'Fevereiro 2023 - Valor Real'!A3:A15,'Fevereiro 2023 - Valor Real'!C3:C15,0))+1)+((L767/(L767-1)-1)*(1-_xlfn.XLOOKUP(K767,'Fevereiro 2023 - Valor Real'!A3:A15,'Fevereiro 2023 - Valor Real'!C3:C15,0))+1))),IF(I766="Lay",((L766/(L766-1)-1)*(1-_xlfn.XLOOKUP(K766,'Fevereiro 2023 - Valor Real'!A3:A15,'Fevereiro 2023 - Valor Real'!C3:C15,0))+1)/((((L766/(L766-1)-1)*(1-_xlfn.XLOOKUP(K766,'Fevereiro 2023 - Valor Real'!A3:A15,'Fevereiro 2023 - Valor Real'!C3:C15,0))+1))+((L767-1)*(1-_xlfn.XLOOKUP(K767,'Fevereiro 2023 - Valor Real'!A3:A15,'Fevereiro 2023 - Valor Real'!C3:C15,0))+1)),((L766-1)*(1-_xlfn.XLOOKUP(K766,'Fevereiro 2023 - Valor Real'!A3:A15,'Fevereiro 2023 - Valor Real'!C3:C15,0))+1)/(((L766-1)*(1-_xlfn.XLOOKUP(K766,'Fevereiro 2023 - Valor Real'!A3:A15,'Fevereiro 2023 - Valor Real'!C3:C15,0))+1)+((L767-1)*(1-_xlfn.XLOOKUP(K767,'Fevereiro 2023 - Valor Real'!A3:A15,'Fevereiro 2023 - Valor Real'!C3:C15,0))+1))))))</f>
        <v>0.42263279445727486</v>
      </c>
      <c r="AF767" s="66">
        <f t="shared" si="1526"/>
        <v>0</v>
      </c>
      <c r="AG767" s="67">
        <f t="shared" si="1526"/>
        <v>0</v>
      </c>
      <c r="AH767" s="67">
        <f t="shared" si="1526"/>
        <v>0</v>
      </c>
      <c r="AI767" s="67">
        <f t="shared" si="1526"/>
        <v>0</v>
      </c>
      <c r="AJ767" s="67">
        <f t="shared" si="1526"/>
        <v>18.45</v>
      </c>
      <c r="AK767" s="67">
        <f t="shared" si="1526"/>
        <v>0</v>
      </c>
      <c r="AL767" s="67">
        <f t="shared" si="1526"/>
        <v>0</v>
      </c>
      <c r="AM767" s="67">
        <f t="shared" si="1526"/>
        <v>0</v>
      </c>
      <c r="AN767" s="67">
        <f t="shared" si="1526"/>
        <v>0</v>
      </c>
      <c r="AO767" s="67">
        <f t="shared" si="1526"/>
        <v>0</v>
      </c>
      <c r="AP767" s="67">
        <f t="shared" si="1526"/>
        <v>0</v>
      </c>
      <c r="AQ767" s="67">
        <f t="shared" si="1526"/>
        <v>0</v>
      </c>
      <c r="AR767" s="68">
        <f t="shared" si="1526"/>
        <v>0</v>
      </c>
      <c r="AS767" s="66">
        <f>IF(AND($B766=" ",$K767=AS$3),$O767,0)</f>
        <v>0</v>
      </c>
      <c r="AT767" s="67">
        <f>IF(AND($B766=" ",K767=AT$3),$O767,0)</f>
        <v>0</v>
      </c>
      <c r="AU767" s="67">
        <f t="shared" ref="AU767:BE767" si="1532">IF(AND($B766=" ",$K767=AU$3),$O767,0)</f>
        <v>0</v>
      </c>
      <c r="AV767" s="67">
        <f t="shared" si="1532"/>
        <v>0</v>
      </c>
      <c r="AW767" s="67">
        <f t="shared" si="1532"/>
        <v>0</v>
      </c>
      <c r="AX767" s="67">
        <f t="shared" si="1532"/>
        <v>0</v>
      </c>
      <c r="AY767" s="69">
        <f t="shared" si="1532"/>
        <v>0</v>
      </c>
      <c r="AZ767" s="70">
        <f t="shared" si="1532"/>
        <v>0</v>
      </c>
      <c r="BA767" s="70">
        <f t="shared" si="1532"/>
        <v>0</v>
      </c>
      <c r="BB767" s="70">
        <f t="shared" si="1532"/>
        <v>0</v>
      </c>
      <c r="BC767" s="71">
        <f t="shared" si="1532"/>
        <v>0</v>
      </c>
      <c r="BD767" s="67">
        <f t="shared" si="1532"/>
        <v>0</v>
      </c>
      <c r="BE767" s="68">
        <f t="shared" si="1532"/>
        <v>0</v>
      </c>
      <c r="BF767" s="66">
        <f t="shared" si="1528"/>
        <v>0</v>
      </c>
      <c r="BG767" s="67">
        <f t="shared" si="1528"/>
        <v>0</v>
      </c>
      <c r="BH767" s="67">
        <f t="shared" si="1528"/>
        <v>0</v>
      </c>
      <c r="BI767" s="67">
        <f t="shared" si="1528"/>
        <v>0</v>
      </c>
      <c r="BJ767" s="67">
        <f t="shared" si="1528"/>
        <v>12.3</v>
      </c>
      <c r="BK767" s="67">
        <f t="shared" si="1528"/>
        <v>0</v>
      </c>
      <c r="BL767" s="67">
        <f t="shared" si="1528"/>
        <v>0</v>
      </c>
      <c r="BM767" s="235">
        <f t="shared" si="1528"/>
        <v>0</v>
      </c>
      <c r="BN767" s="159">
        <f t="shared" si="1528"/>
        <v>0</v>
      </c>
      <c r="BO767" s="159">
        <f t="shared" si="1528"/>
        <v>0</v>
      </c>
      <c r="BP767" s="159">
        <f t="shared" si="1528"/>
        <v>0</v>
      </c>
      <c r="BQ767" s="71">
        <f t="shared" si="1528"/>
        <v>0</v>
      </c>
      <c r="BR767" s="68">
        <f t="shared" si="1528"/>
        <v>0</v>
      </c>
      <c r="BS767" s="464"/>
      <c r="BT767" s="461"/>
      <c r="BU767" s="392"/>
      <c r="BV767" s="461"/>
      <c r="BW767" s="392"/>
      <c r="BX767" s="392"/>
      <c r="BY767" s="392"/>
      <c r="BZ767" s="461"/>
      <c r="CA767" s="392"/>
      <c r="CB767" s="392"/>
      <c r="CC767" s="392"/>
      <c r="CD767" s="401"/>
      <c r="CE767" s="409"/>
      <c r="CF767" s="236">
        <f t="shared" si="1412"/>
        <v>0</v>
      </c>
      <c r="CG767" s="237">
        <f t="shared" si="1413"/>
        <v>0</v>
      </c>
      <c r="CH767" s="237">
        <f t="shared" si="1414"/>
        <v>0</v>
      </c>
      <c r="CI767" s="237">
        <f t="shared" si="1415"/>
        <v>0</v>
      </c>
      <c r="CJ767" s="237">
        <f t="shared" si="1416"/>
        <v>0</v>
      </c>
      <c r="CK767" s="237">
        <f t="shared" si="1417"/>
        <v>0</v>
      </c>
      <c r="CL767" s="237">
        <f t="shared" si="1418"/>
        <v>0</v>
      </c>
      <c r="CM767" s="237">
        <f t="shared" si="1419"/>
        <v>0</v>
      </c>
      <c r="CN767" s="237">
        <f t="shared" si="1420"/>
        <v>1</v>
      </c>
      <c r="CO767" s="237">
        <f t="shared" si="1421"/>
        <v>0</v>
      </c>
      <c r="CP767" s="237">
        <f t="shared" si="1422"/>
        <v>0</v>
      </c>
      <c r="CQ767" s="237">
        <f t="shared" si="1423"/>
        <v>0</v>
      </c>
      <c r="CR767" s="237">
        <f t="shared" si="1424"/>
        <v>0</v>
      </c>
      <c r="CS767" s="237">
        <f t="shared" si="1425"/>
        <v>0</v>
      </c>
      <c r="CT767" s="75">
        <f t="shared" si="1426"/>
        <v>0</v>
      </c>
      <c r="CU767" s="76">
        <f t="shared" si="1427"/>
        <v>0</v>
      </c>
      <c r="CV767" s="76">
        <f t="shared" si="1428"/>
        <v>0</v>
      </c>
      <c r="CW767" s="76">
        <f t="shared" si="1429"/>
        <v>0</v>
      </c>
      <c r="CX767" s="76">
        <f t="shared" si="1430"/>
        <v>0</v>
      </c>
      <c r="CY767" s="76">
        <f t="shared" si="1431"/>
        <v>0</v>
      </c>
      <c r="CZ767" s="76">
        <f t="shared" si="1432"/>
        <v>0</v>
      </c>
      <c r="DA767" s="76">
        <f t="shared" si="1433"/>
        <v>0</v>
      </c>
      <c r="DB767" s="76">
        <f t="shared" si="1434"/>
        <v>0</v>
      </c>
      <c r="DC767" s="76">
        <f t="shared" si="1435"/>
        <v>0</v>
      </c>
      <c r="DD767" s="76">
        <f t="shared" si="1436"/>
        <v>0</v>
      </c>
      <c r="DE767" s="77">
        <f t="shared" si="1437"/>
        <v>0</v>
      </c>
      <c r="DF767" s="73">
        <f t="shared" si="1440"/>
        <v>43</v>
      </c>
      <c r="DG767" s="67">
        <f t="shared" si="1441"/>
        <v>57.167999999999992</v>
      </c>
      <c r="DH767" s="76">
        <f t="shared" si="1442"/>
        <v>16</v>
      </c>
      <c r="DI767" s="67">
        <f t="shared" si="1443"/>
        <v>68.699999999999989</v>
      </c>
      <c r="DJ767" s="202" t="str">
        <f>IF($D766="","",$D766)</f>
        <v>27</v>
      </c>
      <c r="DK767" s="466"/>
    </row>
    <row r="768" spans="1:115" ht="14.5" customHeight="1" x14ac:dyDescent="0.2">
      <c r="A768" s="390"/>
      <c r="B768" s="457"/>
      <c r="C768" s="79" t="s">
        <v>53</v>
      </c>
      <c r="D768" s="375"/>
      <c r="E768" s="387"/>
      <c r="F768" s="378"/>
      <c r="G768" s="484"/>
      <c r="H768" s="477"/>
      <c r="I768" s="82"/>
      <c r="J768" s="83"/>
      <c r="K768" s="90"/>
      <c r="L768" s="84"/>
      <c r="M768" s="85"/>
      <c r="N768" s="407"/>
      <c r="O768" s="86" t="str">
        <f>IF(OR(AE766="",AE767=""),"",IF(L768&gt;0,ROUND(IF(M768&gt;0,M768,IF(M766&gt;0,ROUND((M766*AE768)/AE766,IF(N766=0,2,IF(N766=0.1,1,0))),IF(M767&gt;0,ROUND((M767*AE768)/AE767,IF(N766=0,2,IF(N766=0.1,1,0))),IF(M768&gt;0,M768,0)))),2),""))</f>
        <v/>
      </c>
      <c r="P768" s="87" t="str">
        <f>IF(I767="Lay",O767*(L767/(L767-1))-O767,IF(I766="Lay",O766*(L766/(L766-1))-O766,IF(OR(L768="",O768=""),"",IF($C768="1/2W",O768/2+O768/2*L768,IF($C768="1/2L",O768/2,(O768*L768-O768)*(1-_xlfn.XLOOKUP(K768,'Fevereiro 2023 - Valor Real'!A3:A15,'Fevereiro 2023 - Valor Real'!C3:C15,0))+O768)))))</f>
        <v/>
      </c>
      <c r="Q768" s="238" t="str">
        <f>IF(K768="","",IF(_xlfn.XLOOKUP(K768,K$4:K767,$DJ$4:DJ767,0,,-1)=DJ768,_xlfn.XLOOKUP(K768,K$4:K767,Q$4:Q767,1,,-1)+1,1))</f>
        <v/>
      </c>
      <c r="R768" s="239" t="str">
        <f>IF(K768="","",_xlfn.XLOOKUP(K768,K$4:K767,R$4:R767,0,,-1)+IF($C768=" ",1,0))</f>
        <v/>
      </c>
      <c r="S768" s="404"/>
      <c r="T768" s="378"/>
      <c r="U768" s="378"/>
      <c r="V768" s="404"/>
      <c r="W768" s="378"/>
      <c r="X768" s="453"/>
      <c r="Y768" s="383"/>
      <c r="Z768" s="384"/>
      <c r="AA768" s="384"/>
      <c r="AB768" s="384"/>
      <c r="AC768" s="384"/>
      <c r="AD768" s="240">
        <f>((L767/(L767-1)-1))</f>
        <v>0.66666666666666674</v>
      </c>
      <c r="AE768" s="91" t="str">
        <f>IF(L768="","",(SUM(((L766-1)*(1-_xlfn.XLOOKUP(K766,'Fevereiro 2023 - Valor Real'!A3:A15,'Fevereiro 2023 - Valor Real'!C3:C15,0))+1),((L767-1)*(1-_xlfn.XLOOKUP(K767,'Fevereiro 2023 - Valor Real'!A3:A15,'Fevereiro 2023 - Valor Real'!C3:C15,0))+1),((L768-1)*(1-_xlfn.XLOOKUP(K768,'Fevereiro 2023 - Valor Real'!A3:A15,'Fevereiro 2023 - Valor Real'!C3:C15,0))+1))/((L768-1)*(1-_xlfn.XLOOKUP(K768,'Fevereiro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Real'!C3:C15,0))+1))/((L766-1)*(1-_xlfn.XLOOKUP(K766,'Fevereiro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Real'!C3:C15,0))+1))/((L767-1)*(1-_xlfn.XLOOKUP(K767,'Fevereiro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Real'!C3:C15,0))+1))/((L768-1)*(1-_xlfn.XLOOKUP(K768,'Fevereiro 2023 - Valor Real'!A3:A15,'Fevereiro 2023 - Valor Real'!C3:C15,0))+1)))</f>
        <v/>
      </c>
      <c r="AF768" s="66">
        <f t="shared" si="1526"/>
        <v>0</v>
      </c>
      <c r="AG768" s="67">
        <f t="shared" si="1526"/>
        <v>0</v>
      </c>
      <c r="AH768" s="67">
        <f t="shared" si="1526"/>
        <v>0</v>
      </c>
      <c r="AI768" s="67">
        <f t="shared" si="1526"/>
        <v>0</v>
      </c>
      <c r="AJ768" s="67">
        <f t="shared" si="1526"/>
        <v>0</v>
      </c>
      <c r="AK768" s="67">
        <f t="shared" si="1526"/>
        <v>0</v>
      </c>
      <c r="AL768" s="67">
        <f t="shared" si="1526"/>
        <v>0</v>
      </c>
      <c r="AM768" s="67">
        <f t="shared" si="1526"/>
        <v>0</v>
      </c>
      <c r="AN768" s="67">
        <f t="shared" si="1526"/>
        <v>0</v>
      </c>
      <c r="AO768" s="67">
        <f t="shared" si="1526"/>
        <v>0</v>
      </c>
      <c r="AP768" s="67">
        <f t="shared" si="1526"/>
        <v>0</v>
      </c>
      <c r="AQ768" s="67">
        <f t="shared" si="1526"/>
        <v>0</v>
      </c>
      <c r="AR768" s="68">
        <f t="shared" si="1526"/>
        <v>0</v>
      </c>
      <c r="AS768" s="66">
        <f>IF(AND($B766=" ",$K768=AS$3),$O768,0)</f>
        <v>0</v>
      </c>
      <c r="AT768" s="67">
        <f>IF(AND($B766=" ",K768=AT$3),$O768,0)</f>
        <v>0</v>
      </c>
      <c r="AU768" s="67">
        <f t="shared" ref="AU768:BE768" si="1533">IF(AND($B766=" ",$K768=AU$3),$O768,0)</f>
        <v>0</v>
      </c>
      <c r="AV768" s="67">
        <f t="shared" si="1533"/>
        <v>0</v>
      </c>
      <c r="AW768" s="67">
        <f t="shared" si="1533"/>
        <v>0</v>
      </c>
      <c r="AX768" s="67">
        <f t="shared" si="1533"/>
        <v>0</v>
      </c>
      <c r="AY768" s="69">
        <f t="shared" si="1533"/>
        <v>0</v>
      </c>
      <c r="AZ768" s="70">
        <f t="shared" si="1533"/>
        <v>0</v>
      </c>
      <c r="BA768" s="70">
        <f t="shared" si="1533"/>
        <v>0</v>
      </c>
      <c r="BB768" s="70">
        <f t="shared" si="1533"/>
        <v>0</v>
      </c>
      <c r="BC768" s="71">
        <f t="shared" si="1533"/>
        <v>0</v>
      </c>
      <c r="BD768" s="67">
        <f t="shared" si="1533"/>
        <v>0</v>
      </c>
      <c r="BE768" s="68">
        <f t="shared" si="1533"/>
        <v>0</v>
      </c>
      <c r="BF768" s="66">
        <f t="shared" si="1528"/>
        <v>0</v>
      </c>
      <c r="BG768" s="67">
        <f t="shared" si="1528"/>
        <v>0</v>
      </c>
      <c r="BH768" s="67">
        <f t="shared" si="1528"/>
        <v>0</v>
      </c>
      <c r="BI768" s="67">
        <f t="shared" si="1528"/>
        <v>0</v>
      </c>
      <c r="BJ768" s="67">
        <f t="shared" si="1528"/>
        <v>0</v>
      </c>
      <c r="BK768" s="67">
        <f t="shared" si="1528"/>
        <v>0</v>
      </c>
      <c r="BL768" s="67">
        <f t="shared" si="1528"/>
        <v>0</v>
      </c>
      <c r="BM768" s="69">
        <f t="shared" si="1528"/>
        <v>0</v>
      </c>
      <c r="BN768" s="70">
        <f t="shared" si="1528"/>
        <v>0</v>
      </c>
      <c r="BO768" s="70">
        <f t="shared" si="1528"/>
        <v>0</v>
      </c>
      <c r="BP768" s="70">
        <f t="shared" si="1528"/>
        <v>0</v>
      </c>
      <c r="BQ768" s="71">
        <f t="shared" si="1528"/>
        <v>0</v>
      </c>
      <c r="BR768" s="68">
        <f t="shared" si="1528"/>
        <v>0</v>
      </c>
      <c r="BS768" s="464"/>
      <c r="BT768" s="461"/>
      <c r="BU768" s="392"/>
      <c r="BV768" s="461"/>
      <c r="BW768" s="392"/>
      <c r="BX768" s="392"/>
      <c r="BY768" s="392"/>
      <c r="BZ768" s="461"/>
      <c r="CA768" s="392"/>
      <c r="CB768" s="392"/>
      <c r="CC768" s="392"/>
      <c r="CD768" s="401"/>
      <c r="CE768" s="409"/>
      <c r="CF768" s="236">
        <f t="shared" si="1412"/>
        <v>0</v>
      </c>
      <c r="CG768" s="237">
        <f t="shared" si="1413"/>
        <v>0</v>
      </c>
      <c r="CH768" s="237">
        <f t="shared" si="1414"/>
        <v>0</v>
      </c>
      <c r="CI768" s="237">
        <f t="shared" si="1415"/>
        <v>0</v>
      </c>
      <c r="CJ768" s="237">
        <f t="shared" si="1416"/>
        <v>0</v>
      </c>
      <c r="CK768" s="237">
        <f t="shared" si="1417"/>
        <v>0</v>
      </c>
      <c r="CL768" s="237">
        <f t="shared" si="1418"/>
        <v>0</v>
      </c>
      <c r="CM768" s="237">
        <f t="shared" si="1419"/>
        <v>0</v>
      </c>
      <c r="CN768" s="237">
        <f t="shared" si="1420"/>
        <v>0</v>
      </c>
      <c r="CO768" s="237">
        <f t="shared" si="1421"/>
        <v>0</v>
      </c>
      <c r="CP768" s="237">
        <f t="shared" si="1422"/>
        <v>0</v>
      </c>
      <c r="CQ768" s="237">
        <f t="shared" si="1423"/>
        <v>0</v>
      </c>
      <c r="CR768" s="237">
        <f t="shared" si="1424"/>
        <v>0</v>
      </c>
      <c r="CS768" s="237">
        <f t="shared" si="1425"/>
        <v>0</v>
      </c>
      <c r="CT768" s="75">
        <f t="shared" si="1426"/>
        <v>0</v>
      </c>
      <c r="CU768" s="76">
        <f t="shared" si="1427"/>
        <v>0</v>
      </c>
      <c r="CV768" s="76">
        <f t="shared" si="1428"/>
        <v>0</v>
      </c>
      <c r="CW768" s="76">
        <f t="shared" si="1429"/>
        <v>0</v>
      </c>
      <c r="CX768" s="76">
        <f t="shared" si="1430"/>
        <v>0</v>
      </c>
      <c r="CY768" s="76">
        <f t="shared" si="1431"/>
        <v>0</v>
      </c>
      <c r="CZ768" s="76">
        <f t="shared" si="1432"/>
        <v>0</v>
      </c>
      <c r="DA768" s="76">
        <f t="shared" si="1433"/>
        <v>0</v>
      </c>
      <c r="DB768" s="76">
        <f t="shared" si="1434"/>
        <v>0</v>
      </c>
      <c r="DC768" s="76">
        <f t="shared" si="1435"/>
        <v>0</v>
      </c>
      <c r="DD768" s="76">
        <f t="shared" si="1436"/>
        <v>0</v>
      </c>
      <c r="DE768" s="77">
        <f t="shared" si="1437"/>
        <v>0</v>
      </c>
      <c r="DF768" s="73">
        <f t="shared" si="1440"/>
        <v>43</v>
      </c>
      <c r="DG768" s="67">
        <f t="shared" si="1441"/>
        <v>57.167999999999992</v>
      </c>
      <c r="DH768" s="76">
        <f t="shared" si="1442"/>
        <v>16</v>
      </c>
      <c r="DI768" s="67">
        <f t="shared" si="1443"/>
        <v>68.699999999999989</v>
      </c>
      <c r="DJ768" s="202" t="str">
        <f>IF($D766="","",$D766)</f>
        <v>27</v>
      </c>
      <c r="DK768" s="466"/>
    </row>
    <row r="769" spans="1:115" ht="14.5" customHeight="1" x14ac:dyDescent="0.2">
      <c r="A769" s="459">
        <f>$A766+1</f>
        <v>256</v>
      </c>
      <c r="B769" s="507" t="str">
        <f>IF(OR(C769="W",C770="W",C771="W",C769="1/2W",C770="1/2W",C771="1/2W",C769="1/2L",C770="1/2L",C771="1/2L"),"OK",IF(OR(C769="L",C770="L",C771="L"),"LOSS",IF(OR(C769="X",C770="X",C771="X"),"Anulado"," ")))</f>
        <v>OK</v>
      </c>
      <c r="C769" s="93" t="s">
        <v>55</v>
      </c>
      <c r="D769" s="468" t="str">
        <f>IF(G769="","",$D766)</f>
        <v>27</v>
      </c>
      <c r="E769" s="485" t="str">
        <f>IF(G769=""," ","– "&amp;COUNTIF(D$4:D771,$D769))</f>
        <v>– 3</v>
      </c>
      <c r="F769" s="509" t="str">
        <f ca="1">IF(G769="","",IF(OR(AND($C769&lt;&gt;" ",$C770=" "),AND($C770&lt;&gt;" ",$C769=" "),AND(L771&gt;0,OR(AND($C771&lt;&gt;" ",OR($C769=" ",$C770=" ")),AND($C771=" ",OR($C769&lt;&gt;" ",$C770&lt;&gt;" "))))),IF(SUM(F$4:F768)=0,1,LARGE(F$4:F768,1)+1),IF(MONTH(G769)=MONTH(TODAY()),IF(AND(DAY(G769)&lt;DAY(TODAY()),$B769=" "),IF(SUM(F$4:F768)=0,1,LARGE(F$4:F768,1)+1),IF($B769=" ",IF(AND(DAY(G769)=DAY(TODAY()),HOUR(G769)&lt;=HOUR(NOW())+1),IF(AND(HOUR(G769)+2&lt;=HOUR(NOW()),DAY(G769)&lt;=DAY(TODAY()),MINUTE(G769)&lt;=MINUTE(NOW())),IF(SUM(F$4:F768)=0,1,LARGE(F$4:F768,1)+1),IF(OR(MINUTE(G769)&lt;=MINUTE(NOW()),HOUR(G769)&lt;=HOUR(NOW())),"!!!","")),""),"")),"")))</f>
        <v/>
      </c>
      <c r="G769" s="482">
        <f>IF(H769="","",_xlfn.XLOOKUP(H769,$H$4:H768,$G$4:G768,""))</f>
        <v>45012.416666666664</v>
      </c>
      <c r="H769" s="475" t="s">
        <v>265</v>
      </c>
      <c r="I769" s="94" t="s">
        <v>76</v>
      </c>
      <c r="J769" s="95">
        <v>0.5</v>
      </c>
      <c r="K769" s="96" t="s">
        <v>36</v>
      </c>
      <c r="L769" s="97">
        <v>2</v>
      </c>
      <c r="M769" s="98">
        <v>14</v>
      </c>
      <c r="N769" s="478">
        <v>0.1</v>
      </c>
      <c r="O769" s="99">
        <f>IF(OR(AE769="",AE770=""),"",ROUND(IF(L771&gt;0,IF(M769&gt;0,M769,IF(M770&gt;0,ROUND((M770*AE769)/AE770,IF(N769=0,2,IF(N769=0.1,1,0))),ROUND((M771*AE769)/AE771,IF(N769=0,2,IF(N769=0.1,1,0))))),IF(M769&gt;0,M769,ROUND((M770*AE769)/AE770,IF(N769=0,2,IF(N769=0.1,1,0))))),2))</f>
        <v>14</v>
      </c>
      <c r="P769" s="100">
        <f>IF(OR(L769="",O769=""),"",IF($C769="1/2W",O769/2+O769/2*L769,IF($C769="1/2L",O769/2,IF(I769="Lay",(O769*(L769/(L769-1))-O769)*(1-_xlfn.XLOOKUP(K769,'Fevereiro 2023 - Valor Real'!A3:A15,'Fevereiro 2023 - Valor Real'!C3:C15,0))+O769,(O769*L769-O769)*(1-_xlfn.XLOOKUP(K769,'Fevereiro 2023 - Valor Real'!A3:A15,'Fevereiro 2023 - Valor Real'!C3:C15,0))+O769))))</f>
        <v>28</v>
      </c>
      <c r="Q769" s="101">
        <f>IF(K769="","",IF(_xlfn.XLOOKUP(K769,K$4:K768,$DJ$4:DJ768,0,,-1)=DJ769,_xlfn.XLOOKUP(K769,K$4:K768,Q$4:Q768,1,,-1)+1,1))</f>
        <v>3</v>
      </c>
      <c r="R769" s="102">
        <f>IF(K769="","",_xlfn.XLOOKUP(K769,K$4:K768,R$4:R768,0,,-1)+IF($C769=" ",1,0))</f>
        <v>0</v>
      </c>
      <c r="S769" s="474">
        <f>IF($B769="Anulado",0,ROUND(IF(OR($B769="LOSS",$B769="OK"),IF(OR($C769="W",$C769="1/2W",$C769="1/2L"),P769-O769,IF($C769="L",-O769,0))+IF(OR($C770="W",$C770="1/2W",$C770="1/2L"),P770-O770,IF($C770="L",-O770,0))+IF(OR($C771="W",$C771="1/2W",$C771="1/2L"),P771-O771,IF($C771="L",-O771,0)),IF(AND(OR($C769="W",$C769="1/2W",$C769="1/2L"),C770="W"),P769+P770-SUM(O769:O771)+_xlfn.XLOOKUP("X",C769:C771,O769:O771,0),IF(AND(C769=TRUE,C771="W"),P769+P771-SUM(O769:O771),IF(AND(C770="W",C771="W"),P770+P771-SUM(O769:O771)+_xlfn.XLOOKUP("X",C769:C771,O769:O771,0),IF(L771&gt;0,IF(OR($C769="W",$C769="1/2W",$C769="1/2L"),P769-SUM(O769:O771)+_xlfn.XLOOKUP("X",C769:C771,O769:O771,0),IF(OR($C769="W",$C769="1/2W",$C769="1/2L"),P770-SUM(O769:O771)+_xlfn.XLOOKUP("X",C769:C771,O769:O771,0),IF(OR($C769="W",$C769="1/2W",$C769="1/2L"),P771-SUM(O769:O771)+_xlfn.XLOOKUP("X",C769:C771,O769:O771,0),IF(SUM(P769:P771)/3-SUM(O769:O771)+_xlfn.XLOOKUP("X",C769:C771,O769:O771,0)&gt;0,SUM(P769:P771)/3-SUM(O769:O771)+_xlfn.XLOOKUP("X",C769:C771,O769:O771,0),LARGE(P769:P771,1)-SUM(O769:O771))))),IF(OR($C769="W",$C769="1/2W",$C769="1/2L"),P769-SUM(O769:O770)+_xlfn.XLOOKUP("X",C769:C771,O769:O771,0),IF(OR($C769="W",$C769="1/2W",$C769="1/2L"),P770-SUM(O769:O770)+_xlfn.XLOOKUP("X",C769:C771,O769:O771,0),SUM(P769:P770)/2-SUM(O769:O770)+_xlfn.XLOOKUP("X",C769:C771,O769:O771,0)))))))),2))</f>
        <v>1.24</v>
      </c>
      <c r="T769" s="458">
        <f>IF(S769=0,0,S769/SUM(O769:O771))</f>
        <v>4.6441947565543075E-2</v>
      </c>
      <c r="U769" s="470">
        <f>IF($D769=$D766,IF(OR($B769="LOSS",$B769="OK",$B769="Anulada"),S769,0)+U766,IF(OR($B769="LOSS",$B769="OK",$B769="Anulada"),S769,0))</f>
        <v>4.6900000000000004</v>
      </c>
      <c r="V769" s="470">
        <f>IF($D769="",0,IF($D769=$D766,IF($B769=" ",IF(I771="",IF(OR(AND(I769="DNB1",I770="DNB2"),AND(OR(I769="DNB1",I769="DNB2"),J770=0),AND(OR(I770="DNB1",I770="DNB2"),J769=0),AND(I769="DNB2",I770="DNB1"),AND(IF(J769=0,(J769+1)/ROUND(J769+1,0),J769/ROUND(J769,0))=1,IF(J770=0,(J770+1)/ROUND(IF(J770="",0,J770)+1,0),IF(J770="",0,J770)/ROUND(IF(J770="",1,J770),0))=1,OR(J769&lt;&gt;""),J770&lt;&gt;"")),0,IF(S769&lt;0,IF(I771="",SMALL(P769:P770,1)-SUM(O769:O770),0),SMALL(P769:P770,1)-SUM(O769:O770))),IF(S769&lt;0,IF(I771="",SMALL(P769:P771,1)-SUM(O769:O771),0),LARGE(P769:P771,1)-SUM(O769:O771))),S769)+V766,IF(I771="",IF(OR(AND(I769="DNB1",I770="DNB2"),AND(OR(I769="DNB1",I769="DNB2"),J770=0),AND(OR(I770="DNB1",I770="DNB2"),J769=0),AND(I769="DNB2",I770="DNB1"),AND(IF(J769=0,(J769+1)/ROUND(J769+1,0),J769/ROUND(J769,0))=1,IF(J770=0,(IF(J770="",0,J770)+1)/ROUND(IF(J770="",0,J770)+1,0),IF(J770="",0,J770)/ROUND(IF(J770="",0,J770)+1,0))=1,OR(J769&lt;&gt;""),J770&lt;&gt;"")),0,IF(S769&lt;0,IF(I771="",SMALL(P769:P770,1)-SUM(O769:O770),0),SMALL(P769:P771,1)-SUM(O769:O771))),IF(S769&lt;0,IF(I771="",SMALL(P769:P771,1)-SUM(O769:O771),0),LARGE(P769:P771,1)-SUM(O769:O771)))))</f>
        <v>4.6899999999999968</v>
      </c>
      <c r="W769" s="470">
        <f>IF($D769=$D766,IF(S769&lt;0,IF(I771="",S769,0),S769)+W766,S769)</f>
        <v>4.6900000000000004</v>
      </c>
      <c r="X769" s="480" t="str">
        <f>IF(OR(SUM(R769:R771)=0,V769=W769),ROUND(IF(W769=0,0,W769/Y769)*100,2)&amp;"%",ROUND(IF(V769=0,0,V769/Y769)*100,2)&amp;"% a "&amp;ROUND(IF(W769=0,0,W769/Y769)*100,2)&amp;"%")</f>
        <v>5,54%</v>
      </c>
      <c r="Y769" s="471">
        <f>IF($D769=$D766,Y766+SUM(O769:O771),SUM(O769:O771))</f>
        <v>84.600000000000009</v>
      </c>
      <c r="Z769" s="470">
        <f>IF($B769=" ",SUM(O769:O771),0)+Z766</f>
        <v>0</v>
      </c>
      <c r="AA769" s="470">
        <f>IF(G769="","",IF($B769="Anulado",LARGE(P769:P771,1)-SUM(O769:O771)+AA766,AA766))</f>
        <v>13.381099999999991</v>
      </c>
      <c r="AB769" s="470">
        <f>IF($D769="","",AB766+S769)</f>
        <v>852.38000000000068</v>
      </c>
      <c r="AC769" s="472">
        <f ca="1">IF($D769="","",IF($B769=" ",IF(DAY(G769)=DAY(TODAY()),1+AC766,0+AC766),0+AC766))</f>
        <v>0</v>
      </c>
      <c r="AD769" s="103">
        <f>(((L770/(L770-1)-1)*(1-_xlfn.XLOOKUP(K770,'Fevereiro 2023 - Valor Real'!A3:A15,'Fevereiro 2023 - Valor Real'!C3:C15,0))+1))/(((L769-1)*(1-_xlfn.XLOOKUP(K769,'Fevereiro 2023 - Valor Real'!A3:A15,'Fevereiro 2023 - Valor Real'!C3:C15,0))+1)+((L770/(L770-1)-1)*(1-_xlfn.XLOOKUP(K770,'Fevereiro 2023 - Valor Real'!A3:A15,'Fevereiro 2023 - Valor Real'!C3:C15,0))+1))</f>
        <v>0.47826086956521741</v>
      </c>
      <c r="AE769" s="104">
        <f>IF(L769="","",IF(L771&gt;0,(SUM(((L769-1)*(1-_xlfn.XLOOKUP(K769,'Fevereiro 2023 - Valor Real'!A3:A15,'Fevereiro 2023 - Valor Real'!C3:C15,0))+1),((L770-1)*(1-_xlfn.XLOOKUP(K770,'Fevereiro 2023 - Valor Real'!A3:A15,'Fevereiro 2023 - Valor Real'!C3:C15,0))+1),((L771-1)*(1-_xlfn.XLOOKUP(K771,'Fevereiro 2023 - Valor Real'!A3:A15,'Fevereiro 2023 - Valor Real'!C3:C15,0))+1))/((L769-1)*(1-_xlfn.XLOOKUP(K769,'Fevereiro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Real'!C3:C15,0))+1))/((L769-1)*(1-_xlfn.XLOOKUP(K769,'Fevereiro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Real'!C3:C15,0))+1))/((L770-1)*(1-_xlfn.XLOOKUP(K770,'Fevereiro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Real'!C3:C15,0))+1))/((L771-1)*(1-_xlfn.XLOOKUP(K771,'Fevereiro 2023 - Valor Real'!A3:A15,'Fevereiro 2023 - Valor Real'!C3:C15,0))+1)),IF(I769="Lay",IF(I770="Lay",((L770/(L770-1)-1)*(1-_xlfn.XLOOKUP(K770,'Fevereiro 2023 - Valor Real'!A3:A15,'Fevereiro 2023 - Valor Real'!C3:C15,0))+1)/(((L770/(L770-1)-1)*(1-_xlfn.XLOOKUP(K770,'Fevereiro 2023 - Valor Real'!A3:A15,'Fevereiro 2023 - Valor Real'!C3:C15,0))+1)+((L769/(L769-1)-1)*(1-_xlfn.XLOOKUP(K769,'Fevereiro 2023 - Valor Real'!A3:A15,'Fevereiro 2023 - Valor Real'!C3:C15,0))+1)),((L770-1)*(1-_xlfn.XLOOKUP(K770,'Fevereiro 2023 - Valor Real'!A3:A15,'Fevereiro 2023 - Valor Real'!C3:C15,0))+1)/(((L770-1)*(1-_xlfn.XLOOKUP(K770,'Fevereiro 2023 - Valor Real'!A3:A15,'Fevereiro 2023 - Valor Real'!C3:C15,0))+1)+((L769/(L769-1)-1)*(1-_xlfn.XLOOKUP(K769,'Fevereiro 2023 - Valor Real'!A3:A15,'Fevereiro 2023 - Valor Real'!C3:C15,0))+1))),IF(I770="Lay",(((L770/(L770-1)-1)*(1-_xlfn.XLOOKUP(K770,'Fevereiro 2023 - Valor Real'!A3:A15,'Fevereiro 2023 - Valor Real'!C3:C15,0))+1))/(((L769-1)*(1-_xlfn.XLOOKUP(K769,'Fevereiro 2023 - Valor Real'!A3:A15,'Fevereiro 2023 - Valor Real'!C3:C15,0))+1)+((L770/(L770-1)-1)*(1-_xlfn.XLOOKUP(K770,'Fevereiro 2023 - Valor Real'!A3:A15,'Fevereiro 2023 - Valor Real'!C3:C15,0))+1)),((L770-1)*(1-_xlfn.XLOOKUP(K770,'Fevereiro 2023 - Valor Real'!A3:A15,'Fevereiro 2023 - Valor Real'!C3:C15,0))+1)/(((L770-1)*(1-_xlfn.XLOOKUP(K770,'Fevereiro 2023 - Valor Real'!A3:A15,'Fevereiro 2023 - Valor Real'!C3:C15,0))+1)+((L769-1)*(1-_xlfn.XLOOKUP(K769,'Fevereiro 2023 - Valor Real'!A3:A15,'Fevereiro 2023 - Valor Real'!C3:C15,0))+1))))))</f>
        <v>0.52380952380952384</v>
      </c>
      <c r="AF769" s="105">
        <f t="shared" si="1526"/>
        <v>-14</v>
      </c>
      <c r="AG769" s="106">
        <f t="shared" si="1526"/>
        <v>0</v>
      </c>
      <c r="AH769" s="106">
        <f t="shared" si="1526"/>
        <v>0</v>
      </c>
      <c r="AI769" s="106">
        <f t="shared" si="1526"/>
        <v>0</v>
      </c>
      <c r="AJ769" s="106">
        <f t="shared" si="1526"/>
        <v>0</v>
      </c>
      <c r="AK769" s="106">
        <f t="shared" si="1526"/>
        <v>0</v>
      </c>
      <c r="AL769" s="106">
        <f t="shared" si="1526"/>
        <v>0</v>
      </c>
      <c r="AM769" s="106">
        <f t="shared" si="1526"/>
        <v>0</v>
      </c>
      <c r="AN769" s="106">
        <f t="shared" si="1526"/>
        <v>0</v>
      </c>
      <c r="AO769" s="106">
        <f t="shared" si="1526"/>
        <v>0</v>
      </c>
      <c r="AP769" s="106">
        <f t="shared" si="1526"/>
        <v>0</v>
      </c>
      <c r="AQ769" s="106">
        <f t="shared" si="1526"/>
        <v>0</v>
      </c>
      <c r="AR769" s="107">
        <f t="shared" si="1526"/>
        <v>0</v>
      </c>
      <c r="AS769" s="105">
        <f t="shared" ref="AS769:BE769" si="1534">IF(AND($B769=" ",$K769=AS$3),$O769,0)</f>
        <v>0</v>
      </c>
      <c r="AT769" s="106">
        <f t="shared" si="1534"/>
        <v>0</v>
      </c>
      <c r="AU769" s="106">
        <f t="shared" si="1534"/>
        <v>0</v>
      </c>
      <c r="AV769" s="106">
        <f t="shared" si="1534"/>
        <v>0</v>
      </c>
      <c r="AW769" s="106">
        <f t="shared" si="1534"/>
        <v>0</v>
      </c>
      <c r="AX769" s="106">
        <f t="shared" si="1534"/>
        <v>0</v>
      </c>
      <c r="AY769" s="108">
        <f t="shared" si="1534"/>
        <v>0</v>
      </c>
      <c r="AZ769" s="109">
        <f t="shared" si="1534"/>
        <v>0</v>
      </c>
      <c r="BA769" s="109">
        <f t="shared" si="1534"/>
        <v>0</v>
      </c>
      <c r="BB769" s="109">
        <f t="shared" si="1534"/>
        <v>0</v>
      </c>
      <c r="BC769" s="110">
        <f t="shared" si="1534"/>
        <v>0</v>
      </c>
      <c r="BD769" s="106">
        <f t="shared" si="1534"/>
        <v>0</v>
      </c>
      <c r="BE769" s="107">
        <f t="shared" si="1534"/>
        <v>0</v>
      </c>
      <c r="BF769" s="111">
        <f t="shared" si="1528"/>
        <v>14</v>
      </c>
      <c r="BG769" s="106">
        <f t="shared" si="1528"/>
        <v>0</v>
      </c>
      <c r="BH769" s="106">
        <f t="shared" si="1528"/>
        <v>0</v>
      </c>
      <c r="BI769" s="106">
        <f t="shared" si="1528"/>
        <v>0</v>
      </c>
      <c r="BJ769" s="106">
        <f t="shared" si="1528"/>
        <v>0</v>
      </c>
      <c r="BK769" s="106">
        <f t="shared" si="1528"/>
        <v>0</v>
      </c>
      <c r="BL769" s="106">
        <f t="shared" si="1528"/>
        <v>0</v>
      </c>
      <c r="BM769" s="108">
        <f t="shared" si="1528"/>
        <v>0</v>
      </c>
      <c r="BN769" s="109">
        <f t="shared" si="1528"/>
        <v>0</v>
      </c>
      <c r="BO769" s="109">
        <f t="shared" si="1528"/>
        <v>0</v>
      </c>
      <c r="BP769" s="109">
        <f t="shared" si="1528"/>
        <v>0</v>
      </c>
      <c r="BQ769" s="110">
        <f t="shared" si="1528"/>
        <v>0</v>
      </c>
      <c r="BR769" s="107">
        <f t="shared" si="1528"/>
        <v>0</v>
      </c>
      <c r="BS769" s="463">
        <f>IF($B769="LOSS",IF(AND($K769=BS$3,$C769="L"),-$O769,0)+IF(AND($K770=BS$3,$C770="L"),-$O770,0)+IF(AND($K771=BS$3,$C771="L"),-$O771,0),IF(OR(AND($K769=BS$3,OR($C769="W",$C769="1/2W")),AND($K770=BS$3,OR($C770="W",$C770="1/2W")),AND($K771=BS$3,OR($C771="W",$C771="1/2W"))),$S769,0))</f>
        <v>0</v>
      </c>
      <c r="BT769" s="462">
        <f>IF($B769="LOSS",IF(AND($K769=BT$3,$C769="L"),-$O769,0)+IF(AND($K770=BT$3,$C770="L"),-$O770,0)+IF(AND($K770=BT$3,$C771="L"),-$O771,0),IF(OR(AND($K770=BT$3,OR($C769="W",$C769="1/2W")),AND($K770=BT$3,OR($C770="W",$C770="1/2W")),AND($K770=BT$3,OR($C771="W",$C771="1/2W"))),$S769,0))</f>
        <v>0</v>
      </c>
      <c r="BU769" s="462">
        <f>IF($B769="LOSS",IF(AND($K769=BU$3,$C769="L"),-$O769,0)+IF(AND($K770=BU$3,$C770="L"),-$O770,0)+IF(AND($K770=BU$3,$C771="L"),-$O771,0),IF(OR(AND($K770=BU$3,OR($C769="W",$C769="1/2W")),AND($K770=BU$3,OR($C770="W",$C770="1/2W")),AND($K770=BU$3,OR($C771="W",$C771="1/2W"))),$S769,0))</f>
        <v>0</v>
      </c>
      <c r="BV769" s="462">
        <f t="shared" ref="BV769:CE769" si="1535">IF($B769="LOSS",IF(AND($K769=BV$3,$C769="L"),-$O769,0)+IF(AND($K770=BV$3,$C770="L"),-$O770,0)+IF(AND($K771=BV$3,$C771="L"),-$O771,0),IF(OR(AND($K769=BV$3,OR($C769="W",$C769="1/2W")),AND($K770=BV$3,OR($C770="W",$C770="1/2W")),AND($K771=BV$3,OR($C771="W",$C771="1/2W"))),$S769,0))</f>
        <v>0</v>
      </c>
      <c r="BW769" s="462">
        <f t="shared" si="1535"/>
        <v>1.24</v>
      </c>
      <c r="BX769" s="462">
        <f t="shared" si="1535"/>
        <v>0</v>
      </c>
      <c r="BY769" s="462">
        <f t="shared" si="1535"/>
        <v>0</v>
      </c>
      <c r="BZ769" s="460">
        <f t="shared" si="1535"/>
        <v>0</v>
      </c>
      <c r="CA769" s="460">
        <f t="shared" si="1535"/>
        <v>0</v>
      </c>
      <c r="CB769" s="460">
        <f t="shared" si="1535"/>
        <v>0</v>
      </c>
      <c r="CC769" s="460">
        <f t="shared" si="1535"/>
        <v>0</v>
      </c>
      <c r="CD769" s="473">
        <f t="shared" si="1535"/>
        <v>0</v>
      </c>
      <c r="CE769" s="479">
        <f t="shared" si="1535"/>
        <v>0</v>
      </c>
      <c r="CF769" s="113">
        <f t="shared" si="1412"/>
        <v>0</v>
      </c>
      <c r="CG769" s="114">
        <f t="shared" si="1413"/>
        <v>1</v>
      </c>
      <c r="CH769" s="114">
        <f t="shared" si="1414"/>
        <v>0</v>
      </c>
      <c r="CI769" s="114">
        <f t="shared" si="1415"/>
        <v>0</v>
      </c>
      <c r="CJ769" s="114">
        <f t="shared" si="1416"/>
        <v>0</v>
      </c>
      <c r="CK769" s="114">
        <f t="shared" si="1417"/>
        <v>0</v>
      </c>
      <c r="CL769" s="114">
        <f t="shared" si="1418"/>
        <v>0</v>
      </c>
      <c r="CM769" s="114">
        <f t="shared" si="1419"/>
        <v>0</v>
      </c>
      <c r="CN769" s="114">
        <f t="shared" si="1420"/>
        <v>0</v>
      </c>
      <c r="CO769" s="114">
        <f t="shared" si="1421"/>
        <v>0</v>
      </c>
      <c r="CP769" s="114">
        <f t="shared" si="1422"/>
        <v>0</v>
      </c>
      <c r="CQ769" s="114">
        <f t="shared" si="1423"/>
        <v>0</v>
      </c>
      <c r="CR769" s="114">
        <f t="shared" si="1424"/>
        <v>0</v>
      </c>
      <c r="CS769" s="114">
        <f t="shared" si="1425"/>
        <v>0</v>
      </c>
      <c r="CT769" s="115">
        <f t="shared" si="1426"/>
        <v>0</v>
      </c>
      <c r="CU769" s="116">
        <f t="shared" si="1427"/>
        <v>0</v>
      </c>
      <c r="CV769" s="116">
        <f t="shared" si="1428"/>
        <v>0</v>
      </c>
      <c r="CW769" s="116">
        <f t="shared" si="1429"/>
        <v>0</v>
      </c>
      <c r="CX769" s="116">
        <f t="shared" si="1430"/>
        <v>0</v>
      </c>
      <c r="CY769" s="116">
        <f t="shared" si="1431"/>
        <v>0</v>
      </c>
      <c r="CZ769" s="116">
        <f t="shared" si="1432"/>
        <v>0</v>
      </c>
      <c r="DA769" s="116">
        <f t="shared" si="1433"/>
        <v>0</v>
      </c>
      <c r="DB769" s="116">
        <f t="shared" si="1434"/>
        <v>0</v>
      </c>
      <c r="DC769" s="116">
        <f t="shared" si="1435"/>
        <v>0</v>
      </c>
      <c r="DD769" s="116">
        <f t="shared" si="1436"/>
        <v>0</v>
      </c>
      <c r="DE769" s="117">
        <f t="shared" si="1437"/>
        <v>0</v>
      </c>
      <c r="DF769" s="118">
        <f t="shared" si="1440"/>
        <v>43</v>
      </c>
      <c r="DG769" s="106">
        <f t="shared" si="1441"/>
        <v>57.167999999999992</v>
      </c>
      <c r="DH769" s="116">
        <f t="shared" si="1442"/>
        <v>16</v>
      </c>
      <c r="DI769" s="106">
        <f t="shared" si="1443"/>
        <v>68.699999999999989</v>
      </c>
      <c r="DJ769" s="201" t="str">
        <f>IF($D769="","",$D769)</f>
        <v>27</v>
      </c>
      <c r="DK769" s="465">
        <f>IF(AND($B769=" ",$D769&lt;&gt;""),1,0)</f>
        <v>0</v>
      </c>
    </row>
    <row r="770" spans="1:115" ht="14.5" customHeight="1" x14ac:dyDescent="0.2">
      <c r="A770" s="389"/>
      <c r="B770" s="456"/>
      <c r="C770" s="120" t="s">
        <v>54</v>
      </c>
      <c r="D770" s="374"/>
      <c r="E770" s="386"/>
      <c r="F770" s="377"/>
      <c r="G770" s="483"/>
      <c r="H770" s="476"/>
      <c r="I770" s="178">
        <v>1</v>
      </c>
      <c r="J770" s="179" t="str">
        <f>IF(OR(I769="TO",I769="TU",I769="TO1",I769="TU1",I769="TO2",I769="TU2"),J769,IF(OR(I769="AH1",I769="AH2"),IF(OR(I770="AH1",I770="AH2"),-J769,IF(OR(I770="EH1",I770="EH2"),-J769+0.5,"")),IF(OR(I769="EH1",I769="EH2"),IF(OR(I770="AH1",I770="AH2"),-J769+0.5,IF(OR(I770="EH1",I770="EH2"),-J769+1,"")),IF(AND(OR(I769="DNB1",I769="DNB2"),OR(I770="AH1",I770="AH2")),0,IF(AND(I769="Not ScoreBoth",OR(I770="TO1",I770="TO2")),0.5,"")))))</f>
        <v/>
      </c>
      <c r="K770" s="123" t="s">
        <v>40</v>
      </c>
      <c r="L770" s="124">
        <v>2.2000000000000002</v>
      </c>
      <c r="M770" s="125"/>
      <c r="N770" s="406"/>
      <c r="O770" s="126">
        <f>IF(OR(AE769="",AE770=""),"",ROUND(IF(L771&gt;0,IF(M770&gt;0,M770,IF(M769&gt;0,IF(N769=TRUE,ROUND((M769*AE770)/AE769,0),(M769*AE770)/AE769),IF(M770&gt;0,ROUND(M770,IF(N769=0,2,IF(N769=0.1,1,0))),IF(M771&gt;0,ROUND(O771*AE770/AE771,IF(N769=0,2,IF(N769=0.1,1,0))),0)))),IF(M770&gt;0,M770,ROUND((M769*AE770)/AE769,IF(N769=0,2,IF(N769=0.1,1,0))))),2))</f>
        <v>12.7</v>
      </c>
      <c r="P770" s="127">
        <f>IF(OR(L770="",O770=""),"",IF($C770="1/2W",O770/2+O770/2*L770,IF($C770="1/2L",O770/2,IF(I770="Lay",((O770*(L770/(L770-1)))-O770)*(1-_xlfn.XLOOKUP(K770,'Fevereiro 2023 - Valor Real'!A3:A15,'Fevereiro 2023 - Valor Real'!C3:C15,0))+O770,(O770*L770-O770)*(1-_xlfn.XLOOKUP(K770,'Fevereiro 2023 - Valor Real'!A3:A15,'Fevereiro 2023 - Valor Real'!C3:C15,0))+O770))))</f>
        <v>27.94</v>
      </c>
      <c r="Q770" s="128">
        <f>IF(K770="","",IF(_xlfn.XLOOKUP(K770,K$4:K769,$DJ$4:DJ769,0,,-1)=DJ770,_xlfn.XLOOKUP(K770,K$4:K769,Q$4:Q769,1,,-1)+1,1))</f>
        <v>3</v>
      </c>
      <c r="R770" s="129">
        <f>IF(K770="","",_xlfn.XLOOKUP(K770,K$4:K769,R$4:R769,0,,-1)+IF($C770=" ",1,0))</f>
        <v>0</v>
      </c>
      <c r="S770" s="403"/>
      <c r="T770" s="380"/>
      <c r="U770" s="380"/>
      <c r="V770" s="481"/>
      <c r="W770" s="380"/>
      <c r="X770" s="452"/>
      <c r="Y770" s="383"/>
      <c r="Z770" s="384"/>
      <c r="AA770" s="384"/>
      <c r="AB770" s="384"/>
      <c r="AC770" s="384"/>
      <c r="AD770" s="130">
        <f>(((L770/(L770-1)-1)*(1-_xlfn.XLOOKUP(K770,'Fevereiro 2023 - Valor Real'!A3:A15,'Fevereiro 2023 - Valor Real'!C3:C15,0))+1))</f>
        <v>1.8333333333333333</v>
      </c>
      <c r="AE770" s="131">
        <f>IF(L770="","",IF(L771&gt;0,(SUM(((L769-1)*(1-_xlfn.XLOOKUP(K769,'Fevereiro 2023 - Valor Real'!A3:A15,'Fevereiro 2023 - Valor Real'!C3:C15,0))+1),((L770-1)*(1-_xlfn.XLOOKUP(K770,'Fevereiro 2023 - Valor Real'!A3:A15,'Fevereiro 2023 - Valor Real'!C3:C15,0))+1),((L771-1)*(1-_xlfn.XLOOKUP(K771,'Fevereiro 2023 - Valor Real'!A3:A15,'Fevereiro 2023 - Valor Real'!C3:C15,0))+1))/((L770-1)*(1-_xlfn.XLOOKUP(K770,'Fevereiro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Real'!C3:C15,0))+1))/((L769-1)*(1-_xlfn.XLOOKUP(K769,'Fevereiro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Real'!C3:C15,0))+1))/((L770-1)*(1-_xlfn.XLOOKUP(K770,'Fevereiro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Real'!C3:C15,0))+1))/((L771-1)*(1-_xlfn.XLOOKUP(K771,'Fevereiro 2023 - Valor Real'!A3:A15,'Fevereiro 2023 - Valor Real'!C3:C15,0))+1)),IF(I770="Lay",IF(I769="Lay",((L769/(L769-1)-1)*(1-_xlfn.XLOOKUP(K769,'Fevereiro 2023 - Valor Real'!A3:A15,'Fevereiro 2023 - Valor Real'!C3:C15,0))+1)/(((L769/(L769-1)-1)*(1-_xlfn.XLOOKUP(K769,'Fevereiro 2023 - Valor Real'!A3:A15,'Fevereiro 2023 - Valor Real'!C3:C15,0))+1)+((L770/(L770-1)-1)*(1-_xlfn.XLOOKUP(K770,'Fevereiro 2023 - Valor Real'!A3:A15,'Fevereiro 2023 - Valor Real'!C3:C15,0))+1)),((L769-1)*(1-_xlfn.XLOOKUP(K769,'Fevereiro 2023 - Valor Real'!A3:A15,'Fevereiro 2023 - Valor Real'!C3:C15,0))+1)/(((L769-1)*(1-_xlfn.XLOOKUP(K769,'Fevereiro 2023 - Valor Real'!A3:A15,'Fevereiro 2023 - Valor Real'!C3:C15,0))+1)+((L770/(L770-1)-1)*(1-_xlfn.XLOOKUP(K770,'Fevereiro 2023 - Valor Real'!A3:A15,'Fevereiro 2023 - Valor Real'!C3:C15,0))+1))),IF(I769="Lay",((L769/(L769-1)-1)*(1-_xlfn.XLOOKUP(K769,'Fevereiro 2023 - Valor Real'!A3:A15,'Fevereiro 2023 - Valor Real'!C3:C15,0))+1)/((((L769/(L769-1)-1)*(1-_xlfn.XLOOKUP(K769,'Fevereiro 2023 - Valor Real'!A3:A15,'Fevereiro 2023 - Valor Real'!C3:C15,0))+1))+((L770-1)*(1-_xlfn.XLOOKUP(K770,'Fevereiro 2023 - Valor Real'!A3:A15,'Fevereiro 2023 - Valor Real'!C3:C15,0))+1)),((L769-1)*(1-_xlfn.XLOOKUP(K769,'Fevereiro 2023 - Valor Real'!A3:A15,'Fevereiro 2023 - Valor Real'!C3:C15,0))+1)/(((L769-1)*(1-_xlfn.XLOOKUP(K769,'Fevereiro 2023 - Valor Real'!A3:A15,'Fevereiro 2023 - Valor Real'!C3:C15,0))+1)+((L770-1)*(1-_xlfn.XLOOKUP(K770,'Fevereiro 2023 - Valor Real'!A3:A15,'Fevereiro 2023 - Valor Real'!C3:C15,0))+1))))))</f>
        <v>0.47619047619047616</v>
      </c>
      <c r="AF770" s="105">
        <f t="shared" si="1526"/>
        <v>0</v>
      </c>
      <c r="AG770" s="106">
        <f t="shared" si="1526"/>
        <v>0</v>
      </c>
      <c r="AH770" s="106">
        <f t="shared" si="1526"/>
        <v>0</v>
      </c>
      <c r="AI770" s="106">
        <f t="shared" si="1526"/>
        <v>0</v>
      </c>
      <c r="AJ770" s="106">
        <f t="shared" si="1526"/>
        <v>15.24</v>
      </c>
      <c r="AK770" s="106">
        <f t="shared" si="1526"/>
        <v>0</v>
      </c>
      <c r="AL770" s="106">
        <f t="shared" si="1526"/>
        <v>0</v>
      </c>
      <c r="AM770" s="106">
        <f t="shared" si="1526"/>
        <v>0</v>
      </c>
      <c r="AN770" s="106">
        <f t="shared" si="1526"/>
        <v>0</v>
      </c>
      <c r="AO770" s="106">
        <f t="shared" si="1526"/>
        <v>0</v>
      </c>
      <c r="AP770" s="106">
        <f t="shared" si="1526"/>
        <v>0</v>
      </c>
      <c r="AQ770" s="106">
        <f t="shared" si="1526"/>
        <v>0</v>
      </c>
      <c r="AR770" s="107">
        <f t="shared" si="1526"/>
        <v>0</v>
      </c>
      <c r="AS770" s="105">
        <f>IF(AND($B769=" ",$K770=AS$3),$O770,0)</f>
        <v>0</v>
      </c>
      <c r="AT770" s="106">
        <f>IF(AND($B769=" ",K770=AT$3),$O770,0)</f>
        <v>0</v>
      </c>
      <c r="AU770" s="106">
        <f t="shared" ref="AU770:BE770" si="1536">IF(AND($B769=" ",$K770=AU$3),$O770,0)</f>
        <v>0</v>
      </c>
      <c r="AV770" s="106">
        <f t="shared" si="1536"/>
        <v>0</v>
      </c>
      <c r="AW770" s="106">
        <f t="shared" si="1536"/>
        <v>0</v>
      </c>
      <c r="AX770" s="106">
        <f t="shared" si="1536"/>
        <v>0</v>
      </c>
      <c r="AY770" s="108">
        <f t="shared" si="1536"/>
        <v>0</v>
      </c>
      <c r="AZ770" s="109">
        <f t="shared" si="1536"/>
        <v>0</v>
      </c>
      <c r="BA770" s="109">
        <f t="shared" si="1536"/>
        <v>0</v>
      </c>
      <c r="BB770" s="109">
        <f t="shared" si="1536"/>
        <v>0</v>
      </c>
      <c r="BC770" s="110">
        <f t="shared" si="1536"/>
        <v>0</v>
      </c>
      <c r="BD770" s="106">
        <f t="shared" si="1536"/>
        <v>0</v>
      </c>
      <c r="BE770" s="107">
        <f t="shared" si="1536"/>
        <v>0</v>
      </c>
      <c r="BF770" s="105">
        <f t="shared" si="1528"/>
        <v>0</v>
      </c>
      <c r="BG770" s="106">
        <f t="shared" si="1528"/>
        <v>0</v>
      </c>
      <c r="BH770" s="106">
        <f t="shared" si="1528"/>
        <v>0</v>
      </c>
      <c r="BI770" s="106">
        <f t="shared" si="1528"/>
        <v>0</v>
      </c>
      <c r="BJ770" s="106">
        <f t="shared" si="1528"/>
        <v>12.7</v>
      </c>
      <c r="BK770" s="106">
        <f t="shared" si="1528"/>
        <v>0</v>
      </c>
      <c r="BL770" s="106">
        <f t="shared" si="1528"/>
        <v>0</v>
      </c>
      <c r="BM770" s="132">
        <f t="shared" si="1528"/>
        <v>0</v>
      </c>
      <c r="BN770" s="112">
        <f t="shared" si="1528"/>
        <v>0</v>
      </c>
      <c r="BO770" s="112">
        <f t="shared" si="1528"/>
        <v>0</v>
      </c>
      <c r="BP770" s="112">
        <f t="shared" si="1528"/>
        <v>0</v>
      </c>
      <c r="BQ770" s="110">
        <f t="shared" si="1528"/>
        <v>0</v>
      </c>
      <c r="BR770" s="107">
        <f t="shared" si="1528"/>
        <v>0</v>
      </c>
      <c r="BS770" s="464"/>
      <c r="BT770" s="461"/>
      <c r="BU770" s="392"/>
      <c r="BV770" s="461"/>
      <c r="BW770" s="392"/>
      <c r="BX770" s="392"/>
      <c r="BY770" s="392"/>
      <c r="BZ770" s="461"/>
      <c r="CA770" s="392"/>
      <c r="CB770" s="392"/>
      <c r="CC770" s="392"/>
      <c r="CD770" s="401"/>
      <c r="CE770" s="409"/>
      <c r="CF770" s="133">
        <f t="shared" si="1412"/>
        <v>0</v>
      </c>
      <c r="CG770" s="134">
        <f t="shared" si="1413"/>
        <v>0</v>
      </c>
      <c r="CH770" s="134">
        <f t="shared" si="1414"/>
        <v>0</v>
      </c>
      <c r="CI770" s="134">
        <f t="shared" si="1415"/>
        <v>0</v>
      </c>
      <c r="CJ770" s="134">
        <f t="shared" si="1416"/>
        <v>0</v>
      </c>
      <c r="CK770" s="134">
        <f t="shared" si="1417"/>
        <v>0</v>
      </c>
      <c r="CL770" s="134">
        <f t="shared" si="1418"/>
        <v>0</v>
      </c>
      <c r="CM770" s="134">
        <f t="shared" si="1419"/>
        <v>0</v>
      </c>
      <c r="CN770" s="134">
        <f t="shared" si="1420"/>
        <v>1</v>
      </c>
      <c r="CO770" s="134">
        <f t="shared" si="1421"/>
        <v>0</v>
      </c>
      <c r="CP770" s="134">
        <f t="shared" si="1422"/>
        <v>0</v>
      </c>
      <c r="CQ770" s="134">
        <f t="shared" si="1423"/>
        <v>0</v>
      </c>
      <c r="CR770" s="134">
        <f t="shared" si="1424"/>
        <v>0</v>
      </c>
      <c r="CS770" s="134">
        <f t="shared" si="1425"/>
        <v>0</v>
      </c>
      <c r="CT770" s="115">
        <f t="shared" si="1426"/>
        <v>0</v>
      </c>
      <c r="CU770" s="116">
        <f t="shared" si="1427"/>
        <v>0</v>
      </c>
      <c r="CV770" s="116">
        <f t="shared" si="1428"/>
        <v>0</v>
      </c>
      <c r="CW770" s="116">
        <f t="shared" si="1429"/>
        <v>0</v>
      </c>
      <c r="CX770" s="116">
        <f t="shared" si="1430"/>
        <v>0</v>
      </c>
      <c r="CY770" s="116">
        <f t="shared" si="1431"/>
        <v>0</v>
      </c>
      <c r="CZ770" s="116">
        <f t="shared" si="1432"/>
        <v>0</v>
      </c>
      <c r="DA770" s="116">
        <f t="shared" si="1433"/>
        <v>0</v>
      </c>
      <c r="DB770" s="116">
        <f t="shared" si="1434"/>
        <v>0</v>
      </c>
      <c r="DC770" s="116">
        <f t="shared" si="1435"/>
        <v>0</v>
      </c>
      <c r="DD770" s="116">
        <f t="shared" si="1436"/>
        <v>0</v>
      </c>
      <c r="DE770" s="117">
        <f t="shared" si="1437"/>
        <v>0</v>
      </c>
      <c r="DF770" s="118">
        <f t="shared" si="1440"/>
        <v>43</v>
      </c>
      <c r="DG770" s="106">
        <f t="shared" si="1441"/>
        <v>57.167999999999992</v>
      </c>
      <c r="DH770" s="116">
        <f t="shared" si="1442"/>
        <v>16</v>
      </c>
      <c r="DI770" s="106">
        <f t="shared" si="1443"/>
        <v>68.699999999999989</v>
      </c>
      <c r="DJ770" s="201" t="str">
        <f>IF($D769="","",$D769)</f>
        <v>27</v>
      </c>
      <c r="DK770" s="466"/>
    </row>
    <row r="771" spans="1:115" ht="14.5" customHeight="1" x14ac:dyDescent="0.2">
      <c r="A771" s="390"/>
      <c r="B771" s="457"/>
      <c r="C771" s="135" t="s">
        <v>53</v>
      </c>
      <c r="D771" s="375"/>
      <c r="E771" s="387"/>
      <c r="F771" s="378"/>
      <c r="G771" s="484"/>
      <c r="H771" s="477"/>
      <c r="I771" s="136"/>
      <c r="J771" s="137"/>
      <c r="K771" s="138"/>
      <c r="L771" s="139"/>
      <c r="M771" s="140"/>
      <c r="N771" s="407"/>
      <c r="O771" s="141" t="str">
        <f>IF(OR(AE769="",AE770=""),"",IF(L771&gt;0,ROUND(IF(M771&gt;0,M771,IF(M769&gt;0,ROUND((M769*AE771)/AE769,IF(N769=0,2,IF(N769=0.1,1,0))),IF(M770&gt;0,ROUND((M770*AE771)/AE770,IF(N769=0,2,IF(N769=0.1,1,0))),IF(M771&gt;0,M771,0)))),2),""))</f>
        <v/>
      </c>
      <c r="P771" s="142" t="str">
        <f>IF(I770="Lay",O770*(L770/(L770-1))-O770,IF(I769="Lay",O769*(L769/(L769-1))-O769,IF(OR(L771="",O771=""),"",IF($C771="1/2W",O771/2+O771/2*L771,IF($C771="1/2L",O771/2,(O771*L771-O771)*(1-_xlfn.XLOOKUP(K771,'Fevereiro 2023 - Valor Real'!A3:A15,'Fevereiro 2023 - Valor Real'!C3:C15,0))+O771)))))</f>
        <v/>
      </c>
      <c r="Q771" s="221" t="str">
        <f>IF(K771="","",IF(_xlfn.XLOOKUP(K771,K$4:K770,$DJ$4:DJ770,0,,-1)=DJ771,_xlfn.XLOOKUP(K771,K$4:K770,Q$4:Q770,1,,-1)+1,1))</f>
        <v/>
      </c>
      <c r="R771" s="144" t="str">
        <f>IF(K771="","",_xlfn.XLOOKUP(K771,K$4:K770,R$4:R770,0,,-1)+IF($C771=" ",1,0))</f>
        <v/>
      </c>
      <c r="S771" s="404"/>
      <c r="T771" s="378"/>
      <c r="U771" s="378"/>
      <c r="V771" s="404"/>
      <c r="W771" s="378"/>
      <c r="X771" s="453"/>
      <c r="Y771" s="383"/>
      <c r="Z771" s="384"/>
      <c r="AA771" s="384"/>
      <c r="AB771" s="384"/>
      <c r="AC771" s="384"/>
      <c r="AD771" s="145">
        <f>((L770/(L770-1)-1))</f>
        <v>0.83333333333333326</v>
      </c>
      <c r="AE771" s="146" t="str">
        <f>IF(L771="","",(SUM(((L769-1)*(1-_xlfn.XLOOKUP(K769,'Fevereiro 2023 - Valor Real'!A3:A15,'Fevereiro 2023 - Valor Real'!C3:C15,0))+1),((L770-1)*(1-_xlfn.XLOOKUP(K770,'Fevereiro 2023 - Valor Real'!A3:A15,'Fevereiro 2023 - Valor Real'!C3:C15,0))+1),((L771-1)*(1-_xlfn.XLOOKUP(K771,'Fevereiro 2023 - Valor Real'!A3:A15,'Fevereiro 2023 - Valor Real'!C3:C15,0))+1))/((L771-1)*(1-_xlfn.XLOOKUP(K771,'Fevereiro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Real'!C3:C15,0))+1))/((L769-1)*(1-_xlfn.XLOOKUP(K769,'Fevereiro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Real'!C3:C15,0))+1))/((L770-1)*(1-_xlfn.XLOOKUP(K770,'Fevereiro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Real'!C3:C15,0))+1))/((L771-1)*(1-_xlfn.XLOOKUP(K771,'Fevereiro 2023 - Valor Real'!A3:A15,'Fevereiro 2023 - Valor Real'!C3:C15,0))+1)))</f>
        <v/>
      </c>
      <c r="AF771" s="105">
        <f t="shared" si="1526"/>
        <v>0</v>
      </c>
      <c r="AG771" s="106">
        <f t="shared" si="1526"/>
        <v>0</v>
      </c>
      <c r="AH771" s="106">
        <f t="shared" si="1526"/>
        <v>0</v>
      </c>
      <c r="AI771" s="106">
        <f t="shared" si="1526"/>
        <v>0</v>
      </c>
      <c r="AJ771" s="106">
        <f t="shared" si="1526"/>
        <v>0</v>
      </c>
      <c r="AK771" s="106">
        <f t="shared" si="1526"/>
        <v>0</v>
      </c>
      <c r="AL771" s="106">
        <f t="shared" si="1526"/>
        <v>0</v>
      </c>
      <c r="AM771" s="106">
        <f t="shared" si="1526"/>
        <v>0</v>
      </c>
      <c r="AN771" s="106">
        <f t="shared" si="1526"/>
        <v>0</v>
      </c>
      <c r="AO771" s="106">
        <f t="shared" si="1526"/>
        <v>0</v>
      </c>
      <c r="AP771" s="106">
        <f t="shared" si="1526"/>
        <v>0</v>
      </c>
      <c r="AQ771" s="106">
        <f t="shared" si="1526"/>
        <v>0</v>
      </c>
      <c r="AR771" s="107">
        <f t="shared" si="1526"/>
        <v>0</v>
      </c>
      <c r="AS771" s="105">
        <f>IF(AND($B769=" ",$K771=AS$3),$O771,0)</f>
        <v>0</v>
      </c>
      <c r="AT771" s="106">
        <f>IF(AND($B769=" ",K771=AT$3),$O771,0)</f>
        <v>0</v>
      </c>
      <c r="AU771" s="106">
        <f t="shared" ref="AU771:BE771" si="1537">IF(AND($B769=" ",$K771=AU$3),$O771,0)</f>
        <v>0</v>
      </c>
      <c r="AV771" s="106">
        <f t="shared" si="1537"/>
        <v>0</v>
      </c>
      <c r="AW771" s="106">
        <f t="shared" si="1537"/>
        <v>0</v>
      </c>
      <c r="AX771" s="106">
        <f t="shared" si="1537"/>
        <v>0</v>
      </c>
      <c r="AY771" s="108">
        <f t="shared" si="1537"/>
        <v>0</v>
      </c>
      <c r="AZ771" s="109">
        <f t="shared" si="1537"/>
        <v>0</v>
      </c>
      <c r="BA771" s="109">
        <f t="shared" si="1537"/>
        <v>0</v>
      </c>
      <c r="BB771" s="109">
        <f t="shared" si="1537"/>
        <v>0</v>
      </c>
      <c r="BC771" s="110">
        <f t="shared" si="1537"/>
        <v>0</v>
      </c>
      <c r="BD771" s="106">
        <f t="shared" si="1537"/>
        <v>0</v>
      </c>
      <c r="BE771" s="107">
        <f t="shared" si="1537"/>
        <v>0</v>
      </c>
      <c r="BF771" s="105">
        <f t="shared" si="1528"/>
        <v>0</v>
      </c>
      <c r="BG771" s="106">
        <f t="shared" si="1528"/>
        <v>0</v>
      </c>
      <c r="BH771" s="106">
        <f t="shared" si="1528"/>
        <v>0</v>
      </c>
      <c r="BI771" s="106">
        <f t="shared" si="1528"/>
        <v>0</v>
      </c>
      <c r="BJ771" s="106">
        <f t="shared" si="1528"/>
        <v>0</v>
      </c>
      <c r="BK771" s="106">
        <f t="shared" si="1528"/>
        <v>0</v>
      </c>
      <c r="BL771" s="106">
        <f t="shared" si="1528"/>
        <v>0</v>
      </c>
      <c r="BM771" s="108">
        <f t="shared" si="1528"/>
        <v>0</v>
      </c>
      <c r="BN771" s="109">
        <f t="shared" si="1528"/>
        <v>0</v>
      </c>
      <c r="BO771" s="109">
        <f t="shared" si="1528"/>
        <v>0</v>
      </c>
      <c r="BP771" s="109">
        <f t="shared" si="1528"/>
        <v>0</v>
      </c>
      <c r="BQ771" s="110">
        <f t="shared" si="1528"/>
        <v>0</v>
      </c>
      <c r="BR771" s="107">
        <f t="shared" si="1528"/>
        <v>0</v>
      </c>
      <c r="BS771" s="464"/>
      <c r="BT771" s="461"/>
      <c r="BU771" s="392"/>
      <c r="BV771" s="461"/>
      <c r="BW771" s="392"/>
      <c r="BX771" s="392"/>
      <c r="BY771" s="392"/>
      <c r="BZ771" s="461"/>
      <c r="CA771" s="392"/>
      <c r="CB771" s="392"/>
      <c r="CC771" s="392"/>
      <c r="CD771" s="401"/>
      <c r="CE771" s="409"/>
      <c r="CF771" s="133">
        <f t="shared" si="1412"/>
        <v>0</v>
      </c>
      <c r="CG771" s="134">
        <f t="shared" si="1413"/>
        <v>0</v>
      </c>
      <c r="CH771" s="134">
        <f t="shared" si="1414"/>
        <v>0</v>
      </c>
      <c r="CI771" s="134">
        <f t="shared" si="1415"/>
        <v>0</v>
      </c>
      <c r="CJ771" s="134">
        <f t="shared" si="1416"/>
        <v>0</v>
      </c>
      <c r="CK771" s="134">
        <f t="shared" si="1417"/>
        <v>0</v>
      </c>
      <c r="CL771" s="134">
        <f t="shared" si="1418"/>
        <v>0</v>
      </c>
      <c r="CM771" s="134">
        <f t="shared" si="1419"/>
        <v>0</v>
      </c>
      <c r="CN771" s="134">
        <f t="shared" si="1420"/>
        <v>0</v>
      </c>
      <c r="CO771" s="134">
        <f t="shared" si="1421"/>
        <v>0</v>
      </c>
      <c r="CP771" s="134">
        <f t="shared" si="1422"/>
        <v>0</v>
      </c>
      <c r="CQ771" s="134">
        <f t="shared" si="1423"/>
        <v>0</v>
      </c>
      <c r="CR771" s="134">
        <f t="shared" si="1424"/>
        <v>0</v>
      </c>
      <c r="CS771" s="134">
        <f t="shared" si="1425"/>
        <v>0</v>
      </c>
      <c r="CT771" s="115">
        <f t="shared" si="1426"/>
        <v>0</v>
      </c>
      <c r="CU771" s="116">
        <f t="shared" si="1427"/>
        <v>0</v>
      </c>
      <c r="CV771" s="116">
        <f t="shared" si="1428"/>
        <v>0</v>
      </c>
      <c r="CW771" s="116">
        <f t="shared" si="1429"/>
        <v>0</v>
      </c>
      <c r="CX771" s="116">
        <f t="shared" si="1430"/>
        <v>0</v>
      </c>
      <c r="CY771" s="116">
        <f t="shared" si="1431"/>
        <v>0</v>
      </c>
      <c r="CZ771" s="116">
        <f t="shared" si="1432"/>
        <v>0</v>
      </c>
      <c r="DA771" s="116">
        <f t="shared" si="1433"/>
        <v>0</v>
      </c>
      <c r="DB771" s="116">
        <f t="shared" si="1434"/>
        <v>0</v>
      </c>
      <c r="DC771" s="116">
        <f t="shared" si="1435"/>
        <v>0</v>
      </c>
      <c r="DD771" s="116">
        <f t="shared" si="1436"/>
        <v>0</v>
      </c>
      <c r="DE771" s="117">
        <f t="shared" si="1437"/>
        <v>0</v>
      </c>
      <c r="DF771" s="118">
        <f t="shared" si="1440"/>
        <v>43</v>
      </c>
      <c r="DG771" s="106">
        <f t="shared" si="1441"/>
        <v>57.167999999999992</v>
      </c>
      <c r="DH771" s="116">
        <f t="shared" si="1442"/>
        <v>16</v>
      </c>
      <c r="DI771" s="106">
        <f t="shared" si="1443"/>
        <v>68.699999999999989</v>
      </c>
      <c r="DJ771" s="201" t="str">
        <f>IF($D769="","",$D769)</f>
        <v>27</v>
      </c>
      <c r="DK771" s="466"/>
    </row>
    <row r="772" spans="1:115" ht="14.5" customHeight="1" x14ac:dyDescent="0.2">
      <c r="A772" s="487">
        <f>$A769+1</f>
        <v>257</v>
      </c>
      <c r="B772" s="506" t="str">
        <f>IF(OR(C772="W",C773="W",C774="W",C772="1/2W",C773="1/2W",C774="1/2W",C772="1/2L",C773="1/2L",C774="1/2L"),"OK",IF(OR(C772="L",C773="L",C774="L"),"LOSS",IF(OR(C772="X",C773="X",C774="X"),"Anulado"," ")))</f>
        <v>OK</v>
      </c>
      <c r="C772" s="147" t="s">
        <v>55</v>
      </c>
      <c r="D772" s="494" t="str">
        <f>IF(G772="","",$D769)</f>
        <v>27</v>
      </c>
      <c r="E772" s="511" t="str">
        <f>IF(G772=""," ","– "&amp;COUNTIF(D$4:D774,$D772))</f>
        <v>– 4</v>
      </c>
      <c r="F772" s="510" t="str">
        <f ca="1">IF(G772="","",IF(OR(AND($C772&lt;&gt;" ",$C773=" "),AND($C773&lt;&gt;" ",$C772=" "),AND(L774&gt;0,OR(AND($C774&lt;&gt;" ",OR($C772=" ",$C773=" ")),AND($C774=" ",OR($C772&lt;&gt;" ",$C773&lt;&gt;" "))))),IF(SUM(F$4:F771)=0,1,LARGE(F$4:F771,1)+1),IF(MONTH(G772)=MONTH(TODAY()),IF(AND(DAY(G772)&lt;DAY(TODAY()),$B772=" "),IF(SUM(F$4:F771)=0,1,LARGE(F$4:F771,1)+1),IF($B772=" ",IF(AND(DAY(G772)=DAY(TODAY()),HOUR(G772)&lt;=HOUR(NOW())+1),IF(AND(HOUR(G772)+2&lt;=HOUR(NOW()),DAY(G772)&lt;=DAY(TODAY()),MINUTE(G772)&lt;=MINUTE(NOW())),IF(SUM(F$4:F771)=0,1,LARGE(F$4:F771,1)+1),IF(OR(MINUTE(G772)&lt;=MINUTE(NOW()),HOUR(G772)&lt;=HOUR(NOW())),"!!!","")),""),"")),"")))</f>
        <v/>
      </c>
      <c r="G772" s="517">
        <f>IF(H772="","",_xlfn.XLOOKUP(H772,$H$4:H771,$G$4:G771,""))</f>
        <v>45012.416666666664</v>
      </c>
      <c r="H772" s="516" t="s">
        <v>265</v>
      </c>
      <c r="I772" s="222" t="s">
        <v>51</v>
      </c>
      <c r="J772" s="223">
        <v>1.5</v>
      </c>
      <c r="K772" s="224" t="s">
        <v>40</v>
      </c>
      <c r="L772" s="225">
        <v>3.25</v>
      </c>
      <c r="M772" s="226">
        <v>11.85</v>
      </c>
      <c r="N772" s="503">
        <v>0</v>
      </c>
      <c r="O772" s="153">
        <f>IF(OR(AE772="",AE773=""),"",ROUND(IF(L774&gt;0,IF(M772&gt;0,M772,IF(M773&gt;0,ROUND((M773*AE772)/AE773,IF(N772=0,2,IF(N772=0.1,1,0))),ROUND((M774*AE772)/AE774,IF(N772=0,2,IF(N772=0.1,1,0))))),IF(M772&gt;0,M772,ROUND((M773*AE772)/AE773,IF(N772=0,2,IF(N772=0.1,1,0))))),2))</f>
        <v>11.85</v>
      </c>
      <c r="P772" s="227">
        <f>IF(OR(L772="",O772=""),"",IF($C772="1/2W",O772/2+O772/2*L772,IF($C772="1/2L",O772/2,IF(I772="Lay",(O772*(L772/(L772-1))-O772)*(1-_xlfn.XLOOKUP(K772,'Fevereiro 2023 - Valor Real'!A3:A15,'Fevereiro 2023 - Valor Real'!C3:C15,0))+O772,(O772*L772-O772)*(1-_xlfn.XLOOKUP(K772,'Fevereiro 2023 - Valor Real'!A3:A15,'Fevereiro 2023 - Valor Real'!C3:C15,0))+O772))))</f>
        <v>38.512499999999996</v>
      </c>
      <c r="Q772" s="228">
        <f>IF(K772="","",IF(_xlfn.XLOOKUP(K772,K$4:K771,$DJ$4:DJ771,0,,-1)=DJ772,_xlfn.XLOOKUP(K772,K$4:K771,Q$4:Q771,1,,-1)+1,1))</f>
        <v>4</v>
      </c>
      <c r="R772" s="229">
        <f>IF(K772="","",_xlfn.XLOOKUP(K772,K$4:K771,R$4:R771,0,,-1)+IF($C772=" ",1,0))</f>
        <v>0</v>
      </c>
      <c r="S772" s="501">
        <f>IF($B772="Anulado",0,ROUND(IF(OR($B772="LOSS",$B772="OK"),IF(OR($C772="W",$C772="1/2W",$C772="1/2L"),P772-O772,IF($C772="L",-O772,0))+IF(OR($C773="W",$C773="1/2W",$C773="1/2L"),P773-O773,IF($C773="L",-O773,0))+IF(OR($C774="W",$C774="1/2W",$C774="1/2L"),P774-O774,IF($C774="L",-O774,0)),IF(AND(OR($C772="W",$C772="1/2W",$C772="1/2L"),C773="W"),P772+P773-SUM(O772:O774)+_xlfn.XLOOKUP("X",C772:C774,O772:O774,0),IF(AND(C772=TRUE,C774="W"),P772+P774-SUM(O772:O774),IF(AND(C773="W",C774="W"),P773+P774-SUM(O772:O774)+_xlfn.XLOOKUP("X",C772:C774,O772:O774,0),IF(L774&gt;0,IF(OR($C772="W",$C772="1/2W",$C772="1/2L"),P772-SUM(O772:O774)+_xlfn.XLOOKUP("X",C772:C774,O772:O774,0),IF(OR($C772="W",$C772="1/2W",$C772="1/2L"),P773-SUM(O772:O774)+_xlfn.XLOOKUP("X",C772:C774,O772:O774,0),IF(OR($C772="W",$C772="1/2W",$C772="1/2L"),P774-SUM(O772:O774)+_xlfn.XLOOKUP("X",C772:C774,O772:O774,0),IF(SUM(P772:P774)/3-SUM(O772:O774)+_xlfn.XLOOKUP("X",C772:C774,O772:O774,0)&gt;0,SUM(P772:P774)/3-SUM(O772:O774)+_xlfn.XLOOKUP("X",C772:C774,O772:O774,0),LARGE(P772:P774,1)-SUM(O772:O774))))),IF(OR($C772="W",$C772="1/2W",$C772="1/2L"),P772-SUM(O772:O773)+_xlfn.XLOOKUP("X",C772:C774,O772:O774,0),IF(OR($C772="W",$C772="1/2W",$C772="1/2L"),P773-SUM(O772:O773)+_xlfn.XLOOKUP("X",C772:C774,O772:O774,0),SUM(P772:P773)/2-SUM(O772:O773)+_xlfn.XLOOKUP("X",C772:C774,O772:O774,0)))))))),2))</f>
        <v>2.12</v>
      </c>
      <c r="T772" s="486">
        <f>IF(S772=0,0,S772/SUM(O772:O774))</f>
        <v>5.8321870701513068E-2</v>
      </c>
      <c r="U772" s="496">
        <f>IF($D772=$D769,IF(OR($B772="LOSS",$B772="OK",$B772="Anulada"),S772,0)+U769,IF(OR($B772="LOSS",$B772="OK",$B772="Anulada"),S772,0))</f>
        <v>6.8100000000000005</v>
      </c>
      <c r="V772" s="496">
        <f>IF($D772="",0,IF($D772=$D769,IF($B772=" ",IF(I774="",IF(OR(AND(I772="DNB1",I773="DNB2"),AND(OR(I772="DNB1",I772="DNB2"),J773=0),AND(OR(I773="DNB1",I773="DNB2"),J772=0),AND(I772="DNB2",I773="DNB1"),AND(IF(J772=0,(J772+1)/ROUND(J772+1,0),J772/ROUND(J772,0))=1,IF(J773=0,(J773+1)/ROUND(IF(J773="",0,J773)+1,0),IF(J773="",0,J773)/ROUND(IF(J773="",1,J773),0))=1,OR(J772&lt;&gt;""),J773&lt;&gt;"")),0,IF(S772&lt;0,IF(I774="",SMALL(P772:P773,1)-SUM(O772:O773),0),SMALL(P772:P773,1)-SUM(O772:O773))),IF(S772&lt;0,IF(I774="",SMALL(P772:P774,1)-SUM(O772:O774),0),LARGE(P772:P774,1)-SUM(O772:O774))),S772)+V769,IF(I774="",IF(OR(AND(I772="DNB1",I773="DNB2"),AND(OR(I772="DNB1",I772="DNB2"),J773=0),AND(OR(I773="DNB1",I773="DNB2"),J772=0),AND(I772="DNB2",I773="DNB1"),AND(IF(J772=0,(J772+1)/ROUND(J772+1,0),J772/ROUND(J772,0))=1,IF(J773=0,(IF(J773="",0,J773)+1)/ROUND(IF(J773="",0,J773)+1,0),IF(J773="",0,J773)/ROUND(IF(J773="",0,J773)+1,0))=1,OR(J772&lt;&gt;""),J773&lt;&gt;"")),0,IF(S772&lt;0,IF(I774="",SMALL(P772:P773,1)-SUM(O772:O773),0),SMALL(P772:P774,1)-SUM(O772:O774))),IF(S772&lt;0,IF(I774="",SMALL(P772:P774,1)-SUM(O772:O774),0),LARGE(P772:P774,1)-SUM(O772:O774)))))</f>
        <v>6.8099999999999969</v>
      </c>
      <c r="W772" s="496">
        <f>IF($D772=$D769,IF(S772&lt;0,IF(I774="",S772,0),S772)+W769,S772)</f>
        <v>6.8100000000000005</v>
      </c>
      <c r="X772" s="505" t="str">
        <f>IF(OR(SUM(R772:R774)=0,V772=W772),ROUND(IF(W772=0,0,W772/Y772)*100,2)&amp;"%",ROUND(IF(V772=0,0,V772/Y772)*100,2)&amp;"% a "&amp;ROUND(IF(W772=0,0,W772/Y772)*100,2)&amp;"%")</f>
        <v>5,63%</v>
      </c>
      <c r="Y772" s="497">
        <f>IF($D772=$D769,Y769+SUM(O772:O774),SUM(O772:O774))</f>
        <v>120.95000000000002</v>
      </c>
      <c r="Z772" s="496">
        <f>IF($B772=" ",SUM(O772:O774),0)+Z769</f>
        <v>0</v>
      </c>
      <c r="AA772" s="496">
        <f>IF(G772="","",IF($B772="Anulado",LARGE(P772:P774,1)-SUM(O772:O774)+AA769,AA769))</f>
        <v>13.381099999999991</v>
      </c>
      <c r="AB772" s="496">
        <f>IF($D772="","",AB769+S772)</f>
        <v>854.50000000000068</v>
      </c>
      <c r="AC772" s="499">
        <f ca="1">IF($D772="","",IF($B772=" ",IF(DAY(G772)=DAY(TODAY()),1+AC769,0+AC769),0+AC769))</f>
        <v>0</v>
      </c>
      <c r="AD772" s="157">
        <f>(((L773/(L773-1)-1)*(1-_xlfn.XLOOKUP(K773,'Fevereiro 2023 - Valor Real'!A3:A15,'Fevereiro 2023 - Valor Real'!C3:C15,0))+1))/(((L772-1)*(1-_xlfn.XLOOKUP(K772,'Fevereiro 2023 - Valor Real'!A3:A15,'Fevereiro 2023 - Valor Real'!C3:C15,0))+1)+((L773/(L773-1)-1)*(1-_xlfn.XLOOKUP(K773,'Fevereiro 2023 - Valor Real'!A3:A15,'Fevereiro 2023 - Valor Real'!C3:C15,0))+1))</f>
        <v>0.45872899926953975</v>
      </c>
      <c r="AE772" s="158">
        <f>IF(L772="","",IF(L774&gt;0,(SUM(((L772-1)*(1-_xlfn.XLOOKUP(K772,'Fevereiro 2023 - Valor Real'!A3:A15,'Fevereiro 2023 - Valor Real'!C3:C15,0))+1),((L773-1)*(1-_xlfn.XLOOKUP(K773,'Fevereiro 2023 - Valor Real'!A3:A15,'Fevereiro 2023 - Valor Real'!C3:C15,0))+1),((L774-1)*(1-_xlfn.XLOOKUP(K774,'Fevereiro 2023 - Valor Real'!A3:A15,'Fevereiro 2023 - Valor Real'!C3:C15,0))+1))/((L772-1)*(1-_xlfn.XLOOKUP(K772,'Fevereiro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Real'!C3:C15,0))+1))/((L772-1)*(1-_xlfn.XLOOKUP(K772,'Fevereiro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Real'!C3:C15,0))+1))/((L773-1)*(1-_xlfn.XLOOKUP(K773,'Fevereiro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Real'!C3:C15,0))+1))/((L774-1)*(1-_xlfn.XLOOKUP(K774,'Fevereiro 2023 - Valor Real'!A3:A15,'Fevereiro 2023 - Valor Real'!C3:C15,0))+1)),IF(I772="Lay",IF(I773="Lay",((L773/(L773-1)-1)*(1-_xlfn.XLOOKUP(K773,'Fevereiro 2023 - Valor Real'!A3:A15,'Fevereiro 2023 - Valor Real'!C3:C15,0))+1)/(((L773/(L773-1)-1)*(1-_xlfn.XLOOKUP(K773,'Fevereiro 2023 - Valor Real'!A3:A15,'Fevereiro 2023 - Valor Real'!C3:C15,0))+1)+((L772/(L772-1)-1)*(1-_xlfn.XLOOKUP(K772,'Fevereiro 2023 - Valor Real'!A3:A15,'Fevereiro 2023 - Valor Real'!C3:C15,0))+1)),((L773-1)*(1-_xlfn.XLOOKUP(K773,'Fevereiro 2023 - Valor Real'!A3:A15,'Fevereiro 2023 - Valor Real'!C3:C15,0))+1)/(((L773-1)*(1-_xlfn.XLOOKUP(K773,'Fevereiro 2023 - Valor Real'!A3:A15,'Fevereiro 2023 - Valor Real'!C3:C15,0))+1)+((L772/(L772-1)-1)*(1-_xlfn.XLOOKUP(K772,'Fevereiro 2023 - Valor Real'!A3:A15,'Fevereiro 2023 - Valor Real'!C3:C15,0))+1))),IF(I773="Lay",(((L773/(L773-1)-1)*(1-_xlfn.XLOOKUP(K773,'Fevereiro 2023 - Valor Real'!A3:A15,'Fevereiro 2023 - Valor Real'!C3:C15,0))+1))/(((L772-1)*(1-_xlfn.XLOOKUP(K772,'Fevereiro 2023 - Valor Real'!A3:A15,'Fevereiro 2023 - Valor Real'!C3:C15,0))+1)+((L773/(L773-1)-1)*(1-_xlfn.XLOOKUP(K773,'Fevereiro 2023 - Valor Real'!A3:A15,'Fevereiro 2023 - Valor Real'!C3:C15,0))+1)),((L773-1)*(1-_xlfn.XLOOKUP(K773,'Fevereiro 2023 - Valor Real'!A3:A15,'Fevereiro 2023 - Valor Real'!C3:C15,0))+1)/(((L773-1)*(1-_xlfn.XLOOKUP(K773,'Fevereiro 2023 - Valor Real'!A3:A15,'Fevereiro 2023 - Valor Real'!C3:C15,0))+1)+((L772-1)*(1-_xlfn.XLOOKUP(K772,'Fevereiro 2023 - Valor Real'!A3:A15,'Fevereiro 2023 - Valor Real'!C3:C15,0))+1))))))</f>
        <v>0.32572614107883818</v>
      </c>
      <c r="AF772" s="66">
        <f t="shared" si="1526"/>
        <v>0</v>
      </c>
      <c r="AG772" s="67">
        <f t="shared" si="1526"/>
        <v>0</v>
      </c>
      <c r="AH772" s="67">
        <f t="shared" si="1526"/>
        <v>0</v>
      </c>
      <c r="AI772" s="67">
        <f t="shared" si="1526"/>
        <v>0</v>
      </c>
      <c r="AJ772" s="67">
        <f t="shared" si="1526"/>
        <v>-11.85</v>
      </c>
      <c r="AK772" s="67">
        <f t="shared" si="1526"/>
        <v>0</v>
      </c>
      <c r="AL772" s="67">
        <f t="shared" si="1526"/>
        <v>0</v>
      </c>
      <c r="AM772" s="67">
        <f t="shared" si="1526"/>
        <v>0</v>
      </c>
      <c r="AN772" s="67">
        <f t="shared" si="1526"/>
        <v>0</v>
      </c>
      <c r="AO772" s="67">
        <f t="shared" si="1526"/>
        <v>0</v>
      </c>
      <c r="AP772" s="67">
        <f t="shared" si="1526"/>
        <v>0</v>
      </c>
      <c r="AQ772" s="67">
        <f t="shared" si="1526"/>
        <v>0</v>
      </c>
      <c r="AR772" s="68">
        <f t="shared" si="1526"/>
        <v>0</v>
      </c>
      <c r="AS772" s="66">
        <f t="shared" ref="AS772:BE772" si="1538">IF(AND($B772=" ",$K772=AS$3),$O772,0)</f>
        <v>0</v>
      </c>
      <c r="AT772" s="67">
        <f t="shared" si="1538"/>
        <v>0</v>
      </c>
      <c r="AU772" s="67">
        <f t="shared" si="1538"/>
        <v>0</v>
      </c>
      <c r="AV772" s="67">
        <f t="shared" si="1538"/>
        <v>0</v>
      </c>
      <c r="AW772" s="67">
        <f t="shared" si="1538"/>
        <v>0</v>
      </c>
      <c r="AX772" s="67">
        <f t="shared" si="1538"/>
        <v>0</v>
      </c>
      <c r="AY772" s="69">
        <f t="shared" si="1538"/>
        <v>0</v>
      </c>
      <c r="AZ772" s="70">
        <f t="shared" si="1538"/>
        <v>0</v>
      </c>
      <c r="BA772" s="70">
        <f t="shared" si="1538"/>
        <v>0</v>
      </c>
      <c r="BB772" s="70">
        <f t="shared" si="1538"/>
        <v>0</v>
      </c>
      <c r="BC772" s="71">
        <f t="shared" si="1538"/>
        <v>0</v>
      </c>
      <c r="BD772" s="67">
        <f t="shared" si="1538"/>
        <v>0</v>
      </c>
      <c r="BE772" s="68">
        <f t="shared" si="1538"/>
        <v>0</v>
      </c>
      <c r="BF772" s="230">
        <f t="shared" si="1528"/>
        <v>0</v>
      </c>
      <c r="BG772" s="67">
        <f t="shared" si="1528"/>
        <v>0</v>
      </c>
      <c r="BH772" s="67">
        <f t="shared" si="1528"/>
        <v>0</v>
      </c>
      <c r="BI772" s="67">
        <f t="shared" si="1528"/>
        <v>0</v>
      </c>
      <c r="BJ772" s="67">
        <f t="shared" si="1528"/>
        <v>11.85</v>
      </c>
      <c r="BK772" s="67">
        <f t="shared" si="1528"/>
        <v>0</v>
      </c>
      <c r="BL772" s="67">
        <f t="shared" si="1528"/>
        <v>0</v>
      </c>
      <c r="BM772" s="69">
        <f t="shared" si="1528"/>
        <v>0</v>
      </c>
      <c r="BN772" s="70">
        <f t="shared" si="1528"/>
        <v>0</v>
      </c>
      <c r="BO772" s="70">
        <f t="shared" si="1528"/>
        <v>0</v>
      </c>
      <c r="BP772" s="70">
        <f t="shared" si="1528"/>
        <v>0</v>
      </c>
      <c r="BQ772" s="71">
        <f t="shared" si="1528"/>
        <v>0</v>
      </c>
      <c r="BR772" s="68">
        <f t="shared" si="1528"/>
        <v>0</v>
      </c>
      <c r="BS772" s="490">
        <f>IF($B772="LOSS",IF(AND($K772=BS$3,$C772="L"),-$O772,0)+IF(AND($K773=BS$3,$C773="L"),-$O773,0)+IF(AND($K774=BS$3,$C774="L"),-$O774,0),IF(OR(AND($K772=BS$3,OR($C772="W",$C772="1/2W")),AND($K773=BS$3,OR($C773="W",$C773="1/2W")),AND($K774=BS$3,OR($C774="W",$C774="1/2W"))),$S772,0))</f>
        <v>2.12</v>
      </c>
      <c r="BT772" s="488">
        <f>IF($B772="LOSS",IF(AND($K772=BT$3,$C772="L"),-$O772,0)+IF(AND($K773=BT$3,$C773="L"),-$O773,0)+IF(AND($K773=BT$3,$C774="L"),-$O774,0),IF(OR(AND($K773=BT$3,OR($C772="W",$C772="1/2W")),AND($K773=BT$3,OR($C773="W",$C773="1/2W")),AND($K773=BT$3,OR($C774="W",$C774="1/2W"))),$S772,0))</f>
        <v>0</v>
      </c>
      <c r="BU772" s="488">
        <f>IF($B772="LOSS",IF(AND($K772=BU$3,$C772="L"),-$O772,0)+IF(AND($K773=BU$3,$C773="L"),-$O773,0)+IF(AND($K773=BU$3,$C774="L"),-$O774,0),IF(OR(AND($K773=BU$3,OR($C772="W",$C772="1/2W")),AND($K773=BU$3,OR($C773="W",$C773="1/2W")),AND($K773=BU$3,OR($C774="W",$C774="1/2W"))),$S772,0))</f>
        <v>0</v>
      </c>
      <c r="BV772" s="488">
        <f t="shared" ref="BV772:CE772" si="1539">IF($B772="LOSS",IF(AND($K772=BV$3,$C772="L"),-$O772,0)+IF(AND($K773=BV$3,$C773="L"),-$O773,0)+IF(AND($K774=BV$3,$C774="L"),-$O774,0),IF(OR(AND($K772=BV$3,OR($C772="W",$C772="1/2W")),AND($K773=BV$3,OR($C773="W",$C773="1/2W")),AND($K774=BV$3,OR($C774="W",$C774="1/2W"))),$S772,0))</f>
        <v>0</v>
      </c>
      <c r="BW772" s="488">
        <f t="shared" si="1539"/>
        <v>0</v>
      </c>
      <c r="BX772" s="488">
        <f t="shared" si="1539"/>
        <v>0</v>
      </c>
      <c r="BY772" s="488">
        <f t="shared" si="1539"/>
        <v>0</v>
      </c>
      <c r="BZ772" s="498">
        <f t="shared" si="1539"/>
        <v>0</v>
      </c>
      <c r="CA772" s="498">
        <f t="shared" si="1539"/>
        <v>0</v>
      </c>
      <c r="CB772" s="498">
        <f t="shared" si="1539"/>
        <v>0</v>
      </c>
      <c r="CC772" s="498">
        <f t="shared" si="1539"/>
        <v>0</v>
      </c>
      <c r="CD772" s="500">
        <f t="shared" si="1539"/>
        <v>0</v>
      </c>
      <c r="CE772" s="504">
        <f t="shared" si="1539"/>
        <v>0</v>
      </c>
      <c r="CF772" s="160">
        <f t="shared" ref="CF772:CF835" si="1540">IF(CF$3=$K772,IF($C772="W",1,IF($C772="1/2W",0.5,0)),0)</f>
        <v>0</v>
      </c>
      <c r="CG772" s="161">
        <f t="shared" ref="CG772:CG835" si="1541">IF(CF$3=$K772,IF($C772="L",1,IF($C772="1/2L",0.5,0)),0)</f>
        <v>0</v>
      </c>
      <c r="CH772" s="161">
        <f t="shared" ref="CH772:CH835" si="1542">IF(CH$3=$K772,IF($C772="W",1,IF($C772="1/2W",0.5,0)),0)</f>
        <v>0</v>
      </c>
      <c r="CI772" s="161">
        <f t="shared" ref="CI772:CI835" si="1543">IF(CH$3=$K772,IF($C772="L",1,IF($C772="1/2L",0.5,0)),0)</f>
        <v>0</v>
      </c>
      <c r="CJ772" s="161">
        <f t="shared" ref="CJ772:CJ835" si="1544">IF(CJ$3=$K772,IF($C772="W",1,IF($C772="1/2W",0.5,0)),0)</f>
        <v>0</v>
      </c>
      <c r="CK772" s="161">
        <f t="shared" ref="CK772:CK835" si="1545">IF(CJ$3=$K772,IF($C772="L",1,IF($C772="1/2L",0.5,0)),0)</f>
        <v>0</v>
      </c>
      <c r="CL772" s="161">
        <f t="shared" ref="CL772:CL835" si="1546">IF(CL$3=$K772,IF($C772="W",1,IF($C772="1/2W",0.5,0)),0)</f>
        <v>0</v>
      </c>
      <c r="CM772" s="161">
        <f t="shared" ref="CM772:CM835" si="1547">IF(CL$3=$K772,IF($C772="L",1,IF($C772="1/2L",0.5,0)),0)</f>
        <v>0</v>
      </c>
      <c r="CN772" s="161">
        <f t="shared" ref="CN772:CN835" si="1548">IF(CN$3=$K772,IF($C772="W",1,IF($C772="1/2W",0.5,0)),0)</f>
        <v>0</v>
      </c>
      <c r="CO772" s="161">
        <f t="shared" ref="CO772:CO835" si="1549">IF(CN$3=$K772,IF($C772="L",1,IF($C772="1/2L",0.5,0)),0)</f>
        <v>1</v>
      </c>
      <c r="CP772" s="161">
        <f t="shared" ref="CP772:CP835" si="1550">IF(CP$3=$K772,IF($C772="W",1,IF($C772="1/2W",0.5,0)),0)</f>
        <v>0</v>
      </c>
      <c r="CQ772" s="161">
        <f t="shared" ref="CQ772:CQ835" si="1551">IF(CP$3=$K772,IF($C772="L",1,IF($C772="1/2L",0.5,0)),0)</f>
        <v>0</v>
      </c>
      <c r="CR772" s="161">
        <f t="shared" ref="CR772:CR835" si="1552">IF(CR$3=$K772,IF($C772="W",1,IF($C772="1/2W",0.5,0)),0)</f>
        <v>0</v>
      </c>
      <c r="CS772" s="161">
        <f t="shared" ref="CS772:CS835" si="1553">IF(CR$3=$K772,IF($C772="L",1,IF($C772="1/2L",0.5,0)),0)</f>
        <v>0</v>
      </c>
      <c r="CT772" s="75">
        <f t="shared" ref="CT772:CT835" si="1554">IF(CT$3=$K772,IF($C772="W",1,IF($C772="1/2W",0.5,0)),0)</f>
        <v>0</v>
      </c>
      <c r="CU772" s="76">
        <f t="shared" ref="CU772:CU835" si="1555">IF(CT$3=$K772,IF($C772="L",1,IF($C772="1/2L",0.5,0)),0)</f>
        <v>0</v>
      </c>
      <c r="CV772" s="76">
        <f t="shared" ref="CV772:CV835" si="1556">IF(CV$3=$K772,IF($C772="W",1,IF($C772="1/2W",0.5,0)),0)</f>
        <v>0</v>
      </c>
      <c r="CW772" s="76">
        <f t="shared" ref="CW772:CW835" si="1557">IF(CV$3=$K772,IF($C772="L",1,IF($C772="1/2L",0.5,0)),0)</f>
        <v>0</v>
      </c>
      <c r="CX772" s="76">
        <f t="shared" ref="CX772:CX835" si="1558">IF(CX$3=$K772,IF($C772="W",1,IF($C772="1/2W",0.5,0)),0)</f>
        <v>0</v>
      </c>
      <c r="CY772" s="76">
        <f t="shared" ref="CY772:CY835" si="1559">IF(CX$3=$K772,IF($C772="L",1,IF($C772="1/2L",0.5,0)),0)</f>
        <v>0</v>
      </c>
      <c r="CZ772" s="76">
        <f t="shared" ref="CZ772:CZ835" si="1560">IF(CZ$3=$K772,IF($C772="W",1,IF($C772="1/2W",0.5,0)),0)</f>
        <v>0</v>
      </c>
      <c r="DA772" s="76">
        <f t="shared" ref="DA772:DA835" si="1561">IF(CZ$3=$K772,IF($C772="L",1,IF($C772="1/2L",0.5,0)),0)</f>
        <v>0</v>
      </c>
      <c r="DB772" s="76">
        <f t="shared" ref="DB772:DB835" si="1562">IF(DB$3=$K772,IF($C772="W",1,IF($C772="1/2W",0.5,0)),0)</f>
        <v>0</v>
      </c>
      <c r="DC772" s="76">
        <f t="shared" ref="DC772:DC835" si="1563">IF(DB$3=$K772,IF($C772="L",1,IF($C772="1/2L",0.5,0)),0)</f>
        <v>0</v>
      </c>
      <c r="DD772" s="76">
        <f t="shared" ref="DD772:DD835" si="1564">IF(DD$3=$K772,IF($C772="W",1,IF($C772="1/2W",0.5,0)),0)</f>
        <v>0</v>
      </c>
      <c r="DE772" s="77">
        <f t="shared" ref="DE772:DE835" si="1565">IF(DD$3=$K772,IF($C772="L",1,IF($C772="1/2L",0.5,0)),0)</f>
        <v>0</v>
      </c>
      <c r="DF772" s="73">
        <f t="shared" si="1440"/>
        <v>43</v>
      </c>
      <c r="DG772" s="67">
        <f t="shared" si="1441"/>
        <v>57.167999999999992</v>
      </c>
      <c r="DH772" s="76">
        <f t="shared" si="1442"/>
        <v>16</v>
      </c>
      <c r="DI772" s="67">
        <f t="shared" si="1443"/>
        <v>68.699999999999989</v>
      </c>
      <c r="DJ772" s="202" t="str">
        <f>IF($D772="","",$D772)</f>
        <v>27</v>
      </c>
      <c r="DK772" s="492">
        <f>IF(AND($B772=" ",$D772&lt;&gt;""),1,0)</f>
        <v>0</v>
      </c>
    </row>
    <row r="773" spans="1:115" ht="14.5" customHeight="1" x14ac:dyDescent="0.2">
      <c r="A773" s="389"/>
      <c r="B773" s="456"/>
      <c r="C773" s="53" t="s">
        <v>54</v>
      </c>
      <c r="D773" s="374"/>
      <c r="E773" s="386"/>
      <c r="F773" s="377"/>
      <c r="G773" s="483"/>
      <c r="H773" s="476"/>
      <c r="I773" s="55" t="s">
        <v>52</v>
      </c>
      <c r="J773" s="231">
        <f>IF(OR(I772="TO",I772="TU",I772="TO1",I772="TU1",I772="TO2",I772="TU2"),J772,IF(OR(I772="AH1",I772="AH2"),IF(OR(I773="AH1",I773="AH2"),-J772,IF(OR(I773="EH1",I773="EH2"),-J772+0.5,"")),IF(OR(I772="EH1",I772="EH2"),IF(OR(I773="AH1",I773="AH2"),-J772+0.5,IF(OR(I773="EH1",I773="EH2"),-J772+1,"")),IF(AND(OR(I772="DNB1",I772="DNB2"),OR(I773="AH1",I773="AH2")),0,IF(AND(I772="Not ScoreBoth",OR(I773="TO1",I773="TO2")),0.5,"")))))</f>
        <v>1.5</v>
      </c>
      <c r="K773" s="232" t="s">
        <v>36</v>
      </c>
      <c r="L773" s="58">
        <v>1.57</v>
      </c>
      <c r="M773" s="59">
        <v>24.5</v>
      </c>
      <c r="N773" s="406"/>
      <c r="O773" s="60">
        <f>IF(OR(AE772="",AE773=""),"",ROUND(IF(L774&gt;0,IF(M773&gt;0,M773,IF(M772&gt;0,IF(N772=TRUE,ROUND((M772*AE773)/AE772,0),(M772*AE773)/AE772),IF(M773&gt;0,ROUND(M773,IF(N772=0,2,IF(N772=0.1,1,0))),IF(M774&gt;0,ROUND(O774*AE773/AE774,IF(N772=0,2,IF(N772=0.1,1,0))),0)))),IF(M773&gt;0,M773,ROUND((M772*AE773)/AE772,IF(N772=0,2,IF(N772=0.1,1,0))))),2))</f>
        <v>24.5</v>
      </c>
      <c r="P773" s="61">
        <f>IF(OR(L773="",O773=""),"",IF($C773="1/2W",O773/2+O773/2*L773,IF($C773="1/2L",O773/2,IF(I773="Lay",((O773*(L773/(L773-1)))-O773)*(1-_xlfn.XLOOKUP(K773,'Fevereiro 2023 - Valor Real'!A3:A15,'Fevereiro 2023 - Valor Real'!C3:C15,0))+O773,(O773*L773-O773)*(1-_xlfn.XLOOKUP(K773,'Fevereiro 2023 - Valor Real'!A3:A15,'Fevereiro 2023 - Valor Real'!C3:C15,0))+O773))))</f>
        <v>38.465000000000003</v>
      </c>
      <c r="Q773" s="233">
        <f>IF(K773="","",IF(_xlfn.XLOOKUP(K773,K$4:K772,$DJ$4:DJ772,0,,-1)=DJ773,_xlfn.XLOOKUP(K773,K$4:K772,Q$4:Q772,1,,-1)+1,1))</f>
        <v>4</v>
      </c>
      <c r="R773" s="234">
        <f>IF(K773="","",_xlfn.XLOOKUP(K773,K$4:K772,R$4:R772,0,,-1)+IF($C773=" ",1,0))</f>
        <v>0</v>
      </c>
      <c r="S773" s="403"/>
      <c r="T773" s="380"/>
      <c r="U773" s="380"/>
      <c r="V773" s="481"/>
      <c r="W773" s="380"/>
      <c r="X773" s="452"/>
      <c r="Y773" s="383"/>
      <c r="Z773" s="384"/>
      <c r="AA773" s="384"/>
      <c r="AB773" s="384"/>
      <c r="AC773" s="384"/>
      <c r="AD773" s="64">
        <f>(((L773/(L773-1)-1)*(1-_xlfn.XLOOKUP(K773,'Fevereiro 2023 - Valor Real'!A3:A15,'Fevereiro 2023 - Valor Real'!C3:C15,0))+1))</f>
        <v>2.7543859649122804</v>
      </c>
      <c r="AE773" s="65">
        <f>IF(L773="","",IF(L774&gt;0,(SUM(((L772-1)*(1-_xlfn.XLOOKUP(K772,'Fevereiro 2023 - Valor Real'!A3:A15,'Fevereiro 2023 - Valor Real'!C3:C15,0))+1),((L773-1)*(1-_xlfn.XLOOKUP(K773,'Fevereiro 2023 - Valor Real'!A3:A15,'Fevereiro 2023 - Valor Real'!C3:C15,0))+1),((L774-1)*(1-_xlfn.XLOOKUP(K774,'Fevereiro 2023 - Valor Real'!A3:A15,'Fevereiro 2023 - Valor Real'!C3:C15,0))+1))/((L773-1)*(1-_xlfn.XLOOKUP(K773,'Fevereiro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Real'!C3:C15,0))+1))/((L772-1)*(1-_xlfn.XLOOKUP(K772,'Fevereiro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Real'!C3:C15,0))+1))/((L773-1)*(1-_xlfn.XLOOKUP(K773,'Fevereiro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Real'!C3:C15,0))+1))/((L774-1)*(1-_xlfn.XLOOKUP(K774,'Fevereiro 2023 - Valor Real'!A3:A15,'Fevereiro 2023 - Valor Real'!C3:C15,0))+1)),IF(I773="Lay",IF(I772="Lay",((L772/(L772-1)-1)*(1-_xlfn.XLOOKUP(K772,'Fevereiro 2023 - Valor Real'!A3:A15,'Fevereiro 2023 - Valor Real'!C3:C15,0))+1)/(((L772/(L772-1)-1)*(1-_xlfn.XLOOKUP(K772,'Fevereiro 2023 - Valor Real'!A3:A15,'Fevereiro 2023 - Valor Real'!C3:C15,0))+1)+((L773/(L773-1)-1)*(1-_xlfn.XLOOKUP(K773,'Fevereiro 2023 - Valor Real'!A3:A15,'Fevereiro 2023 - Valor Real'!C3:C15,0))+1)),((L772-1)*(1-_xlfn.XLOOKUP(K772,'Fevereiro 2023 - Valor Real'!A3:A15,'Fevereiro 2023 - Valor Real'!C3:C15,0))+1)/(((L772-1)*(1-_xlfn.XLOOKUP(K772,'Fevereiro 2023 - Valor Real'!A3:A15,'Fevereiro 2023 - Valor Real'!C3:C15,0))+1)+((L773/(L773-1)-1)*(1-_xlfn.XLOOKUP(K773,'Fevereiro 2023 - Valor Real'!A3:A15,'Fevereiro 2023 - Valor Real'!C3:C15,0))+1))),IF(I772="Lay",((L772/(L772-1)-1)*(1-_xlfn.XLOOKUP(K772,'Fevereiro 2023 - Valor Real'!A3:A15,'Fevereiro 2023 - Valor Real'!C3:C15,0))+1)/((((L772/(L772-1)-1)*(1-_xlfn.XLOOKUP(K772,'Fevereiro 2023 - Valor Real'!A3:A15,'Fevereiro 2023 - Valor Real'!C3:C15,0))+1))+((L773-1)*(1-_xlfn.XLOOKUP(K773,'Fevereiro 2023 - Valor Real'!A3:A15,'Fevereiro 2023 - Valor Real'!C3:C15,0))+1)),((L772-1)*(1-_xlfn.XLOOKUP(K772,'Fevereiro 2023 - Valor Real'!A3:A15,'Fevereiro 2023 - Valor Real'!C3:C15,0))+1)/(((L772-1)*(1-_xlfn.XLOOKUP(K772,'Fevereiro 2023 - Valor Real'!A3:A15,'Fevereiro 2023 - Valor Real'!C3:C15,0))+1)+((L773-1)*(1-_xlfn.XLOOKUP(K773,'Fevereiro 2023 - Valor Real'!A3:A15,'Fevereiro 2023 - Valor Real'!C3:C15,0))+1))))))</f>
        <v>0.67427385892116176</v>
      </c>
      <c r="AF773" s="66">
        <f t="shared" si="1526"/>
        <v>13.97</v>
      </c>
      <c r="AG773" s="67">
        <f t="shared" si="1526"/>
        <v>0</v>
      </c>
      <c r="AH773" s="67">
        <f t="shared" si="1526"/>
        <v>0</v>
      </c>
      <c r="AI773" s="67">
        <f t="shared" si="1526"/>
        <v>0</v>
      </c>
      <c r="AJ773" s="67">
        <f t="shared" si="1526"/>
        <v>0</v>
      </c>
      <c r="AK773" s="67">
        <f t="shared" si="1526"/>
        <v>0</v>
      </c>
      <c r="AL773" s="67">
        <f t="shared" si="1526"/>
        <v>0</v>
      </c>
      <c r="AM773" s="67">
        <f t="shared" si="1526"/>
        <v>0</v>
      </c>
      <c r="AN773" s="67">
        <f t="shared" si="1526"/>
        <v>0</v>
      </c>
      <c r="AO773" s="67">
        <f t="shared" si="1526"/>
        <v>0</v>
      </c>
      <c r="AP773" s="67">
        <f t="shared" si="1526"/>
        <v>0</v>
      </c>
      <c r="AQ773" s="67">
        <f t="shared" si="1526"/>
        <v>0</v>
      </c>
      <c r="AR773" s="68">
        <f t="shared" si="1526"/>
        <v>0</v>
      </c>
      <c r="AS773" s="66">
        <f>IF(AND($B772=" ",$K773=AS$3),$O773,0)</f>
        <v>0</v>
      </c>
      <c r="AT773" s="67">
        <f>IF(AND($B772=" ",K773=AT$3),$O773,0)</f>
        <v>0</v>
      </c>
      <c r="AU773" s="67">
        <f t="shared" ref="AU773:BE773" si="1566">IF(AND($B772=" ",$K773=AU$3),$O773,0)</f>
        <v>0</v>
      </c>
      <c r="AV773" s="67">
        <f t="shared" si="1566"/>
        <v>0</v>
      </c>
      <c r="AW773" s="67">
        <f t="shared" si="1566"/>
        <v>0</v>
      </c>
      <c r="AX773" s="67">
        <f t="shared" si="1566"/>
        <v>0</v>
      </c>
      <c r="AY773" s="69">
        <f t="shared" si="1566"/>
        <v>0</v>
      </c>
      <c r="AZ773" s="70">
        <f t="shared" si="1566"/>
        <v>0</v>
      </c>
      <c r="BA773" s="70">
        <f t="shared" si="1566"/>
        <v>0</v>
      </c>
      <c r="BB773" s="70">
        <f t="shared" si="1566"/>
        <v>0</v>
      </c>
      <c r="BC773" s="71">
        <f t="shared" si="1566"/>
        <v>0</v>
      </c>
      <c r="BD773" s="67">
        <f t="shared" si="1566"/>
        <v>0</v>
      </c>
      <c r="BE773" s="68">
        <f t="shared" si="1566"/>
        <v>0</v>
      </c>
      <c r="BF773" s="66">
        <f t="shared" si="1528"/>
        <v>24.5</v>
      </c>
      <c r="BG773" s="67">
        <f t="shared" si="1528"/>
        <v>0</v>
      </c>
      <c r="BH773" s="67">
        <f t="shared" si="1528"/>
        <v>0</v>
      </c>
      <c r="BI773" s="67">
        <f t="shared" si="1528"/>
        <v>0</v>
      </c>
      <c r="BJ773" s="67">
        <f t="shared" si="1528"/>
        <v>0</v>
      </c>
      <c r="BK773" s="67">
        <f t="shared" si="1528"/>
        <v>0</v>
      </c>
      <c r="BL773" s="67">
        <f t="shared" si="1528"/>
        <v>0</v>
      </c>
      <c r="BM773" s="235">
        <f t="shared" si="1528"/>
        <v>0</v>
      </c>
      <c r="BN773" s="159">
        <f t="shared" si="1528"/>
        <v>0</v>
      </c>
      <c r="BO773" s="159">
        <f t="shared" si="1528"/>
        <v>0</v>
      </c>
      <c r="BP773" s="159">
        <f t="shared" si="1528"/>
        <v>0</v>
      </c>
      <c r="BQ773" s="71">
        <f t="shared" si="1528"/>
        <v>0</v>
      </c>
      <c r="BR773" s="68">
        <f t="shared" si="1528"/>
        <v>0</v>
      </c>
      <c r="BS773" s="464"/>
      <c r="BT773" s="461"/>
      <c r="BU773" s="392"/>
      <c r="BV773" s="461"/>
      <c r="BW773" s="392"/>
      <c r="BX773" s="392"/>
      <c r="BY773" s="392"/>
      <c r="BZ773" s="461"/>
      <c r="CA773" s="392"/>
      <c r="CB773" s="392"/>
      <c r="CC773" s="392"/>
      <c r="CD773" s="401"/>
      <c r="CE773" s="409"/>
      <c r="CF773" s="236">
        <f t="shared" si="1540"/>
        <v>1</v>
      </c>
      <c r="CG773" s="237">
        <f t="shared" si="1541"/>
        <v>0</v>
      </c>
      <c r="CH773" s="237">
        <f t="shared" si="1542"/>
        <v>0</v>
      </c>
      <c r="CI773" s="237">
        <f t="shared" si="1543"/>
        <v>0</v>
      </c>
      <c r="CJ773" s="237">
        <f t="shared" si="1544"/>
        <v>0</v>
      </c>
      <c r="CK773" s="237">
        <f t="shared" si="1545"/>
        <v>0</v>
      </c>
      <c r="CL773" s="237">
        <f t="shared" si="1546"/>
        <v>0</v>
      </c>
      <c r="CM773" s="237">
        <f t="shared" si="1547"/>
        <v>0</v>
      </c>
      <c r="CN773" s="237">
        <f t="shared" si="1548"/>
        <v>0</v>
      </c>
      <c r="CO773" s="237">
        <f t="shared" si="1549"/>
        <v>0</v>
      </c>
      <c r="CP773" s="237">
        <f t="shared" si="1550"/>
        <v>0</v>
      </c>
      <c r="CQ773" s="237">
        <f t="shared" si="1551"/>
        <v>0</v>
      </c>
      <c r="CR773" s="237">
        <f t="shared" si="1552"/>
        <v>0</v>
      </c>
      <c r="CS773" s="237">
        <f t="shared" si="1553"/>
        <v>0</v>
      </c>
      <c r="CT773" s="75">
        <f t="shared" si="1554"/>
        <v>0</v>
      </c>
      <c r="CU773" s="76">
        <f t="shared" si="1555"/>
        <v>0</v>
      </c>
      <c r="CV773" s="76">
        <f t="shared" si="1556"/>
        <v>0</v>
      </c>
      <c r="CW773" s="76">
        <f t="shared" si="1557"/>
        <v>0</v>
      </c>
      <c r="CX773" s="76">
        <f t="shared" si="1558"/>
        <v>0</v>
      </c>
      <c r="CY773" s="76">
        <f t="shared" si="1559"/>
        <v>0</v>
      </c>
      <c r="CZ773" s="76">
        <f t="shared" si="1560"/>
        <v>0</v>
      </c>
      <c r="DA773" s="76">
        <f t="shared" si="1561"/>
        <v>0</v>
      </c>
      <c r="DB773" s="76">
        <f t="shared" si="1562"/>
        <v>0</v>
      </c>
      <c r="DC773" s="76">
        <f t="shared" si="1563"/>
        <v>0</v>
      </c>
      <c r="DD773" s="76">
        <f t="shared" si="1564"/>
        <v>0</v>
      </c>
      <c r="DE773" s="77">
        <f t="shared" si="1565"/>
        <v>0</v>
      </c>
      <c r="DF773" s="73">
        <f t="shared" ref="DF773:DF836" si="1567">IF(AND(L773&lt;DF$3,$C773="W"),1+DF772,DF772)</f>
        <v>43</v>
      </c>
      <c r="DG773" s="67">
        <f t="shared" ref="DG773:DG836" si="1568">IF(DF773&gt;DF772,L773+DG772,DG772)</f>
        <v>57.167999999999992</v>
      </c>
      <c r="DH773" s="76">
        <f t="shared" ref="DH773:DH836" si="1569">IF(AND(L773&gt;DH$3,$C773="W"),1+DH772,0+DH772)</f>
        <v>16</v>
      </c>
      <c r="DI773" s="67">
        <f t="shared" ref="DI773:DI836" si="1570">IF(DH773&gt;DH772,L773+DI772,DI772)</f>
        <v>68.699999999999989</v>
      </c>
      <c r="DJ773" s="202" t="str">
        <f>IF($D772="","",$D772)</f>
        <v>27</v>
      </c>
      <c r="DK773" s="466"/>
    </row>
    <row r="774" spans="1:115" ht="14.5" customHeight="1" x14ac:dyDescent="0.2">
      <c r="A774" s="390"/>
      <c r="B774" s="457"/>
      <c r="C774" s="79" t="s">
        <v>53</v>
      </c>
      <c r="D774" s="375"/>
      <c r="E774" s="387"/>
      <c r="F774" s="378"/>
      <c r="G774" s="484"/>
      <c r="H774" s="477"/>
      <c r="I774" s="82"/>
      <c r="J774" s="83"/>
      <c r="K774" s="90"/>
      <c r="L774" s="84"/>
      <c r="M774" s="85"/>
      <c r="N774" s="407"/>
      <c r="O774" s="86" t="str">
        <f>IF(OR(AE772="",AE773=""),"",IF(L774&gt;0,ROUND(IF(M774&gt;0,M774,IF(M772&gt;0,ROUND((M772*AE774)/AE772,IF(N772=0,2,IF(N772=0.1,1,0))),IF(M773&gt;0,ROUND((M773*AE774)/AE773,IF(N772=0,2,IF(N772=0.1,1,0))),IF(M774&gt;0,M774,0)))),2),""))</f>
        <v/>
      </c>
      <c r="P774" s="87" t="str">
        <f>IF(I773="Lay",O773*(L773/(L773-1))-O773,IF(I772="Lay",O772*(L772/(L772-1))-O772,IF(OR(L774="",O774=""),"",IF($C774="1/2W",O774/2+O774/2*L774,IF($C774="1/2L",O774/2,(O774*L774-O774)*(1-_xlfn.XLOOKUP(K774,'Fevereiro 2023 - Valor Real'!A3:A15,'Fevereiro 2023 - Valor Real'!C3:C15,0))+O774)))))</f>
        <v/>
      </c>
      <c r="Q774" s="238" t="str">
        <f>IF(K774="","",IF(_xlfn.XLOOKUP(K774,K$4:K773,$DJ$4:DJ773,0,,-1)=DJ774,_xlfn.XLOOKUP(K774,K$4:K773,Q$4:Q773,1,,-1)+1,1))</f>
        <v/>
      </c>
      <c r="R774" s="239" t="str">
        <f>IF(K774="","",_xlfn.XLOOKUP(K774,K$4:K773,R$4:R773,0,,-1)+IF($C774=" ",1,0))</f>
        <v/>
      </c>
      <c r="S774" s="404"/>
      <c r="T774" s="378"/>
      <c r="U774" s="378"/>
      <c r="V774" s="404"/>
      <c r="W774" s="378"/>
      <c r="X774" s="453"/>
      <c r="Y774" s="383"/>
      <c r="Z774" s="384"/>
      <c r="AA774" s="384"/>
      <c r="AB774" s="384"/>
      <c r="AC774" s="384"/>
      <c r="AD774" s="240">
        <f>((L773/(L773-1)-1))</f>
        <v>1.7543859649122804</v>
      </c>
      <c r="AE774" s="91" t="str">
        <f>IF(L774="","",(SUM(((L772-1)*(1-_xlfn.XLOOKUP(K772,'Fevereiro 2023 - Valor Real'!A3:A15,'Fevereiro 2023 - Valor Real'!C3:C15,0))+1),((L773-1)*(1-_xlfn.XLOOKUP(K773,'Fevereiro 2023 - Valor Real'!A3:A15,'Fevereiro 2023 - Valor Real'!C3:C15,0))+1),((L774-1)*(1-_xlfn.XLOOKUP(K774,'Fevereiro 2023 - Valor Real'!A3:A15,'Fevereiro 2023 - Valor Real'!C3:C15,0))+1))/((L774-1)*(1-_xlfn.XLOOKUP(K774,'Fevereiro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Real'!C3:C15,0))+1))/((L772-1)*(1-_xlfn.XLOOKUP(K772,'Fevereiro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Real'!C3:C15,0))+1))/((L773-1)*(1-_xlfn.XLOOKUP(K773,'Fevereiro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Real'!C3:C15,0))+1))/((L774-1)*(1-_xlfn.XLOOKUP(K774,'Fevereiro 2023 - Valor Real'!A3:A15,'Fevereiro 2023 - Valor Real'!C3:C15,0))+1)))</f>
        <v/>
      </c>
      <c r="AF774" s="66">
        <f t="shared" ref="AF774:AR783" si="1571">IF($K774=AF$3,ROUND(IF(OR($C774="W",$C774="1/2W",$C774="1/2L"),$P774-$O774,IF($C774="X",0,-$O774)),2),0)</f>
        <v>0</v>
      </c>
      <c r="AG774" s="67">
        <f t="shared" si="1571"/>
        <v>0</v>
      </c>
      <c r="AH774" s="67">
        <f t="shared" si="1571"/>
        <v>0</v>
      </c>
      <c r="AI774" s="67">
        <f t="shared" si="1571"/>
        <v>0</v>
      </c>
      <c r="AJ774" s="67">
        <f t="shared" si="1571"/>
        <v>0</v>
      </c>
      <c r="AK774" s="67">
        <f t="shared" si="1571"/>
        <v>0</v>
      </c>
      <c r="AL774" s="67">
        <f t="shared" si="1571"/>
        <v>0</v>
      </c>
      <c r="AM774" s="67">
        <f t="shared" si="1571"/>
        <v>0</v>
      </c>
      <c r="AN774" s="67">
        <f t="shared" si="1571"/>
        <v>0</v>
      </c>
      <c r="AO774" s="67">
        <f t="shared" si="1571"/>
        <v>0</v>
      </c>
      <c r="AP774" s="67">
        <f t="shared" si="1571"/>
        <v>0</v>
      </c>
      <c r="AQ774" s="67">
        <f t="shared" si="1571"/>
        <v>0</v>
      </c>
      <c r="AR774" s="68">
        <f t="shared" si="1571"/>
        <v>0</v>
      </c>
      <c r="AS774" s="66">
        <f>IF(AND($B772=" ",$K774=AS$3),$O774,0)</f>
        <v>0</v>
      </c>
      <c r="AT774" s="67">
        <f>IF(AND($B772=" ",K774=AT$3),$O774,0)</f>
        <v>0</v>
      </c>
      <c r="AU774" s="67">
        <f t="shared" ref="AU774:BE774" si="1572">IF(AND($B772=" ",$K774=AU$3),$O774,0)</f>
        <v>0</v>
      </c>
      <c r="AV774" s="67">
        <f t="shared" si="1572"/>
        <v>0</v>
      </c>
      <c r="AW774" s="67">
        <f t="shared" si="1572"/>
        <v>0</v>
      </c>
      <c r="AX774" s="67">
        <f t="shared" si="1572"/>
        <v>0</v>
      </c>
      <c r="AY774" s="69">
        <f t="shared" si="1572"/>
        <v>0</v>
      </c>
      <c r="AZ774" s="70">
        <f t="shared" si="1572"/>
        <v>0</v>
      </c>
      <c r="BA774" s="70">
        <f t="shared" si="1572"/>
        <v>0</v>
      </c>
      <c r="BB774" s="70">
        <f t="shared" si="1572"/>
        <v>0</v>
      </c>
      <c r="BC774" s="71">
        <f t="shared" si="1572"/>
        <v>0</v>
      </c>
      <c r="BD774" s="67">
        <f t="shared" si="1572"/>
        <v>0</v>
      </c>
      <c r="BE774" s="68">
        <f t="shared" si="1572"/>
        <v>0</v>
      </c>
      <c r="BF774" s="66">
        <f t="shared" ref="BF774:BR783" si="1573">IF($K774=BF$3,IF($C774="X",0,$O774),0)</f>
        <v>0</v>
      </c>
      <c r="BG774" s="67">
        <f t="shared" si="1573"/>
        <v>0</v>
      </c>
      <c r="BH774" s="67">
        <f t="shared" si="1573"/>
        <v>0</v>
      </c>
      <c r="BI774" s="67">
        <f t="shared" si="1573"/>
        <v>0</v>
      </c>
      <c r="BJ774" s="67">
        <f t="shared" si="1573"/>
        <v>0</v>
      </c>
      <c r="BK774" s="67">
        <f t="shared" si="1573"/>
        <v>0</v>
      </c>
      <c r="BL774" s="67">
        <f t="shared" si="1573"/>
        <v>0</v>
      </c>
      <c r="BM774" s="69">
        <f t="shared" si="1573"/>
        <v>0</v>
      </c>
      <c r="BN774" s="70">
        <f t="shared" si="1573"/>
        <v>0</v>
      </c>
      <c r="BO774" s="70">
        <f t="shared" si="1573"/>
        <v>0</v>
      </c>
      <c r="BP774" s="70">
        <f t="shared" si="1573"/>
        <v>0</v>
      </c>
      <c r="BQ774" s="71">
        <f t="shared" si="1573"/>
        <v>0</v>
      </c>
      <c r="BR774" s="68">
        <f t="shared" si="1573"/>
        <v>0</v>
      </c>
      <c r="BS774" s="464"/>
      <c r="BT774" s="461"/>
      <c r="BU774" s="392"/>
      <c r="BV774" s="461"/>
      <c r="BW774" s="392"/>
      <c r="BX774" s="392"/>
      <c r="BY774" s="392"/>
      <c r="BZ774" s="461"/>
      <c r="CA774" s="392"/>
      <c r="CB774" s="392"/>
      <c r="CC774" s="392"/>
      <c r="CD774" s="401"/>
      <c r="CE774" s="409"/>
      <c r="CF774" s="236">
        <f t="shared" si="1540"/>
        <v>0</v>
      </c>
      <c r="CG774" s="237">
        <f t="shared" si="1541"/>
        <v>0</v>
      </c>
      <c r="CH774" s="237">
        <f t="shared" si="1542"/>
        <v>0</v>
      </c>
      <c r="CI774" s="237">
        <f t="shared" si="1543"/>
        <v>0</v>
      </c>
      <c r="CJ774" s="237">
        <f t="shared" si="1544"/>
        <v>0</v>
      </c>
      <c r="CK774" s="237">
        <f t="shared" si="1545"/>
        <v>0</v>
      </c>
      <c r="CL774" s="237">
        <f t="shared" si="1546"/>
        <v>0</v>
      </c>
      <c r="CM774" s="237">
        <f t="shared" si="1547"/>
        <v>0</v>
      </c>
      <c r="CN774" s="237">
        <f t="shared" si="1548"/>
        <v>0</v>
      </c>
      <c r="CO774" s="237">
        <f t="shared" si="1549"/>
        <v>0</v>
      </c>
      <c r="CP774" s="237">
        <f t="shared" si="1550"/>
        <v>0</v>
      </c>
      <c r="CQ774" s="237">
        <f t="shared" si="1551"/>
        <v>0</v>
      </c>
      <c r="CR774" s="237">
        <f t="shared" si="1552"/>
        <v>0</v>
      </c>
      <c r="CS774" s="237">
        <f t="shared" si="1553"/>
        <v>0</v>
      </c>
      <c r="CT774" s="75">
        <f t="shared" si="1554"/>
        <v>0</v>
      </c>
      <c r="CU774" s="76">
        <f t="shared" si="1555"/>
        <v>0</v>
      </c>
      <c r="CV774" s="76">
        <f t="shared" si="1556"/>
        <v>0</v>
      </c>
      <c r="CW774" s="76">
        <f t="shared" si="1557"/>
        <v>0</v>
      </c>
      <c r="CX774" s="76">
        <f t="shared" si="1558"/>
        <v>0</v>
      </c>
      <c r="CY774" s="76">
        <f t="shared" si="1559"/>
        <v>0</v>
      </c>
      <c r="CZ774" s="76">
        <f t="shared" si="1560"/>
        <v>0</v>
      </c>
      <c r="DA774" s="76">
        <f t="shared" si="1561"/>
        <v>0</v>
      </c>
      <c r="DB774" s="76">
        <f t="shared" si="1562"/>
        <v>0</v>
      </c>
      <c r="DC774" s="76">
        <f t="shared" si="1563"/>
        <v>0</v>
      </c>
      <c r="DD774" s="76">
        <f t="shared" si="1564"/>
        <v>0</v>
      </c>
      <c r="DE774" s="77">
        <f t="shared" si="1565"/>
        <v>0</v>
      </c>
      <c r="DF774" s="73">
        <f t="shared" si="1567"/>
        <v>43</v>
      </c>
      <c r="DG774" s="67">
        <f t="shared" si="1568"/>
        <v>57.167999999999992</v>
      </c>
      <c r="DH774" s="76">
        <f t="shared" si="1569"/>
        <v>16</v>
      </c>
      <c r="DI774" s="67">
        <f t="shared" si="1570"/>
        <v>68.699999999999989</v>
      </c>
      <c r="DJ774" s="202" t="str">
        <f>IF($D772="","",$D772)</f>
        <v>27</v>
      </c>
      <c r="DK774" s="466"/>
    </row>
    <row r="775" spans="1:115" ht="14.5" customHeight="1" x14ac:dyDescent="0.2">
      <c r="A775" s="459">
        <f>$A772+1</f>
        <v>258</v>
      </c>
      <c r="B775" s="507" t="str">
        <f>IF(OR(C775="W",C776="W",C777="W",C775="1/2W",C776="1/2W",C777="1/2W",C775="1/2L",C776="1/2L",C777="1/2L"),"OK",IF(OR(C775="L",C776="L",C777="L"),"LOSS",IF(OR(C775="X",C776="X",C777="X"),"Anulado"," ")))</f>
        <v>OK</v>
      </c>
      <c r="C775" s="93" t="s">
        <v>55</v>
      </c>
      <c r="D775" s="468" t="str">
        <f>IF(G775="","",$D772)</f>
        <v>27</v>
      </c>
      <c r="E775" s="485" t="str">
        <f>IF(G775=""," ","– "&amp;COUNTIF(D$4:D777,$D775))</f>
        <v>– 5</v>
      </c>
      <c r="F775" s="509" t="str">
        <f ca="1">IF(G775="","",IF(OR(AND($C775&lt;&gt;" ",$C776=" "),AND($C776&lt;&gt;" ",$C775=" "),AND(L777&gt;0,OR(AND($C777&lt;&gt;" ",OR($C775=" ",$C776=" ")),AND($C777=" ",OR($C775&lt;&gt;" ",$C776&lt;&gt;" "))))),IF(SUM(F$4:F774)=0,1,LARGE(F$4:F774,1)+1),IF(MONTH(G775)=MONTH(TODAY()),IF(AND(DAY(G775)&lt;DAY(TODAY()),$B775=" "),IF(SUM(F$4:F774)=0,1,LARGE(F$4:F774,1)+1),IF($B775=" ",IF(AND(DAY(G775)=DAY(TODAY()),HOUR(G775)&lt;=HOUR(NOW())+1),IF(AND(HOUR(G775)+2&lt;=HOUR(NOW()),DAY(G775)&lt;=DAY(TODAY()),MINUTE(G775)&lt;=MINUTE(NOW())),IF(SUM(F$4:F774)=0,1,LARGE(F$4:F774,1)+1),IF(OR(MINUTE(G775)&lt;=MINUTE(NOW()),HOUR(G775)&lt;=HOUR(NOW())),"!!!","")),""),"")),"")))</f>
        <v/>
      </c>
      <c r="G775" s="482">
        <f>IF(H775="","",_xlfn.XLOOKUP(H775,$H$4:H774,$G$4:G774,""))</f>
        <v>45012.416666666664</v>
      </c>
      <c r="H775" s="475" t="s">
        <v>265</v>
      </c>
      <c r="I775" s="94" t="s">
        <v>51</v>
      </c>
      <c r="J775" s="95">
        <v>1.5</v>
      </c>
      <c r="K775" s="96" t="s">
        <v>40</v>
      </c>
      <c r="L775" s="97">
        <v>3.25</v>
      </c>
      <c r="M775" s="98">
        <v>11.85</v>
      </c>
      <c r="N775" s="478">
        <v>0</v>
      </c>
      <c r="O775" s="99">
        <f>IF(OR(AE775="",AE776=""),"",ROUND(IF(L777&gt;0,IF(M775&gt;0,M775,IF(M776&gt;0,ROUND((M776*AE775)/AE776,IF(N775=0,2,IF(N775=0.1,1,0))),ROUND((M777*AE775)/AE777,IF(N775=0,2,IF(N775=0.1,1,0))))),IF(M775&gt;0,M775,ROUND((M776*AE775)/AE776,IF(N775=0,2,IF(N775=0.1,1,0))))),2))</f>
        <v>11.85</v>
      </c>
      <c r="P775" s="100">
        <f>IF(OR(L775="",O775=""),"",IF($C775="1/2W",O775/2+O775/2*L775,IF($C775="1/2L",O775/2,IF(I775="Lay",(O775*(L775/(L775-1))-O775)*(1-_xlfn.XLOOKUP(K775,'Fevereiro 2023 - Valor Real'!A3:A15,'Fevereiro 2023 - Valor Real'!C3:C15,0))+O775,(O775*L775-O775)*(1-_xlfn.XLOOKUP(K775,'Fevereiro 2023 - Valor Real'!A3:A15,'Fevereiro 2023 - Valor Real'!C3:C15,0))+O775))))</f>
        <v>38.512499999999996</v>
      </c>
      <c r="Q775" s="101">
        <f>IF(K775="","",IF(_xlfn.XLOOKUP(K775,K$4:K774,$DJ$4:DJ774,0,,-1)=DJ775,_xlfn.XLOOKUP(K775,K$4:K774,Q$4:Q774,1,,-1)+1,1))</f>
        <v>5</v>
      </c>
      <c r="R775" s="102">
        <f>IF(K775="","",_xlfn.XLOOKUP(K775,K$4:K774,R$4:R774,0,,-1)+IF($C775=" ",1,0))</f>
        <v>0</v>
      </c>
      <c r="S775" s="474">
        <f>IF($B775="Anulado",0,ROUND(IF(OR($B775="LOSS",$B775="OK"),IF(OR($C775="W",$C775="1/2W",$C775="1/2L"),P775-O775,IF($C775="L",-O775,0))+IF(OR($C776="W",$C776="1/2W",$C776="1/2L"),P776-O776,IF($C776="L",-O776,0))+IF(OR($C777="W",$C777="1/2W",$C777="1/2L"),P777-O777,IF($C777="L",-O777,0)),IF(AND(OR($C775="W",$C775="1/2W",$C775="1/2L"),C776="W"),P775+P776-SUM(O775:O777)+_xlfn.XLOOKUP("X",C775:C777,O775:O777,0),IF(AND(C775=TRUE,C777="W"),P775+P777-SUM(O775:O777),IF(AND(C776="W",C777="W"),P776+P777-SUM(O775:O777)+_xlfn.XLOOKUP("X",C775:C777,O775:O777,0),IF(L777&gt;0,IF(OR($C775="W",$C775="1/2W",$C775="1/2L"),P775-SUM(O775:O777)+_xlfn.XLOOKUP("X",C775:C777,O775:O777,0),IF(OR($C775="W",$C775="1/2W",$C775="1/2L"),P776-SUM(O775:O777)+_xlfn.XLOOKUP("X",C775:C777,O775:O777,0),IF(OR($C775="W",$C775="1/2W",$C775="1/2L"),P777-SUM(O775:O777)+_xlfn.XLOOKUP("X",C775:C777,O775:O777,0),IF(SUM(P775:P777)/3-SUM(O775:O777)+_xlfn.XLOOKUP("X",C775:C777,O775:O777,0)&gt;0,SUM(P775:P777)/3-SUM(O775:O777)+_xlfn.XLOOKUP("X",C775:C777,O775:O777,0),LARGE(P775:P777,1)-SUM(O775:O777))))),IF(OR($C775="W",$C775="1/2W",$C775="1/2L"),P775-SUM(O775:O776)+_xlfn.XLOOKUP("X",C775:C777,O775:O777,0),IF(OR($C775="W",$C775="1/2W",$C775="1/2L"),P776-SUM(O775:O776)+_xlfn.XLOOKUP("X",C775:C777,O775:O777,0),SUM(P775:P776)/2-SUM(O775:O776)+_xlfn.XLOOKUP("X",C775:C777,O775:O777,0)))))))),2))</f>
        <v>2.12</v>
      </c>
      <c r="T775" s="458">
        <f>IF(S775=0,0,S775/SUM(O775:O777))</f>
        <v>5.8321870701513068E-2</v>
      </c>
      <c r="U775" s="470">
        <f>IF($D775=$D772,IF(OR($B775="LOSS",$B775="OK",$B775="Anulada"),S775,0)+U772,IF(OR($B775="LOSS",$B775="OK",$B775="Anulada"),S775,0))</f>
        <v>8.93</v>
      </c>
      <c r="V775" s="470">
        <f>IF($D775="",0,IF($D775=$D772,IF($B775=" ",IF(I777="",IF(OR(AND(I775="DNB1",I776="DNB2"),AND(OR(I775="DNB1",I775="DNB2"),J776=0),AND(OR(I776="DNB1",I776="DNB2"),J775=0),AND(I775="DNB2",I776="DNB1"),AND(IF(J775=0,(J775+1)/ROUND(J775+1,0),J775/ROUND(J775,0))=1,IF(J776=0,(J776+1)/ROUND(IF(J776="",0,J776)+1,0),IF(J776="",0,J776)/ROUND(IF(J776="",1,J776),0))=1,OR(J775&lt;&gt;""),J776&lt;&gt;"")),0,IF(S775&lt;0,IF(I777="",SMALL(P775:P776,1)-SUM(O775:O776),0),SMALL(P775:P776,1)-SUM(O775:O776))),IF(S775&lt;0,IF(I777="",SMALL(P775:P777,1)-SUM(O775:O777),0),LARGE(P775:P777,1)-SUM(O775:O777))),S775)+V772,IF(I777="",IF(OR(AND(I775="DNB1",I776="DNB2"),AND(OR(I775="DNB1",I775="DNB2"),J776=0),AND(OR(I776="DNB1",I776="DNB2"),J775=0),AND(I775="DNB2",I776="DNB1"),AND(IF(J775=0,(J775+1)/ROUND(J775+1,0),J775/ROUND(J775,0))=1,IF(J776=0,(IF(J776="",0,J776)+1)/ROUND(IF(J776="",0,J776)+1,0),IF(J776="",0,J776)/ROUND(IF(J776="",0,J776)+1,0))=1,OR(J775&lt;&gt;""),J776&lt;&gt;"")),0,IF(S775&lt;0,IF(I777="",SMALL(P775:P776,1)-SUM(O775:O776),0),SMALL(P775:P777,1)-SUM(O775:O777))),IF(S775&lt;0,IF(I777="",SMALL(P775:P777,1)-SUM(O775:O777),0),LARGE(P775:P777,1)-SUM(O775:O777)))))</f>
        <v>8.9299999999999962</v>
      </c>
      <c r="W775" s="470">
        <f>IF($D775=$D772,IF(S775&lt;0,IF(I777="",S775,0),S775)+W772,S775)</f>
        <v>8.93</v>
      </c>
      <c r="X775" s="480" t="str">
        <f>IF(OR(SUM(R775:R777)=0,V775=W775),ROUND(IF(W775=0,0,W775/Y775)*100,2)&amp;"%",ROUND(IF(V775=0,0,V775/Y775)*100,2)&amp;"% a "&amp;ROUND(IF(W775=0,0,W775/Y775)*100,2)&amp;"%")</f>
        <v>5,68%</v>
      </c>
      <c r="Y775" s="471">
        <f>IF($D775=$D772,Y772+SUM(O775:O777),SUM(O775:O777))</f>
        <v>157.30000000000001</v>
      </c>
      <c r="Z775" s="470">
        <f>IF($B775=" ",SUM(O775:O777),0)+Z772</f>
        <v>0</v>
      </c>
      <c r="AA775" s="470">
        <f>IF(G775="","",IF($B775="Anulado",LARGE(P775:P777,1)-SUM(O775:O777)+AA772,AA772))</f>
        <v>13.381099999999991</v>
      </c>
      <c r="AB775" s="470">
        <f>IF($D775="","",AB772+S775)</f>
        <v>856.62000000000069</v>
      </c>
      <c r="AC775" s="472">
        <f ca="1">IF($D775="","",IF($B775=" ",IF(DAY(G775)=DAY(TODAY()),1+AC772,0+AC772),0+AC772))</f>
        <v>0</v>
      </c>
      <c r="AD775" s="103">
        <f>(((L776/(L776-1)-1)*(1-_xlfn.XLOOKUP(K776,'Fevereiro 2023 - Valor Real'!A3:A15,'Fevereiro 2023 - Valor Real'!C3:C15,0))+1))/(((L775-1)*(1-_xlfn.XLOOKUP(K775,'Fevereiro 2023 - Valor Real'!A3:A15,'Fevereiro 2023 - Valor Real'!C3:C15,0))+1)+((L776/(L776-1)-1)*(1-_xlfn.XLOOKUP(K776,'Fevereiro 2023 - Valor Real'!A3:A15,'Fevereiro 2023 - Valor Real'!C3:C15,0))+1))</f>
        <v>0.45872899926953975</v>
      </c>
      <c r="AE775" s="104">
        <f>IF(L775="","",IF(L777&gt;0,(SUM(((L775-1)*(1-_xlfn.XLOOKUP(K775,'Fevereiro 2023 - Valor Real'!A3:A15,'Fevereiro 2023 - Valor Real'!C3:C15,0))+1),((L776-1)*(1-_xlfn.XLOOKUP(K776,'Fevereiro 2023 - Valor Real'!A3:A15,'Fevereiro 2023 - Valor Real'!C3:C15,0))+1),((L777-1)*(1-_xlfn.XLOOKUP(K777,'Fevereiro 2023 - Valor Real'!A3:A15,'Fevereiro 2023 - Valor Real'!C3:C15,0))+1))/((L775-1)*(1-_xlfn.XLOOKUP(K775,'Fevereiro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Real'!C3:C15,0))+1))/((L775-1)*(1-_xlfn.XLOOKUP(K775,'Fevereiro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Real'!C3:C15,0))+1))/((L776-1)*(1-_xlfn.XLOOKUP(K776,'Fevereiro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Real'!C3:C15,0))+1))/((L777-1)*(1-_xlfn.XLOOKUP(K777,'Fevereiro 2023 - Valor Real'!A3:A15,'Fevereiro 2023 - Valor Real'!C3:C15,0))+1)),IF(I775="Lay",IF(I776="Lay",((L776/(L776-1)-1)*(1-_xlfn.XLOOKUP(K776,'Fevereiro 2023 - Valor Real'!A3:A15,'Fevereiro 2023 - Valor Real'!C3:C15,0))+1)/(((L776/(L776-1)-1)*(1-_xlfn.XLOOKUP(K776,'Fevereiro 2023 - Valor Real'!A3:A15,'Fevereiro 2023 - Valor Real'!C3:C15,0))+1)+((L775/(L775-1)-1)*(1-_xlfn.XLOOKUP(K775,'Fevereiro 2023 - Valor Real'!A3:A15,'Fevereiro 2023 - Valor Real'!C3:C15,0))+1)),((L776-1)*(1-_xlfn.XLOOKUP(K776,'Fevereiro 2023 - Valor Real'!A3:A15,'Fevereiro 2023 - Valor Real'!C3:C15,0))+1)/(((L776-1)*(1-_xlfn.XLOOKUP(K776,'Fevereiro 2023 - Valor Real'!A3:A15,'Fevereiro 2023 - Valor Real'!C3:C15,0))+1)+((L775/(L775-1)-1)*(1-_xlfn.XLOOKUP(K775,'Fevereiro 2023 - Valor Real'!A3:A15,'Fevereiro 2023 - Valor Real'!C3:C15,0))+1))),IF(I776="Lay",(((L776/(L776-1)-1)*(1-_xlfn.XLOOKUP(K776,'Fevereiro 2023 - Valor Real'!A3:A15,'Fevereiro 2023 - Valor Real'!C3:C15,0))+1))/(((L775-1)*(1-_xlfn.XLOOKUP(K775,'Fevereiro 2023 - Valor Real'!A3:A15,'Fevereiro 2023 - Valor Real'!C3:C15,0))+1)+((L776/(L776-1)-1)*(1-_xlfn.XLOOKUP(K776,'Fevereiro 2023 - Valor Real'!A3:A15,'Fevereiro 2023 - Valor Real'!C3:C15,0))+1)),((L776-1)*(1-_xlfn.XLOOKUP(K776,'Fevereiro 2023 - Valor Real'!A3:A15,'Fevereiro 2023 - Valor Real'!C3:C15,0))+1)/(((L776-1)*(1-_xlfn.XLOOKUP(K776,'Fevereiro 2023 - Valor Real'!A3:A15,'Fevereiro 2023 - Valor Real'!C3:C15,0))+1)+((L775-1)*(1-_xlfn.XLOOKUP(K775,'Fevereiro 2023 - Valor Real'!A3:A15,'Fevereiro 2023 - Valor Real'!C3:C15,0))+1))))))</f>
        <v>0.32572614107883818</v>
      </c>
      <c r="AF775" s="105">
        <f t="shared" si="1571"/>
        <v>0</v>
      </c>
      <c r="AG775" s="106">
        <f t="shared" si="1571"/>
        <v>0</v>
      </c>
      <c r="AH775" s="106">
        <f t="shared" si="1571"/>
        <v>0</v>
      </c>
      <c r="AI775" s="106">
        <f t="shared" si="1571"/>
        <v>0</v>
      </c>
      <c r="AJ775" s="106">
        <f t="shared" si="1571"/>
        <v>-11.85</v>
      </c>
      <c r="AK775" s="106">
        <f t="shared" si="1571"/>
        <v>0</v>
      </c>
      <c r="AL775" s="106">
        <f t="shared" si="1571"/>
        <v>0</v>
      </c>
      <c r="AM775" s="106">
        <f t="shared" si="1571"/>
        <v>0</v>
      </c>
      <c r="AN775" s="106">
        <f t="shared" si="1571"/>
        <v>0</v>
      </c>
      <c r="AO775" s="106">
        <f t="shared" si="1571"/>
        <v>0</v>
      </c>
      <c r="AP775" s="106">
        <f t="shared" si="1571"/>
        <v>0</v>
      </c>
      <c r="AQ775" s="106">
        <f t="shared" si="1571"/>
        <v>0</v>
      </c>
      <c r="AR775" s="107">
        <f t="shared" si="1571"/>
        <v>0</v>
      </c>
      <c r="AS775" s="105">
        <f t="shared" ref="AS775:BE775" si="1574">IF(AND($B775=" ",$K775=AS$3),$O775,0)</f>
        <v>0</v>
      </c>
      <c r="AT775" s="106">
        <f t="shared" si="1574"/>
        <v>0</v>
      </c>
      <c r="AU775" s="106">
        <f t="shared" si="1574"/>
        <v>0</v>
      </c>
      <c r="AV775" s="106">
        <f t="shared" si="1574"/>
        <v>0</v>
      </c>
      <c r="AW775" s="106">
        <f t="shared" si="1574"/>
        <v>0</v>
      </c>
      <c r="AX775" s="106">
        <f t="shared" si="1574"/>
        <v>0</v>
      </c>
      <c r="AY775" s="108">
        <f t="shared" si="1574"/>
        <v>0</v>
      </c>
      <c r="AZ775" s="109">
        <f t="shared" si="1574"/>
        <v>0</v>
      </c>
      <c r="BA775" s="109">
        <f t="shared" si="1574"/>
        <v>0</v>
      </c>
      <c r="BB775" s="109">
        <f t="shared" si="1574"/>
        <v>0</v>
      </c>
      <c r="BC775" s="110">
        <f t="shared" si="1574"/>
        <v>0</v>
      </c>
      <c r="BD775" s="106">
        <f t="shared" si="1574"/>
        <v>0</v>
      </c>
      <c r="BE775" s="107">
        <f t="shared" si="1574"/>
        <v>0</v>
      </c>
      <c r="BF775" s="111">
        <f t="shared" si="1573"/>
        <v>0</v>
      </c>
      <c r="BG775" s="106">
        <f t="shared" si="1573"/>
        <v>0</v>
      </c>
      <c r="BH775" s="106">
        <f t="shared" si="1573"/>
        <v>0</v>
      </c>
      <c r="BI775" s="106">
        <f t="shared" si="1573"/>
        <v>0</v>
      </c>
      <c r="BJ775" s="106">
        <f t="shared" si="1573"/>
        <v>11.85</v>
      </c>
      <c r="BK775" s="106">
        <f t="shared" si="1573"/>
        <v>0</v>
      </c>
      <c r="BL775" s="106">
        <f t="shared" si="1573"/>
        <v>0</v>
      </c>
      <c r="BM775" s="108">
        <f t="shared" si="1573"/>
        <v>0</v>
      </c>
      <c r="BN775" s="109">
        <f t="shared" si="1573"/>
        <v>0</v>
      </c>
      <c r="BO775" s="109">
        <f t="shared" si="1573"/>
        <v>0</v>
      </c>
      <c r="BP775" s="109">
        <f t="shared" si="1573"/>
        <v>0</v>
      </c>
      <c r="BQ775" s="110">
        <f t="shared" si="1573"/>
        <v>0</v>
      </c>
      <c r="BR775" s="107">
        <f t="shared" si="1573"/>
        <v>0</v>
      </c>
      <c r="BS775" s="463">
        <f>IF($B775="LOSS",IF(AND($K775=BS$3,$C775="L"),-$O775,0)+IF(AND($K776=BS$3,$C776="L"),-$O776,0)+IF(AND($K777=BS$3,$C777="L"),-$O777,0),IF(OR(AND($K775=BS$3,OR($C775="W",$C775="1/2W")),AND($K776=BS$3,OR($C776="W",$C776="1/2W")),AND($K777=BS$3,OR($C777="W",$C777="1/2W"))),$S775,0))</f>
        <v>2.12</v>
      </c>
      <c r="BT775" s="462">
        <f>IF($B775="LOSS",IF(AND($K775=BT$3,$C775="L"),-$O775,0)+IF(AND($K776=BT$3,$C776="L"),-$O776,0)+IF(AND($K776=BT$3,$C777="L"),-$O777,0),IF(OR(AND($K776=BT$3,OR($C775="W",$C775="1/2W")),AND($K776=BT$3,OR($C776="W",$C776="1/2W")),AND($K776=BT$3,OR($C777="W",$C777="1/2W"))),$S775,0))</f>
        <v>0</v>
      </c>
      <c r="BU775" s="462">
        <f>IF($B775="LOSS",IF(AND($K775=BU$3,$C775="L"),-$O775,0)+IF(AND($K776=BU$3,$C776="L"),-$O776,0)+IF(AND($K776=BU$3,$C777="L"),-$O777,0),IF(OR(AND($K776=BU$3,OR($C775="W",$C775="1/2W")),AND($K776=BU$3,OR($C776="W",$C776="1/2W")),AND($K776=BU$3,OR($C777="W",$C777="1/2W"))),$S775,0))</f>
        <v>0</v>
      </c>
      <c r="BV775" s="462">
        <f t="shared" ref="BV775:CE775" si="1575">IF($B775="LOSS",IF(AND($K775=BV$3,$C775="L"),-$O775,0)+IF(AND($K776=BV$3,$C776="L"),-$O776,0)+IF(AND($K777=BV$3,$C777="L"),-$O777,0),IF(OR(AND($K775=BV$3,OR($C775="W",$C775="1/2W")),AND($K776=BV$3,OR($C776="W",$C776="1/2W")),AND($K777=BV$3,OR($C777="W",$C777="1/2W"))),$S775,0))</f>
        <v>0</v>
      </c>
      <c r="BW775" s="462">
        <f t="shared" si="1575"/>
        <v>0</v>
      </c>
      <c r="BX775" s="462">
        <f t="shared" si="1575"/>
        <v>0</v>
      </c>
      <c r="BY775" s="462">
        <f t="shared" si="1575"/>
        <v>0</v>
      </c>
      <c r="BZ775" s="460">
        <f t="shared" si="1575"/>
        <v>0</v>
      </c>
      <c r="CA775" s="460">
        <f t="shared" si="1575"/>
        <v>0</v>
      </c>
      <c r="CB775" s="460">
        <f t="shared" si="1575"/>
        <v>0</v>
      </c>
      <c r="CC775" s="460">
        <f t="shared" si="1575"/>
        <v>0</v>
      </c>
      <c r="CD775" s="473">
        <f t="shared" si="1575"/>
        <v>0</v>
      </c>
      <c r="CE775" s="479">
        <f t="shared" si="1575"/>
        <v>0</v>
      </c>
      <c r="CF775" s="113">
        <f t="shared" si="1540"/>
        <v>0</v>
      </c>
      <c r="CG775" s="114">
        <f t="shared" si="1541"/>
        <v>0</v>
      </c>
      <c r="CH775" s="114">
        <f t="shared" si="1542"/>
        <v>0</v>
      </c>
      <c r="CI775" s="114">
        <f t="shared" si="1543"/>
        <v>0</v>
      </c>
      <c r="CJ775" s="114">
        <f t="shared" si="1544"/>
        <v>0</v>
      </c>
      <c r="CK775" s="114">
        <f t="shared" si="1545"/>
        <v>0</v>
      </c>
      <c r="CL775" s="114">
        <f t="shared" si="1546"/>
        <v>0</v>
      </c>
      <c r="CM775" s="114">
        <f t="shared" si="1547"/>
        <v>0</v>
      </c>
      <c r="CN775" s="114">
        <f t="shared" si="1548"/>
        <v>0</v>
      </c>
      <c r="CO775" s="114">
        <f t="shared" si="1549"/>
        <v>1</v>
      </c>
      <c r="CP775" s="114">
        <f t="shared" si="1550"/>
        <v>0</v>
      </c>
      <c r="CQ775" s="114">
        <f t="shared" si="1551"/>
        <v>0</v>
      </c>
      <c r="CR775" s="114">
        <f t="shared" si="1552"/>
        <v>0</v>
      </c>
      <c r="CS775" s="114">
        <f t="shared" si="1553"/>
        <v>0</v>
      </c>
      <c r="CT775" s="115">
        <f t="shared" si="1554"/>
        <v>0</v>
      </c>
      <c r="CU775" s="116">
        <f t="shared" si="1555"/>
        <v>0</v>
      </c>
      <c r="CV775" s="116">
        <f t="shared" si="1556"/>
        <v>0</v>
      </c>
      <c r="CW775" s="116">
        <f t="shared" si="1557"/>
        <v>0</v>
      </c>
      <c r="CX775" s="116">
        <f t="shared" si="1558"/>
        <v>0</v>
      </c>
      <c r="CY775" s="116">
        <f t="shared" si="1559"/>
        <v>0</v>
      </c>
      <c r="CZ775" s="116">
        <f t="shared" si="1560"/>
        <v>0</v>
      </c>
      <c r="DA775" s="116">
        <f t="shared" si="1561"/>
        <v>0</v>
      </c>
      <c r="DB775" s="116">
        <f t="shared" si="1562"/>
        <v>0</v>
      </c>
      <c r="DC775" s="116">
        <f t="shared" si="1563"/>
        <v>0</v>
      </c>
      <c r="DD775" s="116">
        <f t="shared" si="1564"/>
        <v>0</v>
      </c>
      <c r="DE775" s="117">
        <f t="shared" si="1565"/>
        <v>0</v>
      </c>
      <c r="DF775" s="118">
        <f t="shared" si="1567"/>
        <v>43</v>
      </c>
      <c r="DG775" s="106">
        <f t="shared" si="1568"/>
        <v>57.167999999999992</v>
      </c>
      <c r="DH775" s="116">
        <f t="shared" si="1569"/>
        <v>16</v>
      </c>
      <c r="DI775" s="106">
        <f t="shared" si="1570"/>
        <v>68.699999999999989</v>
      </c>
      <c r="DJ775" s="201" t="str">
        <f>IF($D775="","",$D775)</f>
        <v>27</v>
      </c>
      <c r="DK775" s="465">
        <f>IF(AND($B775=" ",$D775&lt;&gt;""),1,0)</f>
        <v>0</v>
      </c>
    </row>
    <row r="776" spans="1:115" ht="14.5" customHeight="1" x14ac:dyDescent="0.2">
      <c r="A776" s="389"/>
      <c r="B776" s="456"/>
      <c r="C776" s="120" t="s">
        <v>54</v>
      </c>
      <c r="D776" s="374"/>
      <c r="E776" s="386"/>
      <c r="F776" s="377"/>
      <c r="G776" s="483"/>
      <c r="H776" s="476"/>
      <c r="I776" s="121" t="s">
        <v>52</v>
      </c>
      <c r="J776" s="122">
        <f>IF(OR(I775="TO",I775="TU",I775="TO1",I775="TU1",I775="TO2",I775="TU2"),J775,IF(OR(I775="AH1",I775="AH2"),IF(OR(I776="AH1",I776="AH2"),-J775,IF(OR(I776="EH1",I776="EH2"),-J775+0.5,"")),IF(OR(I775="EH1",I775="EH2"),IF(OR(I776="AH1",I776="AH2"),-J775+0.5,IF(OR(I776="EH1",I776="EH2"),-J775+1,"")),IF(AND(OR(I775="DNB1",I775="DNB2"),OR(I776="AH1",I776="AH2")),0,IF(AND(I775="Not ScoreBoth",OR(I776="TO1",I776="TO2")),0.5,"")))))</f>
        <v>1.5</v>
      </c>
      <c r="K776" s="123" t="s">
        <v>36</v>
      </c>
      <c r="L776" s="124">
        <v>1.57</v>
      </c>
      <c r="M776" s="125">
        <v>24.5</v>
      </c>
      <c r="N776" s="406"/>
      <c r="O776" s="126">
        <f>IF(OR(AE775="",AE776=""),"",ROUND(IF(L777&gt;0,IF(M776&gt;0,M776,IF(M775&gt;0,IF(N775=TRUE,ROUND((M775*AE776)/AE775,0),(M775*AE776)/AE775),IF(M776&gt;0,ROUND(M776,IF(N775=0,2,IF(N775=0.1,1,0))),IF(M777&gt;0,ROUND(O777*AE776/AE777,IF(N775=0,2,IF(N775=0.1,1,0))),0)))),IF(M776&gt;0,M776,ROUND((M775*AE776)/AE775,IF(N775=0,2,IF(N775=0.1,1,0))))),2))</f>
        <v>24.5</v>
      </c>
      <c r="P776" s="127">
        <f>IF(OR(L776="",O776=""),"",IF($C776="1/2W",O776/2+O776/2*L776,IF($C776="1/2L",O776/2,IF(I776="Lay",((O776*(L776/(L776-1)))-O776)*(1-_xlfn.XLOOKUP(K776,'Fevereiro 2023 - Valor Real'!A3:A15,'Fevereiro 2023 - Valor Real'!C3:C15,0))+O776,(O776*L776-O776)*(1-_xlfn.XLOOKUP(K776,'Fevereiro 2023 - Valor Real'!A3:A15,'Fevereiro 2023 - Valor Real'!C3:C15,0))+O776))))</f>
        <v>38.465000000000003</v>
      </c>
      <c r="Q776" s="128">
        <f>IF(K776="","",IF(_xlfn.XLOOKUP(K776,K$4:K775,$DJ$4:DJ775,0,,-1)=DJ776,_xlfn.XLOOKUP(K776,K$4:K775,Q$4:Q775,1,,-1)+1,1))</f>
        <v>5</v>
      </c>
      <c r="R776" s="129">
        <f>IF(K776="","",_xlfn.XLOOKUP(K776,K$4:K775,R$4:R775,0,,-1)+IF($C776=" ",1,0))</f>
        <v>0</v>
      </c>
      <c r="S776" s="403"/>
      <c r="T776" s="380"/>
      <c r="U776" s="380"/>
      <c r="V776" s="481"/>
      <c r="W776" s="380"/>
      <c r="X776" s="452"/>
      <c r="Y776" s="383"/>
      <c r="Z776" s="384"/>
      <c r="AA776" s="384"/>
      <c r="AB776" s="384"/>
      <c r="AC776" s="384"/>
      <c r="AD776" s="130">
        <f>(((L776/(L776-1)-1)*(1-_xlfn.XLOOKUP(K776,'Fevereiro 2023 - Valor Real'!A3:A15,'Fevereiro 2023 - Valor Real'!C3:C15,0))+1))</f>
        <v>2.7543859649122804</v>
      </c>
      <c r="AE776" s="131">
        <f>IF(L776="","",IF(L777&gt;0,(SUM(((L775-1)*(1-_xlfn.XLOOKUP(K775,'Fevereiro 2023 - Valor Real'!A3:A15,'Fevereiro 2023 - Valor Real'!C3:C15,0))+1),((L776-1)*(1-_xlfn.XLOOKUP(K776,'Fevereiro 2023 - Valor Real'!A3:A15,'Fevereiro 2023 - Valor Real'!C3:C15,0))+1),((L777-1)*(1-_xlfn.XLOOKUP(K777,'Fevereiro 2023 - Valor Real'!A3:A15,'Fevereiro 2023 - Valor Real'!C3:C15,0))+1))/((L776-1)*(1-_xlfn.XLOOKUP(K776,'Fevereiro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Real'!C3:C15,0))+1))/((L775-1)*(1-_xlfn.XLOOKUP(K775,'Fevereiro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Real'!C3:C15,0))+1))/((L776-1)*(1-_xlfn.XLOOKUP(K776,'Fevereiro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Real'!C3:C15,0))+1))/((L777-1)*(1-_xlfn.XLOOKUP(K777,'Fevereiro 2023 - Valor Real'!A3:A15,'Fevereiro 2023 - Valor Real'!C3:C15,0))+1)),IF(I776="Lay",IF(I775="Lay",((L775/(L775-1)-1)*(1-_xlfn.XLOOKUP(K775,'Fevereiro 2023 - Valor Real'!A3:A15,'Fevereiro 2023 - Valor Real'!C3:C15,0))+1)/(((L775/(L775-1)-1)*(1-_xlfn.XLOOKUP(K775,'Fevereiro 2023 - Valor Real'!A3:A15,'Fevereiro 2023 - Valor Real'!C3:C15,0))+1)+((L776/(L776-1)-1)*(1-_xlfn.XLOOKUP(K776,'Fevereiro 2023 - Valor Real'!A3:A15,'Fevereiro 2023 - Valor Real'!C3:C15,0))+1)),((L775-1)*(1-_xlfn.XLOOKUP(K775,'Fevereiro 2023 - Valor Real'!A3:A15,'Fevereiro 2023 - Valor Real'!C3:C15,0))+1)/(((L775-1)*(1-_xlfn.XLOOKUP(K775,'Fevereiro 2023 - Valor Real'!A3:A15,'Fevereiro 2023 - Valor Real'!C3:C15,0))+1)+((L776/(L776-1)-1)*(1-_xlfn.XLOOKUP(K776,'Fevereiro 2023 - Valor Real'!A3:A15,'Fevereiro 2023 - Valor Real'!C3:C15,0))+1))),IF(I775="Lay",((L775/(L775-1)-1)*(1-_xlfn.XLOOKUP(K775,'Fevereiro 2023 - Valor Real'!A3:A15,'Fevereiro 2023 - Valor Real'!C3:C15,0))+1)/((((L775/(L775-1)-1)*(1-_xlfn.XLOOKUP(K775,'Fevereiro 2023 - Valor Real'!A3:A15,'Fevereiro 2023 - Valor Real'!C3:C15,0))+1))+((L776-1)*(1-_xlfn.XLOOKUP(K776,'Fevereiro 2023 - Valor Real'!A3:A15,'Fevereiro 2023 - Valor Real'!C3:C15,0))+1)),((L775-1)*(1-_xlfn.XLOOKUP(K775,'Fevereiro 2023 - Valor Real'!A3:A15,'Fevereiro 2023 - Valor Real'!C3:C15,0))+1)/(((L775-1)*(1-_xlfn.XLOOKUP(K775,'Fevereiro 2023 - Valor Real'!A3:A15,'Fevereiro 2023 - Valor Real'!C3:C15,0))+1)+((L776-1)*(1-_xlfn.XLOOKUP(K776,'Fevereiro 2023 - Valor Real'!A3:A15,'Fevereiro 2023 - Valor Real'!C3:C15,0))+1))))))</f>
        <v>0.67427385892116176</v>
      </c>
      <c r="AF776" s="105">
        <f t="shared" si="1571"/>
        <v>13.97</v>
      </c>
      <c r="AG776" s="106">
        <f t="shared" si="1571"/>
        <v>0</v>
      </c>
      <c r="AH776" s="106">
        <f t="shared" si="1571"/>
        <v>0</v>
      </c>
      <c r="AI776" s="106">
        <f t="shared" si="1571"/>
        <v>0</v>
      </c>
      <c r="AJ776" s="106">
        <f t="shared" si="1571"/>
        <v>0</v>
      </c>
      <c r="AK776" s="106">
        <f t="shared" si="1571"/>
        <v>0</v>
      </c>
      <c r="AL776" s="106">
        <f t="shared" si="1571"/>
        <v>0</v>
      </c>
      <c r="AM776" s="106">
        <f t="shared" si="1571"/>
        <v>0</v>
      </c>
      <c r="AN776" s="106">
        <f t="shared" si="1571"/>
        <v>0</v>
      </c>
      <c r="AO776" s="106">
        <f t="shared" si="1571"/>
        <v>0</v>
      </c>
      <c r="AP776" s="106">
        <f t="shared" si="1571"/>
        <v>0</v>
      </c>
      <c r="AQ776" s="106">
        <f t="shared" si="1571"/>
        <v>0</v>
      </c>
      <c r="AR776" s="107">
        <f t="shared" si="1571"/>
        <v>0</v>
      </c>
      <c r="AS776" s="105">
        <f>IF(AND($B775=" ",$K776=AS$3),$O776,0)</f>
        <v>0</v>
      </c>
      <c r="AT776" s="106">
        <f>IF(AND($B775=" ",K776=AT$3),$O776,0)</f>
        <v>0</v>
      </c>
      <c r="AU776" s="106">
        <f t="shared" ref="AU776:BE776" si="1576">IF(AND($B775=" ",$K776=AU$3),$O776,0)</f>
        <v>0</v>
      </c>
      <c r="AV776" s="106">
        <f t="shared" si="1576"/>
        <v>0</v>
      </c>
      <c r="AW776" s="106">
        <f t="shared" si="1576"/>
        <v>0</v>
      </c>
      <c r="AX776" s="106">
        <f t="shared" si="1576"/>
        <v>0</v>
      </c>
      <c r="AY776" s="108">
        <f t="shared" si="1576"/>
        <v>0</v>
      </c>
      <c r="AZ776" s="109">
        <f t="shared" si="1576"/>
        <v>0</v>
      </c>
      <c r="BA776" s="109">
        <f t="shared" si="1576"/>
        <v>0</v>
      </c>
      <c r="BB776" s="109">
        <f t="shared" si="1576"/>
        <v>0</v>
      </c>
      <c r="BC776" s="110">
        <f t="shared" si="1576"/>
        <v>0</v>
      </c>
      <c r="BD776" s="106">
        <f t="shared" si="1576"/>
        <v>0</v>
      </c>
      <c r="BE776" s="107">
        <f t="shared" si="1576"/>
        <v>0</v>
      </c>
      <c r="BF776" s="105">
        <f t="shared" si="1573"/>
        <v>24.5</v>
      </c>
      <c r="BG776" s="106">
        <f t="shared" si="1573"/>
        <v>0</v>
      </c>
      <c r="BH776" s="106">
        <f t="shared" si="1573"/>
        <v>0</v>
      </c>
      <c r="BI776" s="106">
        <f t="shared" si="1573"/>
        <v>0</v>
      </c>
      <c r="BJ776" s="106">
        <f t="shared" si="1573"/>
        <v>0</v>
      </c>
      <c r="BK776" s="106">
        <f t="shared" si="1573"/>
        <v>0</v>
      </c>
      <c r="BL776" s="106">
        <f t="shared" si="1573"/>
        <v>0</v>
      </c>
      <c r="BM776" s="132">
        <f t="shared" si="1573"/>
        <v>0</v>
      </c>
      <c r="BN776" s="112">
        <f t="shared" si="1573"/>
        <v>0</v>
      </c>
      <c r="BO776" s="112">
        <f t="shared" si="1573"/>
        <v>0</v>
      </c>
      <c r="BP776" s="112">
        <f t="shared" si="1573"/>
        <v>0</v>
      </c>
      <c r="BQ776" s="110">
        <f t="shared" si="1573"/>
        <v>0</v>
      </c>
      <c r="BR776" s="107">
        <f t="shared" si="1573"/>
        <v>0</v>
      </c>
      <c r="BS776" s="464"/>
      <c r="BT776" s="461"/>
      <c r="BU776" s="392"/>
      <c r="BV776" s="461"/>
      <c r="BW776" s="392"/>
      <c r="BX776" s="392"/>
      <c r="BY776" s="392"/>
      <c r="BZ776" s="461"/>
      <c r="CA776" s="392"/>
      <c r="CB776" s="392"/>
      <c r="CC776" s="392"/>
      <c r="CD776" s="401"/>
      <c r="CE776" s="409"/>
      <c r="CF776" s="133">
        <f t="shared" si="1540"/>
        <v>1</v>
      </c>
      <c r="CG776" s="134">
        <f t="shared" si="1541"/>
        <v>0</v>
      </c>
      <c r="CH776" s="134">
        <f t="shared" si="1542"/>
        <v>0</v>
      </c>
      <c r="CI776" s="134">
        <f t="shared" si="1543"/>
        <v>0</v>
      </c>
      <c r="CJ776" s="134">
        <f t="shared" si="1544"/>
        <v>0</v>
      </c>
      <c r="CK776" s="134">
        <f t="shared" si="1545"/>
        <v>0</v>
      </c>
      <c r="CL776" s="134">
        <f t="shared" si="1546"/>
        <v>0</v>
      </c>
      <c r="CM776" s="134">
        <f t="shared" si="1547"/>
        <v>0</v>
      </c>
      <c r="CN776" s="134">
        <f t="shared" si="1548"/>
        <v>0</v>
      </c>
      <c r="CO776" s="134">
        <f t="shared" si="1549"/>
        <v>0</v>
      </c>
      <c r="CP776" s="134">
        <f t="shared" si="1550"/>
        <v>0</v>
      </c>
      <c r="CQ776" s="134">
        <f t="shared" si="1551"/>
        <v>0</v>
      </c>
      <c r="CR776" s="134">
        <f t="shared" si="1552"/>
        <v>0</v>
      </c>
      <c r="CS776" s="134">
        <f t="shared" si="1553"/>
        <v>0</v>
      </c>
      <c r="CT776" s="115">
        <f t="shared" si="1554"/>
        <v>0</v>
      </c>
      <c r="CU776" s="116">
        <f t="shared" si="1555"/>
        <v>0</v>
      </c>
      <c r="CV776" s="116">
        <f t="shared" si="1556"/>
        <v>0</v>
      </c>
      <c r="CW776" s="116">
        <f t="shared" si="1557"/>
        <v>0</v>
      </c>
      <c r="CX776" s="116">
        <f t="shared" si="1558"/>
        <v>0</v>
      </c>
      <c r="CY776" s="116">
        <f t="shared" si="1559"/>
        <v>0</v>
      </c>
      <c r="CZ776" s="116">
        <f t="shared" si="1560"/>
        <v>0</v>
      </c>
      <c r="DA776" s="116">
        <f t="shared" si="1561"/>
        <v>0</v>
      </c>
      <c r="DB776" s="116">
        <f t="shared" si="1562"/>
        <v>0</v>
      </c>
      <c r="DC776" s="116">
        <f t="shared" si="1563"/>
        <v>0</v>
      </c>
      <c r="DD776" s="116">
        <f t="shared" si="1564"/>
        <v>0</v>
      </c>
      <c r="DE776" s="117">
        <f t="shared" si="1565"/>
        <v>0</v>
      </c>
      <c r="DF776" s="118">
        <f t="shared" si="1567"/>
        <v>43</v>
      </c>
      <c r="DG776" s="106">
        <f t="shared" si="1568"/>
        <v>57.167999999999992</v>
      </c>
      <c r="DH776" s="116">
        <f t="shared" si="1569"/>
        <v>16</v>
      </c>
      <c r="DI776" s="106">
        <f t="shared" si="1570"/>
        <v>68.699999999999989</v>
      </c>
      <c r="DJ776" s="201" t="str">
        <f>IF($D775="","",$D775)</f>
        <v>27</v>
      </c>
      <c r="DK776" s="466"/>
    </row>
    <row r="777" spans="1:115" ht="14.5" customHeight="1" x14ac:dyDescent="0.2">
      <c r="A777" s="390"/>
      <c r="B777" s="457"/>
      <c r="C777" s="135" t="s">
        <v>53</v>
      </c>
      <c r="D777" s="375"/>
      <c r="E777" s="387"/>
      <c r="F777" s="378"/>
      <c r="G777" s="484"/>
      <c r="H777" s="477"/>
      <c r="I777" s="136"/>
      <c r="J777" s="137"/>
      <c r="K777" s="138"/>
      <c r="L777" s="139"/>
      <c r="M777" s="140"/>
      <c r="N777" s="407"/>
      <c r="O777" s="141" t="str">
        <f>IF(OR(AE775="",AE776=""),"",IF(L777&gt;0,ROUND(IF(M777&gt;0,M777,IF(M775&gt;0,ROUND((M775*AE777)/AE775,IF(N775=0,2,IF(N775=0.1,1,0))),IF(M776&gt;0,ROUND((M776*AE777)/AE776,IF(N775=0,2,IF(N775=0.1,1,0))),IF(M777&gt;0,M777,0)))),2),""))</f>
        <v/>
      </c>
      <c r="P777" s="142" t="str">
        <f>IF(I776="Lay",O776*(L776/(L776-1))-O776,IF(I775="Lay",O775*(L775/(L775-1))-O775,IF(OR(L777="",O777=""),"",IF($C777="1/2W",O777/2+O777/2*L777,IF($C777="1/2L",O777/2,(O777*L777-O777)*(1-_xlfn.XLOOKUP(K777,'Fevereiro 2023 - Valor Real'!A3:A15,'Fevereiro 2023 - Valor Real'!C3:C15,0))+O777)))))</f>
        <v/>
      </c>
      <c r="Q777" s="221" t="str">
        <f>IF(K777="","",IF(_xlfn.XLOOKUP(K777,K$4:K776,$DJ$4:DJ776,0,,-1)=DJ777,_xlfn.XLOOKUP(K777,K$4:K776,Q$4:Q776,1,,-1)+1,1))</f>
        <v/>
      </c>
      <c r="R777" s="144" t="str">
        <f>IF(K777="","",_xlfn.XLOOKUP(K777,K$4:K776,R$4:R776,0,,-1)+IF($C777=" ",1,0))</f>
        <v/>
      </c>
      <c r="S777" s="404"/>
      <c r="T777" s="378"/>
      <c r="U777" s="378"/>
      <c r="V777" s="404"/>
      <c r="W777" s="378"/>
      <c r="X777" s="453"/>
      <c r="Y777" s="383"/>
      <c r="Z777" s="384"/>
      <c r="AA777" s="384"/>
      <c r="AB777" s="384"/>
      <c r="AC777" s="384"/>
      <c r="AD777" s="145">
        <f>((L776/(L776-1)-1))</f>
        <v>1.7543859649122804</v>
      </c>
      <c r="AE777" s="146" t="str">
        <f>IF(L777="","",(SUM(((L775-1)*(1-_xlfn.XLOOKUP(K775,'Fevereiro 2023 - Valor Real'!A3:A15,'Fevereiro 2023 - Valor Real'!C3:C15,0))+1),((L776-1)*(1-_xlfn.XLOOKUP(K776,'Fevereiro 2023 - Valor Real'!A3:A15,'Fevereiro 2023 - Valor Real'!C3:C15,0))+1),((L777-1)*(1-_xlfn.XLOOKUP(K777,'Fevereiro 2023 - Valor Real'!A3:A15,'Fevereiro 2023 - Valor Real'!C3:C15,0))+1))/((L777-1)*(1-_xlfn.XLOOKUP(K777,'Fevereiro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Real'!C3:C15,0))+1))/((L775-1)*(1-_xlfn.XLOOKUP(K775,'Fevereiro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Real'!C3:C15,0))+1))/((L776-1)*(1-_xlfn.XLOOKUP(K776,'Fevereiro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Real'!C3:C15,0))+1))/((L777-1)*(1-_xlfn.XLOOKUP(K777,'Fevereiro 2023 - Valor Real'!A3:A15,'Fevereiro 2023 - Valor Real'!C3:C15,0))+1)))</f>
        <v/>
      </c>
      <c r="AF777" s="105">
        <f t="shared" si="1571"/>
        <v>0</v>
      </c>
      <c r="AG777" s="106">
        <f t="shared" si="1571"/>
        <v>0</v>
      </c>
      <c r="AH777" s="106">
        <f t="shared" si="1571"/>
        <v>0</v>
      </c>
      <c r="AI777" s="106">
        <f t="shared" si="1571"/>
        <v>0</v>
      </c>
      <c r="AJ777" s="106">
        <f t="shared" si="1571"/>
        <v>0</v>
      </c>
      <c r="AK777" s="106">
        <f t="shared" si="1571"/>
        <v>0</v>
      </c>
      <c r="AL777" s="106">
        <f t="shared" si="1571"/>
        <v>0</v>
      </c>
      <c r="AM777" s="106">
        <f t="shared" si="1571"/>
        <v>0</v>
      </c>
      <c r="AN777" s="106">
        <f t="shared" si="1571"/>
        <v>0</v>
      </c>
      <c r="AO777" s="106">
        <f t="shared" si="1571"/>
        <v>0</v>
      </c>
      <c r="AP777" s="106">
        <f t="shared" si="1571"/>
        <v>0</v>
      </c>
      <c r="AQ777" s="106">
        <f t="shared" si="1571"/>
        <v>0</v>
      </c>
      <c r="AR777" s="107">
        <f t="shared" si="1571"/>
        <v>0</v>
      </c>
      <c r="AS777" s="105">
        <f>IF(AND($B775=" ",$K777=AS$3),$O777,0)</f>
        <v>0</v>
      </c>
      <c r="AT777" s="106">
        <f>IF(AND($B775=" ",K777=AT$3),$O777,0)</f>
        <v>0</v>
      </c>
      <c r="AU777" s="106">
        <f t="shared" ref="AU777:BE777" si="1577">IF(AND($B775=" ",$K777=AU$3),$O777,0)</f>
        <v>0</v>
      </c>
      <c r="AV777" s="106">
        <f t="shared" si="1577"/>
        <v>0</v>
      </c>
      <c r="AW777" s="106">
        <f t="shared" si="1577"/>
        <v>0</v>
      </c>
      <c r="AX777" s="106">
        <f t="shared" si="1577"/>
        <v>0</v>
      </c>
      <c r="AY777" s="108">
        <f t="shared" si="1577"/>
        <v>0</v>
      </c>
      <c r="AZ777" s="109">
        <f t="shared" si="1577"/>
        <v>0</v>
      </c>
      <c r="BA777" s="109">
        <f t="shared" si="1577"/>
        <v>0</v>
      </c>
      <c r="BB777" s="109">
        <f t="shared" si="1577"/>
        <v>0</v>
      </c>
      <c r="BC777" s="110">
        <f t="shared" si="1577"/>
        <v>0</v>
      </c>
      <c r="BD777" s="106">
        <f t="shared" si="1577"/>
        <v>0</v>
      </c>
      <c r="BE777" s="107">
        <f t="shared" si="1577"/>
        <v>0</v>
      </c>
      <c r="BF777" s="105">
        <f t="shared" si="1573"/>
        <v>0</v>
      </c>
      <c r="BG777" s="106">
        <f t="shared" si="1573"/>
        <v>0</v>
      </c>
      <c r="BH777" s="106">
        <f t="shared" si="1573"/>
        <v>0</v>
      </c>
      <c r="BI777" s="106">
        <f t="shared" si="1573"/>
        <v>0</v>
      </c>
      <c r="BJ777" s="106">
        <f t="shared" si="1573"/>
        <v>0</v>
      </c>
      <c r="BK777" s="106">
        <f t="shared" si="1573"/>
        <v>0</v>
      </c>
      <c r="BL777" s="106">
        <f t="shared" si="1573"/>
        <v>0</v>
      </c>
      <c r="BM777" s="108">
        <f t="shared" si="1573"/>
        <v>0</v>
      </c>
      <c r="BN777" s="109">
        <f t="shared" si="1573"/>
        <v>0</v>
      </c>
      <c r="BO777" s="109">
        <f t="shared" si="1573"/>
        <v>0</v>
      </c>
      <c r="BP777" s="109">
        <f t="shared" si="1573"/>
        <v>0</v>
      </c>
      <c r="BQ777" s="110">
        <f t="shared" si="1573"/>
        <v>0</v>
      </c>
      <c r="BR777" s="107">
        <f t="shared" si="1573"/>
        <v>0</v>
      </c>
      <c r="BS777" s="464"/>
      <c r="BT777" s="461"/>
      <c r="BU777" s="392"/>
      <c r="BV777" s="461"/>
      <c r="BW777" s="392"/>
      <c r="BX777" s="392"/>
      <c r="BY777" s="392"/>
      <c r="BZ777" s="461"/>
      <c r="CA777" s="392"/>
      <c r="CB777" s="392"/>
      <c r="CC777" s="392"/>
      <c r="CD777" s="401"/>
      <c r="CE777" s="409"/>
      <c r="CF777" s="133">
        <f t="shared" si="1540"/>
        <v>0</v>
      </c>
      <c r="CG777" s="134">
        <f t="shared" si="1541"/>
        <v>0</v>
      </c>
      <c r="CH777" s="134">
        <f t="shared" si="1542"/>
        <v>0</v>
      </c>
      <c r="CI777" s="134">
        <f t="shared" si="1543"/>
        <v>0</v>
      </c>
      <c r="CJ777" s="134">
        <f t="shared" si="1544"/>
        <v>0</v>
      </c>
      <c r="CK777" s="134">
        <f t="shared" si="1545"/>
        <v>0</v>
      </c>
      <c r="CL777" s="134">
        <f t="shared" si="1546"/>
        <v>0</v>
      </c>
      <c r="CM777" s="134">
        <f t="shared" si="1547"/>
        <v>0</v>
      </c>
      <c r="CN777" s="134">
        <f t="shared" si="1548"/>
        <v>0</v>
      </c>
      <c r="CO777" s="134">
        <f t="shared" si="1549"/>
        <v>0</v>
      </c>
      <c r="CP777" s="134">
        <f t="shared" si="1550"/>
        <v>0</v>
      </c>
      <c r="CQ777" s="134">
        <f t="shared" si="1551"/>
        <v>0</v>
      </c>
      <c r="CR777" s="134">
        <f t="shared" si="1552"/>
        <v>0</v>
      </c>
      <c r="CS777" s="134">
        <f t="shared" si="1553"/>
        <v>0</v>
      </c>
      <c r="CT777" s="115">
        <f t="shared" si="1554"/>
        <v>0</v>
      </c>
      <c r="CU777" s="116">
        <f t="shared" si="1555"/>
        <v>0</v>
      </c>
      <c r="CV777" s="116">
        <f t="shared" si="1556"/>
        <v>0</v>
      </c>
      <c r="CW777" s="116">
        <f t="shared" si="1557"/>
        <v>0</v>
      </c>
      <c r="CX777" s="116">
        <f t="shared" si="1558"/>
        <v>0</v>
      </c>
      <c r="CY777" s="116">
        <f t="shared" si="1559"/>
        <v>0</v>
      </c>
      <c r="CZ777" s="116">
        <f t="shared" si="1560"/>
        <v>0</v>
      </c>
      <c r="DA777" s="116">
        <f t="shared" si="1561"/>
        <v>0</v>
      </c>
      <c r="DB777" s="116">
        <f t="shared" si="1562"/>
        <v>0</v>
      </c>
      <c r="DC777" s="116">
        <f t="shared" si="1563"/>
        <v>0</v>
      </c>
      <c r="DD777" s="116">
        <f t="shared" si="1564"/>
        <v>0</v>
      </c>
      <c r="DE777" s="117">
        <f t="shared" si="1565"/>
        <v>0</v>
      </c>
      <c r="DF777" s="118">
        <f t="shared" si="1567"/>
        <v>43</v>
      </c>
      <c r="DG777" s="106">
        <f t="shared" si="1568"/>
        <v>57.167999999999992</v>
      </c>
      <c r="DH777" s="116">
        <f t="shared" si="1569"/>
        <v>16</v>
      </c>
      <c r="DI777" s="106">
        <f t="shared" si="1570"/>
        <v>68.699999999999989</v>
      </c>
      <c r="DJ777" s="201" t="str">
        <f>IF($D775="","",$D775)</f>
        <v>27</v>
      </c>
      <c r="DK777" s="466"/>
    </row>
    <row r="778" spans="1:115" ht="14.5" customHeight="1" x14ac:dyDescent="0.2">
      <c r="A778" s="487">
        <f>$A775+1</f>
        <v>259</v>
      </c>
      <c r="B778" s="506" t="str">
        <f>IF(OR(C778="W",C779="W",C780="W",C778="1/2W",C779="1/2W",C780="1/2W",C778="1/2L",C779="1/2L",C780="1/2L"),"OK",IF(OR(C778="L",C779="L",C780="L"),"LOSS",IF(OR(C778="X",C779="X",C780="X"),"Anulado"," ")))</f>
        <v>OK</v>
      </c>
      <c r="C778" s="147" t="s">
        <v>55</v>
      </c>
      <c r="D778" s="494" t="str">
        <f>IF(G778="","",$D775)</f>
        <v>27</v>
      </c>
      <c r="E778" s="511" t="str">
        <f>IF(G778=""," ","– "&amp;COUNTIF(D$4:D780,$D778))</f>
        <v>– 6</v>
      </c>
      <c r="F778" s="510" t="str">
        <f ca="1">IF(G778="","",IF(OR(AND($C778&lt;&gt;" ",$C779=" "),AND($C779&lt;&gt;" ",$C778=" "),AND(L780&gt;0,OR(AND($C780&lt;&gt;" ",OR($C778=" ",$C779=" ")),AND($C780=" ",OR($C778&lt;&gt;" ",$C779&lt;&gt;" "))))),IF(SUM(F$4:F777)=0,1,LARGE(F$4:F777,1)+1),IF(MONTH(G778)=MONTH(TODAY()),IF(AND(DAY(G778)&lt;DAY(TODAY()),$B778=" "),IF(SUM(F$4:F777)=0,1,LARGE(F$4:F777,1)+1),IF($B778=" ",IF(AND(DAY(G778)=DAY(TODAY()),HOUR(G778)&lt;=HOUR(NOW())+1),IF(AND(HOUR(G778)+2&lt;=HOUR(NOW()),DAY(G778)&lt;=DAY(TODAY()),MINUTE(G778)&lt;=MINUTE(NOW())),IF(SUM(F$4:F777)=0,1,LARGE(F$4:F777,1)+1),IF(OR(MINUTE(G778)&lt;=MINUTE(NOW()),HOUR(G778)&lt;=HOUR(NOW())),"!!!","")),""),"")),"")))</f>
        <v/>
      </c>
      <c r="G778" s="517">
        <v>45012.375</v>
      </c>
      <c r="H778" s="516" t="s">
        <v>266</v>
      </c>
      <c r="I778" s="222" t="s">
        <v>63</v>
      </c>
      <c r="J778" s="241"/>
      <c r="K778" s="224" t="s">
        <v>36</v>
      </c>
      <c r="L778" s="225">
        <v>1.5</v>
      </c>
      <c r="M778" s="226">
        <v>13</v>
      </c>
      <c r="N778" s="503">
        <v>0</v>
      </c>
      <c r="O778" s="153">
        <f>IF(OR(AE778="",AE779=""),"",ROUND(IF(L780&gt;0,IF(M778&gt;0,M778,IF(M779&gt;0,ROUND((M779*AE778)/AE779,IF(N778=0,2,IF(N778=0.1,1,0))),ROUND((M780*AE778)/AE780,IF(N778=0,2,IF(N778=0.1,1,0))))),IF(M778&gt;0,M778,ROUND((M779*AE778)/AE779,IF(N778=0,2,IF(N778=0.1,1,0))))),2))</f>
        <v>13</v>
      </c>
      <c r="P778" s="227">
        <f>IF(OR(L778="",O778=""),"",IF($C778="1/2W",O778/2+O778/2*L778,IF($C778="1/2L",O778/2,IF(I778="Lay",(O778*(L778/(L778-1))-O778)*(1-_xlfn.XLOOKUP(K778,'Fevereiro 2023 - Valor Real'!A3:A15,'Fevereiro 2023 - Valor Real'!C3:C15,0))+O778,(O778*L778-O778)*(1-_xlfn.XLOOKUP(K778,'Fevereiro 2023 - Valor Real'!A3:A15,'Fevereiro 2023 - Valor Real'!C3:C15,0))+O778))))</f>
        <v>19.5</v>
      </c>
      <c r="Q778" s="228">
        <f>IF(K778="","",IF(_xlfn.XLOOKUP(K778,K$4:K777,$DJ$4:DJ777,0,,-1)=DJ778,_xlfn.XLOOKUP(K778,K$4:K777,Q$4:Q777,1,,-1)+1,1))</f>
        <v>6</v>
      </c>
      <c r="R778" s="229">
        <f>IF(K778="","",_xlfn.XLOOKUP(K778,K$4:K777,R$4:R777,0,,-1)+IF($C778=" ",1,0))</f>
        <v>0</v>
      </c>
      <c r="S778" s="501">
        <f>IF($B778="Anulado",0,ROUND(IF(OR($B778="LOSS",$B778="OK"),IF(OR($C778="W",$C778="1/2W",$C778="1/2L"),P778-O778,IF($C778="L",-O778,0))+IF(OR($C779="W",$C779="1/2W",$C779="1/2L"),P779-O779,IF($C779="L",-O779,0))+IF(OR($C780="W",$C780="1/2W",$C780="1/2L"),P780-O780,IF($C780="L",-O780,0)),IF(AND(OR($C778="W",$C778="1/2W",$C778="1/2L"),C779="W"),P778+P779-SUM(O778:O780)+_xlfn.XLOOKUP("X",C778:C780,O778:O780,0),IF(AND(C778=TRUE,C780="W"),P778+P780-SUM(O778:O780),IF(AND(C779="W",C780="W"),P779+P780-SUM(O778:O780)+_xlfn.XLOOKUP("X",C778:C780,O778:O780,0),IF(L780&gt;0,IF(OR($C778="W",$C778="1/2W",$C778="1/2L"),P778-SUM(O778:O780)+_xlfn.XLOOKUP("X",C778:C780,O778:O780,0),IF(OR($C778="W",$C778="1/2W",$C778="1/2L"),P779-SUM(O778:O780)+_xlfn.XLOOKUP("X",C778:C780,O778:O780,0),IF(OR($C778="W",$C778="1/2W",$C778="1/2L"),P780-SUM(O778:O780)+_xlfn.XLOOKUP("X",C778:C780,O778:O780,0),IF(SUM(P778:P780)/3-SUM(O778:O780)+_xlfn.XLOOKUP("X",C778:C780,O778:O780,0)&gt;0,SUM(P778:P780)/3-SUM(O778:O780)+_xlfn.XLOOKUP("X",C778:C780,O778:O780,0),LARGE(P778:P780,1)-SUM(O778:O780))))),IF(OR($C778="W",$C778="1/2W",$C778="1/2L"),P778-SUM(O778:O779)+_xlfn.XLOOKUP("X",C778:C780,O778:O780,0),IF(OR($C778="W",$C778="1/2W",$C778="1/2L"),P779-SUM(O778:O779)+_xlfn.XLOOKUP("X",C778:C780,O778:O780,0),SUM(P778:P779)/2-SUM(O778:O779)+_xlfn.XLOOKUP("X",C778:C780,O778:O780,0)))))))),2))</f>
        <v>-0.98</v>
      </c>
      <c r="T778" s="486">
        <f>IF(S778=0,0,S778/SUM(O778:O780))</f>
        <v>-5.5025266704098824E-2</v>
      </c>
      <c r="U778" s="496">
        <f>IF($D778=$D775,IF(OR($B778="LOSS",$B778="OK",$B778="Anulada"),S778,0)+U775,IF(OR($B778="LOSS",$B778="OK",$B778="Anulada"),S778,0))</f>
        <v>7.9499999999999993</v>
      </c>
      <c r="V778" s="496">
        <f>IF($D778="",0,IF($D778=$D775,IF($B778=" ",IF(I780="",IF(OR(AND(I778="DNB1",I779="DNB2"),AND(OR(I778="DNB1",I778="DNB2"),J779=0),AND(OR(I779="DNB1",I779="DNB2"),J778=0),AND(I778="DNB2",I779="DNB1"),AND(IF(J778=0,(J778+1)/ROUND(J778+1,0),J778/ROUND(J778,0))=1,IF(J779=0,(J779+1)/ROUND(IF(J779="",0,J779)+1,0),IF(J779="",0,J779)/ROUND(IF(J779="",1,J779),0))=1,OR(J778&lt;&gt;""),J779&lt;&gt;"")),0,IF(S778&lt;0,IF(I780="",SMALL(P778:P779,1)-SUM(O778:O779),0),SMALL(P778:P779,1)-SUM(O778:O779))),IF(S778&lt;0,IF(I780="",SMALL(P778:P780,1)-SUM(O778:O780),0),LARGE(P778:P780,1)-SUM(O778:O780))),S778)+V775,IF(I780="",IF(OR(AND(I778="DNB1",I779="DNB2"),AND(OR(I778="DNB1",I778="DNB2"),J779=0),AND(OR(I779="DNB1",I779="DNB2"),J778=0),AND(I778="DNB2",I779="DNB1"),AND(IF(J778=0,(J778+1)/ROUND(J778+1,0),J778/ROUND(J778,0))=1,IF(J779=0,(IF(J779="",0,J779)+1)/ROUND(IF(J779="",0,J779)+1,0),IF(J779="",0,J779)/ROUND(IF(J779="",0,J779)+1,0))=1,OR(J778&lt;&gt;""),J779&lt;&gt;"")),0,IF(S778&lt;0,IF(I780="",SMALL(P778:P779,1)-SUM(O778:O779),0),SMALL(P778:P780,1)-SUM(O778:O780))),IF(S778&lt;0,IF(I780="",SMALL(P778:P780,1)-SUM(O778:O780),0),LARGE(P778:P780,1)-SUM(O778:O780)))))</f>
        <v>7.9499999999999957</v>
      </c>
      <c r="W778" s="496">
        <f>IF($D778=$D775,IF(S778&lt;0,IF(I780="",S778,0),S778)+W775,S778)</f>
        <v>7.9499999999999993</v>
      </c>
      <c r="X778" s="505" t="str">
        <f>IF(OR(SUM(R778:R780)=0,V778=W778),ROUND(IF(W778=0,0,W778/Y778)*100,2)&amp;"%",ROUND(IF(V778=0,0,V778/Y778)*100,2)&amp;"% a "&amp;ROUND(IF(W778=0,0,W778/Y778)*100,2)&amp;"%")</f>
        <v>4,54%</v>
      </c>
      <c r="Y778" s="497">
        <f>IF($D778=$D775,Y775+SUM(O778:O780),SUM(O778:O780))</f>
        <v>175.11</v>
      </c>
      <c r="Z778" s="496">
        <f>IF($B778=" ",SUM(O778:O780),0)+Z775</f>
        <v>0</v>
      </c>
      <c r="AA778" s="496">
        <f>IF(G778="","",IF($B778="Anulado",LARGE(P778:P780,1)-SUM(O778:O780)+AA775,AA775))</f>
        <v>13.381099999999991</v>
      </c>
      <c r="AB778" s="496">
        <f>IF($D778="","",AB775+S778)</f>
        <v>855.64000000000067</v>
      </c>
      <c r="AC778" s="499">
        <f ca="1">IF($D778="","",IF($B778=" ",IF(DAY(G778)=DAY(TODAY()),1+AC775,0+AC775),0+AC775))</f>
        <v>0</v>
      </c>
      <c r="AD778" s="157">
        <f>(((L779/(L779-1)-1)*(1-_xlfn.XLOOKUP(K779,'Fevereiro 2023 - Valor Real'!A3:A15,'Fevereiro 2023 - Valor Real'!C3:C15,0))+1))/(((L778-1)*(1-_xlfn.XLOOKUP(K778,'Fevereiro 2023 - Valor Real'!A3:A15,'Fevereiro 2023 - Valor Real'!C3:C15,0))+1)+((L779/(L779-1)-1)*(1-_xlfn.XLOOKUP(K779,'Fevereiro 2023 - Valor Real'!A3:A15,'Fevereiro 2023 - Valor Real'!C3:C15,0))+1))</f>
        <v>0.48275862068965514</v>
      </c>
      <c r="AE778" s="158">
        <f>IF(L778="","",IF(L780&gt;0,(SUM(((L778-1)*(1-_xlfn.XLOOKUP(K778,'Fevereiro 2023 - Valor Real'!A3:A15,'Fevereiro 2023 - Valor Real'!C3:C15,0))+1),((L779-1)*(1-_xlfn.XLOOKUP(K779,'Fevereiro 2023 - Valor Real'!A3:A15,'Fevereiro 2023 - Valor Real'!C3:C15,0))+1),((L780-1)*(1-_xlfn.XLOOKUP(K780,'Fevereiro 2023 - Valor Real'!A3:A15,'Fevereiro 2023 - Valor Real'!C3:C15,0))+1))/((L778-1)*(1-_xlfn.XLOOKUP(K778,'Fevereiro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Real'!C3:C15,0))+1))/((L778-1)*(1-_xlfn.XLOOKUP(K778,'Fevereiro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Real'!C3:C15,0))+1))/((L779-1)*(1-_xlfn.XLOOKUP(K779,'Fevereiro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Real'!C3:C15,0))+1))/((L780-1)*(1-_xlfn.XLOOKUP(K780,'Fevereiro 2023 - Valor Real'!A3:A15,'Fevereiro 2023 - Valor Real'!C3:C15,0))+1)),IF(I778="Lay",IF(I779="Lay",((L779/(L779-1)-1)*(1-_xlfn.XLOOKUP(K779,'Fevereiro 2023 - Valor Real'!A3:A15,'Fevereiro 2023 - Valor Real'!C3:C15,0))+1)/(((L779/(L779-1)-1)*(1-_xlfn.XLOOKUP(K779,'Fevereiro 2023 - Valor Real'!A3:A15,'Fevereiro 2023 - Valor Real'!C3:C15,0))+1)+((L778/(L778-1)-1)*(1-_xlfn.XLOOKUP(K778,'Fevereiro 2023 - Valor Real'!A3:A15,'Fevereiro 2023 - Valor Real'!C3:C15,0))+1)),((L779-1)*(1-_xlfn.XLOOKUP(K779,'Fevereiro 2023 - Valor Real'!A3:A15,'Fevereiro 2023 - Valor Real'!C3:C15,0))+1)/(((L779-1)*(1-_xlfn.XLOOKUP(K779,'Fevereiro 2023 - Valor Real'!A3:A15,'Fevereiro 2023 - Valor Real'!C3:C15,0))+1)+((L778/(L778-1)-1)*(1-_xlfn.XLOOKUP(K778,'Fevereiro 2023 - Valor Real'!A3:A15,'Fevereiro 2023 - Valor Real'!C3:C15,0))+1))),IF(I779="Lay",(((L779/(L779-1)-1)*(1-_xlfn.XLOOKUP(K779,'Fevereiro 2023 - Valor Real'!A3:A15,'Fevereiro 2023 - Valor Real'!C3:C15,0))+1))/(((L778-1)*(1-_xlfn.XLOOKUP(K778,'Fevereiro 2023 - Valor Real'!A3:A15,'Fevereiro 2023 - Valor Real'!C3:C15,0))+1)+((L779/(L779-1)-1)*(1-_xlfn.XLOOKUP(K779,'Fevereiro 2023 - Valor Real'!A3:A15,'Fevereiro 2023 - Valor Real'!C3:C15,0))+1)),((L779-1)*(1-_xlfn.XLOOKUP(K779,'Fevereiro 2023 - Valor Real'!A3:A15,'Fevereiro 2023 - Valor Real'!C3:C15,0))+1)/(((L779-1)*(1-_xlfn.XLOOKUP(K779,'Fevereiro 2023 - Valor Real'!A3:A15,'Fevereiro 2023 - Valor Real'!C3:C15,0))+1)+((L778-1)*(1-_xlfn.XLOOKUP(K778,'Fevereiro 2023 - Valor Real'!A3:A15,'Fevereiro 2023 - Valor Real'!C3:C15,0))+1))))))</f>
        <v>0.7</v>
      </c>
      <c r="AF778" s="66">
        <f t="shared" si="1571"/>
        <v>-13</v>
      </c>
      <c r="AG778" s="67">
        <f t="shared" si="1571"/>
        <v>0</v>
      </c>
      <c r="AH778" s="67">
        <f t="shared" si="1571"/>
        <v>0</v>
      </c>
      <c r="AI778" s="67">
        <f t="shared" si="1571"/>
        <v>0</v>
      </c>
      <c r="AJ778" s="67">
        <f t="shared" si="1571"/>
        <v>0</v>
      </c>
      <c r="AK778" s="67">
        <f t="shared" si="1571"/>
        <v>0</v>
      </c>
      <c r="AL778" s="67">
        <f t="shared" si="1571"/>
        <v>0</v>
      </c>
      <c r="AM778" s="67">
        <f t="shared" si="1571"/>
        <v>0</v>
      </c>
      <c r="AN778" s="67">
        <f t="shared" si="1571"/>
        <v>0</v>
      </c>
      <c r="AO778" s="67">
        <f t="shared" si="1571"/>
        <v>0</v>
      </c>
      <c r="AP778" s="67">
        <f t="shared" si="1571"/>
        <v>0</v>
      </c>
      <c r="AQ778" s="67">
        <f t="shared" si="1571"/>
        <v>0</v>
      </c>
      <c r="AR778" s="68">
        <f t="shared" si="1571"/>
        <v>0</v>
      </c>
      <c r="AS778" s="66">
        <f t="shared" ref="AS778:BE778" si="1578">IF(AND($B778=" ",$K778=AS$3),$O778,0)</f>
        <v>0</v>
      </c>
      <c r="AT778" s="67">
        <f t="shared" si="1578"/>
        <v>0</v>
      </c>
      <c r="AU778" s="67">
        <f t="shared" si="1578"/>
        <v>0</v>
      </c>
      <c r="AV778" s="67">
        <f t="shared" si="1578"/>
        <v>0</v>
      </c>
      <c r="AW778" s="67">
        <f t="shared" si="1578"/>
        <v>0</v>
      </c>
      <c r="AX778" s="67">
        <f t="shared" si="1578"/>
        <v>0</v>
      </c>
      <c r="AY778" s="69">
        <f t="shared" si="1578"/>
        <v>0</v>
      </c>
      <c r="AZ778" s="70">
        <f t="shared" si="1578"/>
        <v>0</v>
      </c>
      <c r="BA778" s="70">
        <f t="shared" si="1578"/>
        <v>0</v>
      </c>
      <c r="BB778" s="70">
        <f t="shared" si="1578"/>
        <v>0</v>
      </c>
      <c r="BC778" s="71">
        <f t="shared" si="1578"/>
        <v>0</v>
      </c>
      <c r="BD778" s="67">
        <f t="shared" si="1578"/>
        <v>0</v>
      </c>
      <c r="BE778" s="68">
        <f t="shared" si="1578"/>
        <v>0</v>
      </c>
      <c r="BF778" s="230">
        <f t="shared" si="1573"/>
        <v>13</v>
      </c>
      <c r="BG778" s="67">
        <f t="shared" si="1573"/>
        <v>0</v>
      </c>
      <c r="BH778" s="67">
        <f t="shared" si="1573"/>
        <v>0</v>
      </c>
      <c r="BI778" s="67">
        <f t="shared" si="1573"/>
        <v>0</v>
      </c>
      <c r="BJ778" s="67">
        <f t="shared" si="1573"/>
        <v>0</v>
      </c>
      <c r="BK778" s="67">
        <f t="shared" si="1573"/>
        <v>0</v>
      </c>
      <c r="BL778" s="67">
        <f t="shared" si="1573"/>
        <v>0</v>
      </c>
      <c r="BM778" s="69">
        <f t="shared" si="1573"/>
        <v>0</v>
      </c>
      <c r="BN778" s="70">
        <f t="shared" si="1573"/>
        <v>0</v>
      </c>
      <c r="BO778" s="70">
        <f t="shared" si="1573"/>
        <v>0</v>
      </c>
      <c r="BP778" s="70">
        <f t="shared" si="1573"/>
        <v>0</v>
      </c>
      <c r="BQ778" s="71">
        <f t="shared" si="1573"/>
        <v>0</v>
      </c>
      <c r="BR778" s="68">
        <f t="shared" si="1573"/>
        <v>0</v>
      </c>
      <c r="BS778" s="490">
        <f>IF($B778="LOSS",IF(AND($K778=BS$3,$C778="L"),-$O778,0)+IF(AND($K779=BS$3,$C779="L"),-$O779,0)+IF(AND($K780=BS$3,$C780="L"),-$O780,0),IF(OR(AND($K778=BS$3,OR($C778="W",$C778="1/2W")),AND($K779=BS$3,OR($C779="W",$C779="1/2W")),AND($K780=BS$3,OR($C780="W",$C780="1/2W"))),$S778,0))</f>
        <v>0</v>
      </c>
      <c r="BT778" s="488">
        <f>IF($B778="LOSS",IF(AND($K778=BT$3,$C778="L"),-$O778,0)+IF(AND($K779=BT$3,$C779="L"),-$O779,0)+IF(AND($K779=BT$3,$C780="L"),-$O780,0),IF(OR(AND($K779=BT$3,OR($C778="W",$C778="1/2W")),AND($K779=BT$3,OR($C779="W",$C779="1/2W")),AND($K779=BT$3,OR($C780="W",$C780="1/2W"))),$S778,0))</f>
        <v>-0.98</v>
      </c>
      <c r="BU778" s="488">
        <f>IF($B778="LOSS",IF(AND($K778=BU$3,$C778="L"),-$O778,0)+IF(AND($K779=BU$3,$C779="L"),-$O779,0)+IF(AND($K779=BU$3,$C780="L"),-$O780,0),IF(OR(AND($K779=BU$3,OR($C778="W",$C778="1/2W")),AND($K779=BU$3,OR($C779="W",$C779="1/2W")),AND($K779=BU$3,OR($C780="W",$C780="1/2W"))),$S778,0))</f>
        <v>0</v>
      </c>
      <c r="BV778" s="488">
        <f t="shared" ref="BV778:CE778" si="1579">IF($B778="LOSS",IF(AND($K778=BV$3,$C778="L"),-$O778,0)+IF(AND($K779=BV$3,$C779="L"),-$O779,0)+IF(AND($K780=BV$3,$C780="L"),-$O780,0),IF(OR(AND($K778=BV$3,OR($C778="W",$C778="1/2W")),AND($K779=BV$3,OR($C779="W",$C779="1/2W")),AND($K780=BV$3,OR($C780="W",$C780="1/2W"))),$S778,0))</f>
        <v>0</v>
      </c>
      <c r="BW778" s="488">
        <f t="shared" si="1579"/>
        <v>0</v>
      </c>
      <c r="BX778" s="488">
        <f t="shared" si="1579"/>
        <v>0</v>
      </c>
      <c r="BY778" s="488">
        <f t="shared" si="1579"/>
        <v>0</v>
      </c>
      <c r="BZ778" s="498">
        <f t="shared" si="1579"/>
        <v>0</v>
      </c>
      <c r="CA778" s="498">
        <f t="shared" si="1579"/>
        <v>0</v>
      </c>
      <c r="CB778" s="498">
        <f t="shared" si="1579"/>
        <v>0</v>
      </c>
      <c r="CC778" s="498">
        <f t="shared" si="1579"/>
        <v>0</v>
      </c>
      <c r="CD778" s="500">
        <f t="shared" si="1579"/>
        <v>0</v>
      </c>
      <c r="CE778" s="504">
        <f t="shared" si="1579"/>
        <v>0</v>
      </c>
      <c r="CF778" s="160">
        <f t="shared" si="1540"/>
        <v>0</v>
      </c>
      <c r="CG778" s="161">
        <f t="shared" si="1541"/>
        <v>1</v>
      </c>
      <c r="CH778" s="161">
        <f t="shared" si="1542"/>
        <v>0</v>
      </c>
      <c r="CI778" s="161">
        <f t="shared" si="1543"/>
        <v>0</v>
      </c>
      <c r="CJ778" s="161">
        <f t="shared" si="1544"/>
        <v>0</v>
      </c>
      <c r="CK778" s="161">
        <f t="shared" si="1545"/>
        <v>0</v>
      </c>
      <c r="CL778" s="161">
        <f t="shared" si="1546"/>
        <v>0</v>
      </c>
      <c r="CM778" s="161">
        <f t="shared" si="1547"/>
        <v>0</v>
      </c>
      <c r="CN778" s="161">
        <f t="shared" si="1548"/>
        <v>0</v>
      </c>
      <c r="CO778" s="161">
        <f t="shared" si="1549"/>
        <v>0</v>
      </c>
      <c r="CP778" s="161">
        <f t="shared" si="1550"/>
        <v>0</v>
      </c>
      <c r="CQ778" s="161">
        <f t="shared" si="1551"/>
        <v>0</v>
      </c>
      <c r="CR778" s="161">
        <f t="shared" si="1552"/>
        <v>0</v>
      </c>
      <c r="CS778" s="161">
        <f t="shared" si="1553"/>
        <v>0</v>
      </c>
      <c r="CT778" s="75">
        <f t="shared" si="1554"/>
        <v>0</v>
      </c>
      <c r="CU778" s="76">
        <f t="shared" si="1555"/>
        <v>0</v>
      </c>
      <c r="CV778" s="76">
        <f t="shared" si="1556"/>
        <v>0</v>
      </c>
      <c r="CW778" s="76">
        <f t="shared" si="1557"/>
        <v>0</v>
      </c>
      <c r="CX778" s="76">
        <f t="shared" si="1558"/>
        <v>0</v>
      </c>
      <c r="CY778" s="76">
        <f t="shared" si="1559"/>
        <v>0</v>
      </c>
      <c r="CZ778" s="76">
        <f t="shared" si="1560"/>
        <v>0</v>
      </c>
      <c r="DA778" s="76">
        <f t="shared" si="1561"/>
        <v>0</v>
      </c>
      <c r="DB778" s="76">
        <f t="shared" si="1562"/>
        <v>0</v>
      </c>
      <c r="DC778" s="76">
        <f t="shared" si="1563"/>
        <v>0</v>
      </c>
      <c r="DD778" s="76">
        <f t="shared" si="1564"/>
        <v>0</v>
      </c>
      <c r="DE778" s="77">
        <f t="shared" si="1565"/>
        <v>0</v>
      </c>
      <c r="DF778" s="73">
        <f t="shared" si="1567"/>
        <v>43</v>
      </c>
      <c r="DG778" s="67">
        <f t="shared" si="1568"/>
        <v>57.167999999999992</v>
      </c>
      <c r="DH778" s="76">
        <f t="shared" si="1569"/>
        <v>16</v>
      </c>
      <c r="DI778" s="67">
        <f t="shared" si="1570"/>
        <v>68.699999999999989</v>
      </c>
      <c r="DJ778" s="202" t="str">
        <f>IF($D778="","",$D778)</f>
        <v>27</v>
      </c>
      <c r="DK778" s="492">
        <f>IF(AND($B778=" ",$D778&lt;&gt;""),1,0)</f>
        <v>0</v>
      </c>
    </row>
    <row r="779" spans="1:115" ht="14.5" customHeight="1" x14ac:dyDescent="0.2">
      <c r="A779" s="389"/>
      <c r="B779" s="456"/>
      <c r="C779" s="53" t="s">
        <v>54</v>
      </c>
      <c r="D779" s="374"/>
      <c r="E779" s="386"/>
      <c r="F779" s="377"/>
      <c r="G779" s="483"/>
      <c r="H779" s="476"/>
      <c r="I779" s="55" t="s">
        <v>61</v>
      </c>
      <c r="J779" s="242" t="str">
        <f>IF(OR(I778="TO",I778="TU",I778="TO1",I778="TU1",I778="TO2",I778="TU2"),J778,IF(OR(I778="AH1",I778="AH2"),IF(OR(I779="AH1",I779="AH2"),-J778,IF(OR(I779="EH1",I779="EH2"),-J778+0.5,"")),IF(OR(I778="EH1",I778="EH2"),IF(OR(I779="AH1",I779="AH2"),-J778+0.5,IF(OR(I779="EH1",I779="EH2"),-J778+1,"")),IF(AND(OR(I778="DNB1",I778="DNB2"),OR(I779="AH1",I779="AH2")),0,IF(AND(I778="Not ScoreBoth",OR(I779="TO1",I779="TO2")),0.5,"")))))</f>
        <v/>
      </c>
      <c r="K779" s="232" t="s">
        <v>37</v>
      </c>
      <c r="L779" s="58">
        <v>3.5</v>
      </c>
      <c r="M779" s="59">
        <v>4.8099999999999996</v>
      </c>
      <c r="N779" s="406"/>
      <c r="O779" s="60">
        <f>IF(OR(AE778="",AE779=""),"",ROUND(IF(L780&gt;0,IF(M779&gt;0,M779,IF(M778&gt;0,IF(N778=TRUE,ROUND((M778*AE779)/AE778,0),(M778*AE779)/AE778),IF(M779&gt;0,ROUND(M779,IF(N778=0,2,IF(N778=0.1,1,0))),IF(M780&gt;0,ROUND(O780*AE779/AE780,IF(N778=0,2,IF(N778=0.1,1,0))),0)))),IF(M779&gt;0,M779,ROUND((M778*AE779)/AE778,IF(N778=0,2,IF(N778=0.1,1,0))))),2))</f>
        <v>4.8099999999999996</v>
      </c>
      <c r="P779" s="61">
        <f>IF(OR(L779="",O779=""),"",IF($C779="1/2W",O779/2+O779/2*L779,IF($C779="1/2L",O779/2,IF(I779="Lay",((O779*(L779/(L779-1)))-O779)*(1-_xlfn.XLOOKUP(K779,'Fevereiro 2023 - Valor Real'!A3:A15,'Fevereiro 2023 - Valor Real'!C3:C15,0))+O779,(O779*L779-O779)*(1-_xlfn.XLOOKUP(K779,'Fevereiro 2023 - Valor Real'!A3:A15,'Fevereiro 2023 - Valor Real'!C3:C15,0))+O779))))</f>
        <v>16.834999999999997</v>
      </c>
      <c r="Q779" s="233">
        <f>IF(K779="","",IF(_xlfn.XLOOKUP(K779,K$4:K778,$DJ$4:DJ778,0,,-1)=DJ779,_xlfn.XLOOKUP(K779,K$4:K778,Q$4:Q778,1,,-1)+1,1))</f>
        <v>1</v>
      </c>
      <c r="R779" s="234">
        <f>IF(K779="","",_xlfn.XLOOKUP(K779,K$4:K778,R$4:R778,0,,-1)+IF($C779=" ",1,0))</f>
        <v>0</v>
      </c>
      <c r="S779" s="403"/>
      <c r="T779" s="380"/>
      <c r="U779" s="380"/>
      <c r="V779" s="481"/>
      <c r="W779" s="380"/>
      <c r="X779" s="452"/>
      <c r="Y779" s="383"/>
      <c r="Z779" s="384"/>
      <c r="AA779" s="384"/>
      <c r="AB779" s="384"/>
      <c r="AC779" s="384"/>
      <c r="AD779" s="64">
        <f>(((L779/(L779-1)-1)*(1-_xlfn.XLOOKUP(K779,'Fevereiro 2023 - Valor Real'!A3:A15,'Fevereiro 2023 - Valor Real'!C3:C15,0))+1))</f>
        <v>1.4</v>
      </c>
      <c r="AE779" s="65">
        <f>IF(L779="","",IF(L780&gt;0,(SUM(((L778-1)*(1-_xlfn.XLOOKUP(K778,'Fevereiro 2023 - Valor Real'!A3:A15,'Fevereiro 2023 - Valor Real'!C3:C15,0))+1),((L779-1)*(1-_xlfn.XLOOKUP(K779,'Fevereiro 2023 - Valor Real'!A3:A15,'Fevereiro 2023 - Valor Real'!C3:C15,0))+1),((L780-1)*(1-_xlfn.XLOOKUP(K780,'Fevereiro 2023 - Valor Real'!A3:A15,'Fevereiro 2023 - Valor Real'!C3:C15,0))+1))/((L779-1)*(1-_xlfn.XLOOKUP(K779,'Fevereiro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Real'!C3:C15,0))+1))/((L778-1)*(1-_xlfn.XLOOKUP(K778,'Fevereiro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Real'!C3:C15,0))+1))/((L779-1)*(1-_xlfn.XLOOKUP(K779,'Fevereiro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Real'!C3:C15,0))+1))/((L780-1)*(1-_xlfn.XLOOKUP(K780,'Fevereiro 2023 - Valor Real'!A3:A15,'Fevereiro 2023 - Valor Real'!C3:C15,0))+1)),IF(I779="Lay",IF(I778="Lay",((L778/(L778-1)-1)*(1-_xlfn.XLOOKUP(K778,'Fevereiro 2023 - Valor Real'!A3:A15,'Fevereiro 2023 - Valor Real'!C3:C15,0))+1)/(((L778/(L778-1)-1)*(1-_xlfn.XLOOKUP(K778,'Fevereiro 2023 - Valor Real'!A3:A15,'Fevereiro 2023 - Valor Real'!C3:C15,0))+1)+((L779/(L779-1)-1)*(1-_xlfn.XLOOKUP(K779,'Fevereiro 2023 - Valor Real'!A3:A15,'Fevereiro 2023 - Valor Real'!C3:C15,0))+1)),((L778-1)*(1-_xlfn.XLOOKUP(K778,'Fevereiro 2023 - Valor Real'!A3:A15,'Fevereiro 2023 - Valor Real'!C3:C15,0))+1)/(((L778-1)*(1-_xlfn.XLOOKUP(K778,'Fevereiro 2023 - Valor Real'!A3:A15,'Fevereiro 2023 - Valor Real'!C3:C15,0))+1)+((L779/(L779-1)-1)*(1-_xlfn.XLOOKUP(K779,'Fevereiro 2023 - Valor Real'!A3:A15,'Fevereiro 2023 - Valor Real'!C3:C15,0))+1))),IF(I778="Lay",((L778/(L778-1)-1)*(1-_xlfn.XLOOKUP(K778,'Fevereiro 2023 - Valor Real'!A3:A15,'Fevereiro 2023 - Valor Real'!C3:C15,0))+1)/((((L778/(L778-1)-1)*(1-_xlfn.XLOOKUP(K778,'Fevereiro 2023 - Valor Real'!A3:A15,'Fevereiro 2023 - Valor Real'!C3:C15,0))+1))+((L779-1)*(1-_xlfn.XLOOKUP(K779,'Fevereiro 2023 - Valor Real'!A3:A15,'Fevereiro 2023 - Valor Real'!C3:C15,0))+1)),((L778-1)*(1-_xlfn.XLOOKUP(K778,'Fevereiro 2023 - Valor Real'!A3:A15,'Fevereiro 2023 - Valor Real'!C3:C15,0))+1)/(((L778-1)*(1-_xlfn.XLOOKUP(K778,'Fevereiro 2023 - Valor Real'!A3:A15,'Fevereiro 2023 - Valor Real'!C3:C15,0))+1)+((L779-1)*(1-_xlfn.XLOOKUP(K779,'Fevereiro 2023 - Valor Real'!A3:A15,'Fevereiro 2023 - Valor Real'!C3:C15,0))+1))))))</f>
        <v>0.3</v>
      </c>
      <c r="AF779" s="66">
        <f t="shared" si="1571"/>
        <v>0</v>
      </c>
      <c r="AG779" s="67">
        <f t="shared" si="1571"/>
        <v>12.03</v>
      </c>
      <c r="AH779" s="67">
        <f t="shared" si="1571"/>
        <v>0</v>
      </c>
      <c r="AI779" s="67">
        <f t="shared" si="1571"/>
        <v>0</v>
      </c>
      <c r="AJ779" s="67">
        <f t="shared" si="1571"/>
        <v>0</v>
      </c>
      <c r="AK779" s="67">
        <f t="shared" si="1571"/>
        <v>0</v>
      </c>
      <c r="AL779" s="67">
        <f t="shared" si="1571"/>
        <v>0</v>
      </c>
      <c r="AM779" s="67">
        <f t="shared" si="1571"/>
        <v>0</v>
      </c>
      <c r="AN779" s="67">
        <f t="shared" si="1571"/>
        <v>0</v>
      </c>
      <c r="AO779" s="67">
        <f t="shared" si="1571"/>
        <v>0</v>
      </c>
      <c r="AP779" s="67">
        <f t="shared" si="1571"/>
        <v>0</v>
      </c>
      <c r="AQ779" s="67">
        <f t="shared" si="1571"/>
        <v>0</v>
      </c>
      <c r="AR779" s="68">
        <f t="shared" si="1571"/>
        <v>0</v>
      </c>
      <c r="AS779" s="66">
        <f>IF(AND($B778=" ",$K779=AS$3),$O779,0)</f>
        <v>0</v>
      </c>
      <c r="AT779" s="67">
        <f>IF(AND($B778=" ",K779=AT$3),$O779,0)</f>
        <v>0</v>
      </c>
      <c r="AU779" s="67">
        <f t="shared" ref="AU779:BE779" si="1580">IF(AND($B778=" ",$K779=AU$3),$O779,0)</f>
        <v>0</v>
      </c>
      <c r="AV779" s="67">
        <f t="shared" si="1580"/>
        <v>0</v>
      </c>
      <c r="AW779" s="67">
        <f t="shared" si="1580"/>
        <v>0</v>
      </c>
      <c r="AX779" s="67">
        <f t="shared" si="1580"/>
        <v>0</v>
      </c>
      <c r="AY779" s="69">
        <f t="shared" si="1580"/>
        <v>0</v>
      </c>
      <c r="AZ779" s="70">
        <f t="shared" si="1580"/>
        <v>0</v>
      </c>
      <c r="BA779" s="70">
        <f t="shared" si="1580"/>
        <v>0</v>
      </c>
      <c r="BB779" s="70">
        <f t="shared" si="1580"/>
        <v>0</v>
      </c>
      <c r="BC779" s="71">
        <f t="shared" si="1580"/>
        <v>0</v>
      </c>
      <c r="BD779" s="67">
        <f t="shared" si="1580"/>
        <v>0</v>
      </c>
      <c r="BE779" s="68">
        <f t="shared" si="1580"/>
        <v>0</v>
      </c>
      <c r="BF779" s="66">
        <f t="shared" si="1573"/>
        <v>0</v>
      </c>
      <c r="BG779" s="67">
        <f t="shared" si="1573"/>
        <v>4.8099999999999996</v>
      </c>
      <c r="BH779" s="67">
        <f t="shared" si="1573"/>
        <v>0</v>
      </c>
      <c r="BI779" s="67">
        <f t="shared" si="1573"/>
        <v>0</v>
      </c>
      <c r="BJ779" s="67">
        <f t="shared" si="1573"/>
        <v>0</v>
      </c>
      <c r="BK779" s="67">
        <f t="shared" si="1573"/>
        <v>0</v>
      </c>
      <c r="BL779" s="67">
        <f t="shared" si="1573"/>
        <v>0</v>
      </c>
      <c r="BM779" s="235">
        <f t="shared" si="1573"/>
        <v>0</v>
      </c>
      <c r="BN779" s="159">
        <f t="shared" si="1573"/>
        <v>0</v>
      </c>
      <c r="BO779" s="159">
        <f t="shared" si="1573"/>
        <v>0</v>
      </c>
      <c r="BP779" s="159">
        <f t="shared" si="1573"/>
        <v>0</v>
      </c>
      <c r="BQ779" s="71">
        <f t="shared" si="1573"/>
        <v>0</v>
      </c>
      <c r="BR779" s="68">
        <f t="shared" si="1573"/>
        <v>0</v>
      </c>
      <c r="BS779" s="464"/>
      <c r="BT779" s="461"/>
      <c r="BU779" s="392"/>
      <c r="BV779" s="461"/>
      <c r="BW779" s="392"/>
      <c r="BX779" s="392"/>
      <c r="BY779" s="392"/>
      <c r="BZ779" s="461"/>
      <c r="CA779" s="392"/>
      <c r="CB779" s="392"/>
      <c r="CC779" s="392"/>
      <c r="CD779" s="401"/>
      <c r="CE779" s="409"/>
      <c r="CF779" s="236">
        <f t="shared" si="1540"/>
        <v>0</v>
      </c>
      <c r="CG779" s="237">
        <f t="shared" si="1541"/>
        <v>0</v>
      </c>
      <c r="CH779" s="237">
        <f t="shared" si="1542"/>
        <v>1</v>
      </c>
      <c r="CI779" s="237">
        <f t="shared" si="1543"/>
        <v>0</v>
      </c>
      <c r="CJ779" s="237">
        <f t="shared" si="1544"/>
        <v>0</v>
      </c>
      <c r="CK779" s="237">
        <f t="shared" si="1545"/>
        <v>0</v>
      </c>
      <c r="CL779" s="237">
        <f t="shared" si="1546"/>
        <v>0</v>
      </c>
      <c r="CM779" s="237">
        <f t="shared" si="1547"/>
        <v>0</v>
      </c>
      <c r="CN779" s="237">
        <f t="shared" si="1548"/>
        <v>0</v>
      </c>
      <c r="CO779" s="237">
        <f t="shared" si="1549"/>
        <v>0</v>
      </c>
      <c r="CP779" s="237">
        <f t="shared" si="1550"/>
        <v>0</v>
      </c>
      <c r="CQ779" s="237">
        <f t="shared" si="1551"/>
        <v>0</v>
      </c>
      <c r="CR779" s="237">
        <f t="shared" si="1552"/>
        <v>0</v>
      </c>
      <c r="CS779" s="237">
        <f t="shared" si="1553"/>
        <v>0</v>
      </c>
      <c r="CT779" s="75">
        <f t="shared" si="1554"/>
        <v>0</v>
      </c>
      <c r="CU779" s="76">
        <f t="shared" si="1555"/>
        <v>0</v>
      </c>
      <c r="CV779" s="76">
        <f t="shared" si="1556"/>
        <v>0</v>
      </c>
      <c r="CW779" s="76">
        <f t="shared" si="1557"/>
        <v>0</v>
      </c>
      <c r="CX779" s="76">
        <f t="shared" si="1558"/>
        <v>0</v>
      </c>
      <c r="CY779" s="76">
        <f t="shared" si="1559"/>
        <v>0</v>
      </c>
      <c r="CZ779" s="76">
        <f t="shared" si="1560"/>
        <v>0</v>
      </c>
      <c r="DA779" s="76">
        <f t="shared" si="1561"/>
        <v>0</v>
      </c>
      <c r="DB779" s="76">
        <f t="shared" si="1562"/>
        <v>0</v>
      </c>
      <c r="DC779" s="76">
        <f t="shared" si="1563"/>
        <v>0</v>
      </c>
      <c r="DD779" s="76">
        <f t="shared" si="1564"/>
        <v>0</v>
      </c>
      <c r="DE779" s="77">
        <f t="shared" si="1565"/>
        <v>0</v>
      </c>
      <c r="DF779" s="73">
        <f t="shared" si="1567"/>
        <v>43</v>
      </c>
      <c r="DG779" s="67">
        <f t="shared" si="1568"/>
        <v>57.167999999999992</v>
      </c>
      <c r="DH779" s="76">
        <f t="shared" si="1569"/>
        <v>16</v>
      </c>
      <c r="DI779" s="67">
        <f t="shared" si="1570"/>
        <v>68.699999999999989</v>
      </c>
      <c r="DJ779" s="202" t="str">
        <f>IF($D778="","",$D778)</f>
        <v>27</v>
      </c>
      <c r="DK779" s="466"/>
    </row>
    <row r="780" spans="1:115" ht="14.5" customHeight="1" x14ac:dyDescent="0.2">
      <c r="A780" s="390"/>
      <c r="B780" s="457"/>
      <c r="C780" s="79" t="s">
        <v>53</v>
      </c>
      <c r="D780" s="375"/>
      <c r="E780" s="387"/>
      <c r="F780" s="378"/>
      <c r="G780" s="484"/>
      <c r="H780" s="477"/>
      <c r="I780" s="82"/>
      <c r="J780" s="83"/>
      <c r="K780" s="90"/>
      <c r="L780" s="84"/>
      <c r="M780" s="85"/>
      <c r="N780" s="407"/>
      <c r="O780" s="86" t="str">
        <f>IF(OR(AE778="",AE779=""),"",IF(L780&gt;0,ROUND(IF(M780&gt;0,M780,IF(M778&gt;0,ROUND((M778*AE780)/AE778,IF(N778=0,2,IF(N778=0.1,1,0))),IF(M779&gt;0,ROUND((M779*AE780)/AE779,IF(N778=0,2,IF(N778=0.1,1,0))),IF(M780&gt;0,M780,0)))),2),""))</f>
        <v/>
      </c>
      <c r="P780" s="87" t="str">
        <f>IF(I779="Lay",O779*(L779/(L779-1))-O779,IF(I778="Lay",O778*(L778/(L778-1))-O778,IF(OR(L780="",O780=""),"",IF($C780="1/2W",O780/2+O780/2*L780,IF($C780="1/2L",O780/2,(O780*L780-O780)*(1-_xlfn.XLOOKUP(K780,'Fevereiro 2023 - Valor Real'!A3:A15,'Fevereiro 2023 - Valor Real'!C3:C15,0))+O780)))))</f>
        <v/>
      </c>
      <c r="Q780" s="238" t="str">
        <f>IF(K780="","",IF(_xlfn.XLOOKUP(K780,K$4:K779,$DJ$4:DJ779,0,,-1)=DJ780,_xlfn.XLOOKUP(K780,K$4:K779,Q$4:Q779,1,,-1)+1,1))</f>
        <v/>
      </c>
      <c r="R780" s="239" t="str">
        <f>IF(K780="","",_xlfn.XLOOKUP(K780,K$4:K779,R$4:R779,0,,-1)+IF($C780=" ",1,0))</f>
        <v/>
      </c>
      <c r="S780" s="404"/>
      <c r="T780" s="378"/>
      <c r="U780" s="378"/>
      <c r="V780" s="404"/>
      <c r="W780" s="378"/>
      <c r="X780" s="453"/>
      <c r="Y780" s="383"/>
      <c r="Z780" s="384"/>
      <c r="AA780" s="384"/>
      <c r="AB780" s="384"/>
      <c r="AC780" s="384"/>
      <c r="AD780" s="240">
        <f>((L779/(L779-1)-1))</f>
        <v>0.39999999999999991</v>
      </c>
      <c r="AE780" s="91" t="str">
        <f>IF(L780="","",(SUM(((L778-1)*(1-_xlfn.XLOOKUP(K778,'Fevereiro 2023 - Valor Real'!A3:A15,'Fevereiro 2023 - Valor Real'!C3:C15,0))+1),((L779-1)*(1-_xlfn.XLOOKUP(K779,'Fevereiro 2023 - Valor Real'!A3:A15,'Fevereiro 2023 - Valor Real'!C3:C15,0))+1),((L780-1)*(1-_xlfn.XLOOKUP(K780,'Fevereiro 2023 - Valor Real'!A3:A15,'Fevereiro 2023 - Valor Real'!C3:C15,0))+1))/((L780-1)*(1-_xlfn.XLOOKUP(K780,'Fevereiro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Real'!C3:C15,0))+1))/((L778-1)*(1-_xlfn.XLOOKUP(K778,'Fevereiro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Real'!C3:C15,0))+1))/((L779-1)*(1-_xlfn.XLOOKUP(K779,'Fevereiro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Real'!C3:C15,0))+1))/((L780-1)*(1-_xlfn.XLOOKUP(K780,'Fevereiro 2023 - Valor Real'!A3:A15,'Fevereiro 2023 - Valor Real'!C3:C15,0))+1)))</f>
        <v/>
      </c>
      <c r="AF780" s="66">
        <f t="shared" si="1571"/>
        <v>0</v>
      </c>
      <c r="AG780" s="67">
        <f t="shared" si="1571"/>
        <v>0</v>
      </c>
      <c r="AH780" s="67">
        <f t="shared" si="1571"/>
        <v>0</v>
      </c>
      <c r="AI780" s="67">
        <f t="shared" si="1571"/>
        <v>0</v>
      </c>
      <c r="AJ780" s="67">
        <f t="shared" si="1571"/>
        <v>0</v>
      </c>
      <c r="AK780" s="67">
        <f t="shared" si="1571"/>
        <v>0</v>
      </c>
      <c r="AL780" s="67">
        <f t="shared" si="1571"/>
        <v>0</v>
      </c>
      <c r="AM780" s="67">
        <f t="shared" si="1571"/>
        <v>0</v>
      </c>
      <c r="AN780" s="67">
        <f t="shared" si="1571"/>
        <v>0</v>
      </c>
      <c r="AO780" s="67">
        <f t="shared" si="1571"/>
        <v>0</v>
      </c>
      <c r="AP780" s="67">
        <f t="shared" si="1571"/>
        <v>0</v>
      </c>
      <c r="AQ780" s="67">
        <f t="shared" si="1571"/>
        <v>0</v>
      </c>
      <c r="AR780" s="68">
        <f t="shared" si="1571"/>
        <v>0</v>
      </c>
      <c r="AS780" s="66">
        <f>IF(AND($B778=" ",$K780=AS$3),$O780,0)</f>
        <v>0</v>
      </c>
      <c r="AT780" s="67">
        <f>IF(AND($B778=" ",K780=AT$3),$O780,0)</f>
        <v>0</v>
      </c>
      <c r="AU780" s="67">
        <f t="shared" ref="AU780:BE780" si="1581">IF(AND($B778=" ",$K780=AU$3),$O780,0)</f>
        <v>0</v>
      </c>
      <c r="AV780" s="67">
        <f t="shared" si="1581"/>
        <v>0</v>
      </c>
      <c r="AW780" s="67">
        <f t="shared" si="1581"/>
        <v>0</v>
      </c>
      <c r="AX780" s="67">
        <f t="shared" si="1581"/>
        <v>0</v>
      </c>
      <c r="AY780" s="69">
        <f t="shared" si="1581"/>
        <v>0</v>
      </c>
      <c r="AZ780" s="70">
        <f t="shared" si="1581"/>
        <v>0</v>
      </c>
      <c r="BA780" s="70">
        <f t="shared" si="1581"/>
        <v>0</v>
      </c>
      <c r="BB780" s="70">
        <f t="shared" si="1581"/>
        <v>0</v>
      </c>
      <c r="BC780" s="71">
        <f t="shared" si="1581"/>
        <v>0</v>
      </c>
      <c r="BD780" s="67">
        <f t="shared" si="1581"/>
        <v>0</v>
      </c>
      <c r="BE780" s="68">
        <f t="shared" si="1581"/>
        <v>0</v>
      </c>
      <c r="BF780" s="66">
        <f t="shared" si="1573"/>
        <v>0</v>
      </c>
      <c r="BG780" s="67">
        <f t="shared" si="1573"/>
        <v>0</v>
      </c>
      <c r="BH780" s="67">
        <f t="shared" si="1573"/>
        <v>0</v>
      </c>
      <c r="BI780" s="67">
        <f t="shared" si="1573"/>
        <v>0</v>
      </c>
      <c r="BJ780" s="67">
        <f t="shared" si="1573"/>
        <v>0</v>
      </c>
      <c r="BK780" s="67">
        <f t="shared" si="1573"/>
        <v>0</v>
      </c>
      <c r="BL780" s="67">
        <f t="shared" si="1573"/>
        <v>0</v>
      </c>
      <c r="BM780" s="69">
        <f t="shared" si="1573"/>
        <v>0</v>
      </c>
      <c r="BN780" s="70">
        <f t="shared" si="1573"/>
        <v>0</v>
      </c>
      <c r="BO780" s="70">
        <f t="shared" si="1573"/>
        <v>0</v>
      </c>
      <c r="BP780" s="70">
        <f t="shared" si="1573"/>
        <v>0</v>
      </c>
      <c r="BQ780" s="71">
        <f t="shared" si="1573"/>
        <v>0</v>
      </c>
      <c r="BR780" s="68">
        <f t="shared" si="1573"/>
        <v>0</v>
      </c>
      <c r="BS780" s="464"/>
      <c r="BT780" s="461"/>
      <c r="BU780" s="392"/>
      <c r="BV780" s="461"/>
      <c r="BW780" s="392"/>
      <c r="BX780" s="392"/>
      <c r="BY780" s="392"/>
      <c r="BZ780" s="461"/>
      <c r="CA780" s="392"/>
      <c r="CB780" s="392"/>
      <c r="CC780" s="392"/>
      <c r="CD780" s="401"/>
      <c r="CE780" s="409"/>
      <c r="CF780" s="236">
        <f t="shared" si="1540"/>
        <v>0</v>
      </c>
      <c r="CG780" s="237">
        <f t="shared" si="1541"/>
        <v>0</v>
      </c>
      <c r="CH780" s="237">
        <f t="shared" si="1542"/>
        <v>0</v>
      </c>
      <c r="CI780" s="237">
        <f t="shared" si="1543"/>
        <v>0</v>
      </c>
      <c r="CJ780" s="237">
        <f t="shared" si="1544"/>
        <v>0</v>
      </c>
      <c r="CK780" s="237">
        <f t="shared" si="1545"/>
        <v>0</v>
      </c>
      <c r="CL780" s="237">
        <f t="shared" si="1546"/>
        <v>0</v>
      </c>
      <c r="CM780" s="237">
        <f t="shared" si="1547"/>
        <v>0</v>
      </c>
      <c r="CN780" s="237">
        <f t="shared" si="1548"/>
        <v>0</v>
      </c>
      <c r="CO780" s="237">
        <f t="shared" si="1549"/>
        <v>0</v>
      </c>
      <c r="CP780" s="237">
        <f t="shared" si="1550"/>
        <v>0</v>
      </c>
      <c r="CQ780" s="237">
        <f t="shared" si="1551"/>
        <v>0</v>
      </c>
      <c r="CR780" s="237">
        <f t="shared" si="1552"/>
        <v>0</v>
      </c>
      <c r="CS780" s="237">
        <f t="shared" si="1553"/>
        <v>0</v>
      </c>
      <c r="CT780" s="75">
        <f t="shared" si="1554"/>
        <v>0</v>
      </c>
      <c r="CU780" s="76">
        <f t="shared" si="1555"/>
        <v>0</v>
      </c>
      <c r="CV780" s="76">
        <f t="shared" si="1556"/>
        <v>0</v>
      </c>
      <c r="CW780" s="76">
        <f t="shared" si="1557"/>
        <v>0</v>
      </c>
      <c r="CX780" s="76">
        <f t="shared" si="1558"/>
        <v>0</v>
      </c>
      <c r="CY780" s="76">
        <f t="shared" si="1559"/>
        <v>0</v>
      </c>
      <c r="CZ780" s="76">
        <f t="shared" si="1560"/>
        <v>0</v>
      </c>
      <c r="DA780" s="76">
        <f t="shared" si="1561"/>
        <v>0</v>
      </c>
      <c r="DB780" s="76">
        <f t="shared" si="1562"/>
        <v>0</v>
      </c>
      <c r="DC780" s="76">
        <f t="shared" si="1563"/>
        <v>0</v>
      </c>
      <c r="DD780" s="76">
        <f t="shared" si="1564"/>
        <v>0</v>
      </c>
      <c r="DE780" s="77">
        <f t="shared" si="1565"/>
        <v>0</v>
      </c>
      <c r="DF780" s="73">
        <f t="shared" si="1567"/>
        <v>43</v>
      </c>
      <c r="DG780" s="67">
        <f t="shared" si="1568"/>
        <v>57.167999999999992</v>
      </c>
      <c r="DH780" s="76">
        <f t="shared" si="1569"/>
        <v>16</v>
      </c>
      <c r="DI780" s="67">
        <f t="shared" si="1570"/>
        <v>68.699999999999989</v>
      </c>
      <c r="DJ780" s="202" t="str">
        <f>IF($D778="","",$D778)</f>
        <v>27</v>
      </c>
      <c r="DK780" s="466"/>
    </row>
    <row r="781" spans="1:115" ht="14.5" customHeight="1" x14ac:dyDescent="0.2">
      <c r="A781" s="459">
        <f>$A778+1</f>
        <v>260</v>
      </c>
      <c r="B781" s="507" t="str">
        <f>IF(OR(C781="W",C782="W",C783="W",C781="1/2W",C782="1/2W",C783="1/2W",C781="1/2L",C782="1/2L",C783="1/2L"),"OK",IF(OR(C781="L",C782="L",C783="L"),"LOSS",IF(OR(C781="X",C782="X",C783="X"),"Anulado"," ")))</f>
        <v>OK</v>
      </c>
      <c r="C781" s="93" t="s">
        <v>55</v>
      </c>
      <c r="D781" s="468" t="str">
        <f>IF(G781="","",$D778)</f>
        <v>27</v>
      </c>
      <c r="E781" s="485" t="str">
        <f>IF(G781=""," ","– "&amp;COUNTIF(D$4:D783,$D781))</f>
        <v>– 7</v>
      </c>
      <c r="F781" s="509" t="str">
        <f ca="1">IF(G781="","",IF(OR(AND($C781&lt;&gt;" ",$C782=" "),AND($C782&lt;&gt;" ",$C781=" "),AND(L783&gt;0,OR(AND($C783&lt;&gt;" ",OR($C781=" ",$C782=" ")),AND($C783=" ",OR($C781&lt;&gt;" ",$C782&lt;&gt;" "))))),IF(SUM(F$4:F780)=0,1,LARGE(F$4:F780,1)+1),IF(MONTH(G781)=MONTH(TODAY()),IF(AND(DAY(G781)&lt;DAY(TODAY()),$B781=" "),IF(SUM(F$4:F780)=0,1,LARGE(F$4:F780,1)+1),IF($B781=" ",IF(AND(DAY(G781)=DAY(TODAY()),HOUR(G781)&lt;=HOUR(NOW())+1),IF(AND(HOUR(G781)+2&lt;=HOUR(NOW()),DAY(G781)&lt;=DAY(TODAY()),MINUTE(G781)&lt;=MINUTE(NOW())),IF(SUM(F$4:F780)=0,1,LARGE(F$4:F780,1)+1),IF(OR(MINUTE(G781)&lt;=MINUTE(NOW()),HOUR(G781)&lt;=HOUR(NOW())),"!!!","")),""),"")),"")))</f>
        <v/>
      </c>
      <c r="G781" s="482">
        <f>IF(H781="","",_xlfn.XLOOKUP(H781,$H$4:H780,$G$4:G780,""))</f>
        <v>45012.416666666664</v>
      </c>
      <c r="H781" s="475" t="s">
        <v>265</v>
      </c>
      <c r="I781" s="94" t="s">
        <v>76</v>
      </c>
      <c r="J781" s="95">
        <v>0.5</v>
      </c>
      <c r="K781" s="96" t="s">
        <v>36</v>
      </c>
      <c r="L781" s="97">
        <v>2</v>
      </c>
      <c r="M781" s="98">
        <v>14</v>
      </c>
      <c r="N781" s="478">
        <v>0.1</v>
      </c>
      <c r="O781" s="99">
        <f>IF(OR(AE781="",AE782=""),"",ROUND(IF(L783&gt;0,IF(M781&gt;0,M781,IF(M782&gt;0,ROUND((M782*AE781)/AE782,IF(N781=0,2,IF(N781=0.1,1,0))),ROUND((M783*AE781)/AE783,IF(N781=0,2,IF(N781=0.1,1,0))))),IF(M781&gt;0,M781,ROUND((M782*AE781)/AE782,IF(N781=0,2,IF(N781=0.1,1,0))))),2))</f>
        <v>14</v>
      </c>
      <c r="P781" s="100">
        <f>IF(OR(L781="",O781=""),"",IF($C781="1/2W",O781/2+O781/2*L781,IF($C781="1/2L",O781/2,IF(I781="Lay",(O781*(L781/(L781-1))-O781)*(1-_xlfn.XLOOKUP(K781,'Fevereiro 2023 - Valor Real'!A3:A15,'Fevereiro 2023 - Valor Real'!C3:C15,0))+O781,(O781*L781-O781)*(1-_xlfn.XLOOKUP(K781,'Fevereiro 2023 - Valor Real'!A3:A15,'Fevereiro 2023 - Valor Real'!C3:C15,0))+O781))))</f>
        <v>28</v>
      </c>
      <c r="Q781" s="101">
        <f>IF(K781="","",IF(_xlfn.XLOOKUP(K781,K$4:K780,$DJ$4:DJ780,0,,-1)=DJ781,_xlfn.XLOOKUP(K781,K$4:K780,Q$4:Q780,1,,-1)+1,1))</f>
        <v>7</v>
      </c>
      <c r="R781" s="102">
        <f>IF(K781="","",_xlfn.XLOOKUP(K781,K$4:K780,R$4:R780,0,,-1)+IF($C781=" ",1,0))</f>
        <v>0</v>
      </c>
      <c r="S781" s="474">
        <f>IF($B781="Anulado",0,ROUND(IF(OR($B781="LOSS",$B781="OK"),IF(OR($C781="W",$C781="1/2W",$C781="1/2L"),P781-O781,IF($C781="L",-O781,0))+IF(OR($C782="W",$C782="1/2W",$C782="1/2L"),P782-O782,IF($C782="L",-O782,0))+IF(OR($C783="W",$C783="1/2W",$C783="1/2L"),P783-O783,IF($C783="L",-O783,0)),IF(AND(OR($C781="W",$C781="1/2W",$C781="1/2L"),C782="W"),P781+P782-SUM(O781:O783)+_xlfn.XLOOKUP("X",C781:C783,O781:O783,0),IF(AND(C781=TRUE,C783="W"),P781+P783-SUM(O781:O783),IF(AND(C782="W",C783="W"),P782+P783-SUM(O781:O783)+_xlfn.XLOOKUP("X",C781:C783,O781:O783,0),IF(L783&gt;0,IF(OR($C781="W",$C781="1/2W",$C781="1/2L"),P781-SUM(O781:O783)+_xlfn.XLOOKUP("X",C781:C783,O781:O783,0),IF(OR($C781="W",$C781="1/2W",$C781="1/2L"),P782-SUM(O781:O783)+_xlfn.XLOOKUP("X",C781:C783,O781:O783,0),IF(OR($C781="W",$C781="1/2W",$C781="1/2L"),P783-SUM(O781:O783)+_xlfn.XLOOKUP("X",C781:C783,O781:O783,0),IF(SUM(P781:P783)/3-SUM(O781:O783)+_xlfn.XLOOKUP("X",C781:C783,O781:O783,0)&gt;0,SUM(P781:P783)/3-SUM(O781:O783)+_xlfn.XLOOKUP("X",C781:C783,O781:O783,0),LARGE(P781:P783,1)-SUM(O781:O783))))),IF(OR($C781="W",$C781="1/2W",$C781="1/2L"),P781-SUM(O781:O782)+_xlfn.XLOOKUP("X",C781:C783,O781:O783,0),IF(OR($C781="W",$C781="1/2W",$C781="1/2L"),P782-SUM(O781:O782)+_xlfn.XLOOKUP("X",C781:C783,O781:O783,0),SUM(P781:P782)/2-SUM(O781:O782)+_xlfn.XLOOKUP("X",C781:C783,O781:O783,0)))))))),2))</f>
        <v>1.5</v>
      </c>
      <c r="T781" s="458">
        <f>IF(S781=0,0,S781/SUM(O781:O783))</f>
        <v>5.6818181818181823E-2</v>
      </c>
      <c r="U781" s="470">
        <f>IF($D781=$D778,IF(OR($B781="LOSS",$B781="OK",$B781="Anulada"),S781,0)+U778,IF(OR($B781="LOSS",$B781="OK",$B781="Anulada"),S781,0))</f>
        <v>9.4499999999999993</v>
      </c>
      <c r="V781" s="470">
        <f>IF($D781="",0,IF($D781=$D778,IF($B781=" ",IF(I783="",IF(OR(AND(I781="DNB1",I782="DNB2"),AND(OR(I781="DNB1",I781="DNB2"),J782=0),AND(OR(I782="DNB1",I782="DNB2"),J781=0),AND(I781="DNB2",I782="DNB1"),AND(IF(J781=0,(J781+1)/ROUND(J781+1,0),J781/ROUND(J781,0))=1,IF(J782=0,(J782+1)/ROUND(IF(J782="",0,J782)+1,0),IF(J782="",0,J782)/ROUND(IF(J782="",1,J782),0))=1,OR(J781&lt;&gt;""),J782&lt;&gt;"")),0,IF(S781&lt;0,IF(I783="",SMALL(P781:P782,1)-SUM(O781:O782),0),SMALL(P781:P782,1)-SUM(O781:O782))),IF(S781&lt;0,IF(I783="",SMALL(P781:P783,1)-SUM(O781:O783),0),LARGE(P781:P783,1)-SUM(O781:O783))),S781)+V778,IF(I783="",IF(OR(AND(I781="DNB1",I782="DNB2"),AND(OR(I781="DNB1",I781="DNB2"),J782=0),AND(OR(I782="DNB1",I782="DNB2"),J781=0),AND(I781="DNB2",I782="DNB1"),AND(IF(J781=0,(J781+1)/ROUND(J781+1,0),J781/ROUND(J781,0))=1,IF(J782=0,(IF(J782="",0,J782)+1)/ROUND(IF(J782="",0,J782)+1,0),IF(J782="",0,J782)/ROUND(IF(J782="",0,J782)+1,0))=1,OR(J781&lt;&gt;""),J782&lt;&gt;"")),0,IF(S781&lt;0,IF(I783="",SMALL(P781:P782,1)-SUM(O781:O782),0),SMALL(P781:P783,1)-SUM(O781:O783))),IF(S781&lt;0,IF(I783="",SMALL(P781:P783,1)-SUM(O781:O783),0),LARGE(P781:P783,1)-SUM(O781:O783)))))</f>
        <v>9.4499999999999957</v>
      </c>
      <c r="W781" s="470">
        <f>IF($D781=$D778,IF(S781&lt;0,IF(I783="",S781,0),S781)+W778,S781)</f>
        <v>9.4499999999999993</v>
      </c>
      <c r="X781" s="480" t="str">
        <f>IF(OR(SUM(R781:R783)=0,V781=W781),ROUND(IF(W781=0,0,W781/Y781)*100,2)&amp;"%",ROUND(IF(V781=0,0,V781/Y781)*100,2)&amp;"% a "&amp;ROUND(IF(W781=0,0,W781/Y781)*100,2)&amp;"%")</f>
        <v>4,69%</v>
      </c>
      <c r="Y781" s="471">
        <f>IF($D781=$D778,Y778+SUM(O781:O783),SUM(O781:O783))</f>
        <v>201.51000000000002</v>
      </c>
      <c r="Z781" s="470">
        <f>IF($B781=" ",SUM(O781:O783),0)+Z778</f>
        <v>0</v>
      </c>
      <c r="AA781" s="470">
        <f>IF(G781="","",IF($B781="Anulado",LARGE(P781:P783,1)-SUM(O781:O783)+AA778,AA778))</f>
        <v>13.381099999999991</v>
      </c>
      <c r="AB781" s="470">
        <f>IF($D781="","",AB778+S781)</f>
        <v>857.14000000000067</v>
      </c>
      <c r="AC781" s="472">
        <f ca="1">IF($D781="","",IF($B781=" ",IF(DAY(G781)=DAY(TODAY()),1+AC778,0+AC778),0+AC778))</f>
        <v>0</v>
      </c>
      <c r="AD781" s="103">
        <f>(((L782/(L782-1)-1)*(1-_xlfn.XLOOKUP(K782,'Fevereiro 2023 - Valor Real'!A3:A15,'Fevereiro 2023 - Valor Real'!C3:C15,0))+1))/(((L781-1)*(1-_xlfn.XLOOKUP(K781,'Fevereiro 2023 - Valor Real'!A3:A15,'Fevereiro 2023 - Valor Real'!C3:C15,0))+1)+((L782/(L782-1)-1)*(1-_xlfn.XLOOKUP(K782,'Fevereiro 2023 - Valor Real'!A3:A15,'Fevereiro 2023 - Valor Real'!C3:C15,0))+1))</f>
        <v>0.47368421052631582</v>
      </c>
      <c r="AE781" s="104">
        <f>IF(L781="","",IF(L783&gt;0,(SUM(((L781-1)*(1-_xlfn.XLOOKUP(K781,'Fevereiro 2023 - Valor Real'!A3:A15,'Fevereiro 2023 - Valor Real'!C3:C15,0))+1),((L782-1)*(1-_xlfn.XLOOKUP(K782,'Fevereiro 2023 - Valor Real'!A3:A15,'Fevereiro 2023 - Valor Real'!C3:C15,0))+1),((L783-1)*(1-_xlfn.XLOOKUP(K783,'Fevereiro 2023 - Valor Real'!A3:A15,'Fevereiro 2023 - Valor Real'!C3:C15,0))+1))/((L781-1)*(1-_xlfn.XLOOKUP(K781,'Fevereiro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Real'!C3:C15,0))+1))/((L781-1)*(1-_xlfn.XLOOKUP(K781,'Fevereiro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Real'!C3:C15,0))+1))/((L782-1)*(1-_xlfn.XLOOKUP(K782,'Fevereiro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Real'!C3:C15,0))+1))/((L783-1)*(1-_xlfn.XLOOKUP(K783,'Fevereiro 2023 - Valor Real'!A3:A15,'Fevereiro 2023 - Valor Real'!C3:C15,0))+1)),IF(I781="Lay",IF(I782="Lay",((L782/(L782-1)-1)*(1-_xlfn.XLOOKUP(K782,'Fevereiro 2023 - Valor Real'!A3:A15,'Fevereiro 2023 - Valor Real'!C3:C15,0))+1)/(((L782/(L782-1)-1)*(1-_xlfn.XLOOKUP(K782,'Fevereiro 2023 - Valor Real'!A3:A15,'Fevereiro 2023 - Valor Real'!C3:C15,0))+1)+((L781/(L781-1)-1)*(1-_xlfn.XLOOKUP(K781,'Fevereiro 2023 - Valor Real'!A3:A15,'Fevereiro 2023 - Valor Real'!C3:C15,0))+1)),((L782-1)*(1-_xlfn.XLOOKUP(K782,'Fevereiro 2023 - Valor Real'!A3:A15,'Fevereiro 2023 - Valor Real'!C3:C15,0))+1)/(((L782-1)*(1-_xlfn.XLOOKUP(K782,'Fevereiro 2023 - Valor Real'!A3:A15,'Fevereiro 2023 - Valor Real'!C3:C15,0))+1)+((L781/(L781-1)-1)*(1-_xlfn.XLOOKUP(K781,'Fevereiro 2023 - Valor Real'!A3:A15,'Fevereiro 2023 - Valor Real'!C3:C15,0))+1))),IF(I782="Lay",(((L782/(L782-1)-1)*(1-_xlfn.XLOOKUP(K782,'Fevereiro 2023 - Valor Real'!A3:A15,'Fevereiro 2023 - Valor Real'!C3:C15,0))+1))/(((L781-1)*(1-_xlfn.XLOOKUP(K781,'Fevereiro 2023 - Valor Real'!A3:A15,'Fevereiro 2023 - Valor Real'!C3:C15,0))+1)+((L782/(L782-1)-1)*(1-_xlfn.XLOOKUP(K782,'Fevereiro 2023 - Valor Real'!A3:A15,'Fevereiro 2023 - Valor Real'!C3:C15,0))+1)),((L782-1)*(1-_xlfn.XLOOKUP(K782,'Fevereiro 2023 - Valor Real'!A3:A15,'Fevereiro 2023 - Valor Real'!C3:C15,0))+1)/(((L782-1)*(1-_xlfn.XLOOKUP(K782,'Fevereiro 2023 - Valor Real'!A3:A15,'Fevereiro 2023 - Valor Real'!C3:C15,0))+1)+((L781-1)*(1-_xlfn.XLOOKUP(K781,'Fevereiro 2023 - Valor Real'!A3:A15,'Fevereiro 2023 - Valor Real'!C3:C15,0))+1))))))</f>
        <v>0.52941176470588236</v>
      </c>
      <c r="AF781" s="105">
        <f t="shared" si="1571"/>
        <v>-14</v>
      </c>
      <c r="AG781" s="106">
        <f t="shared" si="1571"/>
        <v>0</v>
      </c>
      <c r="AH781" s="106">
        <f t="shared" si="1571"/>
        <v>0</v>
      </c>
      <c r="AI781" s="106">
        <f t="shared" si="1571"/>
        <v>0</v>
      </c>
      <c r="AJ781" s="106">
        <f t="shared" si="1571"/>
        <v>0</v>
      </c>
      <c r="AK781" s="106">
        <f t="shared" si="1571"/>
        <v>0</v>
      </c>
      <c r="AL781" s="106">
        <f t="shared" si="1571"/>
        <v>0</v>
      </c>
      <c r="AM781" s="106">
        <f t="shared" si="1571"/>
        <v>0</v>
      </c>
      <c r="AN781" s="106">
        <f t="shared" si="1571"/>
        <v>0</v>
      </c>
      <c r="AO781" s="106">
        <f t="shared" si="1571"/>
        <v>0</v>
      </c>
      <c r="AP781" s="106">
        <f t="shared" si="1571"/>
        <v>0</v>
      </c>
      <c r="AQ781" s="106">
        <f t="shared" si="1571"/>
        <v>0</v>
      </c>
      <c r="AR781" s="107">
        <f t="shared" si="1571"/>
        <v>0</v>
      </c>
      <c r="AS781" s="105">
        <f t="shared" ref="AS781:BE781" si="1582">IF(AND($B781=" ",$K781=AS$3),$O781,0)</f>
        <v>0</v>
      </c>
      <c r="AT781" s="106">
        <f t="shared" si="1582"/>
        <v>0</v>
      </c>
      <c r="AU781" s="106">
        <f t="shared" si="1582"/>
        <v>0</v>
      </c>
      <c r="AV781" s="106">
        <f t="shared" si="1582"/>
        <v>0</v>
      </c>
      <c r="AW781" s="106">
        <f t="shared" si="1582"/>
        <v>0</v>
      </c>
      <c r="AX781" s="106">
        <f t="shared" si="1582"/>
        <v>0</v>
      </c>
      <c r="AY781" s="108">
        <f t="shared" si="1582"/>
        <v>0</v>
      </c>
      <c r="AZ781" s="109">
        <f t="shared" si="1582"/>
        <v>0</v>
      </c>
      <c r="BA781" s="109">
        <f t="shared" si="1582"/>
        <v>0</v>
      </c>
      <c r="BB781" s="109">
        <f t="shared" si="1582"/>
        <v>0</v>
      </c>
      <c r="BC781" s="110">
        <f t="shared" si="1582"/>
        <v>0</v>
      </c>
      <c r="BD781" s="106">
        <f t="shared" si="1582"/>
        <v>0</v>
      </c>
      <c r="BE781" s="107">
        <f t="shared" si="1582"/>
        <v>0</v>
      </c>
      <c r="BF781" s="111">
        <f t="shared" si="1573"/>
        <v>14</v>
      </c>
      <c r="BG781" s="106">
        <f t="shared" si="1573"/>
        <v>0</v>
      </c>
      <c r="BH781" s="106">
        <f t="shared" si="1573"/>
        <v>0</v>
      </c>
      <c r="BI781" s="106">
        <f t="shared" si="1573"/>
        <v>0</v>
      </c>
      <c r="BJ781" s="106">
        <f t="shared" si="1573"/>
        <v>0</v>
      </c>
      <c r="BK781" s="106">
        <f t="shared" si="1573"/>
        <v>0</v>
      </c>
      <c r="BL781" s="106">
        <f t="shared" si="1573"/>
        <v>0</v>
      </c>
      <c r="BM781" s="108">
        <f t="shared" si="1573"/>
        <v>0</v>
      </c>
      <c r="BN781" s="109">
        <f t="shared" si="1573"/>
        <v>0</v>
      </c>
      <c r="BO781" s="109">
        <f t="shared" si="1573"/>
        <v>0</v>
      </c>
      <c r="BP781" s="109">
        <f t="shared" si="1573"/>
        <v>0</v>
      </c>
      <c r="BQ781" s="110">
        <f t="shared" si="1573"/>
        <v>0</v>
      </c>
      <c r="BR781" s="107">
        <f t="shared" si="1573"/>
        <v>0</v>
      </c>
      <c r="BS781" s="463">
        <f>IF($B781="LOSS",IF(AND($K781=BS$3,$C781="L"),-$O781,0)+IF(AND($K782=BS$3,$C782="L"),-$O782,0)+IF(AND($K783=BS$3,$C783="L"),-$O783,0),IF(OR(AND($K781=BS$3,OR($C781="W",$C781="1/2W")),AND($K782=BS$3,OR($C782="W",$C782="1/2W")),AND($K783=BS$3,OR($C783="W",$C783="1/2W"))),$S781,0))</f>
        <v>0</v>
      </c>
      <c r="BT781" s="462">
        <f>IF($B781="LOSS",IF(AND($K781=BT$3,$C781="L"),-$O781,0)+IF(AND($K782=BT$3,$C782="L"),-$O782,0)+IF(AND($K782=BT$3,$C783="L"),-$O783,0),IF(OR(AND($K782=BT$3,OR($C781="W",$C781="1/2W")),AND($K782=BT$3,OR($C782="W",$C782="1/2W")),AND($K782=BT$3,OR($C783="W",$C783="1/2W"))),$S781,0))</f>
        <v>0</v>
      </c>
      <c r="BU781" s="462">
        <f>IF($B781="LOSS",IF(AND($K781=BU$3,$C781="L"),-$O781,0)+IF(AND($K782=BU$3,$C782="L"),-$O782,0)+IF(AND($K782=BU$3,$C783="L"),-$O783,0),IF(OR(AND($K782=BU$3,OR($C781="W",$C781="1/2W")),AND($K782=BU$3,OR($C782="W",$C782="1/2W")),AND($K782=BU$3,OR($C783="W",$C783="1/2W"))),$S781,0))</f>
        <v>0</v>
      </c>
      <c r="BV781" s="462">
        <f t="shared" ref="BV781:CE781" si="1583">IF($B781="LOSS",IF(AND($K781=BV$3,$C781="L"),-$O781,0)+IF(AND($K782=BV$3,$C782="L"),-$O782,0)+IF(AND($K783=BV$3,$C783="L"),-$O783,0),IF(OR(AND($K781=BV$3,OR($C781="W",$C781="1/2W")),AND($K782=BV$3,OR($C782="W",$C782="1/2W")),AND($K783=BV$3,OR($C783="W",$C783="1/2W"))),$S781,0))</f>
        <v>0</v>
      </c>
      <c r="BW781" s="462">
        <f t="shared" si="1583"/>
        <v>1.5</v>
      </c>
      <c r="BX781" s="462">
        <f t="shared" si="1583"/>
        <v>0</v>
      </c>
      <c r="BY781" s="462">
        <f t="shared" si="1583"/>
        <v>0</v>
      </c>
      <c r="BZ781" s="460">
        <f t="shared" si="1583"/>
        <v>0</v>
      </c>
      <c r="CA781" s="460">
        <f t="shared" si="1583"/>
        <v>0</v>
      </c>
      <c r="CB781" s="460">
        <f t="shared" si="1583"/>
        <v>0</v>
      </c>
      <c r="CC781" s="460">
        <f t="shared" si="1583"/>
        <v>0</v>
      </c>
      <c r="CD781" s="473">
        <f t="shared" si="1583"/>
        <v>0</v>
      </c>
      <c r="CE781" s="479">
        <f t="shared" si="1583"/>
        <v>0</v>
      </c>
      <c r="CF781" s="113">
        <f t="shared" si="1540"/>
        <v>0</v>
      </c>
      <c r="CG781" s="114">
        <f t="shared" si="1541"/>
        <v>1</v>
      </c>
      <c r="CH781" s="114">
        <f t="shared" si="1542"/>
        <v>0</v>
      </c>
      <c r="CI781" s="114">
        <f t="shared" si="1543"/>
        <v>0</v>
      </c>
      <c r="CJ781" s="114">
        <f t="shared" si="1544"/>
        <v>0</v>
      </c>
      <c r="CK781" s="114">
        <f t="shared" si="1545"/>
        <v>0</v>
      </c>
      <c r="CL781" s="114">
        <f t="shared" si="1546"/>
        <v>0</v>
      </c>
      <c r="CM781" s="114">
        <f t="shared" si="1547"/>
        <v>0</v>
      </c>
      <c r="CN781" s="114">
        <f t="shared" si="1548"/>
        <v>0</v>
      </c>
      <c r="CO781" s="114">
        <f t="shared" si="1549"/>
        <v>0</v>
      </c>
      <c r="CP781" s="114">
        <f t="shared" si="1550"/>
        <v>0</v>
      </c>
      <c r="CQ781" s="114">
        <f t="shared" si="1551"/>
        <v>0</v>
      </c>
      <c r="CR781" s="114">
        <f t="shared" si="1552"/>
        <v>0</v>
      </c>
      <c r="CS781" s="114">
        <f t="shared" si="1553"/>
        <v>0</v>
      </c>
      <c r="CT781" s="115">
        <f t="shared" si="1554"/>
        <v>0</v>
      </c>
      <c r="CU781" s="116">
        <f t="shared" si="1555"/>
        <v>0</v>
      </c>
      <c r="CV781" s="116">
        <f t="shared" si="1556"/>
        <v>0</v>
      </c>
      <c r="CW781" s="116">
        <f t="shared" si="1557"/>
        <v>0</v>
      </c>
      <c r="CX781" s="116">
        <f t="shared" si="1558"/>
        <v>0</v>
      </c>
      <c r="CY781" s="116">
        <f t="shared" si="1559"/>
        <v>0</v>
      </c>
      <c r="CZ781" s="116">
        <f t="shared" si="1560"/>
        <v>0</v>
      </c>
      <c r="DA781" s="116">
        <f t="shared" si="1561"/>
        <v>0</v>
      </c>
      <c r="DB781" s="116">
        <f t="shared" si="1562"/>
        <v>0</v>
      </c>
      <c r="DC781" s="116">
        <f t="shared" si="1563"/>
        <v>0</v>
      </c>
      <c r="DD781" s="116">
        <f t="shared" si="1564"/>
        <v>0</v>
      </c>
      <c r="DE781" s="117">
        <f t="shared" si="1565"/>
        <v>0</v>
      </c>
      <c r="DF781" s="118">
        <f t="shared" si="1567"/>
        <v>43</v>
      </c>
      <c r="DG781" s="106">
        <f t="shared" si="1568"/>
        <v>57.167999999999992</v>
      </c>
      <c r="DH781" s="116">
        <f t="shared" si="1569"/>
        <v>16</v>
      </c>
      <c r="DI781" s="106">
        <f t="shared" si="1570"/>
        <v>68.699999999999989</v>
      </c>
      <c r="DJ781" s="201" t="str">
        <f>IF($D781="","",$D781)</f>
        <v>27</v>
      </c>
      <c r="DK781" s="465">
        <f>IF(AND($B781=" ",$D781&lt;&gt;""),1,0)</f>
        <v>0</v>
      </c>
    </row>
    <row r="782" spans="1:115" ht="14.5" customHeight="1" x14ac:dyDescent="0.2">
      <c r="A782" s="389"/>
      <c r="B782" s="456"/>
      <c r="C782" s="120" t="s">
        <v>54</v>
      </c>
      <c r="D782" s="374"/>
      <c r="E782" s="386"/>
      <c r="F782" s="377"/>
      <c r="G782" s="483"/>
      <c r="H782" s="476"/>
      <c r="I782" s="178">
        <v>1</v>
      </c>
      <c r="J782" s="179" t="str">
        <f>IF(OR(I781="TO",I781="TU",I781="TO1",I781="TU1",I781="TO2",I781="TU2"),J781,IF(OR(I781="AH1",I781="AH2"),IF(OR(I782="AH1",I782="AH2"),-J781,IF(OR(I782="EH1",I782="EH2"),-J781+0.5,"")),IF(OR(I781="EH1",I781="EH2"),IF(OR(I782="AH1",I782="AH2"),-J781+0.5,IF(OR(I782="EH1",I782="EH2"),-J781+1,"")),IF(AND(OR(I781="DNB1",I781="DNB2"),OR(I782="AH1",I782="AH2")),0,IF(AND(I781="Not ScoreBoth",OR(I782="TO1",I782="TO2")),0.5,"")))))</f>
        <v/>
      </c>
      <c r="K782" s="123" t="s">
        <v>40</v>
      </c>
      <c r="L782" s="124">
        <v>2.25</v>
      </c>
      <c r="M782" s="125"/>
      <c r="N782" s="406"/>
      <c r="O782" s="126">
        <f>IF(OR(AE781="",AE782=""),"",ROUND(IF(L783&gt;0,IF(M782&gt;0,M782,IF(M781&gt;0,IF(N781=TRUE,ROUND((M781*AE782)/AE781,0),(M781*AE782)/AE781),IF(M782&gt;0,ROUND(M782,IF(N781=0,2,IF(N781=0.1,1,0))),IF(M783&gt;0,ROUND(O783*AE782/AE783,IF(N781=0,2,IF(N781=0.1,1,0))),0)))),IF(M782&gt;0,M782,ROUND((M781*AE782)/AE781,IF(N781=0,2,IF(N781=0.1,1,0))))),2))</f>
        <v>12.4</v>
      </c>
      <c r="P782" s="127">
        <f>IF(OR(L782="",O782=""),"",IF($C782="1/2W",O782/2+O782/2*L782,IF($C782="1/2L",O782/2,IF(I782="Lay",((O782*(L782/(L782-1)))-O782)*(1-_xlfn.XLOOKUP(K782,'Fevereiro 2023 - Valor Real'!A3:A15,'Fevereiro 2023 - Valor Real'!C3:C15,0))+O782,(O782*L782-O782)*(1-_xlfn.XLOOKUP(K782,'Fevereiro 2023 - Valor Real'!A3:A15,'Fevereiro 2023 - Valor Real'!C3:C15,0))+O782))))</f>
        <v>27.900000000000002</v>
      </c>
      <c r="Q782" s="128">
        <f>IF(K782="","",IF(_xlfn.XLOOKUP(K782,K$4:K781,$DJ$4:DJ781,0,,-1)=DJ782,_xlfn.XLOOKUP(K782,K$4:K781,Q$4:Q781,1,,-1)+1,1))</f>
        <v>6</v>
      </c>
      <c r="R782" s="129">
        <f>IF(K782="","",_xlfn.XLOOKUP(K782,K$4:K781,R$4:R781,0,,-1)+IF($C782=" ",1,0))</f>
        <v>0</v>
      </c>
      <c r="S782" s="403"/>
      <c r="T782" s="380"/>
      <c r="U782" s="380"/>
      <c r="V782" s="481"/>
      <c r="W782" s="380"/>
      <c r="X782" s="452"/>
      <c r="Y782" s="383"/>
      <c r="Z782" s="384"/>
      <c r="AA782" s="384"/>
      <c r="AB782" s="384"/>
      <c r="AC782" s="384"/>
      <c r="AD782" s="130">
        <f>(((L782/(L782-1)-1)*(1-_xlfn.XLOOKUP(K782,'Fevereiro 2023 - Valor Real'!A3:A15,'Fevereiro 2023 - Valor Real'!C3:C15,0))+1))</f>
        <v>1.8</v>
      </c>
      <c r="AE782" s="131">
        <f>IF(L782="","",IF(L783&gt;0,(SUM(((L781-1)*(1-_xlfn.XLOOKUP(K781,'Fevereiro 2023 - Valor Real'!A3:A15,'Fevereiro 2023 - Valor Real'!C3:C15,0))+1),((L782-1)*(1-_xlfn.XLOOKUP(K782,'Fevereiro 2023 - Valor Real'!A3:A15,'Fevereiro 2023 - Valor Real'!C3:C15,0))+1),((L783-1)*(1-_xlfn.XLOOKUP(K783,'Fevereiro 2023 - Valor Real'!A3:A15,'Fevereiro 2023 - Valor Real'!C3:C15,0))+1))/((L782-1)*(1-_xlfn.XLOOKUP(K782,'Fevereiro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Real'!C3:C15,0))+1))/((L781-1)*(1-_xlfn.XLOOKUP(K781,'Fevereiro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Real'!C3:C15,0))+1))/((L782-1)*(1-_xlfn.XLOOKUP(K782,'Fevereiro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Real'!C3:C15,0))+1))/((L783-1)*(1-_xlfn.XLOOKUP(K783,'Fevereiro 2023 - Valor Real'!A3:A15,'Fevereiro 2023 - Valor Real'!C3:C15,0))+1)),IF(I782="Lay",IF(I781="Lay",((L781/(L781-1)-1)*(1-_xlfn.XLOOKUP(K781,'Fevereiro 2023 - Valor Real'!A3:A15,'Fevereiro 2023 - Valor Real'!C3:C15,0))+1)/(((L781/(L781-1)-1)*(1-_xlfn.XLOOKUP(K781,'Fevereiro 2023 - Valor Real'!A3:A15,'Fevereiro 2023 - Valor Real'!C3:C15,0))+1)+((L782/(L782-1)-1)*(1-_xlfn.XLOOKUP(K782,'Fevereiro 2023 - Valor Real'!A3:A15,'Fevereiro 2023 - Valor Real'!C3:C15,0))+1)),((L781-1)*(1-_xlfn.XLOOKUP(K781,'Fevereiro 2023 - Valor Real'!A3:A15,'Fevereiro 2023 - Valor Real'!C3:C15,0))+1)/(((L781-1)*(1-_xlfn.XLOOKUP(K781,'Fevereiro 2023 - Valor Real'!A3:A15,'Fevereiro 2023 - Valor Real'!C3:C15,0))+1)+((L782/(L782-1)-1)*(1-_xlfn.XLOOKUP(K782,'Fevereiro 2023 - Valor Real'!A3:A15,'Fevereiro 2023 - Valor Real'!C3:C15,0))+1))),IF(I781="Lay",((L781/(L781-1)-1)*(1-_xlfn.XLOOKUP(K781,'Fevereiro 2023 - Valor Real'!A3:A15,'Fevereiro 2023 - Valor Real'!C3:C15,0))+1)/((((L781/(L781-1)-1)*(1-_xlfn.XLOOKUP(K781,'Fevereiro 2023 - Valor Real'!A3:A15,'Fevereiro 2023 - Valor Real'!C3:C15,0))+1))+((L782-1)*(1-_xlfn.XLOOKUP(K782,'Fevereiro 2023 - Valor Real'!A3:A15,'Fevereiro 2023 - Valor Real'!C3:C15,0))+1)),((L781-1)*(1-_xlfn.XLOOKUP(K781,'Fevereiro 2023 - Valor Real'!A3:A15,'Fevereiro 2023 - Valor Real'!C3:C15,0))+1)/(((L781-1)*(1-_xlfn.XLOOKUP(K781,'Fevereiro 2023 - Valor Real'!A3:A15,'Fevereiro 2023 - Valor Real'!C3:C15,0))+1)+((L782-1)*(1-_xlfn.XLOOKUP(K782,'Fevereiro 2023 - Valor Real'!A3:A15,'Fevereiro 2023 - Valor Real'!C3:C15,0))+1))))))</f>
        <v>0.47058823529411764</v>
      </c>
      <c r="AF782" s="105">
        <f t="shared" si="1571"/>
        <v>0</v>
      </c>
      <c r="AG782" s="106">
        <f t="shared" si="1571"/>
        <v>0</v>
      </c>
      <c r="AH782" s="106">
        <f t="shared" si="1571"/>
        <v>0</v>
      </c>
      <c r="AI782" s="106">
        <f t="shared" si="1571"/>
        <v>0</v>
      </c>
      <c r="AJ782" s="106">
        <f t="shared" si="1571"/>
        <v>15.5</v>
      </c>
      <c r="AK782" s="106">
        <f t="shared" si="1571"/>
        <v>0</v>
      </c>
      <c r="AL782" s="106">
        <f t="shared" si="1571"/>
        <v>0</v>
      </c>
      <c r="AM782" s="106">
        <f t="shared" si="1571"/>
        <v>0</v>
      </c>
      <c r="AN782" s="106">
        <f t="shared" si="1571"/>
        <v>0</v>
      </c>
      <c r="AO782" s="106">
        <f t="shared" si="1571"/>
        <v>0</v>
      </c>
      <c r="AP782" s="106">
        <f t="shared" si="1571"/>
        <v>0</v>
      </c>
      <c r="AQ782" s="106">
        <f t="shared" si="1571"/>
        <v>0</v>
      </c>
      <c r="AR782" s="107">
        <f t="shared" si="1571"/>
        <v>0</v>
      </c>
      <c r="AS782" s="105">
        <f>IF(AND($B781=" ",$K782=AS$3),$O782,0)</f>
        <v>0</v>
      </c>
      <c r="AT782" s="106">
        <f>IF(AND($B781=" ",K782=AT$3),$O782,0)</f>
        <v>0</v>
      </c>
      <c r="AU782" s="106">
        <f t="shared" ref="AU782:BE782" si="1584">IF(AND($B781=" ",$K782=AU$3),$O782,0)</f>
        <v>0</v>
      </c>
      <c r="AV782" s="106">
        <f t="shared" si="1584"/>
        <v>0</v>
      </c>
      <c r="AW782" s="106">
        <f t="shared" si="1584"/>
        <v>0</v>
      </c>
      <c r="AX782" s="106">
        <f t="shared" si="1584"/>
        <v>0</v>
      </c>
      <c r="AY782" s="108">
        <f t="shared" si="1584"/>
        <v>0</v>
      </c>
      <c r="AZ782" s="109">
        <f t="shared" si="1584"/>
        <v>0</v>
      </c>
      <c r="BA782" s="109">
        <f t="shared" si="1584"/>
        <v>0</v>
      </c>
      <c r="BB782" s="109">
        <f t="shared" si="1584"/>
        <v>0</v>
      </c>
      <c r="BC782" s="110">
        <f t="shared" si="1584"/>
        <v>0</v>
      </c>
      <c r="BD782" s="106">
        <f t="shared" si="1584"/>
        <v>0</v>
      </c>
      <c r="BE782" s="107">
        <f t="shared" si="1584"/>
        <v>0</v>
      </c>
      <c r="BF782" s="105">
        <f t="shared" si="1573"/>
        <v>0</v>
      </c>
      <c r="BG782" s="106">
        <f t="shared" si="1573"/>
        <v>0</v>
      </c>
      <c r="BH782" s="106">
        <f t="shared" si="1573"/>
        <v>0</v>
      </c>
      <c r="BI782" s="106">
        <f t="shared" si="1573"/>
        <v>0</v>
      </c>
      <c r="BJ782" s="106">
        <f t="shared" si="1573"/>
        <v>12.4</v>
      </c>
      <c r="BK782" s="106">
        <f t="shared" si="1573"/>
        <v>0</v>
      </c>
      <c r="BL782" s="106">
        <f t="shared" si="1573"/>
        <v>0</v>
      </c>
      <c r="BM782" s="132">
        <f t="shared" si="1573"/>
        <v>0</v>
      </c>
      <c r="BN782" s="112">
        <f t="shared" si="1573"/>
        <v>0</v>
      </c>
      <c r="BO782" s="112">
        <f t="shared" si="1573"/>
        <v>0</v>
      </c>
      <c r="BP782" s="112">
        <f t="shared" si="1573"/>
        <v>0</v>
      </c>
      <c r="BQ782" s="110">
        <f t="shared" si="1573"/>
        <v>0</v>
      </c>
      <c r="BR782" s="107">
        <f t="shared" si="1573"/>
        <v>0</v>
      </c>
      <c r="BS782" s="464"/>
      <c r="BT782" s="461"/>
      <c r="BU782" s="392"/>
      <c r="BV782" s="461"/>
      <c r="BW782" s="392"/>
      <c r="BX782" s="392"/>
      <c r="BY782" s="392"/>
      <c r="BZ782" s="461"/>
      <c r="CA782" s="392"/>
      <c r="CB782" s="392"/>
      <c r="CC782" s="392"/>
      <c r="CD782" s="401"/>
      <c r="CE782" s="409"/>
      <c r="CF782" s="133">
        <f t="shared" si="1540"/>
        <v>0</v>
      </c>
      <c r="CG782" s="134">
        <f t="shared" si="1541"/>
        <v>0</v>
      </c>
      <c r="CH782" s="134">
        <f t="shared" si="1542"/>
        <v>0</v>
      </c>
      <c r="CI782" s="134">
        <f t="shared" si="1543"/>
        <v>0</v>
      </c>
      <c r="CJ782" s="134">
        <f t="shared" si="1544"/>
        <v>0</v>
      </c>
      <c r="CK782" s="134">
        <f t="shared" si="1545"/>
        <v>0</v>
      </c>
      <c r="CL782" s="134">
        <f t="shared" si="1546"/>
        <v>0</v>
      </c>
      <c r="CM782" s="134">
        <f t="shared" si="1547"/>
        <v>0</v>
      </c>
      <c r="CN782" s="134">
        <f t="shared" si="1548"/>
        <v>1</v>
      </c>
      <c r="CO782" s="134">
        <f t="shared" si="1549"/>
        <v>0</v>
      </c>
      <c r="CP782" s="134">
        <f t="shared" si="1550"/>
        <v>0</v>
      </c>
      <c r="CQ782" s="134">
        <f t="shared" si="1551"/>
        <v>0</v>
      </c>
      <c r="CR782" s="134">
        <f t="shared" si="1552"/>
        <v>0</v>
      </c>
      <c r="CS782" s="134">
        <f t="shared" si="1553"/>
        <v>0</v>
      </c>
      <c r="CT782" s="115">
        <f t="shared" si="1554"/>
        <v>0</v>
      </c>
      <c r="CU782" s="116">
        <f t="shared" si="1555"/>
        <v>0</v>
      </c>
      <c r="CV782" s="116">
        <f t="shared" si="1556"/>
        <v>0</v>
      </c>
      <c r="CW782" s="116">
        <f t="shared" si="1557"/>
        <v>0</v>
      </c>
      <c r="CX782" s="116">
        <f t="shared" si="1558"/>
        <v>0</v>
      </c>
      <c r="CY782" s="116">
        <f t="shared" si="1559"/>
        <v>0</v>
      </c>
      <c r="CZ782" s="116">
        <f t="shared" si="1560"/>
        <v>0</v>
      </c>
      <c r="DA782" s="116">
        <f t="shared" si="1561"/>
        <v>0</v>
      </c>
      <c r="DB782" s="116">
        <f t="shared" si="1562"/>
        <v>0</v>
      </c>
      <c r="DC782" s="116">
        <f t="shared" si="1563"/>
        <v>0</v>
      </c>
      <c r="DD782" s="116">
        <f t="shared" si="1564"/>
        <v>0</v>
      </c>
      <c r="DE782" s="117">
        <f t="shared" si="1565"/>
        <v>0</v>
      </c>
      <c r="DF782" s="118">
        <f t="shared" si="1567"/>
        <v>43</v>
      </c>
      <c r="DG782" s="106">
        <f t="shared" si="1568"/>
        <v>57.167999999999992</v>
      </c>
      <c r="DH782" s="116">
        <f t="shared" si="1569"/>
        <v>16</v>
      </c>
      <c r="DI782" s="106">
        <f t="shared" si="1570"/>
        <v>68.699999999999989</v>
      </c>
      <c r="DJ782" s="201" t="str">
        <f>IF($D781="","",$D781)</f>
        <v>27</v>
      </c>
      <c r="DK782" s="466"/>
    </row>
    <row r="783" spans="1:115" ht="14.5" customHeight="1" x14ac:dyDescent="0.2">
      <c r="A783" s="390"/>
      <c r="B783" s="457"/>
      <c r="C783" s="135" t="s">
        <v>53</v>
      </c>
      <c r="D783" s="375"/>
      <c r="E783" s="387"/>
      <c r="F783" s="378"/>
      <c r="G783" s="484"/>
      <c r="H783" s="477"/>
      <c r="I783" s="136"/>
      <c r="J783" s="137"/>
      <c r="K783" s="138"/>
      <c r="L783" s="139"/>
      <c r="M783" s="140"/>
      <c r="N783" s="407"/>
      <c r="O783" s="141" t="str">
        <f>IF(OR(AE781="",AE782=""),"",IF(L783&gt;0,ROUND(IF(M783&gt;0,M783,IF(M781&gt;0,ROUND((M781*AE783)/AE781,IF(N781=0,2,IF(N781=0.1,1,0))),IF(M782&gt;0,ROUND((M782*AE783)/AE782,IF(N781=0,2,IF(N781=0.1,1,0))),IF(M783&gt;0,M783,0)))),2),""))</f>
        <v/>
      </c>
      <c r="P783" s="142" t="str">
        <f>IF(I782="Lay",O782*(L782/(L782-1))-O782,IF(I781="Lay",O781*(L781/(L781-1))-O781,IF(OR(L783="",O783=""),"",IF($C783="1/2W",O783/2+O783/2*L783,IF($C783="1/2L",O783/2,(O783*L783-O783)*(1-_xlfn.XLOOKUP(K783,'Fevereiro 2023 - Valor Real'!A3:A15,'Fevereiro 2023 - Valor Real'!C3:C15,0))+O783)))))</f>
        <v/>
      </c>
      <c r="Q783" s="221" t="str">
        <f>IF(K783="","",IF(_xlfn.XLOOKUP(K783,K$4:K782,$DJ$4:DJ782,0,,-1)=DJ783,_xlfn.XLOOKUP(K783,K$4:K782,Q$4:Q782,1,,-1)+1,1))</f>
        <v/>
      </c>
      <c r="R783" s="144" t="str">
        <f>IF(K783="","",_xlfn.XLOOKUP(K783,K$4:K782,R$4:R782,0,,-1)+IF($C783=" ",1,0))</f>
        <v/>
      </c>
      <c r="S783" s="404"/>
      <c r="T783" s="378"/>
      <c r="U783" s="378"/>
      <c r="V783" s="404"/>
      <c r="W783" s="378"/>
      <c r="X783" s="453"/>
      <c r="Y783" s="383"/>
      <c r="Z783" s="384"/>
      <c r="AA783" s="384"/>
      <c r="AB783" s="384"/>
      <c r="AC783" s="384"/>
      <c r="AD783" s="145">
        <f>((L782/(L782-1)-1))</f>
        <v>0.8</v>
      </c>
      <c r="AE783" s="146" t="str">
        <f>IF(L783="","",(SUM(((L781-1)*(1-_xlfn.XLOOKUP(K781,'Fevereiro 2023 - Valor Real'!A3:A15,'Fevereiro 2023 - Valor Real'!C3:C15,0))+1),((L782-1)*(1-_xlfn.XLOOKUP(K782,'Fevereiro 2023 - Valor Real'!A3:A15,'Fevereiro 2023 - Valor Real'!C3:C15,0))+1),((L783-1)*(1-_xlfn.XLOOKUP(K783,'Fevereiro 2023 - Valor Real'!A3:A15,'Fevereiro 2023 - Valor Real'!C3:C15,0))+1))/((L783-1)*(1-_xlfn.XLOOKUP(K783,'Fevereiro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Real'!C3:C15,0))+1))/((L781-1)*(1-_xlfn.XLOOKUP(K781,'Fevereiro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Real'!C3:C15,0))+1))/((L782-1)*(1-_xlfn.XLOOKUP(K782,'Fevereiro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Real'!C3:C15,0))+1))/((L783-1)*(1-_xlfn.XLOOKUP(K783,'Fevereiro 2023 - Valor Real'!A3:A15,'Fevereiro 2023 - Valor Real'!C3:C15,0))+1)))</f>
        <v/>
      </c>
      <c r="AF783" s="105">
        <f t="shared" si="1571"/>
        <v>0</v>
      </c>
      <c r="AG783" s="106">
        <f t="shared" si="1571"/>
        <v>0</v>
      </c>
      <c r="AH783" s="106">
        <f t="shared" si="1571"/>
        <v>0</v>
      </c>
      <c r="AI783" s="106">
        <f t="shared" si="1571"/>
        <v>0</v>
      </c>
      <c r="AJ783" s="106">
        <f t="shared" si="1571"/>
        <v>0</v>
      </c>
      <c r="AK783" s="106">
        <f t="shared" si="1571"/>
        <v>0</v>
      </c>
      <c r="AL783" s="106">
        <f t="shared" si="1571"/>
        <v>0</v>
      </c>
      <c r="AM783" s="106">
        <f t="shared" si="1571"/>
        <v>0</v>
      </c>
      <c r="AN783" s="106">
        <f t="shared" si="1571"/>
        <v>0</v>
      </c>
      <c r="AO783" s="106">
        <f t="shared" si="1571"/>
        <v>0</v>
      </c>
      <c r="AP783" s="106">
        <f t="shared" si="1571"/>
        <v>0</v>
      </c>
      <c r="AQ783" s="106">
        <f t="shared" si="1571"/>
        <v>0</v>
      </c>
      <c r="AR783" s="107">
        <f t="shared" si="1571"/>
        <v>0</v>
      </c>
      <c r="AS783" s="105">
        <f>IF(AND($B781=" ",$K783=AS$3),$O783,0)</f>
        <v>0</v>
      </c>
      <c r="AT783" s="106">
        <f>IF(AND($B781=" ",K783=AT$3),$O783,0)</f>
        <v>0</v>
      </c>
      <c r="AU783" s="106">
        <f t="shared" ref="AU783:BE783" si="1585">IF(AND($B781=" ",$K783=AU$3),$O783,0)</f>
        <v>0</v>
      </c>
      <c r="AV783" s="106">
        <f t="shared" si="1585"/>
        <v>0</v>
      </c>
      <c r="AW783" s="106">
        <f t="shared" si="1585"/>
        <v>0</v>
      </c>
      <c r="AX783" s="106">
        <f t="shared" si="1585"/>
        <v>0</v>
      </c>
      <c r="AY783" s="108">
        <f t="shared" si="1585"/>
        <v>0</v>
      </c>
      <c r="AZ783" s="109">
        <f t="shared" si="1585"/>
        <v>0</v>
      </c>
      <c r="BA783" s="109">
        <f t="shared" si="1585"/>
        <v>0</v>
      </c>
      <c r="BB783" s="109">
        <f t="shared" si="1585"/>
        <v>0</v>
      </c>
      <c r="BC783" s="110">
        <f t="shared" si="1585"/>
        <v>0</v>
      </c>
      <c r="BD783" s="106">
        <f t="shared" si="1585"/>
        <v>0</v>
      </c>
      <c r="BE783" s="107">
        <f t="shared" si="1585"/>
        <v>0</v>
      </c>
      <c r="BF783" s="105">
        <f t="shared" si="1573"/>
        <v>0</v>
      </c>
      <c r="BG783" s="106">
        <f t="shared" si="1573"/>
        <v>0</v>
      </c>
      <c r="BH783" s="106">
        <f t="shared" si="1573"/>
        <v>0</v>
      </c>
      <c r="BI783" s="106">
        <f t="shared" si="1573"/>
        <v>0</v>
      </c>
      <c r="BJ783" s="106">
        <f t="shared" si="1573"/>
        <v>0</v>
      </c>
      <c r="BK783" s="106">
        <f t="shared" si="1573"/>
        <v>0</v>
      </c>
      <c r="BL783" s="106">
        <f t="shared" si="1573"/>
        <v>0</v>
      </c>
      <c r="BM783" s="108">
        <f t="shared" si="1573"/>
        <v>0</v>
      </c>
      <c r="BN783" s="109">
        <f t="shared" si="1573"/>
        <v>0</v>
      </c>
      <c r="BO783" s="109">
        <f t="shared" si="1573"/>
        <v>0</v>
      </c>
      <c r="BP783" s="109">
        <f t="shared" si="1573"/>
        <v>0</v>
      </c>
      <c r="BQ783" s="110">
        <f t="shared" si="1573"/>
        <v>0</v>
      </c>
      <c r="BR783" s="107">
        <f t="shared" si="1573"/>
        <v>0</v>
      </c>
      <c r="BS783" s="464"/>
      <c r="BT783" s="461"/>
      <c r="BU783" s="392"/>
      <c r="BV783" s="461"/>
      <c r="BW783" s="392"/>
      <c r="BX783" s="392"/>
      <c r="BY783" s="392"/>
      <c r="BZ783" s="461"/>
      <c r="CA783" s="392"/>
      <c r="CB783" s="392"/>
      <c r="CC783" s="392"/>
      <c r="CD783" s="401"/>
      <c r="CE783" s="409"/>
      <c r="CF783" s="133">
        <f t="shared" si="1540"/>
        <v>0</v>
      </c>
      <c r="CG783" s="134">
        <f t="shared" si="1541"/>
        <v>0</v>
      </c>
      <c r="CH783" s="134">
        <f t="shared" si="1542"/>
        <v>0</v>
      </c>
      <c r="CI783" s="134">
        <f t="shared" si="1543"/>
        <v>0</v>
      </c>
      <c r="CJ783" s="134">
        <f t="shared" si="1544"/>
        <v>0</v>
      </c>
      <c r="CK783" s="134">
        <f t="shared" si="1545"/>
        <v>0</v>
      </c>
      <c r="CL783" s="134">
        <f t="shared" si="1546"/>
        <v>0</v>
      </c>
      <c r="CM783" s="134">
        <f t="shared" si="1547"/>
        <v>0</v>
      </c>
      <c r="CN783" s="134">
        <f t="shared" si="1548"/>
        <v>0</v>
      </c>
      <c r="CO783" s="134">
        <f t="shared" si="1549"/>
        <v>0</v>
      </c>
      <c r="CP783" s="134">
        <f t="shared" si="1550"/>
        <v>0</v>
      </c>
      <c r="CQ783" s="134">
        <f t="shared" si="1551"/>
        <v>0</v>
      </c>
      <c r="CR783" s="134">
        <f t="shared" si="1552"/>
        <v>0</v>
      </c>
      <c r="CS783" s="134">
        <f t="shared" si="1553"/>
        <v>0</v>
      </c>
      <c r="CT783" s="115">
        <f t="shared" si="1554"/>
        <v>0</v>
      </c>
      <c r="CU783" s="116">
        <f t="shared" si="1555"/>
        <v>0</v>
      </c>
      <c r="CV783" s="116">
        <f t="shared" si="1556"/>
        <v>0</v>
      </c>
      <c r="CW783" s="116">
        <f t="shared" si="1557"/>
        <v>0</v>
      </c>
      <c r="CX783" s="116">
        <f t="shared" si="1558"/>
        <v>0</v>
      </c>
      <c r="CY783" s="116">
        <f t="shared" si="1559"/>
        <v>0</v>
      </c>
      <c r="CZ783" s="116">
        <f t="shared" si="1560"/>
        <v>0</v>
      </c>
      <c r="DA783" s="116">
        <f t="shared" si="1561"/>
        <v>0</v>
      </c>
      <c r="DB783" s="116">
        <f t="shared" si="1562"/>
        <v>0</v>
      </c>
      <c r="DC783" s="116">
        <f t="shared" si="1563"/>
        <v>0</v>
      </c>
      <c r="DD783" s="116">
        <f t="shared" si="1564"/>
        <v>0</v>
      </c>
      <c r="DE783" s="117">
        <f t="shared" si="1565"/>
        <v>0</v>
      </c>
      <c r="DF783" s="118">
        <f t="shared" si="1567"/>
        <v>43</v>
      </c>
      <c r="DG783" s="106">
        <f t="shared" si="1568"/>
        <v>57.167999999999992</v>
      </c>
      <c r="DH783" s="116">
        <f t="shared" si="1569"/>
        <v>16</v>
      </c>
      <c r="DI783" s="106">
        <f t="shared" si="1570"/>
        <v>68.699999999999989</v>
      </c>
      <c r="DJ783" s="201" t="str">
        <f>IF($D781="","",$D781)</f>
        <v>27</v>
      </c>
      <c r="DK783" s="466"/>
    </row>
    <row r="784" spans="1:115" ht="14.5" customHeight="1" x14ac:dyDescent="0.2">
      <c r="A784" s="487">
        <f>$A781+1</f>
        <v>261</v>
      </c>
      <c r="B784" s="506" t="str">
        <f>IF(OR(C784="W",C785="W",C786="W",C784="1/2W",C785="1/2W",C786="1/2W",C784="1/2L",C785="1/2L",C786="1/2L"),"OK",IF(OR(C784="L",C785="L",C786="L"),"LOSS",IF(OR(C784="X",C785="X",C786="X"),"Anulado"," ")))</f>
        <v>OK</v>
      </c>
      <c r="C784" s="147" t="s">
        <v>55</v>
      </c>
      <c r="D784" s="494" t="str">
        <f>IF(G784="","",$D781)</f>
        <v>27</v>
      </c>
      <c r="E784" s="511" t="str">
        <f>IF(G784=""," ","– "&amp;COUNTIF(D$4:D786,$D784))</f>
        <v>– 8</v>
      </c>
      <c r="F784" s="510" t="str">
        <f ca="1">IF(G784="","",IF(OR(AND($C784&lt;&gt;" ",$C785=" "),AND($C785&lt;&gt;" ",$C784=" "),AND(L786&gt;0,OR(AND($C786&lt;&gt;" ",OR($C784=" ",$C785=" ")),AND($C786=" ",OR($C784&lt;&gt;" ",$C785&lt;&gt;" "))))),IF(SUM(F$4:F783)=0,1,LARGE(F$4:F783,1)+1),IF(MONTH(G784)=MONTH(TODAY()),IF(AND(DAY(G784)&lt;DAY(TODAY()),$B784=" "),IF(SUM(F$4:F783)=0,1,LARGE(F$4:F783,1)+1),IF($B784=" ",IF(AND(DAY(G784)=DAY(TODAY()),HOUR(G784)&lt;=HOUR(NOW())+1),IF(AND(HOUR(G784)+2&lt;=HOUR(NOW()),DAY(G784)&lt;=DAY(TODAY()),MINUTE(G784)&lt;=MINUTE(NOW())),IF(SUM(F$4:F783)=0,1,LARGE(F$4:F783,1)+1),IF(OR(MINUTE(G784)&lt;=MINUTE(NOW()),HOUR(G784)&lt;=HOUR(NOW())),"!!!","")),""),"")),"")))</f>
        <v/>
      </c>
      <c r="G784" s="517">
        <v>45013.875</v>
      </c>
      <c r="H784" s="516" t="s">
        <v>267</v>
      </c>
      <c r="I784" s="222" t="s">
        <v>71</v>
      </c>
      <c r="J784" s="241"/>
      <c r="K784" s="224" t="s">
        <v>36</v>
      </c>
      <c r="L784" s="225">
        <v>5</v>
      </c>
      <c r="M784" s="226">
        <v>39</v>
      </c>
      <c r="N784" s="503">
        <v>0</v>
      </c>
      <c r="O784" s="153">
        <f>IF(OR(AE784="",AE785=""),"",ROUND(IF(L786&gt;0,IF(M784&gt;0,M784,IF(M785&gt;0,ROUND((M785*AE784)/AE785,IF(N784=0,2,IF(N784=0.1,1,0))),ROUND((M786*AE784)/AE786,IF(N784=0,2,IF(N784=0.1,1,0))))),IF(M784&gt;0,M784,ROUND((M785*AE784)/AE785,IF(N784=0,2,IF(N784=0.1,1,0))))),2))</f>
        <v>39</v>
      </c>
      <c r="P784" s="227">
        <f>IF(OR(L784="",O784=""),"",IF($C784="1/2W",O784/2+O784/2*L784,IF($C784="1/2L",O784/2,IF(I784="Lay",(O784*(L784/(L784-1))-O784)*(1-_xlfn.XLOOKUP(K784,'Fevereiro 2023 - Valor Real'!A3:A15,'Fevereiro 2023 - Valor Real'!C3:C15,0))+O784,(O784*L784-O784)*(1-_xlfn.XLOOKUP(K784,'Fevereiro 2023 - Valor Real'!A3:A15,'Fevereiro 2023 - Valor Real'!C3:C15,0))+O784))))</f>
        <v>195</v>
      </c>
      <c r="Q784" s="228">
        <f>IF(K784="","",IF(_xlfn.XLOOKUP(K784,K$4:K783,$DJ$4:DJ783,0,,-1)=DJ784,_xlfn.XLOOKUP(K784,K$4:K783,Q$4:Q783,1,,-1)+1,1))</f>
        <v>8</v>
      </c>
      <c r="R784" s="229">
        <f>IF(K784="","",_xlfn.XLOOKUP(K784,K$4:K783,R$4:R783,0,,-1)+IF($C784=" ",1,0))</f>
        <v>0</v>
      </c>
      <c r="S784" s="501">
        <f>IF($B784="Anulado",0,ROUND(IF(OR($B784="LOSS",$B784="OK"),IF(OR($C784="W",$C784="1/2W",$C784="1/2L"),P784-O784,IF($C784="L",-O784,0))+IF(OR($C785="W",$C785="1/2W",$C785="1/2L"),P785-O785,IF($C785="L",-O785,0))+IF(OR($C786="W",$C786="1/2W",$C786="1/2L"),P786-O786,IF($C786="L",-O786,0)),IF(AND(OR($C784="W",$C784="1/2W",$C784="1/2L"),C785="W"),P784+P785-SUM(O784:O786)+_xlfn.XLOOKUP("X",C784:C786,O784:O786,0),IF(AND(C784=TRUE,C786="W"),P784+P786-SUM(O784:O786),IF(AND(C785="W",C786="W"),P785+P786-SUM(O784:O786)+_xlfn.XLOOKUP("X",C784:C786,O784:O786,0),IF(L786&gt;0,IF(OR($C784="W",$C784="1/2W",$C784="1/2L"),P784-SUM(O784:O786)+_xlfn.XLOOKUP("X",C784:C786,O784:O786,0),IF(OR($C784="W",$C784="1/2W",$C784="1/2L"),P785-SUM(O784:O786)+_xlfn.XLOOKUP("X",C784:C786,O784:O786,0),IF(OR($C784="W",$C784="1/2W",$C784="1/2L"),P786-SUM(O784:O786)+_xlfn.XLOOKUP("X",C784:C786,O784:O786,0),IF(SUM(P784:P786)/3-SUM(O784:O786)+_xlfn.XLOOKUP("X",C784:C786,O784:O786,0)&gt;0,SUM(P784:P786)/3-SUM(O784:O786)+_xlfn.XLOOKUP("X",C784:C786,O784:O786,0),LARGE(P784:P786,1)-SUM(O784:O786))))),IF(OR($C784="W",$C784="1/2W",$C784="1/2L"),P784-SUM(O784:O785)+_xlfn.XLOOKUP("X",C784:C786,O784:O786,0),IF(OR($C784="W",$C784="1/2W",$C784="1/2L"),P785-SUM(O784:O785)+_xlfn.XLOOKUP("X",C784:C786,O784:O786,0),SUM(P784:P785)/2-SUM(O784:O785)+_xlfn.XLOOKUP("X",C784:C786,O784:O786,0)))))))),2))</f>
        <v>17</v>
      </c>
      <c r="T784" s="486">
        <f>IF(S784=0,0,S784/SUM(O784:O786))</f>
        <v>9.4972067039106142E-2</v>
      </c>
      <c r="U784" s="496">
        <f>IF($D784=$D781,IF(OR($B784="LOSS",$B784="OK",$B784="Anulada"),S784,0)+U781,IF(OR($B784="LOSS",$B784="OK",$B784="Anulada"),S784,0))</f>
        <v>26.45</v>
      </c>
      <c r="V784" s="496">
        <f>IF($D784="",0,IF($D784=$D781,IF($B784=" ",IF(I786="",IF(OR(AND(I784="DNB1",I785="DNB2"),AND(OR(I784="DNB1",I784="DNB2"),J785=0),AND(OR(I785="DNB1",I785="DNB2"),J784=0),AND(I784="DNB2",I785="DNB1"),AND(IF(J784=0,(J784+1)/ROUND(J784+1,0),J784/ROUND(J784,0))=1,IF(J785=0,(J785+1)/ROUND(IF(J785="",0,J785)+1,0),IF(J785="",0,J785)/ROUND(IF(J785="",1,J785),0))=1,OR(J784&lt;&gt;""),J785&lt;&gt;"")),0,IF(S784&lt;0,IF(I786="",SMALL(P784:P785,1)-SUM(O784:O785),0),SMALL(P784:P785,1)-SUM(O784:O785))),IF(S784&lt;0,IF(I786="",SMALL(P784:P786,1)-SUM(O784:O786),0),LARGE(P784:P786,1)-SUM(O784:O786))),S784)+V781,IF(I786="",IF(OR(AND(I784="DNB1",I785="DNB2"),AND(OR(I784="DNB1",I784="DNB2"),J785=0),AND(OR(I785="DNB1",I785="DNB2"),J784=0),AND(I784="DNB2",I785="DNB1"),AND(IF(J784=0,(J784+1)/ROUND(J784+1,0),J784/ROUND(J784,0))=1,IF(J785=0,(IF(J785="",0,J785)+1)/ROUND(IF(J785="",0,J785)+1,0),IF(J785="",0,J785)/ROUND(IF(J785="",0,J785)+1,0))=1,OR(J784&lt;&gt;""),J785&lt;&gt;"")),0,IF(S784&lt;0,IF(I786="",SMALL(P784:P785,1)-SUM(O784:O785),0),SMALL(P784:P786,1)-SUM(O784:O786))),IF(S784&lt;0,IF(I786="",SMALL(P784:P786,1)-SUM(O784:O786),0),LARGE(P784:P786,1)-SUM(O784:O786)))))</f>
        <v>26.449999999999996</v>
      </c>
      <c r="W784" s="496">
        <f>IF($D784=$D781,IF(S784&lt;0,IF(I786="",S784,0),S784)+W781,S784)</f>
        <v>26.45</v>
      </c>
      <c r="X784" s="505" t="str">
        <f>IF(OR(SUM(R784:R786)=0,V784=W784),ROUND(IF(W784=0,0,W784/Y784)*100,2)&amp;"%",ROUND(IF(V784=0,0,V784/Y784)*100,2)&amp;"% a "&amp;ROUND(IF(W784=0,0,W784/Y784)*100,2)&amp;"%")</f>
        <v>6,95%</v>
      </c>
      <c r="Y784" s="497">
        <f>IF($D784=$D781,Y781+SUM(O784:O786),SUM(O784:O786))</f>
        <v>380.51</v>
      </c>
      <c r="Z784" s="496">
        <f>IF($B784=" ",SUM(O784:O786),0)+Z781</f>
        <v>0</v>
      </c>
      <c r="AA784" s="496">
        <f>IF(G784="","",IF($B784="Anulado",LARGE(P784:P786,1)-SUM(O784:O786)+AA781,AA781))</f>
        <v>13.381099999999991</v>
      </c>
      <c r="AB784" s="496">
        <f>IF($D784="","",AB781+S784)</f>
        <v>874.14000000000067</v>
      </c>
      <c r="AC784" s="499">
        <f ca="1">IF($D784="","",IF($B784=" ",IF(DAY(G784)=DAY(TODAY()),1+AC781,0+AC781),0+AC781))</f>
        <v>0</v>
      </c>
      <c r="AD784" s="157">
        <f>(((L785/(L785-1)-1)*(1-_xlfn.XLOOKUP(K785,'Fevereiro 2023 - Valor Real'!A3:A15,'Fevereiro 2023 - Valor Real'!C3:C15,0))+1))/(((L784-1)*(1-_xlfn.XLOOKUP(K784,'Fevereiro 2023 - Valor Real'!A3:A15,'Fevereiro 2023 - Valor Real'!C3:C15,0))+1)+((L785/(L785-1)-1)*(1-_xlfn.XLOOKUP(K785,'Fevereiro 2023 - Valor Real'!A3:A15,'Fevereiro 2023 - Valor Real'!C3:C15,0))+1))</f>
        <v>0.41176470588235298</v>
      </c>
      <c r="AE784" s="158">
        <f>IF(L784="","",IF(L786&gt;0,(SUM(((L784-1)*(1-_xlfn.XLOOKUP(K784,'Fevereiro 2023 - Valor Real'!A3:A15,'Fevereiro 2023 - Valor Real'!C3:C15,0))+1),((L785-1)*(1-_xlfn.XLOOKUP(K785,'Fevereiro 2023 - Valor Real'!A3:A15,'Fevereiro 2023 - Valor Real'!C3:C15,0))+1),((L786-1)*(1-_xlfn.XLOOKUP(K786,'Fevereiro 2023 - Valor Real'!A3:A15,'Fevereiro 2023 - Valor Real'!C3:C15,0))+1))/((L784-1)*(1-_xlfn.XLOOKUP(K784,'Fevereiro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Real'!C3:C15,0))+1))/((L784-1)*(1-_xlfn.XLOOKUP(K784,'Fevereiro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Real'!C3:C15,0))+1))/((L785-1)*(1-_xlfn.XLOOKUP(K785,'Fevereiro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Real'!C3:C15,0))+1))/((L786-1)*(1-_xlfn.XLOOKUP(K786,'Fevereiro 2023 - Valor Real'!A3:A15,'Fevereiro 2023 - Valor Real'!C3:C15,0))+1)),IF(I784="Lay",IF(I785="Lay",((L785/(L785-1)-1)*(1-_xlfn.XLOOKUP(K785,'Fevereiro 2023 - Valor Real'!A3:A15,'Fevereiro 2023 - Valor Real'!C3:C15,0))+1)/(((L785/(L785-1)-1)*(1-_xlfn.XLOOKUP(K785,'Fevereiro 2023 - Valor Real'!A3:A15,'Fevereiro 2023 - Valor Real'!C3:C15,0))+1)+((L784/(L784-1)-1)*(1-_xlfn.XLOOKUP(K784,'Fevereiro 2023 - Valor Real'!A3:A15,'Fevereiro 2023 - Valor Real'!C3:C15,0))+1)),((L785-1)*(1-_xlfn.XLOOKUP(K785,'Fevereiro 2023 - Valor Real'!A3:A15,'Fevereiro 2023 - Valor Real'!C3:C15,0))+1)/(((L785-1)*(1-_xlfn.XLOOKUP(K785,'Fevereiro 2023 - Valor Real'!A3:A15,'Fevereiro 2023 - Valor Real'!C3:C15,0))+1)+((L784/(L784-1)-1)*(1-_xlfn.XLOOKUP(K784,'Fevereiro 2023 - Valor Real'!A3:A15,'Fevereiro 2023 - Valor Real'!C3:C15,0))+1))),IF(I785="Lay",(((L785/(L785-1)-1)*(1-_xlfn.XLOOKUP(K785,'Fevereiro 2023 - Valor Real'!A3:A15,'Fevereiro 2023 - Valor Real'!C3:C15,0))+1))/(((L784-1)*(1-_xlfn.XLOOKUP(K784,'Fevereiro 2023 - Valor Real'!A3:A15,'Fevereiro 2023 - Valor Real'!C3:C15,0))+1)+((L785/(L785-1)-1)*(1-_xlfn.XLOOKUP(K785,'Fevereiro 2023 - Valor Real'!A3:A15,'Fevereiro 2023 - Valor Real'!C3:C15,0))+1)),((L785-1)*(1-_xlfn.XLOOKUP(K785,'Fevereiro 2023 - Valor Real'!A3:A15,'Fevereiro 2023 - Valor Real'!C3:C15,0))+1)/(((L785-1)*(1-_xlfn.XLOOKUP(K785,'Fevereiro 2023 - Valor Real'!A3:A15,'Fevereiro 2023 - Valor Real'!C3:C15,0))+1)+((L784-1)*(1-_xlfn.XLOOKUP(K784,'Fevereiro 2023 - Valor Real'!A3:A15,'Fevereiro 2023 - Valor Real'!C3:C15,0))+1))))))</f>
        <v>0.21874999999999997</v>
      </c>
      <c r="AF784" s="66">
        <f t="shared" ref="AF784:AR793" si="1586">IF($K784=AF$3,ROUND(IF(OR($C784="W",$C784="1/2W",$C784="1/2L"),$P784-$O784,IF($C784="X",0,-$O784)),2),0)</f>
        <v>-39</v>
      </c>
      <c r="AG784" s="67">
        <f t="shared" si="1586"/>
        <v>0</v>
      </c>
      <c r="AH784" s="67">
        <f t="shared" si="1586"/>
        <v>0</v>
      </c>
      <c r="AI784" s="67">
        <f t="shared" si="1586"/>
        <v>0</v>
      </c>
      <c r="AJ784" s="67">
        <f t="shared" si="1586"/>
        <v>0</v>
      </c>
      <c r="AK784" s="67">
        <f t="shared" si="1586"/>
        <v>0</v>
      </c>
      <c r="AL784" s="67">
        <f t="shared" si="1586"/>
        <v>0</v>
      </c>
      <c r="AM784" s="67">
        <f t="shared" si="1586"/>
        <v>0</v>
      </c>
      <c r="AN784" s="67">
        <f t="shared" si="1586"/>
        <v>0</v>
      </c>
      <c r="AO784" s="67">
        <f t="shared" si="1586"/>
        <v>0</v>
      </c>
      <c r="AP784" s="67">
        <f t="shared" si="1586"/>
        <v>0</v>
      </c>
      <c r="AQ784" s="67">
        <f t="shared" si="1586"/>
        <v>0</v>
      </c>
      <c r="AR784" s="68">
        <f t="shared" si="1586"/>
        <v>0</v>
      </c>
      <c r="AS784" s="66">
        <f t="shared" ref="AS784:BE784" si="1587">IF(AND($B784=" ",$K784=AS$3),$O784,0)</f>
        <v>0</v>
      </c>
      <c r="AT784" s="67">
        <f t="shared" si="1587"/>
        <v>0</v>
      </c>
      <c r="AU784" s="67">
        <f t="shared" si="1587"/>
        <v>0</v>
      </c>
      <c r="AV784" s="67">
        <f t="shared" si="1587"/>
        <v>0</v>
      </c>
      <c r="AW784" s="67">
        <f t="shared" si="1587"/>
        <v>0</v>
      </c>
      <c r="AX784" s="67">
        <f t="shared" si="1587"/>
        <v>0</v>
      </c>
      <c r="AY784" s="69">
        <f t="shared" si="1587"/>
        <v>0</v>
      </c>
      <c r="AZ784" s="70">
        <f t="shared" si="1587"/>
        <v>0</v>
      </c>
      <c r="BA784" s="70">
        <f t="shared" si="1587"/>
        <v>0</v>
      </c>
      <c r="BB784" s="70">
        <f t="shared" si="1587"/>
        <v>0</v>
      </c>
      <c r="BC784" s="71">
        <f t="shared" si="1587"/>
        <v>0</v>
      </c>
      <c r="BD784" s="67">
        <f t="shared" si="1587"/>
        <v>0</v>
      </c>
      <c r="BE784" s="68">
        <f t="shared" si="1587"/>
        <v>0</v>
      </c>
      <c r="BF784" s="230">
        <f t="shared" ref="BF784:BR793" si="1588">IF($K784=BF$3,IF($C784="X",0,$O784),0)</f>
        <v>39</v>
      </c>
      <c r="BG784" s="67">
        <f t="shared" si="1588"/>
        <v>0</v>
      </c>
      <c r="BH784" s="67">
        <f t="shared" si="1588"/>
        <v>0</v>
      </c>
      <c r="BI784" s="67">
        <f t="shared" si="1588"/>
        <v>0</v>
      </c>
      <c r="BJ784" s="67">
        <f t="shared" si="1588"/>
        <v>0</v>
      </c>
      <c r="BK784" s="67">
        <f t="shared" si="1588"/>
        <v>0</v>
      </c>
      <c r="BL784" s="67">
        <f t="shared" si="1588"/>
        <v>0</v>
      </c>
      <c r="BM784" s="69">
        <f t="shared" si="1588"/>
        <v>0</v>
      </c>
      <c r="BN784" s="70">
        <f t="shared" si="1588"/>
        <v>0</v>
      </c>
      <c r="BO784" s="70">
        <f t="shared" si="1588"/>
        <v>0</v>
      </c>
      <c r="BP784" s="70">
        <f t="shared" si="1588"/>
        <v>0</v>
      </c>
      <c r="BQ784" s="71">
        <f t="shared" si="1588"/>
        <v>0</v>
      </c>
      <c r="BR784" s="68">
        <f t="shared" si="1588"/>
        <v>0</v>
      </c>
      <c r="BS784" s="490">
        <f>IF($B784="LOSS",IF(AND($K784=BS$3,$C784="L"),-$O784,0)+IF(AND($K785=BS$3,$C785="L"),-$O785,0)+IF(AND($K786=BS$3,$C786="L"),-$O786,0),IF(OR(AND($K784=BS$3,OR($C784="W",$C784="1/2W")),AND($K785=BS$3,OR($C785="W",$C785="1/2W")),AND($K786=BS$3,OR($C786="W",$C786="1/2W"))),$S784,0))</f>
        <v>0</v>
      </c>
      <c r="BT784" s="488">
        <f>IF($B784="LOSS",IF(AND($K784=BT$3,$C784="L"),-$O784,0)+IF(AND($K785=BT$3,$C785="L"),-$O785,0)+IF(AND($K785=BT$3,$C786="L"),-$O786,0),IF(OR(AND($K785=BT$3,OR($C784="W",$C784="1/2W")),AND($K785=BT$3,OR($C785="W",$C785="1/2W")),AND($K785=BT$3,OR($C786="W",$C786="1/2W"))),$S784,0))</f>
        <v>0</v>
      </c>
      <c r="BU784" s="488">
        <f>IF($B784="LOSS",IF(AND($K784=BU$3,$C784="L"),-$O784,0)+IF(AND($K785=BU$3,$C785="L"),-$O785,0)+IF(AND($K785=BU$3,$C786="L"),-$O786,0),IF(OR(AND($K785=BU$3,OR($C784="W",$C784="1/2W")),AND($K785=BU$3,OR($C785="W",$C785="1/2W")),AND($K785=BU$3,OR($C786="W",$C786="1/2W"))),$S784,0))</f>
        <v>0</v>
      </c>
      <c r="BV784" s="488">
        <f t="shared" ref="BV784:CE784" si="1589">IF($B784="LOSS",IF(AND($K784=BV$3,$C784="L"),-$O784,0)+IF(AND($K785=BV$3,$C785="L"),-$O785,0)+IF(AND($K786=BV$3,$C786="L"),-$O786,0),IF(OR(AND($K784=BV$3,OR($C784="W",$C784="1/2W")),AND($K785=BV$3,OR($C785="W",$C785="1/2W")),AND($K786=BV$3,OR($C786="W",$C786="1/2W"))),$S784,0))</f>
        <v>0</v>
      </c>
      <c r="BW784" s="488">
        <f t="shared" si="1589"/>
        <v>17</v>
      </c>
      <c r="BX784" s="488">
        <f t="shared" si="1589"/>
        <v>0</v>
      </c>
      <c r="BY784" s="488">
        <f t="shared" si="1589"/>
        <v>0</v>
      </c>
      <c r="BZ784" s="498">
        <f t="shared" si="1589"/>
        <v>0</v>
      </c>
      <c r="CA784" s="498">
        <f t="shared" si="1589"/>
        <v>0</v>
      </c>
      <c r="CB784" s="498">
        <f t="shared" si="1589"/>
        <v>0</v>
      </c>
      <c r="CC784" s="498">
        <f t="shared" si="1589"/>
        <v>0</v>
      </c>
      <c r="CD784" s="500">
        <f t="shared" si="1589"/>
        <v>0</v>
      </c>
      <c r="CE784" s="504">
        <f t="shared" si="1589"/>
        <v>0</v>
      </c>
      <c r="CF784" s="160">
        <f t="shared" si="1540"/>
        <v>0</v>
      </c>
      <c r="CG784" s="161">
        <f t="shared" si="1541"/>
        <v>1</v>
      </c>
      <c r="CH784" s="161">
        <f t="shared" si="1542"/>
        <v>0</v>
      </c>
      <c r="CI784" s="161">
        <f t="shared" si="1543"/>
        <v>0</v>
      </c>
      <c r="CJ784" s="161">
        <f t="shared" si="1544"/>
        <v>0</v>
      </c>
      <c r="CK784" s="161">
        <f t="shared" si="1545"/>
        <v>0</v>
      </c>
      <c r="CL784" s="161">
        <f t="shared" si="1546"/>
        <v>0</v>
      </c>
      <c r="CM784" s="161">
        <f t="shared" si="1547"/>
        <v>0</v>
      </c>
      <c r="CN784" s="161">
        <f t="shared" si="1548"/>
        <v>0</v>
      </c>
      <c r="CO784" s="161">
        <f t="shared" si="1549"/>
        <v>0</v>
      </c>
      <c r="CP784" s="161">
        <f t="shared" si="1550"/>
        <v>0</v>
      </c>
      <c r="CQ784" s="161">
        <f t="shared" si="1551"/>
        <v>0</v>
      </c>
      <c r="CR784" s="161">
        <f t="shared" si="1552"/>
        <v>0</v>
      </c>
      <c r="CS784" s="161">
        <f t="shared" si="1553"/>
        <v>0</v>
      </c>
      <c r="CT784" s="75">
        <f t="shared" si="1554"/>
        <v>0</v>
      </c>
      <c r="CU784" s="76">
        <f t="shared" si="1555"/>
        <v>0</v>
      </c>
      <c r="CV784" s="76">
        <f t="shared" si="1556"/>
        <v>0</v>
      </c>
      <c r="CW784" s="76">
        <f t="shared" si="1557"/>
        <v>0</v>
      </c>
      <c r="CX784" s="76">
        <f t="shared" si="1558"/>
        <v>0</v>
      </c>
      <c r="CY784" s="76">
        <f t="shared" si="1559"/>
        <v>0</v>
      </c>
      <c r="CZ784" s="76">
        <f t="shared" si="1560"/>
        <v>0</v>
      </c>
      <c r="DA784" s="76">
        <f t="shared" si="1561"/>
        <v>0</v>
      </c>
      <c r="DB784" s="76">
        <f t="shared" si="1562"/>
        <v>0</v>
      </c>
      <c r="DC784" s="76">
        <f t="shared" si="1563"/>
        <v>0</v>
      </c>
      <c r="DD784" s="76">
        <f t="shared" si="1564"/>
        <v>0</v>
      </c>
      <c r="DE784" s="77">
        <f t="shared" si="1565"/>
        <v>0</v>
      </c>
      <c r="DF784" s="73">
        <f t="shared" si="1567"/>
        <v>43</v>
      </c>
      <c r="DG784" s="67">
        <f t="shared" si="1568"/>
        <v>57.167999999999992</v>
      </c>
      <c r="DH784" s="76">
        <f t="shared" si="1569"/>
        <v>16</v>
      </c>
      <c r="DI784" s="67">
        <f t="shared" si="1570"/>
        <v>68.699999999999989</v>
      </c>
      <c r="DJ784" s="202" t="str">
        <f>IF($D784="","",$D784)</f>
        <v>27</v>
      </c>
      <c r="DK784" s="492">
        <f>IF(AND($B784=" ",$D784&lt;&gt;""),1,0)</f>
        <v>0</v>
      </c>
    </row>
    <row r="785" spans="1:115" ht="14.5" customHeight="1" x14ac:dyDescent="0.2">
      <c r="A785" s="389"/>
      <c r="B785" s="456"/>
      <c r="C785" s="53" t="s">
        <v>54</v>
      </c>
      <c r="D785" s="374"/>
      <c r="E785" s="386"/>
      <c r="F785" s="377"/>
      <c r="G785" s="483"/>
      <c r="H785" s="476"/>
      <c r="I785" s="55" t="s">
        <v>72</v>
      </c>
      <c r="J785" s="242" t="str">
        <f>IF(OR(I784="TO",I784="TU",I784="TO1",I784="TU1",I784="TO2",I784="TU2"),J784,IF(OR(I784="AH1",I784="AH2"),IF(OR(I785="AH1",I785="AH2"),-J784,IF(OR(I785="EH1",I785="EH2"),-J784+0.5,"")),IF(OR(I784="EH1",I784="EH2"),IF(OR(I785="AH1",I785="AH2"),-J784+0.5,IF(OR(I785="EH1",I785="EH2"),-J784+1,"")),IF(AND(OR(I784="DNB1",I784="DNB2"),OR(I785="AH1",I785="AH2")),0,IF(AND(I784="Not ScoreBoth",OR(I785="TO1",I785="TO2")),0.5,"")))))</f>
        <v/>
      </c>
      <c r="K785" s="232" t="s">
        <v>40</v>
      </c>
      <c r="L785" s="58">
        <v>1.4</v>
      </c>
      <c r="M785" s="59">
        <v>140</v>
      </c>
      <c r="N785" s="406"/>
      <c r="O785" s="60">
        <f>IF(OR(AE784="",AE785=""),"",ROUND(IF(L786&gt;0,IF(M785&gt;0,M785,IF(M784&gt;0,IF(N784=TRUE,ROUND((M784*AE785)/AE784,0),(M784*AE785)/AE784),IF(M785&gt;0,ROUND(M785,IF(N784=0,2,IF(N784=0.1,1,0))),IF(M786&gt;0,ROUND(O786*AE785/AE786,IF(N784=0,2,IF(N784=0.1,1,0))),0)))),IF(M785&gt;0,M785,ROUND((M784*AE785)/AE784,IF(N784=0,2,IF(N784=0.1,1,0))))),2))</f>
        <v>140</v>
      </c>
      <c r="P785" s="61">
        <f>IF(OR(L785="",O785=""),"",IF($C785="1/2W",O785/2+O785/2*L785,IF($C785="1/2L",O785/2,IF(I785="Lay",((O785*(L785/(L785-1)))-O785)*(1-_xlfn.XLOOKUP(K785,'Fevereiro 2023 - Valor Real'!A3:A15,'Fevereiro 2023 - Valor Real'!C3:C15,0))+O785,(O785*L785-O785)*(1-_xlfn.XLOOKUP(K785,'Fevereiro 2023 - Valor Real'!A3:A15,'Fevereiro 2023 - Valor Real'!C3:C15,0))+O785))))</f>
        <v>196</v>
      </c>
      <c r="Q785" s="233">
        <f>IF(K785="","",IF(_xlfn.XLOOKUP(K785,K$4:K784,$DJ$4:DJ784,0,,-1)=DJ785,_xlfn.XLOOKUP(K785,K$4:K784,Q$4:Q784,1,,-1)+1,1))</f>
        <v>7</v>
      </c>
      <c r="R785" s="234">
        <f>IF(K785="","",_xlfn.XLOOKUP(K785,K$4:K784,R$4:R784,0,,-1)+IF($C785=" ",1,0))</f>
        <v>0</v>
      </c>
      <c r="S785" s="403"/>
      <c r="T785" s="380"/>
      <c r="U785" s="380"/>
      <c r="V785" s="481"/>
      <c r="W785" s="380"/>
      <c r="X785" s="452"/>
      <c r="Y785" s="383"/>
      <c r="Z785" s="384"/>
      <c r="AA785" s="384"/>
      <c r="AB785" s="384"/>
      <c r="AC785" s="384"/>
      <c r="AD785" s="64">
        <f>(((L785/(L785-1)-1)*(1-_xlfn.XLOOKUP(K785,'Fevereiro 2023 - Valor Real'!A3:A15,'Fevereiro 2023 - Valor Real'!C3:C15,0))+1))</f>
        <v>3.5000000000000004</v>
      </c>
      <c r="AE785" s="65">
        <f>IF(L785="","",IF(L786&gt;0,(SUM(((L784-1)*(1-_xlfn.XLOOKUP(K784,'Fevereiro 2023 - Valor Real'!A3:A15,'Fevereiro 2023 - Valor Real'!C3:C15,0))+1),((L785-1)*(1-_xlfn.XLOOKUP(K785,'Fevereiro 2023 - Valor Real'!A3:A15,'Fevereiro 2023 - Valor Real'!C3:C15,0))+1),((L786-1)*(1-_xlfn.XLOOKUP(K786,'Fevereiro 2023 - Valor Real'!A3:A15,'Fevereiro 2023 - Valor Real'!C3:C15,0))+1))/((L785-1)*(1-_xlfn.XLOOKUP(K785,'Fevereiro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Real'!C3:C15,0))+1))/((L784-1)*(1-_xlfn.XLOOKUP(K784,'Fevereiro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Real'!C3:C15,0))+1))/((L785-1)*(1-_xlfn.XLOOKUP(K785,'Fevereiro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Real'!C3:C15,0))+1))/((L786-1)*(1-_xlfn.XLOOKUP(K786,'Fevereiro 2023 - Valor Real'!A3:A15,'Fevereiro 2023 - Valor Real'!C3:C15,0))+1)),IF(I785="Lay",IF(I784="Lay",((L784/(L784-1)-1)*(1-_xlfn.XLOOKUP(K784,'Fevereiro 2023 - Valor Real'!A3:A15,'Fevereiro 2023 - Valor Real'!C3:C15,0))+1)/(((L784/(L784-1)-1)*(1-_xlfn.XLOOKUP(K784,'Fevereiro 2023 - Valor Real'!A3:A15,'Fevereiro 2023 - Valor Real'!C3:C15,0))+1)+((L785/(L785-1)-1)*(1-_xlfn.XLOOKUP(K785,'Fevereiro 2023 - Valor Real'!A3:A15,'Fevereiro 2023 - Valor Real'!C3:C15,0))+1)),((L784-1)*(1-_xlfn.XLOOKUP(K784,'Fevereiro 2023 - Valor Real'!A3:A15,'Fevereiro 2023 - Valor Real'!C3:C15,0))+1)/(((L784-1)*(1-_xlfn.XLOOKUP(K784,'Fevereiro 2023 - Valor Real'!A3:A15,'Fevereiro 2023 - Valor Real'!C3:C15,0))+1)+((L785/(L785-1)-1)*(1-_xlfn.XLOOKUP(K785,'Fevereiro 2023 - Valor Real'!A3:A15,'Fevereiro 2023 - Valor Real'!C3:C15,0))+1))),IF(I784="Lay",((L784/(L784-1)-1)*(1-_xlfn.XLOOKUP(K784,'Fevereiro 2023 - Valor Real'!A3:A15,'Fevereiro 2023 - Valor Real'!C3:C15,0))+1)/((((L784/(L784-1)-1)*(1-_xlfn.XLOOKUP(K784,'Fevereiro 2023 - Valor Real'!A3:A15,'Fevereiro 2023 - Valor Real'!C3:C15,0))+1))+((L785-1)*(1-_xlfn.XLOOKUP(K785,'Fevereiro 2023 - Valor Real'!A3:A15,'Fevereiro 2023 - Valor Real'!C3:C15,0))+1)),((L784-1)*(1-_xlfn.XLOOKUP(K784,'Fevereiro 2023 - Valor Real'!A3:A15,'Fevereiro 2023 - Valor Real'!C3:C15,0))+1)/(((L784-1)*(1-_xlfn.XLOOKUP(K784,'Fevereiro 2023 - Valor Real'!A3:A15,'Fevereiro 2023 - Valor Real'!C3:C15,0))+1)+((L785-1)*(1-_xlfn.XLOOKUP(K785,'Fevereiro 2023 - Valor Real'!A3:A15,'Fevereiro 2023 - Valor Real'!C3:C15,0))+1))))))</f>
        <v>0.78125</v>
      </c>
      <c r="AF785" s="66">
        <f t="shared" si="1586"/>
        <v>0</v>
      </c>
      <c r="AG785" s="67">
        <f t="shared" si="1586"/>
        <v>0</v>
      </c>
      <c r="AH785" s="67">
        <f t="shared" si="1586"/>
        <v>0</v>
      </c>
      <c r="AI785" s="67">
        <f t="shared" si="1586"/>
        <v>0</v>
      </c>
      <c r="AJ785" s="67">
        <f t="shared" si="1586"/>
        <v>56</v>
      </c>
      <c r="AK785" s="67">
        <f t="shared" si="1586"/>
        <v>0</v>
      </c>
      <c r="AL785" s="67">
        <f t="shared" si="1586"/>
        <v>0</v>
      </c>
      <c r="AM785" s="67">
        <f t="shared" si="1586"/>
        <v>0</v>
      </c>
      <c r="AN785" s="67">
        <f t="shared" si="1586"/>
        <v>0</v>
      </c>
      <c r="AO785" s="67">
        <f t="shared" si="1586"/>
        <v>0</v>
      </c>
      <c r="AP785" s="67">
        <f t="shared" si="1586"/>
        <v>0</v>
      </c>
      <c r="AQ785" s="67">
        <f t="shared" si="1586"/>
        <v>0</v>
      </c>
      <c r="AR785" s="68">
        <f t="shared" si="1586"/>
        <v>0</v>
      </c>
      <c r="AS785" s="66">
        <f>IF(AND($B784=" ",$K785=AS$3),$O785,0)</f>
        <v>0</v>
      </c>
      <c r="AT785" s="67">
        <f>IF(AND($B784=" ",K785=AT$3),$O785,0)</f>
        <v>0</v>
      </c>
      <c r="AU785" s="67">
        <f t="shared" ref="AU785:BE785" si="1590">IF(AND($B784=" ",$K785=AU$3),$O785,0)</f>
        <v>0</v>
      </c>
      <c r="AV785" s="67">
        <f t="shared" si="1590"/>
        <v>0</v>
      </c>
      <c r="AW785" s="67">
        <f t="shared" si="1590"/>
        <v>0</v>
      </c>
      <c r="AX785" s="67">
        <f t="shared" si="1590"/>
        <v>0</v>
      </c>
      <c r="AY785" s="69">
        <f t="shared" si="1590"/>
        <v>0</v>
      </c>
      <c r="AZ785" s="70">
        <f t="shared" si="1590"/>
        <v>0</v>
      </c>
      <c r="BA785" s="70">
        <f t="shared" si="1590"/>
        <v>0</v>
      </c>
      <c r="BB785" s="70">
        <f t="shared" si="1590"/>
        <v>0</v>
      </c>
      <c r="BC785" s="71">
        <f t="shared" si="1590"/>
        <v>0</v>
      </c>
      <c r="BD785" s="67">
        <f t="shared" si="1590"/>
        <v>0</v>
      </c>
      <c r="BE785" s="68">
        <f t="shared" si="1590"/>
        <v>0</v>
      </c>
      <c r="BF785" s="66">
        <f t="shared" si="1588"/>
        <v>0</v>
      </c>
      <c r="BG785" s="67">
        <f t="shared" si="1588"/>
        <v>0</v>
      </c>
      <c r="BH785" s="67">
        <f t="shared" si="1588"/>
        <v>0</v>
      </c>
      <c r="BI785" s="67">
        <f t="shared" si="1588"/>
        <v>0</v>
      </c>
      <c r="BJ785" s="67">
        <f t="shared" si="1588"/>
        <v>140</v>
      </c>
      <c r="BK785" s="67">
        <f t="shared" si="1588"/>
        <v>0</v>
      </c>
      <c r="BL785" s="67">
        <f t="shared" si="1588"/>
        <v>0</v>
      </c>
      <c r="BM785" s="235">
        <f t="shared" si="1588"/>
        <v>0</v>
      </c>
      <c r="BN785" s="159">
        <f t="shared" si="1588"/>
        <v>0</v>
      </c>
      <c r="BO785" s="159">
        <f t="shared" si="1588"/>
        <v>0</v>
      </c>
      <c r="BP785" s="159">
        <f t="shared" si="1588"/>
        <v>0</v>
      </c>
      <c r="BQ785" s="71">
        <f t="shared" si="1588"/>
        <v>0</v>
      </c>
      <c r="BR785" s="68">
        <f t="shared" si="1588"/>
        <v>0</v>
      </c>
      <c r="BS785" s="464"/>
      <c r="BT785" s="461"/>
      <c r="BU785" s="392"/>
      <c r="BV785" s="461"/>
      <c r="BW785" s="392"/>
      <c r="BX785" s="392"/>
      <c r="BY785" s="392"/>
      <c r="BZ785" s="461"/>
      <c r="CA785" s="392"/>
      <c r="CB785" s="392"/>
      <c r="CC785" s="392"/>
      <c r="CD785" s="401"/>
      <c r="CE785" s="409"/>
      <c r="CF785" s="236">
        <f t="shared" si="1540"/>
        <v>0</v>
      </c>
      <c r="CG785" s="237">
        <f t="shared" si="1541"/>
        <v>0</v>
      </c>
      <c r="CH785" s="237">
        <f t="shared" si="1542"/>
        <v>0</v>
      </c>
      <c r="CI785" s="237">
        <f t="shared" si="1543"/>
        <v>0</v>
      </c>
      <c r="CJ785" s="237">
        <f t="shared" si="1544"/>
        <v>0</v>
      </c>
      <c r="CK785" s="237">
        <f t="shared" si="1545"/>
        <v>0</v>
      </c>
      <c r="CL785" s="237">
        <f t="shared" si="1546"/>
        <v>0</v>
      </c>
      <c r="CM785" s="237">
        <f t="shared" si="1547"/>
        <v>0</v>
      </c>
      <c r="CN785" s="237">
        <f t="shared" si="1548"/>
        <v>1</v>
      </c>
      <c r="CO785" s="237">
        <f t="shared" si="1549"/>
        <v>0</v>
      </c>
      <c r="CP785" s="237">
        <f t="shared" si="1550"/>
        <v>0</v>
      </c>
      <c r="CQ785" s="237">
        <f t="shared" si="1551"/>
        <v>0</v>
      </c>
      <c r="CR785" s="237">
        <f t="shared" si="1552"/>
        <v>0</v>
      </c>
      <c r="CS785" s="237">
        <f t="shared" si="1553"/>
        <v>0</v>
      </c>
      <c r="CT785" s="75">
        <f t="shared" si="1554"/>
        <v>0</v>
      </c>
      <c r="CU785" s="76">
        <f t="shared" si="1555"/>
        <v>0</v>
      </c>
      <c r="CV785" s="76">
        <f t="shared" si="1556"/>
        <v>0</v>
      </c>
      <c r="CW785" s="76">
        <f t="shared" si="1557"/>
        <v>0</v>
      </c>
      <c r="CX785" s="76">
        <f t="shared" si="1558"/>
        <v>0</v>
      </c>
      <c r="CY785" s="76">
        <f t="shared" si="1559"/>
        <v>0</v>
      </c>
      <c r="CZ785" s="76">
        <f t="shared" si="1560"/>
        <v>0</v>
      </c>
      <c r="DA785" s="76">
        <f t="shared" si="1561"/>
        <v>0</v>
      </c>
      <c r="DB785" s="76">
        <f t="shared" si="1562"/>
        <v>0</v>
      </c>
      <c r="DC785" s="76">
        <f t="shared" si="1563"/>
        <v>0</v>
      </c>
      <c r="DD785" s="76">
        <f t="shared" si="1564"/>
        <v>0</v>
      </c>
      <c r="DE785" s="77">
        <f t="shared" si="1565"/>
        <v>0</v>
      </c>
      <c r="DF785" s="73">
        <f t="shared" si="1567"/>
        <v>44</v>
      </c>
      <c r="DG785" s="67">
        <f t="shared" si="1568"/>
        <v>58.567999999999991</v>
      </c>
      <c r="DH785" s="76">
        <f t="shared" si="1569"/>
        <v>16</v>
      </c>
      <c r="DI785" s="67">
        <f t="shared" si="1570"/>
        <v>68.699999999999989</v>
      </c>
      <c r="DJ785" s="202" t="str">
        <f>IF($D784="","",$D784)</f>
        <v>27</v>
      </c>
      <c r="DK785" s="466"/>
    </row>
    <row r="786" spans="1:115" ht="14.5" customHeight="1" x14ac:dyDescent="0.2">
      <c r="A786" s="390"/>
      <c r="B786" s="457"/>
      <c r="C786" s="79" t="s">
        <v>53</v>
      </c>
      <c r="D786" s="375"/>
      <c r="E786" s="387"/>
      <c r="F786" s="378"/>
      <c r="G786" s="484"/>
      <c r="H786" s="477"/>
      <c r="I786" s="82"/>
      <c r="J786" s="83"/>
      <c r="K786" s="90"/>
      <c r="L786" s="84"/>
      <c r="M786" s="85"/>
      <c r="N786" s="407"/>
      <c r="O786" s="86" t="str">
        <f>IF(OR(AE784="",AE785=""),"",IF(L786&gt;0,ROUND(IF(M786&gt;0,M786,IF(M784&gt;0,ROUND((M784*AE786)/AE784,IF(N784=0,2,IF(N784=0.1,1,0))),IF(M785&gt;0,ROUND((M785*AE786)/AE785,IF(N784=0,2,IF(N784=0.1,1,0))),IF(M786&gt;0,M786,0)))),2),""))</f>
        <v/>
      </c>
      <c r="P786" s="87" t="str">
        <f>IF(I785="Lay",O785*(L785/(L785-1))-O785,IF(I784="Lay",O784*(L784/(L784-1))-O784,IF(OR(L786="",O786=""),"",IF($C786="1/2W",O786/2+O786/2*L786,IF($C786="1/2L",O786/2,(O786*L786-O786)*(1-_xlfn.XLOOKUP(K786,'Fevereiro 2023 - Valor Real'!A3:A15,'Fevereiro 2023 - Valor Real'!C3:C15,0))+O786)))))</f>
        <v/>
      </c>
      <c r="Q786" s="238" t="str">
        <f>IF(K786="","",IF(_xlfn.XLOOKUP(K786,K$4:K785,$DJ$4:DJ785,0,,-1)=DJ786,_xlfn.XLOOKUP(K786,K$4:K785,Q$4:Q785,1,,-1)+1,1))</f>
        <v/>
      </c>
      <c r="R786" s="239" t="str">
        <f>IF(K786="","",_xlfn.XLOOKUP(K786,K$4:K785,R$4:R785,0,,-1)+IF($C786=" ",1,0))</f>
        <v/>
      </c>
      <c r="S786" s="404"/>
      <c r="T786" s="378"/>
      <c r="U786" s="378"/>
      <c r="V786" s="404"/>
      <c r="W786" s="378"/>
      <c r="X786" s="453"/>
      <c r="Y786" s="383"/>
      <c r="Z786" s="384"/>
      <c r="AA786" s="384"/>
      <c r="AB786" s="384"/>
      <c r="AC786" s="384"/>
      <c r="AD786" s="240">
        <f>((L785/(L785-1)-1))</f>
        <v>2.5000000000000004</v>
      </c>
      <c r="AE786" s="91" t="str">
        <f>IF(L786="","",(SUM(((L784-1)*(1-_xlfn.XLOOKUP(K784,'Fevereiro 2023 - Valor Real'!A3:A15,'Fevereiro 2023 - Valor Real'!C3:C15,0))+1),((L785-1)*(1-_xlfn.XLOOKUP(K785,'Fevereiro 2023 - Valor Real'!A3:A15,'Fevereiro 2023 - Valor Real'!C3:C15,0))+1),((L786-1)*(1-_xlfn.XLOOKUP(K786,'Fevereiro 2023 - Valor Real'!A3:A15,'Fevereiro 2023 - Valor Real'!C3:C15,0))+1))/((L786-1)*(1-_xlfn.XLOOKUP(K786,'Fevereiro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Real'!C3:C15,0))+1))/((L784-1)*(1-_xlfn.XLOOKUP(K784,'Fevereiro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Real'!C3:C15,0))+1))/((L785-1)*(1-_xlfn.XLOOKUP(K785,'Fevereiro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Real'!C3:C15,0))+1))/((L786-1)*(1-_xlfn.XLOOKUP(K786,'Fevereiro 2023 - Valor Real'!A3:A15,'Fevereiro 2023 - Valor Real'!C3:C15,0))+1)))</f>
        <v/>
      </c>
      <c r="AF786" s="66">
        <f t="shared" si="1586"/>
        <v>0</v>
      </c>
      <c r="AG786" s="67">
        <f t="shared" si="1586"/>
        <v>0</v>
      </c>
      <c r="AH786" s="67">
        <f t="shared" si="1586"/>
        <v>0</v>
      </c>
      <c r="AI786" s="67">
        <f t="shared" si="1586"/>
        <v>0</v>
      </c>
      <c r="AJ786" s="67">
        <f t="shared" si="1586"/>
        <v>0</v>
      </c>
      <c r="AK786" s="67">
        <f t="shared" si="1586"/>
        <v>0</v>
      </c>
      <c r="AL786" s="67">
        <f t="shared" si="1586"/>
        <v>0</v>
      </c>
      <c r="AM786" s="67">
        <f t="shared" si="1586"/>
        <v>0</v>
      </c>
      <c r="AN786" s="67">
        <f t="shared" si="1586"/>
        <v>0</v>
      </c>
      <c r="AO786" s="67">
        <f t="shared" si="1586"/>
        <v>0</v>
      </c>
      <c r="AP786" s="67">
        <f t="shared" si="1586"/>
        <v>0</v>
      </c>
      <c r="AQ786" s="67">
        <f t="shared" si="1586"/>
        <v>0</v>
      </c>
      <c r="AR786" s="68">
        <f t="shared" si="1586"/>
        <v>0</v>
      </c>
      <c r="AS786" s="66">
        <f>IF(AND($B784=" ",$K786=AS$3),$O786,0)</f>
        <v>0</v>
      </c>
      <c r="AT786" s="67">
        <f>IF(AND($B784=" ",K786=AT$3),$O786,0)</f>
        <v>0</v>
      </c>
      <c r="AU786" s="67">
        <f t="shared" ref="AU786:BE786" si="1591">IF(AND($B784=" ",$K786=AU$3),$O786,0)</f>
        <v>0</v>
      </c>
      <c r="AV786" s="67">
        <f t="shared" si="1591"/>
        <v>0</v>
      </c>
      <c r="AW786" s="67">
        <f t="shared" si="1591"/>
        <v>0</v>
      </c>
      <c r="AX786" s="67">
        <f t="shared" si="1591"/>
        <v>0</v>
      </c>
      <c r="AY786" s="69">
        <f t="shared" si="1591"/>
        <v>0</v>
      </c>
      <c r="AZ786" s="70">
        <f t="shared" si="1591"/>
        <v>0</v>
      </c>
      <c r="BA786" s="70">
        <f t="shared" si="1591"/>
        <v>0</v>
      </c>
      <c r="BB786" s="70">
        <f t="shared" si="1591"/>
        <v>0</v>
      </c>
      <c r="BC786" s="71">
        <f t="shared" si="1591"/>
        <v>0</v>
      </c>
      <c r="BD786" s="67">
        <f t="shared" si="1591"/>
        <v>0</v>
      </c>
      <c r="BE786" s="68">
        <f t="shared" si="1591"/>
        <v>0</v>
      </c>
      <c r="BF786" s="66">
        <f t="shared" si="1588"/>
        <v>0</v>
      </c>
      <c r="BG786" s="67">
        <f t="shared" si="1588"/>
        <v>0</v>
      </c>
      <c r="BH786" s="67">
        <f t="shared" si="1588"/>
        <v>0</v>
      </c>
      <c r="BI786" s="67">
        <f t="shared" si="1588"/>
        <v>0</v>
      </c>
      <c r="BJ786" s="67">
        <f t="shared" si="1588"/>
        <v>0</v>
      </c>
      <c r="BK786" s="67">
        <f t="shared" si="1588"/>
        <v>0</v>
      </c>
      <c r="BL786" s="67">
        <f t="shared" si="1588"/>
        <v>0</v>
      </c>
      <c r="BM786" s="69">
        <f t="shared" si="1588"/>
        <v>0</v>
      </c>
      <c r="BN786" s="70">
        <f t="shared" si="1588"/>
        <v>0</v>
      </c>
      <c r="BO786" s="70">
        <f t="shared" si="1588"/>
        <v>0</v>
      </c>
      <c r="BP786" s="70">
        <f t="shared" si="1588"/>
        <v>0</v>
      </c>
      <c r="BQ786" s="71">
        <f t="shared" si="1588"/>
        <v>0</v>
      </c>
      <c r="BR786" s="68">
        <f t="shared" si="1588"/>
        <v>0</v>
      </c>
      <c r="BS786" s="464"/>
      <c r="BT786" s="461"/>
      <c r="BU786" s="392"/>
      <c r="BV786" s="461"/>
      <c r="BW786" s="392"/>
      <c r="BX786" s="392"/>
      <c r="BY786" s="392"/>
      <c r="BZ786" s="461"/>
      <c r="CA786" s="392"/>
      <c r="CB786" s="392"/>
      <c r="CC786" s="392"/>
      <c r="CD786" s="401"/>
      <c r="CE786" s="409"/>
      <c r="CF786" s="236">
        <f t="shared" si="1540"/>
        <v>0</v>
      </c>
      <c r="CG786" s="237">
        <f t="shared" si="1541"/>
        <v>0</v>
      </c>
      <c r="CH786" s="237">
        <f t="shared" si="1542"/>
        <v>0</v>
      </c>
      <c r="CI786" s="237">
        <f t="shared" si="1543"/>
        <v>0</v>
      </c>
      <c r="CJ786" s="237">
        <f t="shared" si="1544"/>
        <v>0</v>
      </c>
      <c r="CK786" s="237">
        <f t="shared" si="1545"/>
        <v>0</v>
      </c>
      <c r="CL786" s="237">
        <f t="shared" si="1546"/>
        <v>0</v>
      </c>
      <c r="CM786" s="237">
        <f t="shared" si="1547"/>
        <v>0</v>
      </c>
      <c r="CN786" s="237">
        <f t="shared" si="1548"/>
        <v>0</v>
      </c>
      <c r="CO786" s="237">
        <f t="shared" si="1549"/>
        <v>0</v>
      </c>
      <c r="CP786" s="237">
        <f t="shared" si="1550"/>
        <v>0</v>
      </c>
      <c r="CQ786" s="237">
        <f t="shared" si="1551"/>
        <v>0</v>
      </c>
      <c r="CR786" s="237">
        <f t="shared" si="1552"/>
        <v>0</v>
      </c>
      <c r="CS786" s="237">
        <f t="shared" si="1553"/>
        <v>0</v>
      </c>
      <c r="CT786" s="75">
        <f t="shared" si="1554"/>
        <v>0</v>
      </c>
      <c r="CU786" s="76">
        <f t="shared" si="1555"/>
        <v>0</v>
      </c>
      <c r="CV786" s="76">
        <f t="shared" si="1556"/>
        <v>0</v>
      </c>
      <c r="CW786" s="76">
        <f t="shared" si="1557"/>
        <v>0</v>
      </c>
      <c r="CX786" s="76">
        <f t="shared" si="1558"/>
        <v>0</v>
      </c>
      <c r="CY786" s="76">
        <f t="shared" si="1559"/>
        <v>0</v>
      </c>
      <c r="CZ786" s="76">
        <f t="shared" si="1560"/>
        <v>0</v>
      </c>
      <c r="DA786" s="76">
        <f t="shared" si="1561"/>
        <v>0</v>
      </c>
      <c r="DB786" s="76">
        <f t="shared" si="1562"/>
        <v>0</v>
      </c>
      <c r="DC786" s="76">
        <f t="shared" si="1563"/>
        <v>0</v>
      </c>
      <c r="DD786" s="76">
        <f t="shared" si="1564"/>
        <v>0</v>
      </c>
      <c r="DE786" s="77">
        <f t="shared" si="1565"/>
        <v>0</v>
      </c>
      <c r="DF786" s="73">
        <f t="shared" si="1567"/>
        <v>44</v>
      </c>
      <c r="DG786" s="67">
        <f t="shared" si="1568"/>
        <v>58.567999999999991</v>
      </c>
      <c r="DH786" s="76">
        <f t="shared" si="1569"/>
        <v>16</v>
      </c>
      <c r="DI786" s="67">
        <f t="shared" si="1570"/>
        <v>68.699999999999989</v>
      </c>
      <c r="DJ786" s="202" t="str">
        <f>IF($D784="","",$D784)</f>
        <v>27</v>
      </c>
      <c r="DK786" s="466"/>
    </row>
    <row r="787" spans="1:115" ht="14.5" customHeight="1" x14ac:dyDescent="0.2">
      <c r="A787" s="459">
        <f>$A784+1</f>
        <v>262</v>
      </c>
      <c r="B787" s="507" t="str">
        <f>IF(OR(C787="W",C788="W",C789="W",C787="1/2W",C788="1/2W",C789="1/2W",C787="1/2L",C788="1/2L",C789="1/2L"),"OK",IF(OR(C787="L",C788="L",C789="L"),"LOSS",IF(OR(C787="X",C788="X",C789="X"),"Anulado"," ")))</f>
        <v>OK</v>
      </c>
      <c r="C787" s="93" t="s">
        <v>55</v>
      </c>
      <c r="D787" s="468" t="str">
        <f>IF(G787="","",$D784)</f>
        <v>27</v>
      </c>
      <c r="E787" s="485" t="str">
        <f>IF(G787=""," ","– "&amp;COUNTIF(D$4:D789,$D787))</f>
        <v>– 9</v>
      </c>
      <c r="F787" s="509" t="str">
        <f ca="1">IF(G787="","",IF(OR(AND($C787&lt;&gt;" ",$C788=" "),AND($C788&lt;&gt;" ",$C787=" "),AND(L789&gt;0,OR(AND($C789&lt;&gt;" ",OR($C787=" ",$C788=" ")),AND($C789=" ",OR($C787&lt;&gt;" ",$C788&lt;&gt;" "))))),IF(SUM(F$4:F786)=0,1,LARGE(F$4:F786,1)+1),IF(MONTH(G787)=MONTH(TODAY()),IF(AND(DAY(G787)&lt;DAY(TODAY()),$B787=" "),IF(SUM(F$4:F786)=0,1,LARGE(F$4:F786,1)+1),IF($B787=" ",IF(AND(DAY(G787)=DAY(TODAY()),HOUR(G787)&lt;=HOUR(NOW())+1),IF(AND(HOUR(G787)+2&lt;=HOUR(NOW()),DAY(G787)&lt;=DAY(TODAY()),MINUTE(G787)&lt;=MINUTE(NOW())),IF(SUM(F$4:F786)=0,1,LARGE(F$4:F786,1)+1),IF(OR(MINUTE(G787)&lt;=MINUTE(NOW()),HOUR(G787)&lt;=HOUR(NOW())),"!!!","")),""),"")),"")))</f>
        <v/>
      </c>
      <c r="G787" s="482">
        <v>45013.583333333336</v>
      </c>
      <c r="H787" s="475" t="s">
        <v>268</v>
      </c>
      <c r="I787" s="94" t="s">
        <v>76</v>
      </c>
      <c r="J787" s="95">
        <v>1</v>
      </c>
      <c r="K787" s="96" t="s">
        <v>43</v>
      </c>
      <c r="L787" s="97">
        <v>2.36</v>
      </c>
      <c r="M787" s="98"/>
      <c r="N787" s="478">
        <v>0</v>
      </c>
      <c r="O787" s="99">
        <f>IF(OR(AE787="",AE788=""),"",ROUND(IF(L789&gt;0,IF(M787&gt;0,M787,IF(M788&gt;0,ROUND((M788*AE787)/AE788,IF(N787=0,2,IF(N787=0.1,1,0))),ROUND((M789*AE787)/AE789,IF(N787=0,2,IF(N787=0.1,1,0))))),IF(M787&gt;0,M787,ROUND((M788*AE787)/AE788,IF(N787=0,2,IF(N787=0.1,1,0))))),2))</f>
        <v>20.350000000000001</v>
      </c>
      <c r="P787" s="100">
        <f>IF(OR(L787="",O787=""),"",IF($C787="1/2W",O787/2+O787/2*L787,IF($C787="1/2L",O787/2,IF(I787="Lay",(O787*(L787/(L787-1))-O787)*(1-_xlfn.XLOOKUP(K787,'Fevereiro 2023 - Valor Real'!A3:A15,'Fevereiro 2023 - Valor Real'!C3:C15,0))+O787,(O787*L787-O787)*(1-_xlfn.XLOOKUP(K787,'Fevereiro 2023 - Valor Real'!A3:A15,'Fevereiro 2023 - Valor Real'!C3:C15,0))+O787))))</f>
        <v>48.026000000000003</v>
      </c>
      <c r="Q787" s="101">
        <f>IF(K787="","",IF(_xlfn.XLOOKUP(K787,K$4:K786,$DJ$4:DJ786,0,,-1)=DJ787,_xlfn.XLOOKUP(K787,K$4:K786,Q$4:Q786,1,,-1)+1,1))</f>
        <v>1</v>
      </c>
      <c r="R787" s="102">
        <f>IF(K787="","",_xlfn.XLOOKUP(K787,K$4:K786,R$4:R786,0,,-1)+IF($C787=" ",1,0))</f>
        <v>0</v>
      </c>
      <c r="S787" s="474">
        <f>IF($B787="Anulado",0,ROUND(IF(OR($B787="LOSS",$B787="OK"),IF(OR($C787="W",$C787="1/2W",$C787="1/2L"),P787-O787,IF($C787="L",-O787,0))+IF(OR($C788="W",$C788="1/2W",$C788="1/2L"),P788-O788,IF($C788="L",-O788,0))+IF(OR($C789="W",$C789="1/2W",$C789="1/2L"),P789-O789,IF($C789="L",-O789,0)),IF(AND(OR($C787="W",$C787="1/2W",$C787="1/2L"),C788="W"),P787+P788-SUM(O787:O789)+_xlfn.XLOOKUP("X",C787:C789,O787:O789,0),IF(AND(C787=TRUE,C789="W"),P787+P789-SUM(O787:O789),IF(AND(C788="W",C789="W"),P788+P789-SUM(O787:O789)+_xlfn.XLOOKUP("X",C787:C789,O787:O789,0),IF(L789&gt;0,IF(OR($C787="W",$C787="1/2W",$C787="1/2L"),P787-SUM(O787:O789)+_xlfn.XLOOKUP("X",C787:C789,O787:O789,0),IF(OR($C787="W",$C787="1/2W",$C787="1/2L"),P788-SUM(O787:O789)+_xlfn.XLOOKUP("X",C787:C789,O787:O789,0),IF(OR($C787="W",$C787="1/2W",$C787="1/2L"),P789-SUM(O787:O789)+_xlfn.XLOOKUP("X",C787:C789,O787:O789,0),IF(SUM(P787:P789)/3-SUM(O787:O789)+_xlfn.XLOOKUP("X",C787:C789,O787:O789,0)&gt;0,SUM(P787:P789)/3-SUM(O787:O789)+_xlfn.XLOOKUP("X",C787:C789,O787:O789,0),LARGE(P787:P789,1)-SUM(O787:O789))))),IF(OR($C787="W",$C787="1/2W",$C787="1/2L"),P787-SUM(O787:O788)+_xlfn.XLOOKUP("X",C787:C789,O787:O789,0),IF(OR($C787="W",$C787="1/2W",$C787="1/2L"),P788-SUM(O787:O788)+_xlfn.XLOOKUP("X",C787:C789,O787:O789,0),SUM(P787:P788)/2-SUM(O787:O788)+_xlfn.XLOOKUP("X",C787:C789,O787:O789,0)))))))),2))</f>
        <v>2.4</v>
      </c>
      <c r="T787" s="458">
        <f>IF(S787=0,0,S787/SUM(O787:O789))</f>
        <v>5.2596975673898747E-2</v>
      </c>
      <c r="U787" s="470">
        <f>IF($D787=$D784,IF(OR($B787="LOSS",$B787="OK",$B787="Anulada"),S787,0)+U784,IF(OR($B787="LOSS",$B787="OK",$B787="Anulada"),S787,0))</f>
        <v>28.849999999999998</v>
      </c>
      <c r="V787" s="470">
        <f>IF($D787="",0,IF($D787=$D784,IF($B787=" ",IF(I789="",IF(OR(AND(I787="DNB1",I788="DNB2"),AND(OR(I787="DNB1",I787="DNB2"),J788=0),AND(OR(I788="DNB1",I788="DNB2"),J787=0),AND(I787="DNB2",I788="DNB1"),AND(IF(J787=0,(J787+1)/ROUND(J787+1,0),J787/ROUND(J787,0))=1,IF(J788=0,(J788+1)/ROUND(IF(J788="",0,J788)+1,0),IF(J788="",0,J788)/ROUND(IF(J788="",1,J788),0))=1,OR(J787&lt;&gt;""),J788&lt;&gt;"")),0,IF(S787&lt;0,IF(I789="",SMALL(P787:P788,1)-SUM(O787:O788),0),SMALL(P787:P788,1)-SUM(O787:O788))),IF(S787&lt;0,IF(I789="",SMALL(P787:P789,1)-SUM(O787:O789),0),LARGE(P787:P789,1)-SUM(O787:O789))),S787)+V784,IF(I789="",IF(OR(AND(I787="DNB1",I788="DNB2"),AND(OR(I787="DNB1",I787="DNB2"),J788=0),AND(OR(I788="DNB1",I788="DNB2"),J787=0),AND(I787="DNB2",I788="DNB1"),AND(IF(J787=0,(J787+1)/ROUND(J787+1,0),J787/ROUND(J787,0))=1,IF(J788=0,(IF(J788="",0,J788)+1)/ROUND(IF(J788="",0,J788)+1,0),IF(J788="",0,J788)/ROUND(IF(J788="",0,J788)+1,0))=1,OR(J787&lt;&gt;""),J788&lt;&gt;"")),0,IF(S787&lt;0,IF(I789="",SMALL(P787:P788,1)-SUM(O787:O788),0),SMALL(P787:P789,1)-SUM(O787:O789))),IF(S787&lt;0,IF(I789="",SMALL(P787:P789,1)-SUM(O787:O789),0),LARGE(P787:P789,1)-SUM(O787:O789)))))</f>
        <v>28.849999999999994</v>
      </c>
      <c r="W787" s="470">
        <f>IF($D787=$D784,IF(S787&lt;0,IF(I789="",S787,0),S787)+W784,S787)</f>
        <v>28.849999999999998</v>
      </c>
      <c r="X787" s="480" t="str">
        <f>IF(OR(SUM(R787:R789)=0,V787=W787),ROUND(IF(W787=0,0,W787/Y787)*100,2)&amp;"%",ROUND(IF(V787=0,0,V787/Y787)*100,2)&amp;"% a "&amp;ROUND(IF(W787=0,0,W787/Y787)*100,2)&amp;"%")</f>
        <v>6,77%</v>
      </c>
      <c r="Y787" s="471">
        <f>IF($D787=$D784,Y784+SUM(O787:O789),SUM(O787:O789))</f>
        <v>426.14</v>
      </c>
      <c r="Z787" s="470">
        <f>IF($B787=" ",SUM(O787:O789),0)+Z784</f>
        <v>0</v>
      </c>
      <c r="AA787" s="470">
        <f>IF(G787="","",IF($B787="Anulado",LARGE(P787:P789,1)-SUM(O787:O789)+AA784,AA784))</f>
        <v>13.381099999999991</v>
      </c>
      <c r="AB787" s="470">
        <f>IF($D787="","",AB784+S787)</f>
        <v>876.54000000000065</v>
      </c>
      <c r="AC787" s="472">
        <f ca="1">IF($D787="","",IF($B787=" ",IF(DAY(G787)=DAY(TODAY()),1+AC784,0+AC784),0+AC784))</f>
        <v>0</v>
      </c>
      <c r="AD787" s="103">
        <f>(((L788/(L788-1)-1)*(1-_xlfn.XLOOKUP(K788,'Fevereiro 2023 - Valor Real'!A3:A15,'Fevereiro 2023 - Valor Real'!C3:C15,0))+1))/(((L787-1)*(1-_xlfn.XLOOKUP(K787,'Fevereiro 2023 - Valor Real'!A3:A15,'Fevereiro 2023 - Valor Real'!C3:C15,0))+1)+((L788/(L788-1)-1)*(1-_xlfn.XLOOKUP(K788,'Fevereiro 2023 - Valor Real'!A3:A15,'Fevereiro 2023 - Valor Real'!C3:C15,0))+1))</f>
        <v>0.47216699801192846</v>
      </c>
      <c r="AE787" s="104">
        <f>IF(L787="","",IF(L789&gt;0,(SUM(((L787-1)*(1-_xlfn.XLOOKUP(K787,'Fevereiro 2023 - Valor Real'!A3:A15,'Fevereiro 2023 - Valor Real'!C3:C15,0))+1),((L788-1)*(1-_xlfn.XLOOKUP(K788,'Fevereiro 2023 - Valor Real'!A3:A15,'Fevereiro 2023 - Valor Real'!C3:C15,0))+1),((L789-1)*(1-_xlfn.XLOOKUP(K789,'Fevereiro 2023 - Valor Real'!A3:A15,'Fevereiro 2023 - Valor Real'!C3:C15,0))+1))/((L787-1)*(1-_xlfn.XLOOKUP(K787,'Fevereiro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Real'!C3:C15,0))+1))/((L787-1)*(1-_xlfn.XLOOKUP(K787,'Fevereiro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Real'!C3:C15,0))+1))/((L788-1)*(1-_xlfn.XLOOKUP(K788,'Fevereiro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Real'!C3:C15,0))+1))/((L789-1)*(1-_xlfn.XLOOKUP(K789,'Fevereiro 2023 - Valor Real'!A3:A15,'Fevereiro 2023 - Valor Real'!C3:C15,0))+1)),IF(I787="Lay",IF(I788="Lay",((L788/(L788-1)-1)*(1-_xlfn.XLOOKUP(K788,'Fevereiro 2023 - Valor Real'!A3:A15,'Fevereiro 2023 - Valor Real'!C3:C15,0))+1)/(((L788/(L788-1)-1)*(1-_xlfn.XLOOKUP(K788,'Fevereiro 2023 - Valor Real'!A3:A15,'Fevereiro 2023 - Valor Real'!C3:C15,0))+1)+((L787/(L787-1)-1)*(1-_xlfn.XLOOKUP(K787,'Fevereiro 2023 - Valor Real'!A3:A15,'Fevereiro 2023 - Valor Real'!C3:C15,0))+1)),((L788-1)*(1-_xlfn.XLOOKUP(K788,'Fevereiro 2023 - Valor Real'!A3:A15,'Fevereiro 2023 - Valor Real'!C3:C15,0))+1)/(((L788-1)*(1-_xlfn.XLOOKUP(K788,'Fevereiro 2023 - Valor Real'!A3:A15,'Fevereiro 2023 - Valor Real'!C3:C15,0))+1)+((L787/(L787-1)-1)*(1-_xlfn.XLOOKUP(K787,'Fevereiro 2023 - Valor Real'!A3:A15,'Fevereiro 2023 - Valor Real'!C3:C15,0))+1))),IF(I788="Lay",(((L788/(L788-1)-1)*(1-_xlfn.XLOOKUP(K788,'Fevereiro 2023 - Valor Real'!A3:A15,'Fevereiro 2023 - Valor Real'!C3:C15,0))+1))/(((L787-1)*(1-_xlfn.XLOOKUP(K787,'Fevereiro 2023 - Valor Real'!A3:A15,'Fevereiro 2023 - Valor Real'!C3:C15,0))+1)+((L788/(L788-1)-1)*(1-_xlfn.XLOOKUP(K788,'Fevereiro 2023 - Valor Real'!A3:A15,'Fevereiro 2023 - Valor Real'!C3:C15,0))+1)),((L788-1)*(1-_xlfn.XLOOKUP(K788,'Fevereiro 2023 - Valor Real'!A3:A15,'Fevereiro 2023 - Valor Real'!C3:C15,0))+1)/(((L788-1)*(1-_xlfn.XLOOKUP(K788,'Fevereiro 2023 - Valor Real'!A3:A15,'Fevereiro 2023 - Valor Real'!C3:C15,0))+1)+((L787-1)*(1-_xlfn.XLOOKUP(K787,'Fevereiro 2023 - Valor Real'!A3:A15,'Fevereiro 2023 - Valor Real'!C3:C15,0))+1))))))</f>
        <v>0.4460093896713615</v>
      </c>
      <c r="AF787" s="105">
        <f t="shared" si="1586"/>
        <v>0</v>
      </c>
      <c r="AG787" s="106">
        <f t="shared" si="1586"/>
        <v>0</v>
      </c>
      <c r="AH787" s="106">
        <f t="shared" si="1586"/>
        <v>0</v>
      </c>
      <c r="AI787" s="106">
        <f t="shared" si="1586"/>
        <v>0</v>
      </c>
      <c r="AJ787" s="106">
        <f t="shared" si="1586"/>
        <v>0</v>
      </c>
      <c r="AK787" s="106">
        <f t="shared" si="1586"/>
        <v>0</v>
      </c>
      <c r="AL787" s="106">
        <f t="shared" si="1586"/>
        <v>0</v>
      </c>
      <c r="AM787" s="106">
        <f t="shared" si="1586"/>
        <v>-20.350000000000001</v>
      </c>
      <c r="AN787" s="106">
        <f t="shared" si="1586"/>
        <v>0</v>
      </c>
      <c r="AO787" s="106">
        <f t="shared" si="1586"/>
        <v>0</v>
      </c>
      <c r="AP787" s="106">
        <f t="shared" si="1586"/>
        <v>0</v>
      </c>
      <c r="AQ787" s="106">
        <f t="shared" si="1586"/>
        <v>0</v>
      </c>
      <c r="AR787" s="107">
        <f t="shared" si="1586"/>
        <v>0</v>
      </c>
      <c r="AS787" s="105">
        <f t="shared" ref="AS787:BE787" si="1592">IF(AND($B787=" ",$K787=AS$3),$O787,0)</f>
        <v>0</v>
      </c>
      <c r="AT787" s="106">
        <f t="shared" si="1592"/>
        <v>0</v>
      </c>
      <c r="AU787" s="106">
        <f t="shared" si="1592"/>
        <v>0</v>
      </c>
      <c r="AV787" s="106">
        <f t="shared" si="1592"/>
        <v>0</v>
      </c>
      <c r="AW787" s="106">
        <f t="shared" si="1592"/>
        <v>0</v>
      </c>
      <c r="AX787" s="106">
        <f t="shared" si="1592"/>
        <v>0</v>
      </c>
      <c r="AY787" s="108">
        <f t="shared" si="1592"/>
        <v>0</v>
      </c>
      <c r="AZ787" s="109">
        <f t="shared" si="1592"/>
        <v>0</v>
      </c>
      <c r="BA787" s="109">
        <f t="shared" si="1592"/>
        <v>0</v>
      </c>
      <c r="BB787" s="109">
        <f t="shared" si="1592"/>
        <v>0</v>
      </c>
      <c r="BC787" s="110">
        <f t="shared" si="1592"/>
        <v>0</v>
      </c>
      <c r="BD787" s="106">
        <f t="shared" si="1592"/>
        <v>0</v>
      </c>
      <c r="BE787" s="107">
        <f t="shared" si="1592"/>
        <v>0</v>
      </c>
      <c r="BF787" s="111">
        <f t="shared" si="1588"/>
        <v>0</v>
      </c>
      <c r="BG787" s="106">
        <f t="shared" si="1588"/>
        <v>0</v>
      </c>
      <c r="BH787" s="106">
        <f t="shared" si="1588"/>
        <v>0</v>
      </c>
      <c r="BI787" s="106">
        <f t="shared" si="1588"/>
        <v>0</v>
      </c>
      <c r="BJ787" s="106">
        <f t="shared" si="1588"/>
        <v>0</v>
      </c>
      <c r="BK787" s="106">
        <f t="shared" si="1588"/>
        <v>0</v>
      </c>
      <c r="BL787" s="106">
        <f t="shared" si="1588"/>
        <v>0</v>
      </c>
      <c r="BM787" s="108">
        <f t="shared" si="1588"/>
        <v>20.350000000000001</v>
      </c>
      <c r="BN787" s="109">
        <f t="shared" si="1588"/>
        <v>0</v>
      </c>
      <c r="BO787" s="109">
        <f t="shared" si="1588"/>
        <v>0</v>
      </c>
      <c r="BP787" s="109">
        <f t="shared" si="1588"/>
        <v>0</v>
      </c>
      <c r="BQ787" s="110">
        <f t="shared" si="1588"/>
        <v>0</v>
      </c>
      <c r="BR787" s="107">
        <f t="shared" si="1588"/>
        <v>0</v>
      </c>
      <c r="BS787" s="463">
        <f>IF($B787="LOSS",IF(AND($K787=BS$3,$C787="L"),-$O787,0)+IF(AND($K788=BS$3,$C788="L"),-$O788,0)+IF(AND($K789=BS$3,$C789="L"),-$O789,0),IF(OR(AND($K787=BS$3,OR($C787="W",$C787="1/2W")),AND($K788=BS$3,OR($C788="W",$C788="1/2W")),AND($K789=BS$3,OR($C789="W",$C789="1/2W"))),$S787,0))</f>
        <v>0</v>
      </c>
      <c r="BT787" s="462">
        <f>IF($B787="LOSS",IF(AND($K787=BT$3,$C787="L"),-$O787,0)+IF(AND($K788=BT$3,$C788="L"),-$O788,0)+IF(AND($K788=BT$3,$C789="L"),-$O789,0),IF(OR(AND($K788=BT$3,OR($C787="W",$C787="1/2W")),AND($K788=BT$3,OR($C788="W",$C788="1/2W")),AND($K788=BT$3,OR($C789="W",$C789="1/2W"))),$S787,0))</f>
        <v>0</v>
      </c>
      <c r="BU787" s="462">
        <f>IF($B787="LOSS",IF(AND($K787=BU$3,$C787="L"),-$O787,0)+IF(AND($K788=BU$3,$C788="L"),-$O788,0)+IF(AND($K788=BU$3,$C789="L"),-$O789,0),IF(OR(AND($K788=BU$3,OR($C787="W",$C787="1/2W")),AND($K788=BU$3,OR($C788="W",$C788="1/2W")),AND($K788=BU$3,OR($C789="W",$C789="1/2W"))),$S787,0))</f>
        <v>0</v>
      </c>
      <c r="BV787" s="462">
        <f t="shared" ref="BV787:CE787" si="1593">IF($B787="LOSS",IF(AND($K787=BV$3,$C787="L"),-$O787,0)+IF(AND($K788=BV$3,$C788="L"),-$O788,0)+IF(AND($K789=BV$3,$C789="L"),-$O789,0),IF(OR(AND($K787=BV$3,OR($C787="W",$C787="1/2W")),AND($K788=BV$3,OR($C788="W",$C788="1/2W")),AND($K789=BV$3,OR($C789="W",$C789="1/2W"))),$S787,0))</f>
        <v>0</v>
      </c>
      <c r="BW787" s="462">
        <f t="shared" si="1593"/>
        <v>2.4</v>
      </c>
      <c r="BX787" s="462">
        <f t="shared" si="1593"/>
        <v>0</v>
      </c>
      <c r="BY787" s="462">
        <f t="shared" si="1593"/>
        <v>0</v>
      </c>
      <c r="BZ787" s="460">
        <f t="shared" si="1593"/>
        <v>0</v>
      </c>
      <c r="CA787" s="460">
        <f t="shared" si="1593"/>
        <v>0</v>
      </c>
      <c r="CB787" s="460">
        <f t="shared" si="1593"/>
        <v>0</v>
      </c>
      <c r="CC787" s="460">
        <f t="shared" si="1593"/>
        <v>0</v>
      </c>
      <c r="CD787" s="473">
        <f t="shared" si="1593"/>
        <v>0</v>
      </c>
      <c r="CE787" s="479">
        <f t="shared" si="1593"/>
        <v>0</v>
      </c>
      <c r="CF787" s="113">
        <f t="shared" si="1540"/>
        <v>0</v>
      </c>
      <c r="CG787" s="114">
        <f t="shared" si="1541"/>
        <v>0</v>
      </c>
      <c r="CH787" s="114">
        <f t="shared" si="1542"/>
        <v>0</v>
      </c>
      <c r="CI787" s="114">
        <f t="shared" si="1543"/>
        <v>0</v>
      </c>
      <c r="CJ787" s="114">
        <f t="shared" si="1544"/>
        <v>0</v>
      </c>
      <c r="CK787" s="114">
        <f t="shared" si="1545"/>
        <v>0</v>
      </c>
      <c r="CL787" s="114">
        <f t="shared" si="1546"/>
        <v>0</v>
      </c>
      <c r="CM787" s="114">
        <f t="shared" si="1547"/>
        <v>0</v>
      </c>
      <c r="CN787" s="114">
        <f t="shared" si="1548"/>
        <v>0</v>
      </c>
      <c r="CO787" s="114">
        <f t="shared" si="1549"/>
        <v>0</v>
      </c>
      <c r="CP787" s="114">
        <f t="shared" si="1550"/>
        <v>0</v>
      </c>
      <c r="CQ787" s="114">
        <f t="shared" si="1551"/>
        <v>0</v>
      </c>
      <c r="CR787" s="114">
        <f t="shared" si="1552"/>
        <v>0</v>
      </c>
      <c r="CS787" s="114">
        <f t="shared" si="1553"/>
        <v>0</v>
      </c>
      <c r="CT787" s="115">
        <f t="shared" si="1554"/>
        <v>0</v>
      </c>
      <c r="CU787" s="116">
        <f t="shared" si="1555"/>
        <v>1</v>
      </c>
      <c r="CV787" s="116">
        <f t="shared" si="1556"/>
        <v>0</v>
      </c>
      <c r="CW787" s="116">
        <f t="shared" si="1557"/>
        <v>0</v>
      </c>
      <c r="CX787" s="116">
        <f t="shared" si="1558"/>
        <v>0</v>
      </c>
      <c r="CY787" s="116">
        <f t="shared" si="1559"/>
        <v>0</v>
      </c>
      <c r="CZ787" s="116">
        <f t="shared" si="1560"/>
        <v>0</v>
      </c>
      <c r="DA787" s="116">
        <f t="shared" si="1561"/>
        <v>0</v>
      </c>
      <c r="DB787" s="116">
        <f t="shared" si="1562"/>
        <v>0</v>
      </c>
      <c r="DC787" s="116">
        <f t="shared" si="1563"/>
        <v>0</v>
      </c>
      <c r="DD787" s="116">
        <f t="shared" si="1564"/>
        <v>0</v>
      </c>
      <c r="DE787" s="117">
        <f t="shared" si="1565"/>
        <v>0</v>
      </c>
      <c r="DF787" s="118">
        <f t="shared" si="1567"/>
        <v>44</v>
      </c>
      <c r="DG787" s="106">
        <f t="shared" si="1568"/>
        <v>58.567999999999991</v>
      </c>
      <c r="DH787" s="116">
        <f t="shared" si="1569"/>
        <v>16</v>
      </c>
      <c r="DI787" s="106">
        <f t="shared" si="1570"/>
        <v>68.699999999999989</v>
      </c>
      <c r="DJ787" s="201" t="str">
        <f>IF($D787="","",$D787)</f>
        <v>27</v>
      </c>
      <c r="DK787" s="465">
        <f>IF(AND($B787=" ",$D787&lt;&gt;""),1,0)</f>
        <v>0</v>
      </c>
    </row>
    <row r="788" spans="1:115" ht="14.5" customHeight="1" x14ac:dyDescent="0.2">
      <c r="A788" s="389"/>
      <c r="B788" s="456"/>
      <c r="C788" s="120" t="s">
        <v>54</v>
      </c>
      <c r="D788" s="374"/>
      <c r="E788" s="386"/>
      <c r="F788" s="377"/>
      <c r="G788" s="483"/>
      <c r="H788" s="476"/>
      <c r="I788" s="121" t="s">
        <v>66</v>
      </c>
      <c r="J788" s="122">
        <f>IF(OR(I787="TO",I787="TU",I787="TO1",I787="TU1",I787="TO2",I787="TU2"),J787,IF(OR(I787="AH1",I787="AH2"),IF(OR(I788="AH1",I788="AH2"),-J787,IF(OR(I788="EH1",I788="EH2"),-J787+0.5,"")),IF(OR(I787="EH1",I787="EH2"),IF(OR(I788="AH1",I788="AH2"),-J787+0.5,IF(OR(I788="EH1",I788="EH2"),-J787+1,"")),IF(AND(OR(I787="DNB1",I787="DNB2"),OR(I788="AH1",I788="AH2")),0,IF(AND(I787="Not ScoreBoth",OR(I788="TO1",I788="TO2")),0.5,"")))))</f>
        <v>-1</v>
      </c>
      <c r="K788" s="123" t="s">
        <v>40</v>
      </c>
      <c r="L788" s="124">
        <v>1.9</v>
      </c>
      <c r="M788" s="125">
        <v>25.28</v>
      </c>
      <c r="N788" s="406"/>
      <c r="O788" s="126">
        <f>IF(OR(AE787="",AE788=""),"",ROUND(IF(L789&gt;0,IF(M788&gt;0,M788,IF(M787&gt;0,IF(N787=TRUE,ROUND((M787*AE788)/AE787,0),(M787*AE788)/AE787),IF(M788&gt;0,ROUND(M788,IF(N787=0,2,IF(N787=0.1,1,0))),IF(M789&gt;0,ROUND(O789*AE788/AE789,IF(N787=0,2,IF(N787=0.1,1,0))),0)))),IF(M788&gt;0,M788,ROUND((M787*AE788)/AE787,IF(N787=0,2,IF(N787=0.1,1,0))))),2))</f>
        <v>25.28</v>
      </c>
      <c r="P788" s="127">
        <f>IF(OR(L788="",O788=""),"",IF($C788="1/2W",O788/2+O788/2*L788,IF($C788="1/2L",O788/2,IF(I788="Lay",((O788*(L788/(L788-1)))-O788)*(1-_xlfn.XLOOKUP(K788,'Fevereiro 2023 - Valor Real'!A3:A15,'Fevereiro 2023 - Valor Real'!C3:C15,0))+O788,(O788*L788-O788)*(1-_xlfn.XLOOKUP(K788,'Fevereiro 2023 - Valor Real'!A3:A15,'Fevereiro 2023 - Valor Real'!C3:C15,0))+O788))))</f>
        <v>48.031999999999996</v>
      </c>
      <c r="Q788" s="128">
        <f>IF(K788="","",IF(_xlfn.XLOOKUP(K788,K$4:K787,$DJ$4:DJ787,0,,-1)=DJ788,_xlfn.XLOOKUP(K788,K$4:K787,Q$4:Q787,1,,-1)+1,1))</f>
        <v>8</v>
      </c>
      <c r="R788" s="129">
        <f>IF(K788="","",_xlfn.XLOOKUP(K788,K$4:K787,R$4:R787,0,,-1)+IF($C788=" ",1,0))</f>
        <v>0</v>
      </c>
      <c r="S788" s="403"/>
      <c r="T788" s="380"/>
      <c r="U788" s="380"/>
      <c r="V788" s="481"/>
      <c r="W788" s="380"/>
      <c r="X788" s="452"/>
      <c r="Y788" s="383"/>
      <c r="Z788" s="384"/>
      <c r="AA788" s="384"/>
      <c r="AB788" s="384"/>
      <c r="AC788" s="384"/>
      <c r="AD788" s="130">
        <f>(((L788/(L788-1)-1)*(1-_xlfn.XLOOKUP(K788,'Fevereiro 2023 - Valor Real'!A3:A15,'Fevereiro 2023 - Valor Real'!C3:C15,0))+1))</f>
        <v>2.1111111111111112</v>
      </c>
      <c r="AE788" s="131">
        <f>IF(L788="","",IF(L789&gt;0,(SUM(((L787-1)*(1-_xlfn.XLOOKUP(K787,'Fevereiro 2023 - Valor Real'!A3:A15,'Fevereiro 2023 - Valor Real'!C3:C15,0))+1),((L788-1)*(1-_xlfn.XLOOKUP(K788,'Fevereiro 2023 - Valor Real'!A3:A15,'Fevereiro 2023 - Valor Real'!C3:C15,0))+1),((L789-1)*(1-_xlfn.XLOOKUP(K789,'Fevereiro 2023 - Valor Real'!A3:A15,'Fevereiro 2023 - Valor Real'!C3:C15,0))+1))/((L788-1)*(1-_xlfn.XLOOKUP(K788,'Fevereiro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Real'!C3:C15,0))+1))/((L787-1)*(1-_xlfn.XLOOKUP(K787,'Fevereiro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Real'!C3:C15,0))+1))/((L788-1)*(1-_xlfn.XLOOKUP(K788,'Fevereiro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Real'!C3:C15,0))+1))/((L789-1)*(1-_xlfn.XLOOKUP(K789,'Fevereiro 2023 - Valor Real'!A3:A15,'Fevereiro 2023 - Valor Real'!C3:C15,0))+1)),IF(I788="Lay",IF(I787="Lay",((L787/(L787-1)-1)*(1-_xlfn.XLOOKUP(K787,'Fevereiro 2023 - Valor Real'!A3:A15,'Fevereiro 2023 - Valor Real'!C3:C15,0))+1)/(((L787/(L787-1)-1)*(1-_xlfn.XLOOKUP(K787,'Fevereiro 2023 - Valor Real'!A3:A15,'Fevereiro 2023 - Valor Real'!C3:C15,0))+1)+((L788/(L788-1)-1)*(1-_xlfn.XLOOKUP(K788,'Fevereiro 2023 - Valor Real'!A3:A15,'Fevereiro 2023 - Valor Real'!C3:C15,0))+1)),((L787-1)*(1-_xlfn.XLOOKUP(K787,'Fevereiro 2023 - Valor Real'!A3:A15,'Fevereiro 2023 - Valor Real'!C3:C15,0))+1)/(((L787-1)*(1-_xlfn.XLOOKUP(K787,'Fevereiro 2023 - Valor Real'!A3:A15,'Fevereiro 2023 - Valor Real'!C3:C15,0))+1)+((L788/(L788-1)-1)*(1-_xlfn.XLOOKUP(K788,'Fevereiro 2023 - Valor Real'!A3:A15,'Fevereiro 2023 - Valor Real'!C3:C15,0))+1))),IF(I787="Lay",((L787/(L787-1)-1)*(1-_xlfn.XLOOKUP(K787,'Fevereiro 2023 - Valor Real'!A3:A15,'Fevereiro 2023 - Valor Real'!C3:C15,0))+1)/((((L787/(L787-1)-1)*(1-_xlfn.XLOOKUP(K787,'Fevereiro 2023 - Valor Real'!A3:A15,'Fevereiro 2023 - Valor Real'!C3:C15,0))+1))+((L788-1)*(1-_xlfn.XLOOKUP(K788,'Fevereiro 2023 - Valor Real'!A3:A15,'Fevereiro 2023 - Valor Real'!C3:C15,0))+1)),((L787-1)*(1-_xlfn.XLOOKUP(K787,'Fevereiro 2023 - Valor Real'!A3:A15,'Fevereiro 2023 - Valor Real'!C3:C15,0))+1)/(((L787-1)*(1-_xlfn.XLOOKUP(K787,'Fevereiro 2023 - Valor Real'!A3:A15,'Fevereiro 2023 - Valor Real'!C3:C15,0))+1)+((L788-1)*(1-_xlfn.XLOOKUP(K788,'Fevereiro 2023 - Valor Real'!A3:A15,'Fevereiro 2023 - Valor Real'!C3:C15,0))+1))))))</f>
        <v>0.5539906103286385</v>
      </c>
      <c r="AF788" s="105">
        <f t="shared" si="1586"/>
        <v>0</v>
      </c>
      <c r="AG788" s="106">
        <f t="shared" si="1586"/>
        <v>0</v>
      </c>
      <c r="AH788" s="106">
        <f t="shared" si="1586"/>
        <v>0</v>
      </c>
      <c r="AI788" s="106">
        <f t="shared" si="1586"/>
        <v>0</v>
      </c>
      <c r="AJ788" s="106">
        <f t="shared" si="1586"/>
        <v>22.75</v>
      </c>
      <c r="AK788" s="106">
        <f t="shared" si="1586"/>
        <v>0</v>
      </c>
      <c r="AL788" s="106">
        <f t="shared" si="1586"/>
        <v>0</v>
      </c>
      <c r="AM788" s="106">
        <f t="shared" si="1586"/>
        <v>0</v>
      </c>
      <c r="AN788" s="106">
        <f t="shared" si="1586"/>
        <v>0</v>
      </c>
      <c r="AO788" s="106">
        <f t="shared" si="1586"/>
        <v>0</v>
      </c>
      <c r="AP788" s="106">
        <f t="shared" si="1586"/>
        <v>0</v>
      </c>
      <c r="AQ788" s="106">
        <f t="shared" si="1586"/>
        <v>0</v>
      </c>
      <c r="AR788" s="107">
        <f t="shared" si="1586"/>
        <v>0</v>
      </c>
      <c r="AS788" s="105">
        <f>IF(AND($B787=" ",$K788=AS$3),$O788,0)</f>
        <v>0</v>
      </c>
      <c r="AT788" s="106">
        <f>IF(AND($B787=" ",K788=AT$3),$O788,0)</f>
        <v>0</v>
      </c>
      <c r="AU788" s="106">
        <f t="shared" ref="AU788:BE788" si="1594">IF(AND($B787=" ",$K788=AU$3),$O788,0)</f>
        <v>0</v>
      </c>
      <c r="AV788" s="106">
        <f t="shared" si="1594"/>
        <v>0</v>
      </c>
      <c r="AW788" s="106">
        <f t="shared" si="1594"/>
        <v>0</v>
      </c>
      <c r="AX788" s="106">
        <f t="shared" si="1594"/>
        <v>0</v>
      </c>
      <c r="AY788" s="108">
        <f t="shared" si="1594"/>
        <v>0</v>
      </c>
      <c r="AZ788" s="109">
        <f t="shared" si="1594"/>
        <v>0</v>
      </c>
      <c r="BA788" s="109">
        <f t="shared" si="1594"/>
        <v>0</v>
      </c>
      <c r="BB788" s="109">
        <f t="shared" si="1594"/>
        <v>0</v>
      </c>
      <c r="BC788" s="110">
        <f t="shared" si="1594"/>
        <v>0</v>
      </c>
      <c r="BD788" s="106">
        <f t="shared" si="1594"/>
        <v>0</v>
      </c>
      <c r="BE788" s="107">
        <f t="shared" si="1594"/>
        <v>0</v>
      </c>
      <c r="BF788" s="105">
        <f t="shared" si="1588"/>
        <v>0</v>
      </c>
      <c r="BG788" s="106">
        <f t="shared" si="1588"/>
        <v>0</v>
      </c>
      <c r="BH788" s="106">
        <f t="shared" si="1588"/>
        <v>0</v>
      </c>
      <c r="BI788" s="106">
        <f t="shared" si="1588"/>
        <v>0</v>
      </c>
      <c r="BJ788" s="106">
        <f t="shared" si="1588"/>
        <v>25.28</v>
      </c>
      <c r="BK788" s="106">
        <f t="shared" si="1588"/>
        <v>0</v>
      </c>
      <c r="BL788" s="106">
        <f t="shared" si="1588"/>
        <v>0</v>
      </c>
      <c r="BM788" s="132">
        <f t="shared" si="1588"/>
        <v>0</v>
      </c>
      <c r="BN788" s="112">
        <f t="shared" si="1588"/>
        <v>0</v>
      </c>
      <c r="BO788" s="112">
        <f t="shared" si="1588"/>
        <v>0</v>
      </c>
      <c r="BP788" s="112">
        <f t="shared" si="1588"/>
        <v>0</v>
      </c>
      <c r="BQ788" s="110">
        <f t="shared" si="1588"/>
        <v>0</v>
      </c>
      <c r="BR788" s="107">
        <f t="shared" si="1588"/>
        <v>0</v>
      </c>
      <c r="BS788" s="464"/>
      <c r="BT788" s="461"/>
      <c r="BU788" s="392"/>
      <c r="BV788" s="461"/>
      <c r="BW788" s="392"/>
      <c r="BX788" s="392"/>
      <c r="BY788" s="392"/>
      <c r="BZ788" s="461"/>
      <c r="CA788" s="392"/>
      <c r="CB788" s="392"/>
      <c r="CC788" s="392"/>
      <c r="CD788" s="401"/>
      <c r="CE788" s="409"/>
      <c r="CF788" s="133">
        <f t="shared" si="1540"/>
        <v>0</v>
      </c>
      <c r="CG788" s="134">
        <f t="shared" si="1541"/>
        <v>0</v>
      </c>
      <c r="CH788" s="134">
        <f t="shared" si="1542"/>
        <v>0</v>
      </c>
      <c r="CI788" s="134">
        <f t="shared" si="1543"/>
        <v>0</v>
      </c>
      <c r="CJ788" s="134">
        <f t="shared" si="1544"/>
        <v>0</v>
      </c>
      <c r="CK788" s="134">
        <f t="shared" si="1545"/>
        <v>0</v>
      </c>
      <c r="CL788" s="134">
        <f t="shared" si="1546"/>
        <v>0</v>
      </c>
      <c r="CM788" s="134">
        <f t="shared" si="1547"/>
        <v>0</v>
      </c>
      <c r="CN788" s="134">
        <f t="shared" si="1548"/>
        <v>1</v>
      </c>
      <c r="CO788" s="134">
        <f t="shared" si="1549"/>
        <v>0</v>
      </c>
      <c r="CP788" s="134">
        <f t="shared" si="1550"/>
        <v>0</v>
      </c>
      <c r="CQ788" s="134">
        <f t="shared" si="1551"/>
        <v>0</v>
      </c>
      <c r="CR788" s="134">
        <f t="shared" si="1552"/>
        <v>0</v>
      </c>
      <c r="CS788" s="134">
        <f t="shared" si="1553"/>
        <v>0</v>
      </c>
      <c r="CT788" s="115">
        <f t="shared" si="1554"/>
        <v>0</v>
      </c>
      <c r="CU788" s="116">
        <f t="shared" si="1555"/>
        <v>0</v>
      </c>
      <c r="CV788" s="116">
        <f t="shared" si="1556"/>
        <v>0</v>
      </c>
      <c r="CW788" s="116">
        <f t="shared" si="1557"/>
        <v>0</v>
      </c>
      <c r="CX788" s="116">
        <f t="shared" si="1558"/>
        <v>0</v>
      </c>
      <c r="CY788" s="116">
        <f t="shared" si="1559"/>
        <v>0</v>
      </c>
      <c r="CZ788" s="116">
        <f t="shared" si="1560"/>
        <v>0</v>
      </c>
      <c r="DA788" s="116">
        <f t="shared" si="1561"/>
        <v>0</v>
      </c>
      <c r="DB788" s="116">
        <f t="shared" si="1562"/>
        <v>0</v>
      </c>
      <c r="DC788" s="116">
        <f t="shared" si="1563"/>
        <v>0</v>
      </c>
      <c r="DD788" s="116">
        <f t="shared" si="1564"/>
        <v>0</v>
      </c>
      <c r="DE788" s="117">
        <f t="shared" si="1565"/>
        <v>0</v>
      </c>
      <c r="DF788" s="118">
        <f t="shared" si="1567"/>
        <v>44</v>
      </c>
      <c r="DG788" s="106">
        <f t="shared" si="1568"/>
        <v>58.567999999999991</v>
      </c>
      <c r="DH788" s="116">
        <f t="shared" si="1569"/>
        <v>16</v>
      </c>
      <c r="DI788" s="106">
        <f t="shared" si="1570"/>
        <v>68.699999999999989</v>
      </c>
      <c r="DJ788" s="201" t="str">
        <f>IF($D787="","",$D787)</f>
        <v>27</v>
      </c>
      <c r="DK788" s="466"/>
    </row>
    <row r="789" spans="1:115" ht="14.5" customHeight="1" x14ac:dyDescent="0.2">
      <c r="A789" s="390"/>
      <c r="B789" s="457"/>
      <c r="C789" s="135" t="s">
        <v>53</v>
      </c>
      <c r="D789" s="375"/>
      <c r="E789" s="387"/>
      <c r="F789" s="378"/>
      <c r="G789" s="484"/>
      <c r="H789" s="477"/>
      <c r="I789" s="136"/>
      <c r="J789" s="137"/>
      <c r="K789" s="138"/>
      <c r="L789" s="139"/>
      <c r="M789" s="140"/>
      <c r="N789" s="407"/>
      <c r="O789" s="141" t="str">
        <f>IF(OR(AE787="",AE788=""),"",IF(L789&gt;0,ROUND(IF(M789&gt;0,M789,IF(M787&gt;0,ROUND((M787*AE789)/AE787,IF(N787=0,2,IF(N787=0.1,1,0))),IF(M788&gt;0,ROUND((M788*AE789)/AE788,IF(N787=0,2,IF(N787=0.1,1,0))),IF(M789&gt;0,M789,0)))),2),""))</f>
        <v/>
      </c>
      <c r="P789" s="142" t="str">
        <f>IF(I788="Lay",O788*(L788/(L788-1))-O788,IF(I787="Lay",O787*(L787/(L787-1))-O787,IF(OR(L789="",O789=""),"",IF($C789="1/2W",O789/2+O789/2*L789,IF($C789="1/2L",O789/2,(O789*L789-O789)*(1-_xlfn.XLOOKUP(K789,'Fevereiro 2023 - Valor Real'!A3:A15,'Fevereiro 2023 - Valor Real'!C3:C15,0))+O789)))))</f>
        <v/>
      </c>
      <c r="Q789" s="221" t="str">
        <f>IF(K789="","",IF(_xlfn.XLOOKUP(K789,K$4:K788,$DJ$4:DJ788,0,,-1)=DJ789,_xlfn.XLOOKUP(K789,K$4:K788,Q$4:Q788,1,,-1)+1,1))</f>
        <v/>
      </c>
      <c r="R789" s="144" t="str">
        <f>IF(K789="","",_xlfn.XLOOKUP(K789,K$4:K788,R$4:R788,0,,-1)+IF($C789=" ",1,0))</f>
        <v/>
      </c>
      <c r="S789" s="404"/>
      <c r="T789" s="378"/>
      <c r="U789" s="378"/>
      <c r="V789" s="404"/>
      <c r="W789" s="378"/>
      <c r="X789" s="453"/>
      <c r="Y789" s="383"/>
      <c r="Z789" s="384"/>
      <c r="AA789" s="384"/>
      <c r="AB789" s="384"/>
      <c r="AC789" s="384"/>
      <c r="AD789" s="145">
        <f>((L788/(L788-1)-1))</f>
        <v>1.1111111111111112</v>
      </c>
      <c r="AE789" s="146" t="str">
        <f>IF(L789="","",(SUM(((L787-1)*(1-_xlfn.XLOOKUP(K787,'Fevereiro 2023 - Valor Real'!A3:A15,'Fevereiro 2023 - Valor Real'!C3:C15,0))+1),((L788-1)*(1-_xlfn.XLOOKUP(K788,'Fevereiro 2023 - Valor Real'!A3:A15,'Fevereiro 2023 - Valor Real'!C3:C15,0))+1),((L789-1)*(1-_xlfn.XLOOKUP(K789,'Fevereiro 2023 - Valor Real'!A3:A15,'Fevereiro 2023 - Valor Real'!C3:C15,0))+1))/((L789-1)*(1-_xlfn.XLOOKUP(K789,'Fevereiro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Real'!C3:C15,0))+1))/((L787-1)*(1-_xlfn.XLOOKUP(K787,'Fevereiro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Real'!C3:C15,0))+1))/((L788-1)*(1-_xlfn.XLOOKUP(K788,'Fevereiro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Real'!C3:C15,0))+1))/((L789-1)*(1-_xlfn.XLOOKUP(K789,'Fevereiro 2023 - Valor Real'!A3:A15,'Fevereiro 2023 - Valor Real'!C3:C15,0))+1)))</f>
        <v/>
      </c>
      <c r="AF789" s="105">
        <f t="shared" si="1586"/>
        <v>0</v>
      </c>
      <c r="AG789" s="106">
        <f t="shared" si="1586"/>
        <v>0</v>
      </c>
      <c r="AH789" s="106">
        <f t="shared" si="1586"/>
        <v>0</v>
      </c>
      <c r="AI789" s="106">
        <f t="shared" si="1586"/>
        <v>0</v>
      </c>
      <c r="AJ789" s="106">
        <f t="shared" si="1586"/>
        <v>0</v>
      </c>
      <c r="AK789" s="106">
        <f t="shared" si="1586"/>
        <v>0</v>
      </c>
      <c r="AL789" s="106">
        <f t="shared" si="1586"/>
        <v>0</v>
      </c>
      <c r="AM789" s="106">
        <f t="shared" si="1586"/>
        <v>0</v>
      </c>
      <c r="AN789" s="106">
        <f t="shared" si="1586"/>
        <v>0</v>
      </c>
      <c r="AO789" s="106">
        <f t="shared" si="1586"/>
        <v>0</v>
      </c>
      <c r="AP789" s="106">
        <f t="shared" si="1586"/>
        <v>0</v>
      </c>
      <c r="AQ789" s="106">
        <f t="shared" si="1586"/>
        <v>0</v>
      </c>
      <c r="AR789" s="107">
        <f t="shared" si="1586"/>
        <v>0</v>
      </c>
      <c r="AS789" s="105">
        <f>IF(AND($B787=" ",$K789=AS$3),$O789,0)</f>
        <v>0</v>
      </c>
      <c r="AT789" s="106">
        <f>IF(AND($B787=" ",K789=AT$3),$O789,0)</f>
        <v>0</v>
      </c>
      <c r="AU789" s="106">
        <f t="shared" ref="AU789:BE789" si="1595">IF(AND($B787=" ",$K789=AU$3),$O789,0)</f>
        <v>0</v>
      </c>
      <c r="AV789" s="106">
        <f t="shared" si="1595"/>
        <v>0</v>
      </c>
      <c r="AW789" s="106">
        <f t="shared" si="1595"/>
        <v>0</v>
      </c>
      <c r="AX789" s="106">
        <f t="shared" si="1595"/>
        <v>0</v>
      </c>
      <c r="AY789" s="108">
        <f t="shared" si="1595"/>
        <v>0</v>
      </c>
      <c r="AZ789" s="109">
        <f t="shared" si="1595"/>
        <v>0</v>
      </c>
      <c r="BA789" s="109">
        <f t="shared" si="1595"/>
        <v>0</v>
      </c>
      <c r="BB789" s="109">
        <f t="shared" si="1595"/>
        <v>0</v>
      </c>
      <c r="BC789" s="110">
        <f t="shared" si="1595"/>
        <v>0</v>
      </c>
      <c r="BD789" s="106">
        <f t="shared" si="1595"/>
        <v>0</v>
      </c>
      <c r="BE789" s="107">
        <f t="shared" si="1595"/>
        <v>0</v>
      </c>
      <c r="BF789" s="105">
        <f t="shared" si="1588"/>
        <v>0</v>
      </c>
      <c r="BG789" s="106">
        <f t="shared" si="1588"/>
        <v>0</v>
      </c>
      <c r="BH789" s="106">
        <f t="shared" si="1588"/>
        <v>0</v>
      </c>
      <c r="BI789" s="106">
        <f t="shared" si="1588"/>
        <v>0</v>
      </c>
      <c r="BJ789" s="106">
        <f t="shared" si="1588"/>
        <v>0</v>
      </c>
      <c r="BK789" s="106">
        <f t="shared" si="1588"/>
        <v>0</v>
      </c>
      <c r="BL789" s="106">
        <f t="shared" si="1588"/>
        <v>0</v>
      </c>
      <c r="BM789" s="108">
        <f t="shared" si="1588"/>
        <v>0</v>
      </c>
      <c r="BN789" s="109">
        <f t="shared" si="1588"/>
        <v>0</v>
      </c>
      <c r="BO789" s="109">
        <f t="shared" si="1588"/>
        <v>0</v>
      </c>
      <c r="BP789" s="109">
        <f t="shared" si="1588"/>
        <v>0</v>
      </c>
      <c r="BQ789" s="110">
        <f t="shared" si="1588"/>
        <v>0</v>
      </c>
      <c r="BR789" s="107">
        <f t="shared" si="1588"/>
        <v>0</v>
      </c>
      <c r="BS789" s="464"/>
      <c r="BT789" s="461"/>
      <c r="BU789" s="392"/>
      <c r="BV789" s="461"/>
      <c r="BW789" s="392"/>
      <c r="BX789" s="392"/>
      <c r="BY789" s="392"/>
      <c r="BZ789" s="461"/>
      <c r="CA789" s="392"/>
      <c r="CB789" s="392"/>
      <c r="CC789" s="392"/>
      <c r="CD789" s="401"/>
      <c r="CE789" s="409"/>
      <c r="CF789" s="133">
        <f t="shared" si="1540"/>
        <v>0</v>
      </c>
      <c r="CG789" s="134">
        <f t="shared" si="1541"/>
        <v>0</v>
      </c>
      <c r="CH789" s="134">
        <f t="shared" si="1542"/>
        <v>0</v>
      </c>
      <c r="CI789" s="134">
        <f t="shared" si="1543"/>
        <v>0</v>
      </c>
      <c r="CJ789" s="134">
        <f t="shared" si="1544"/>
        <v>0</v>
      </c>
      <c r="CK789" s="134">
        <f t="shared" si="1545"/>
        <v>0</v>
      </c>
      <c r="CL789" s="134">
        <f t="shared" si="1546"/>
        <v>0</v>
      </c>
      <c r="CM789" s="134">
        <f t="shared" si="1547"/>
        <v>0</v>
      </c>
      <c r="CN789" s="134">
        <f t="shared" si="1548"/>
        <v>0</v>
      </c>
      <c r="CO789" s="134">
        <f t="shared" si="1549"/>
        <v>0</v>
      </c>
      <c r="CP789" s="134">
        <f t="shared" si="1550"/>
        <v>0</v>
      </c>
      <c r="CQ789" s="134">
        <f t="shared" si="1551"/>
        <v>0</v>
      </c>
      <c r="CR789" s="134">
        <f t="shared" si="1552"/>
        <v>0</v>
      </c>
      <c r="CS789" s="134">
        <f t="shared" si="1553"/>
        <v>0</v>
      </c>
      <c r="CT789" s="115">
        <f t="shared" si="1554"/>
        <v>0</v>
      </c>
      <c r="CU789" s="116">
        <f t="shared" si="1555"/>
        <v>0</v>
      </c>
      <c r="CV789" s="116">
        <f t="shared" si="1556"/>
        <v>0</v>
      </c>
      <c r="CW789" s="116">
        <f t="shared" si="1557"/>
        <v>0</v>
      </c>
      <c r="CX789" s="116">
        <f t="shared" si="1558"/>
        <v>0</v>
      </c>
      <c r="CY789" s="116">
        <f t="shared" si="1559"/>
        <v>0</v>
      </c>
      <c r="CZ789" s="116">
        <f t="shared" si="1560"/>
        <v>0</v>
      </c>
      <c r="DA789" s="116">
        <f t="shared" si="1561"/>
        <v>0</v>
      </c>
      <c r="DB789" s="116">
        <f t="shared" si="1562"/>
        <v>0</v>
      </c>
      <c r="DC789" s="116">
        <f t="shared" si="1563"/>
        <v>0</v>
      </c>
      <c r="DD789" s="116">
        <f t="shared" si="1564"/>
        <v>0</v>
      </c>
      <c r="DE789" s="117">
        <f t="shared" si="1565"/>
        <v>0</v>
      </c>
      <c r="DF789" s="118">
        <f t="shared" si="1567"/>
        <v>44</v>
      </c>
      <c r="DG789" s="106">
        <f t="shared" si="1568"/>
        <v>58.567999999999991</v>
      </c>
      <c r="DH789" s="116">
        <f t="shared" si="1569"/>
        <v>16</v>
      </c>
      <c r="DI789" s="106">
        <f t="shared" si="1570"/>
        <v>68.699999999999989</v>
      </c>
      <c r="DJ789" s="201" t="str">
        <f>IF($D787="","",$D787)</f>
        <v>27</v>
      </c>
      <c r="DK789" s="466"/>
    </row>
    <row r="790" spans="1:115" ht="14.5" customHeight="1" x14ac:dyDescent="0.2">
      <c r="A790" s="487">
        <f>$A787+1</f>
        <v>263</v>
      </c>
      <c r="B790" s="506" t="str">
        <f>IF(OR(C790="W",C791="W",C792="W",C790="1/2W",C791="1/2W",C792="1/2W",C790="1/2L",C791="1/2L",C792="1/2L"),"OK",IF(OR(C790="L",C791="L",C792="L"),"LOSS",IF(OR(C790="X",C791="X",C792="X"),"Anulado"," ")))</f>
        <v>OK</v>
      </c>
      <c r="C790" s="147" t="s">
        <v>55</v>
      </c>
      <c r="D790" s="494" t="str">
        <f>IF(G790="","",$D787)</f>
        <v>27</v>
      </c>
      <c r="E790" s="511" t="str">
        <f>IF(G790=""," ","– "&amp;COUNTIF(D$4:D792,$D790))</f>
        <v>– 10</v>
      </c>
      <c r="F790" s="510" t="str">
        <f ca="1">IF(G790="","",IF(OR(AND($C790&lt;&gt;" ",$C791=" "),AND($C791&lt;&gt;" ",$C790=" "),AND(L792&gt;0,OR(AND($C792&lt;&gt;" ",OR($C790=" ",$C791=" ")),AND($C792=" ",OR($C790&lt;&gt;" ",$C791&lt;&gt;" "))))),IF(SUM(F$4:F789)=0,1,LARGE(F$4:F789,1)+1),IF(MONTH(G790)=MONTH(TODAY()),IF(AND(DAY(G790)&lt;DAY(TODAY()),$B790=" "),IF(SUM(F$4:F789)=0,1,LARGE(F$4:F789,1)+1),IF($B790=" ",IF(AND(DAY(G790)=DAY(TODAY()),HOUR(G790)&lt;=HOUR(NOW())+1),IF(AND(HOUR(G790)+2&lt;=HOUR(NOW()),DAY(G790)&lt;=DAY(TODAY()),MINUTE(G790)&lt;=MINUTE(NOW())),IF(SUM(F$4:F789)=0,1,LARGE(F$4:F789,1)+1),IF(OR(MINUTE(G790)&lt;=MINUTE(NOW()),HOUR(G790)&lt;=HOUR(NOW())),"!!!","")),""),"")),"")))</f>
        <v/>
      </c>
      <c r="G790" s="517">
        <v>45012.65625</v>
      </c>
      <c r="H790" s="516" t="s">
        <v>269</v>
      </c>
      <c r="I790" s="222" t="s">
        <v>76</v>
      </c>
      <c r="J790" s="223">
        <v>5.5</v>
      </c>
      <c r="K790" s="224" t="s">
        <v>40</v>
      </c>
      <c r="L790" s="225">
        <v>1.86</v>
      </c>
      <c r="M790" s="226">
        <v>4.45</v>
      </c>
      <c r="N790" s="503">
        <v>0</v>
      </c>
      <c r="O790" s="153">
        <f>IF(OR(AE790="",AE791=""),"",ROUND(IF(L792&gt;0,IF(M790&gt;0,M790,IF(M791&gt;0,ROUND((M791*AE790)/AE791,IF(N790=0,2,IF(N790=0.1,1,0))),ROUND((M792*AE790)/AE792,IF(N790=0,2,IF(N790=0.1,1,0))))),IF(M790&gt;0,M790,ROUND((M791*AE790)/AE791,IF(N790=0,2,IF(N790=0.1,1,0))))),2))</f>
        <v>4.45</v>
      </c>
      <c r="P790" s="227">
        <f>IF(OR(L790="",O790=""),"",IF($C790="1/2W",O790/2+O790/2*L790,IF($C790="1/2L",O790/2,IF(I790="Lay",(O790*(L790/(L790-1))-O790)*(1-_xlfn.XLOOKUP(K790,'Fevereiro 2023 - Valor Real'!A3:A15,'Fevereiro 2023 - Valor Real'!C3:C15,0))+O790,(O790*L790-O790)*(1-_xlfn.XLOOKUP(K790,'Fevereiro 2023 - Valor Real'!A3:A15,'Fevereiro 2023 - Valor Real'!C3:C15,0))+O790))))</f>
        <v>8.277000000000001</v>
      </c>
      <c r="Q790" s="228">
        <f>IF(K790="","",IF(_xlfn.XLOOKUP(K790,K$4:K789,$DJ$4:DJ789,0,,-1)=DJ790,_xlfn.XLOOKUP(K790,K$4:K789,Q$4:Q789,1,,-1)+1,1))</f>
        <v>9</v>
      </c>
      <c r="R790" s="229">
        <f>IF(K790="","",_xlfn.XLOOKUP(K790,K$4:K789,R$4:R789,0,,-1)+IF($C790=" ",1,0))</f>
        <v>0</v>
      </c>
      <c r="S790" s="501">
        <f>IF($B790="Anulado",0,ROUND(IF(OR($B790="LOSS",$B790="OK"),IF(OR($C790="W",$C790="1/2W",$C790="1/2L"),P790-O790,IF($C790="L",-O790,0))+IF(OR($C791="W",$C791="1/2W",$C791="1/2L"),P791-O791,IF($C791="L",-O791,0))+IF(OR($C792="W",$C792="1/2W",$C792="1/2L"),P792-O792,IF($C792="L",-O792,0)),IF(AND(OR($C790="W",$C790="1/2W",$C790="1/2L"),C791="W"),P790+P791-SUM(O790:O792)+_xlfn.XLOOKUP("X",C790:C792,O790:O792,0),IF(AND(C790=TRUE,C792="W"),P790+P792-SUM(O790:O792),IF(AND(C791="W",C792="W"),P791+P792-SUM(O790:O792)+_xlfn.XLOOKUP("X",C790:C792,O790:O792,0),IF(L792&gt;0,IF(OR($C790="W",$C790="1/2W",$C790="1/2L"),P790-SUM(O790:O792)+_xlfn.XLOOKUP("X",C790:C792,O790:O792,0),IF(OR($C790="W",$C790="1/2W",$C790="1/2L"),P791-SUM(O790:O792)+_xlfn.XLOOKUP("X",C790:C792,O790:O792,0),IF(OR($C790="W",$C790="1/2W",$C790="1/2L"),P792-SUM(O790:O792)+_xlfn.XLOOKUP("X",C790:C792,O790:O792,0),IF(SUM(P790:P792)/3-SUM(O790:O792)+_xlfn.XLOOKUP("X",C790:C792,O790:O792,0)&gt;0,SUM(P790:P792)/3-SUM(O790:O792)+_xlfn.XLOOKUP("X",C790:C792,O790:O792,0),LARGE(P790:P792,1)-SUM(O790:O792))))),IF(OR($C790="W",$C790="1/2W",$C790="1/2L"),P790-SUM(O790:O791)+_xlfn.XLOOKUP("X",C790:C792,O790:O792,0),IF(OR($C790="W",$C790="1/2W",$C790="1/2L"),P791-SUM(O790:O791)+_xlfn.XLOOKUP("X",C790:C792,O790:O792,0),SUM(P790:P791)/2-SUM(O790:O791)+_xlfn.XLOOKUP("X",C790:C792,O790:O792,0)))))))),2))</f>
        <v>0.78</v>
      </c>
      <c r="T790" s="486">
        <f>IF(S790=0,0,S790/SUM(O790:O792))</f>
        <v>0.10483870967741936</v>
      </c>
      <c r="U790" s="496">
        <f>IF($D790=$D787,IF(OR($B790="LOSS",$B790="OK",$B790="Anulada"),S790,0)+U787,IF(OR($B790="LOSS",$B790="OK",$B790="Anulada"),S790,0))</f>
        <v>29.63</v>
      </c>
      <c r="V790" s="496">
        <f>IF($D790="",0,IF($D790=$D787,IF($B790=" ",IF(I792="",IF(OR(AND(I790="DNB1",I791="DNB2"),AND(OR(I790="DNB1",I790="DNB2"),J791=0),AND(OR(I791="DNB1",I791="DNB2"),J790=0),AND(I790="DNB2",I791="DNB1"),AND(IF(J790=0,(J790+1)/ROUND(J790+1,0),J790/ROUND(J790,0))=1,IF(J791=0,(J791+1)/ROUND(IF(J791="",0,J791)+1,0),IF(J791="",0,J791)/ROUND(IF(J791="",1,J791),0))=1,OR(J790&lt;&gt;""),J791&lt;&gt;"")),0,IF(S790&lt;0,IF(I792="",SMALL(P790:P791,1)-SUM(O790:O791),0),SMALL(P790:P791,1)-SUM(O790:O791))),IF(S790&lt;0,IF(I792="",SMALL(P790:P792,1)-SUM(O790:O792),0),LARGE(P790:P792,1)-SUM(O790:O792))),S790)+V787,IF(I792="",IF(OR(AND(I790="DNB1",I791="DNB2"),AND(OR(I790="DNB1",I790="DNB2"),J791=0),AND(OR(I791="DNB1",I791="DNB2"),J790=0),AND(I790="DNB2",I791="DNB1"),AND(IF(J790=0,(J790+1)/ROUND(J790+1,0),J790/ROUND(J790,0))=1,IF(J791=0,(IF(J791="",0,J791)+1)/ROUND(IF(J791="",0,J791)+1,0),IF(J791="",0,J791)/ROUND(IF(J791="",0,J791)+1,0))=1,OR(J790&lt;&gt;""),J791&lt;&gt;"")),0,IF(S790&lt;0,IF(I792="",SMALL(P790:P791,1)-SUM(O790:O791),0),SMALL(P790:P792,1)-SUM(O790:O792))),IF(S790&lt;0,IF(I792="",SMALL(P790:P792,1)-SUM(O790:O792),0),LARGE(P790:P792,1)-SUM(O790:O792)))))</f>
        <v>29.629999999999995</v>
      </c>
      <c r="W790" s="496">
        <f>IF($D790=$D787,IF(S790&lt;0,IF(I792="",S790,0),S790)+W787,S790)</f>
        <v>29.63</v>
      </c>
      <c r="X790" s="505" t="str">
        <f>IF(OR(SUM(R790:R792)=0,V790=W790),ROUND(IF(W790=0,0,W790/Y790)*100,2)&amp;"%",ROUND(IF(V790=0,0,V790/Y790)*100,2)&amp;"% a "&amp;ROUND(IF(W790=0,0,W790/Y790)*100,2)&amp;"%")</f>
        <v>6,83%</v>
      </c>
      <c r="Y790" s="497">
        <f>IF($D790=$D787,Y787+SUM(O790:O792),SUM(O790:O792))</f>
        <v>433.58</v>
      </c>
      <c r="Z790" s="496">
        <f>IF($B790=" ",SUM(O790:O792),0)+Z787</f>
        <v>0</v>
      </c>
      <c r="AA790" s="496">
        <f>IF(G790="","",IF($B790="Anulado",LARGE(P790:P792,1)-SUM(O790:O792)+AA787,AA787))</f>
        <v>13.381099999999991</v>
      </c>
      <c r="AB790" s="496">
        <f>IF($D790="","",AB787+S790)</f>
        <v>877.32000000000062</v>
      </c>
      <c r="AC790" s="499">
        <f ca="1">IF($D790="","",IF($B790=" ",IF(DAY(G790)=DAY(TODAY()),1+AC787,0+AC787),0+AC787))</f>
        <v>0</v>
      </c>
      <c r="AD790" s="157">
        <f>(((L791/(L791-1)-1)*(1-_xlfn.XLOOKUP(K791,'Fevereiro 2023 - Valor Real'!A3:A15,'Fevereiro 2023 - Valor Real'!C3:C15,0))+1))/(((L790-1)*(1-_xlfn.XLOOKUP(K790,'Fevereiro 2023 - Valor Real'!A3:A15,'Fevereiro 2023 - Valor Real'!C3:C15,0))+1)+((L791/(L791-1)-1)*(1-_xlfn.XLOOKUP(K791,'Fevereiro 2023 - Valor Real'!A3:A15,'Fevereiro 2023 - Valor Real'!C3:C15,0))+1))</f>
        <v>0.45795170691090759</v>
      </c>
      <c r="AE790" s="158">
        <f>IF(L790="","",IF(L792&gt;0,(SUM(((L790-1)*(1-_xlfn.XLOOKUP(K790,'Fevereiro 2023 - Valor Real'!A3:A15,'Fevereiro 2023 - Valor Real'!C3:C15,0))+1),((L791-1)*(1-_xlfn.XLOOKUP(K791,'Fevereiro 2023 - Valor Real'!A3:A15,'Fevereiro 2023 - Valor Real'!C3:C15,0))+1),((L792-1)*(1-_xlfn.XLOOKUP(K792,'Fevereiro 2023 - Valor Real'!A3:A15,'Fevereiro 2023 - Valor Real'!C3:C15,0))+1))/((L790-1)*(1-_xlfn.XLOOKUP(K790,'Fevereiro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Real'!C3:C15,0))+1))/((L790-1)*(1-_xlfn.XLOOKUP(K790,'Fevereiro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Real'!C3:C15,0))+1))/((L791-1)*(1-_xlfn.XLOOKUP(K791,'Fevereiro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Real'!C3:C15,0))+1))/((L792-1)*(1-_xlfn.XLOOKUP(K792,'Fevereiro 2023 - Valor Real'!A3:A15,'Fevereiro 2023 - Valor Real'!C3:C15,0))+1)),IF(I790="Lay",IF(I791="Lay",((L791/(L791-1)-1)*(1-_xlfn.XLOOKUP(K791,'Fevereiro 2023 - Valor Real'!A3:A15,'Fevereiro 2023 - Valor Real'!C3:C15,0))+1)/(((L791/(L791-1)-1)*(1-_xlfn.XLOOKUP(K791,'Fevereiro 2023 - Valor Real'!A3:A15,'Fevereiro 2023 - Valor Real'!C3:C15,0))+1)+((L790/(L790-1)-1)*(1-_xlfn.XLOOKUP(K790,'Fevereiro 2023 - Valor Real'!A3:A15,'Fevereiro 2023 - Valor Real'!C3:C15,0))+1)),((L791-1)*(1-_xlfn.XLOOKUP(K791,'Fevereiro 2023 - Valor Real'!A3:A15,'Fevereiro 2023 - Valor Real'!C3:C15,0))+1)/(((L791-1)*(1-_xlfn.XLOOKUP(K791,'Fevereiro 2023 - Valor Real'!A3:A15,'Fevereiro 2023 - Valor Real'!C3:C15,0))+1)+((L790/(L790-1)-1)*(1-_xlfn.XLOOKUP(K790,'Fevereiro 2023 - Valor Real'!A3:A15,'Fevereiro 2023 - Valor Real'!C3:C15,0))+1))),IF(I791="Lay",(((L791/(L791-1)-1)*(1-_xlfn.XLOOKUP(K791,'Fevereiro 2023 - Valor Real'!A3:A15,'Fevereiro 2023 - Valor Real'!C3:C15,0))+1))/(((L790-1)*(1-_xlfn.XLOOKUP(K790,'Fevereiro 2023 - Valor Real'!A3:A15,'Fevereiro 2023 - Valor Real'!C3:C15,0))+1)+((L791/(L791-1)-1)*(1-_xlfn.XLOOKUP(K791,'Fevereiro 2023 - Valor Real'!A3:A15,'Fevereiro 2023 - Valor Real'!C3:C15,0))+1)),((L791-1)*(1-_xlfn.XLOOKUP(K791,'Fevereiro 2023 - Valor Real'!A3:A15,'Fevereiro 2023 - Valor Real'!C3:C15,0))+1)/(((L791-1)*(1-_xlfn.XLOOKUP(K791,'Fevereiro 2023 - Valor Real'!A3:A15,'Fevereiro 2023 - Valor Real'!C3:C15,0))+1)+((L790-1)*(1-_xlfn.XLOOKUP(K790,'Fevereiro 2023 - Valor Real'!A3:A15,'Fevereiro 2023 - Valor Real'!C3:C15,0))+1))))))</f>
        <v>0.59652928416485895</v>
      </c>
      <c r="AF790" s="66">
        <f t="shared" si="1586"/>
        <v>0</v>
      </c>
      <c r="AG790" s="67">
        <f t="shared" si="1586"/>
        <v>0</v>
      </c>
      <c r="AH790" s="67">
        <f t="shared" si="1586"/>
        <v>0</v>
      </c>
      <c r="AI790" s="67">
        <f t="shared" si="1586"/>
        <v>0</v>
      </c>
      <c r="AJ790" s="67">
        <f t="shared" si="1586"/>
        <v>-4.45</v>
      </c>
      <c r="AK790" s="67">
        <f t="shared" si="1586"/>
        <v>0</v>
      </c>
      <c r="AL790" s="67">
        <f t="shared" si="1586"/>
        <v>0</v>
      </c>
      <c r="AM790" s="67">
        <f t="shared" si="1586"/>
        <v>0</v>
      </c>
      <c r="AN790" s="67">
        <f t="shared" si="1586"/>
        <v>0</v>
      </c>
      <c r="AO790" s="67">
        <f t="shared" si="1586"/>
        <v>0</v>
      </c>
      <c r="AP790" s="67">
        <f t="shared" si="1586"/>
        <v>0</v>
      </c>
      <c r="AQ790" s="67">
        <f t="shared" si="1586"/>
        <v>0</v>
      </c>
      <c r="AR790" s="68">
        <f t="shared" si="1586"/>
        <v>0</v>
      </c>
      <c r="AS790" s="66">
        <f t="shared" ref="AS790:BE790" si="1596">IF(AND($B790=" ",$K790=AS$3),$O790,0)</f>
        <v>0</v>
      </c>
      <c r="AT790" s="67">
        <f t="shared" si="1596"/>
        <v>0</v>
      </c>
      <c r="AU790" s="67">
        <f t="shared" si="1596"/>
        <v>0</v>
      </c>
      <c r="AV790" s="67">
        <f t="shared" si="1596"/>
        <v>0</v>
      </c>
      <c r="AW790" s="67">
        <f t="shared" si="1596"/>
        <v>0</v>
      </c>
      <c r="AX790" s="67">
        <f t="shared" si="1596"/>
        <v>0</v>
      </c>
      <c r="AY790" s="69">
        <f t="shared" si="1596"/>
        <v>0</v>
      </c>
      <c r="AZ790" s="70">
        <f t="shared" si="1596"/>
        <v>0</v>
      </c>
      <c r="BA790" s="70">
        <f t="shared" si="1596"/>
        <v>0</v>
      </c>
      <c r="BB790" s="70">
        <f t="shared" si="1596"/>
        <v>0</v>
      </c>
      <c r="BC790" s="71">
        <f t="shared" si="1596"/>
        <v>0</v>
      </c>
      <c r="BD790" s="67">
        <f t="shared" si="1596"/>
        <v>0</v>
      </c>
      <c r="BE790" s="68">
        <f t="shared" si="1596"/>
        <v>0</v>
      </c>
      <c r="BF790" s="230">
        <f t="shared" si="1588"/>
        <v>0</v>
      </c>
      <c r="BG790" s="67">
        <f t="shared" si="1588"/>
        <v>0</v>
      </c>
      <c r="BH790" s="67">
        <f t="shared" si="1588"/>
        <v>0</v>
      </c>
      <c r="BI790" s="67">
        <f t="shared" si="1588"/>
        <v>0</v>
      </c>
      <c r="BJ790" s="67">
        <f t="shared" si="1588"/>
        <v>4.45</v>
      </c>
      <c r="BK790" s="67">
        <f t="shared" si="1588"/>
        <v>0</v>
      </c>
      <c r="BL790" s="67">
        <f t="shared" si="1588"/>
        <v>0</v>
      </c>
      <c r="BM790" s="69">
        <f t="shared" si="1588"/>
        <v>0</v>
      </c>
      <c r="BN790" s="70">
        <f t="shared" si="1588"/>
        <v>0</v>
      </c>
      <c r="BO790" s="70">
        <f t="shared" si="1588"/>
        <v>0</v>
      </c>
      <c r="BP790" s="70">
        <f t="shared" si="1588"/>
        <v>0</v>
      </c>
      <c r="BQ790" s="71">
        <f t="shared" si="1588"/>
        <v>0</v>
      </c>
      <c r="BR790" s="68">
        <f t="shared" si="1588"/>
        <v>0</v>
      </c>
      <c r="BS790" s="490">
        <f>IF($B790="LOSS",IF(AND($K790=BS$3,$C790="L"),-$O790,0)+IF(AND($K791=BS$3,$C791="L"),-$O791,0)+IF(AND($K792=BS$3,$C792="L"),-$O792,0),IF(OR(AND($K790=BS$3,OR($C790="W",$C790="1/2W")),AND($K791=BS$3,OR($C791="W",$C791="1/2W")),AND($K792=BS$3,OR($C792="W",$C792="1/2W"))),$S790,0))</f>
        <v>0</v>
      </c>
      <c r="BT790" s="488">
        <f>IF($B790="LOSS",IF(AND($K790=BT$3,$C790="L"),-$O790,0)+IF(AND($K791=BT$3,$C791="L"),-$O791,0)+IF(AND($K791=BT$3,$C792="L"),-$O792,0),IF(OR(AND($K791=BT$3,OR($C790="W",$C790="1/2W")),AND($K791=BT$3,OR($C791="W",$C791="1/2W")),AND($K791=BT$3,OR($C792="W",$C792="1/2W"))),$S790,0))</f>
        <v>0</v>
      </c>
      <c r="BU790" s="488">
        <f>IF($B790="LOSS",IF(AND($K790=BU$3,$C790="L"),-$O790,0)+IF(AND($K791=BU$3,$C791="L"),-$O791,0)+IF(AND($K791=BU$3,$C792="L"),-$O792,0),IF(OR(AND($K791=BU$3,OR($C790="W",$C790="1/2W")),AND($K791=BU$3,OR($C791="W",$C791="1/2W")),AND($K791=BU$3,OR($C792="W",$C792="1/2W"))),$S790,0))</f>
        <v>0</v>
      </c>
      <c r="BV790" s="488">
        <f t="shared" ref="BV790:CE790" si="1597">IF($B790="LOSS",IF(AND($K790=BV$3,$C790="L"),-$O790,0)+IF(AND($K791=BV$3,$C791="L"),-$O791,0)+IF(AND($K792=BV$3,$C792="L"),-$O792,0),IF(OR(AND($K790=BV$3,OR($C790="W",$C790="1/2W")),AND($K791=BV$3,OR($C791="W",$C791="1/2W")),AND($K792=BV$3,OR($C792="W",$C792="1/2W"))),$S790,0))</f>
        <v>0</v>
      </c>
      <c r="BW790" s="488">
        <f t="shared" si="1597"/>
        <v>0</v>
      </c>
      <c r="BX790" s="488">
        <f t="shared" si="1597"/>
        <v>0</v>
      </c>
      <c r="BY790" s="488">
        <f t="shared" si="1597"/>
        <v>0</v>
      </c>
      <c r="BZ790" s="498">
        <f t="shared" si="1597"/>
        <v>0</v>
      </c>
      <c r="CA790" s="498">
        <f t="shared" si="1597"/>
        <v>0</v>
      </c>
      <c r="CB790" s="498">
        <f t="shared" si="1597"/>
        <v>0</v>
      </c>
      <c r="CC790" s="498">
        <f t="shared" si="1597"/>
        <v>0</v>
      </c>
      <c r="CD790" s="500">
        <f t="shared" si="1597"/>
        <v>0.78</v>
      </c>
      <c r="CE790" s="504">
        <f t="shared" si="1597"/>
        <v>0</v>
      </c>
      <c r="CF790" s="160">
        <f t="shared" si="1540"/>
        <v>0</v>
      </c>
      <c r="CG790" s="161">
        <f t="shared" si="1541"/>
        <v>0</v>
      </c>
      <c r="CH790" s="161">
        <f t="shared" si="1542"/>
        <v>0</v>
      </c>
      <c r="CI790" s="161">
        <f t="shared" si="1543"/>
        <v>0</v>
      </c>
      <c r="CJ790" s="161">
        <f t="shared" si="1544"/>
        <v>0</v>
      </c>
      <c r="CK790" s="161">
        <f t="shared" si="1545"/>
        <v>0</v>
      </c>
      <c r="CL790" s="161">
        <f t="shared" si="1546"/>
        <v>0</v>
      </c>
      <c r="CM790" s="161">
        <f t="shared" si="1547"/>
        <v>0</v>
      </c>
      <c r="CN790" s="161">
        <f t="shared" si="1548"/>
        <v>0</v>
      </c>
      <c r="CO790" s="161">
        <f t="shared" si="1549"/>
        <v>1</v>
      </c>
      <c r="CP790" s="161">
        <f t="shared" si="1550"/>
        <v>0</v>
      </c>
      <c r="CQ790" s="161">
        <f t="shared" si="1551"/>
        <v>0</v>
      </c>
      <c r="CR790" s="161">
        <f t="shared" si="1552"/>
        <v>0</v>
      </c>
      <c r="CS790" s="161">
        <f t="shared" si="1553"/>
        <v>0</v>
      </c>
      <c r="CT790" s="75">
        <f t="shared" si="1554"/>
        <v>0</v>
      </c>
      <c r="CU790" s="76">
        <f t="shared" si="1555"/>
        <v>0</v>
      </c>
      <c r="CV790" s="76">
        <f t="shared" si="1556"/>
        <v>0</v>
      </c>
      <c r="CW790" s="76">
        <f t="shared" si="1557"/>
        <v>0</v>
      </c>
      <c r="CX790" s="76">
        <f t="shared" si="1558"/>
        <v>0</v>
      </c>
      <c r="CY790" s="76">
        <f t="shared" si="1559"/>
        <v>0</v>
      </c>
      <c r="CZ790" s="76">
        <f t="shared" si="1560"/>
        <v>0</v>
      </c>
      <c r="DA790" s="76">
        <f t="shared" si="1561"/>
        <v>0</v>
      </c>
      <c r="DB790" s="76">
        <f t="shared" si="1562"/>
        <v>0</v>
      </c>
      <c r="DC790" s="76">
        <f t="shared" si="1563"/>
        <v>0</v>
      </c>
      <c r="DD790" s="76">
        <f t="shared" si="1564"/>
        <v>0</v>
      </c>
      <c r="DE790" s="77">
        <f t="shared" si="1565"/>
        <v>0</v>
      </c>
      <c r="DF790" s="73">
        <f t="shared" si="1567"/>
        <v>44</v>
      </c>
      <c r="DG790" s="67">
        <f t="shared" si="1568"/>
        <v>58.567999999999991</v>
      </c>
      <c r="DH790" s="76">
        <f t="shared" si="1569"/>
        <v>16</v>
      </c>
      <c r="DI790" s="67">
        <f t="shared" si="1570"/>
        <v>68.699999999999989</v>
      </c>
      <c r="DJ790" s="202" t="str">
        <f>IF($D790="","",$D790)</f>
        <v>27</v>
      </c>
      <c r="DK790" s="492">
        <f>IF(AND($B790=" ",$D790&lt;&gt;""),1,0)</f>
        <v>0</v>
      </c>
    </row>
    <row r="791" spans="1:115" ht="14.5" customHeight="1" x14ac:dyDescent="0.2">
      <c r="A791" s="389"/>
      <c r="B791" s="456"/>
      <c r="C791" s="53" t="s">
        <v>54</v>
      </c>
      <c r="D791" s="374"/>
      <c r="E791" s="386"/>
      <c r="F791" s="377"/>
      <c r="G791" s="483"/>
      <c r="H791" s="476"/>
      <c r="I791" s="55" t="s">
        <v>66</v>
      </c>
      <c r="J791" s="231">
        <f>IF(OR(I790="TO",I790="TU",I790="TO1",I790="TU1",I790="TO2",I790="TU2"),J790,IF(OR(I790="AH1",I790="AH2"),IF(OR(I791="AH1",I791="AH2"),-J790,IF(OR(I791="EH1",I791="EH2"),-J790+0.5,"")),IF(OR(I790="EH1",I790="EH2"),IF(OR(I791="AH1",I791="AH2"),-J790+0.5,IF(OR(I791="EH1",I791="EH2"),-J790+1,"")),IF(AND(OR(I790="DNB1",I790="DNB2"),OR(I791="AH1",I791="AH2")),0,IF(AND(I790="Not ScoreBoth",OR(I791="TO1",I791="TO2")),0.5,"")))))</f>
        <v>-5.5</v>
      </c>
      <c r="K791" s="232" t="s">
        <v>47</v>
      </c>
      <c r="L791" s="58">
        <v>2.75</v>
      </c>
      <c r="M791" s="59">
        <v>2.99</v>
      </c>
      <c r="N791" s="406"/>
      <c r="O791" s="60">
        <f>IF(OR(AE790="",AE791=""),"",ROUND(IF(L792&gt;0,IF(M791&gt;0,M791,IF(M790&gt;0,IF(N790=TRUE,ROUND((M790*AE791)/AE790,0),(M790*AE791)/AE790),IF(M791&gt;0,ROUND(M791,IF(N790=0,2,IF(N790=0.1,1,0))),IF(M792&gt;0,ROUND(O792*AE791/AE792,IF(N790=0,2,IF(N790=0.1,1,0))),0)))),IF(M791&gt;0,M791,ROUND((M790*AE791)/AE790,IF(N790=0,2,IF(N790=0.1,1,0))))),2))</f>
        <v>2.99</v>
      </c>
      <c r="P791" s="61">
        <f>IF(OR(L791="",O791=""),"",IF($C791="1/2W",O791/2+O791/2*L791,IF($C791="1/2L",O791/2,IF(I791="Lay",((O791*(L791/(L791-1)))-O791)*(1-_xlfn.XLOOKUP(K791,'Fevereiro 2023 - Valor Real'!A3:A15,'Fevereiro 2023 - Valor Real'!C3:C15,0))+O791,(O791*L791-O791)*(1-_xlfn.XLOOKUP(K791,'Fevereiro 2023 - Valor Real'!A3:A15,'Fevereiro 2023 - Valor Real'!C3:C15,0))+O791))))</f>
        <v>8.2225000000000001</v>
      </c>
      <c r="Q791" s="233">
        <f>IF(K791="","",IF(_xlfn.XLOOKUP(K791,K$4:K790,$DJ$4:DJ790,0,,-1)=DJ791,_xlfn.XLOOKUP(K791,K$4:K790,Q$4:Q790,1,,-1)+1,1))</f>
        <v>1</v>
      </c>
      <c r="R791" s="234">
        <f>IF(K791="","",_xlfn.XLOOKUP(K791,K$4:K790,R$4:R790,0,,-1)+IF($C791=" ",1,0))</f>
        <v>0</v>
      </c>
      <c r="S791" s="403"/>
      <c r="T791" s="380"/>
      <c r="U791" s="380"/>
      <c r="V791" s="481"/>
      <c r="W791" s="380"/>
      <c r="X791" s="452"/>
      <c r="Y791" s="383"/>
      <c r="Z791" s="384"/>
      <c r="AA791" s="384"/>
      <c r="AB791" s="384"/>
      <c r="AC791" s="384"/>
      <c r="AD791" s="64">
        <f>(((L791/(L791-1)-1)*(1-_xlfn.XLOOKUP(K791,'Fevereiro 2023 - Valor Real'!A3:A15,'Fevereiro 2023 - Valor Real'!C3:C15,0))+1))</f>
        <v>1.5714285714285714</v>
      </c>
      <c r="AE791" s="65">
        <f>IF(L791="","",IF(L792&gt;0,(SUM(((L790-1)*(1-_xlfn.XLOOKUP(K790,'Fevereiro 2023 - Valor Real'!A3:A15,'Fevereiro 2023 - Valor Real'!C3:C15,0))+1),((L791-1)*(1-_xlfn.XLOOKUP(K791,'Fevereiro 2023 - Valor Real'!A3:A15,'Fevereiro 2023 - Valor Real'!C3:C15,0))+1),((L792-1)*(1-_xlfn.XLOOKUP(K792,'Fevereiro 2023 - Valor Real'!A3:A15,'Fevereiro 2023 - Valor Real'!C3:C15,0))+1))/((L791-1)*(1-_xlfn.XLOOKUP(K791,'Fevereiro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Real'!C3:C15,0))+1))/((L790-1)*(1-_xlfn.XLOOKUP(K790,'Fevereiro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Real'!C3:C15,0))+1))/((L791-1)*(1-_xlfn.XLOOKUP(K791,'Fevereiro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Real'!C3:C15,0))+1))/((L792-1)*(1-_xlfn.XLOOKUP(K792,'Fevereiro 2023 - Valor Real'!A3:A15,'Fevereiro 2023 - Valor Real'!C3:C15,0))+1)),IF(I791="Lay",IF(I790="Lay",((L790/(L790-1)-1)*(1-_xlfn.XLOOKUP(K790,'Fevereiro 2023 - Valor Real'!A3:A15,'Fevereiro 2023 - Valor Real'!C3:C15,0))+1)/(((L790/(L790-1)-1)*(1-_xlfn.XLOOKUP(K790,'Fevereiro 2023 - Valor Real'!A3:A15,'Fevereiro 2023 - Valor Real'!C3:C15,0))+1)+((L791/(L791-1)-1)*(1-_xlfn.XLOOKUP(K791,'Fevereiro 2023 - Valor Real'!A3:A15,'Fevereiro 2023 - Valor Real'!C3:C15,0))+1)),((L790-1)*(1-_xlfn.XLOOKUP(K790,'Fevereiro 2023 - Valor Real'!A3:A15,'Fevereiro 2023 - Valor Real'!C3:C15,0))+1)/(((L790-1)*(1-_xlfn.XLOOKUP(K790,'Fevereiro 2023 - Valor Real'!A3:A15,'Fevereiro 2023 - Valor Real'!C3:C15,0))+1)+((L791/(L791-1)-1)*(1-_xlfn.XLOOKUP(K791,'Fevereiro 2023 - Valor Real'!A3:A15,'Fevereiro 2023 - Valor Real'!C3:C15,0))+1))),IF(I790="Lay",((L790/(L790-1)-1)*(1-_xlfn.XLOOKUP(K790,'Fevereiro 2023 - Valor Real'!A3:A15,'Fevereiro 2023 - Valor Real'!C3:C15,0))+1)/((((L790/(L790-1)-1)*(1-_xlfn.XLOOKUP(K790,'Fevereiro 2023 - Valor Real'!A3:A15,'Fevereiro 2023 - Valor Real'!C3:C15,0))+1))+((L791-1)*(1-_xlfn.XLOOKUP(K791,'Fevereiro 2023 - Valor Real'!A3:A15,'Fevereiro 2023 - Valor Real'!C3:C15,0))+1)),((L790-1)*(1-_xlfn.XLOOKUP(K790,'Fevereiro 2023 - Valor Real'!A3:A15,'Fevereiro 2023 - Valor Real'!C3:C15,0))+1)/(((L790-1)*(1-_xlfn.XLOOKUP(K790,'Fevereiro 2023 - Valor Real'!A3:A15,'Fevereiro 2023 - Valor Real'!C3:C15,0))+1)+((L791-1)*(1-_xlfn.XLOOKUP(K791,'Fevereiro 2023 - Valor Real'!A3:A15,'Fevereiro 2023 - Valor Real'!C3:C15,0))+1))))))</f>
        <v>0.40347071583514099</v>
      </c>
      <c r="AF791" s="66">
        <f t="shared" si="1586"/>
        <v>0</v>
      </c>
      <c r="AG791" s="67">
        <f t="shared" si="1586"/>
        <v>0</v>
      </c>
      <c r="AH791" s="67">
        <f t="shared" si="1586"/>
        <v>0</v>
      </c>
      <c r="AI791" s="67">
        <f t="shared" si="1586"/>
        <v>0</v>
      </c>
      <c r="AJ791" s="67">
        <f t="shared" si="1586"/>
        <v>0</v>
      </c>
      <c r="AK791" s="67">
        <f t="shared" si="1586"/>
        <v>0</v>
      </c>
      <c r="AL791" s="67">
        <f t="shared" si="1586"/>
        <v>0</v>
      </c>
      <c r="AM791" s="67">
        <f t="shared" si="1586"/>
        <v>0</v>
      </c>
      <c r="AN791" s="67">
        <f t="shared" si="1586"/>
        <v>0</v>
      </c>
      <c r="AO791" s="67">
        <f t="shared" si="1586"/>
        <v>0</v>
      </c>
      <c r="AP791" s="67">
        <f t="shared" si="1586"/>
        <v>0</v>
      </c>
      <c r="AQ791" s="67">
        <f t="shared" si="1586"/>
        <v>5.23</v>
      </c>
      <c r="AR791" s="68">
        <f t="shared" si="1586"/>
        <v>0</v>
      </c>
      <c r="AS791" s="66">
        <f>IF(AND($B790=" ",$K791=AS$3),$O791,0)</f>
        <v>0</v>
      </c>
      <c r="AT791" s="67">
        <f>IF(AND($B790=" ",K791=AT$3),$O791,0)</f>
        <v>0</v>
      </c>
      <c r="AU791" s="67">
        <f t="shared" ref="AU791:BE791" si="1598">IF(AND($B790=" ",$K791=AU$3),$O791,0)</f>
        <v>0</v>
      </c>
      <c r="AV791" s="67">
        <f t="shared" si="1598"/>
        <v>0</v>
      </c>
      <c r="AW791" s="67">
        <f t="shared" si="1598"/>
        <v>0</v>
      </c>
      <c r="AX791" s="67">
        <f t="shared" si="1598"/>
        <v>0</v>
      </c>
      <c r="AY791" s="69">
        <f t="shared" si="1598"/>
        <v>0</v>
      </c>
      <c r="AZ791" s="70">
        <f t="shared" si="1598"/>
        <v>0</v>
      </c>
      <c r="BA791" s="70">
        <f t="shared" si="1598"/>
        <v>0</v>
      </c>
      <c r="BB791" s="70">
        <f t="shared" si="1598"/>
        <v>0</v>
      </c>
      <c r="BC791" s="71">
        <f t="shared" si="1598"/>
        <v>0</v>
      </c>
      <c r="BD791" s="67">
        <f t="shared" si="1598"/>
        <v>0</v>
      </c>
      <c r="BE791" s="68">
        <f t="shared" si="1598"/>
        <v>0</v>
      </c>
      <c r="BF791" s="66">
        <f t="shared" si="1588"/>
        <v>0</v>
      </c>
      <c r="BG791" s="67">
        <f t="shared" si="1588"/>
        <v>0</v>
      </c>
      <c r="BH791" s="67">
        <f t="shared" si="1588"/>
        <v>0</v>
      </c>
      <c r="BI791" s="67">
        <f t="shared" si="1588"/>
        <v>0</v>
      </c>
      <c r="BJ791" s="67">
        <f t="shared" si="1588"/>
        <v>0</v>
      </c>
      <c r="BK791" s="67">
        <f t="shared" si="1588"/>
        <v>0</v>
      </c>
      <c r="BL791" s="67">
        <f t="shared" si="1588"/>
        <v>0</v>
      </c>
      <c r="BM791" s="235">
        <f t="shared" si="1588"/>
        <v>0</v>
      </c>
      <c r="BN791" s="159">
        <f t="shared" si="1588"/>
        <v>0</v>
      </c>
      <c r="BO791" s="159">
        <f t="shared" si="1588"/>
        <v>0</v>
      </c>
      <c r="BP791" s="159">
        <f t="shared" si="1588"/>
        <v>0</v>
      </c>
      <c r="BQ791" s="71">
        <f t="shared" si="1588"/>
        <v>2.99</v>
      </c>
      <c r="BR791" s="68">
        <f t="shared" si="1588"/>
        <v>0</v>
      </c>
      <c r="BS791" s="464"/>
      <c r="BT791" s="461"/>
      <c r="BU791" s="392"/>
      <c r="BV791" s="461"/>
      <c r="BW791" s="392"/>
      <c r="BX791" s="392"/>
      <c r="BY791" s="392"/>
      <c r="BZ791" s="461"/>
      <c r="CA791" s="392"/>
      <c r="CB791" s="392"/>
      <c r="CC791" s="392"/>
      <c r="CD791" s="401"/>
      <c r="CE791" s="409"/>
      <c r="CF791" s="236">
        <f t="shared" si="1540"/>
        <v>0</v>
      </c>
      <c r="CG791" s="237">
        <f t="shared" si="1541"/>
        <v>0</v>
      </c>
      <c r="CH791" s="237">
        <f t="shared" si="1542"/>
        <v>0</v>
      </c>
      <c r="CI791" s="237">
        <f t="shared" si="1543"/>
        <v>0</v>
      </c>
      <c r="CJ791" s="237">
        <f t="shared" si="1544"/>
        <v>0</v>
      </c>
      <c r="CK791" s="237">
        <f t="shared" si="1545"/>
        <v>0</v>
      </c>
      <c r="CL791" s="237">
        <f t="shared" si="1546"/>
        <v>0</v>
      </c>
      <c r="CM791" s="237">
        <f t="shared" si="1547"/>
        <v>0</v>
      </c>
      <c r="CN791" s="237">
        <f t="shared" si="1548"/>
        <v>0</v>
      </c>
      <c r="CO791" s="237">
        <f t="shared" si="1549"/>
        <v>0</v>
      </c>
      <c r="CP791" s="237">
        <f t="shared" si="1550"/>
        <v>0</v>
      </c>
      <c r="CQ791" s="237">
        <f t="shared" si="1551"/>
        <v>0</v>
      </c>
      <c r="CR791" s="237">
        <f t="shared" si="1552"/>
        <v>0</v>
      </c>
      <c r="CS791" s="237">
        <f t="shared" si="1553"/>
        <v>0</v>
      </c>
      <c r="CT791" s="75">
        <f t="shared" si="1554"/>
        <v>0</v>
      </c>
      <c r="CU791" s="76">
        <f t="shared" si="1555"/>
        <v>0</v>
      </c>
      <c r="CV791" s="76">
        <f t="shared" si="1556"/>
        <v>0</v>
      </c>
      <c r="CW791" s="76">
        <f t="shared" si="1557"/>
        <v>0</v>
      </c>
      <c r="CX791" s="76">
        <f t="shared" si="1558"/>
        <v>0</v>
      </c>
      <c r="CY791" s="76">
        <f t="shared" si="1559"/>
        <v>0</v>
      </c>
      <c r="CZ791" s="76">
        <f t="shared" si="1560"/>
        <v>0</v>
      </c>
      <c r="DA791" s="76">
        <f t="shared" si="1561"/>
        <v>0</v>
      </c>
      <c r="DB791" s="76">
        <f t="shared" si="1562"/>
        <v>1</v>
      </c>
      <c r="DC791" s="76">
        <f t="shared" si="1563"/>
        <v>0</v>
      </c>
      <c r="DD791" s="76">
        <f t="shared" si="1564"/>
        <v>0</v>
      </c>
      <c r="DE791" s="77">
        <f t="shared" si="1565"/>
        <v>0</v>
      </c>
      <c r="DF791" s="73">
        <f t="shared" si="1567"/>
        <v>44</v>
      </c>
      <c r="DG791" s="67">
        <f t="shared" si="1568"/>
        <v>58.567999999999991</v>
      </c>
      <c r="DH791" s="76">
        <f t="shared" si="1569"/>
        <v>16</v>
      </c>
      <c r="DI791" s="67">
        <f t="shared" si="1570"/>
        <v>68.699999999999989</v>
      </c>
      <c r="DJ791" s="202" t="str">
        <f>IF($D790="","",$D790)</f>
        <v>27</v>
      </c>
      <c r="DK791" s="466"/>
    </row>
    <row r="792" spans="1:115" ht="14.5" customHeight="1" x14ac:dyDescent="0.2">
      <c r="A792" s="390"/>
      <c r="B792" s="457"/>
      <c r="C792" s="79" t="s">
        <v>53</v>
      </c>
      <c r="D792" s="375"/>
      <c r="E792" s="387"/>
      <c r="F792" s="378"/>
      <c r="G792" s="484"/>
      <c r="H792" s="477"/>
      <c r="I792" s="82"/>
      <c r="J792" s="83"/>
      <c r="K792" s="90"/>
      <c r="L792" s="84"/>
      <c r="M792" s="85"/>
      <c r="N792" s="407"/>
      <c r="O792" s="86" t="str">
        <f>IF(OR(AE790="",AE791=""),"",IF(L792&gt;0,ROUND(IF(M792&gt;0,M792,IF(M790&gt;0,ROUND((M790*AE792)/AE790,IF(N790=0,2,IF(N790=0.1,1,0))),IF(M791&gt;0,ROUND((M791*AE792)/AE791,IF(N790=0,2,IF(N790=0.1,1,0))),IF(M792&gt;0,M792,0)))),2),""))</f>
        <v/>
      </c>
      <c r="P792" s="87" t="str">
        <f>IF(I791="Lay",O791*(L791/(L791-1))-O791,IF(I790="Lay",O790*(L790/(L790-1))-O790,IF(OR(L792="",O792=""),"",IF($C792="1/2W",O792/2+O792/2*L792,IF($C792="1/2L",O792/2,(O792*L792-O792)*(1-_xlfn.XLOOKUP(K792,'Fevereiro 2023 - Valor Real'!A3:A15,'Fevereiro 2023 - Valor Real'!C3:C15,0))+O792)))))</f>
        <v/>
      </c>
      <c r="Q792" s="238" t="str">
        <f>IF(K792="","",IF(_xlfn.XLOOKUP(K792,K$4:K791,$DJ$4:DJ791,0,,-1)=DJ792,_xlfn.XLOOKUP(K792,K$4:K791,Q$4:Q791,1,,-1)+1,1))</f>
        <v/>
      </c>
      <c r="R792" s="239" t="str">
        <f>IF(K792="","",_xlfn.XLOOKUP(K792,K$4:K791,R$4:R791,0,,-1)+IF($C792=" ",1,0))</f>
        <v/>
      </c>
      <c r="S792" s="404"/>
      <c r="T792" s="378"/>
      <c r="U792" s="378"/>
      <c r="V792" s="404"/>
      <c r="W792" s="378"/>
      <c r="X792" s="453"/>
      <c r="Y792" s="383"/>
      <c r="Z792" s="384"/>
      <c r="AA792" s="384"/>
      <c r="AB792" s="384"/>
      <c r="AC792" s="384"/>
      <c r="AD792" s="240">
        <f>((L791/(L791-1)-1))</f>
        <v>0.5714285714285714</v>
      </c>
      <c r="AE792" s="91" t="str">
        <f>IF(L792="","",(SUM(((L790-1)*(1-_xlfn.XLOOKUP(K790,'Fevereiro 2023 - Valor Real'!A3:A15,'Fevereiro 2023 - Valor Real'!C3:C15,0))+1),((L791-1)*(1-_xlfn.XLOOKUP(K791,'Fevereiro 2023 - Valor Real'!A3:A15,'Fevereiro 2023 - Valor Real'!C3:C15,0))+1),((L792-1)*(1-_xlfn.XLOOKUP(K792,'Fevereiro 2023 - Valor Real'!A3:A15,'Fevereiro 2023 - Valor Real'!C3:C15,0))+1))/((L792-1)*(1-_xlfn.XLOOKUP(K792,'Fevereiro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Real'!C3:C15,0))+1))/((L790-1)*(1-_xlfn.XLOOKUP(K790,'Fevereiro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Real'!C3:C15,0))+1))/((L791-1)*(1-_xlfn.XLOOKUP(K791,'Fevereiro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Real'!C3:C15,0))+1))/((L792-1)*(1-_xlfn.XLOOKUP(K792,'Fevereiro 2023 - Valor Real'!A3:A15,'Fevereiro 2023 - Valor Real'!C3:C15,0))+1)))</f>
        <v/>
      </c>
      <c r="AF792" s="66">
        <f t="shared" si="1586"/>
        <v>0</v>
      </c>
      <c r="AG792" s="67">
        <f t="shared" si="1586"/>
        <v>0</v>
      </c>
      <c r="AH792" s="67">
        <f t="shared" si="1586"/>
        <v>0</v>
      </c>
      <c r="AI792" s="67">
        <f t="shared" si="1586"/>
        <v>0</v>
      </c>
      <c r="AJ792" s="67">
        <f t="shared" si="1586"/>
        <v>0</v>
      </c>
      <c r="AK792" s="67">
        <f t="shared" si="1586"/>
        <v>0</v>
      </c>
      <c r="AL792" s="67">
        <f t="shared" si="1586"/>
        <v>0</v>
      </c>
      <c r="AM792" s="67">
        <f t="shared" si="1586"/>
        <v>0</v>
      </c>
      <c r="AN792" s="67">
        <f t="shared" si="1586"/>
        <v>0</v>
      </c>
      <c r="AO792" s="67">
        <f t="shared" si="1586"/>
        <v>0</v>
      </c>
      <c r="AP792" s="67">
        <f t="shared" si="1586"/>
        <v>0</v>
      </c>
      <c r="AQ792" s="67">
        <f t="shared" si="1586"/>
        <v>0</v>
      </c>
      <c r="AR792" s="68">
        <f t="shared" si="1586"/>
        <v>0</v>
      </c>
      <c r="AS792" s="66">
        <f>IF(AND($B790=" ",$K792=AS$3),$O792,0)</f>
        <v>0</v>
      </c>
      <c r="AT792" s="67">
        <f>IF(AND($B790=" ",K792=AT$3),$O792,0)</f>
        <v>0</v>
      </c>
      <c r="AU792" s="67">
        <f t="shared" ref="AU792:BE792" si="1599">IF(AND($B790=" ",$K792=AU$3),$O792,0)</f>
        <v>0</v>
      </c>
      <c r="AV792" s="67">
        <f t="shared" si="1599"/>
        <v>0</v>
      </c>
      <c r="AW792" s="67">
        <f t="shared" si="1599"/>
        <v>0</v>
      </c>
      <c r="AX792" s="67">
        <f t="shared" si="1599"/>
        <v>0</v>
      </c>
      <c r="AY792" s="69">
        <f t="shared" si="1599"/>
        <v>0</v>
      </c>
      <c r="AZ792" s="70">
        <f t="shared" si="1599"/>
        <v>0</v>
      </c>
      <c r="BA792" s="70">
        <f t="shared" si="1599"/>
        <v>0</v>
      </c>
      <c r="BB792" s="70">
        <f t="shared" si="1599"/>
        <v>0</v>
      </c>
      <c r="BC792" s="71">
        <f t="shared" si="1599"/>
        <v>0</v>
      </c>
      <c r="BD792" s="67">
        <f t="shared" si="1599"/>
        <v>0</v>
      </c>
      <c r="BE792" s="68">
        <f t="shared" si="1599"/>
        <v>0</v>
      </c>
      <c r="BF792" s="66">
        <f t="shared" si="1588"/>
        <v>0</v>
      </c>
      <c r="BG792" s="67">
        <f t="shared" si="1588"/>
        <v>0</v>
      </c>
      <c r="BH792" s="67">
        <f t="shared" si="1588"/>
        <v>0</v>
      </c>
      <c r="BI792" s="67">
        <f t="shared" si="1588"/>
        <v>0</v>
      </c>
      <c r="BJ792" s="67">
        <f t="shared" si="1588"/>
        <v>0</v>
      </c>
      <c r="BK792" s="67">
        <f t="shared" si="1588"/>
        <v>0</v>
      </c>
      <c r="BL792" s="67">
        <f t="shared" si="1588"/>
        <v>0</v>
      </c>
      <c r="BM792" s="69">
        <f t="shared" si="1588"/>
        <v>0</v>
      </c>
      <c r="BN792" s="70">
        <f t="shared" si="1588"/>
        <v>0</v>
      </c>
      <c r="BO792" s="70">
        <f t="shared" si="1588"/>
        <v>0</v>
      </c>
      <c r="BP792" s="70">
        <f t="shared" si="1588"/>
        <v>0</v>
      </c>
      <c r="BQ792" s="71">
        <f t="shared" si="1588"/>
        <v>0</v>
      </c>
      <c r="BR792" s="68">
        <f t="shared" si="1588"/>
        <v>0</v>
      </c>
      <c r="BS792" s="464"/>
      <c r="BT792" s="461"/>
      <c r="BU792" s="392"/>
      <c r="BV792" s="461"/>
      <c r="BW792" s="392"/>
      <c r="BX792" s="392"/>
      <c r="BY792" s="392"/>
      <c r="BZ792" s="461"/>
      <c r="CA792" s="392"/>
      <c r="CB792" s="392"/>
      <c r="CC792" s="392"/>
      <c r="CD792" s="401"/>
      <c r="CE792" s="409"/>
      <c r="CF792" s="236">
        <f t="shared" si="1540"/>
        <v>0</v>
      </c>
      <c r="CG792" s="237">
        <f t="shared" si="1541"/>
        <v>0</v>
      </c>
      <c r="CH792" s="237">
        <f t="shared" si="1542"/>
        <v>0</v>
      </c>
      <c r="CI792" s="237">
        <f t="shared" si="1543"/>
        <v>0</v>
      </c>
      <c r="CJ792" s="237">
        <f t="shared" si="1544"/>
        <v>0</v>
      </c>
      <c r="CK792" s="237">
        <f t="shared" si="1545"/>
        <v>0</v>
      </c>
      <c r="CL792" s="237">
        <f t="shared" si="1546"/>
        <v>0</v>
      </c>
      <c r="CM792" s="237">
        <f t="shared" si="1547"/>
        <v>0</v>
      </c>
      <c r="CN792" s="237">
        <f t="shared" si="1548"/>
        <v>0</v>
      </c>
      <c r="CO792" s="237">
        <f t="shared" si="1549"/>
        <v>0</v>
      </c>
      <c r="CP792" s="237">
        <f t="shared" si="1550"/>
        <v>0</v>
      </c>
      <c r="CQ792" s="237">
        <f t="shared" si="1551"/>
        <v>0</v>
      </c>
      <c r="CR792" s="237">
        <f t="shared" si="1552"/>
        <v>0</v>
      </c>
      <c r="CS792" s="237">
        <f t="shared" si="1553"/>
        <v>0</v>
      </c>
      <c r="CT792" s="75">
        <f t="shared" si="1554"/>
        <v>0</v>
      </c>
      <c r="CU792" s="76">
        <f t="shared" si="1555"/>
        <v>0</v>
      </c>
      <c r="CV792" s="76">
        <f t="shared" si="1556"/>
        <v>0</v>
      </c>
      <c r="CW792" s="76">
        <f t="shared" si="1557"/>
        <v>0</v>
      </c>
      <c r="CX792" s="76">
        <f t="shared" si="1558"/>
        <v>0</v>
      </c>
      <c r="CY792" s="76">
        <f t="shared" si="1559"/>
        <v>0</v>
      </c>
      <c r="CZ792" s="76">
        <f t="shared" si="1560"/>
        <v>0</v>
      </c>
      <c r="DA792" s="76">
        <f t="shared" si="1561"/>
        <v>0</v>
      </c>
      <c r="DB792" s="76">
        <f t="shared" si="1562"/>
        <v>0</v>
      </c>
      <c r="DC792" s="76">
        <f t="shared" si="1563"/>
        <v>0</v>
      </c>
      <c r="DD792" s="76">
        <f t="shared" si="1564"/>
        <v>0</v>
      </c>
      <c r="DE792" s="77">
        <f t="shared" si="1565"/>
        <v>0</v>
      </c>
      <c r="DF792" s="73">
        <f t="shared" si="1567"/>
        <v>44</v>
      </c>
      <c r="DG792" s="67">
        <f t="shared" si="1568"/>
        <v>58.567999999999991</v>
      </c>
      <c r="DH792" s="76">
        <f t="shared" si="1569"/>
        <v>16</v>
      </c>
      <c r="DI792" s="67">
        <f t="shared" si="1570"/>
        <v>68.699999999999989</v>
      </c>
      <c r="DJ792" s="202" t="str">
        <f>IF($D790="","",$D790)</f>
        <v>27</v>
      </c>
      <c r="DK792" s="466"/>
    </row>
    <row r="793" spans="1:115" ht="14.5" customHeight="1" x14ac:dyDescent="0.2">
      <c r="A793" s="459">
        <f>$A790+1</f>
        <v>264</v>
      </c>
      <c r="B793" s="507" t="str">
        <f>IF(OR(C793="W",C794="W",C795="W",C793="1/2W",C794="1/2W",C795="1/2W",C793="1/2L",C794="1/2L",C795="1/2L"),"OK",IF(OR(C793="L",C794="L",C795="L"),"LOSS",IF(OR(C793="X",C794="X",C795="X"),"Anulado"," ")))</f>
        <v>OK</v>
      </c>
      <c r="C793" s="93" t="s">
        <v>55</v>
      </c>
      <c r="D793" s="468" t="str">
        <f>IF(G793="","",$D790)</f>
        <v>27</v>
      </c>
      <c r="E793" s="485" t="str">
        <f>IF(G793=""," ","– "&amp;COUNTIF(D$4:D795,$D793))</f>
        <v>– 11</v>
      </c>
      <c r="F793" s="509" t="str">
        <f ca="1">IF(G793="","",IF(OR(AND($C793&lt;&gt;" ",$C794=" "),AND($C794&lt;&gt;" ",$C793=" "),AND(L795&gt;0,OR(AND($C795&lt;&gt;" ",OR($C793=" ",$C794=" ")),AND($C795=" ",OR($C793&lt;&gt;" ",$C794&lt;&gt;" "))))),IF(SUM(F$4:F792)=0,1,LARGE(F$4:F792,1)+1),IF(MONTH(G793)=MONTH(TODAY()),IF(AND(DAY(G793)&lt;DAY(TODAY()),$B793=" "),IF(SUM(F$4:F792)=0,1,LARGE(F$4:F792,1)+1),IF($B793=" ",IF(AND(DAY(G793)=DAY(TODAY()),HOUR(G793)&lt;=HOUR(NOW())+1),IF(AND(HOUR(G793)+2&lt;=HOUR(NOW()),DAY(G793)&lt;=DAY(TODAY()),MINUTE(G793)&lt;=MINUTE(NOW())),IF(SUM(F$4:F792)=0,1,LARGE(F$4:F792,1)+1),IF(OR(MINUTE(G793)&lt;=MINUTE(NOW()),HOUR(G793)&lt;=HOUR(NOW())),"!!!","")),""),"")),"")))</f>
        <v/>
      </c>
      <c r="G793" s="482">
        <f>IF(H793="","",_xlfn.XLOOKUP(H793,$H$4:H792,$G$4:G792,""))</f>
        <v>45012.65625</v>
      </c>
      <c r="H793" s="475" t="s">
        <v>269</v>
      </c>
      <c r="I793" s="94" t="s">
        <v>76</v>
      </c>
      <c r="J793" s="95">
        <v>-5.5</v>
      </c>
      <c r="K793" s="96" t="s">
        <v>40</v>
      </c>
      <c r="L793" s="97">
        <v>1.86</v>
      </c>
      <c r="M793" s="98"/>
      <c r="N793" s="478">
        <v>0.1</v>
      </c>
      <c r="O793" s="99">
        <f>IF(OR(AE793="",AE794=""),"",ROUND(IF(L795&gt;0,IF(M793&gt;0,M793,IF(M794&gt;0,ROUND((M794*AE793)/AE794,IF(N793=0,2,IF(N793=0.1,1,0))),ROUND((M795*AE793)/AE795,IF(N793=0,2,IF(N793=0.1,1,0))))),IF(M793&gt;0,M793,ROUND((M794*AE793)/AE794,IF(N793=0,2,IF(N793=0.1,1,0))))),2))</f>
        <v>4.5999999999999996</v>
      </c>
      <c r="P793" s="100">
        <f>IF(OR(L793="",O793=""),"",IF($C793="1/2W",O793/2+O793/2*L793,IF($C793="1/2L",O793/2,IF(I793="Lay",(O793*(L793/(L793-1))-O793)*(1-_xlfn.XLOOKUP(K793,'Fevereiro 2023 - Valor Real'!A3:A15,'Fevereiro 2023 - Valor Real'!C3:C15,0))+O793,(O793*L793-O793)*(1-_xlfn.XLOOKUP(K793,'Fevereiro 2023 - Valor Real'!A3:A15,'Fevereiro 2023 - Valor Real'!C3:C15,0))+O793))))</f>
        <v>8.5559999999999992</v>
      </c>
      <c r="Q793" s="101">
        <f>IF(K793="","",IF(_xlfn.XLOOKUP(K793,K$4:K792,$DJ$4:DJ792,0,,-1)=DJ793,_xlfn.XLOOKUP(K793,K$4:K792,Q$4:Q792,1,,-1)+1,1))</f>
        <v>10</v>
      </c>
      <c r="R793" s="102">
        <f>IF(K793="","",_xlfn.XLOOKUP(K793,K$4:K792,R$4:R792,0,,-1)+IF($C793=" ",1,0))</f>
        <v>0</v>
      </c>
      <c r="S793" s="474">
        <f>IF($B793="Anulado",0,ROUND(IF(OR($B793="LOSS",$B793="OK"),IF(OR($C793="W",$C793="1/2W",$C793="1/2L"),P793-O793,IF($C793="L",-O793,0))+IF(OR($C794="W",$C794="1/2W",$C794="1/2L"),P794-O794,IF($C794="L",-O794,0))+IF(OR($C795="W",$C795="1/2W",$C795="1/2L"),P795-O795,IF($C795="L",-O795,0)),IF(AND(OR($C793="W",$C793="1/2W",$C793="1/2L"),C794="W"),P793+P794-SUM(O793:O795)+_xlfn.XLOOKUP("X",C793:C795,O793:O795,0),IF(AND(C793=TRUE,C795="W"),P793+P795-SUM(O793:O795),IF(AND(C794="W",C795="W"),P794+P795-SUM(O793:O795)+_xlfn.XLOOKUP("X",C793:C795,O793:O795,0),IF(L795&gt;0,IF(OR($C793="W",$C793="1/2W",$C793="1/2L"),P793-SUM(O793:O795)+_xlfn.XLOOKUP("X",C793:C795,O793:O795,0),IF(OR($C793="W",$C793="1/2W",$C793="1/2L"),P794-SUM(O793:O795)+_xlfn.XLOOKUP("X",C793:C795,O793:O795,0),IF(OR($C793="W",$C793="1/2W",$C793="1/2L"),P795-SUM(O793:O795)+_xlfn.XLOOKUP("X",C793:C795,O793:O795,0),IF(SUM(P793:P795)/3-SUM(O793:O795)+_xlfn.XLOOKUP("X",C793:C795,O793:O795,0)&gt;0,SUM(P793:P795)/3-SUM(O793:O795)+_xlfn.XLOOKUP("X",C793:C795,O793:O795,0),LARGE(P793:P795,1)-SUM(O793:O795))))),IF(OR($C793="W",$C793="1/2W",$C793="1/2L"),P793-SUM(O793:O794)+_xlfn.XLOOKUP("X",C793:C795,O793:O795,0),IF(OR($C793="W",$C793="1/2W",$C793="1/2L"),P794-SUM(O793:O794)+_xlfn.XLOOKUP("X",C793:C795,O793:O795,0),SUM(P793:P794)/2-SUM(O793:O794)+_xlfn.XLOOKUP("X",C793:C795,O793:O795,0)))))))),2))</f>
        <v>0.63</v>
      </c>
      <c r="T793" s="458">
        <f>IF(S793=0,0,S793/SUM(O793:O795))</f>
        <v>7.9847908745247151E-2</v>
      </c>
      <c r="U793" s="470">
        <f>IF($D793=$D790,IF(OR($B793="LOSS",$B793="OK",$B793="Anulada"),S793,0)+U790,IF(OR($B793="LOSS",$B793="OK",$B793="Anulada"),S793,0))</f>
        <v>30.259999999999998</v>
      </c>
      <c r="V793" s="470">
        <f>IF($D793="",0,IF($D793=$D790,IF($B793=" ",IF(I795="",IF(OR(AND(I793="DNB1",I794="DNB2"),AND(OR(I793="DNB1",I793="DNB2"),J794=0),AND(OR(I794="DNB1",I794="DNB2"),J793=0),AND(I793="DNB2",I794="DNB1"),AND(IF(J793=0,(J793+1)/ROUND(J793+1,0),J793/ROUND(J793,0))=1,IF(J794=0,(J794+1)/ROUND(IF(J794="",0,J794)+1,0),IF(J794="",0,J794)/ROUND(IF(J794="",1,J794),0))=1,OR(J793&lt;&gt;""),J794&lt;&gt;"")),0,IF(S793&lt;0,IF(I795="",SMALL(P793:P794,1)-SUM(O793:O794),0),SMALL(P793:P794,1)-SUM(O793:O794))),IF(S793&lt;0,IF(I795="",SMALL(P793:P795,1)-SUM(O793:O795),0),LARGE(P793:P795,1)-SUM(O793:O795))),S793)+V790,IF(I795="",IF(OR(AND(I793="DNB1",I794="DNB2"),AND(OR(I793="DNB1",I793="DNB2"),J794=0),AND(OR(I794="DNB1",I794="DNB2"),J793=0),AND(I793="DNB2",I794="DNB1"),AND(IF(J793=0,(J793+1)/ROUND(J793+1,0),J793/ROUND(J793,0))=1,IF(J794=0,(IF(J794="",0,J794)+1)/ROUND(IF(J794="",0,J794)+1,0),IF(J794="",0,J794)/ROUND(IF(J794="",0,J794)+1,0))=1,OR(J793&lt;&gt;""),J794&lt;&gt;"")),0,IF(S793&lt;0,IF(I795="",SMALL(P793:P794,1)-SUM(O793:O794),0),SMALL(P793:P795,1)-SUM(O793:O795))),IF(S793&lt;0,IF(I795="",SMALL(P793:P795,1)-SUM(O793:O795),0),LARGE(P793:P795,1)-SUM(O793:O795)))))</f>
        <v>30.259999999999994</v>
      </c>
      <c r="W793" s="470">
        <f>IF($D793=$D790,IF(S793&lt;0,IF(I795="",S793,0),S793)+W790,S793)</f>
        <v>30.259999999999998</v>
      </c>
      <c r="X793" s="480" t="str">
        <f>IF(OR(SUM(R793:R795)=0,V793=W793),ROUND(IF(W793=0,0,W793/Y793)*100,2)&amp;"%",ROUND(IF(V793=0,0,V793/Y793)*100,2)&amp;"% a "&amp;ROUND(IF(W793=0,0,W793/Y793)*100,2)&amp;"%")</f>
        <v>6,85%</v>
      </c>
      <c r="Y793" s="471">
        <f>IF($D793=$D790,Y790+SUM(O793:O795),SUM(O793:O795))</f>
        <v>441.46999999999997</v>
      </c>
      <c r="Z793" s="470">
        <f>IF($B793=" ",SUM(O793:O795),0)+Z790</f>
        <v>0</v>
      </c>
      <c r="AA793" s="470">
        <f>IF(G793="","",IF($B793="Anulado",LARGE(P793:P795,1)-SUM(O793:O795)+AA790,AA790))</f>
        <v>13.381099999999991</v>
      </c>
      <c r="AB793" s="470">
        <f>IF($D793="","",AB790+S793)</f>
        <v>877.95000000000061</v>
      </c>
      <c r="AC793" s="472">
        <f ca="1">IF($D793="","",IF($B793=" ",IF(DAY(G793)=DAY(TODAY()),1+AC790,0+AC790),0+AC790))</f>
        <v>0</v>
      </c>
      <c r="AD793" s="103">
        <f>(((L794/(L794-1)-1)*(1-_xlfn.XLOOKUP(K794,'Fevereiro 2023 - Valor Real'!A3:A15,'Fevereiro 2023 - Valor Real'!C3:C15,0))+1))/(((L793-1)*(1-_xlfn.XLOOKUP(K793,'Fevereiro 2023 - Valor Real'!A3:A15,'Fevereiro 2023 - Valor Real'!C3:C15,0))+1)+((L794/(L794-1)-1)*(1-_xlfn.XLOOKUP(K794,'Fevereiro 2023 - Valor Real'!A3:A15,'Fevereiro 2023 - Valor Real'!C3:C15,0))+1))</f>
        <v>0.46688538774921584</v>
      </c>
      <c r="AE793" s="104">
        <f>IF(L793="","",IF(L795&gt;0,(SUM(((L793-1)*(1-_xlfn.XLOOKUP(K793,'Fevereiro 2023 - Valor Real'!A3:A15,'Fevereiro 2023 - Valor Real'!C3:C15,0))+1),((L794-1)*(1-_xlfn.XLOOKUP(K794,'Fevereiro 2023 - Valor Real'!A3:A15,'Fevereiro 2023 - Valor Real'!C3:C15,0))+1),((L795-1)*(1-_xlfn.XLOOKUP(K795,'Fevereiro 2023 - Valor Real'!A3:A15,'Fevereiro 2023 - Valor Real'!C3:C15,0))+1))/((L793-1)*(1-_xlfn.XLOOKUP(K793,'Fevereiro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Real'!C3:C15,0))+1))/((L793-1)*(1-_xlfn.XLOOKUP(K793,'Fevereiro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Real'!C3:C15,0))+1))/((L794-1)*(1-_xlfn.XLOOKUP(K794,'Fevereiro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Real'!C3:C15,0))+1))/((L795-1)*(1-_xlfn.XLOOKUP(K795,'Fevereiro 2023 - Valor Real'!A3:A15,'Fevereiro 2023 - Valor Real'!C3:C15,0))+1)),IF(I793="Lay",IF(I794="Lay",((L794/(L794-1)-1)*(1-_xlfn.XLOOKUP(K794,'Fevereiro 2023 - Valor Real'!A3:A15,'Fevereiro 2023 - Valor Real'!C3:C15,0))+1)/(((L794/(L794-1)-1)*(1-_xlfn.XLOOKUP(K794,'Fevereiro 2023 - Valor Real'!A3:A15,'Fevereiro 2023 - Valor Real'!C3:C15,0))+1)+((L793/(L793-1)-1)*(1-_xlfn.XLOOKUP(K793,'Fevereiro 2023 - Valor Real'!A3:A15,'Fevereiro 2023 - Valor Real'!C3:C15,0))+1)),((L794-1)*(1-_xlfn.XLOOKUP(K794,'Fevereiro 2023 - Valor Real'!A3:A15,'Fevereiro 2023 - Valor Real'!C3:C15,0))+1)/(((L794-1)*(1-_xlfn.XLOOKUP(K794,'Fevereiro 2023 - Valor Real'!A3:A15,'Fevereiro 2023 - Valor Real'!C3:C15,0))+1)+((L793/(L793-1)-1)*(1-_xlfn.XLOOKUP(K793,'Fevereiro 2023 - Valor Real'!A3:A15,'Fevereiro 2023 - Valor Real'!C3:C15,0))+1))),IF(I794="Lay",(((L794/(L794-1)-1)*(1-_xlfn.XLOOKUP(K794,'Fevereiro 2023 - Valor Real'!A3:A15,'Fevereiro 2023 - Valor Real'!C3:C15,0))+1))/(((L793-1)*(1-_xlfn.XLOOKUP(K793,'Fevereiro 2023 - Valor Real'!A3:A15,'Fevereiro 2023 - Valor Real'!C3:C15,0))+1)+((L794/(L794-1)-1)*(1-_xlfn.XLOOKUP(K794,'Fevereiro 2023 - Valor Real'!A3:A15,'Fevereiro 2023 - Valor Real'!C3:C15,0))+1)),((L794-1)*(1-_xlfn.XLOOKUP(K794,'Fevereiro 2023 - Valor Real'!A3:A15,'Fevereiro 2023 - Valor Real'!C3:C15,0))+1)/(((L794-1)*(1-_xlfn.XLOOKUP(K794,'Fevereiro 2023 - Valor Real'!A3:A15,'Fevereiro 2023 - Valor Real'!C3:C15,0))+1)+((L793-1)*(1-_xlfn.XLOOKUP(K793,'Fevereiro 2023 - Valor Real'!A3:A15,'Fevereiro 2023 - Valor Real'!C3:C15,0))+1))))))</f>
        <v>0.58202247191011225</v>
      </c>
      <c r="AF793" s="105">
        <f t="shared" si="1586"/>
        <v>0</v>
      </c>
      <c r="AG793" s="106">
        <f t="shared" si="1586"/>
        <v>0</v>
      </c>
      <c r="AH793" s="106">
        <f t="shared" si="1586"/>
        <v>0</v>
      </c>
      <c r="AI793" s="106">
        <f t="shared" si="1586"/>
        <v>0</v>
      </c>
      <c r="AJ793" s="106">
        <f t="shared" si="1586"/>
        <v>-4.5999999999999996</v>
      </c>
      <c r="AK793" s="106">
        <f t="shared" si="1586"/>
        <v>0</v>
      </c>
      <c r="AL793" s="106">
        <f t="shared" si="1586"/>
        <v>0</v>
      </c>
      <c r="AM793" s="106">
        <f t="shared" si="1586"/>
        <v>0</v>
      </c>
      <c r="AN793" s="106">
        <f t="shared" si="1586"/>
        <v>0</v>
      </c>
      <c r="AO793" s="106">
        <f t="shared" si="1586"/>
        <v>0</v>
      </c>
      <c r="AP793" s="106">
        <f t="shared" si="1586"/>
        <v>0</v>
      </c>
      <c r="AQ793" s="106">
        <f t="shared" si="1586"/>
        <v>0</v>
      </c>
      <c r="AR793" s="107">
        <f t="shared" si="1586"/>
        <v>0</v>
      </c>
      <c r="AS793" s="105">
        <f t="shared" ref="AS793:BE793" si="1600">IF(AND($B793=" ",$K793=AS$3),$O793,0)</f>
        <v>0</v>
      </c>
      <c r="AT793" s="106">
        <f t="shared" si="1600"/>
        <v>0</v>
      </c>
      <c r="AU793" s="106">
        <f t="shared" si="1600"/>
        <v>0</v>
      </c>
      <c r="AV793" s="106">
        <f t="shared" si="1600"/>
        <v>0</v>
      </c>
      <c r="AW793" s="106">
        <f t="shared" si="1600"/>
        <v>0</v>
      </c>
      <c r="AX793" s="106">
        <f t="shared" si="1600"/>
        <v>0</v>
      </c>
      <c r="AY793" s="108">
        <f t="shared" si="1600"/>
        <v>0</v>
      </c>
      <c r="AZ793" s="109">
        <f t="shared" si="1600"/>
        <v>0</v>
      </c>
      <c r="BA793" s="109">
        <f t="shared" si="1600"/>
        <v>0</v>
      </c>
      <c r="BB793" s="109">
        <f t="shared" si="1600"/>
        <v>0</v>
      </c>
      <c r="BC793" s="110">
        <f t="shared" si="1600"/>
        <v>0</v>
      </c>
      <c r="BD793" s="106">
        <f t="shared" si="1600"/>
        <v>0</v>
      </c>
      <c r="BE793" s="107">
        <f t="shared" si="1600"/>
        <v>0</v>
      </c>
      <c r="BF793" s="111">
        <f t="shared" si="1588"/>
        <v>0</v>
      </c>
      <c r="BG793" s="106">
        <f t="shared" si="1588"/>
        <v>0</v>
      </c>
      <c r="BH793" s="106">
        <f t="shared" si="1588"/>
        <v>0</v>
      </c>
      <c r="BI793" s="106">
        <f t="shared" si="1588"/>
        <v>0</v>
      </c>
      <c r="BJ793" s="106">
        <f t="shared" si="1588"/>
        <v>4.5999999999999996</v>
      </c>
      <c r="BK793" s="106">
        <f t="shared" si="1588"/>
        <v>0</v>
      </c>
      <c r="BL793" s="106">
        <f t="shared" si="1588"/>
        <v>0</v>
      </c>
      <c r="BM793" s="108">
        <f t="shared" si="1588"/>
        <v>0</v>
      </c>
      <c r="BN793" s="109">
        <f t="shared" si="1588"/>
        <v>0</v>
      </c>
      <c r="BO793" s="109">
        <f t="shared" si="1588"/>
        <v>0</v>
      </c>
      <c r="BP793" s="109">
        <f t="shared" si="1588"/>
        <v>0</v>
      </c>
      <c r="BQ793" s="110">
        <f t="shared" si="1588"/>
        <v>0</v>
      </c>
      <c r="BR793" s="107">
        <f t="shared" si="1588"/>
        <v>0</v>
      </c>
      <c r="BS793" s="463">
        <f>IF($B793="LOSS",IF(AND($K793=BS$3,$C793="L"),-$O793,0)+IF(AND($K794=BS$3,$C794="L"),-$O794,0)+IF(AND($K795=BS$3,$C795="L"),-$O795,0),IF(OR(AND($K793=BS$3,OR($C793="W",$C793="1/2W")),AND($K794=BS$3,OR($C794="W",$C794="1/2W")),AND($K795=BS$3,OR($C795="W",$C795="1/2W"))),$S793,0))</f>
        <v>0</v>
      </c>
      <c r="BT793" s="462">
        <f>IF($B793="LOSS",IF(AND($K793=BT$3,$C793="L"),-$O793,0)+IF(AND($K794=BT$3,$C794="L"),-$O794,0)+IF(AND($K794=BT$3,$C795="L"),-$O795,0),IF(OR(AND($K794=BT$3,OR($C793="W",$C793="1/2W")),AND($K794=BT$3,OR($C794="W",$C794="1/2W")),AND($K794=BT$3,OR($C795="W",$C795="1/2W"))),$S793,0))</f>
        <v>0</v>
      </c>
      <c r="BU793" s="462">
        <f>IF($B793="LOSS",IF(AND($K793=BU$3,$C793="L"),-$O793,0)+IF(AND($K794=BU$3,$C794="L"),-$O794,0)+IF(AND($K794=BU$3,$C795="L"),-$O795,0),IF(OR(AND($K794=BU$3,OR($C793="W",$C793="1/2W")),AND($K794=BU$3,OR($C794="W",$C794="1/2W")),AND($K794=BU$3,OR($C795="W",$C795="1/2W"))),$S793,0))</f>
        <v>0</v>
      </c>
      <c r="BV793" s="462">
        <f t="shared" ref="BV793:CE793" si="1601">IF($B793="LOSS",IF(AND($K793=BV$3,$C793="L"),-$O793,0)+IF(AND($K794=BV$3,$C794="L"),-$O794,0)+IF(AND($K795=BV$3,$C795="L"),-$O795,0),IF(OR(AND($K793=BV$3,OR($C793="W",$C793="1/2W")),AND($K794=BV$3,OR($C794="W",$C794="1/2W")),AND($K795=BV$3,OR($C795="W",$C795="1/2W"))),$S793,0))</f>
        <v>0</v>
      </c>
      <c r="BW793" s="462">
        <f t="shared" si="1601"/>
        <v>0</v>
      </c>
      <c r="BX793" s="462">
        <f t="shared" si="1601"/>
        <v>0</v>
      </c>
      <c r="BY793" s="462">
        <f t="shared" si="1601"/>
        <v>0</v>
      </c>
      <c r="BZ793" s="460">
        <f t="shared" si="1601"/>
        <v>0</v>
      </c>
      <c r="CA793" s="460">
        <f t="shared" si="1601"/>
        <v>0</v>
      </c>
      <c r="CB793" s="460">
        <f t="shared" si="1601"/>
        <v>0</v>
      </c>
      <c r="CC793" s="460">
        <f t="shared" si="1601"/>
        <v>0</v>
      </c>
      <c r="CD793" s="473">
        <f t="shared" si="1601"/>
        <v>0.63</v>
      </c>
      <c r="CE793" s="479">
        <f t="shared" si="1601"/>
        <v>0</v>
      </c>
      <c r="CF793" s="113">
        <f t="shared" si="1540"/>
        <v>0</v>
      </c>
      <c r="CG793" s="114">
        <f t="shared" si="1541"/>
        <v>0</v>
      </c>
      <c r="CH793" s="114">
        <f t="shared" si="1542"/>
        <v>0</v>
      </c>
      <c r="CI793" s="114">
        <f t="shared" si="1543"/>
        <v>0</v>
      </c>
      <c r="CJ793" s="114">
        <f t="shared" si="1544"/>
        <v>0</v>
      </c>
      <c r="CK793" s="114">
        <f t="shared" si="1545"/>
        <v>0</v>
      </c>
      <c r="CL793" s="114">
        <f t="shared" si="1546"/>
        <v>0</v>
      </c>
      <c r="CM793" s="114">
        <f t="shared" si="1547"/>
        <v>0</v>
      </c>
      <c r="CN793" s="114">
        <f t="shared" si="1548"/>
        <v>0</v>
      </c>
      <c r="CO793" s="114">
        <f t="shared" si="1549"/>
        <v>1</v>
      </c>
      <c r="CP793" s="114">
        <f t="shared" si="1550"/>
        <v>0</v>
      </c>
      <c r="CQ793" s="114">
        <f t="shared" si="1551"/>
        <v>0</v>
      </c>
      <c r="CR793" s="114">
        <f t="shared" si="1552"/>
        <v>0</v>
      </c>
      <c r="CS793" s="114">
        <f t="shared" si="1553"/>
        <v>0</v>
      </c>
      <c r="CT793" s="115">
        <f t="shared" si="1554"/>
        <v>0</v>
      </c>
      <c r="CU793" s="116">
        <f t="shared" si="1555"/>
        <v>0</v>
      </c>
      <c r="CV793" s="116">
        <f t="shared" si="1556"/>
        <v>0</v>
      </c>
      <c r="CW793" s="116">
        <f t="shared" si="1557"/>
        <v>0</v>
      </c>
      <c r="CX793" s="116">
        <f t="shared" si="1558"/>
        <v>0</v>
      </c>
      <c r="CY793" s="116">
        <f t="shared" si="1559"/>
        <v>0</v>
      </c>
      <c r="CZ793" s="116">
        <f t="shared" si="1560"/>
        <v>0</v>
      </c>
      <c r="DA793" s="116">
        <f t="shared" si="1561"/>
        <v>0</v>
      </c>
      <c r="DB793" s="116">
        <f t="shared" si="1562"/>
        <v>0</v>
      </c>
      <c r="DC793" s="116">
        <f t="shared" si="1563"/>
        <v>0</v>
      </c>
      <c r="DD793" s="116">
        <f t="shared" si="1564"/>
        <v>0</v>
      </c>
      <c r="DE793" s="117">
        <f t="shared" si="1565"/>
        <v>0</v>
      </c>
      <c r="DF793" s="118">
        <f t="shared" si="1567"/>
        <v>44</v>
      </c>
      <c r="DG793" s="106">
        <f t="shared" si="1568"/>
        <v>58.567999999999991</v>
      </c>
      <c r="DH793" s="116">
        <f t="shared" si="1569"/>
        <v>16</v>
      </c>
      <c r="DI793" s="106">
        <f t="shared" si="1570"/>
        <v>68.699999999999989</v>
      </c>
      <c r="DJ793" s="201" t="str">
        <f>IF($D793="","",$D793)</f>
        <v>27</v>
      </c>
      <c r="DK793" s="465">
        <f>IF(AND($B793=" ",$D793&lt;&gt;""),1,0)</f>
        <v>0</v>
      </c>
    </row>
    <row r="794" spans="1:115" ht="14.5" customHeight="1" x14ac:dyDescent="0.2">
      <c r="A794" s="389"/>
      <c r="B794" s="456"/>
      <c r="C794" s="120" t="s">
        <v>54</v>
      </c>
      <c r="D794" s="374"/>
      <c r="E794" s="386"/>
      <c r="F794" s="377"/>
      <c r="G794" s="483"/>
      <c r="H794" s="476"/>
      <c r="I794" s="121" t="s">
        <v>66</v>
      </c>
      <c r="J794" s="122">
        <v>6</v>
      </c>
      <c r="K794" s="123" t="s">
        <v>47</v>
      </c>
      <c r="L794" s="124">
        <v>2.59</v>
      </c>
      <c r="M794" s="125">
        <v>3.29</v>
      </c>
      <c r="N794" s="406"/>
      <c r="O794" s="126">
        <f>IF(OR(AE793="",AE794=""),"",ROUND(IF(L795&gt;0,IF(M794&gt;0,M794,IF(M793&gt;0,IF(N793=TRUE,ROUND((M793*AE794)/AE793,0),(M793*AE794)/AE793),IF(M794&gt;0,ROUND(M794,IF(N793=0,2,IF(N793=0.1,1,0))),IF(M795&gt;0,ROUND(O795*AE794/AE795,IF(N793=0,2,IF(N793=0.1,1,0))),0)))),IF(M794&gt;0,M794,ROUND((M793*AE794)/AE793,IF(N793=0,2,IF(N793=0.1,1,0))))),2))</f>
        <v>3.29</v>
      </c>
      <c r="P794" s="127">
        <f>IF(OR(L794="",O794=""),"",IF($C794="1/2W",O794/2+O794/2*L794,IF($C794="1/2L",O794/2,IF(I794="Lay",((O794*(L794/(L794-1)))-O794)*(1-_xlfn.XLOOKUP(K794,'Fevereiro 2023 - Valor Real'!A3:A15,'Fevereiro 2023 - Valor Real'!C3:C15,0))+O794,(O794*L794-O794)*(1-_xlfn.XLOOKUP(K794,'Fevereiro 2023 - Valor Real'!A3:A15,'Fevereiro 2023 - Valor Real'!C3:C15,0))+O794))))</f>
        <v>8.5210999999999988</v>
      </c>
      <c r="Q794" s="128">
        <f>IF(K794="","",IF(_xlfn.XLOOKUP(K794,K$4:K793,$DJ$4:DJ793,0,,-1)=DJ794,_xlfn.XLOOKUP(K794,K$4:K793,Q$4:Q793,1,,-1)+1,1))</f>
        <v>2</v>
      </c>
      <c r="R794" s="129">
        <f>IF(K794="","",_xlfn.XLOOKUP(K794,K$4:K793,R$4:R793,0,,-1)+IF($C794=" ",1,0))</f>
        <v>0</v>
      </c>
      <c r="S794" s="403"/>
      <c r="T794" s="380"/>
      <c r="U794" s="380"/>
      <c r="V794" s="481"/>
      <c r="W794" s="380"/>
      <c r="X794" s="452"/>
      <c r="Y794" s="383"/>
      <c r="Z794" s="384"/>
      <c r="AA794" s="384"/>
      <c r="AB794" s="384"/>
      <c r="AC794" s="384"/>
      <c r="AD794" s="130">
        <f>(((L794/(L794-1)-1)*(1-_xlfn.XLOOKUP(K794,'Fevereiro 2023 - Valor Real'!A3:A15,'Fevereiro 2023 - Valor Real'!C3:C15,0))+1))</f>
        <v>1.628930817610063</v>
      </c>
      <c r="AE794" s="131">
        <f>IF(L794="","",IF(L795&gt;0,(SUM(((L793-1)*(1-_xlfn.XLOOKUP(K793,'Fevereiro 2023 - Valor Real'!A3:A15,'Fevereiro 2023 - Valor Real'!C3:C15,0))+1),((L794-1)*(1-_xlfn.XLOOKUP(K794,'Fevereiro 2023 - Valor Real'!A3:A15,'Fevereiro 2023 - Valor Real'!C3:C15,0))+1),((L795-1)*(1-_xlfn.XLOOKUP(K795,'Fevereiro 2023 - Valor Real'!A3:A15,'Fevereiro 2023 - Valor Real'!C3:C15,0))+1))/((L794-1)*(1-_xlfn.XLOOKUP(K794,'Fevereiro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Real'!C3:C15,0))+1))/((L793-1)*(1-_xlfn.XLOOKUP(K793,'Fevereiro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Real'!C3:C15,0))+1))/((L794-1)*(1-_xlfn.XLOOKUP(K794,'Fevereiro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Real'!C3:C15,0))+1))/((L795-1)*(1-_xlfn.XLOOKUP(K795,'Fevereiro 2023 - Valor Real'!A3:A15,'Fevereiro 2023 - Valor Real'!C3:C15,0))+1)),IF(I794="Lay",IF(I793="Lay",((L793/(L793-1)-1)*(1-_xlfn.XLOOKUP(K793,'Fevereiro 2023 - Valor Real'!A3:A15,'Fevereiro 2023 - Valor Real'!C3:C15,0))+1)/(((L793/(L793-1)-1)*(1-_xlfn.XLOOKUP(K793,'Fevereiro 2023 - Valor Real'!A3:A15,'Fevereiro 2023 - Valor Real'!C3:C15,0))+1)+((L794/(L794-1)-1)*(1-_xlfn.XLOOKUP(K794,'Fevereiro 2023 - Valor Real'!A3:A15,'Fevereiro 2023 - Valor Real'!C3:C15,0))+1)),((L793-1)*(1-_xlfn.XLOOKUP(K793,'Fevereiro 2023 - Valor Real'!A3:A15,'Fevereiro 2023 - Valor Real'!C3:C15,0))+1)/(((L793-1)*(1-_xlfn.XLOOKUP(K793,'Fevereiro 2023 - Valor Real'!A3:A15,'Fevereiro 2023 - Valor Real'!C3:C15,0))+1)+((L794/(L794-1)-1)*(1-_xlfn.XLOOKUP(K794,'Fevereiro 2023 - Valor Real'!A3:A15,'Fevereiro 2023 - Valor Real'!C3:C15,0))+1))),IF(I793="Lay",((L793/(L793-1)-1)*(1-_xlfn.XLOOKUP(K793,'Fevereiro 2023 - Valor Real'!A3:A15,'Fevereiro 2023 - Valor Real'!C3:C15,0))+1)/((((L793/(L793-1)-1)*(1-_xlfn.XLOOKUP(K793,'Fevereiro 2023 - Valor Real'!A3:A15,'Fevereiro 2023 - Valor Real'!C3:C15,0))+1))+((L794-1)*(1-_xlfn.XLOOKUP(K794,'Fevereiro 2023 - Valor Real'!A3:A15,'Fevereiro 2023 - Valor Real'!C3:C15,0))+1)),((L793-1)*(1-_xlfn.XLOOKUP(K793,'Fevereiro 2023 - Valor Real'!A3:A15,'Fevereiro 2023 - Valor Real'!C3:C15,0))+1)/(((L793-1)*(1-_xlfn.XLOOKUP(K793,'Fevereiro 2023 - Valor Real'!A3:A15,'Fevereiro 2023 - Valor Real'!C3:C15,0))+1)+((L794-1)*(1-_xlfn.XLOOKUP(K794,'Fevereiro 2023 - Valor Real'!A3:A15,'Fevereiro 2023 - Valor Real'!C3:C15,0))+1))))))</f>
        <v>0.41797752808988764</v>
      </c>
      <c r="AF794" s="105">
        <f t="shared" ref="AF794:AR803" si="1602">IF($K794=AF$3,ROUND(IF(OR($C794="W",$C794="1/2W",$C794="1/2L"),$P794-$O794,IF($C794="X",0,-$O794)),2),0)</f>
        <v>0</v>
      </c>
      <c r="AG794" s="106">
        <f t="shared" si="1602"/>
        <v>0</v>
      </c>
      <c r="AH794" s="106">
        <f t="shared" si="1602"/>
        <v>0</v>
      </c>
      <c r="AI794" s="106">
        <f t="shared" si="1602"/>
        <v>0</v>
      </c>
      <c r="AJ794" s="106">
        <f t="shared" si="1602"/>
        <v>0</v>
      </c>
      <c r="AK794" s="106">
        <f t="shared" si="1602"/>
        <v>0</v>
      </c>
      <c r="AL794" s="106">
        <f t="shared" si="1602"/>
        <v>0</v>
      </c>
      <c r="AM794" s="106">
        <f t="shared" si="1602"/>
        <v>0</v>
      </c>
      <c r="AN794" s="106">
        <f t="shared" si="1602"/>
        <v>0</v>
      </c>
      <c r="AO794" s="106">
        <f t="shared" si="1602"/>
        <v>0</v>
      </c>
      <c r="AP794" s="106">
        <f t="shared" si="1602"/>
        <v>0</v>
      </c>
      <c r="AQ794" s="106">
        <f t="shared" si="1602"/>
        <v>5.23</v>
      </c>
      <c r="AR794" s="107">
        <f t="shared" si="1602"/>
        <v>0</v>
      </c>
      <c r="AS794" s="105">
        <f>IF(AND($B793=" ",$K794=AS$3),$O794,0)</f>
        <v>0</v>
      </c>
      <c r="AT794" s="106">
        <f>IF(AND($B793=" ",K794=AT$3),$O794,0)</f>
        <v>0</v>
      </c>
      <c r="AU794" s="106">
        <f t="shared" ref="AU794:BE794" si="1603">IF(AND($B793=" ",$K794=AU$3),$O794,0)</f>
        <v>0</v>
      </c>
      <c r="AV794" s="106">
        <f t="shared" si="1603"/>
        <v>0</v>
      </c>
      <c r="AW794" s="106">
        <f t="shared" si="1603"/>
        <v>0</v>
      </c>
      <c r="AX794" s="106">
        <f t="shared" si="1603"/>
        <v>0</v>
      </c>
      <c r="AY794" s="108">
        <f t="shared" si="1603"/>
        <v>0</v>
      </c>
      <c r="AZ794" s="109">
        <f t="shared" si="1603"/>
        <v>0</v>
      </c>
      <c r="BA794" s="109">
        <f t="shared" si="1603"/>
        <v>0</v>
      </c>
      <c r="BB794" s="109">
        <f t="shared" si="1603"/>
        <v>0</v>
      </c>
      <c r="BC794" s="110">
        <f t="shared" si="1603"/>
        <v>0</v>
      </c>
      <c r="BD794" s="106">
        <f t="shared" si="1603"/>
        <v>0</v>
      </c>
      <c r="BE794" s="107">
        <f t="shared" si="1603"/>
        <v>0</v>
      </c>
      <c r="BF794" s="105">
        <f t="shared" ref="BF794:BR803" si="1604">IF($K794=BF$3,IF($C794="X",0,$O794),0)</f>
        <v>0</v>
      </c>
      <c r="BG794" s="106">
        <f t="shared" si="1604"/>
        <v>0</v>
      </c>
      <c r="BH794" s="106">
        <f t="shared" si="1604"/>
        <v>0</v>
      </c>
      <c r="BI794" s="106">
        <f t="shared" si="1604"/>
        <v>0</v>
      </c>
      <c r="BJ794" s="106">
        <f t="shared" si="1604"/>
        <v>0</v>
      </c>
      <c r="BK794" s="106">
        <f t="shared" si="1604"/>
        <v>0</v>
      </c>
      <c r="BL794" s="106">
        <f t="shared" si="1604"/>
        <v>0</v>
      </c>
      <c r="BM794" s="132">
        <f t="shared" si="1604"/>
        <v>0</v>
      </c>
      <c r="BN794" s="112">
        <f t="shared" si="1604"/>
        <v>0</v>
      </c>
      <c r="BO794" s="112">
        <f t="shared" si="1604"/>
        <v>0</v>
      </c>
      <c r="BP794" s="112">
        <f t="shared" si="1604"/>
        <v>0</v>
      </c>
      <c r="BQ794" s="110">
        <f t="shared" si="1604"/>
        <v>3.29</v>
      </c>
      <c r="BR794" s="107">
        <f t="shared" si="1604"/>
        <v>0</v>
      </c>
      <c r="BS794" s="464"/>
      <c r="BT794" s="461"/>
      <c r="BU794" s="392"/>
      <c r="BV794" s="461"/>
      <c r="BW794" s="392"/>
      <c r="BX794" s="392"/>
      <c r="BY794" s="392"/>
      <c r="BZ794" s="461"/>
      <c r="CA794" s="392"/>
      <c r="CB794" s="392"/>
      <c r="CC794" s="392"/>
      <c r="CD794" s="401"/>
      <c r="CE794" s="409"/>
      <c r="CF794" s="133">
        <f t="shared" si="1540"/>
        <v>0</v>
      </c>
      <c r="CG794" s="134">
        <f t="shared" si="1541"/>
        <v>0</v>
      </c>
      <c r="CH794" s="134">
        <f t="shared" si="1542"/>
        <v>0</v>
      </c>
      <c r="CI794" s="134">
        <f t="shared" si="1543"/>
        <v>0</v>
      </c>
      <c r="CJ794" s="134">
        <f t="shared" si="1544"/>
        <v>0</v>
      </c>
      <c r="CK794" s="134">
        <f t="shared" si="1545"/>
        <v>0</v>
      </c>
      <c r="CL794" s="134">
        <f t="shared" si="1546"/>
        <v>0</v>
      </c>
      <c r="CM794" s="134">
        <f t="shared" si="1547"/>
        <v>0</v>
      </c>
      <c r="CN794" s="134">
        <f t="shared" si="1548"/>
        <v>0</v>
      </c>
      <c r="CO794" s="134">
        <f t="shared" si="1549"/>
        <v>0</v>
      </c>
      <c r="CP794" s="134">
        <f t="shared" si="1550"/>
        <v>0</v>
      </c>
      <c r="CQ794" s="134">
        <f t="shared" si="1551"/>
        <v>0</v>
      </c>
      <c r="CR794" s="134">
        <f t="shared" si="1552"/>
        <v>0</v>
      </c>
      <c r="CS794" s="134">
        <f t="shared" si="1553"/>
        <v>0</v>
      </c>
      <c r="CT794" s="115">
        <f t="shared" si="1554"/>
        <v>0</v>
      </c>
      <c r="CU794" s="116">
        <f t="shared" si="1555"/>
        <v>0</v>
      </c>
      <c r="CV794" s="116">
        <f t="shared" si="1556"/>
        <v>0</v>
      </c>
      <c r="CW794" s="116">
        <f t="shared" si="1557"/>
        <v>0</v>
      </c>
      <c r="CX794" s="116">
        <f t="shared" si="1558"/>
        <v>0</v>
      </c>
      <c r="CY794" s="116">
        <f t="shared" si="1559"/>
        <v>0</v>
      </c>
      <c r="CZ794" s="116">
        <f t="shared" si="1560"/>
        <v>0</v>
      </c>
      <c r="DA794" s="116">
        <f t="shared" si="1561"/>
        <v>0</v>
      </c>
      <c r="DB794" s="116">
        <f t="shared" si="1562"/>
        <v>1</v>
      </c>
      <c r="DC794" s="116">
        <f t="shared" si="1563"/>
        <v>0</v>
      </c>
      <c r="DD794" s="116">
        <f t="shared" si="1564"/>
        <v>0</v>
      </c>
      <c r="DE794" s="117">
        <f t="shared" si="1565"/>
        <v>0</v>
      </c>
      <c r="DF794" s="118">
        <f t="shared" si="1567"/>
        <v>44</v>
      </c>
      <c r="DG794" s="106">
        <f t="shared" si="1568"/>
        <v>58.567999999999991</v>
      </c>
      <c r="DH794" s="116">
        <f t="shared" si="1569"/>
        <v>16</v>
      </c>
      <c r="DI794" s="106">
        <f t="shared" si="1570"/>
        <v>68.699999999999989</v>
      </c>
      <c r="DJ794" s="201" t="str">
        <f>IF($D793="","",$D793)</f>
        <v>27</v>
      </c>
      <c r="DK794" s="466"/>
    </row>
    <row r="795" spans="1:115" ht="14.5" customHeight="1" x14ac:dyDescent="0.2">
      <c r="A795" s="390"/>
      <c r="B795" s="457"/>
      <c r="C795" s="135" t="s">
        <v>53</v>
      </c>
      <c r="D795" s="375"/>
      <c r="E795" s="387"/>
      <c r="F795" s="378"/>
      <c r="G795" s="484"/>
      <c r="H795" s="477"/>
      <c r="I795" s="136"/>
      <c r="J795" s="137"/>
      <c r="K795" s="138"/>
      <c r="L795" s="139"/>
      <c r="M795" s="140"/>
      <c r="N795" s="407"/>
      <c r="O795" s="141" t="str">
        <f>IF(OR(AE793="",AE794=""),"",IF(L795&gt;0,ROUND(IF(M795&gt;0,M795,IF(M793&gt;0,ROUND((M793*AE795)/AE793,IF(N793=0,2,IF(N793=0.1,1,0))),IF(M794&gt;0,ROUND((M794*AE795)/AE794,IF(N793=0,2,IF(N793=0.1,1,0))),IF(M795&gt;0,M795,0)))),2),""))</f>
        <v/>
      </c>
      <c r="P795" s="142" t="str">
        <f>IF(I794="Lay",O794*(L794/(L794-1))-O794,IF(I793="Lay",O793*(L793/(L793-1))-O793,IF(OR(L795="",O795=""),"",IF($C795="1/2W",O795/2+O795/2*L795,IF($C795="1/2L",O795/2,(O795*L795-O795)*(1-_xlfn.XLOOKUP(K795,'Fevereiro 2023 - Valor Real'!A3:A15,'Fevereiro 2023 - Valor Real'!C3:C15,0))+O795)))))</f>
        <v/>
      </c>
      <c r="Q795" s="221" t="str">
        <f>IF(K795="","",IF(_xlfn.XLOOKUP(K795,K$4:K794,$DJ$4:DJ794,0,,-1)=DJ795,_xlfn.XLOOKUP(K795,K$4:K794,Q$4:Q794,1,,-1)+1,1))</f>
        <v/>
      </c>
      <c r="R795" s="144" t="str">
        <f>IF(K795="","",_xlfn.XLOOKUP(K795,K$4:K794,R$4:R794,0,,-1)+IF($C795=" ",1,0))</f>
        <v/>
      </c>
      <c r="S795" s="404"/>
      <c r="T795" s="378"/>
      <c r="U795" s="378"/>
      <c r="V795" s="404"/>
      <c r="W795" s="378"/>
      <c r="X795" s="453"/>
      <c r="Y795" s="383"/>
      <c r="Z795" s="384"/>
      <c r="AA795" s="384"/>
      <c r="AB795" s="384"/>
      <c r="AC795" s="384"/>
      <c r="AD795" s="145">
        <f>((L794/(L794-1)-1))</f>
        <v>0.62893081761006298</v>
      </c>
      <c r="AE795" s="146" t="str">
        <f>IF(L795="","",(SUM(((L793-1)*(1-_xlfn.XLOOKUP(K793,'Fevereiro 2023 - Valor Real'!A3:A15,'Fevereiro 2023 - Valor Real'!C3:C15,0))+1),((L794-1)*(1-_xlfn.XLOOKUP(K794,'Fevereiro 2023 - Valor Real'!A3:A15,'Fevereiro 2023 - Valor Real'!C3:C15,0))+1),((L795-1)*(1-_xlfn.XLOOKUP(K795,'Fevereiro 2023 - Valor Real'!A3:A15,'Fevereiro 2023 - Valor Real'!C3:C15,0))+1))/((L795-1)*(1-_xlfn.XLOOKUP(K795,'Fevereiro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Real'!C3:C15,0))+1))/((L793-1)*(1-_xlfn.XLOOKUP(K793,'Fevereiro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Real'!C3:C15,0))+1))/((L794-1)*(1-_xlfn.XLOOKUP(K794,'Fevereiro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Real'!C3:C15,0))+1))/((L795-1)*(1-_xlfn.XLOOKUP(K795,'Fevereiro 2023 - Valor Real'!A3:A15,'Fevereiro 2023 - Valor Real'!C3:C15,0))+1)))</f>
        <v/>
      </c>
      <c r="AF795" s="105">
        <f t="shared" si="1602"/>
        <v>0</v>
      </c>
      <c r="AG795" s="106">
        <f t="shared" si="1602"/>
        <v>0</v>
      </c>
      <c r="AH795" s="106">
        <f t="shared" si="1602"/>
        <v>0</v>
      </c>
      <c r="AI795" s="106">
        <f t="shared" si="1602"/>
        <v>0</v>
      </c>
      <c r="AJ795" s="106">
        <f t="shared" si="1602"/>
        <v>0</v>
      </c>
      <c r="AK795" s="106">
        <f t="shared" si="1602"/>
        <v>0</v>
      </c>
      <c r="AL795" s="106">
        <f t="shared" si="1602"/>
        <v>0</v>
      </c>
      <c r="AM795" s="106">
        <f t="shared" si="1602"/>
        <v>0</v>
      </c>
      <c r="AN795" s="106">
        <f t="shared" si="1602"/>
        <v>0</v>
      </c>
      <c r="AO795" s="106">
        <f t="shared" si="1602"/>
        <v>0</v>
      </c>
      <c r="AP795" s="106">
        <f t="shared" si="1602"/>
        <v>0</v>
      </c>
      <c r="AQ795" s="106">
        <f t="shared" si="1602"/>
        <v>0</v>
      </c>
      <c r="AR795" s="107">
        <f t="shared" si="1602"/>
        <v>0</v>
      </c>
      <c r="AS795" s="105">
        <f>IF(AND($B793=" ",$K795=AS$3),$O795,0)</f>
        <v>0</v>
      </c>
      <c r="AT795" s="106">
        <f>IF(AND($B793=" ",K795=AT$3),$O795,0)</f>
        <v>0</v>
      </c>
      <c r="AU795" s="106">
        <f t="shared" ref="AU795:BE795" si="1605">IF(AND($B793=" ",$K795=AU$3),$O795,0)</f>
        <v>0</v>
      </c>
      <c r="AV795" s="106">
        <f t="shared" si="1605"/>
        <v>0</v>
      </c>
      <c r="AW795" s="106">
        <f t="shared" si="1605"/>
        <v>0</v>
      </c>
      <c r="AX795" s="106">
        <f t="shared" si="1605"/>
        <v>0</v>
      </c>
      <c r="AY795" s="108">
        <f t="shared" si="1605"/>
        <v>0</v>
      </c>
      <c r="AZ795" s="109">
        <f t="shared" si="1605"/>
        <v>0</v>
      </c>
      <c r="BA795" s="109">
        <f t="shared" si="1605"/>
        <v>0</v>
      </c>
      <c r="BB795" s="109">
        <f t="shared" si="1605"/>
        <v>0</v>
      </c>
      <c r="BC795" s="110">
        <f t="shared" si="1605"/>
        <v>0</v>
      </c>
      <c r="BD795" s="106">
        <f t="shared" si="1605"/>
        <v>0</v>
      </c>
      <c r="BE795" s="107">
        <f t="shared" si="1605"/>
        <v>0</v>
      </c>
      <c r="BF795" s="105">
        <f t="shared" si="1604"/>
        <v>0</v>
      </c>
      <c r="BG795" s="106">
        <f t="shared" si="1604"/>
        <v>0</v>
      </c>
      <c r="BH795" s="106">
        <f t="shared" si="1604"/>
        <v>0</v>
      </c>
      <c r="BI795" s="106">
        <f t="shared" si="1604"/>
        <v>0</v>
      </c>
      <c r="BJ795" s="106">
        <f t="shared" si="1604"/>
        <v>0</v>
      </c>
      <c r="BK795" s="106">
        <f t="shared" si="1604"/>
        <v>0</v>
      </c>
      <c r="BL795" s="106">
        <f t="shared" si="1604"/>
        <v>0</v>
      </c>
      <c r="BM795" s="108">
        <f t="shared" si="1604"/>
        <v>0</v>
      </c>
      <c r="BN795" s="109">
        <f t="shared" si="1604"/>
        <v>0</v>
      </c>
      <c r="BO795" s="109">
        <f t="shared" si="1604"/>
        <v>0</v>
      </c>
      <c r="BP795" s="109">
        <f t="shared" si="1604"/>
        <v>0</v>
      </c>
      <c r="BQ795" s="110">
        <f t="shared" si="1604"/>
        <v>0</v>
      </c>
      <c r="BR795" s="107">
        <f t="shared" si="1604"/>
        <v>0</v>
      </c>
      <c r="BS795" s="464"/>
      <c r="BT795" s="461"/>
      <c r="BU795" s="392"/>
      <c r="BV795" s="461"/>
      <c r="BW795" s="392"/>
      <c r="BX795" s="392"/>
      <c r="BY795" s="392"/>
      <c r="BZ795" s="461"/>
      <c r="CA795" s="392"/>
      <c r="CB795" s="392"/>
      <c r="CC795" s="392"/>
      <c r="CD795" s="401"/>
      <c r="CE795" s="409"/>
      <c r="CF795" s="133">
        <f t="shared" si="1540"/>
        <v>0</v>
      </c>
      <c r="CG795" s="134">
        <f t="shared" si="1541"/>
        <v>0</v>
      </c>
      <c r="CH795" s="134">
        <f t="shared" si="1542"/>
        <v>0</v>
      </c>
      <c r="CI795" s="134">
        <f t="shared" si="1543"/>
        <v>0</v>
      </c>
      <c r="CJ795" s="134">
        <f t="shared" si="1544"/>
        <v>0</v>
      </c>
      <c r="CK795" s="134">
        <f t="shared" si="1545"/>
        <v>0</v>
      </c>
      <c r="CL795" s="134">
        <f t="shared" si="1546"/>
        <v>0</v>
      </c>
      <c r="CM795" s="134">
        <f t="shared" si="1547"/>
        <v>0</v>
      </c>
      <c r="CN795" s="134">
        <f t="shared" si="1548"/>
        <v>0</v>
      </c>
      <c r="CO795" s="134">
        <f t="shared" si="1549"/>
        <v>0</v>
      </c>
      <c r="CP795" s="134">
        <f t="shared" si="1550"/>
        <v>0</v>
      </c>
      <c r="CQ795" s="134">
        <f t="shared" si="1551"/>
        <v>0</v>
      </c>
      <c r="CR795" s="134">
        <f t="shared" si="1552"/>
        <v>0</v>
      </c>
      <c r="CS795" s="134">
        <f t="shared" si="1553"/>
        <v>0</v>
      </c>
      <c r="CT795" s="115">
        <f t="shared" si="1554"/>
        <v>0</v>
      </c>
      <c r="CU795" s="116">
        <f t="shared" si="1555"/>
        <v>0</v>
      </c>
      <c r="CV795" s="116">
        <f t="shared" si="1556"/>
        <v>0</v>
      </c>
      <c r="CW795" s="116">
        <f t="shared" si="1557"/>
        <v>0</v>
      </c>
      <c r="CX795" s="116">
        <f t="shared" si="1558"/>
        <v>0</v>
      </c>
      <c r="CY795" s="116">
        <f t="shared" si="1559"/>
        <v>0</v>
      </c>
      <c r="CZ795" s="116">
        <f t="shared" si="1560"/>
        <v>0</v>
      </c>
      <c r="DA795" s="116">
        <f t="shared" si="1561"/>
        <v>0</v>
      </c>
      <c r="DB795" s="116">
        <f t="shared" si="1562"/>
        <v>0</v>
      </c>
      <c r="DC795" s="116">
        <f t="shared" si="1563"/>
        <v>0</v>
      </c>
      <c r="DD795" s="116">
        <f t="shared" si="1564"/>
        <v>0</v>
      </c>
      <c r="DE795" s="117">
        <f t="shared" si="1565"/>
        <v>0</v>
      </c>
      <c r="DF795" s="118">
        <f t="shared" si="1567"/>
        <v>44</v>
      </c>
      <c r="DG795" s="106">
        <f t="shared" si="1568"/>
        <v>58.567999999999991</v>
      </c>
      <c r="DH795" s="116">
        <f t="shared" si="1569"/>
        <v>16</v>
      </c>
      <c r="DI795" s="106">
        <f t="shared" si="1570"/>
        <v>68.699999999999989</v>
      </c>
      <c r="DJ795" s="201" t="str">
        <f>IF($D793="","",$D793)</f>
        <v>27</v>
      </c>
      <c r="DK795" s="466"/>
    </row>
    <row r="796" spans="1:115" ht="14.5" customHeight="1" x14ac:dyDescent="0.2">
      <c r="A796" s="487">
        <f>$A793+1</f>
        <v>265</v>
      </c>
      <c r="B796" s="506" t="str">
        <f>IF(OR(C796="W",C797="W",C798="W",C796="1/2W",C797="1/2W",C798="1/2W",C796="1/2L",C797="1/2L",C798="1/2L"),"OK",IF(OR(C796="L",C797="L",C798="L"),"LOSS",IF(OR(C796="X",C797="X",C798="X"),"Anulado"," ")))</f>
        <v>OK</v>
      </c>
      <c r="C796" s="147" t="s">
        <v>55</v>
      </c>
      <c r="D796" s="494" t="str">
        <f>IF(G796="","",$D793)</f>
        <v>27</v>
      </c>
      <c r="E796" s="511" t="str">
        <f>IF(G796=""," ","– "&amp;COUNTIF(D$4:D798,$D796))</f>
        <v>– 12</v>
      </c>
      <c r="F796" s="510" t="str">
        <f ca="1">IF(G796="","",IF(OR(AND($C796&lt;&gt;" ",$C797=" "),AND($C797&lt;&gt;" ",$C796=" "),AND(L798&gt;0,OR(AND($C798&lt;&gt;" ",OR($C796=" ",$C797=" ")),AND($C798=" ",OR($C796&lt;&gt;" ",$C797&lt;&gt;" "))))),IF(SUM(F$4:F795)=0,1,LARGE(F$4:F795,1)+1),IF(MONTH(G796)=MONTH(TODAY()),IF(AND(DAY(G796)&lt;DAY(TODAY()),$B796=" "),IF(SUM(F$4:F795)=0,1,LARGE(F$4:F795,1)+1),IF($B796=" ",IF(AND(DAY(G796)=DAY(TODAY()),HOUR(G796)&lt;=HOUR(NOW())+1),IF(AND(HOUR(G796)+2&lt;=HOUR(NOW()),DAY(G796)&lt;=DAY(TODAY()),MINUTE(G796)&lt;=MINUTE(NOW())),IF(SUM(F$4:F795)=0,1,LARGE(F$4:F795,1)+1),IF(OR(MINUTE(G796)&lt;=MINUTE(NOW()),HOUR(G796)&lt;=HOUR(NOW())),"!!!","")),""),"")),"")))</f>
        <v/>
      </c>
      <c r="G796" s="517">
        <v>45012.65625</v>
      </c>
      <c r="H796" s="516" t="s">
        <v>270</v>
      </c>
      <c r="I796" s="222" t="s">
        <v>52</v>
      </c>
      <c r="J796" s="223">
        <v>3</v>
      </c>
      <c r="K796" s="224" t="s">
        <v>40</v>
      </c>
      <c r="L796" s="225">
        <v>1.69</v>
      </c>
      <c r="M796" s="226">
        <v>48.91</v>
      </c>
      <c r="N796" s="503">
        <v>0</v>
      </c>
      <c r="O796" s="153">
        <f>IF(OR(AE796="",AE797=""),"",ROUND(IF(L798&gt;0,IF(M796&gt;0,M796,IF(M797&gt;0,ROUND((M797*AE796)/AE797,IF(N796=0,2,IF(N796=0.1,1,0))),ROUND((M798*AE796)/AE798,IF(N796=0,2,IF(N796=0.1,1,0))))),IF(M796&gt;0,M796,ROUND((M797*AE796)/AE797,IF(N796=0,2,IF(N796=0.1,1,0))))),2))</f>
        <v>48.91</v>
      </c>
      <c r="P796" s="227">
        <f>IF(OR(L796="",O796=""),"",IF($C796="1/2W",O796/2+O796/2*L796,IF($C796="1/2L",O796/2,IF(I796="Lay",(O796*(L796/(L796-1))-O796)*(1-_xlfn.XLOOKUP(K796,'Fevereiro 2023 - Valor Real'!A3:A15,'Fevereiro 2023 - Valor Real'!C3:C15,0))+O796,(O796*L796-O796)*(1-_xlfn.XLOOKUP(K796,'Fevereiro 2023 - Valor Real'!A3:A15,'Fevereiro 2023 - Valor Real'!C3:C15,0))+O796))))</f>
        <v>82.657899999999998</v>
      </c>
      <c r="Q796" s="228">
        <f>IF(K796="","",IF(_xlfn.XLOOKUP(K796,K$4:K795,$DJ$4:DJ795,0,,-1)=DJ796,_xlfn.XLOOKUP(K796,K$4:K795,Q$4:Q795,1,,-1)+1,1))</f>
        <v>11</v>
      </c>
      <c r="R796" s="229">
        <f>IF(K796="","",_xlfn.XLOOKUP(K796,K$4:K795,R$4:R795,0,,-1)+IF($C796=" ",1,0))</f>
        <v>0</v>
      </c>
      <c r="S796" s="501">
        <f>IF($B796="Anulado",0,ROUND(IF(OR($B796="LOSS",$B796="OK"),IF(OR($C796="W",$C796="1/2W",$C796="1/2L"),P796-O796,IF($C796="L",-O796,0))+IF(OR($C797="W",$C797="1/2W",$C797="1/2L"),P797-O797,IF($C797="L",-O797,0))+IF(OR($C798="W",$C798="1/2W",$C798="1/2L"),P798-O798,IF($C798="L",-O798,0)),IF(AND(OR($C796="W",$C796="1/2W",$C796="1/2L"),C797="W"),P796+P797-SUM(O796:O798)+_xlfn.XLOOKUP("X",C796:C798,O796:O798,0),IF(AND(C796=TRUE,C798="W"),P796+P798-SUM(O796:O798),IF(AND(C797="W",C798="W"),P797+P798-SUM(O796:O798)+_xlfn.XLOOKUP("X",C796:C798,O796:O798,0),IF(L798&gt;0,IF(OR($C796="W",$C796="1/2W",$C796="1/2L"),P796-SUM(O796:O798)+_xlfn.XLOOKUP("X",C796:C798,O796:O798,0),IF(OR($C796="W",$C796="1/2W",$C796="1/2L"),P797-SUM(O796:O798)+_xlfn.XLOOKUP("X",C796:C798,O796:O798,0),IF(OR($C796="W",$C796="1/2W",$C796="1/2L"),P798-SUM(O796:O798)+_xlfn.XLOOKUP("X",C796:C798,O796:O798,0),IF(SUM(P796:P798)/3-SUM(O796:O798)+_xlfn.XLOOKUP("X",C796:C798,O796:O798,0)&gt;0,SUM(P796:P798)/3-SUM(O796:O798)+_xlfn.XLOOKUP("X",C796:C798,O796:O798,0),LARGE(P796:P798,1)-SUM(O796:O798))))),IF(OR($C796="W",$C796="1/2W",$C796="1/2L"),P796-SUM(O796:O797)+_xlfn.XLOOKUP("X",C796:C798,O796:O798,0),IF(OR($C796="W",$C796="1/2W",$C796="1/2L"),P797-SUM(O796:O797)+_xlfn.XLOOKUP("X",C796:C798,O796:O798,0),SUM(P796:P797)/2-SUM(O796:O797)+_xlfn.XLOOKUP("X",C796:C798,O796:O798,0)))))))),2))</f>
        <v>4.07</v>
      </c>
      <c r="T796" s="486">
        <f>IF(S796=0,0,S796/SUM(O796:O798))</f>
        <v>5.1787759256902918E-2</v>
      </c>
      <c r="U796" s="496">
        <f>IF($D796=$D793,IF(OR($B796="LOSS",$B796="OK",$B796="Anulada"),S796,0)+U793,IF(OR($B796="LOSS",$B796="OK",$B796="Anulada"),S796,0))</f>
        <v>34.33</v>
      </c>
      <c r="V796" s="496">
        <f>IF($D796="",0,IF($D796=$D793,IF($B796=" ",IF(I798="",IF(OR(AND(I796="DNB1",I797="DNB2"),AND(OR(I796="DNB1",I796="DNB2"),J797=0),AND(OR(I797="DNB1",I797="DNB2"),J796=0),AND(I796="DNB2",I797="DNB1"),AND(IF(J796=0,(J796+1)/ROUND(J796+1,0),J796/ROUND(J796,0))=1,IF(J797=0,(J797+1)/ROUND(IF(J797="",0,J797)+1,0),IF(J797="",0,J797)/ROUND(IF(J797="",1,J797),0))=1,OR(J796&lt;&gt;""),J797&lt;&gt;"")),0,IF(S796&lt;0,IF(I798="",SMALL(P796:P797,1)-SUM(O796:O797),0),SMALL(P796:P797,1)-SUM(O796:O797))),IF(S796&lt;0,IF(I798="",SMALL(P796:P798,1)-SUM(O796:O798),0),LARGE(P796:P798,1)-SUM(O796:O798))),S796)+V793,IF(I798="",IF(OR(AND(I796="DNB1",I797="DNB2"),AND(OR(I796="DNB1",I796="DNB2"),J797=0),AND(OR(I797="DNB1",I797="DNB2"),J796=0),AND(I796="DNB2",I797="DNB1"),AND(IF(J796=0,(J796+1)/ROUND(J796+1,0),J796/ROUND(J796,0))=1,IF(J797=0,(IF(J797="",0,J797)+1)/ROUND(IF(J797="",0,J797)+1,0),IF(J797="",0,J797)/ROUND(IF(J797="",0,J797)+1,0))=1,OR(J796&lt;&gt;""),J797&lt;&gt;"")),0,IF(S796&lt;0,IF(I798="",SMALL(P796:P797,1)-SUM(O796:O797),0),SMALL(P796:P798,1)-SUM(O796:O798))),IF(S796&lt;0,IF(I798="",SMALL(P796:P798,1)-SUM(O796:O798),0),LARGE(P796:P798,1)-SUM(O796:O798)))))</f>
        <v>34.33</v>
      </c>
      <c r="W796" s="496">
        <f>IF($D796=$D793,IF(S796&lt;0,IF(I798="",S796,0),S796)+W793,S796)</f>
        <v>34.33</v>
      </c>
      <c r="X796" s="505" t="str">
        <f>IF(OR(SUM(R796:R798)=0,V796=W796),ROUND(IF(W796=0,0,W796/Y796)*100,2)&amp;"%",ROUND(IF(V796=0,0,V796/Y796)*100,2)&amp;"% a "&amp;ROUND(IF(W796=0,0,W796/Y796)*100,2)&amp;"%")</f>
        <v>6,6%</v>
      </c>
      <c r="Y796" s="497">
        <f>IF($D796=$D793,Y793+SUM(O796:O798),SUM(O796:O798))</f>
        <v>520.05999999999995</v>
      </c>
      <c r="Z796" s="496">
        <f>IF($B796=" ",SUM(O796:O798),0)+Z793</f>
        <v>0</v>
      </c>
      <c r="AA796" s="496">
        <f>IF(G796="","",IF($B796="Anulado",LARGE(P796:P798,1)-SUM(O796:O798)+AA793,AA793))</f>
        <v>13.381099999999991</v>
      </c>
      <c r="AB796" s="496">
        <f>IF($D796="","",AB793+S796)</f>
        <v>882.02000000000066</v>
      </c>
      <c r="AC796" s="499">
        <f ca="1">IF($D796="","",IF($B796=" ",IF(DAY(G796)=DAY(TODAY()),1+AC793,0+AC793),0+AC793))</f>
        <v>0</v>
      </c>
      <c r="AD796" s="157">
        <f>(((L797/(L797-1)-1)*(1-_xlfn.XLOOKUP(K797,'Fevereiro 2023 - Valor Real'!A3:A15,'Fevereiro 2023 - Valor Real'!C3:C15,0))+1))/(((L796-1)*(1-_xlfn.XLOOKUP(K796,'Fevereiro 2023 - Valor Real'!A3:A15,'Fevereiro 2023 - Valor Real'!C3:C15,0))+1)+((L797/(L797-1)-1)*(1-_xlfn.XLOOKUP(K797,'Fevereiro 2023 - Valor Real'!A3:A15,'Fevereiro 2023 - Valor Real'!C3:C15,0))+1))</f>
        <v>0.5360177801019741</v>
      </c>
      <c r="AE796" s="158">
        <f>IF(L796="","",IF(L798&gt;0,(SUM(((L796-1)*(1-_xlfn.XLOOKUP(K796,'Fevereiro 2023 - Valor Real'!A3:A15,'Fevereiro 2023 - Valor Real'!C3:C15,0))+1),((L797-1)*(1-_xlfn.XLOOKUP(K797,'Fevereiro 2023 - Valor Real'!A3:A15,'Fevereiro 2023 - Valor Real'!C3:C15,0))+1),((L798-1)*(1-_xlfn.XLOOKUP(K798,'Fevereiro 2023 - Valor Real'!A3:A15,'Fevereiro 2023 - Valor Real'!C3:C15,0))+1))/((L796-1)*(1-_xlfn.XLOOKUP(K796,'Fevereiro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Real'!C3:C15,0))+1))/((L796-1)*(1-_xlfn.XLOOKUP(K796,'Fevereiro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Real'!C3:C15,0))+1))/((L797-1)*(1-_xlfn.XLOOKUP(K797,'Fevereiro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Real'!C3:C15,0))+1))/((L798-1)*(1-_xlfn.XLOOKUP(K798,'Fevereiro 2023 - Valor Real'!A3:A15,'Fevereiro 2023 - Valor Real'!C3:C15,0))+1)),IF(I796="Lay",IF(I797="Lay",((L797/(L797-1)-1)*(1-_xlfn.XLOOKUP(K797,'Fevereiro 2023 - Valor Real'!A3:A15,'Fevereiro 2023 - Valor Real'!C3:C15,0))+1)/(((L797/(L797-1)-1)*(1-_xlfn.XLOOKUP(K797,'Fevereiro 2023 - Valor Real'!A3:A15,'Fevereiro 2023 - Valor Real'!C3:C15,0))+1)+((L796/(L796-1)-1)*(1-_xlfn.XLOOKUP(K796,'Fevereiro 2023 - Valor Real'!A3:A15,'Fevereiro 2023 - Valor Real'!C3:C15,0))+1)),((L797-1)*(1-_xlfn.XLOOKUP(K797,'Fevereiro 2023 - Valor Real'!A3:A15,'Fevereiro 2023 - Valor Real'!C3:C15,0))+1)/(((L797-1)*(1-_xlfn.XLOOKUP(K797,'Fevereiro 2023 - Valor Real'!A3:A15,'Fevereiro 2023 - Valor Real'!C3:C15,0))+1)+((L796/(L796-1)-1)*(1-_xlfn.XLOOKUP(K796,'Fevereiro 2023 - Valor Real'!A3:A15,'Fevereiro 2023 - Valor Real'!C3:C15,0))+1))),IF(I797="Lay",(((L797/(L797-1)-1)*(1-_xlfn.XLOOKUP(K797,'Fevereiro 2023 - Valor Real'!A3:A15,'Fevereiro 2023 - Valor Real'!C3:C15,0))+1))/(((L796-1)*(1-_xlfn.XLOOKUP(K796,'Fevereiro 2023 - Valor Real'!A3:A15,'Fevereiro 2023 - Valor Real'!C3:C15,0))+1)+((L797/(L797-1)-1)*(1-_xlfn.XLOOKUP(K797,'Fevereiro 2023 - Valor Real'!A3:A15,'Fevereiro 2023 - Valor Real'!C3:C15,0))+1)),((L797-1)*(1-_xlfn.XLOOKUP(K797,'Fevereiro 2023 - Valor Real'!A3:A15,'Fevereiro 2023 - Valor Real'!C3:C15,0))+1)/(((L797-1)*(1-_xlfn.XLOOKUP(K797,'Fevereiro 2023 - Valor Real'!A3:A15,'Fevereiro 2023 - Valor Real'!C3:C15,0))+1)+((L796-1)*(1-_xlfn.XLOOKUP(K796,'Fevereiro 2023 - Valor Real'!A3:A15,'Fevereiro 2023 - Valor Real'!C3:C15,0))+1))))))</f>
        <v>0.43837595723161388</v>
      </c>
      <c r="AF796" s="66">
        <f t="shared" si="1602"/>
        <v>0</v>
      </c>
      <c r="AG796" s="67">
        <f t="shared" si="1602"/>
        <v>0</v>
      </c>
      <c r="AH796" s="67">
        <f t="shared" si="1602"/>
        <v>0</v>
      </c>
      <c r="AI796" s="67">
        <f t="shared" si="1602"/>
        <v>0</v>
      </c>
      <c r="AJ796" s="67">
        <f t="shared" si="1602"/>
        <v>-48.91</v>
      </c>
      <c r="AK796" s="67">
        <f t="shared" si="1602"/>
        <v>0</v>
      </c>
      <c r="AL796" s="67">
        <f t="shared" si="1602"/>
        <v>0</v>
      </c>
      <c r="AM796" s="67">
        <f t="shared" si="1602"/>
        <v>0</v>
      </c>
      <c r="AN796" s="67">
        <f t="shared" si="1602"/>
        <v>0</v>
      </c>
      <c r="AO796" s="67">
        <f t="shared" si="1602"/>
        <v>0</v>
      </c>
      <c r="AP796" s="67">
        <f t="shared" si="1602"/>
        <v>0</v>
      </c>
      <c r="AQ796" s="67">
        <f t="shared" si="1602"/>
        <v>0</v>
      </c>
      <c r="AR796" s="68">
        <f t="shared" si="1602"/>
        <v>0</v>
      </c>
      <c r="AS796" s="66">
        <f t="shared" ref="AS796:BE796" si="1606">IF(AND($B796=" ",$K796=AS$3),$O796,0)</f>
        <v>0</v>
      </c>
      <c r="AT796" s="67">
        <f t="shared" si="1606"/>
        <v>0</v>
      </c>
      <c r="AU796" s="67">
        <f t="shared" si="1606"/>
        <v>0</v>
      </c>
      <c r="AV796" s="67">
        <f t="shared" si="1606"/>
        <v>0</v>
      </c>
      <c r="AW796" s="67">
        <f t="shared" si="1606"/>
        <v>0</v>
      </c>
      <c r="AX796" s="67">
        <f t="shared" si="1606"/>
        <v>0</v>
      </c>
      <c r="AY796" s="69">
        <f t="shared" si="1606"/>
        <v>0</v>
      </c>
      <c r="AZ796" s="70">
        <f t="shared" si="1606"/>
        <v>0</v>
      </c>
      <c r="BA796" s="70">
        <f t="shared" si="1606"/>
        <v>0</v>
      </c>
      <c r="BB796" s="70">
        <f t="shared" si="1606"/>
        <v>0</v>
      </c>
      <c r="BC796" s="71">
        <f t="shared" si="1606"/>
        <v>0</v>
      </c>
      <c r="BD796" s="67">
        <f t="shared" si="1606"/>
        <v>0</v>
      </c>
      <c r="BE796" s="68">
        <f t="shared" si="1606"/>
        <v>0</v>
      </c>
      <c r="BF796" s="230">
        <f t="shared" si="1604"/>
        <v>0</v>
      </c>
      <c r="BG796" s="67">
        <f t="shared" si="1604"/>
        <v>0</v>
      </c>
      <c r="BH796" s="67">
        <f t="shared" si="1604"/>
        <v>0</v>
      </c>
      <c r="BI796" s="67">
        <f t="shared" si="1604"/>
        <v>0</v>
      </c>
      <c r="BJ796" s="67">
        <f t="shared" si="1604"/>
        <v>48.91</v>
      </c>
      <c r="BK796" s="67">
        <f t="shared" si="1604"/>
        <v>0</v>
      </c>
      <c r="BL796" s="67">
        <f t="shared" si="1604"/>
        <v>0</v>
      </c>
      <c r="BM796" s="69">
        <f t="shared" si="1604"/>
        <v>0</v>
      </c>
      <c r="BN796" s="70">
        <f t="shared" si="1604"/>
        <v>0</v>
      </c>
      <c r="BO796" s="70">
        <f t="shared" si="1604"/>
        <v>0</v>
      </c>
      <c r="BP796" s="70">
        <f t="shared" si="1604"/>
        <v>0</v>
      </c>
      <c r="BQ796" s="71">
        <f t="shared" si="1604"/>
        <v>0</v>
      </c>
      <c r="BR796" s="68">
        <f t="shared" si="1604"/>
        <v>0</v>
      </c>
      <c r="BS796" s="490">
        <f>IF($B796="LOSS",IF(AND($K796=BS$3,$C796="L"),-$O796,0)+IF(AND($K797=BS$3,$C797="L"),-$O797,0)+IF(AND($K798=BS$3,$C798="L"),-$O798,0),IF(OR(AND($K796=BS$3,OR($C796="W",$C796="1/2W")),AND($K797=BS$3,OR($C797="W",$C797="1/2W")),AND($K798=BS$3,OR($C798="W",$C798="1/2W"))),$S796,0))</f>
        <v>0</v>
      </c>
      <c r="BT796" s="488">
        <f>IF($B796="LOSS",IF(AND($K796=BT$3,$C796="L"),-$O796,0)+IF(AND($K797=BT$3,$C797="L"),-$O797,0)+IF(AND($K797=BT$3,$C798="L"),-$O798,0),IF(OR(AND($K797=BT$3,OR($C796="W",$C796="1/2W")),AND($K797=BT$3,OR($C797="W",$C797="1/2W")),AND($K797=BT$3,OR($C798="W",$C798="1/2W"))),$S796,0))</f>
        <v>4.07</v>
      </c>
      <c r="BU796" s="488">
        <f>IF($B796="LOSS",IF(AND($K796=BU$3,$C796="L"),-$O796,0)+IF(AND($K797=BU$3,$C797="L"),-$O797,0)+IF(AND($K797=BU$3,$C798="L"),-$O798,0),IF(OR(AND($K797=BU$3,OR($C796="W",$C796="1/2W")),AND($K797=BU$3,OR($C797="W",$C797="1/2W")),AND($K797=BU$3,OR($C798="W",$C798="1/2W"))),$S796,0))</f>
        <v>0</v>
      </c>
      <c r="BV796" s="488">
        <f t="shared" ref="BV796:CE796" si="1607">IF($B796="LOSS",IF(AND($K796=BV$3,$C796="L"),-$O796,0)+IF(AND($K797=BV$3,$C797="L"),-$O797,0)+IF(AND($K798=BV$3,$C798="L"),-$O798,0),IF(OR(AND($K796=BV$3,OR($C796="W",$C796="1/2W")),AND($K797=BV$3,OR($C797="W",$C797="1/2W")),AND($K798=BV$3,OR($C798="W",$C798="1/2W"))),$S796,0))</f>
        <v>0</v>
      </c>
      <c r="BW796" s="488">
        <f t="shared" si="1607"/>
        <v>0</v>
      </c>
      <c r="BX796" s="488">
        <f t="shared" si="1607"/>
        <v>0</v>
      </c>
      <c r="BY796" s="488">
        <f t="shared" si="1607"/>
        <v>0</v>
      </c>
      <c r="BZ796" s="498">
        <f t="shared" si="1607"/>
        <v>0</v>
      </c>
      <c r="CA796" s="498">
        <f t="shared" si="1607"/>
        <v>0</v>
      </c>
      <c r="CB796" s="498">
        <f t="shared" si="1607"/>
        <v>0</v>
      </c>
      <c r="CC796" s="498">
        <f t="shared" si="1607"/>
        <v>0</v>
      </c>
      <c r="CD796" s="500">
        <f t="shared" si="1607"/>
        <v>0</v>
      </c>
      <c r="CE796" s="504">
        <f t="shared" si="1607"/>
        <v>0</v>
      </c>
      <c r="CF796" s="160">
        <f t="shared" si="1540"/>
        <v>0</v>
      </c>
      <c r="CG796" s="161">
        <f t="shared" si="1541"/>
        <v>0</v>
      </c>
      <c r="CH796" s="161">
        <f t="shared" si="1542"/>
        <v>0</v>
      </c>
      <c r="CI796" s="161">
        <f t="shared" si="1543"/>
        <v>0</v>
      </c>
      <c r="CJ796" s="161">
        <f t="shared" si="1544"/>
        <v>0</v>
      </c>
      <c r="CK796" s="161">
        <f t="shared" si="1545"/>
        <v>0</v>
      </c>
      <c r="CL796" s="161">
        <f t="shared" si="1546"/>
        <v>0</v>
      </c>
      <c r="CM796" s="161">
        <f t="shared" si="1547"/>
        <v>0</v>
      </c>
      <c r="CN796" s="161">
        <f t="shared" si="1548"/>
        <v>0</v>
      </c>
      <c r="CO796" s="161">
        <f t="shared" si="1549"/>
        <v>1</v>
      </c>
      <c r="CP796" s="161">
        <f t="shared" si="1550"/>
        <v>0</v>
      </c>
      <c r="CQ796" s="161">
        <f t="shared" si="1551"/>
        <v>0</v>
      </c>
      <c r="CR796" s="161">
        <f t="shared" si="1552"/>
        <v>0</v>
      </c>
      <c r="CS796" s="161">
        <f t="shared" si="1553"/>
        <v>0</v>
      </c>
      <c r="CT796" s="75">
        <f t="shared" si="1554"/>
        <v>0</v>
      </c>
      <c r="CU796" s="76">
        <f t="shared" si="1555"/>
        <v>0</v>
      </c>
      <c r="CV796" s="76">
        <f t="shared" si="1556"/>
        <v>0</v>
      </c>
      <c r="CW796" s="76">
        <f t="shared" si="1557"/>
        <v>0</v>
      </c>
      <c r="CX796" s="76">
        <f t="shared" si="1558"/>
        <v>0</v>
      </c>
      <c r="CY796" s="76">
        <f t="shared" si="1559"/>
        <v>0</v>
      </c>
      <c r="CZ796" s="76">
        <f t="shared" si="1560"/>
        <v>0</v>
      </c>
      <c r="DA796" s="76">
        <f t="shared" si="1561"/>
        <v>0</v>
      </c>
      <c r="DB796" s="76">
        <f t="shared" si="1562"/>
        <v>0</v>
      </c>
      <c r="DC796" s="76">
        <f t="shared" si="1563"/>
        <v>0</v>
      </c>
      <c r="DD796" s="76">
        <f t="shared" si="1564"/>
        <v>0</v>
      </c>
      <c r="DE796" s="77">
        <f t="shared" si="1565"/>
        <v>0</v>
      </c>
      <c r="DF796" s="73">
        <f t="shared" si="1567"/>
        <v>44</v>
      </c>
      <c r="DG796" s="67">
        <f t="shared" si="1568"/>
        <v>58.567999999999991</v>
      </c>
      <c r="DH796" s="76">
        <f t="shared" si="1569"/>
        <v>16</v>
      </c>
      <c r="DI796" s="67">
        <f t="shared" si="1570"/>
        <v>68.699999999999989</v>
      </c>
      <c r="DJ796" s="202" t="str">
        <f>IF($D796="","",$D796)</f>
        <v>27</v>
      </c>
      <c r="DK796" s="492">
        <f>IF(AND($B796=" ",$D796&lt;&gt;""),1,0)</f>
        <v>0</v>
      </c>
    </row>
    <row r="797" spans="1:115" ht="14.5" customHeight="1" x14ac:dyDescent="0.2">
      <c r="A797" s="389"/>
      <c r="B797" s="456"/>
      <c r="C797" s="53" t="s">
        <v>54</v>
      </c>
      <c r="D797" s="374"/>
      <c r="E797" s="386"/>
      <c r="F797" s="377"/>
      <c r="G797" s="483"/>
      <c r="H797" s="476"/>
      <c r="I797" s="55" t="s">
        <v>51</v>
      </c>
      <c r="J797" s="231">
        <v>2.5</v>
      </c>
      <c r="K797" s="232" t="s">
        <v>37</v>
      </c>
      <c r="L797" s="58">
        <v>2.0499999999999998</v>
      </c>
      <c r="M797" s="59">
        <v>16.46</v>
      </c>
      <c r="N797" s="406"/>
      <c r="O797" s="60">
        <f>IF(OR(AE796="",AE797=""),"",ROUND(IF(L798&gt;0,IF(M797&gt;0,M797,IF(M796&gt;0,IF(N796=TRUE,ROUND((M796*AE797)/AE796,0),(M796*AE797)/AE796),IF(M797&gt;0,ROUND(M797,IF(N796=0,2,IF(N796=0.1,1,0))),IF(M798&gt;0,ROUND(O798*AE797/AE798,IF(N796=0,2,IF(N796=0.1,1,0))),0)))),IF(M797&gt;0,M797,ROUND((M796*AE797)/AE796,IF(N796=0,2,IF(N796=0.1,1,0))))),2))</f>
        <v>16.46</v>
      </c>
      <c r="P797" s="61">
        <f>IF(OR(L797="",O797=""),"",IF($C797="1/2W",O797/2+O797/2*L797,IF($C797="1/2L",O797/2,IF(I797="Lay",((O797*(L797/(L797-1)))-O797)*(1-_xlfn.XLOOKUP(K797,'Fevereiro 2023 - Valor Real'!A3:A15,'Fevereiro 2023 - Valor Real'!C3:C15,0))+O797,(O797*L797-O797)*(1-_xlfn.XLOOKUP(K797,'Fevereiro 2023 - Valor Real'!A3:A15,'Fevereiro 2023 - Valor Real'!C3:C15,0))+O797))))</f>
        <v>33.743000000000002</v>
      </c>
      <c r="Q797" s="233">
        <f>IF(K797="","",IF(_xlfn.XLOOKUP(K797,K$4:K796,$DJ$4:DJ796,0,,-1)=DJ797,_xlfn.XLOOKUP(K797,K$4:K796,Q$4:Q796,1,,-1)+1,1))</f>
        <v>2</v>
      </c>
      <c r="R797" s="234">
        <f>IF(K797="","",_xlfn.XLOOKUP(K797,K$4:K796,R$4:R796,0,,-1)+IF($C797=" ",1,0))</f>
        <v>0</v>
      </c>
      <c r="S797" s="403"/>
      <c r="T797" s="380"/>
      <c r="U797" s="380"/>
      <c r="V797" s="481"/>
      <c r="W797" s="380"/>
      <c r="X797" s="452"/>
      <c r="Y797" s="383"/>
      <c r="Z797" s="384"/>
      <c r="AA797" s="384"/>
      <c r="AB797" s="384"/>
      <c r="AC797" s="384"/>
      <c r="AD797" s="64">
        <f>(((L797/(L797-1)-1)*(1-_xlfn.XLOOKUP(K797,'Fevereiro 2023 - Valor Real'!A3:A15,'Fevereiro 2023 - Valor Real'!C3:C15,0))+1))</f>
        <v>1.9523809523809526</v>
      </c>
      <c r="AE797" s="65">
        <f>IF(L797="","",IF(L798&gt;0,(SUM(((L796-1)*(1-_xlfn.XLOOKUP(K796,'Fevereiro 2023 - Valor Real'!A3:A15,'Fevereiro 2023 - Valor Real'!C3:C15,0))+1),((L797-1)*(1-_xlfn.XLOOKUP(K797,'Fevereiro 2023 - Valor Real'!A3:A15,'Fevereiro 2023 - Valor Real'!C3:C15,0))+1),((L798-1)*(1-_xlfn.XLOOKUP(K798,'Fevereiro 2023 - Valor Real'!A3:A15,'Fevereiro 2023 - Valor Real'!C3:C15,0))+1))/((L797-1)*(1-_xlfn.XLOOKUP(K797,'Fevereiro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Real'!C3:C15,0))+1))/((L796-1)*(1-_xlfn.XLOOKUP(K796,'Fevereiro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Real'!C3:C15,0))+1))/((L797-1)*(1-_xlfn.XLOOKUP(K797,'Fevereiro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Real'!C3:C15,0))+1))/((L798-1)*(1-_xlfn.XLOOKUP(K798,'Fevereiro 2023 - Valor Real'!A3:A15,'Fevereiro 2023 - Valor Real'!C3:C15,0))+1)),IF(I797="Lay",IF(I796="Lay",((L796/(L796-1)-1)*(1-_xlfn.XLOOKUP(K796,'Fevereiro 2023 - Valor Real'!A3:A15,'Fevereiro 2023 - Valor Real'!C3:C15,0))+1)/(((L796/(L796-1)-1)*(1-_xlfn.XLOOKUP(K796,'Fevereiro 2023 - Valor Real'!A3:A15,'Fevereiro 2023 - Valor Real'!C3:C15,0))+1)+((L797/(L797-1)-1)*(1-_xlfn.XLOOKUP(K797,'Fevereiro 2023 - Valor Real'!A3:A15,'Fevereiro 2023 - Valor Real'!C3:C15,0))+1)),((L796-1)*(1-_xlfn.XLOOKUP(K796,'Fevereiro 2023 - Valor Real'!A3:A15,'Fevereiro 2023 - Valor Real'!C3:C15,0))+1)/(((L796-1)*(1-_xlfn.XLOOKUP(K796,'Fevereiro 2023 - Valor Real'!A3:A15,'Fevereiro 2023 - Valor Real'!C3:C15,0))+1)+((L797/(L797-1)-1)*(1-_xlfn.XLOOKUP(K797,'Fevereiro 2023 - Valor Real'!A3:A15,'Fevereiro 2023 - Valor Real'!C3:C15,0))+1))),IF(I796="Lay",((L796/(L796-1)-1)*(1-_xlfn.XLOOKUP(K796,'Fevereiro 2023 - Valor Real'!A3:A15,'Fevereiro 2023 - Valor Real'!C3:C15,0))+1)/((((L796/(L796-1)-1)*(1-_xlfn.XLOOKUP(K796,'Fevereiro 2023 - Valor Real'!A3:A15,'Fevereiro 2023 - Valor Real'!C3:C15,0))+1))+((L797-1)*(1-_xlfn.XLOOKUP(K797,'Fevereiro 2023 - Valor Real'!A3:A15,'Fevereiro 2023 - Valor Real'!C3:C15,0))+1)),((L796-1)*(1-_xlfn.XLOOKUP(K796,'Fevereiro 2023 - Valor Real'!A3:A15,'Fevereiro 2023 - Valor Real'!C3:C15,0))+1)/(((L796-1)*(1-_xlfn.XLOOKUP(K796,'Fevereiro 2023 - Valor Real'!A3:A15,'Fevereiro 2023 - Valor Real'!C3:C15,0))+1)+((L797-1)*(1-_xlfn.XLOOKUP(K797,'Fevereiro 2023 - Valor Real'!A3:A15,'Fevereiro 2023 - Valor Real'!C3:C15,0))+1))))))</f>
        <v>0.36139286230313533</v>
      </c>
      <c r="AF797" s="66">
        <f t="shared" si="1602"/>
        <v>0</v>
      </c>
      <c r="AG797" s="67">
        <f t="shared" si="1602"/>
        <v>17.28</v>
      </c>
      <c r="AH797" s="67">
        <f t="shared" si="1602"/>
        <v>0</v>
      </c>
      <c r="AI797" s="67">
        <f t="shared" si="1602"/>
        <v>0</v>
      </c>
      <c r="AJ797" s="67">
        <f t="shared" si="1602"/>
        <v>0</v>
      </c>
      <c r="AK797" s="67">
        <f t="shared" si="1602"/>
        <v>0</v>
      </c>
      <c r="AL797" s="67">
        <f t="shared" si="1602"/>
        <v>0</v>
      </c>
      <c r="AM797" s="67">
        <f t="shared" si="1602"/>
        <v>0</v>
      </c>
      <c r="AN797" s="67">
        <f t="shared" si="1602"/>
        <v>0</v>
      </c>
      <c r="AO797" s="67">
        <f t="shared" si="1602"/>
        <v>0</v>
      </c>
      <c r="AP797" s="67">
        <f t="shared" si="1602"/>
        <v>0</v>
      </c>
      <c r="AQ797" s="67">
        <f t="shared" si="1602"/>
        <v>0</v>
      </c>
      <c r="AR797" s="68">
        <f t="shared" si="1602"/>
        <v>0</v>
      </c>
      <c r="AS797" s="66">
        <f>IF(AND($B796=" ",$K797=AS$3),$O797,0)</f>
        <v>0</v>
      </c>
      <c r="AT797" s="67">
        <f>IF(AND($B796=" ",K797=AT$3),$O797,0)</f>
        <v>0</v>
      </c>
      <c r="AU797" s="67">
        <f t="shared" ref="AU797:BE797" si="1608">IF(AND($B796=" ",$K797=AU$3),$O797,0)</f>
        <v>0</v>
      </c>
      <c r="AV797" s="67">
        <f t="shared" si="1608"/>
        <v>0</v>
      </c>
      <c r="AW797" s="67">
        <f t="shared" si="1608"/>
        <v>0</v>
      </c>
      <c r="AX797" s="67">
        <f t="shared" si="1608"/>
        <v>0</v>
      </c>
      <c r="AY797" s="69">
        <f t="shared" si="1608"/>
        <v>0</v>
      </c>
      <c r="AZ797" s="70">
        <f t="shared" si="1608"/>
        <v>0</v>
      </c>
      <c r="BA797" s="70">
        <f t="shared" si="1608"/>
        <v>0</v>
      </c>
      <c r="BB797" s="70">
        <f t="shared" si="1608"/>
        <v>0</v>
      </c>
      <c r="BC797" s="71">
        <f t="shared" si="1608"/>
        <v>0</v>
      </c>
      <c r="BD797" s="67">
        <f t="shared" si="1608"/>
        <v>0</v>
      </c>
      <c r="BE797" s="68">
        <f t="shared" si="1608"/>
        <v>0</v>
      </c>
      <c r="BF797" s="66">
        <f t="shared" si="1604"/>
        <v>0</v>
      </c>
      <c r="BG797" s="67">
        <f t="shared" si="1604"/>
        <v>16.46</v>
      </c>
      <c r="BH797" s="67">
        <f t="shared" si="1604"/>
        <v>0</v>
      </c>
      <c r="BI797" s="67">
        <f t="shared" si="1604"/>
        <v>0</v>
      </c>
      <c r="BJ797" s="67">
        <f t="shared" si="1604"/>
        <v>0</v>
      </c>
      <c r="BK797" s="67">
        <f t="shared" si="1604"/>
        <v>0</v>
      </c>
      <c r="BL797" s="67">
        <f t="shared" si="1604"/>
        <v>0</v>
      </c>
      <c r="BM797" s="235">
        <f t="shared" si="1604"/>
        <v>0</v>
      </c>
      <c r="BN797" s="159">
        <f t="shared" si="1604"/>
        <v>0</v>
      </c>
      <c r="BO797" s="159">
        <f t="shared" si="1604"/>
        <v>0</v>
      </c>
      <c r="BP797" s="159">
        <f t="shared" si="1604"/>
        <v>0</v>
      </c>
      <c r="BQ797" s="71">
        <f t="shared" si="1604"/>
        <v>0</v>
      </c>
      <c r="BR797" s="68">
        <f t="shared" si="1604"/>
        <v>0</v>
      </c>
      <c r="BS797" s="464"/>
      <c r="BT797" s="461"/>
      <c r="BU797" s="392"/>
      <c r="BV797" s="461"/>
      <c r="BW797" s="392"/>
      <c r="BX797" s="392"/>
      <c r="BY797" s="392"/>
      <c r="BZ797" s="461"/>
      <c r="CA797" s="392"/>
      <c r="CB797" s="392"/>
      <c r="CC797" s="392"/>
      <c r="CD797" s="401"/>
      <c r="CE797" s="409"/>
      <c r="CF797" s="236">
        <f t="shared" si="1540"/>
        <v>0</v>
      </c>
      <c r="CG797" s="237">
        <f t="shared" si="1541"/>
        <v>0</v>
      </c>
      <c r="CH797" s="237">
        <f t="shared" si="1542"/>
        <v>1</v>
      </c>
      <c r="CI797" s="237">
        <f t="shared" si="1543"/>
        <v>0</v>
      </c>
      <c r="CJ797" s="237">
        <f t="shared" si="1544"/>
        <v>0</v>
      </c>
      <c r="CK797" s="237">
        <f t="shared" si="1545"/>
        <v>0</v>
      </c>
      <c r="CL797" s="237">
        <f t="shared" si="1546"/>
        <v>0</v>
      </c>
      <c r="CM797" s="237">
        <f t="shared" si="1547"/>
        <v>0</v>
      </c>
      <c r="CN797" s="237">
        <f t="shared" si="1548"/>
        <v>0</v>
      </c>
      <c r="CO797" s="237">
        <f t="shared" si="1549"/>
        <v>0</v>
      </c>
      <c r="CP797" s="237">
        <f t="shared" si="1550"/>
        <v>0</v>
      </c>
      <c r="CQ797" s="237">
        <f t="shared" si="1551"/>
        <v>0</v>
      </c>
      <c r="CR797" s="237">
        <f t="shared" si="1552"/>
        <v>0</v>
      </c>
      <c r="CS797" s="237">
        <f t="shared" si="1553"/>
        <v>0</v>
      </c>
      <c r="CT797" s="75">
        <f t="shared" si="1554"/>
        <v>0</v>
      </c>
      <c r="CU797" s="76">
        <f t="shared" si="1555"/>
        <v>0</v>
      </c>
      <c r="CV797" s="76">
        <f t="shared" si="1556"/>
        <v>0</v>
      </c>
      <c r="CW797" s="76">
        <f t="shared" si="1557"/>
        <v>0</v>
      </c>
      <c r="CX797" s="76">
        <f t="shared" si="1558"/>
        <v>0</v>
      </c>
      <c r="CY797" s="76">
        <f t="shared" si="1559"/>
        <v>0</v>
      </c>
      <c r="CZ797" s="76">
        <f t="shared" si="1560"/>
        <v>0</v>
      </c>
      <c r="DA797" s="76">
        <f t="shared" si="1561"/>
        <v>0</v>
      </c>
      <c r="DB797" s="76">
        <f t="shared" si="1562"/>
        <v>0</v>
      </c>
      <c r="DC797" s="76">
        <f t="shared" si="1563"/>
        <v>0</v>
      </c>
      <c r="DD797" s="76">
        <f t="shared" si="1564"/>
        <v>0</v>
      </c>
      <c r="DE797" s="77">
        <f t="shared" si="1565"/>
        <v>0</v>
      </c>
      <c r="DF797" s="73">
        <f t="shared" si="1567"/>
        <v>44</v>
      </c>
      <c r="DG797" s="67">
        <f t="shared" si="1568"/>
        <v>58.567999999999991</v>
      </c>
      <c r="DH797" s="76">
        <f t="shared" si="1569"/>
        <v>16</v>
      </c>
      <c r="DI797" s="67">
        <f t="shared" si="1570"/>
        <v>68.699999999999989</v>
      </c>
      <c r="DJ797" s="202" t="str">
        <f>IF($D796="","",$D796)</f>
        <v>27</v>
      </c>
      <c r="DK797" s="466"/>
    </row>
    <row r="798" spans="1:115" ht="14.5" customHeight="1" x14ac:dyDescent="0.2">
      <c r="A798" s="390"/>
      <c r="B798" s="457"/>
      <c r="C798" s="79" t="s">
        <v>54</v>
      </c>
      <c r="D798" s="375"/>
      <c r="E798" s="387"/>
      <c r="F798" s="378"/>
      <c r="G798" s="484"/>
      <c r="H798" s="477"/>
      <c r="I798" s="243" t="s">
        <v>51</v>
      </c>
      <c r="J798" s="244">
        <v>3.5</v>
      </c>
      <c r="K798" s="245" t="s">
        <v>37</v>
      </c>
      <c r="L798" s="246">
        <v>3.7</v>
      </c>
      <c r="M798" s="85">
        <v>13.22</v>
      </c>
      <c r="N798" s="407"/>
      <c r="O798" s="187">
        <f>IF(OR(AE796="",AE797=""),"",IF(L798&gt;0,ROUND(IF(M798&gt;0,M798,IF(M796&gt;0,ROUND((M796*AE798)/AE796,IF(N796=0,2,IF(N796=0.1,1,0))),IF(M797&gt;0,ROUND((M797*AE798)/AE797,IF(N796=0,2,IF(N796=0.1,1,0))),IF(M798&gt;0,M798,0)))),2),""))</f>
        <v>13.22</v>
      </c>
      <c r="P798" s="188">
        <f>IF(I797="Lay",O797*(L797/(L797-1))-O797,IF(I796="Lay",O796*(L796/(L796-1))-O796,IF(OR(L798="",O798=""),"",IF($C798="1/2W",O798/2+O798/2*L798,IF($C798="1/2L",O798/2,(O798*L798-O798)*(1-_xlfn.XLOOKUP(K798,'Fevereiro 2023 - Valor Real'!A3:A15,'Fevereiro 2023 - Valor Real'!C3:C15,0))+O798)))))</f>
        <v>48.914000000000001</v>
      </c>
      <c r="Q798" s="233">
        <f>IF(K798="","",IF(_xlfn.XLOOKUP(K798,K$4:K797,$DJ$4:DJ797,0,,-1)=DJ798,_xlfn.XLOOKUP(K798,K$4:K797,Q$4:Q797,1,,-1)+1,1))</f>
        <v>3</v>
      </c>
      <c r="R798" s="247">
        <f>IF(K798="","",_xlfn.XLOOKUP(K798,K$4:K797,R$4:R797,0,,-1)+IF($C798=" ",1,0))</f>
        <v>0</v>
      </c>
      <c r="S798" s="404"/>
      <c r="T798" s="378"/>
      <c r="U798" s="378"/>
      <c r="V798" s="404"/>
      <c r="W798" s="378"/>
      <c r="X798" s="453"/>
      <c r="Y798" s="383"/>
      <c r="Z798" s="384"/>
      <c r="AA798" s="384"/>
      <c r="AB798" s="384"/>
      <c r="AC798" s="384"/>
      <c r="AD798" s="240">
        <f>((L797/(L797-1)-1))</f>
        <v>0.95238095238095255</v>
      </c>
      <c r="AE798" s="190">
        <f>IF(L798="","",(SUM(((L796-1)*(1-_xlfn.XLOOKUP(K796,'Fevereiro 2023 - Valor Real'!A3:A15,'Fevereiro 2023 - Valor Real'!C3:C15,0))+1),((L797-1)*(1-_xlfn.XLOOKUP(K797,'Fevereiro 2023 - Valor Real'!A3:A15,'Fevereiro 2023 - Valor Real'!C3:C15,0))+1),((L798-1)*(1-_xlfn.XLOOKUP(K798,'Fevereiro 2023 - Valor Real'!A3:A15,'Fevereiro 2023 - Valor Real'!C3:C15,0))+1))/((L798-1)*(1-_xlfn.XLOOKUP(K798,'Fevereiro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Real'!C3:C15,0))+1))/((L796-1)*(1-_xlfn.XLOOKUP(K796,'Fevereiro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Real'!C3:C15,0))+1))/((L797-1)*(1-_xlfn.XLOOKUP(K797,'Fevereiro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Real'!C3:C15,0))+1))/((L798-1)*(1-_xlfn.XLOOKUP(K798,'Fevereiro 2023 - Valor Real'!A3:A15,'Fevereiro 2023 - Valor Real'!C3:C15,0))+1)))</f>
        <v>0.20023118046525065</v>
      </c>
      <c r="AF798" s="66">
        <f t="shared" si="1602"/>
        <v>0</v>
      </c>
      <c r="AG798" s="67">
        <f t="shared" si="1602"/>
        <v>35.69</v>
      </c>
      <c r="AH798" s="67">
        <f t="shared" si="1602"/>
        <v>0</v>
      </c>
      <c r="AI798" s="67">
        <f t="shared" si="1602"/>
        <v>0</v>
      </c>
      <c r="AJ798" s="67">
        <f t="shared" si="1602"/>
        <v>0</v>
      </c>
      <c r="AK798" s="67">
        <f t="shared" si="1602"/>
        <v>0</v>
      </c>
      <c r="AL798" s="67">
        <f t="shared" si="1602"/>
        <v>0</v>
      </c>
      <c r="AM798" s="67">
        <f t="shared" si="1602"/>
        <v>0</v>
      </c>
      <c r="AN798" s="67">
        <f t="shared" si="1602"/>
        <v>0</v>
      </c>
      <c r="AO798" s="67">
        <f t="shared" si="1602"/>
        <v>0</v>
      </c>
      <c r="AP798" s="67">
        <f t="shared" si="1602"/>
        <v>0</v>
      </c>
      <c r="AQ798" s="67">
        <f t="shared" si="1602"/>
        <v>0</v>
      </c>
      <c r="AR798" s="68">
        <f t="shared" si="1602"/>
        <v>0</v>
      </c>
      <c r="AS798" s="66">
        <f>IF(AND($B796=" ",$K798=AS$3),$O798,0)</f>
        <v>0</v>
      </c>
      <c r="AT798" s="67">
        <f>IF(AND($B796=" ",K798=AT$3),$O798,0)</f>
        <v>0</v>
      </c>
      <c r="AU798" s="67">
        <f t="shared" ref="AU798:BE798" si="1609">IF(AND($B796=" ",$K798=AU$3),$O798,0)</f>
        <v>0</v>
      </c>
      <c r="AV798" s="67">
        <f t="shared" si="1609"/>
        <v>0</v>
      </c>
      <c r="AW798" s="67">
        <f t="shared" si="1609"/>
        <v>0</v>
      </c>
      <c r="AX798" s="67">
        <f t="shared" si="1609"/>
        <v>0</v>
      </c>
      <c r="AY798" s="69">
        <f t="shared" si="1609"/>
        <v>0</v>
      </c>
      <c r="AZ798" s="70">
        <f t="shared" si="1609"/>
        <v>0</v>
      </c>
      <c r="BA798" s="70">
        <f t="shared" si="1609"/>
        <v>0</v>
      </c>
      <c r="BB798" s="70">
        <f t="shared" si="1609"/>
        <v>0</v>
      </c>
      <c r="BC798" s="71">
        <f t="shared" si="1609"/>
        <v>0</v>
      </c>
      <c r="BD798" s="67">
        <f t="shared" si="1609"/>
        <v>0</v>
      </c>
      <c r="BE798" s="68">
        <f t="shared" si="1609"/>
        <v>0</v>
      </c>
      <c r="BF798" s="66">
        <f t="shared" si="1604"/>
        <v>0</v>
      </c>
      <c r="BG798" s="67">
        <f t="shared" si="1604"/>
        <v>13.22</v>
      </c>
      <c r="BH798" s="67">
        <f t="shared" si="1604"/>
        <v>0</v>
      </c>
      <c r="BI798" s="67">
        <f t="shared" si="1604"/>
        <v>0</v>
      </c>
      <c r="BJ798" s="67">
        <f t="shared" si="1604"/>
        <v>0</v>
      </c>
      <c r="BK798" s="67">
        <f t="shared" si="1604"/>
        <v>0</v>
      </c>
      <c r="BL798" s="67">
        <f t="shared" si="1604"/>
        <v>0</v>
      </c>
      <c r="BM798" s="69">
        <f t="shared" si="1604"/>
        <v>0</v>
      </c>
      <c r="BN798" s="70">
        <f t="shared" si="1604"/>
        <v>0</v>
      </c>
      <c r="BO798" s="70">
        <f t="shared" si="1604"/>
        <v>0</v>
      </c>
      <c r="BP798" s="70">
        <f t="shared" si="1604"/>
        <v>0</v>
      </c>
      <c r="BQ798" s="71">
        <f t="shared" si="1604"/>
        <v>0</v>
      </c>
      <c r="BR798" s="68">
        <f t="shared" si="1604"/>
        <v>0</v>
      </c>
      <c r="BS798" s="464"/>
      <c r="BT798" s="461"/>
      <c r="BU798" s="392"/>
      <c r="BV798" s="461"/>
      <c r="BW798" s="392"/>
      <c r="BX798" s="392"/>
      <c r="BY798" s="392"/>
      <c r="BZ798" s="461"/>
      <c r="CA798" s="392"/>
      <c r="CB798" s="392"/>
      <c r="CC798" s="392"/>
      <c r="CD798" s="401"/>
      <c r="CE798" s="409"/>
      <c r="CF798" s="236">
        <f t="shared" si="1540"/>
        <v>0</v>
      </c>
      <c r="CG798" s="237">
        <f t="shared" si="1541"/>
        <v>0</v>
      </c>
      <c r="CH798" s="237">
        <f t="shared" si="1542"/>
        <v>1</v>
      </c>
      <c r="CI798" s="237">
        <f t="shared" si="1543"/>
        <v>0</v>
      </c>
      <c r="CJ798" s="237">
        <f t="shared" si="1544"/>
        <v>0</v>
      </c>
      <c r="CK798" s="237">
        <f t="shared" si="1545"/>
        <v>0</v>
      </c>
      <c r="CL798" s="237">
        <f t="shared" si="1546"/>
        <v>0</v>
      </c>
      <c r="CM798" s="237">
        <f t="shared" si="1547"/>
        <v>0</v>
      </c>
      <c r="CN798" s="237">
        <f t="shared" si="1548"/>
        <v>0</v>
      </c>
      <c r="CO798" s="237">
        <f t="shared" si="1549"/>
        <v>0</v>
      </c>
      <c r="CP798" s="237">
        <f t="shared" si="1550"/>
        <v>0</v>
      </c>
      <c r="CQ798" s="237">
        <f t="shared" si="1551"/>
        <v>0</v>
      </c>
      <c r="CR798" s="237">
        <f t="shared" si="1552"/>
        <v>0</v>
      </c>
      <c r="CS798" s="237">
        <f t="shared" si="1553"/>
        <v>0</v>
      </c>
      <c r="CT798" s="75">
        <f t="shared" si="1554"/>
        <v>0</v>
      </c>
      <c r="CU798" s="76">
        <f t="shared" si="1555"/>
        <v>0</v>
      </c>
      <c r="CV798" s="76">
        <f t="shared" si="1556"/>
        <v>0</v>
      </c>
      <c r="CW798" s="76">
        <f t="shared" si="1557"/>
        <v>0</v>
      </c>
      <c r="CX798" s="76">
        <f t="shared" si="1558"/>
        <v>0</v>
      </c>
      <c r="CY798" s="76">
        <f t="shared" si="1559"/>
        <v>0</v>
      </c>
      <c r="CZ798" s="76">
        <f t="shared" si="1560"/>
        <v>0</v>
      </c>
      <c r="DA798" s="76">
        <f t="shared" si="1561"/>
        <v>0</v>
      </c>
      <c r="DB798" s="76">
        <f t="shared" si="1562"/>
        <v>0</v>
      </c>
      <c r="DC798" s="76">
        <f t="shared" si="1563"/>
        <v>0</v>
      </c>
      <c r="DD798" s="76">
        <f t="shared" si="1564"/>
        <v>0</v>
      </c>
      <c r="DE798" s="77">
        <f t="shared" si="1565"/>
        <v>0</v>
      </c>
      <c r="DF798" s="73">
        <f t="shared" si="1567"/>
        <v>44</v>
      </c>
      <c r="DG798" s="67">
        <f t="shared" si="1568"/>
        <v>58.567999999999991</v>
      </c>
      <c r="DH798" s="76">
        <f t="shared" si="1569"/>
        <v>17</v>
      </c>
      <c r="DI798" s="67">
        <f t="shared" si="1570"/>
        <v>72.399999999999991</v>
      </c>
      <c r="DJ798" s="202" t="str">
        <f>IF($D796="","",$D796)</f>
        <v>27</v>
      </c>
      <c r="DK798" s="466"/>
    </row>
    <row r="799" spans="1:115" ht="14.5" customHeight="1" x14ac:dyDescent="0.2">
      <c r="A799" s="459">
        <f>$A796+1</f>
        <v>266</v>
      </c>
      <c r="B799" s="507" t="str">
        <f>IF(OR(C799="W",C800="W",C801="W",C799="1/2W",C800="1/2W",C801="1/2W",C799="1/2L",C800="1/2L",C801="1/2L"),"OK",IF(OR(C799="L",C800="L",C801="L"),"LOSS",IF(OR(C799="X",C800="X",C801="X"),"Anulado"," ")))</f>
        <v>OK</v>
      </c>
      <c r="C799" s="93" t="s">
        <v>55</v>
      </c>
      <c r="D799" s="468" t="str">
        <f>IF(G799="","",$D796)</f>
        <v>27</v>
      </c>
      <c r="E799" s="485" t="str">
        <f>IF(G799=""," ","– "&amp;COUNTIF(D$4:D801,$D799))</f>
        <v>– 13</v>
      </c>
      <c r="F799" s="509" t="str">
        <f ca="1">IF(G799="","",IF(OR(AND($C799&lt;&gt;" ",$C800=" "),AND($C800&lt;&gt;" ",$C799=" "),AND(L801&gt;0,OR(AND($C801&lt;&gt;" ",OR($C799=" ",$C800=" ")),AND($C801=" ",OR($C799&lt;&gt;" ",$C800&lt;&gt;" "))))),IF(SUM(F$4:F798)=0,1,LARGE(F$4:F798,1)+1),IF(MONTH(G799)=MONTH(TODAY()),IF(AND(DAY(G799)&lt;DAY(TODAY()),$B799=" "),IF(SUM(F$4:F798)=0,1,LARGE(F$4:F798,1)+1),IF($B799=" ",IF(AND(DAY(G799)=DAY(TODAY()),HOUR(G799)&lt;=HOUR(NOW())+1),IF(AND(HOUR(G799)+2&lt;=HOUR(NOW()),DAY(G799)&lt;=DAY(TODAY()),MINUTE(G799)&lt;=MINUTE(NOW())),IF(SUM(F$4:F798)=0,1,LARGE(F$4:F798,1)+1),IF(OR(MINUTE(G799)&lt;=MINUTE(NOW()),HOUR(G799)&lt;=HOUR(NOW())),"!!!","")),""),"")),"")))</f>
        <v/>
      </c>
      <c r="G799" s="482">
        <f>IF(H799="","",_xlfn.XLOOKUP(H799,$H$4:H798,$G$4:G798,""))</f>
        <v>45012.65625</v>
      </c>
      <c r="H799" s="475" t="s">
        <v>270</v>
      </c>
      <c r="I799" s="94" t="s">
        <v>51</v>
      </c>
      <c r="J799" s="95">
        <v>3</v>
      </c>
      <c r="K799" s="96" t="s">
        <v>47</v>
      </c>
      <c r="L799" s="97">
        <v>2.59</v>
      </c>
      <c r="M799" s="98">
        <v>16.440000000000001</v>
      </c>
      <c r="N799" s="478">
        <v>0</v>
      </c>
      <c r="O799" s="99">
        <f>IF(OR(AE799="",AE800=""),"",ROUND(IF(L801&gt;0,IF(M799&gt;0,M799,IF(M800&gt;0,ROUND((M800*AE799)/AE800,IF(N799=0,2,IF(N799=0.1,1,0))),ROUND((M801*AE799)/AE801,IF(N799=0,2,IF(N799=0.1,1,0))))),IF(M799&gt;0,M799,ROUND((M800*AE799)/AE800,IF(N799=0,2,IF(N799=0.1,1,0))))),2))</f>
        <v>16.440000000000001</v>
      </c>
      <c r="P799" s="100">
        <f>IF(OR(L799="",O799=""),"",IF($C799="1/2W",O799/2+O799/2*L799,IF($C799="1/2L",O799/2,IF(I799="Lay",(O799*(L799/(L799-1))-O799)*(1-_xlfn.XLOOKUP(K799,'Fevereiro 2023 - Valor Real'!A3:A15,'Fevereiro 2023 - Valor Real'!C3:C15,0))+O799,(O799*L799-O799)*(1-_xlfn.XLOOKUP(K799,'Fevereiro 2023 - Valor Real'!A3:A15,'Fevereiro 2023 - Valor Real'!C3:C15,0))+O799))))</f>
        <v>42.579599999999999</v>
      </c>
      <c r="Q799" s="101">
        <f>IF(K799="","",IF(_xlfn.XLOOKUP(K799,K$4:K798,$DJ$4:DJ798,0,,-1)=DJ799,_xlfn.XLOOKUP(K799,K$4:K798,Q$4:Q798,1,,-1)+1,1))</f>
        <v>3</v>
      </c>
      <c r="R799" s="102">
        <f>IF(K799="","",_xlfn.XLOOKUP(K799,K$4:K798,R$4:R798,0,,-1)+IF($C799=" ",1,0))</f>
        <v>0</v>
      </c>
      <c r="S799" s="474">
        <f>IF($B799="Anulado",0,ROUND(IF(OR($B799="LOSS",$B799="OK"),IF(OR($C799="W",$C799="1/2W",$C799="1/2L"),P799-O799,IF($C799="L",-O799,0))+IF(OR($C800="W",$C800="1/2W",$C800="1/2L"),P800-O800,IF($C800="L",-O800,0))+IF(OR($C801="W",$C801="1/2W",$C801="1/2L"),P801-O801,IF($C801="L",-O801,0)),IF(AND(OR($C799="W",$C799="1/2W",$C799="1/2L"),C800="W"),P799+P800-SUM(O799:O801)+_xlfn.XLOOKUP("X",C799:C801,O799:O801,0),IF(AND(C799=TRUE,C801="W"),P799+P801-SUM(O799:O801),IF(AND(C800="W",C801="W"),P800+P801-SUM(O799:O801)+_xlfn.XLOOKUP("X",C799:C801,O799:O801,0),IF(L801&gt;0,IF(OR($C799="W",$C799="1/2W",$C799="1/2L"),P799-SUM(O799:O801)+_xlfn.XLOOKUP("X",C799:C801,O799:O801,0),IF(OR($C799="W",$C799="1/2W",$C799="1/2L"),P800-SUM(O799:O801)+_xlfn.XLOOKUP("X",C799:C801,O799:O801,0),IF(OR($C799="W",$C799="1/2W",$C799="1/2L"),P801-SUM(O799:O801)+_xlfn.XLOOKUP("X",C799:C801,O799:O801,0),IF(SUM(P799:P801)/3-SUM(O799:O801)+_xlfn.XLOOKUP("X",C799:C801,O799:O801,0)&gt;0,SUM(P799:P801)/3-SUM(O799:O801)+_xlfn.XLOOKUP("X",C799:C801,O799:O801,0),LARGE(P799:P801,1)-SUM(O799:O801))))),IF(OR($C799="W",$C799="1/2W",$C799="1/2L"),P799-SUM(O799:O800)+_xlfn.XLOOKUP("X",C799:C801,O799:O801,0),IF(OR($C799="W",$C799="1/2W",$C799="1/2L"),P800-SUM(O799:O800)+_xlfn.XLOOKUP("X",C799:C801,O799:O801,0),SUM(P799:P800)/2-SUM(O799:O800)+_xlfn.XLOOKUP("X",C799:C801,O799:O801,0)))))))),2))</f>
        <v>2.87</v>
      </c>
      <c r="T799" s="458">
        <f>IF(S799=0,0,S799/SUM(O799:O801))</f>
        <v>7.2273986401410223E-2</v>
      </c>
      <c r="U799" s="470">
        <f>IF($D799=$D796,IF(OR($B799="LOSS",$B799="OK",$B799="Anulada"),S799,0)+U796,IF(OR($B799="LOSS",$B799="OK",$B799="Anulada"),S799,0))</f>
        <v>37.199999999999996</v>
      </c>
      <c r="V799" s="470">
        <f>IF($D799="",0,IF($D799=$D796,IF($B799=" ",IF(I801="",IF(OR(AND(I799="DNB1",I800="DNB2"),AND(OR(I799="DNB1",I799="DNB2"),J800=0),AND(OR(I800="DNB1",I800="DNB2"),J799=0),AND(I799="DNB2",I800="DNB1"),AND(IF(J799=0,(J799+1)/ROUND(J799+1,0),J799/ROUND(J799,0))=1,IF(J800=0,(J800+1)/ROUND(IF(J800="",0,J800)+1,0),IF(J800="",0,J800)/ROUND(IF(J800="",1,J800),0))=1,OR(J799&lt;&gt;""),J800&lt;&gt;"")),0,IF(S799&lt;0,IF(I801="",SMALL(P799:P800,1)-SUM(O799:O800),0),SMALL(P799:P800,1)-SUM(O799:O800))),IF(S799&lt;0,IF(I801="",SMALL(P799:P801,1)-SUM(O799:O801),0),LARGE(P799:P801,1)-SUM(O799:O801))),S799)+V796,IF(I801="",IF(OR(AND(I799="DNB1",I800="DNB2"),AND(OR(I799="DNB1",I799="DNB2"),J800=0),AND(OR(I800="DNB1",I800="DNB2"),J799=0),AND(I799="DNB2",I800="DNB1"),AND(IF(J799=0,(J799+1)/ROUND(J799+1,0),J799/ROUND(J799,0))=1,IF(J800=0,(IF(J800="",0,J800)+1)/ROUND(IF(J800="",0,J800)+1,0),IF(J800="",0,J800)/ROUND(IF(J800="",0,J800)+1,0))=1,OR(J799&lt;&gt;""),J800&lt;&gt;"")),0,IF(S799&lt;0,IF(I801="",SMALL(P799:P800,1)-SUM(O799:O800),0),SMALL(P799:P801,1)-SUM(O799:O801))),IF(S799&lt;0,IF(I801="",SMALL(P799:P801,1)-SUM(O799:O801),0),LARGE(P799:P801,1)-SUM(O799:O801)))))</f>
        <v>37.199999999999996</v>
      </c>
      <c r="W799" s="470">
        <f>IF($D799=$D796,IF(S799&lt;0,IF(I801="",S799,0),S799)+W796,S799)</f>
        <v>37.199999999999996</v>
      </c>
      <c r="X799" s="480" t="str">
        <f>IF(OR(SUM(R799:R801)=0,V799=W799),ROUND(IF(W799=0,0,W799/Y799)*100,2)&amp;"%",ROUND(IF(V799=0,0,V799/Y799)*100,2)&amp;"% a "&amp;ROUND(IF(W799=0,0,W799/Y799)*100,2)&amp;"%")</f>
        <v>6,65%</v>
      </c>
      <c r="Y799" s="471">
        <f>IF($D799=$D796,Y796+SUM(O799:O801),SUM(O799:O801))</f>
        <v>559.77</v>
      </c>
      <c r="Z799" s="470">
        <f>IF($B799=" ",SUM(O799:O801),0)+Z796</f>
        <v>0</v>
      </c>
      <c r="AA799" s="470">
        <f>IF(G799="","",IF($B799="Anulado",LARGE(P799:P801,1)-SUM(O799:O801)+AA796,AA796))</f>
        <v>13.381099999999991</v>
      </c>
      <c r="AB799" s="470">
        <f>IF($D799="","",AB796+S799)</f>
        <v>884.89000000000067</v>
      </c>
      <c r="AC799" s="472">
        <f ca="1">IF($D799="","",IF($B799=" ",IF(DAY(G799)=DAY(TODAY()),1+AC796,0+AC796),0+AC796))</f>
        <v>0</v>
      </c>
      <c r="AD799" s="103">
        <f>(((L800/(L800-1)-1)*(1-_xlfn.XLOOKUP(K800,'Fevereiro 2023 - Valor Real'!A3:A15,'Fevereiro 2023 - Valor Real'!C3:C15,0))+1))/(((L799-1)*(1-_xlfn.XLOOKUP(K799,'Fevereiro 2023 - Valor Real'!A3:A15,'Fevereiro 2023 - Valor Real'!C3:C15,0))+1)+((L800/(L800-1)-1)*(1-_xlfn.XLOOKUP(K800,'Fevereiro 2023 - Valor Real'!A3:A15,'Fevereiro 2023 - Valor Real'!C3:C15,0))+1))</f>
        <v>0.45983365580320124</v>
      </c>
      <c r="AE799" s="104">
        <f>IF(L799="","",IF(L801&gt;0,(SUM(((L799-1)*(1-_xlfn.XLOOKUP(K799,'Fevereiro 2023 - Valor Real'!A3:A15,'Fevereiro 2023 - Valor Real'!C3:C15,0))+1),((L800-1)*(1-_xlfn.XLOOKUP(K800,'Fevereiro 2023 - Valor Real'!A3:A15,'Fevereiro 2023 - Valor Real'!C3:C15,0))+1),((L801-1)*(1-_xlfn.XLOOKUP(K801,'Fevereiro 2023 - Valor Real'!A3:A15,'Fevereiro 2023 - Valor Real'!C3:C15,0))+1))/((L799-1)*(1-_xlfn.XLOOKUP(K799,'Fevereiro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Real'!C3:C15,0))+1))/((L799-1)*(1-_xlfn.XLOOKUP(K799,'Fevereiro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Real'!C3:C15,0))+1))/((L800-1)*(1-_xlfn.XLOOKUP(K800,'Fevereiro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Real'!C3:C15,0))+1))/((L801-1)*(1-_xlfn.XLOOKUP(K801,'Fevereiro 2023 - Valor Real'!A3:A15,'Fevereiro 2023 - Valor Real'!C3:C15,0))+1)),IF(I799="Lay",IF(I800="Lay",((L800/(L800-1)-1)*(1-_xlfn.XLOOKUP(K800,'Fevereiro 2023 - Valor Real'!A3:A15,'Fevereiro 2023 - Valor Real'!C3:C15,0))+1)/(((L800/(L800-1)-1)*(1-_xlfn.XLOOKUP(K800,'Fevereiro 2023 - Valor Real'!A3:A15,'Fevereiro 2023 - Valor Real'!C3:C15,0))+1)+((L799/(L799-1)-1)*(1-_xlfn.XLOOKUP(K799,'Fevereiro 2023 - Valor Real'!A3:A15,'Fevereiro 2023 - Valor Real'!C3:C15,0))+1)),((L800-1)*(1-_xlfn.XLOOKUP(K800,'Fevereiro 2023 - Valor Real'!A3:A15,'Fevereiro 2023 - Valor Real'!C3:C15,0))+1)/(((L800-1)*(1-_xlfn.XLOOKUP(K800,'Fevereiro 2023 - Valor Real'!A3:A15,'Fevereiro 2023 - Valor Real'!C3:C15,0))+1)+((L799/(L799-1)-1)*(1-_xlfn.XLOOKUP(K799,'Fevereiro 2023 - Valor Real'!A3:A15,'Fevereiro 2023 - Valor Real'!C3:C15,0))+1))),IF(I800="Lay",(((L800/(L800-1)-1)*(1-_xlfn.XLOOKUP(K800,'Fevereiro 2023 - Valor Real'!A3:A15,'Fevereiro 2023 - Valor Real'!C3:C15,0))+1))/(((L799-1)*(1-_xlfn.XLOOKUP(K799,'Fevereiro 2023 - Valor Real'!A3:A15,'Fevereiro 2023 - Valor Real'!C3:C15,0))+1)+((L800/(L800-1)-1)*(1-_xlfn.XLOOKUP(K800,'Fevereiro 2023 - Valor Real'!A3:A15,'Fevereiro 2023 - Valor Real'!C3:C15,0))+1)),((L800-1)*(1-_xlfn.XLOOKUP(K800,'Fevereiro 2023 - Valor Real'!A3:A15,'Fevereiro 2023 - Valor Real'!C3:C15,0))+1)/(((L800-1)*(1-_xlfn.XLOOKUP(K800,'Fevereiro 2023 - Valor Real'!A3:A15,'Fevereiro 2023 - Valor Real'!C3:C15,0))+1)+((L799-1)*(1-_xlfn.XLOOKUP(K799,'Fevereiro 2023 - Valor Real'!A3:A15,'Fevereiro 2023 - Valor Real'!C3:C15,0))+1))))))</f>
        <v>0.414027149321267</v>
      </c>
      <c r="AF799" s="105">
        <f t="shared" si="1602"/>
        <v>0</v>
      </c>
      <c r="AG799" s="106">
        <f t="shared" si="1602"/>
        <v>0</v>
      </c>
      <c r="AH799" s="106">
        <f t="shared" si="1602"/>
        <v>0</v>
      </c>
      <c r="AI799" s="106">
        <f t="shared" si="1602"/>
        <v>0</v>
      </c>
      <c r="AJ799" s="106">
        <f t="shared" si="1602"/>
        <v>0</v>
      </c>
      <c r="AK799" s="106">
        <f t="shared" si="1602"/>
        <v>0</v>
      </c>
      <c r="AL799" s="106">
        <f t="shared" si="1602"/>
        <v>0</v>
      </c>
      <c r="AM799" s="106">
        <f t="shared" si="1602"/>
        <v>0</v>
      </c>
      <c r="AN799" s="106">
        <f t="shared" si="1602"/>
        <v>0</v>
      </c>
      <c r="AO799" s="106">
        <f t="shared" si="1602"/>
        <v>0</v>
      </c>
      <c r="AP799" s="106">
        <f t="shared" si="1602"/>
        <v>0</v>
      </c>
      <c r="AQ799" s="106">
        <f t="shared" si="1602"/>
        <v>-16.440000000000001</v>
      </c>
      <c r="AR799" s="107">
        <f t="shared" si="1602"/>
        <v>0</v>
      </c>
      <c r="AS799" s="105">
        <f t="shared" ref="AS799:BE799" si="1610">IF(AND($B799=" ",$K799=AS$3),$O799,0)</f>
        <v>0</v>
      </c>
      <c r="AT799" s="106">
        <f t="shared" si="1610"/>
        <v>0</v>
      </c>
      <c r="AU799" s="106">
        <f t="shared" si="1610"/>
        <v>0</v>
      </c>
      <c r="AV799" s="106">
        <f t="shared" si="1610"/>
        <v>0</v>
      </c>
      <c r="AW799" s="106">
        <f t="shared" si="1610"/>
        <v>0</v>
      </c>
      <c r="AX799" s="106">
        <f t="shared" si="1610"/>
        <v>0</v>
      </c>
      <c r="AY799" s="108">
        <f t="shared" si="1610"/>
        <v>0</v>
      </c>
      <c r="AZ799" s="109">
        <f t="shared" si="1610"/>
        <v>0</v>
      </c>
      <c r="BA799" s="109">
        <f t="shared" si="1610"/>
        <v>0</v>
      </c>
      <c r="BB799" s="109">
        <f t="shared" si="1610"/>
        <v>0</v>
      </c>
      <c r="BC799" s="110">
        <f t="shared" si="1610"/>
        <v>0</v>
      </c>
      <c r="BD799" s="106">
        <f t="shared" si="1610"/>
        <v>0</v>
      </c>
      <c r="BE799" s="107">
        <f t="shared" si="1610"/>
        <v>0</v>
      </c>
      <c r="BF799" s="111">
        <f t="shared" si="1604"/>
        <v>0</v>
      </c>
      <c r="BG799" s="106">
        <f t="shared" si="1604"/>
        <v>0</v>
      </c>
      <c r="BH799" s="106">
        <f t="shared" si="1604"/>
        <v>0</v>
      </c>
      <c r="BI799" s="106">
        <f t="shared" si="1604"/>
        <v>0</v>
      </c>
      <c r="BJ799" s="106">
        <f t="shared" si="1604"/>
        <v>0</v>
      </c>
      <c r="BK799" s="106">
        <f t="shared" si="1604"/>
        <v>0</v>
      </c>
      <c r="BL799" s="106">
        <f t="shared" si="1604"/>
        <v>0</v>
      </c>
      <c r="BM799" s="108">
        <f t="shared" si="1604"/>
        <v>0</v>
      </c>
      <c r="BN799" s="109">
        <f t="shared" si="1604"/>
        <v>0</v>
      </c>
      <c r="BO799" s="109">
        <f t="shared" si="1604"/>
        <v>0</v>
      </c>
      <c r="BP799" s="109">
        <f t="shared" si="1604"/>
        <v>0</v>
      </c>
      <c r="BQ799" s="110">
        <f t="shared" si="1604"/>
        <v>16.440000000000001</v>
      </c>
      <c r="BR799" s="107">
        <f t="shared" si="1604"/>
        <v>0</v>
      </c>
      <c r="BS799" s="463">
        <f>IF($B799="LOSS",IF(AND($K799=BS$3,$C799="L"),-$O799,0)+IF(AND($K800=BS$3,$C800="L"),-$O800,0)+IF(AND($K801=BS$3,$C801="L"),-$O801,0),IF(OR(AND($K799=BS$3,OR($C799="W",$C799="1/2W")),AND($K800=BS$3,OR($C800="W",$C800="1/2W")),AND($K801=BS$3,OR($C801="W",$C801="1/2W"))),$S799,0))</f>
        <v>0</v>
      </c>
      <c r="BT799" s="462">
        <f>IF($B799="LOSS",IF(AND($K799=BT$3,$C799="L"),-$O799,0)+IF(AND($K800=BT$3,$C800="L"),-$O800,0)+IF(AND($K800=BT$3,$C801="L"),-$O801,0),IF(OR(AND($K800=BT$3,OR($C799="W",$C799="1/2W")),AND($K800=BT$3,OR($C800="W",$C800="1/2W")),AND($K800=BT$3,OR($C801="W",$C801="1/2W"))),$S799,0))</f>
        <v>0</v>
      </c>
      <c r="BU799" s="462">
        <f>IF($B799="LOSS",IF(AND($K799=BU$3,$C799="L"),-$O799,0)+IF(AND($K800=BU$3,$C800="L"),-$O800,0)+IF(AND($K800=BU$3,$C801="L"),-$O801,0),IF(OR(AND($K800=BU$3,OR($C799="W",$C799="1/2W")),AND($K800=BU$3,OR($C800="W",$C800="1/2W")),AND($K800=BU$3,OR($C801="W",$C801="1/2W"))),$S799,0))</f>
        <v>0</v>
      </c>
      <c r="BV799" s="462">
        <f t="shared" ref="BV799:CE799" si="1611">IF($B799="LOSS",IF(AND($K799=BV$3,$C799="L"),-$O799,0)+IF(AND($K800=BV$3,$C800="L"),-$O800,0)+IF(AND($K801=BV$3,$C801="L"),-$O801,0),IF(OR(AND($K799=BV$3,OR($C799="W",$C799="1/2W")),AND($K800=BV$3,OR($C800="W",$C800="1/2W")),AND($K801=BV$3,OR($C801="W",$C801="1/2W"))),$S799,0))</f>
        <v>0</v>
      </c>
      <c r="BW799" s="462">
        <f t="shared" si="1611"/>
        <v>2.87</v>
      </c>
      <c r="BX799" s="462">
        <f t="shared" si="1611"/>
        <v>0</v>
      </c>
      <c r="BY799" s="462">
        <f t="shared" si="1611"/>
        <v>0</v>
      </c>
      <c r="BZ799" s="460">
        <f t="shared" si="1611"/>
        <v>0</v>
      </c>
      <c r="CA799" s="460">
        <f t="shared" si="1611"/>
        <v>0</v>
      </c>
      <c r="CB799" s="460">
        <f t="shared" si="1611"/>
        <v>0</v>
      </c>
      <c r="CC799" s="460">
        <f t="shared" si="1611"/>
        <v>0</v>
      </c>
      <c r="CD799" s="473">
        <f t="shared" si="1611"/>
        <v>0</v>
      </c>
      <c r="CE799" s="479">
        <f t="shared" si="1611"/>
        <v>0</v>
      </c>
      <c r="CF799" s="113">
        <f t="shared" si="1540"/>
        <v>0</v>
      </c>
      <c r="CG799" s="114">
        <f t="shared" si="1541"/>
        <v>0</v>
      </c>
      <c r="CH799" s="114">
        <f t="shared" si="1542"/>
        <v>0</v>
      </c>
      <c r="CI799" s="114">
        <f t="shared" si="1543"/>
        <v>0</v>
      </c>
      <c r="CJ799" s="114">
        <f t="shared" si="1544"/>
        <v>0</v>
      </c>
      <c r="CK799" s="114">
        <f t="shared" si="1545"/>
        <v>0</v>
      </c>
      <c r="CL799" s="114">
        <f t="shared" si="1546"/>
        <v>0</v>
      </c>
      <c r="CM799" s="114">
        <f t="shared" si="1547"/>
        <v>0</v>
      </c>
      <c r="CN799" s="114">
        <f t="shared" si="1548"/>
        <v>0</v>
      </c>
      <c r="CO799" s="114">
        <f t="shared" si="1549"/>
        <v>0</v>
      </c>
      <c r="CP799" s="114">
        <f t="shared" si="1550"/>
        <v>0</v>
      </c>
      <c r="CQ799" s="114">
        <f t="shared" si="1551"/>
        <v>0</v>
      </c>
      <c r="CR799" s="114">
        <f t="shared" si="1552"/>
        <v>0</v>
      </c>
      <c r="CS799" s="114">
        <f t="shared" si="1553"/>
        <v>0</v>
      </c>
      <c r="CT799" s="115">
        <f t="shared" si="1554"/>
        <v>0</v>
      </c>
      <c r="CU799" s="116">
        <f t="shared" si="1555"/>
        <v>0</v>
      </c>
      <c r="CV799" s="116">
        <f t="shared" si="1556"/>
        <v>0</v>
      </c>
      <c r="CW799" s="116">
        <f t="shared" si="1557"/>
        <v>0</v>
      </c>
      <c r="CX799" s="116">
        <f t="shared" si="1558"/>
        <v>0</v>
      </c>
      <c r="CY799" s="116">
        <f t="shared" si="1559"/>
        <v>0</v>
      </c>
      <c r="CZ799" s="116">
        <f t="shared" si="1560"/>
        <v>0</v>
      </c>
      <c r="DA799" s="116">
        <f t="shared" si="1561"/>
        <v>0</v>
      </c>
      <c r="DB799" s="116">
        <f t="shared" si="1562"/>
        <v>0</v>
      </c>
      <c r="DC799" s="116">
        <f t="shared" si="1563"/>
        <v>1</v>
      </c>
      <c r="DD799" s="116">
        <f t="shared" si="1564"/>
        <v>0</v>
      </c>
      <c r="DE799" s="117">
        <f t="shared" si="1565"/>
        <v>0</v>
      </c>
      <c r="DF799" s="118">
        <f t="shared" si="1567"/>
        <v>44</v>
      </c>
      <c r="DG799" s="106">
        <f t="shared" si="1568"/>
        <v>58.567999999999991</v>
      </c>
      <c r="DH799" s="116">
        <f t="shared" si="1569"/>
        <v>17</v>
      </c>
      <c r="DI799" s="106">
        <f t="shared" si="1570"/>
        <v>72.399999999999991</v>
      </c>
      <c r="DJ799" s="201" t="str">
        <f>IF($D799="","",$D799)</f>
        <v>27</v>
      </c>
      <c r="DK799" s="465">
        <f>IF(AND($B799=" ",$D799&lt;&gt;""),1,0)</f>
        <v>0</v>
      </c>
    </row>
    <row r="800" spans="1:115" ht="14.5" customHeight="1" x14ac:dyDescent="0.2">
      <c r="A800" s="389"/>
      <c r="B800" s="456"/>
      <c r="C800" s="120" t="s">
        <v>54</v>
      </c>
      <c r="D800" s="374"/>
      <c r="E800" s="386"/>
      <c r="F800" s="377"/>
      <c r="G800" s="483"/>
      <c r="H800" s="476"/>
      <c r="I800" s="121" t="s">
        <v>52</v>
      </c>
      <c r="J800" s="122">
        <f>IF(OR(I799="TO",I799="TU",I799="TO1",I799="TU1",I799="TO2",I799="TU2"),J799,IF(OR(I799="AH1",I799="AH2"),IF(OR(I800="AH1",I800="AH2"),-J799,IF(OR(I800="EH1",I800="EH2"),-J799+0.5,"")),IF(OR(I799="EH1",I799="EH2"),IF(OR(I800="AH1",I800="AH2"),-J799+0.5,IF(OR(I800="EH1",I800="EH2"),-J799+1,"")),IF(AND(OR(I799="DNB1",I799="DNB2"),OR(I800="AH1",I800="AH2")),0,IF(AND(I799="Not ScoreBoth",OR(I800="TO1",I800="TO2")),0.5,"")))))</f>
        <v>3</v>
      </c>
      <c r="K800" s="123" t="s">
        <v>40</v>
      </c>
      <c r="L800" s="124">
        <v>1.83</v>
      </c>
      <c r="M800" s="125"/>
      <c r="N800" s="406"/>
      <c r="O800" s="126">
        <f>IF(OR(AE799="",AE800=""),"",ROUND(IF(L801&gt;0,IF(M800&gt;0,M800,IF(M799&gt;0,IF(N799=TRUE,ROUND((M799*AE800)/AE799,0),(M799*AE800)/AE799),IF(M800&gt;0,ROUND(M800,IF(N799=0,2,IF(N799=0.1,1,0))),IF(M801&gt;0,ROUND(O801*AE800/AE801,IF(N799=0,2,IF(N799=0.1,1,0))),0)))),IF(M800&gt;0,M800,ROUND((M799*AE800)/AE799,IF(N799=0,2,IF(N799=0.1,1,0))))),2))</f>
        <v>23.27</v>
      </c>
      <c r="P800" s="127">
        <f>IF(OR(L800="",O800=""),"",IF($C800="1/2W",O800/2+O800/2*L800,IF($C800="1/2L",O800/2,IF(I800="Lay",((O800*(L800/(L800-1)))-O800)*(1-_xlfn.XLOOKUP(K800,'Fevereiro 2023 - Valor Real'!A3:A15,'Fevereiro 2023 - Valor Real'!C3:C15,0))+O800,(O800*L800-O800)*(1-_xlfn.XLOOKUP(K800,'Fevereiro 2023 - Valor Real'!A3:A15,'Fevereiro 2023 - Valor Real'!C3:C15,0))+O800))))</f>
        <v>42.584099999999999</v>
      </c>
      <c r="Q800" s="128">
        <f>IF(K800="","",IF(_xlfn.XLOOKUP(K800,K$4:K799,$DJ$4:DJ799,0,,-1)=DJ800,_xlfn.XLOOKUP(K800,K$4:K799,Q$4:Q799,1,,-1)+1,1))</f>
        <v>12</v>
      </c>
      <c r="R800" s="129">
        <f>IF(K800="","",_xlfn.XLOOKUP(K800,K$4:K799,R$4:R799,0,,-1)+IF($C800=" ",1,0))</f>
        <v>0</v>
      </c>
      <c r="S800" s="403"/>
      <c r="T800" s="380"/>
      <c r="U800" s="380"/>
      <c r="V800" s="481"/>
      <c r="W800" s="380"/>
      <c r="X800" s="452"/>
      <c r="Y800" s="383"/>
      <c r="Z800" s="384"/>
      <c r="AA800" s="384"/>
      <c r="AB800" s="384"/>
      <c r="AC800" s="384"/>
      <c r="AD800" s="130">
        <f>(((L800/(L800-1)-1)*(1-_xlfn.XLOOKUP(K800,'Fevereiro 2023 - Valor Real'!A3:A15,'Fevereiro 2023 - Valor Real'!C3:C15,0))+1))</f>
        <v>2.2048192771084336</v>
      </c>
      <c r="AE800" s="131">
        <f>IF(L800="","",IF(L801&gt;0,(SUM(((L799-1)*(1-_xlfn.XLOOKUP(K799,'Fevereiro 2023 - Valor Real'!A3:A15,'Fevereiro 2023 - Valor Real'!C3:C15,0))+1),((L800-1)*(1-_xlfn.XLOOKUP(K800,'Fevereiro 2023 - Valor Real'!A3:A15,'Fevereiro 2023 - Valor Real'!C3:C15,0))+1),((L801-1)*(1-_xlfn.XLOOKUP(K801,'Fevereiro 2023 - Valor Real'!A3:A15,'Fevereiro 2023 - Valor Real'!C3:C15,0))+1))/((L800-1)*(1-_xlfn.XLOOKUP(K800,'Fevereiro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Real'!C3:C15,0))+1))/((L799-1)*(1-_xlfn.XLOOKUP(K799,'Fevereiro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Real'!C3:C15,0))+1))/((L800-1)*(1-_xlfn.XLOOKUP(K800,'Fevereiro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Real'!C3:C15,0))+1))/((L801-1)*(1-_xlfn.XLOOKUP(K801,'Fevereiro 2023 - Valor Real'!A3:A15,'Fevereiro 2023 - Valor Real'!C3:C15,0))+1)),IF(I800="Lay",IF(I799="Lay",((L799/(L799-1)-1)*(1-_xlfn.XLOOKUP(K799,'Fevereiro 2023 - Valor Real'!A3:A15,'Fevereiro 2023 - Valor Real'!C3:C15,0))+1)/(((L799/(L799-1)-1)*(1-_xlfn.XLOOKUP(K799,'Fevereiro 2023 - Valor Real'!A3:A15,'Fevereiro 2023 - Valor Real'!C3:C15,0))+1)+((L800/(L800-1)-1)*(1-_xlfn.XLOOKUP(K800,'Fevereiro 2023 - Valor Real'!A3:A15,'Fevereiro 2023 - Valor Real'!C3:C15,0))+1)),((L799-1)*(1-_xlfn.XLOOKUP(K799,'Fevereiro 2023 - Valor Real'!A3:A15,'Fevereiro 2023 - Valor Real'!C3:C15,0))+1)/(((L799-1)*(1-_xlfn.XLOOKUP(K799,'Fevereiro 2023 - Valor Real'!A3:A15,'Fevereiro 2023 - Valor Real'!C3:C15,0))+1)+((L800/(L800-1)-1)*(1-_xlfn.XLOOKUP(K800,'Fevereiro 2023 - Valor Real'!A3:A15,'Fevereiro 2023 - Valor Real'!C3:C15,0))+1))),IF(I799="Lay",((L799/(L799-1)-1)*(1-_xlfn.XLOOKUP(K799,'Fevereiro 2023 - Valor Real'!A3:A15,'Fevereiro 2023 - Valor Real'!C3:C15,0))+1)/((((L799/(L799-1)-1)*(1-_xlfn.XLOOKUP(K799,'Fevereiro 2023 - Valor Real'!A3:A15,'Fevereiro 2023 - Valor Real'!C3:C15,0))+1))+((L800-1)*(1-_xlfn.XLOOKUP(K800,'Fevereiro 2023 - Valor Real'!A3:A15,'Fevereiro 2023 - Valor Real'!C3:C15,0))+1)),((L799-1)*(1-_xlfn.XLOOKUP(K799,'Fevereiro 2023 - Valor Real'!A3:A15,'Fevereiro 2023 - Valor Real'!C3:C15,0))+1)/(((L799-1)*(1-_xlfn.XLOOKUP(K799,'Fevereiro 2023 - Valor Real'!A3:A15,'Fevereiro 2023 - Valor Real'!C3:C15,0))+1)+((L800-1)*(1-_xlfn.XLOOKUP(K800,'Fevereiro 2023 - Valor Real'!A3:A15,'Fevereiro 2023 - Valor Real'!C3:C15,0))+1))))))</f>
        <v>0.58597285067873306</v>
      </c>
      <c r="AF800" s="105">
        <f t="shared" si="1602"/>
        <v>0</v>
      </c>
      <c r="AG800" s="106">
        <f t="shared" si="1602"/>
        <v>0</v>
      </c>
      <c r="AH800" s="106">
        <f t="shared" si="1602"/>
        <v>0</v>
      </c>
      <c r="AI800" s="106">
        <f t="shared" si="1602"/>
        <v>0</v>
      </c>
      <c r="AJ800" s="106">
        <f t="shared" si="1602"/>
        <v>19.309999999999999</v>
      </c>
      <c r="AK800" s="106">
        <f t="shared" si="1602"/>
        <v>0</v>
      </c>
      <c r="AL800" s="106">
        <f t="shared" si="1602"/>
        <v>0</v>
      </c>
      <c r="AM800" s="106">
        <f t="shared" si="1602"/>
        <v>0</v>
      </c>
      <c r="AN800" s="106">
        <f t="shared" si="1602"/>
        <v>0</v>
      </c>
      <c r="AO800" s="106">
        <f t="shared" si="1602"/>
        <v>0</v>
      </c>
      <c r="AP800" s="106">
        <f t="shared" si="1602"/>
        <v>0</v>
      </c>
      <c r="AQ800" s="106">
        <f t="shared" si="1602"/>
        <v>0</v>
      </c>
      <c r="AR800" s="107">
        <f t="shared" si="1602"/>
        <v>0</v>
      </c>
      <c r="AS800" s="105">
        <f>IF(AND($B799=" ",$K800=AS$3),$O800,0)</f>
        <v>0</v>
      </c>
      <c r="AT800" s="106">
        <f>IF(AND($B799=" ",K800=AT$3),$O800,0)</f>
        <v>0</v>
      </c>
      <c r="AU800" s="106">
        <f t="shared" ref="AU800:BE800" si="1612">IF(AND($B799=" ",$K800=AU$3),$O800,0)</f>
        <v>0</v>
      </c>
      <c r="AV800" s="106">
        <f t="shared" si="1612"/>
        <v>0</v>
      </c>
      <c r="AW800" s="106">
        <f t="shared" si="1612"/>
        <v>0</v>
      </c>
      <c r="AX800" s="106">
        <f t="shared" si="1612"/>
        <v>0</v>
      </c>
      <c r="AY800" s="108">
        <f t="shared" si="1612"/>
        <v>0</v>
      </c>
      <c r="AZ800" s="109">
        <f t="shared" si="1612"/>
        <v>0</v>
      </c>
      <c r="BA800" s="109">
        <f t="shared" si="1612"/>
        <v>0</v>
      </c>
      <c r="BB800" s="109">
        <f t="shared" si="1612"/>
        <v>0</v>
      </c>
      <c r="BC800" s="110">
        <f t="shared" si="1612"/>
        <v>0</v>
      </c>
      <c r="BD800" s="106">
        <f t="shared" si="1612"/>
        <v>0</v>
      </c>
      <c r="BE800" s="107">
        <f t="shared" si="1612"/>
        <v>0</v>
      </c>
      <c r="BF800" s="105">
        <f t="shared" si="1604"/>
        <v>0</v>
      </c>
      <c r="BG800" s="106">
        <f t="shared" si="1604"/>
        <v>0</v>
      </c>
      <c r="BH800" s="106">
        <f t="shared" si="1604"/>
        <v>0</v>
      </c>
      <c r="BI800" s="106">
        <f t="shared" si="1604"/>
        <v>0</v>
      </c>
      <c r="BJ800" s="106">
        <f t="shared" si="1604"/>
        <v>23.27</v>
      </c>
      <c r="BK800" s="106">
        <f t="shared" si="1604"/>
        <v>0</v>
      </c>
      <c r="BL800" s="106">
        <f t="shared" si="1604"/>
        <v>0</v>
      </c>
      <c r="BM800" s="132">
        <f t="shared" si="1604"/>
        <v>0</v>
      </c>
      <c r="BN800" s="112">
        <f t="shared" si="1604"/>
        <v>0</v>
      </c>
      <c r="BO800" s="112">
        <f t="shared" si="1604"/>
        <v>0</v>
      </c>
      <c r="BP800" s="112">
        <f t="shared" si="1604"/>
        <v>0</v>
      </c>
      <c r="BQ800" s="110">
        <f t="shared" si="1604"/>
        <v>0</v>
      </c>
      <c r="BR800" s="107">
        <f t="shared" si="1604"/>
        <v>0</v>
      </c>
      <c r="BS800" s="464"/>
      <c r="BT800" s="461"/>
      <c r="BU800" s="392"/>
      <c r="BV800" s="461"/>
      <c r="BW800" s="392"/>
      <c r="BX800" s="392"/>
      <c r="BY800" s="392"/>
      <c r="BZ800" s="461"/>
      <c r="CA800" s="392"/>
      <c r="CB800" s="392"/>
      <c r="CC800" s="392"/>
      <c r="CD800" s="401"/>
      <c r="CE800" s="409"/>
      <c r="CF800" s="133">
        <f t="shared" si="1540"/>
        <v>0</v>
      </c>
      <c r="CG800" s="134">
        <f t="shared" si="1541"/>
        <v>0</v>
      </c>
      <c r="CH800" s="134">
        <f t="shared" si="1542"/>
        <v>0</v>
      </c>
      <c r="CI800" s="134">
        <f t="shared" si="1543"/>
        <v>0</v>
      </c>
      <c r="CJ800" s="134">
        <f t="shared" si="1544"/>
        <v>0</v>
      </c>
      <c r="CK800" s="134">
        <f t="shared" si="1545"/>
        <v>0</v>
      </c>
      <c r="CL800" s="134">
        <f t="shared" si="1546"/>
        <v>0</v>
      </c>
      <c r="CM800" s="134">
        <f t="shared" si="1547"/>
        <v>0</v>
      </c>
      <c r="CN800" s="134">
        <f t="shared" si="1548"/>
        <v>1</v>
      </c>
      <c r="CO800" s="134">
        <f t="shared" si="1549"/>
        <v>0</v>
      </c>
      <c r="CP800" s="134">
        <f t="shared" si="1550"/>
        <v>0</v>
      </c>
      <c r="CQ800" s="134">
        <f t="shared" si="1551"/>
        <v>0</v>
      </c>
      <c r="CR800" s="134">
        <f t="shared" si="1552"/>
        <v>0</v>
      </c>
      <c r="CS800" s="134">
        <f t="shared" si="1553"/>
        <v>0</v>
      </c>
      <c r="CT800" s="115">
        <f t="shared" si="1554"/>
        <v>0</v>
      </c>
      <c r="CU800" s="116">
        <f t="shared" si="1555"/>
        <v>0</v>
      </c>
      <c r="CV800" s="116">
        <f t="shared" si="1556"/>
        <v>0</v>
      </c>
      <c r="CW800" s="116">
        <f t="shared" si="1557"/>
        <v>0</v>
      </c>
      <c r="CX800" s="116">
        <f t="shared" si="1558"/>
        <v>0</v>
      </c>
      <c r="CY800" s="116">
        <f t="shared" si="1559"/>
        <v>0</v>
      </c>
      <c r="CZ800" s="116">
        <f t="shared" si="1560"/>
        <v>0</v>
      </c>
      <c r="DA800" s="116">
        <f t="shared" si="1561"/>
        <v>0</v>
      </c>
      <c r="DB800" s="116">
        <f t="shared" si="1562"/>
        <v>0</v>
      </c>
      <c r="DC800" s="116">
        <f t="shared" si="1563"/>
        <v>0</v>
      </c>
      <c r="DD800" s="116">
        <f t="shared" si="1564"/>
        <v>0</v>
      </c>
      <c r="DE800" s="117">
        <f t="shared" si="1565"/>
        <v>0</v>
      </c>
      <c r="DF800" s="118">
        <f t="shared" si="1567"/>
        <v>44</v>
      </c>
      <c r="DG800" s="106">
        <f t="shared" si="1568"/>
        <v>58.567999999999991</v>
      </c>
      <c r="DH800" s="116">
        <f t="shared" si="1569"/>
        <v>17</v>
      </c>
      <c r="DI800" s="106">
        <f t="shared" si="1570"/>
        <v>72.399999999999991</v>
      </c>
      <c r="DJ800" s="201" t="str">
        <f>IF($D799="","",$D799)</f>
        <v>27</v>
      </c>
      <c r="DK800" s="466"/>
    </row>
    <row r="801" spans="1:115" ht="14.5" customHeight="1" x14ac:dyDescent="0.2">
      <c r="A801" s="390"/>
      <c r="B801" s="457"/>
      <c r="C801" s="135" t="s">
        <v>53</v>
      </c>
      <c r="D801" s="375"/>
      <c r="E801" s="387"/>
      <c r="F801" s="378"/>
      <c r="G801" s="484"/>
      <c r="H801" s="477"/>
      <c r="I801" s="136"/>
      <c r="J801" s="137"/>
      <c r="K801" s="138"/>
      <c r="L801" s="139"/>
      <c r="M801" s="140"/>
      <c r="N801" s="407"/>
      <c r="O801" s="141" t="str">
        <f>IF(OR(AE799="",AE800=""),"",IF(L801&gt;0,ROUND(IF(M801&gt;0,M801,IF(M799&gt;0,ROUND((M799*AE801)/AE799,IF(N799=0,2,IF(N799=0.1,1,0))),IF(M800&gt;0,ROUND((M800*AE801)/AE800,IF(N799=0,2,IF(N799=0.1,1,0))),IF(M801&gt;0,M801,0)))),2),""))</f>
        <v/>
      </c>
      <c r="P801" s="142" t="str">
        <f>IF(I800="Lay",O800*(L800/(L800-1))-O800,IF(I799="Lay",O799*(L799/(L799-1))-O799,IF(OR(L801="",O801=""),"",IF($C801="1/2W",O801/2+O801/2*L801,IF($C801="1/2L",O801/2,(O801*L801-O801)*(1-_xlfn.XLOOKUP(K801,'Fevereiro 2023 - Valor Real'!A3:A15,'Fevereiro 2023 - Valor Real'!C3:C15,0))+O801)))))</f>
        <v/>
      </c>
      <c r="Q801" s="221" t="str">
        <f>IF(K801="","",IF(_xlfn.XLOOKUP(K801,K$4:K800,$DJ$4:DJ800,0,,-1)=DJ801,_xlfn.XLOOKUP(K801,K$4:K800,Q$4:Q800,1,,-1)+1,1))</f>
        <v/>
      </c>
      <c r="R801" s="144" t="str">
        <f>IF(K801="","",_xlfn.XLOOKUP(K801,K$4:K800,R$4:R800,0,,-1)+IF($C801=" ",1,0))</f>
        <v/>
      </c>
      <c r="S801" s="404"/>
      <c r="T801" s="378"/>
      <c r="U801" s="378"/>
      <c r="V801" s="404"/>
      <c r="W801" s="378"/>
      <c r="X801" s="453"/>
      <c r="Y801" s="383"/>
      <c r="Z801" s="384"/>
      <c r="AA801" s="384"/>
      <c r="AB801" s="384"/>
      <c r="AC801" s="384"/>
      <c r="AD801" s="145">
        <f>((L800/(L800-1)-1))</f>
        <v>1.2048192771084336</v>
      </c>
      <c r="AE801" s="146" t="str">
        <f>IF(L801="","",(SUM(((L799-1)*(1-_xlfn.XLOOKUP(K799,'Fevereiro 2023 - Valor Real'!A3:A15,'Fevereiro 2023 - Valor Real'!C3:C15,0))+1),((L800-1)*(1-_xlfn.XLOOKUP(K800,'Fevereiro 2023 - Valor Real'!A3:A15,'Fevereiro 2023 - Valor Real'!C3:C15,0))+1),((L801-1)*(1-_xlfn.XLOOKUP(K801,'Fevereiro 2023 - Valor Real'!A3:A15,'Fevereiro 2023 - Valor Real'!C3:C15,0))+1))/((L801-1)*(1-_xlfn.XLOOKUP(K801,'Fevereiro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Real'!C3:C15,0))+1))/((L799-1)*(1-_xlfn.XLOOKUP(K799,'Fevereiro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Real'!C3:C15,0))+1))/((L800-1)*(1-_xlfn.XLOOKUP(K800,'Fevereiro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Real'!C3:C15,0))+1))/((L801-1)*(1-_xlfn.XLOOKUP(K801,'Fevereiro 2023 - Valor Real'!A3:A15,'Fevereiro 2023 - Valor Real'!C3:C15,0))+1)))</f>
        <v/>
      </c>
      <c r="AF801" s="105">
        <f t="shared" si="1602"/>
        <v>0</v>
      </c>
      <c r="AG801" s="106">
        <f t="shared" si="1602"/>
        <v>0</v>
      </c>
      <c r="AH801" s="106">
        <f t="shared" si="1602"/>
        <v>0</v>
      </c>
      <c r="AI801" s="106">
        <f t="shared" si="1602"/>
        <v>0</v>
      </c>
      <c r="AJ801" s="106">
        <f t="shared" si="1602"/>
        <v>0</v>
      </c>
      <c r="AK801" s="106">
        <f t="shared" si="1602"/>
        <v>0</v>
      </c>
      <c r="AL801" s="106">
        <f t="shared" si="1602"/>
        <v>0</v>
      </c>
      <c r="AM801" s="106">
        <f t="shared" si="1602"/>
        <v>0</v>
      </c>
      <c r="AN801" s="106">
        <f t="shared" si="1602"/>
        <v>0</v>
      </c>
      <c r="AO801" s="106">
        <f t="shared" si="1602"/>
        <v>0</v>
      </c>
      <c r="AP801" s="106">
        <f t="shared" si="1602"/>
        <v>0</v>
      </c>
      <c r="AQ801" s="106">
        <f t="shared" si="1602"/>
        <v>0</v>
      </c>
      <c r="AR801" s="107">
        <f t="shared" si="1602"/>
        <v>0</v>
      </c>
      <c r="AS801" s="105">
        <f>IF(AND($B799=" ",$K801=AS$3),$O801,0)</f>
        <v>0</v>
      </c>
      <c r="AT801" s="106">
        <f>IF(AND($B799=" ",K801=AT$3),$O801,0)</f>
        <v>0</v>
      </c>
      <c r="AU801" s="106">
        <f t="shared" ref="AU801:BE801" si="1613">IF(AND($B799=" ",$K801=AU$3),$O801,0)</f>
        <v>0</v>
      </c>
      <c r="AV801" s="106">
        <f t="shared" si="1613"/>
        <v>0</v>
      </c>
      <c r="AW801" s="106">
        <f t="shared" si="1613"/>
        <v>0</v>
      </c>
      <c r="AX801" s="106">
        <f t="shared" si="1613"/>
        <v>0</v>
      </c>
      <c r="AY801" s="108">
        <f t="shared" si="1613"/>
        <v>0</v>
      </c>
      <c r="AZ801" s="109">
        <f t="shared" si="1613"/>
        <v>0</v>
      </c>
      <c r="BA801" s="109">
        <f t="shared" si="1613"/>
        <v>0</v>
      </c>
      <c r="BB801" s="109">
        <f t="shared" si="1613"/>
        <v>0</v>
      </c>
      <c r="BC801" s="110">
        <f t="shared" si="1613"/>
        <v>0</v>
      </c>
      <c r="BD801" s="106">
        <f t="shared" si="1613"/>
        <v>0</v>
      </c>
      <c r="BE801" s="107">
        <f t="shared" si="1613"/>
        <v>0</v>
      </c>
      <c r="BF801" s="105">
        <f t="shared" si="1604"/>
        <v>0</v>
      </c>
      <c r="BG801" s="106">
        <f t="shared" si="1604"/>
        <v>0</v>
      </c>
      <c r="BH801" s="106">
        <f t="shared" si="1604"/>
        <v>0</v>
      </c>
      <c r="BI801" s="106">
        <f t="shared" si="1604"/>
        <v>0</v>
      </c>
      <c r="BJ801" s="106">
        <f t="shared" si="1604"/>
        <v>0</v>
      </c>
      <c r="BK801" s="106">
        <f t="shared" si="1604"/>
        <v>0</v>
      </c>
      <c r="BL801" s="106">
        <f t="shared" si="1604"/>
        <v>0</v>
      </c>
      <c r="BM801" s="108">
        <f t="shared" si="1604"/>
        <v>0</v>
      </c>
      <c r="BN801" s="109">
        <f t="shared" si="1604"/>
        <v>0</v>
      </c>
      <c r="BO801" s="109">
        <f t="shared" si="1604"/>
        <v>0</v>
      </c>
      <c r="BP801" s="109">
        <f t="shared" si="1604"/>
        <v>0</v>
      </c>
      <c r="BQ801" s="110">
        <f t="shared" si="1604"/>
        <v>0</v>
      </c>
      <c r="BR801" s="107">
        <f t="shared" si="1604"/>
        <v>0</v>
      </c>
      <c r="BS801" s="464"/>
      <c r="BT801" s="461"/>
      <c r="BU801" s="392"/>
      <c r="BV801" s="461"/>
      <c r="BW801" s="392"/>
      <c r="BX801" s="392"/>
      <c r="BY801" s="392"/>
      <c r="BZ801" s="461"/>
      <c r="CA801" s="392"/>
      <c r="CB801" s="392"/>
      <c r="CC801" s="392"/>
      <c r="CD801" s="401"/>
      <c r="CE801" s="409"/>
      <c r="CF801" s="133">
        <f t="shared" si="1540"/>
        <v>0</v>
      </c>
      <c r="CG801" s="134">
        <f t="shared" si="1541"/>
        <v>0</v>
      </c>
      <c r="CH801" s="134">
        <f t="shared" si="1542"/>
        <v>0</v>
      </c>
      <c r="CI801" s="134">
        <f t="shared" si="1543"/>
        <v>0</v>
      </c>
      <c r="CJ801" s="134">
        <f t="shared" si="1544"/>
        <v>0</v>
      </c>
      <c r="CK801" s="134">
        <f t="shared" si="1545"/>
        <v>0</v>
      </c>
      <c r="CL801" s="134">
        <f t="shared" si="1546"/>
        <v>0</v>
      </c>
      <c r="CM801" s="134">
        <f t="shared" si="1547"/>
        <v>0</v>
      </c>
      <c r="CN801" s="134">
        <f t="shared" si="1548"/>
        <v>0</v>
      </c>
      <c r="CO801" s="134">
        <f t="shared" si="1549"/>
        <v>0</v>
      </c>
      <c r="CP801" s="134">
        <f t="shared" si="1550"/>
        <v>0</v>
      </c>
      <c r="CQ801" s="134">
        <f t="shared" si="1551"/>
        <v>0</v>
      </c>
      <c r="CR801" s="134">
        <f t="shared" si="1552"/>
        <v>0</v>
      </c>
      <c r="CS801" s="134">
        <f t="shared" si="1553"/>
        <v>0</v>
      </c>
      <c r="CT801" s="115">
        <f t="shared" si="1554"/>
        <v>0</v>
      </c>
      <c r="CU801" s="116">
        <f t="shared" si="1555"/>
        <v>0</v>
      </c>
      <c r="CV801" s="116">
        <f t="shared" si="1556"/>
        <v>0</v>
      </c>
      <c r="CW801" s="116">
        <f t="shared" si="1557"/>
        <v>0</v>
      </c>
      <c r="CX801" s="116">
        <f t="shared" si="1558"/>
        <v>0</v>
      </c>
      <c r="CY801" s="116">
        <f t="shared" si="1559"/>
        <v>0</v>
      </c>
      <c r="CZ801" s="116">
        <f t="shared" si="1560"/>
        <v>0</v>
      </c>
      <c r="DA801" s="116">
        <f t="shared" si="1561"/>
        <v>0</v>
      </c>
      <c r="DB801" s="116">
        <f t="shared" si="1562"/>
        <v>0</v>
      </c>
      <c r="DC801" s="116">
        <f t="shared" si="1563"/>
        <v>0</v>
      </c>
      <c r="DD801" s="116">
        <f t="shared" si="1564"/>
        <v>0</v>
      </c>
      <c r="DE801" s="117">
        <f t="shared" si="1565"/>
        <v>0</v>
      </c>
      <c r="DF801" s="118">
        <f t="shared" si="1567"/>
        <v>44</v>
      </c>
      <c r="DG801" s="106">
        <f t="shared" si="1568"/>
        <v>58.567999999999991</v>
      </c>
      <c r="DH801" s="116">
        <f t="shared" si="1569"/>
        <v>17</v>
      </c>
      <c r="DI801" s="106">
        <f t="shared" si="1570"/>
        <v>72.399999999999991</v>
      </c>
      <c r="DJ801" s="201" t="str">
        <f>IF($D799="","",$D799)</f>
        <v>27</v>
      </c>
      <c r="DK801" s="466"/>
    </row>
    <row r="802" spans="1:115" ht="14.5" customHeight="1" x14ac:dyDescent="0.2">
      <c r="A802" s="487">
        <f>$A799+1</f>
        <v>267</v>
      </c>
      <c r="B802" s="506" t="str">
        <f>IF(OR(C802="W",C803="W",C804="W",C802="1/2W",C803="1/2W",C804="1/2W",C802="1/2L",C803="1/2L",C804="1/2L"),"OK",IF(OR(C802="L",C803="L",C804="L"),"LOSS",IF(OR(C802="X",C803="X",C804="X"),"Anulado"," ")))</f>
        <v>OK</v>
      </c>
      <c r="C802" s="147" t="s">
        <v>55</v>
      </c>
      <c r="D802" s="494" t="str">
        <f>IF(G802="","",$D799)</f>
        <v>27</v>
      </c>
      <c r="E802" s="511" t="str">
        <f>IF(G802=""," ","– "&amp;COUNTIF(D$4:D804,$D802))</f>
        <v>– 14</v>
      </c>
      <c r="F802" s="510" t="str">
        <f ca="1">IF(G802="","",IF(OR(AND($C802&lt;&gt;" ",$C803=" "),AND($C803&lt;&gt;" ",$C802=" "),AND(L804&gt;0,OR(AND($C804&lt;&gt;" ",OR($C802=" ",$C803=" ")),AND($C804=" ",OR($C802&lt;&gt;" ",$C803&lt;&gt;" "))))),IF(SUM(F$4:F801)=0,1,LARGE(F$4:F801,1)+1),IF(MONTH(G802)=MONTH(TODAY()),IF(AND(DAY(G802)&lt;DAY(TODAY()),$B802=" "),IF(SUM(F$4:F801)=0,1,LARGE(F$4:F801,1)+1),IF($B802=" ",IF(AND(DAY(G802)=DAY(TODAY()),HOUR(G802)&lt;=HOUR(NOW())+1),IF(AND(HOUR(G802)+2&lt;=HOUR(NOW()),DAY(G802)&lt;=DAY(TODAY()),MINUTE(G802)&lt;=MINUTE(NOW())),IF(SUM(F$4:F801)=0,1,LARGE(F$4:F801,1)+1),IF(OR(MINUTE(G802)&lt;=MINUTE(NOW()),HOUR(G802)&lt;=HOUR(NOW())),"!!!","")),""),"")),"")))</f>
        <v/>
      </c>
      <c r="G802" s="517">
        <v>45012.65625</v>
      </c>
      <c r="H802" s="516" t="s">
        <v>271</v>
      </c>
      <c r="I802" s="222" t="s">
        <v>51</v>
      </c>
      <c r="J802" s="223">
        <v>3</v>
      </c>
      <c r="K802" s="224" t="s">
        <v>47</v>
      </c>
      <c r="L802" s="225">
        <v>2.68</v>
      </c>
      <c r="M802" s="226">
        <v>15.56</v>
      </c>
      <c r="N802" s="503">
        <v>0</v>
      </c>
      <c r="O802" s="153">
        <f>IF(OR(AE802="",AE803=""),"",ROUND(IF(L804&gt;0,IF(M802&gt;0,M802,IF(M803&gt;0,ROUND((M803*AE802)/AE803,IF(N802=0,2,IF(N802=0.1,1,0))),ROUND((M804*AE802)/AE804,IF(N802=0,2,IF(N802=0.1,1,0))))),IF(M802&gt;0,M802,ROUND((M803*AE802)/AE803,IF(N802=0,2,IF(N802=0.1,1,0))))),2))</f>
        <v>15.56</v>
      </c>
      <c r="P802" s="227">
        <f>IF(OR(L802="",O802=""),"",IF($C802="1/2W",O802/2+O802/2*L802,IF($C802="1/2L",O802/2,IF(I802="Lay",(O802*(L802/(L802-1))-O802)*(1-_xlfn.XLOOKUP(K802,'Fevereiro 2023 - Valor Real'!A3:A15,'Fevereiro 2023 - Valor Real'!C3:C15,0))+O802,(O802*L802-O802)*(1-_xlfn.XLOOKUP(K802,'Fevereiro 2023 - Valor Real'!A3:A15,'Fevereiro 2023 - Valor Real'!C3:C15,0))+O802))))</f>
        <v>41.700800000000001</v>
      </c>
      <c r="Q802" s="228">
        <f>IF(K802="","",IF(_xlfn.XLOOKUP(K802,K$4:K801,$DJ$4:DJ801,0,,-1)=DJ802,_xlfn.XLOOKUP(K802,K$4:K801,Q$4:Q801,1,,-1)+1,1))</f>
        <v>4</v>
      </c>
      <c r="R802" s="229">
        <f>IF(K802="","",_xlfn.XLOOKUP(K802,K$4:K801,R$4:R801,0,,-1)+IF($C802=" ",1,0))</f>
        <v>0</v>
      </c>
      <c r="S802" s="501">
        <f>IF($B802="Anulado",0,ROUND(IF(OR($B802="LOSS",$B802="OK"),IF(OR($C802="W",$C802="1/2W",$C802="1/2L"),P802-O802,IF($C802="L",-O802,0))+IF(OR($C803="W",$C803="1/2W",$C803="1/2L"),P803-O803,IF($C803="L",-O803,0))+IF(OR($C804="W",$C804="1/2W",$C804="1/2L"),P804-O804,IF($C804="L",-O804,0)),IF(AND(OR($C802="W",$C802="1/2W",$C802="1/2L"),C803="W"),P802+P803-SUM(O802:O804)+_xlfn.XLOOKUP("X",C802:C804,O802:O804,0),IF(AND(C802=TRUE,C804="W"),P802+P804-SUM(O802:O804),IF(AND(C803="W",C804="W"),P803+P804-SUM(O802:O804)+_xlfn.XLOOKUP("X",C802:C804,O802:O804,0),IF(L804&gt;0,IF(OR($C802="W",$C802="1/2W",$C802="1/2L"),P802-SUM(O802:O804)+_xlfn.XLOOKUP("X",C802:C804,O802:O804,0),IF(OR($C802="W",$C802="1/2W",$C802="1/2L"),P803-SUM(O802:O804)+_xlfn.XLOOKUP("X",C802:C804,O802:O804,0),IF(OR($C802="W",$C802="1/2W",$C802="1/2L"),P804-SUM(O802:O804)+_xlfn.XLOOKUP("X",C802:C804,O802:O804,0),IF(SUM(P802:P804)/3-SUM(O802:O804)+_xlfn.XLOOKUP("X",C802:C804,O802:O804,0)&gt;0,SUM(P802:P804)/3-SUM(O802:O804)+_xlfn.XLOOKUP("X",C802:C804,O802:O804,0),LARGE(P802:P804,1)-SUM(O802:O804))))),IF(OR($C802="W",$C802="1/2W",$C802="1/2L"),P802-SUM(O802:O803)+_xlfn.XLOOKUP("X",C802:C804,O802:O804,0),IF(OR($C802="W",$C802="1/2W",$C802="1/2L"),P803-SUM(O802:O803)+_xlfn.XLOOKUP("X",C802:C804,O802:O804,0),SUM(P802:P803)/2-SUM(O802:O803)+_xlfn.XLOOKUP("X",C802:C804,O802:O804,0)))))))),2))</f>
        <v>2.73</v>
      </c>
      <c r="T802" s="486">
        <f>IF(S802=0,0,S802/SUM(O802:O804))</f>
        <v>6.9982055883106895E-2</v>
      </c>
      <c r="U802" s="496">
        <f>IF($D802=$D799,IF(OR($B802="LOSS",$B802="OK",$B802="Anulada"),S802,0)+U799,IF(OR($B802="LOSS",$B802="OK",$B802="Anulada"),S802,0))</f>
        <v>39.929999999999993</v>
      </c>
      <c r="V802" s="496">
        <f>IF($D802="",0,IF($D802=$D799,IF($B802=" ",IF(I804="",IF(OR(AND(I802="DNB1",I803="DNB2"),AND(OR(I802="DNB1",I802="DNB2"),J803=0),AND(OR(I803="DNB1",I803="DNB2"),J802=0),AND(I802="DNB2",I803="DNB1"),AND(IF(J802=0,(J802+1)/ROUND(J802+1,0),J802/ROUND(J802,0))=1,IF(J803=0,(J803+1)/ROUND(IF(J803="",0,J803)+1,0),IF(J803="",0,J803)/ROUND(IF(J803="",1,J803),0))=1,OR(J802&lt;&gt;""),J803&lt;&gt;"")),0,IF(S802&lt;0,IF(I804="",SMALL(P802:P803,1)-SUM(O802:O803),0),SMALL(P802:P803,1)-SUM(O802:O803))),IF(S802&lt;0,IF(I804="",SMALL(P802:P804,1)-SUM(O802:O804),0),LARGE(P802:P804,1)-SUM(O802:O804))),S802)+V799,IF(I804="",IF(OR(AND(I802="DNB1",I803="DNB2"),AND(OR(I802="DNB1",I802="DNB2"),J803=0),AND(OR(I803="DNB1",I803="DNB2"),J802=0),AND(I802="DNB2",I803="DNB1"),AND(IF(J802=0,(J802+1)/ROUND(J802+1,0),J802/ROUND(J802,0))=1,IF(J803=0,(IF(J803="",0,J803)+1)/ROUND(IF(J803="",0,J803)+1,0),IF(J803="",0,J803)/ROUND(IF(J803="",0,J803)+1,0))=1,OR(J802&lt;&gt;""),J803&lt;&gt;"")),0,IF(S802&lt;0,IF(I804="",SMALL(P802:P803,1)-SUM(O802:O803),0),SMALL(P802:P804,1)-SUM(O802:O804))),IF(S802&lt;0,IF(I804="",SMALL(P802:P804,1)-SUM(O802:O804),0),LARGE(P802:P804,1)-SUM(O802:O804)))))</f>
        <v>39.929999999999993</v>
      </c>
      <c r="W802" s="496">
        <f>IF($D802=$D799,IF(S802&lt;0,IF(I804="",S802,0),S802)+W799,S802)</f>
        <v>39.929999999999993</v>
      </c>
      <c r="X802" s="505" t="str">
        <f>IF(OR(SUM(R802:R804)=0,V802=W802),ROUND(IF(W802=0,0,W802/Y802)*100,2)&amp;"%",ROUND(IF(V802=0,0,V802/Y802)*100,2)&amp;"% a "&amp;ROUND(IF(W802=0,0,W802/Y802)*100,2)&amp;"%")</f>
        <v>6,67%</v>
      </c>
      <c r="Y802" s="497">
        <f>IF($D802=$D799,Y799+SUM(O802:O804),SUM(O802:O804))</f>
        <v>598.78</v>
      </c>
      <c r="Z802" s="496">
        <f>IF($B802=" ",SUM(O802:O804),0)+Z799</f>
        <v>0</v>
      </c>
      <c r="AA802" s="496">
        <f>IF(G802="","",IF($B802="Anulado",LARGE(P802:P804,1)-SUM(O802:O804)+AA799,AA799))</f>
        <v>13.381099999999991</v>
      </c>
      <c r="AB802" s="496">
        <f>IF($D802="","",AB799+S802)</f>
        <v>887.62000000000069</v>
      </c>
      <c r="AC802" s="499">
        <f ca="1">IF($D802="","",IF($B802=" ",IF(DAY(G802)=DAY(TODAY()),1+AC799,0+AC799),0+AC799))</f>
        <v>0</v>
      </c>
      <c r="AD802" s="157">
        <f>(((L803/(L803-1)-1)*(1-_xlfn.XLOOKUP(K803,'Fevereiro 2023 - Valor Real'!A3:A15,'Fevereiro 2023 - Valor Real'!C3:C15,0))+1))/(((L802-1)*(1-_xlfn.XLOOKUP(K802,'Fevereiro 2023 - Valor Real'!A3:A15,'Fevereiro 2023 - Valor Real'!C3:C15,0))+1)+((L803/(L803-1)-1)*(1-_xlfn.XLOOKUP(K803,'Fevereiro 2023 - Valor Real'!A3:A15,'Fevereiro 2023 - Valor Real'!C3:C15,0))+1))</f>
        <v>0.45990078544853236</v>
      </c>
      <c r="AE802" s="158">
        <f>IF(L802="","",IF(L804&gt;0,(SUM(((L802-1)*(1-_xlfn.XLOOKUP(K802,'Fevereiro 2023 - Valor Real'!A3:A15,'Fevereiro 2023 - Valor Real'!C3:C15,0))+1),((L803-1)*(1-_xlfn.XLOOKUP(K803,'Fevereiro 2023 - Valor Real'!A3:A15,'Fevereiro 2023 - Valor Real'!C3:C15,0))+1),((L804-1)*(1-_xlfn.XLOOKUP(K804,'Fevereiro 2023 - Valor Real'!A3:A15,'Fevereiro 2023 - Valor Real'!C3:C15,0))+1))/((L802-1)*(1-_xlfn.XLOOKUP(K802,'Fevereiro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Real'!C3:C15,0))+1))/((L802-1)*(1-_xlfn.XLOOKUP(K802,'Fevereiro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Real'!C3:C15,0))+1))/((L803-1)*(1-_xlfn.XLOOKUP(K803,'Fevereiro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Real'!C3:C15,0))+1))/((L804-1)*(1-_xlfn.XLOOKUP(K804,'Fevereiro 2023 - Valor Real'!A3:A15,'Fevereiro 2023 - Valor Real'!C3:C15,0))+1)),IF(I802="Lay",IF(I803="Lay",((L803/(L803-1)-1)*(1-_xlfn.XLOOKUP(K803,'Fevereiro 2023 - Valor Real'!A3:A15,'Fevereiro 2023 - Valor Real'!C3:C15,0))+1)/(((L803/(L803-1)-1)*(1-_xlfn.XLOOKUP(K803,'Fevereiro 2023 - Valor Real'!A3:A15,'Fevereiro 2023 - Valor Real'!C3:C15,0))+1)+((L802/(L802-1)-1)*(1-_xlfn.XLOOKUP(K802,'Fevereiro 2023 - Valor Real'!A3:A15,'Fevereiro 2023 - Valor Real'!C3:C15,0))+1)),((L803-1)*(1-_xlfn.XLOOKUP(K803,'Fevereiro 2023 - Valor Real'!A3:A15,'Fevereiro 2023 - Valor Real'!C3:C15,0))+1)/(((L803-1)*(1-_xlfn.XLOOKUP(K803,'Fevereiro 2023 - Valor Real'!A3:A15,'Fevereiro 2023 - Valor Real'!C3:C15,0))+1)+((L802/(L802-1)-1)*(1-_xlfn.XLOOKUP(K802,'Fevereiro 2023 - Valor Real'!A3:A15,'Fevereiro 2023 - Valor Real'!C3:C15,0))+1))),IF(I803="Lay",(((L803/(L803-1)-1)*(1-_xlfn.XLOOKUP(K803,'Fevereiro 2023 - Valor Real'!A3:A15,'Fevereiro 2023 - Valor Real'!C3:C15,0))+1))/(((L802-1)*(1-_xlfn.XLOOKUP(K802,'Fevereiro 2023 - Valor Real'!A3:A15,'Fevereiro 2023 - Valor Real'!C3:C15,0))+1)+((L803/(L803-1)-1)*(1-_xlfn.XLOOKUP(K803,'Fevereiro 2023 - Valor Real'!A3:A15,'Fevereiro 2023 - Valor Real'!C3:C15,0))+1)),((L803-1)*(1-_xlfn.XLOOKUP(K803,'Fevereiro 2023 - Valor Real'!A3:A15,'Fevereiro 2023 - Valor Real'!C3:C15,0))+1)/(((L803-1)*(1-_xlfn.XLOOKUP(K803,'Fevereiro 2023 - Valor Real'!A3:A15,'Fevereiro 2023 - Valor Real'!C3:C15,0))+1)+((L802-1)*(1-_xlfn.XLOOKUP(K802,'Fevereiro 2023 - Valor Real'!A3:A15,'Fevereiro 2023 - Valor Real'!C3:C15,0))+1))))))</f>
        <v>0.3991031390134529</v>
      </c>
      <c r="AF802" s="66">
        <f t="shared" si="1602"/>
        <v>0</v>
      </c>
      <c r="AG802" s="67">
        <f t="shared" si="1602"/>
        <v>0</v>
      </c>
      <c r="AH802" s="67">
        <f t="shared" si="1602"/>
        <v>0</v>
      </c>
      <c r="AI802" s="67">
        <f t="shared" si="1602"/>
        <v>0</v>
      </c>
      <c r="AJ802" s="67">
        <f t="shared" si="1602"/>
        <v>0</v>
      </c>
      <c r="AK802" s="67">
        <f t="shared" si="1602"/>
        <v>0</v>
      </c>
      <c r="AL802" s="67">
        <f t="shared" si="1602"/>
        <v>0</v>
      </c>
      <c r="AM802" s="67">
        <f t="shared" si="1602"/>
        <v>0</v>
      </c>
      <c r="AN802" s="67">
        <f t="shared" si="1602"/>
        <v>0</v>
      </c>
      <c r="AO802" s="67">
        <f t="shared" si="1602"/>
        <v>0</v>
      </c>
      <c r="AP802" s="67">
        <f t="shared" si="1602"/>
        <v>0</v>
      </c>
      <c r="AQ802" s="67">
        <f t="shared" si="1602"/>
        <v>-15.56</v>
      </c>
      <c r="AR802" s="68">
        <f t="shared" si="1602"/>
        <v>0</v>
      </c>
      <c r="AS802" s="66">
        <f t="shared" ref="AS802:BE802" si="1614">IF(AND($B802=" ",$K802=AS$3),$O802,0)</f>
        <v>0</v>
      </c>
      <c r="AT802" s="67">
        <f t="shared" si="1614"/>
        <v>0</v>
      </c>
      <c r="AU802" s="67">
        <f t="shared" si="1614"/>
        <v>0</v>
      </c>
      <c r="AV802" s="67">
        <f t="shared" si="1614"/>
        <v>0</v>
      </c>
      <c r="AW802" s="67">
        <f t="shared" si="1614"/>
        <v>0</v>
      </c>
      <c r="AX802" s="67">
        <f t="shared" si="1614"/>
        <v>0</v>
      </c>
      <c r="AY802" s="69">
        <f t="shared" si="1614"/>
        <v>0</v>
      </c>
      <c r="AZ802" s="70">
        <f t="shared" si="1614"/>
        <v>0</v>
      </c>
      <c r="BA802" s="70">
        <f t="shared" si="1614"/>
        <v>0</v>
      </c>
      <c r="BB802" s="70">
        <f t="shared" si="1614"/>
        <v>0</v>
      </c>
      <c r="BC802" s="71">
        <f t="shared" si="1614"/>
        <v>0</v>
      </c>
      <c r="BD802" s="67">
        <f t="shared" si="1614"/>
        <v>0</v>
      </c>
      <c r="BE802" s="68">
        <f t="shared" si="1614"/>
        <v>0</v>
      </c>
      <c r="BF802" s="230">
        <f t="shared" si="1604"/>
        <v>0</v>
      </c>
      <c r="BG802" s="67">
        <f t="shared" si="1604"/>
        <v>0</v>
      </c>
      <c r="BH802" s="67">
        <f t="shared" si="1604"/>
        <v>0</v>
      </c>
      <c r="BI802" s="67">
        <f t="shared" si="1604"/>
        <v>0</v>
      </c>
      <c r="BJ802" s="67">
        <f t="shared" si="1604"/>
        <v>0</v>
      </c>
      <c r="BK802" s="67">
        <f t="shared" si="1604"/>
        <v>0</v>
      </c>
      <c r="BL802" s="67">
        <f t="shared" si="1604"/>
        <v>0</v>
      </c>
      <c r="BM802" s="69">
        <f t="shared" si="1604"/>
        <v>0</v>
      </c>
      <c r="BN802" s="70">
        <f t="shared" si="1604"/>
        <v>0</v>
      </c>
      <c r="BO802" s="70">
        <f t="shared" si="1604"/>
        <v>0</v>
      </c>
      <c r="BP802" s="70">
        <f t="shared" si="1604"/>
        <v>0</v>
      </c>
      <c r="BQ802" s="71">
        <f t="shared" si="1604"/>
        <v>15.56</v>
      </c>
      <c r="BR802" s="68">
        <f t="shared" si="1604"/>
        <v>0</v>
      </c>
      <c r="BS802" s="490">
        <f>IF($B802="LOSS",IF(AND($K802=BS$3,$C802="L"),-$O802,0)+IF(AND($K803=BS$3,$C803="L"),-$O803,0)+IF(AND($K804=BS$3,$C804="L"),-$O804,0),IF(OR(AND($K802=BS$3,OR($C802="W",$C802="1/2W")),AND($K803=BS$3,OR($C803="W",$C803="1/2W")),AND($K804=BS$3,OR($C804="W",$C804="1/2W"))),$S802,0))</f>
        <v>0</v>
      </c>
      <c r="BT802" s="488">
        <f>IF($B802="LOSS",IF(AND($K802=BT$3,$C802="L"),-$O802,0)+IF(AND($K803=BT$3,$C803="L"),-$O803,0)+IF(AND($K803=BT$3,$C804="L"),-$O804,0),IF(OR(AND($K803=BT$3,OR($C802="W",$C802="1/2W")),AND($K803=BT$3,OR($C803="W",$C803="1/2W")),AND($K803=BT$3,OR($C804="W",$C804="1/2W"))),$S802,0))</f>
        <v>0</v>
      </c>
      <c r="BU802" s="488">
        <f>IF($B802="LOSS",IF(AND($K802=BU$3,$C802="L"),-$O802,0)+IF(AND($K803=BU$3,$C803="L"),-$O803,0)+IF(AND($K803=BU$3,$C804="L"),-$O804,0),IF(OR(AND($K803=BU$3,OR($C802="W",$C802="1/2W")),AND($K803=BU$3,OR($C803="W",$C803="1/2W")),AND($K803=BU$3,OR($C804="W",$C804="1/2W"))),$S802,0))</f>
        <v>0</v>
      </c>
      <c r="BV802" s="488">
        <f t="shared" ref="BV802:CE802" si="1615">IF($B802="LOSS",IF(AND($K802=BV$3,$C802="L"),-$O802,0)+IF(AND($K803=BV$3,$C803="L"),-$O803,0)+IF(AND($K804=BV$3,$C804="L"),-$O804,0),IF(OR(AND($K802=BV$3,OR($C802="W",$C802="1/2W")),AND($K803=BV$3,OR($C803="W",$C803="1/2W")),AND($K804=BV$3,OR($C804="W",$C804="1/2W"))),$S802,0))</f>
        <v>0</v>
      </c>
      <c r="BW802" s="488">
        <f t="shared" si="1615"/>
        <v>2.73</v>
      </c>
      <c r="BX802" s="488">
        <f t="shared" si="1615"/>
        <v>0</v>
      </c>
      <c r="BY802" s="488">
        <f t="shared" si="1615"/>
        <v>0</v>
      </c>
      <c r="BZ802" s="498">
        <f t="shared" si="1615"/>
        <v>0</v>
      </c>
      <c r="CA802" s="498">
        <f t="shared" si="1615"/>
        <v>0</v>
      </c>
      <c r="CB802" s="498">
        <f t="shared" si="1615"/>
        <v>0</v>
      </c>
      <c r="CC802" s="498">
        <f t="shared" si="1615"/>
        <v>0</v>
      </c>
      <c r="CD802" s="500">
        <f t="shared" si="1615"/>
        <v>0</v>
      </c>
      <c r="CE802" s="504">
        <f t="shared" si="1615"/>
        <v>0</v>
      </c>
      <c r="CF802" s="160">
        <f t="shared" si="1540"/>
        <v>0</v>
      </c>
      <c r="CG802" s="161">
        <f t="shared" si="1541"/>
        <v>0</v>
      </c>
      <c r="CH802" s="161">
        <f t="shared" si="1542"/>
        <v>0</v>
      </c>
      <c r="CI802" s="161">
        <f t="shared" si="1543"/>
        <v>0</v>
      </c>
      <c r="CJ802" s="161">
        <f t="shared" si="1544"/>
        <v>0</v>
      </c>
      <c r="CK802" s="161">
        <f t="shared" si="1545"/>
        <v>0</v>
      </c>
      <c r="CL802" s="161">
        <f t="shared" si="1546"/>
        <v>0</v>
      </c>
      <c r="CM802" s="161">
        <f t="shared" si="1547"/>
        <v>0</v>
      </c>
      <c r="CN802" s="161">
        <f t="shared" si="1548"/>
        <v>0</v>
      </c>
      <c r="CO802" s="161">
        <f t="shared" si="1549"/>
        <v>0</v>
      </c>
      <c r="CP802" s="161">
        <f t="shared" si="1550"/>
        <v>0</v>
      </c>
      <c r="CQ802" s="161">
        <f t="shared" si="1551"/>
        <v>0</v>
      </c>
      <c r="CR802" s="161">
        <f t="shared" si="1552"/>
        <v>0</v>
      </c>
      <c r="CS802" s="161">
        <f t="shared" si="1553"/>
        <v>0</v>
      </c>
      <c r="CT802" s="75">
        <f t="shared" si="1554"/>
        <v>0</v>
      </c>
      <c r="CU802" s="76">
        <f t="shared" si="1555"/>
        <v>0</v>
      </c>
      <c r="CV802" s="76">
        <f t="shared" si="1556"/>
        <v>0</v>
      </c>
      <c r="CW802" s="76">
        <f t="shared" si="1557"/>
        <v>0</v>
      </c>
      <c r="CX802" s="76">
        <f t="shared" si="1558"/>
        <v>0</v>
      </c>
      <c r="CY802" s="76">
        <f t="shared" si="1559"/>
        <v>0</v>
      </c>
      <c r="CZ802" s="76">
        <f t="shared" si="1560"/>
        <v>0</v>
      </c>
      <c r="DA802" s="76">
        <f t="shared" si="1561"/>
        <v>0</v>
      </c>
      <c r="DB802" s="76">
        <f t="shared" si="1562"/>
        <v>0</v>
      </c>
      <c r="DC802" s="76">
        <f t="shared" si="1563"/>
        <v>1</v>
      </c>
      <c r="DD802" s="76">
        <f t="shared" si="1564"/>
        <v>0</v>
      </c>
      <c r="DE802" s="77">
        <f t="shared" si="1565"/>
        <v>0</v>
      </c>
      <c r="DF802" s="73">
        <f t="shared" si="1567"/>
        <v>44</v>
      </c>
      <c r="DG802" s="67">
        <f t="shared" si="1568"/>
        <v>58.567999999999991</v>
      </c>
      <c r="DH802" s="76">
        <f t="shared" si="1569"/>
        <v>17</v>
      </c>
      <c r="DI802" s="67">
        <f t="shared" si="1570"/>
        <v>72.399999999999991</v>
      </c>
      <c r="DJ802" s="202" t="str">
        <f>IF($D802="","",$D802)</f>
        <v>27</v>
      </c>
      <c r="DK802" s="492">
        <f>IF(AND($B802=" ",$D802&lt;&gt;""),1,0)</f>
        <v>0</v>
      </c>
    </row>
    <row r="803" spans="1:115" ht="14.5" customHeight="1" x14ac:dyDescent="0.2">
      <c r="A803" s="389"/>
      <c r="B803" s="456"/>
      <c r="C803" s="53" t="s">
        <v>54</v>
      </c>
      <c r="D803" s="374"/>
      <c r="E803" s="386"/>
      <c r="F803" s="377"/>
      <c r="G803" s="483"/>
      <c r="H803" s="476"/>
      <c r="I803" s="55" t="s">
        <v>52</v>
      </c>
      <c r="J803" s="231">
        <f>IF(OR(I802="TO",I802="TU",I802="TO1",I802="TU1",I802="TO2",I802="TU2"),J802,IF(OR(I802="AH1",I802="AH2"),IF(OR(I803="AH1",I803="AH2"),-J802,IF(OR(I803="EH1",I803="EH2"),-J802+0.5,"")),IF(OR(I802="EH1",I802="EH2"),IF(OR(I803="AH1",I803="AH2"),-J802+0.5,IF(OR(I803="EH1",I803="EH2"),-J802+1,"")),IF(AND(OR(I802="DNB1",I802="DNB2"),OR(I803="AH1",I803="AH2")),0,IF(AND(I802="Not ScoreBoth",OR(I803="TO1",I803="TO2")),0.5,"")))))</f>
        <v>3</v>
      </c>
      <c r="K803" s="232" t="s">
        <v>40</v>
      </c>
      <c r="L803" s="58">
        <v>1.78</v>
      </c>
      <c r="M803" s="59">
        <v>23.45</v>
      </c>
      <c r="N803" s="406"/>
      <c r="O803" s="60">
        <f>IF(OR(AE802="",AE803=""),"",ROUND(IF(L804&gt;0,IF(M803&gt;0,M803,IF(M802&gt;0,IF(N802=TRUE,ROUND((M802*AE803)/AE802,0),(M802*AE803)/AE802),IF(M803&gt;0,ROUND(M803,IF(N802=0,2,IF(N802=0.1,1,0))),IF(M804&gt;0,ROUND(O804*AE803/AE804,IF(N802=0,2,IF(N802=0.1,1,0))),0)))),IF(M803&gt;0,M803,ROUND((M802*AE803)/AE802,IF(N802=0,2,IF(N802=0.1,1,0))))),2))</f>
        <v>23.45</v>
      </c>
      <c r="P803" s="61">
        <f>IF(OR(L803="",O803=""),"",IF($C803="1/2W",O803/2+O803/2*L803,IF($C803="1/2L",O803/2,IF(I803="Lay",((O803*(L803/(L803-1)))-O803)*(1-_xlfn.XLOOKUP(K803,'Fevereiro 2023 - Valor Real'!A3:A15,'Fevereiro 2023 - Valor Real'!C3:C15,0))+O803,(O803*L803-O803)*(1-_xlfn.XLOOKUP(K803,'Fevereiro 2023 - Valor Real'!A3:A15,'Fevereiro 2023 - Valor Real'!C3:C15,0))+O803))))</f>
        <v>41.741</v>
      </c>
      <c r="Q803" s="233">
        <f>IF(K803="","",IF(_xlfn.XLOOKUP(K803,K$4:K802,$DJ$4:DJ802,0,,-1)=DJ803,_xlfn.XLOOKUP(K803,K$4:K802,Q$4:Q802,1,,-1)+1,1))</f>
        <v>13</v>
      </c>
      <c r="R803" s="234">
        <f>IF(K803="","",_xlfn.XLOOKUP(K803,K$4:K802,R$4:R802,0,,-1)+IF($C803=" ",1,0))</f>
        <v>0</v>
      </c>
      <c r="S803" s="403"/>
      <c r="T803" s="380"/>
      <c r="U803" s="380"/>
      <c r="V803" s="481"/>
      <c r="W803" s="380"/>
      <c r="X803" s="452"/>
      <c r="Y803" s="383"/>
      <c r="Z803" s="384"/>
      <c r="AA803" s="384"/>
      <c r="AB803" s="384"/>
      <c r="AC803" s="384"/>
      <c r="AD803" s="64">
        <f>(((L803/(L803-1)-1)*(1-_xlfn.XLOOKUP(K803,'Fevereiro 2023 - Valor Real'!A3:A15,'Fevereiro 2023 - Valor Real'!C3:C15,0))+1))</f>
        <v>2.2820512820512819</v>
      </c>
      <c r="AE803" s="65">
        <f>IF(L803="","",IF(L804&gt;0,(SUM(((L802-1)*(1-_xlfn.XLOOKUP(K802,'Fevereiro 2023 - Valor Real'!A3:A15,'Fevereiro 2023 - Valor Real'!C3:C15,0))+1),((L803-1)*(1-_xlfn.XLOOKUP(K803,'Fevereiro 2023 - Valor Real'!A3:A15,'Fevereiro 2023 - Valor Real'!C3:C15,0))+1),((L804-1)*(1-_xlfn.XLOOKUP(K804,'Fevereiro 2023 - Valor Real'!A3:A15,'Fevereiro 2023 - Valor Real'!C3:C15,0))+1))/((L803-1)*(1-_xlfn.XLOOKUP(K803,'Fevereiro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Real'!C3:C15,0))+1))/((L802-1)*(1-_xlfn.XLOOKUP(K802,'Fevereiro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Real'!C3:C15,0))+1))/((L803-1)*(1-_xlfn.XLOOKUP(K803,'Fevereiro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Real'!C3:C15,0))+1))/((L804-1)*(1-_xlfn.XLOOKUP(K804,'Fevereiro 2023 - Valor Real'!A3:A15,'Fevereiro 2023 - Valor Real'!C3:C15,0))+1)),IF(I803="Lay",IF(I802="Lay",((L802/(L802-1)-1)*(1-_xlfn.XLOOKUP(K802,'Fevereiro 2023 - Valor Real'!A3:A15,'Fevereiro 2023 - Valor Real'!C3:C15,0))+1)/(((L802/(L802-1)-1)*(1-_xlfn.XLOOKUP(K802,'Fevereiro 2023 - Valor Real'!A3:A15,'Fevereiro 2023 - Valor Real'!C3:C15,0))+1)+((L803/(L803-1)-1)*(1-_xlfn.XLOOKUP(K803,'Fevereiro 2023 - Valor Real'!A3:A15,'Fevereiro 2023 - Valor Real'!C3:C15,0))+1)),((L802-1)*(1-_xlfn.XLOOKUP(K802,'Fevereiro 2023 - Valor Real'!A3:A15,'Fevereiro 2023 - Valor Real'!C3:C15,0))+1)/(((L802-1)*(1-_xlfn.XLOOKUP(K802,'Fevereiro 2023 - Valor Real'!A3:A15,'Fevereiro 2023 - Valor Real'!C3:C15,0))+1)+((L803/(L803-1)-1)*(1-_xlfn.XLOOKUP(K803,'Fevereiro 2023 - Valor Real'!A3:A15,'Fevereiro 2023 - Valor Real'!C3:C15,0))+1))),IF(I802="Lay",((L802/(L802-1)-1)*(1-_xlfn.XLOOKUP(K802,'Fevereiro 2023 - Valor Real'!A3:A15,'Fevereiro 2023 - Valor Real'!C3:C15,0))+1)/((((L802/(L802-1)-1)*(1-_xlfn.XLOOKUP(K802,'Fevereiro 2023 - Valor Real'!A3:A15,'Fevereiro 2023 - Valor Real'!C3:C15,0))+1))+((L803-1)*(1-_xlfn.XLOOKUP(K803,'Fevereiro 2023 - Valor Real'!A3:A15,'Fevereiro 2023 - Valor Real'!C3:C15,0))+1)),((L802-1)*(1-_xlfn.XLOOKUP(K802,'Fevereiro 2023 - Valor Real'!A3:A15,'Fevereiro 2023 - Valor Real'!C3:C15,0))+1)/(((L802-1)*(1-_xlfn.XLOOKUP(K802,'Fevereiro 2023 - Valor Real'!A3:A15,'Fevereiro 2023 - Valor Real'!C3:C15,0))+1)+((L803-1)*(1-_xlfn.XLOOKUP(K803,'Fevereiro 2023 - Valor Real'!A3:A15,'Fevereiro 2023 - Valor Real'!C3:C15,0))+1))))))</f>
        <v>0.60089686098654715</v>
      </c>
      <c r="AF803" s="66">
        <f t="shared" si="1602"/>
        <v>0</v>
      </c>
      <c r="AG803" s="67">
        <f t="shared" si="1602"/>
        <v>0</v>
      </c>
      <c r="AH803" s="67">
        <f t="shared" si="1602"/>
        <v>0</v>
      </c>
      <c r="AI803" s="67">
        <f t="shared" si="1602"/>
        <v>0</v>
      </c>
      <c r="AJ803" s="67">
        <f t="shared" si="1602"/>
        <v>18.29</v>
      </c>
      <c r="AK803" s="67">
        <f t="shared" si="1602"/>
        <v>0</v>
      </c>
      <c r="AL803" s="67">
        <f t="shared" si="1602"/>
        <v>0</v>
      </c>
      <c r="AM803" s="67">
        <f t="shared" si="1602"/>
        <v>0</v>
      </c>
      <c r="AN803" s="67">
        <f t="shared" si="1602"/>
        <v>0</v>
      </c>
      <c r="AO803" s="67">
        <f t="shared" si="1602"/>
        <v>0</v>
      </c>
      <c r="AP803" s="67">
        <f t="shared" si="1602"/>
        <v>0</v>
      </c>
      <c r="AQ803" s="67">
        <f t="shared" si="1602"/>
        <v>0</v>
      </c>
      <c r="AR803" s="68">
        <f t="shared" si="1602"/>
        <v>0</v>
      </c>
      <c r="AS803" s="66">
        <f>IF(AND($B802=" ",$K803=AS$3),$O803,0)</f>
        <v>0</v>
      </c>
      <c r="AT803" s="67">
        <f>IF(AND($B802=" ",K803=AT$3),$O803,0)</f>
        <v>0</v>
      </c>
      <c r="AU803" s="67">
        <f t="shared" ref="AU803:BE803" si="1616">IF(AND($B802=" ",$K803=AU$3),$O803,0)</f>
        <v>0</v>
      </c>
      <c r="AV803" s="67">
        <f t="shared" si="1616"/>
        <v>0</v>
      </c>
      <c r="AW803" s="67">
        <f t="shared" si="1616"/>
        <v>0</v>
      </c>
      <c r="AX803" s="67">
        <f t="shared" si="1616"/>
        <v>0</v>
      </c>
      <c r="AY803" s="69">
        <f t="shared" si="1616"/>
        <v>0</v>
      </c>
      <c r="AZ803" s="70">
        <f t="shared" si="1616"/>
        <v>0</v>
      </c>
      <c r="BA803" s="70">
        <f t="shared" si="1616"/>
        <v>0</v>
      </c>
      <c r="BB803" s="70">
        <f t="shared" si="1616"/>
        <v>0</v>
      </c>
      <c r="BC803" s="71">
        <f t="shared" si="1616"/>
        <v>0</v>
      </c>
      <c r="BD803" s="67">
        <f t="shared" si="1616"/>
        <v>0</v>
      </c>
      <c r="BE803" s="68">
        <f t="shared" si="1616"/>
        <v>0</v>
      </c>
      <c r="BF803" s="66">
        <f t="shared" si="1604"/>
        <v>0</v>
      </c>
      <c r="BG803" s="67">
        <f t="shared" si="1604"/>
        <v>0</v>
      </c>
      <c r="BH803" s="67">
        <f t="shared" si="1604"/>
        <v>0</v>
      </c>
      <c r="BI803" s="67">
        <f t="shared" si="1604"/>
        <v>0</v>
      </c>
      <c r="BJ803" s="67">
        <f t="shared" si="1604"/>
        <v>23.45</v>
      </c>
      <c r="BK803" s="67">
        <f t="shared" si="1604"/>
        <v>0</v>
      </c>
      <c r="BL803" s="67">
        <f t="shared" si="1604"/>
        <v>0</v>
      </c>
      <c r="BM803" s="235">
        <f t="shared" si="1604"/>
        <v>0</v>
      </c>
      <c r="BN803" s="159">
        <f t="shared" si="1604"/>
        <v>0</v>
      </c>
      <c r="BO803" s="159">
        <f t="shared" si="1604"/>
        <v>0</v>
      </c>
      <c r="BP803" s="159">
        <f t="shared" si="1604"/>
        <v>0</v>
      </c>
      <c r="BQ803" s="71">
        <f t="shared" si="1604"/>
        <v>0</v>
      </c>
      <c r="BR803" s="68">
        <f t="shared" si="1604"/>
        <v>0</v>
      </c>
      <c r="BS803" s="464"/>
      <c r="BT803" s="461"/>
      <c r="BU803" s="392"/>
      <c r="BV803" s="461"/>
      <c r="BW803" s="392"/>
      <c r="BX803" s="392"/>
      <c r="BY803" s="392"/>
      <c r="BZ803" s="461"/>
      <c r="CA803" s="392"/>
      <c r="CB803" s="392"/>
      <c r="CC803" s="392"/>
      <c r="CD803" s="401"/>
      <c r="CE803" s="409"/>
      <c r="CF803" s="236">
        <f t="shared" si="1540"/>
        <v>0</v>
      </c>
      <c r="CG803" s="237">
        <f t="shared" si="1541"/>
        <v>0</v>
      </c>
      <c r="CH803" s="237">
        <f t="shared" si="1542"/>
        <v>0</v>
      </c>
      <c r="CI803" s="237">
        <f t="shared" si="1543"/>
        <v>0</v>
      </c>
      <c r="CJ803" s="237">
        <f t="shared" si="1544"/>
        <v>0</v>
      </c>
      <c r="CK803" s="237">
        <f t="shared" si="1545"/>
        <v>0</v>
      </c>
      <c r="CL803" s="237">
        <f t="shared" si="1546"/>
        <v>0</v>
      </c>
      <c r="CM803" s="237">
        <f t="shared" si="1547"/>
        <v>0</v>
      </c>
      <c r="CN803" s="237">
        <f t="shared" si="1548"/>
        <v>1</v>
      </c>
      <c r="CO803" s="237">
        <f t="shared" si="1549"/>
        <v>0</v>
      </c>
      <c r="CP803" s="237">
        <f t="shared" si="1550"/>
        <v>0</v>
      </c>
      <c r="CQ803" s="237">
        <f t="shared" si="1551"/>
        <v>0</v>
      </c>
      <c r="CR803" s="237">
        <f t="shared" si="1552"/>
        <v>0</v>
      </c>
      <c r="CS803" s="237">
        <f t="shared" si="1553"/>
        <v>0</v>
      </c>
      <c r="CT803" s="75">
        <f t="shared" si="1554"/>
        <v>0</v>
      </c>
      <c r="CU803" s="76">
        <f t="shared" si="1555"/>
        <v>0</v>
      </c>
      <c r="CV803" s="76">
        <f t="shared" si="1556"/>
        <v>0</v>
      </c>
      <c r="CW803" s="76">
        <f t="shared" si="1557"/>
        <v>0</v>
      </c>
      <c r="CX803" s="76">
        <f t="shared" si="1558"/>
        <v>0</v>
      </c>
      <c r="CY803" s="76">
        <f t="shared" si="1559"/>
        <v>0</v>
      </c>
      <c r="CZ803" s="76">
        <f t="shared" si="1560"/>
        <v>0</v>
      </c>
      <c r="DA803" s="76">
        <f t="shared" si="1561"/>
        <v>0</v>
      </c>
      <c r="DB803" s="76">
        <f t="shared" si="1562"/>
        <v>0</v>
      </c>
      <c r="DC803" s="76">
        <f t="shared" si="1563"/>
        <v>0</v>
      </c>
      <c r="DD803" s="76">
        <f t="shared" si="1564"/>
        <v>0</v>
      </c>
      <c r="DE803" s="77">
        <f t="shared" si="1565"/>
        <v>0</v>
      </c>
      <c r="DF803" s="73">
        <f t="shared" si="1567"/>
        <v>44</v>
      </c>
      <c r="DG803" s="67">
        <f t="shared" si="1568"/>
        <v>58.567999999999991</v>
      </c>
      <c r="DH803" s="76">
        <f t="shared" si="1569"/>
        <v>17</v>
      </c>
      <c r="DI803" s="67">
        <f t="shared" si="1570"/>
        <v>72.399999999999991</v>
      </c>
      <c r="DJ803" s="202" t="str">
        <f>IF($D802="","",$D802)</f>
        <v>27</v>
      </c>
      <c r="DK803" s="466"/>
    </row>
    <row r="804" spans="1:115" ht="14.5" customHeight="1" x14ac:dyDescent="0.2">
      <c r="A804" s="390"/>
      <c r="B804" s="457"/>
      <c r="C804" s="79" t="s">
        <v>53</v>
      </c>
      <c r="D804" s="375"/>
      <c r="E804" s="387"/>
      <c r="F804" s="378"/>
      <c r="G804" s="484"/>
      <c r="H804" s="477"/>
      <c r="I804" s="82"/>
      <c r="J804" s="83"/>
      <c r="K804" s="90"/>
      <c r="L804" s="84"/>
      <c r="M804" s="85"/>
      <c r="N804" s="407"/>
      <c r="O804" s="86" t="str">
        <f>IF(OR(AE802="",AE803=""),"",IF(L804&gt;0,ROUND(IF(M804&gt;0,M804,IF(M802&gt;0,ROUND((M802*AE804)/AE802,IF(N802=0,2,IF(N802=0.1,1,0))),IF(M803&gt;0,ROUND((M803*AE804)/AE803,IF(N802=0,2,IF(N802=0.1,1,0))),IF(M804&gt;0,M804,0)))),2),""))</f>
        <v/>
      </c>
      <c r="P804" s="87" t="str">
        <f>IF(I803="Lay",O803*(L803/(L803-1))-O803,IF(I802="Lay",O802*(L802/(L802-1))-O802,IF(OR(L804="",O804=""),"",IF($C804="1/2W",O804/2+O804/2*L804,IF($C804="1/2L",O804/2,(O804*L804-O804)*(1-_xlfn.XLOOKUP(K804,'Fevereiro 2023 - Valor Real'!A3:A15,'Fevereiro 2023 - Valor Real'!C3:C15,0))+O804)))))</f>
        <v/>
      </c>
      <c r="Q804" s="238" t="str">
        <f>IF(K804="","",IF(_xlfn.XLOOKUP(K804,K$4:K803,$DJ$4:DJ803,0,,-1)=DJ804,_xlfn.XLOOKUP(K804,K$4:K803,Q$4:Q803,1,,-1)+1,1))</f>
        <v/>
      </c>
      <c r="R804" s="239" t="str">
        <f>IF(K804="","",_xlfn.XLOOKUP(K804,K$4:K803,R$4:R803,0,,-1)+IF($C804=" ",1,0))</f>
        <v/>
      </c>
      <c r="S804" s="404"/>
      <c r="T804" s="378"/>
      <c r="U804" s="378"/>
      <c r="V804" s="404"/>
      <c r="W804" s="378"/>
      <c r="X804" s="453"/>
      <c r="Y804" s="383"/>
      <c r="Z804" s="384"/>
      <c r="AA804" s="384"/>
      <c r="AB804" s="384"/>
      <c r="AC804" s="384"/>
      <c r="AD804" s="240">
        <f>((L803/(L803-1)-1))</f>
        <v>1.2820512820512819</v>
      </c>
      <c r="AE804" s="91" t="str">
        <f>IF(L804="","",(SUM(((L802-1)*(1-_xlfn.XLOOKUP(K802,'Fevereiro 2023 - Valor Real'!A3:A15,'Fevereiro 2023 - Valor Real'!C3:C15,0))+1),((L803-1)*(1-_xlfn.XLOOKUP(K803,'Fevereiro 2023 - Valor Real'!A3:A15,'Fevereiro 2023 - Valor Real'!C3:C15,0))+1),((L804-1)*(1-_xlfn.XLOOKUP(K804,'Fevereiro 2023 - Valor Real'!A3:A15,'Fevereiro 2023 - Valor Real'!C3:C15,0))+1))/((L804-1)*(1-_xlfn.XLOOKUP(K804,'Fevereiro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Real'!C3:C15,0))+1))/((L802-1)*(1-_xlfn.XLOOKUP(K802,'Fevereiro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Real'!C3:C15,0))+1))/((L803-1)*(1-_xlfn.XLOOKUP(K803,'Fevereiro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Real'!C3:C15,0))+1))/((L804-1)*(1-_xlfn.XLOOKUP(K804,'Fevereiro 2023 - Valor Real'!A3:A15,'Fevereiro 2023 - Valor Real'!C3:C15,0))+1)))</f>
        <v/>
      </c>
      <c r="AF804" s="66">
        <f t="shared" ref="AF804:AR813" si="1617">IF($K804=AF$3,ROUND(IF(OR($C804="W",$C804="1/2W",$C804="1/2L"),$P804-$O804,IF($C804="X",0,-$O804)),2),0)</f>
        <v>0</v>
      </c>
      <c r="AG804" s="67">
        <f t="shared" si="1617"/>
        <v>0</v>
      </c>
      <c r="AH804" s="67">
        <f t="shared" si="1617"/>
        <v>0</v>
      </c>
      <c r="AI804" s="67">
        <f t="shared" si="1617"/>
        <v>0</v>
      </c>
      <c r="AJ804" s="67">
        <f t="shared" si="1617"/>
        <v>0</v>
      </c>
      <c r="AK804" s="67">
        <f t="shared" si="1617"/>
        <v>0</v>
      </c>
      <c r="AL804" s="67">
        <f t="shared" si="1617"/>
        <v>0</v>
      </c>
      <c r="AM804" s="67">
        <f t="shared" si="1617"/>
        <v>0</v>
      </c>
      <c r="AN804" s="67">
        <f t="shared" si="1617"/>
        <v>0</v>
      </c>
      <c r="AO804" s="67">
        <f t="shared" si="1617"/>
        <v>0</v>
      </c>
      <c r="AP804" s="67">
        <f t="shared" si="1617"/>
        <v>0</v>
      </c>
      <c r="AQ804" s="67">
        <f t="shared" si="1617"/>
        <v>0</v>
      </c>
      <c r="AR804" s="68">
        <f t="shared" si="1617"/>
        <v>0</v>
      </c>
      <c r="AS804" s="66">
        <f>IF(AND($B802=" ",$K804=AS$3),$O804,0)</f>
        <v>0</v>
      </c>
      <c r="AT804" s="67">
        <f>IF(AND($B802=" ",K804=AT$3),$O804,0)</f>
        <v>0</v>
      </c>
      <c r="AU804" s="67">
        <f t="shared" ref="AU804:BE804" si="1618">IF(AND($B802=" ",$K804=AU$3),$O804,0)</f>
        <v>0</v>
      </c>
      <c r="AV804" s="67">
        <f t="shared" si="1618"/>
        <v>0</v>
      </c>
      <c r="AW804" s="67">
        <f t="shared" si="1618"/>
        <v>0</v>
      </c>
      <c r="AX804" s="67">
        <f t="shared" si="1618"/>
        <v>0</v>
      </c>
      <c r="AY804" s="69">
        <f t="shared" si="1618"/>
        <v>0</v>
      </c>
      <c r="AZ804" s="70">
        <f t="shared" si="1618"/>
        <v>0</v>
      </c>
      <c r="BA804" s="70">
        <f t="shared" si="1618"/>
        <v>0</v>
      </c>
      <c r="BB804" s="70">
        <f t="shared" si="1618"/>
        <v>0</v>
      </c>
      <c r="BC804" s="71">
        <f t="shared" si="1618"/>
        <v>0</v>
      </c>
      <c r="BD804" s="67">
        <f t="shared" si="1618"/>
        <v>0</v>
      </c>
      <c r="BE804" s="68">
        <f t="shared" si="1618"/>
        <v>0</v>
      </c>
      <c r="BF804" s="66">
        <f t="shared" ref="BF804:BR813" si="1619">IF($K804=BF$3,IF($C804="X",0,$O804),0)</f>
        <v>0</v>
      </c>
      <c r="BG804" s="67">
        <f t="shared" si="1619"/>
        <v>0</v>
      </c>
      <c r="BH804" s="67">
        <f t="shared" si="1619"/>
        <v>0</v>
      </c>
      <c r="BI804" s="67">
        <f t="shared" si="1619"/>
        <v>0</v>
      </c>
      <c r="BJ804" s="67">
        <f t="shared" si="1619"/>
        <v>0</v>
      </c>
      <c r="BK804" s="67">
        <f t="shared" si="1619"/>
        <v>0</v>
      </c>
      <c r="BL804" s="67">
        <f t="shared" si="1619"/>
        <v>0</v>
      </c>
      <c r="BM804" s="69">
        <f t="shared" si="1619"/>
        <v>0</v>
      </c>
      <c r="BN804" s="70">
        <f t="shared" si="1619"/>
        <v>0</v>
      </c>
      <c r="BO804" s="70">
        <f t="shared" si="1619"/>
        <v>0</v>
      </c>
      <c r="BP804" s="70">
        <f t="shared" si="1619"/>
        <v>0</v>
      </c>
      <c r="BQ804" s="71">
        <f t="shared" si="1619"/>
        <v>0</v>
      </c>
      <c r="BR804" s="68">
        <f t="shared" si="1619"/>
        <v>0</v>
      </c>
      <c r="BS804" s="464"/>
      <c r="BT804" s="461"/>
      <c r="BU804" s="392"/>
      <c r="BV804" s="461"/>
      <c r="BW804" s="392"/>
      <c r="BX804" s="392"/>
      <c r="BY804" s="392"/>
      <c r="BZ804" s="461"/>
      <c r="CA804" s="392"/>
      <c r="CB804" s="392"/>
      <c r="CC804" s="392"/>
      <c r="CD804" s="401"/>
      <c r="CE804" s="409"/>
      <c r="CF804" s="236">
        <f t="shared" si="1540"/>
        <v>0</v>
      </c>
      <c r="CG804" s="237">
        <f t="shared" si="1541"/>
        <v>0</v>
      </c>
      <c r="CH804" s="237">
        <f t="shared" si="1542"/>
        <v>0</v>
      </c>
      <c r="CI804" s="237">
        <f t="shared" si="1543"/>
        <v>0</v>
      </c>
      <c r="CJ804" s="237">
        <f t="shared" si="1544"/>
        <v>0</v>
      </c>
      <c r="CK804" s="237">
        <f t="shared" si="1545"/>
        <v>0</v>
      </c>
      <c r="CL804" s="237">
        <f t="shared" si="1546"/>
        <v>0</v>
      </c>
      <c r="CM804" s="237">
        <f t="shared" si="1547"/>
        <v>0</v>
      </c>
      <c r="CN804" s="237">
        <f t="shared" si="1548"/>
        <v>0</v>
      </c>
      <c r="CO804" s="237">
        <f t="shared" si="1549"/>
        <v>0</v>
      </c>
      <c r="CP804" s="237">
        <f t="shared" si="1550"/>
        <v>0</v>
      </c>
      <c r="CQ804" s="237">
        <f t="shared" si="1551"/>
        <v>0</v>
      </c>
      <c r="CR804" s="237">
        <f t="shared" si="1552"/>
        <v>0</v>
      </c>
      <c r="CS804" s="237">
        <f t="shared" si="1553"/>
        <v>0</v>
      </c>
      <c r="CT804" s="75">
        <f t="shared" si="1554"/>
        <v>0</v>
      </c>
      <c r="CU804" s="76">
        <f t="shared" si="1555"/>
        <v>0</v>
      </c>
      <c r="CV804" s="76">
        <f t="shared" si="1556"/>
        <v>0</v>
      </c>
      <c r="CW804" s="76">
        <f t="shared" si="1557"/>
        <v>0</v>
      </c>
      <c r="CX804" s="76">
        <f t="shared" si="1558"/>
        <v>0</v>
      </c>
      <c r="CY804" s="76">
        <f t="shared" si="1559"/>
        <v>0</v>
      </c>
      <c r="CZ804" s="76">
        <f t="shared" si="1560"/>
        <v>0</v>
      </c>
      <c r="DA804" s="76">
        <f t="shared" si="1561"/>
        <v>0</v>
      </c>
      <c r="DB804" s="76">
        <f t="shared" si="1562"/>
        <v>0</v>
      </c>
      <c r="DC804" s="76">
        <f t="shared" si="1563"/>
        <v>0</v>
      </c>
      <c r="DD804" s="76">
        <f t="shared" si="1564"/>
        <v>0</v>
      </c>
      <c r="DE804" s="77">
        <f t="shared" si="1565"/>
        <v>0</v>
      </c>
      <c r="DF804" s="73">
        <f t="shared" si="1567"/>
        <v>44</v>
      </c>
      <c r="DG804" s="67">
        <f t="shared" si="1568"/>
        <v>58.567999999999991</v>
      </c>
      <c r="DH804" s="76">
        <f t="shared" si="1569"/>
        <v>17</v>
      </c>
      <c r="DI804" s="67">
        <f t="shared" si="1570"/>
        <v>72.399999999999991</v>
      </c>
      <c r="DJ804" s="202" t="str">
        <f>IF($D802="","",$D802)</f>
        <v>27</v>
      </c>
      <c r="DK804" s="466"/>
    </row>
    <row r="805" spans="1:115" ht="14.5" customHeight="1" x14ac:dyDescent="0.2">
      <c r="A805" s="459">
        <f>$A802+1</f>
        <v>268</v>
      </c>
      <c r="B805" s="507" t="str">
        <f>IF(OR(C805="W",C806="W",C807="W",C805="1/2W",C806="1/2W",C807="1/2W",C805="1/2L",C806="1/2L",C807="1/2L"),"OK",IF(OR(C805="L",C806="L",C807="L"),"LOSS",IF(OR(C805="X",C806="X",C807="X"),"Anulado"," ")))</f>
        <v>OK</v>
      </c>
      <c r="C805" s="93" t="s">
        <v>55</v>
      </c>
      <c r="D805" s="468" t="str">
        <f>IF(G805="","",$D802)</f>
        <v>27</v>
      </c>
      <c r="E805" s="485" t="str">
        <f>IF(G805=""," ","– "&amp;COUNTIF(D$4:D807,$D805))</f>
        <v>– 15</v>
      </c>
      <c r="F805" s="509" t="str">
        <f ca="1">IF(G805="","",IF(OR(AND($C805&lt;&gt;" ",$C806=" "),AND($C806&lt;&gt;" ",$C805=" "),AND(L807&gt;0,OR(AND($C807&lt;&gt;" ",OR($C805=" ",$C806=" ")),AND($C807=" ",OR($C805&lt;&gt;" ",$C806&lt;&gt;" "))))),IF(SUM(F$4:F804)=0,1,LARGE(F$4:F804,1)+1),IF(MONTH(G805)=MONTH(TODAY()),IF(AND(DAY(G805)&lt;DAY(TODAY()),$B805=" "),IF(SUM(F$4:F804)=0,1,LARGE(F$4:F804,1)+1),IF($B805=" ",IF(AND(DAY(G805)=DAY(TODAY()),HOUR(G805)&lt;=HOUR(NOW())+1),IF(AND(HOUR(G805)+2&lt;=HOUR(NOW()),DAY(G805)&lt;=DAY(TODAY()),MINUTE(G805)&lt;=MINUTE(NOW())),IF(SUM(F$4:F804)=0,1,LARGE(F$4:F804,1)+1),IF(OR(MINUTE(G805)&lt;=MINUTE(NOW()),HOUR(G805)&lt;=HOUR(NOW())),"!!!","")),""),"")),"")))</f>
        <v/>
      </c>
      <c r="G805" s="482">
        <v>45012.71875</v>
      </c>
      <c r="H805" s="475" t="s">
        <v>272</v>
      </c>
      <c r="I805" s="94" t="s">
        <v>66</v>
      </c>
      <c r="J805" s="95">
        <v>-4</v>
      </c>
      <c r="K805" s="96" t="s">
        <v>47</v>
      </c>
      <c r="L805" s="97">
        <v>2.2000000000000002</v>
      </c>
      <c r="M805" s="98">
        <v>106</v>
      </c>
      <c r="N805" s="478">
        <v>0</v>
      </c>
      <c r="O805" s="99">
        <f>IF(OR(AE805="",AE806=""),"",ROUND(IF(L807&gt;0,IF(M805&gt;0,M805,IF(M806&gt;0,ROUND((M806*AE805)/AE806,IF(N805=0,2,IF(N805=0.1,1,0))),ROUND((M807*AE805)/AE807,IF(N805=0,2,IF(N805=0.1,1,0))))),IF(M805&gt;0,M805,ROUND((M806*AE805)/AE806,IF(N805=0,2,IF(N805=0.1,1,0))))),2))</f>
        <v>106</v>
      </c>
      <c r="P805" s="100">
        <f>IF(OR(L805="",O805=""),"",IF($C805="1/2W",O805/2+O805/2*L805,IF($C805="1/2L",O805/2,IF(I805="Lay",(O805*(L805/(L805-1))-O805)*(1-_xlfn.XLOOKUP(K805,'Fevereiro 2023 - Valor Real'!A3:A15,'Fevereiro 2023 - Valor Real'!C3:C15,0))+O805,(O805*L805-O805)*(1-_xlfn.XLOOKUP(K805,'Fevereiro 2023 - Valor Real'!A3:A15,'Fevereiro 2023 - Valor Real'!C3:C15,0))+O805))))</f>
        <v>233.20000000000002</v>
      </c>
      <c r="Q805" s="101">
        <f>IF(K805="","",IF(_xlfn.XLOOKUP(K805,K$4:K804,$DJ$4:DJ804,0,,-1)=DJ805,_xlfn.XLOOKUP(K805,K$4:K804,Q$4:Q804,1,,-1)+1,1))</f>
        <v>5</v>
      </c>
      <c r="R805" s="102">
        <f>IF(K805="","",_xlfn.XLOOKUP(K805,K$4:K804,R$4:R804,0,,-1)+IF($C805=" ",1,0))</f>
        <v>0</v>
      </c>
      <c r="S805" s="474">
        <f>IF($B805="Anulado",0,ROUND(IF(OR($B805="LOSS",$B805="OK"),IF(OR($C805="W",$C805="1/2W",$C805="1/2L"),P805-O805,IF($C805="L",-O805,0))+IF(OR($C806="W",$C806="1/2W",$C806="1/2L"),P806-O806,IF($C806="L",-O806,0))+IF(OR($C807="W",$C807="1/2W",$C807="1/2L"),P807-O807,IF($C807="L",-O807,0)),IF(AND(OR($C805="W",$C805="1/2W",$C805="1/2L"),C806="W"),P805+P806-SUM(O805:O807)+_xlfn.XLOOKUP("X",C805:C807,O805:O807,0),IF(AND(C805=TRUE,C807="W"),P805+P807-SUM(O805:O807),IF(AND(C806="W",C807="W"),P806+P807-SUM(O805:O807)+_xlfn.XLOOKUP("X",C805:C807,O805:O807,0),IF(L807&gt;0,IF(OR($C805="W",$C805="1/2W",$C805="1/2L"),P805-SUM(O805:O807)+_xlfn.XLOOKUP("X",C805:C807,O805:O807,0),IF(OR($C805="W",$C805="1/2W",$C805="1/2L"),P806-SUM(O805:O807)+_xlfn.XLOOKUP("X",C805:C807,O805:O807,0),IF(OR($C805="W",$C805="1/2W",$C805="1/2L"),P807-SUM(O805:O807)+_xlfn.XLOOKUP("X",C805:C807,O805:O807,0),IF(SUM(P805:P807)/3-SUM(O805:O807)+_xlfn.XLOOKUP("X",C805:C807,O805:O807,0)&gt;0,SUM(P805:P807)/3-SUM(O805:O807)+_xlfn.XLOOKUP("X",C805:C807,O805:O807,0),LARGE(P805:P807,1)-SUM(O805:O807))))),IF(OR($C805="W",$C805="1/2W",$C805="1/2L"),P805-SUM(O805:O806)+_xlfn.XLOOKUP("X",C805:C807,O805:O807,0),IF(OR($C805="W",$C805="1/2W",$C805="1/2L"),P806-SUM(O805:O806)+_xlfn.XLOOKUP("X",C805:C807,O805:O807,0),SUM(P805:P806)/2-SUM(O805:O806)+_xlfn.XLOOKUP("X",C805:C807,O805:O807,0)))))))),2))</f>
        <v>6.44</v>
      </c>
      <c r="T805" s="458">
        <f>IF(S805=0,0,S805/SUM(O805:O807))</f>
        <v>2.8382547377699428E-2</v>
      </c>
      <c r="U805" s="470">
        <f>IF($D805=$D802,IF(OR($B805="LOSS",$B805="OK",$B805="Anulada"),S805,0)+U802,IF(OR($B805="LOSS",$B805="OK",$B805="Anulada"),S805,0))</f>
        <v>46.36999999999999</v>
      </c>
      <c r="V805" s="470">
        <f>IF($D805="",0,IF($D805=$D802,IF($B805=" ",IF(I807="",IF(OR(AND(I805="DNB1",I806="DNB2"),AND(OR(I805="DNB1",I805="DNB2"),J806=0),AND(OR(I806="DNB1",I806="DNB2"),J805=0),AND(I805="DNB2",I806="DNB1"),AND(IF(J805=0,(J805+1)/ROUND(J805+1,0),J805/ROUND(J805,0))=1,IF(J806=0,(J806+1)/ROUND(IF(J806="",0,J806)+1,0),IF(J806="",0,J806)/ROUND(IF(J806="",1,J806),0))=1,OR(J805&lt;&gt;""),J806&lt;&gt;"")),0,IF(S805&lt;0,IF(I807="",SMALL(P805:P806,1)-SUM(O805:O806),0),SMALL(P805:P806,1)-SUM(O805:O806))),IF(S805&lt;0,IF(I807="",SMALL(P805:P807,1)-SUM(O805:O807),0),LARGE(P805:P807,1)-SUM(O805:O807))),S805)+V802,IF(I807="",IF(OR(AND(I805="DNB1",I806="DNB2"),AND(OR(I805="DNB1",I805="DNB2"),J806=0),AND(OR(I806="DNB1",I806="DNB2"),J805=0),AND(I805="DNB2",I806="DNB1"),AND(IF(J805=0,(J805+1)/ROUND(J805+1,0),J805/ROUND(J805,0))=1,IF(J806=0,(IF(J806="",0,J806)+1)/ROUND(IF(J806="",0,J806)+1,0),IF(J806="",0,J806)/ROUND(IF(J806="",0,J806)+1,0))=1,OR(J805&lt;&gt;""),J806&lt;&gt;"")),0,IF(S805&lt;0,IF(I807="",SMALL(P805:P806,1)-SUM(O805:O806),0),SMALL(P805:P807,1)-SUM(O805:O807))),IF(S805&lt;0,IF(I807="",SMALL(P805:P807,1)-SUM(O805:O807),0),LARGE(P805:P807,1)-SUM(O805:O807)))))</f>
        <v>46.36999999999999</v>
      </c>
      <c r="W805" s="470">
        <f>IF($D805=$D802,IF(S805&lt;0,IF(I807="",S805,0),S805)+W802,S805)</f>
        <v>46.36999999999999</v>
      </c>
      <c r="X805" s="480" t="str">
        <f>IF(OR(SUM(R805:R807)=0,V805=W805),ROUND(IF(W805=0,0,W805/Y805)*100,2)&amp;"%",ROUND(IF(V805=0,0,V805/Y805)*100,2)&amp;"% a "&amp;ROUND(IF(W805=0,0,W805/Y805)*100,2)&amp;"%")</f>
        <v>5,62%</v>
      </c>
      <c r="Y805" s="471">
        <f>IF($D805=$D802,Y802+SUM(O805:O807),SUM(O805:O807))</f>
        <v>825.68</v>
      </c>
      <c r="Z805" s="470">
        <f>IF($B805=" ",SUM(O805:O807),0)+Z802</f>
        <v>0</v>
      </c>
      <c r="AA805" s="470">
        <f>IF(G805="","",IF($B805="Anulado",LARGE(P805:P807,1)-SUM(O805:O807)+AA802,AA802))</f>
        <v>13.381099999999991</v>
      </c>
      <c r="AB805" s="470">
        <f>IF($D805="","",AB802+S805)</f>
        <v>894.06000000000074</v>
      </c>
      <c r="AC805" s="472">
        <f ca="1">IF($D805="","",IF($B805=" ",IF(DAY(G805)=DAY(TODAY()),1+AC802,0+AC802),0+AC802))</f>
        <v>0</v>
      </c>
      <c r="AD805" s="103">
        <f>(((L806/(L806-1)-1)*(1-_xlfn.XLOOKUP(K806,'Fevereiro 2023 - Valor Real'!A3:A15,'Fevereiro 2023 - Valor Real'!C3:C15,0))+1))/(((L805-1)*(1-_xlfn.XLOOKUP(K805,'Fevereiro 2023 - Valor Real'!A3:A15,'Fevereiro 2023 - Valor Real'!C3:C15,0))+1)+((L806/(L806-1)-1)*(1-_xlfn.XLOOKUP(K806,'Fevereiro 2023 - Valor Real'!A3:A15,'Fevereiro 2023 - Valor Real'!C3:C15,0))+1))</f>
        <v>0.48541247484909456</v>
      </c>
      <c r="AE805" s="104">
        <f>IF(L805="","",IF(L807&gt;0,(SUM(((L805-1)*(1-_xlfn.XLOOKUP(K805,'Fevereiro 2023 - Valor Real'!A3:A15,'Fevereiro 2023 - Valor Real'!C3:C15,0))+1),((L806-1)*(1-_xlfn.XLOOKUP(K806,'Fevereiro 2023 - Valor Real'!A3:A15,'Fevereiro 2023 - Valor Real'!C3:C15,0))+1),((L807-1)*(1-_xlfn.XLOOKUP(K807,'Fevereiro 2023 - Valor Real'!A3:A15,'Fevereiro 2023 - Valor Real'!C3:C15,0))+1))/((L805-1)*(1-_xlfn.XLOOKUP(K805,'Fevereiro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Real'!C3:C15,0))+1))/((L805-1)*(1-_xlfn.XLOOKUP(K805,'Fevereiro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Real'!C3:C15,0))+1))/((L806-1)*(1-_xlfn.XLOOKUP(K806,'Fevereiro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Real'!C3:C15,0))+1))/((L807-1)*(1-_xlfn.XLOOKUP(K807,'Fevereiro 2023 - Valor Real'!A3:A15,'Fevereiro 2023 - Valor Real'!C3:C15,0))+1)),IF(I805="Lay",IF(I806="Lay",((L806/(L806-1)-1)*(1-_xlfn.XLOOKUP(K806,'Fevereiro 2023 - Valor Real'!A3:A15,'Fevereiro 2023 - Valor Real'!C3:C15,0))+1)/(((L806/(L806-1)-1)*(1-_xlfn.XLOOKUP(K806,'Fevereiro 2023 - Valor Real'!A3:A15,'Fevereiro 2023 - Valor Real'!C3:C15,0))+1)+((L805/(L805-1)-1)*(1-_xlfn.XLOOKUP(K805,'Fevereiro 2023 - Valor Real'!A3:A15,'Fevereiro 2023 - Valor Real'!C3:C15,0))+1)),((L806-1)*(1-_xlfn.XLOOKUP(K806,'Fevereiro 2023 - Valor Real'!A3:A15,'Fevereiro 2023 - Valor Real'!C3:C15,0))+1)/(((L806-1)*(1-_xlfn.XLOOKUP(K806,'Fevereiro 2023 - Valor Real'!A3:A15,'Fevereiro 2023 - Valor Real'!C3:C15,0))+1)+((L805/(L805-1)-1)*(1-_xlfn.XLOOKUP(K805,'Fevereiro 2023 - Valor Real'!A3:A15,'Fevereiro 2023 - Valor Real'!C3:C15,0))+1))),IF(I806="Lay",(((L806/(L806-1)-1)*(1-_xlfn.XLOOKUP(K806,'Fevereiro 2023 - Valor Real'!A3:A15,'Fevereiro 2023 - Valor Real'!C3:C15,0))+1))/(((L805-1)*(1-_xlfn.XLOOKUP(K805,'Fevereiro 2023 - Valor Real'!A3:A15,'Fevereiro 2023 - Valor Real'!C3:C15,0))+1)+((L806/(L806-1)-1)*(1-_xlfn.XLOOKUP(K806,'Fevereiro 2023 - Valor Real'!A3:A15,'Fevereiro 2023 - Valor Real'!C3:C15,0))+1)),((L806-1)*(1-_xlfn.XLOOKUP(K806,'Fevereiro 2023 - Valor Real'!A3:A15,'Fevereiro 2023 - Valor Real'!C3:C15,0))+1)/(((L806-1)*(1-_xlfn.XLOOKUP(K806,'Fevereiro 2023 - Valor Real'!A3:A15,'Fevereiro 2023 - Valor Real'!C3:C15,0))+1)+((L805-1)*(1-_xlfn.XLOOKUP(K805,'Fevereiro 2023 - Valor Real'!A3:A15,'Fevereiro 2023 - Valor Real'!C3:C15,0))+1))))))</f>
        <v>0.46731234866828086</v>
      </c>
      <c r="AF805" s="105">
        <f t="shared" si="1617"/>
        <v>0</v>
      </c>
      <c r="AG805" s="106">
        <f t="shared" si="1617"/>
        <v>0</v>
      </c>
      <c r="AH805" s="106">
        <f t="shared" si="1617"/>
        <v>0</v>
      </c>
      <c r="AI805" s="106">
        <f t="shared" si="1617"/>
        <v>0</v>
      </c>
      <c r="AJ805" s="106">
        <f t="shared" si="1617"/>
        <v>0</v>
      </c>
      <c r="AK805" s="106">
        <f t="shared" si="1617"/>
        <v>0</v>
      </c>
      <c r="AL805" s="106">
        <f t="shared" si="1617"/>
        <v>0</v>
      </c>
      <c r="AM805" s="106">
        <f t="shared" si="1617"/>
        <v>0</v>
      </c>
      <c r="AN805" s="106">
        <f t="shared" si="1617"/>
        <v>0</v>
      </c>
      <c r="AO805" s="106">
        <f t="shared" si="1617"/>
        <v>0</v>
      </c>
      <c r="AP805" s="106">
        <f t="shared" si="1617"/>
        <v>0</v>
      </c>
      <c r="AQ805" s="106">
        <f t="shared" si="1617"/>
        <v>-106</v>
      </c>
      <c r="AR805" s="107">
        <f t="shared" si="1617"/>
        <v>0</v>
      </c>
      <c r="AS805" s="105">
        <f t="shared" ref="AS805:BE805" si="1620">IF(AND($B805=" ",$K805=AS$3),$O805,0)</f>
        <v>0</v>
      </c>
      <c r="AT805" s="106">
        <f t="shared" si="1620"/>
        <v>0</v>
      </c>
      <c r="AU805" s="106">
        <f t="shared" si="1620"/>
        <v>0</v>
      </c>
      <c r="AV805" s="106">
        <f t="shared" si="1620"/>
        <v>0</v>
      </c>
      <c r="AW805" s="106">
        <f t="shared" si="1620"/>
        <v>0</v>
      </c>
      <c r="AX805" s="106">
        <f t="shared" si="1620"/>
        <v>0</v>
      </c>
      <c r="AY805" s="108">
        <f t="shared" si="1620"/>
        <v>0</v>
      </c>
      <c r="AZ805" s="109">
        <f t="shared" si="1620"/>
        <v>0</v>
      </c>
      <c r="BA805" s="109">
        <f t="shared" si="1620"/>
        <v>0</v>
      </c>
      <c r="BB805" s="109">
        <f t="shared" si="1620"/>
        <v>0</v>
      </c>
      <c r="BC805" s="110">
        <f t="shared" si="1620"/>
        <v>0</v>
      </c>
      <c r="BD805" s="106">
        <f t="shared" si="1620"/>
        <v>0</v>
      </c>
      <c r="BE805" s="107">
        <f t="shared" si="1620"/>
        <v>0</v>
      </c>
      <c r="BF805" s="111">
        <f t="shared" si="1619"/>
        <v>0</v>
      </c>
      <c r="BG805" s="106">
        <f t="shared" si="1619"/>
        <v>0</v>
      </c>
      <c r="BH805" s="106">
        <f t="shared" si="1619"/>
        <v>0</v>
      </c>
      <c r="BI805" s="106">
        <f t="shared" si="1619"/>
        <v>0</v>
      </c>
      <c r="BJ805" s="106">
        <f t="shared" si="1619"/>
        <v>0</v>
      </c>
      <c r="BK805" s="106">
        <f t="shared" si="1619"/>
        <v>0</v>
      </c>
      <c r="BL805" s="106">
        <f t="shared" si="1619"/>
        <v>0</v>
      </c>
      <c r="BM805" s="108">
        <f t="shared" si="1619"/>
        <v>0</v>
      </c>
      <c r="BN805" s="109">
        <f t="shared" si="1619"/>
        <v>0</v>
      </c>
      <c r="BO805" s="109">
        <f t="shared" si="1619"/>
        <v>0</v>
      </c>
      <c r="BP805" s="109">
        <f t="shared" si="1619"/>
        <v>0</v>
      </c>
      <c r="BQ805" s="110">
        <f t="shared" si="1619"/>
        <v>106</v>
      </c>
      <c r="BR805" s="107">
        <f t="shared" si="1619"/>
        <v>0</v>
      </c>
      <c r="BS805" s="463">
        <f>IF($B805="LOSS",IF(AND($K805=BS$3,$C805="L"),-$O805,0)+IF(AND($K806=BS$3,$C806="L"),-$O806,0)+IF(AND($K807=BS$3,$C807="L"),-$O807,0),IF(OR(AND($K805=BS$3,OR($C805="W",$C805="1/2W")),AND($K806=BS$3,OR($C806="W",$C806="1/2W")),AND($K807=BS$3,OR($C807="W",$C807="1/2W"))),$S805,0))</f>
        <v>0</v>
      </c>
      <c r="BT805" s="462">
        <f>IF($B805="LOSS",IF(AND($K805=BT$3,$C805="L"),-$O805,0)+IF(AND($K806=BT$3,$C806="L"),-$O806,0)+IF(AND($K806=BT$3,$C807="L"),-$O807,0),IF(OR(AND($K806=BT$3,OR($C805="W",$C805="1/2W")),AND($K806=BT$3,OR($C806="W",$C806="1/2W")),AND($K806=BT$3,OR($C807="W",$C807="1/2W"))),$S805,0))</f>
        <v>0</v>
      </c>
      <c r="BU805" s="462">
        <f>IF($B805="LOSS",IF(AND($K805=BU$3,$C805="L"),-$O805,0)+IF(AND($K806=BU$3,$C806="L"),-$O806,0)+IF(AND($K806=BU$3,$C807="L"),-$O807,0),IF(OR(AND($K806=BU$3,OR($C805="W",$C805="1/2W")),AND($K806=BU$3,OR($C806="W",$C806="1/2W")),AND($K806=BU$3,OR($C807="W",$C807="1/2W"))),$S805,0))</f>
        <v>0</v>
      </c>
      <c r="BV805" s="462">
        <f t="shared" ref="BV805:CE805" si="1621">IF($B805="LOSS",IF(AND($K805=BV$3,$C805="L"),-$O805,0)+IF(AND($K806=BV$3,$C806="L"),-$O806,0)+IF(AND($K807=BV$3,$C807="L"),-$O807,0),IF(OR(AND($K805=BV$3,OR($C805="W",$C805="1/2W")),AND($K806=BV$3,OR($C806="W",$C806="1/2W")),AND($K807=BV$3,OR($C807="W",$C807="1/2W"))),$S805,0))</f>
        <v>0</v>
      </c>
      <c r="BW805" s="462">
        <f t="shared" si="1621"/>
        <v>6.44</v>
      </c>
      <c r="BX805" s="462">
        <f t="shared" si="1621"/>
        <v>0</v>
      </c>
      <c r="BY805" s="462">
        <f t="shared" si="1621"/>
        <v>0</v>
      </c>
      <c r="BZ805" s="460">
        <f t="shared" si="1621"/>
        <v>0</v>
      </c>
      <c r="CA805" s="460">
        <f t="shared" si="1621"/>
        <v>0</v>
      </c>
      <c r="CB805" s="460">
        <f t="shared" si="1621"/>
        <v>0</v>
      </c>
      <c r="CC805" s="460">
        <f t="shared" si="1621"/>
        <v>0</v>
      </c>
      <c r="CD805" s="473">
        <f t="shared" si="1621"/>
        <v>0</v>
      </c>
      <c r="CE805" s="479">
        <f t="shared" si="1621"/>
        <v>0</v>
      </c>
      <c r="CF805" s="113">
        <f t="shared" si="1540"/>
        <v>0</v>
      </c>
      <c r="CG805" s="114">
        <f t="shared" si="1541"/>
        <v>0</v>
      </c>
      <c r="CH805" s="114">
        <f t="shared" si="1542"/>
        <v>0</v>
      </c>
      <c r="CI805" s="114">
        <f t="shared" si="1543"/>
        <v>0</v>
      </c>
      <c r="CJ805" s="114">
        <f t="shared" si="1544"/>
        <v>0</v>
      </c>
      <c r="CK805" s="114">
        <f t="shared" si="1545"/>
        <v>0</v>
      </c>
      <c r="CL805" s="114">
        <f t="shared" si="1546"/>
        <v>0</v>
      </c>
      <c r="CM805" s="114">
        <f t="shared" si="1547"/>
        <v>0</v>
      </c>
      <c r="CN805" s="114">
        <f t="shared" si="1548"/>
        <v>0</v>
      </c>
      <c r="CO805" s="114">
        <f t="shared" si="1549"/>
        <v>0</v>
      </c>
      <c r="CP805" s="114">
        <f t="shared" si="1550"/>
        <v>0</v>
      </c>
      <c r="CQ805" s="114">
        <f t="shared" si="1551"/>
        <v>0</v>
      </c>
      <c r="CR805" s="114">
        <f t="shared" si="1552"/>
        <v>0</v>
      </c>
      <c r="CS805" s="114">
        <f t="shared" si="1553"/>
        <v>0</v>
      </c>
      <c r="CT805" s="115">
        <f t="shared" si="1554"/>
        <v>0</v>
      </c>
      <c r="CU805" s="116">
        <f t="shared" si="1555"/>
        <v>0</v>
      </c>
      <c r="CV805" s="116">
        <f t="shared" si="1556"/>
        <v>0</v>
      </c>
      <c r="CW805" s="116">
        <f t="shared" si="1557"/>
        <v>0</v>
      </c>
      <c r="CX805" s="116">
        <f t="shared" si="1558"/>
        <v>0</v>
      </c>
      <c r="CY805" s="116">
        <f t="shared" si="1559"/>
        <v>0</v>
      </c>
      <c r="CZ805" s="116">
        <f t="shared" si="1560"/>
        <v>0</v>
      </c>
      <c r="DA805" s="116">
        <f t="shared" si="1561"/>
        <v>0</v>
      </c>
      <c r="DB805" s="116">
        <f t="shared" si="1562"/>
        <v>0</v>
      </c>
      <c r="DC805" s="116">
        <f t="shared" si="1563"/>
        <v>1</v>
      </c>
      <c r="DD805" s="116">
        <f t="shared" si="1564"/>
        <v>0</v>
      </c>
      <c r="DE805" s="117">
        <f t="shared" si="1565"/>
        <v>0</v>
      </c>
      <c r="DF805" s="118">
        <f t="shared" si="1567"/>
        <v>44</v>
      </c>
      <c r="DG805" s="106">
        <f t="shared" si="1568"/>
        <v>58.567999999999991</v>
      </c>
      <c r="DH805" s="116">
        <f t="shared" si="1569"/>
        <v>17</v>
      </c>
      <c r="DI805" s="106">
        <f t="shared" si="1570"/>
        <v>72.399999999999991</v>
      </c>
      <c r="DJ805" s="201" t="str">
        <f>IF($D805="","",$D805)</f>
        <v>27</v>
      </c>
      <c r="DK805" s="465">
        <f>IF(AND($B805=" ",$D805&lt;&gt;""),1,0)</f>
        <v>0</v>
      </c>
    </row>
    <row r="806" spans="1:115" ht="14.5" customHeight="1" x14ac:dyDescent="0.2">
      <c r="A806" s="389"/>
      <c r="B806" s="456"/>
      <c r="C806" s="120" t="s">
        <v>54</v>
      </c>
      <c r="D806" s="374"/>
      <c r="E806" s="386"/>
      <c r="F806" s="377"/>
      <c r="G806" s="483"/>
      <c r="H806" s="476"/>
      <c r="I806" s="121" t="s">
        <v>76</v>
      </c>
      <c r="J806" s="122">
        <f>IF(OR(I805="TO",I805="TU",I805="TO1",I805="TU1",I805="TO2",I805="TU2"),J805,IF(OR(I805="AH1",I805="AH2"),IF(OR(I806="AH1",I806="AH2"),-J805,IF(OR(I806="EH1",I806="EH2"),-J805+0.5,"")),IF(OR(I805="EH1",I805="EH2"),IF(OR(I806="AH1",I806="AH2"),-J805+0.5,IF(OR(I806="EH1",I806="EH2"),-J805+1,"")),IF(AND(OR(I805="DNB1",I805="DNB2"),OR(I806="AH1",I806="AH2")),0,IF(AND(I805="Not ScoreBoth",OR(I806="TO1",I806="TO2")),0.5,"")))))</f>
        <v>4</v>
      </c>
      <c r="K806" s="123" t="s">
        <v>40</v>
      </c>
      <c r="L806" s="124">
        <v>1.93</v>
      </c>
      <c r="M806" s="125">
        <v>120.9</v>
      </c>
      <c r="N806" s="406"/>
      <c r="O806" s="126">
        <f>IF(OR(AE805="",AE806=""),"",ROUND(IF(L807&gt;0,IF(M806&gt;0,M806,IF(M805&gt;0,IF(N805=TRUE,ROUND((M805*AE806)/AE805,0),(M805*AE806)/AE805),IF(M806&gt;0,ROUND(M806,IF(N805=0,2,IF(N805=0.1,1,0))),IF(M807&gt;0,ROUND(O807*AE806/AE807,IF(N805=0,2,IF(N805=0.1,1,0))),0)))),IF(M806&gt;0,M806,ROUND((M805*AE806)/AE805,IF(N805=0,2,IF(N805=0.1,1,0))))),2))</f>
        <v>120.9</v>
      </c>
      <c r="P806" s="127">
        <f>IF(OR(L806="",O806=""),"",IF($C806="1/2W",O806/2+O806/2*L806,IF($C806="1/2L",O806/2,IF(I806="Lay",((O806*(L806/(L806-1)))-O806)*(1-_xlfn.XLOOKUP(K806,'Fevereiro 2023 - Valor Real'!A3:A15,'Fevereiro 2023 - Valor Real'!C3:C15,0))+O806,(O806*L806-O806)*(1-_xlfn.XLOOKUP(K806,'Fevereiro 2023 - Valor Real'!A3:A15,'Fevereiro 2023 - Valor Real'!C3:C15,0))+O806))))</f>
        <v>233.33700000000002</v>
      </c>
      <c r="Q806" s="128">
        <f>IF(K806="","",IF(_xlfn.XLOOKUP(K806,K$4:K805,$DJ$4:DJ805,0,,-1)=DJ806,_xlfn.XLOOKUP(K806,K$4:K805,Q$4:Q805,1,,-1)+1,1))</f>
        <v>14</v>
      </c>
      <c r="R806" s="129">
        <f>IF(K806="","",_xlfn.XLOOKUP(K806,K$4:K805,R$4:R805,0,,-1)+IF($C806=" ",1,0))</f>
        <v>0</v>
      </c>
      <c r="S806" s="403"/>
      <c r="T806" s="380"/>
      <c r="U806" s="380"/>
      <c r="V806" s="481"/>
      <c r="W806" s="380"/>
      <c r="X806" s="452"/>
      <c r="Y806" s="383"/>
      <c r="Z806" s="384"/>
      <c r="AA806" s="384"/>
      <c r="AB806" s="384"/>
      <c r="AC806" s="384"/>
      <c r="AD806" s="130">
        <f>(((L806/(L806-1)-1)*(1-_xlfn.XLOOKUP(K806,'Fevereiro 2023 - Valor Real'!A3:A15,'Fevereiro 2023 - Valor Real'!C3:C15,0))+1))</f>
        <v>2.075268817204301</v>
      </c>
      <c r="AE806" s="131">
        <f>IF(L806="","",IF(L807&gt;0,(SUM(((L805-1)*(1-_xlfn.XLOOKUP(K805,'Fevereiro 2023 - Valor Real'!A3:A15,'Fevereiro 2023 - Valor Real'!C3:C15,0))+1),((L806-1)*(1-_xlfn.XLOOKUP(K806,'Fevereiro 2023 - Valor Real'!A3:A15,'Fevereiro 2023 - Valor Real'!C3:C15,0))+1),((L807-1)*(1-_xlfn.XLOOKUP(K807,'Fevereiro 2023 - Valor Real'!A3:A15,'Fevereiro 2023 - Valor Real'!C3:C15,0))+1))/((L806-1)*(1-_xlfn.XLOOKUP(K806,'Fevereiro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Real'!C3:C15,0))+1))/((L805-1)*(1-_xlfn.XLOOKUP(K805,'Fevereiro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Real'!C3:C15,0))+1))/((L806-1)*(1-_xlfn.XLOOKUP(K806,'Fevereiro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Real'!C3:C15,0))+1))/((L807-1)*(1-_xlfn.XLOOKUP(K807,'Fevereiro 2023 - Valor Real'!A3:A15,'Fevereiro 2023 - Valor Real'!C3:C15,0))+1)),IF(I806="Lay",IF(I805="Lay",((L805/(L805-1)-1)*(1-_xlfn.XLOOKUP(K805,'Fevereiro 2023 - Valor Real'!A3:A15,'Fevereiro 2023 - Valor Real'!C3:C15,0))+1)/(((L805/(L805-1)-1)*(1-_xlfn.XLOOKUP(K805,'Fevereiro 2023 - Valor Real'!A3:A15,'Fevereiro 2023 - Valor Real'!C3:C15,0))+1)+((L806/(L806-1)-1)*(1-_xlfn.XLOOKUP(K806,'Fevereiro 2023 - Valor Real'!A3:A15,'Fevereiro 2023 - Valor Real'!C3:C15,0))+1)),((L805-1)*(1-_xlfn.XLOOKUP(K805,'Fevereiro 2023 - Valor Real'!A3:A15,'Fevereiro 2023 - Valor Real'!C3:C15,0))+1)/(((L805-1)*(1-_xlfn.XLOOKUP(K805,'Fevereiro 2023 - Valor Real'!A3:A15,'Fevereiro 2023 - Valor Real'!C3:C15,0))+1)+((L806/(L806-1)-1)*(1-_xlfn.XLOOKUP(K806,'Fevereiro 2023 - Valor Real'!A3:A15,'Fevereiro 2023 - Valor Real'!C3:C15,0))+1))),IF(I805="Lay",((L805/(L805-1)-1)*(1-_xlfn.XLOOKUP(K805,'Fevereiro 2023 - Valor Real'!A3:A15,'Fevereiro 2023 - Valor Real'!C3:C15,0))+1)/((((L805/(L805-1)-1)*(1-_xlfn.XLOOKUP(K805,'Fevereiro 2023 - Valor Real'!A3:A15,'Fevereiro 2023 - Valor Real'!C3:C15,0))+1))+((L806-1)*(1-_xlfn.XLOOKUP(K806,'Fevereiro 2023 - Valor Real'!A3:A15,'Fevereiro 2023 - Valor Real'!C3:C15,0))+1)),((L805-1)*(1-_xlfn.XLOOKUP(K805,'Fevereiro 2023 - Valor Real'!A3:A15,'Fevereiro 2023 - Valor Real'!C3:C15,0))+1)/(((L805-1)*(1-_xlfn.XLOOKUP(K805,'Fevereiro 2023 - Valor Real'!A3:A15,'Fevereiro 2023 - Valor Real'!C3:C15,0))+1)+((L806-1)*(1-_xlfn.XLOOKUP(K806,'Fevereiro 2023 - Valor Real'!A3:A15,'Fevereiro 2023 - Valor Real'!C3:C15,0))+1))))))</f>
        <v>0.53268765133171914</v>
      </c>
      <c r="AF806" s="105">
        <f t="shared" si="1617"/>
        <v>0</v>
      </c>
      <c r="AG806" s="106">
        <f t="shared" si="1617"/>
        <v>0</v>
      </c>
      <c r="AH806" s="106">
        <f t="shared" si="1617"/>
        <v>0</v>
      </c>
      <c r="AI806" s="106">
        <f t="shared" si="1617"/>
        <v>0</v>
      </c>
      <c r="AJ806" s="106">
        <f t="shared" si="1617"/>
        <v>112.44</v>
      </c>
      <c r="AK806" s="106">
        <f t="shared" si="1617"/>
        <v>0</v>
      </c>
      <c r="AL806" s="106">
        <f t="shared" si="1617"/>
        <v>0</v>
      </c>
      <c r="AM806" s="106">
        <f t="shared" si="1617"/>
        <v>0</v>
      </c>
      <c r="AN806" s="106">
        <f t="shared" si="1617"/>
        <v>0</v>
      </c>
      <c r="AO806" s="106">
        <f t="shared" si="1617"/>
        <v>0</v>
      </c>
      <c r="AP806" s="106">
        <f t="shared" si="1617"/>
        <v>0</v>
      </c>
      <c r="AQ806" s="106">
        <f t="shared" si="1617"/>
        <v>0</v>
      </c>
      <c r="AR806" s="107">
        <f t="shared" si="1617"/>
        <v>0</v>
      </c>
      <c r="AS806" s="105">
        <f>IF(AND($B805=" ",$K806=AS$3),$O806,0)</f>
        <v>0</v>
      </c>
      <c r="AT806" s="106">
        <f>IF(AND($B805=" ",K806=AT$3),$O806,0)</f>
        <v>0</v>
      </c>
      <c r="AU806" s="106">
        <f t="shared" ref="AU806:BE806" si="1622">IF(AND($B805=" ",$K806=AU$3),$O806,0)</f>
        <v>0</v>
      </c>
      <c r="AV806" s="106">
        <f t="shared" si="1622"/>
        <v>0</v>
      </c>
      <c r="AW806" s="106">
        <f t="shared" si="1622"/>
        <v>0</v>
      </c>
      <c r="AX806" s="106">
        <f t="shared" si="1622"/>
        <v>0</v>
      </c>
      <c r="AY806" s="108">
        <f t="shared" si="1622"/>
        <v>0</v>
      </c>
      <c r="AZ806" s="109">
        <f t="shared" si="1622"/>
        <v>0</v>
      </c>
      <c r="BA806" s="109">
        <f t="shared" si="1622"/>
        <v>0</v>
      </c>
      <c r="BB806" s="109">
        <f t="shared" si="1622"/>
        <v>0</v>
      </c>
      <c r="BC806" s="110">
        <f t="shared" si="1622"/>
        <v>0</v>
      </c>
      <c r="BD806" s="106">
        <f t="shared" si="1622"/>
        <v>0</v>
      </c>
      <c r="BE806" s="107">
        <f t="shared" si="1622"/>
        <v>0</v>
      </c>
      <c r="BF806" s="105">
        <f t="shared" si="1619"/>
        <v>0</v>
      </c>
      <c r="BG806" s="106">
        <f t="shared" si="1619"/>
        <v>0</v>
      </c>
      <c r="BH806" s="106">
        <f t="shared" si="1619"/>
        <v>0</v>
      </c>
      <c r="BI806" s="106">
        <f t="shared" si="1619"/>
        <v>0</v>
      </c>
      <c r="BJ806" s="106">
        <f t="shared" si="1619"/>
        <v>120.9</v>
      </c>
      <c r="BK806" s="106">
        <f t="shared" si="1619"/>
        <v>0</v>
      </c>
      <c r="BL806" s="106">
        <f t="shared" si="1619"/>
        <v>0</v>
      </c>
      <c r="BM806" s="132">
        <f t="shared" si="1619"/>
        <v>0</v>
      </c>
      <c r="BN806" s="112">
        <f t="shared" si="1619"/>
        <v>0</v>
      </c>
      <c r="BO806" s="112">
        <f t="shared" si="1619"/>
        <v>0</v>
      </c>
      <c r="BP806" s="112">
        <f t="shared" si="1619"/>
        <v>0</v>
      </c>
      <c r="BQ806" s="110">
        <f t="shared" si="1619"/>
        <v>0</v>
      </c>
      <c r="BR806" s="107">
        <f t="shared" si="1619"/>
        <v>0</v>
      </c>
      <c r="BS806" s="464"/>
      <c r="BT806" s="461"/>
      <c r="BU806" s="392"/>
      <c r="BV806" s="461"/>
      <c r="BW806" s="392"/>
      <c r="BX806" s="392"/>
      <c r="BY806" s="392"/>
      <c r="BZ806" s="461"/>
      <c r="CA806" s="392"/>
      <c r="CB806" s="392"/>
      <c r="CC806" s="392"/>
      <c r="CD806" s="401"/>
      <c r="CE806" s="409"/>
      <c r="CF806" s="133">
        <f t="shared" si="1540"/>
        <v>0</v>
      </c>
      <c r="CG806" s="134">
        <f t="shared" si="1541"/>
        <v>0</v>
      </c>
      <c r="CH806" s="134">
        <f t="shared" si="1542"/>
        <v>0</v>
      </c>
      <c r="CI806" s="134">
        <f t="shared" si="1543"/>
        <v>0</v>
      </c>
      <c r="CJ806" s="134">
        <f t="shared" si="1544"/>
        <v>0</v>
      </c>
      <c r="CK806" s="134">
        <f t="shared" si="1545"/>
        <v>0</v>
      </c>
      <c r="CL806" s="134">
        <f t="shared" si="1546"/>
        <v>0</v>
      </c>
      <c r="CM806" s="134">
        <f t="shared" si="1547"/>
        <v>0</v>
      </c>
      <c r="CN806" s="134">
        <f t="shared" si="1548"/>
        <v>1</v>
      </c>
      <c r="CO806" s="134">
        <f t="shared" si="1549"/>
        <v>0</v>
      </c>
      <c r="CP806" s="134">
        <f t="shared" si="1550"/>
        <v>0</v>
      </c>
      <c r="CQ806" s="134">
        <f t="shared" si="1551"/>
        <v>0</v>
      </c>
      <c r="CR806" s="134">
        <f t="shared" si="1552"/>
        <v>0</v>
      </c>
      <c r="CS806" s="134">
        <f t="shared" si="1553"/>
        <v>0</v>
      </c>
      <c r="CT806" s="115">
        <f t="shared" si="1554"/>
        <v>0</v>
      </c>
      <c r="CU806" s="116">
        <f t="shared" si="1555"/>
        <v>0</v>
      </c>
      <c r="CV806" s="116">
        <f t="shared" si="1556"/>
        <v>0</v>
      </c>
      <c r="CW806" s="116">
        <f t="shared" si="1557"/>
        <v>0</v>
      </c>
      <c r="CX806" s="116">
        <f t="shared" si="1558"/>
        <v>0</v>
      </c>
      <c r="CY806" s="116">
        <f t="shared" si="1559"/>
        <v>0</v>
      </c>
      <c r="CZ806" s="116">
        <f t="shared" si="1560"/>
        <v>0</v>
      </c>
      <c r="DA806" s="116">
        <f t="shared" si="1561"/>
        <v>0</v>
      </c>
      <c r="DB806" s="116">
        <f t="shared" si="1562"/>
        <v>0</v>
      </c>
      <c r="DC806" s="116">
        <f t="shared" si="1563"/>
        <v>0</v>
      </c>
      <c r="DD806" s="116">
        <f t="shared" si="1564"/>
        <v>0</v>
      </c>
      <c r="DE806" s="117">
        <f t="shared" si="1565"/>
        <v>0</v>
      </c>
      <c r="DF806" s="118">
        <f t="shared" si="1567"/>
        <v>44</v>
      </c>
      <c r="DG806" s="106">
        <f t="shared" si="1568"/>
        <v>58.567999999999991</v>
      </c>
      <c r="DH806" s="116">
        <f t="shared" si="1569"/>
        <v>17</v>
      </c>
      <c r="DI806" s="106">
        <f t="shared" si="1570"/>
        <v>72.399999999999991</v>
      </c>
      <c r="DJ806" s="201" t="str">
        <f>IF($D805="","",$D805)</f>
        <v>27</v>
      </c>
      <c r="DK806" s="466"/>
    </row>
    <row r="807" spans="1:115" ht="14.5" customHeight="1" x14ac:dyDescent="0.2">
      <c r="A807" s="390"/>
      <c r="B807" s="457"/>
      <c r="C807" s="135" t="s">
        <v>53</v>
      </c>
      <c r="D807" s="375"/>
      <c r="E807" s="387"/>
      <c r="F807" s="378"/>
      <c r="G807" s="484"/>
      <c r="H807" s="477"/>
      <c r="I807" s="136"/>
      <c r="J807" s="137"/>
      <c r="K807" s="138"/>
      <c r="L807" s="139"/>
      <c r="M807" s="140"/>
      <c r="N807" s="407"/>
      <c r="O807" s="141" t="str">
        <f>IF(OR(AE805="",AE806=""),"",IF(L807&gt;0,ROUND(IF(M807&gt;0,M807,IF(M805&gt;0,ROUND((M805*AE807)/AE805,IF(N805=0,2,IF(N805=0.1,1,0))),IF(M806&gt;0,ROUND((M806*AE807)/AE806,IF(N805=0,2,IF(N805=0.1,1,0))),IF(M807&gt;0,M807,0)))),2),""))</f>
        <v/>
      </c>
      <c r="P807" s="142" t="str">
        <f>IF(I806="Lay",O806*(L806/(L806-1))-O806,IF(I805="Lay",O805*(L805/(L805-1))-O805,IF(OR(L807="",O807=""),"",IF($C807="1/2W",O807/2+O807/2*L807,IF($C807="1/2L",O807/2,(O807*L807-O807)*(1-_xlfn.XLOOKUP(K807,'Fevereiro 2023 - Valor Real'!A3:A15,'Fevereiro 2023 - Valor Real'!C3:C15,0))+O807)))))</f>
        <v/>
      </c>
      <c r="Q807" s="221" t="str">
        <f>IF(K807="","",IF(_xlfn.XLOOKUP(K807,K$4:K806,$DJ$4:DJ806,0,,-1)=DJ807,_xlfn.XLOOKUP(K807,K$4:K806,Q$4:Q806,1,,-1)+1,1))</f>
        <v/>
      </c>
      <c r="R807" s="144" t="str">
        <f>IF(K807="","",_xlfn.XLOOKUP(K807,K$4:K806,R$4:R806,0,,-1)+IF($C807=" ",1,0))</f>
        <v/>
      </c>
      <c r="S807" s="404"/>
      <c r="T807" s="378"/>
      <c r="U807" s="378"/>
      <c r="V807" s="404"/>
      <c r="W807" s="378"/>
      <c r="X807" s="453"/>
      <c r="Y807" s="383"/>
      <c r="Z807" s="384"/>
      <c r="AA807" s="384"/>
      <c r="AB807" s="384"/>
      <c r="AC807" s="384"/>
      <c r="AD807" s="145">
        <f>((L806/(L806-1)-1))</f>
        <v>1.075268817204301</v>
      </c>
      <c r="AE807" s="146" t="str">
        <f>IF(L807="","",(SUM(((L805-1)*(1-_xlfn.XLOOKUP(K805,'Fevereiro 2023 - Valor Real'!A3:A15,'Fevereiro 2023 - Valor Real'!C3:C15,0))+1),((L806-1)*(1-_xlfn.XLOOKUP(K806,'Fevereiro 2023 - Valor Real'!A3:A15,'Fevereiro 2023 - Valor Real'!C3:C15,0))+1),((L807-1)*(1-_xlfn.XLOOKUP(K807,'Fevereiro 2023 - Valor Real'!A3:A15,'Fevereiro 2023 - Valor Real'!C3:C15,0))+1))/((L807-1)*(1-_xlfn.XLOOKUP(K807,'Fevereiro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Real'!C3:C15,0))+1))/((L805-1)*(1-_xlfn.XLOOKUP(K805,'Fevereiro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Real'!C3:C15,0))+1))/((L806-1)*(1-_xlfn.XLOOKUP(K806,'Fevereiro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Real'!C3:C15,0))+1))/((L807-1)*(1-_xlfn.XLOOKUP(K807,'Fevereiro 2023 - Valor Real'!A3:A15,'Fevereiro 2023 - Valor Real'!C3:C15,0))+1)))</f>
        <v/>
      </c>
      <c r="AF807" s="105">
        <f t="shared" si="1617"/>
        <v>0</v>
      </c>
      <c r="AG807" s="106">
        <f t="shared" si="1617"/>
        <v>0</v>
      </c>
      <c r="AH807" s="106">
        <f t="shared" si="1617"/>
        <v>0</v>
      </c>
      <c r="AI807" s="106">
        <f t="shared" si="1617"/>
        <v>0</v>
      </c>
      <c r="AJ807" s="106">
        <f t="shared" si="1617"/>
        <v>0</v>
      </c>
      <c r="AK807" s="106">
        <f t="shared" si="1617"/>
        <v>0</v>
      </c>
      <c r="AL807" s="106">
        <f t="shared" si="1617"/>
        <v>0</v>
      </c>
      <c r="AM807" s="106">
        <f t="shared" si="1617"/>
        <v>0</v>
      </c>
      <c r="AN807" s="106">
        <f t="shared" si="1617"/>
        <v>0</v>
      </c>
      <c r="AO807" s="106">
        <f t="shared" si="1617"/>
        <v>0</v>
      </c>
      <c r="AP807" s="106">
        <f t="shared" si="1617"/>
        <v>0</v>
      </c>
      <c r="AQ807" s="106">
        <f t="shared" si="1617"/>
        <v>0</v>
      </c>
      <c r="AR807" s="107">
        <f t="shared" si="1617"/>
        <v>0</v>
      </c>
      <c r="AS807" s="105">
        <f>IF(AND($B805=" ",$K807=AS$3),$O807,0)</f>
        <v>0</v>
      </c>
      <c r="AT807" s="106">
        <f>IF(AND($B805=" ",K807=AT$3),$O807,0)</f>
        <v>0</v>
      </c>
      <c r="AU807" s="106">
        <f t="shared" ref="AU807:BE807" si="1623">IF(AND($B805=" ",$K807=AU$3),$O807,0)</f>
        <v>0</v>
      </c>
      <c r="AV807" s="106">
        <f t="shared" si="1623"/>
        <v>0</v>
      </c>
      <c r="AW807" s="106">
        <f t="shared" si="1623"/>
        <v>0</v>
      </c>
      <c r="AX807" s="106">
        <f t="shared" si="1623"/>
        <v>0</v>
      </c>
      <c r="AY807" s="108">
        <f t="shared" si="1623"/>
        <v>0</v>
      </c>
      <c r="AZ807" s="109">
        <f t="shared" si="1623"/>
        <v>0</v>
      </c>
      <c r="BA807" s="109">
        <f t="shared" si="1623"/>
        <v>0</v>
      </c>
      <c r="BB807" s="109">
        <f t="shared" si="1623"/>
        <v>0</v>
      </c>
      <c r="BC807" s="110">
        <f t="shared" si="1623"/>
        <v>0</v>
      </c>
      <c r="BD807" s="106">
        <f t="shared" si="1623"/>
        <v>0</v>
      </c>
      <c r="BE807" s="107">
        <f t="shared" si="1623"/>
        <v>0</v>
      </c>
      <c r="BF807" s="105">
        <f t="shared" si="1619"/>
        <v>0</v>
      </c>
      <c r="BG807" s="106">
        <f t="shared" si="1619"/>
        <v>0</v>
      </c>
      <c r="BH807" s="106">
        <f t="shared" si="1619"/>
        <v>0</v>
      </c>
      <c r="BI807" s="106">
        <f t="shared" si="1619"/>
        <v>0</v>
      </c>
      <c r="BJ807" s="106">
        <f t="shared" si="1619"/>
        <v>0</v>
      </c>
      <c r="BK807" s="106">
        <f t="shared" si="1619"/>
        <v>0</v>
      </c>
      <c r="BL807" s="106">
        <f t="shared" si="1619"/>
        <v>0</v>
      </c>
      <c r="BM807" s="108">
        <f t="shared" si="1619"/>
        <v>0</v>
      </c>
      <c r="BN807" s="109">
        <f t="shared" si="1619"/>
        <v>0</v>
      </c>
      <c r="BO807" s="109">
        <f t="shared" si="1619"/>
        <v>0</v>
      </c>
      <c r="BP807" s="109">
        <f t="shared" si="1619"/>
        <v>0</v>
      </c>
      <c r="BQ807" s="110">
        <f t="shared" si="1619"/>
        <v>0</v>
      </c>
      <c r="BR807" s="107">
        <f t="shared" si="1619"/>
        <v>0</v>
      </c>
      <c r="BS807" s="464"/>
      <c r="BT807" s="461"/>
      <c r="BU807" s="392"/>
      <c r="BV807" s="461"/>
      <c r="BW807" s="392"/>
      <c r="BX807" s="392"/>
      <c r="BY807" s="392"/>
      <c r="BZ807" s="461"/>
      <c r="CA807" s="392"/>
      <c r="CB807" s="392"/>
      <c r="CC807" s="392"/>
      <c r="CD807" s="401"/>
      <c r="CE807" s="409"/>
      <c r="CF807" s="133">
        <f t="shared" si="1540"/>
        <v>0</v>
      </c>
      <c r="CG807" s="134">
        <f t="shared" si="1541"/>
        <v>0</v>
      </c>
      <c r="CH807" s="134">
        <f t="shared" si="1542"/>
        <v>0</v>
      </c>
      <c r="CI807" s="134">
        <f t="shared" si="1543"/>
        <v>0</v>
      </c>
      <c r="CJ807" s="134">
        <f t="shared" si="1544"/>
        <v>0</v>
      </c>
      <c r="CK807" s="134">
        <f t="shared" si="1545"/>
        <v>0</v>
      </c>
      <c r="CL807" s="134">
        <f t="shared" si="1546"/>
        <v>0</v>
      </c>
      <c r="CM807" s="134">
        <f t="shared" si="1547"/>
        <v>0</v>
      </c>
      <c r="CN807" s="134">
        <f t="shared" si="1548"/>
        <v>0</v>
      </c>
      <c r="CO807" s="134">
        <f t="shared" si="1549"/>
        <v>0</v>
      </c>
      <c r="CP807" s="134">
        <f t="shared" si="1550"/>
        <v>0</v>
      </c>
      <c r="CQ807" s="134">
        <f t="shared" si="1551"/>
        <v>0</v>
      </c>
      <c r="CR807" s="134">
        <f t="shared" si="1552"/>
        <v>0</v>
      </c>
      <c r="CS807" s="134">
        <f t="shared" si="1553"/>
        <v>0</v>
      </c>
      <c r="CT807" s="115">
        <f t="shared" si="1554"/>
        <v>0</v>
      </c>
      <c r="CU807" s="116">
        <f t="shared" si="1555"/>
        <v>0</v>
      </c>
      <c r="CV807" s="116">
        <f t="shared" si="1556"/>
        <v>0</v>
      </c>
      <c r="CW807" s="116">
        <f t="shared" si="1557"/>
        <v>0</v>
      </c>
      <c r="CX807" s="116">
        <f t="shared" si="1558"/>
        <v>0</v>
      </c>
      <c r="CY807" s="116">
        <f t="shared" si="1559"/>
        <v>0</v>
      </c>
      <c r="CZ807" s="116">
        <f t="shared" si="1560"/>
        <v>0</v>
      </c>
      <c r="DA807" s="116">
        <f t="shared" si="1561"/>
        <v>0</v>
      </c>
      <c r="DB807" s="116">
        <f t="shared" si="1562"/>
        <v>0</v>
      </c>
      <c r="DC807" s="116">
        <f t="shared" si="1563"/>
        <v>0</v>
      </c>
      <c r="DD807" s="116">
        <f t="shared" si="1564"/>
        <v>0</v>
      </c>
      <c r="DE807" s="117">
        <f t="shared" si="1565"/>
        <v>0</v>
      </c>
      <c r="DF807" s="118">
        <f t="shared" si="1567"/>
        <v>44</v>
      </c>
      <c r="DG807" s="106">
        <f t="shared" si="1568"/>
        <v>58.567999999999991</v>
      </c>
      <c r="DH807" s="116">
        <f t="shared" si="1569"/>
        <v>17</v>
      </c>
      <c r="DI807" s="106">
        <f t="shared" si="1570"/>
        <v>72.399999999999991</v>
      </c>
      <c r="DJ807" s="201" t="str">
        <f>IF($D805="","",$D805)</f>
        <v>27</v>
      </c>
      <c r="DK807" s="466"/>
    </row>
    <row r="808" spans="1:115" ht="14.5" customHeight="1" x14ac:dyDescent="0.2">
      <c r="A808" s="487">
        <f>$A805+1</f>
        <v>269</v>
      </c>
      <c r="B808" s="506" t="str">
        <f>IF(OR(C808="W",C809="W",C810="W",C808="1/2W",C809="1/2W",C810="1/2W",C808="1/2L",C809="1/2L",C810="1/2L"),"OK",IF(OR(C808="L",C809="L",C810="L"),"LOSS",IF(OR(C808="X",C809="X",C810="X"),"Anulado"," ")))</f>
        <v>OK</v>
      </c>
      <c r="C808" s="147" t="s">
        <v>55</v>
      </c>
      <c r="D808" s="494" t="str">
        <f>IF(G808="","",$D805)</f>
        <v>27</v>
      </c>
      <c r="E808" s="511" t="str">
        <f>IF(G808=""," ","– "&amp;COUNTIF(D$4:D810,$D808))</f>
        <v>– 16</v>
      </c>
      <c r="F808" s="510" t="str">
        <f ca="1">IF(G808="","",IF(OR(AND($C808&lt;&gt;" ",$C809=" "),AND($C809&lt;&gt;" ",$C808=" "),AND(L810&gt;0,OR(AND($C810&lt;&gt;" ",OR($C808=" ",$C809=" ")),AND($C810=" ",OR($C808&lt;&gt;" ",$C809&lt;&gt;" "))))),IF(SUM(F$4:F807)=0,1,LARGE(F$4:F807,1)+1),IF(MONTH(G808)=MONTH(TODAY()),IF(AND(DAY(G808)&lt;DAY(TODAY()),$B808=" "),IF(SUM(F$4:F807)=0,1,LARGE(F$4:F807,1)+1),IF($B808=" ",IF(AND(DAY(G808)=DAY(TODAY()),HOUR(G808)&lt;=HOUR(NOW())+1),IF(AND(HOUR(G808)+2&lt;=HOUR(NOW()),DAY(G808)&lt;=DAY(TODAY()),MINUTE(G808)&lt;=MINUTE(NOW())),IF(SUM(F$4:F807)=0,1,LARGE(F$4:F807,1)+1),IF(OR(MINUTE(G808)&lt;=MINUTE(NOW()),HOUR(G808)&lt;=HOUR(NOW())),"!!!","")),""),"")),"")))</f>
        <v/>
      </c>
      <c r="G808" s="517">
        <v>45012.75</v>
      </c>
      <c r="H808" s="516" t="s">
        <v>273</v>
      </c>
      <c r="I808" s="222" t="s">
        <v>59</v>
      </c>
      <c r="J808" s="241"/>
      <c r="K808" s="224" t="s">
        <v>39</v>
      </c>
      <c r="L808" s="225">
        <v>5</v>
      </c>
      <c r="M808" s="226">
        <v>3.53</v>
      </c>
      <c r="N808" s="503">
        <v>0</v>
      </c>
      <c r="O808" s="153">
        <f>IF(OR(AE808="",AE809=""),"",ROUND(IF(L810&gt;0,IF(M808&gt;0,M808,IF(M809&gt;0,ROUND((M809*AE808)/AE809,IF(N808=0,2,IF(N808=0.1,1,0))),ROUND((M810*AE808)/AE810,IF(N808=0,2,IF(N808=0.1,1,0))))),IF(M808&gt;0,M808,ROUND((M809*AE808)/AE809,IF(N808=0,2,IF(N808=0.1,1,0))))),2))</f>
        <v>3.53</v>
      </c>
      <c r="P808" s="227">
        <f>IF(OR(L808="",O808=""),"",IF($C808="1/2W",O808/2+O808/2*L808,IF($C808="1/2L",O808/2,IF(I808="Lay",(O808*(L808/(L808-1))-O808)*(1-_xlfn.XLOOKUP(K808,'Fevereiro 2023 - Valor Real'!A3:A15,'Fevereiro 2023 - Valor Real'!C3:C15,0))+O808,(O808*L808-O808)*(1-_xlfn.XLOOKUP(K808,'Fevereiro 2023 - Valor Real'!A3:A15,'Fevereiro 2023 - Valor Real'!C3:C15,0))+O808))))</f>
        <v>17.649999999999999</v>
      </c>
      <c r="Q808" s="228">
        <f>IF(K808="","",IF(_xlfn.XLOOKUP(K808,K$4:K807,$DJ$4:DJ807,0,,-1)=DJ808,_xlfn.XLOOKUP(K808,K$4:K807,Q$4:Q807,1,,-1)+1,1))</f>
        <v>1</v>
      </c>
      <c r="R808" s="229">
        <f>IF(K808="","",_xlfn.XLOOKUP(K808,K$4:K807,R$4:R807,0,,-1)+IF($C808=" ",1,0))</f>
        <v>0</v>
      </c>
      <c r="S808" s="501">
        <f>IF($B808="Anulado",0,ROUND(IF(OR($B808="LOSS",$B808="OK"),IF(OR($C808="W",$C808="1/2W",$C808="1/2L"),P808-O808,IF($C808="L",-O808,0))+IF(OR($C809="W",$C809="1/2W",$C809="1/2L"),P809-O809,IF($C809="L",-O809,0))+IF(OR($C810="W",$C810="1/2W",$C810="1/2L"),P810-O810,IF($C810="L",-O810,0)),IF(AND(OR($C808="W",$C808="1/2W",$C808="1/2L"),C809="W"),P808+P809-SUM(O808:O810)+_xlfn.XLOOKUP("X",C808:C810,O808:O810,0),IF(AND(C808=TRUE,C810="W"),P808+P810-SUM(O808:O810),IF(AND(C809="W",C810="W"),P809+P810-SUM(O808:O810)+_xlfn.XLOOKUP("X",C808:C810,O808:O810,0),IF(L810&gt;0,IF(OR($C808="W",$C808="1/2W",$C808="1/2L"),P808-SUM(O808:O810)+_xlfn.XLOOKUP("X",C808:C810,O808:O810,0),IF(OR($C808="W",$C808="1/2W",$C808="1/2L"),P809-SUM(O808:O810)+_xlfn.XLOOKUP("X",C808:C810,O808:O810,0),IF(OR($C808="W",$C808="1/2W",$C808="1/2L"),P810-SUM(O808:O810)+_xlfn.XLOOKUP("X",C808:C810,O808:O810,0),IF(SUM(P808:P810)/3-SUM(O808:O810)+_xlfn.XLOOKUP("X",C808:C810,O808:O810,0)&gt;0,SUM(P808:P810)/3-SUM(O808:O810)+_xlfn.XLOOKUP("X",C808:C810,O808:O810,0),LARGE(P808:P810,1)-SUM(O808:O810))))),IF(OR($C808="W",$C808="1/2W",$C808="1/2L"),P808-SUM(O808:O809)+_xlfn.XLOOKUP("X",C808:C810,O808:O810,0),IF(OR($C808="W",$C808="1/2W",$C808="1/2L"),P809-SUM(O808:O809)+_xlfn.XLOOKUP("X",C808:C810,O808:O810,0),SUM(P808:P809)/2-SUM(O808:O809)+_xlfn.XLOOKUP("X",C808:C810,O808:O810,0)))))))),2))</f>
        <v>0.95</v>
      </c>
      <c r="T808" s="486">
        <f>IF(S808=0,0,S808/SUM(O808:O810))</f>
        <v>5.4192812321734167E-2</v>
      </c>
      <c r="U808" s="496">
        <f>IF($D808=$D805,IF(OR($B808="LOSS",$B808="OK",$B808="Anulada"),S808,0)+U805,IF(OR($B808="LOSS",$B808="OK",$B808="Anulada"),S808,0))</f>
        <v>47.319999999999993</v>
      </c>
      <c r="V808" s="496">
        <f>IF($D808="",0,IF($D808=$D805,IF($B808=" ",IF(I810="",IF(OR(AND(I808="DNB1",I809="DNB2"),AND(OR(I808="DNB1",I808="DNB2"),J809=0),AND(OR(I809="DNB1",I809="DNB2"),J808=0),AND(I808="DNB2",I809="DNB1"),AND(IF(J808=0,(J808+1)/ROUND(J808+1,0),J808/ROUND(J808,0))=1,IF(J809=0,(J809+1)/ROUND(IF(J809="",0,J809)+1,0),IF(J809="",0,J809)/ROUND(IF(J809="",1,J809),0))=1,OR(J808&lt;&gt;""),J809&lt;&gt;"")),0,IF(S808&lt;0,IF(I810="",SMALL(P808:P809,1)-SUM(O808:O809),0),SMALL(P808:P809,1)-SUM(O808:O809))),IF(S808&lt;0,IF(I810="",SMALL(P808:P810,1)-SUM(O808:O810),0),LARGE(P808:P810,1)-SUM(O808:O810))),S808)+V805,IF(I810="",IF(OR(AND(I808="DNB1",I809="DNB2"),AND(OR(I808="DNB1",I808="DNB2"),J809=0),AND(OR(I809="DNB1",I809="DNB2"),J808=0),AND(I808="DNB2",I809="DNB1"),AND(IF(J808=0,(J808+1)/ROUND(J808+1,0),J808/ROUND(J808,0))=1,IF(J809=0,(IF(J809="",0,J809)+1)/ROUND(IF(J809="",0,J809)+1,0),IF(J809="",0,J809)/ROUND(IF(J809="",0,J809)+1,0))=1,OR(J808&lt;&gt;""),J809&lt;&gt;"")),0,IF(S808&lt;0,IF(I810="",SMALL(P808:P809,1)-SUM(O808:O809),0),SMALL(P808:P810,1)-SUM(O808:O810))),IF(S808&lt;0,IF(I810="",SMALL(P808:P810,1)-SUM(O808:O810),0),LARGE(P808:P810,1)-SUM(O808:O810)))))</f>
        <v>47.319999999999993</v>
      </c>
      <c r="W808" s="496">
        <f>IF($D808=$D805,IF(S808&lt;0,IF(I810="",S808,0),S808)+W805,S808)</f>
        <v>47.319999999999993</v>
      </c>
      <c r="X808" s="505" t="str">
        <f>IF(OR(SUM(R808:R810)=0,V808=W808),ROUND(IF(W808=0,0,W808/Y808)*100,2)&amp;"%",ROUND(IF(V808=0,0,V808/Y808)*100,2)&amp;"% a "&amp;ROUND(IF(W808=0,0,W808/Y808)*100,2)&amp;"%")</f>
        <v>5,61%</v>
      </c>
      <c r="Y808" s="497">
        <f>IF($D808=$D805,Y805+SUM(O808:O810),SUM(O808:O810))</f>
        <v>843.20999999999992</v>
      </c>
      <c r="Z808" s="496">
        <f>IF($B808=" ",SUM(O808:O810),0)+Z805</f>
        <v>0</v>
      </c>
      <c r="AA808" s="496">
        <f>IF(G808="","",IF($B808="Anulado",LARGE(P808:P810,1)-SUM(O808:O810)+AA805,AA805))</f>
        <v>13.381099999999991</v>
      </c>
      <c r="AB808" s="496">
        <f>IF($D808="","",AB805+S808)</f>
        <v>895.01000000000079</v>
      </c>
      <c r="AC808" s="499">
        <f ca="1">IF($D808="","",IF($B808=" ",IF(DAY(G808)=DAY(TODAY()),1+AC805,0+AC805),0+AC805))</f>
        <v>0</v>
      </c>
      <c r="AD808" s="157">
        <f>(((L809/(L809-1)-1)*(1-_xlfn.XLOOKUP(K809,'Fevereiro 2023 - Valor Real'!A3:A15,'Fevereiro 2023 - Valor Real'!C3:C15,0))+1))/(((L808-1)*(1-_xlfn.XLOOKUP(K808,'Fevereiro 2023 - Valor Real'!A3:A15,'Fevereiro 2023 - Valor Real'!C3:C15,0))+1)+((L809/(L809-1)-1)*(1-_xlfn.XLOOKUP(K809,'Fevereiro 2023 - Valor Real'!A3:A15,'Fevereiro 2023 - Valor Real'!C3:C15,0))+1))</f>
        <v>0.45205479452054786</v>
      </c>
      <c r="AE808" s="158">
        <f>IF(L808="","",IF(L810&gt;0,(SUM(((L808-1)*(1-_xlfn.XLOOKUP(K808,'Fevereiro 2023 - Valor Real'!A3:A15,'Fevereiro 2023 - Valor Real'!C3:C15,0))+1),((L809-1)*(1-_xlfn.XLOOKUP(K809,'Fevereiro 2023 - Valor Real'!A3:A15,'Fevereiro 2023 - Valor Real'!C3:C15,0))+1),((L810-1)*(1-_xlfn.XLOOKUP(K810,'Fevereiro 2023 - Valor Real'!A3:A15,'Fevereiro 2023 - Valor Real'!C3:C15,0))+1))/((L808-1)*(1-_xlfn.XLOOKUP(K808,'Fevereiro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Real'!C3:C15,0))+1))/((L808-1)*(1-_xlfn.XLOOKUP(K808,'Fevereiro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Real'!C3:C15,0))+1))/((L809-1)*(1-_xlfn.XLOOKUP(K809,'Fevereiro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Real'!C3:C15,0))+1))/((L810-1)*(1-_xlfn.XLOOKUP(K810,'Fevereiro 2023 - Valor Real'!A3:A15,'Fevereiro 2023 - Valor Real'!C3:C15,0))+1)),IF(I808="Lay",IF(I809="Lay",((L809/(L809-1)-1)*(1-_xlfn.XLOOKUP(K809,'Fevereiro 2023 - Valor Real'!A3:A15,'Fevereiro 2023 - Valor Real'!C3:C15,0))+1)/(((L809/(L809-1)-1)*(1-_xlfn.XLOOKUP(K809,'Fevereiro 2023 - Valor Real'!A3:A15,'Fevereiro 2023 - Valor Real'!C3:C15,0))+1)+((L808/(L808-1)-1)*(1-_xlfn.XLOOKUP(K808,'Fevereiro 2023 - Valor Real'!A3:A15,'Fevereiro 2023 - Valor Real'!C3:C15,0))+1)),((L809-1)*(1-_xlfn.XLOOKUP(K809,'Fevereiro 2023 - Valor Real'!A3:A15,'Fevereiro 2023 - Valor Real'!C3:C15,0))+1)/(((L809-1)*(1-_xlfn.XLOOKUP(K809,'Fevereiro 2023 - Valor Real'!A3:A15,'Fevereiro 2023 - Valor Real'!C3:C15,0))+1)+((L808/(L808-1)-1)*(1-_xlfn.XLOOKUP(K808,'Fevereiro 2023 - Valor Real'!A3:A15,'Fevereiro 2023 - Valor Real'!C3:C15,0))+1))),IF(I809="Lay",(((L809/(L809-1)-1)*(1-_xlfn.XLOOKUP(K809,'Fevereiro 2023 - Valor Real'!A3:A15,'Fevereiro 2023 - Valor Real'!C3:C15,0))+1))/(((L808-1)*(1-_xlfn.XLOOKUP(K808,'Fevereiro 2023 - Valor Real'!A3:A15,'Fevereiro 2023 - Valor Real'!C3:C15,0))+1)+((L809/(L809-1)-1)*(1-_xlfn.XLOOKUP(K809,'Fevereiro 2023 - Valor Real'!A3:A15,'Fevereiro 2023 - Valor Real'!C3:C15,0))+1)),((L809-1)*(1-_xlfn.XLOOKUP(K809,'Fevereiro 2023 - Valor Real'!A3:A15,'Fevereiro 2023 - Valor Real'!C3:C15,0))+1)/(((L809-1)*(1-_xlfn.XLOOKUP(K809,'Fevereiro 2023 - Valor Real'!A3:A15,'Fevereiro 2023 - Valor Real'!C3:C15,0))+1)+((L808-1)*(1-_xlfn.XLOOKUP(K808,'Fevereiro 2023 - Valor Real'!A3:A15,'Fevereiro 2023 - Valor Real'!C3:C15,0))+1))))))</f>
        <v>0.20886075949367089</v>
      </c>
      <c r="AF808" s="66">
        <f t="shared" si="1617"/>
        <v>0</v>
      </c>
      <c r="AG808" s="67">
        <f t="shared" si="1617"/>
        <v>0</v>
      </c>
      <c r="AH808" s="67">
        <f t="shared" si="1617"/>
        <v>0</v>
      </c>
      <c r="AI808" s="67">
        <f t="shared" si="1617"/>
        <v>-3.53</v>
      </c>
      <c r="AJ808" s="67">
        <f t="shared" si="1617"/>
        <v>0</v>
      </c>
      <c r="AK808" s="67">
        <f t="shared" si="1617"/>
        <v>0</v>
      </c>
      <c r="AL808" s="67">
        <f t="shared" si="1617"/>
        <v>0</v>
      </c>
      <c r="AM808" s="67">
        <f t="shared" si="1617"/>
        <v>0</v>
      </c>
      <c r="AN808" s="67">
        <f t="shared" si="1617"/>
        <v>0</v>
      </c>
      <c r="AO808" s="67">
        <f t="shared" si="1617"/>
        <v>0</v>
      </c>
      <c r="AP808" s="67">
        <f t="shared" si="1617"/>
        <v>0</v>
      </c>
      <c r="AQ808" s="67">
        <f t="shared" si="1617"/>
        <v>0</v>
      </c>
      <c r="AR808" s="68">
        <f t="shared" si="1617"/>
        <v>0</v>
      </c>
      <c r="AS808" s="66">
        <f t="shared" ref="AS808:BE808" si="1624">IF(AND($B808=" ",$K808=AS$3),$O808,0)</f>
        <v>0</v>
      </c>
      <c r="AT808" s="67">
        <f t="shared" si="1624"/>
        <v>0</v>
      </c>
      <c r="AU808" s="67">
        <f t="shared" si="1624"/>
        <v>0</v>
      </c>
      <c r="AV808" s="67">
        <f t="shared" si="1624"/>
        <v>0</v>
      </c>
      <c r="AW808" s="67">
        <f t="shared" si="1624"/>
        <v>0</v>
      </c>
      <c r="AX808" s="67">
        <f t="shared" si="1624"/>
        <v>0</v>
      </c>
      <c r="AY808" s="69">
        <f t="shared" si="1624"/>
        <v>0</v>
      </c>
      <c r="AZ808" s="70">
        <f t="shared" si="1624"/>
        <v>0</v>
      </c>
      <c r="BA808" s="70">
        <f t="shared" si="1624"/>
        <v>0</v>
      </c>
      <c r="BB808" s="70">
        <f t="shared" si="1624"/>
        <v>0</v>
      </c>
      <c r="BC808" s="71">
        <f t="shared" si="1624"/>
        <v>0</v>
      </c>
      <c r="BD808" s="67">
        <f t="shared" si="1624"/>
        <v>0</v>
      </c>
      <c r="BE808" s="68">
        <f t="shared" si="1624"/>
        <v>0</v>
      </c>
      <c r="BF808" s="230">
        <f t="shared" si="1619"/>
        <v>0</v>
      </c>
      <c r="BG808" s="67">
        <f t="shared" si="1619"/>
        <v>0</v>
      </c>
      <c r="BH808" s="67">
        <f t="shared" si="1619"/>
        <v>0</v>
      </c>
      <c r="BI808" s="67">
        <f t="shared" si="1619"/>
        <v>3.53</v>
      </c>
      <c r="BJ808" s="67">
        <f t="shared" si="1619"/>
        <v>0</v>
      </c>
      <c r="BK808" s="67">
        <f t="shared" si="1619"/>
        <v>0</v>
      </c>
      <c r="BL808" s="67">
        <f t="shared" si="1619"/>
        <v>0</v>
      </c>
      <c r="BM808" s="69">
        <f t="shared" si="1619"/>
        <v>0</v>
      </c>
      <c r="BN808" s="70">
        <f t="shared" si="1619"/>
        <v>0</v>
      </c>
      <c r="BO808" s="70">
        <f t="shared" si="1619"/>
        <v>0</v>
      </c>
      <c r="BP808" s="70">
        <f t="shared" si="1619"/>
        <v>0</v>
      </c>
      <c r="BQ808" s="71">
        <f t="shared" si="1619"/>
        <v>0</v>
      </c>
      <c r="BR808" s="68">
        <f t="shared" si="1619"/>
        <v>0</v>
      </c>
      <c r="BS808" s="490">
        <f>IF($B808="LOSS",IF(AND($K808=BS$3,$C808="L"),-$O808,0)+IF(AND($K809=BS$3,$C809="L"),-$O809,0)+IF(AND($K810=BS$3,$C810="L"),-$O810,0),IF(OR(AND($K808=BS$3,OR($C808="W",$C808="1/2W")),AND($K809=BS$3,OR($C809="W",$C809="1/2W")),AND($K810=BS$3,OR($C810="W",$C810="1/2W"))),$S808,0))</f>
        <v>0</v>
      </c>
      <c r="BT808" s="488">
        <f>IF($B808="LOSS",IF(AND($K808=BT$3,$C808="L"),-$O808,0)+IF(AND($K809=BT$3,$C809="L"),-$O809,0)+IF(AND($K809=BT$3,$C810="L"),-$O810,0),IF(OR(AND($K809=BT$3,OR($C808="W",$C808="1/2W")),AND($K809=BT$3,OR($C809="W",$C809="1/2W")),AND($K809=BT$3,OR($C810="W",$C810="1/2W"))),$S808,0))</f>
        <v>0</v>
      </c>
      <c r="BU808" s="488">
        <f>IF($B808="LOSS",IF(AND($K808=BU$3,$C808="L"),-$O808,0)+IF(AND($K809=BU$3,$C809="L"),-$O809,0)+IF(AND($K809=BU$3,$C810="L"),-$O810,0),IF(OR(AND($K809=BU$3,OR($C808="W",$C808="1/2W")),AND($K809=BU$3,OR($C809="W",$C809="1/2W")),AND($K809=BU$3,OR($C810="W",$C810="1/2W"))),$S808,0))</f>
        <v>0</v>
      </c>
      <c r="BV808" s="488">
        <f t="shared" ref="BV808:CE808" si="1625">IF($B808="LOSS",IF(AND($K808=BV$3,$C808="L"),-$O808,0)+IF(AND($K809=BV$3,$C809="L"),-$O809,0)+IF(AND($K810=BV$3,$C810="L"),-$O810,0),IF(OR(AND($K808=BV$3,OR($C808="W",$C808="1/2W")),AND($K809=BV$3,OR($C809="W",$C809="1/2W")),AND($K810=BV$3,OR($C810="W",$C810="1/2W"))),$S808,0))</f>
        <v>0</v>
      </c>
      <c r="BW808" s="488">
        <f t="shared" si="1625"/>
        <v>0</v>
      </c>
      <c r="BX808" s="488">
        <f t="shared" si="1625"/>
        <v>0</v>
      </c>
      <c r="BY808" s="488">
        <f t="shared" si="1625"/>
        <v>0</v>
      </c>
      <c r="BZ808" s="498">
        <f t="shared" si="1625"/>
        <v>0</v>
      </c>
      <c r="CA808" s="498">
        <f t="shared" si="1625"/>
        <v>0</v>
      </c>
      <c r="CB808" s="498">
        <f t="shared" si="1625"/>
        <v>0</v>
      </c>
      <c r="CC808" s="498">
        <f t="shared" si="1625"/>
        <v>0</v>
      </c>
      <c r="CD808" s="500">
        <f t="shared" si="1625"/>
        <v>0.95</v>
      </c>
      <c r="CE808" s="504">
        <f t="shared" si="1625"/>
        <v>0</v>
      </c>
      <c r="CF808" s="160">
        <f t="shared" si="1540"/>
        <v>0</v>
      </c>
      <c r="CG808" s="161">
        <f t="shared" si="1541"/>
        <v>0</v>
      </c>
      <c r="CH808" s="161">
        <f t="shared" si="1542"/>
        <v>0</v>
      </c>
      <c r="CI808" s="161">
        <f t="shared" si="1543"/>
        <v>0</v>
      </c>
      <c r="CJ808" s="161">
        <f t="shared" si="1544"/>
        <v>0</v>
      </c>
      <c r="CK808" s="161">
        <f t="shared" si="1545"/>
        <v>0</v>
      </c>
      <c r="CL808" s="161">
        <f t="shared" si="1546"/>
        <v>0</v>
      </c>
      <c r="CM808" s="161">
        <f t="shared" si="1547"/>
        <v>1</v>
      </c>
      <c r="CN808" s="161">
        <f t="shared" si="1548"/>
        <v>0</v>
      </c>
      <c r="CO808" s="161">
        <f t="shared" si="1549"/>
        <v>0</v>
      </c>
      <c r="CP808" s="161">
        <f t="shared" si="1550"/>
        <v>0</v>
      </c>
      <c r="CQ808" s="161">
        <f t="shared" si="1551"/>
        <v>0</v>
      </c>
      <c r="CR808" s="161">
        <f t="shared" si="1552"/>
        <v>0</v>
      </c>
      <c r="CS808" s="161">
        <f t="shared" si="1553"/>
        <v>0</v>
      </c>
      <c r="CT808" s="75">
        <f t="shared" si="1554"/>
        <v>0</v>
      </c>
      <c r="CU808" s="76">
        <f t="shared" si="1555"/>
        <v>0</v>
      </c>
      <c r="CV808" s="76">
        <f t="shared" si="1556"/>
        <v>0</v>
      </c>
      <c r="CW808" s="76">
        <f t="shared" si="1557"/>
        <v>0</v>
      </c>
      <c r="CX808" s="76">
        <f t="shared" si="1558"/>
        <v>0</v>
      </c>
      <c r="CY808" s="76">
        <f t="shared" si="1559"/>
        <v>0</v>
      </c>
      <c r="CZ808" s="76">
        <f t="shared" si="1560"/>
        <v>0</v>
      </c>
      <c r="DA808" s="76">
        <f t="shared" si="1561"/>
        <v>0</v>
      </c>
      <c r="DB808" s="76">
        <f t="shared" si="1562"/>
        <v>0</v>
      </c>
      <c r="DC808" s="76">
        <f t="shared" si="1563"/>
        <v>0</v>
      </c>
      <c r="DD808" s="76">
        <f t="shared" si="1564"/>
        <v>0</v>
      </c>
      <c r="DE808" s="77">
        <f t="shared" si="1565"/>
        <v>0</v>
      </c>
      <c r="DF808" s="73">
        <f t="shared" si="1567"/>
        <v>44</v>
      </c>
      <c r="DG808" s="67">
        <f t="shared" si="1568"/>
        <v>58.567999999999991</v>
      </c>
      <c r="DH808" s="76">
        <f t="shared" si="1569"/>
        <v>17</v>
      </c>
      <c r="DI808" s="67">
        <f t="shared" si="1570"/>
        <v>72.399999999999991</v>
      </c>
      <c r="DJ808" s="202" t="str">
        <f>IF($D808="","",$D808)</f>
        <v>27</v>
      </c>
      <c r="DK808" s="492">
        <f>IF(AND($B808=" ",$D808&lt;&gt;""),1,0)</f>
        <v>0</v>
      </c>
    </row>
    <row r="809" spans="1:115" ht="14.5" customHeight="1" x14ac:dyDescent="0.2">
      <c r="A809" s="389"/>
      <c r="B809" s="456"/>
      <c r="C809" s="53" t="s">
        <v>54</v>
      </c>
      <c r="D809" s="374"/>
      <c r="E809" s="386"/>
      <c r="F809" s="377"/>
      <c r="G809" s="483"/>
      <c r="H809" s="476"/>
      <c r="I809" s="248">
        <v>2</v>
      </c>
      <c r="J809" s="242" t="str">
        <f>IF(OR(I808="TO",I808="TU",I808="TO1",I808="TU1",I808="TO2",I808="TU2"),J808,IF(OR(I808="AH1",I808="AH2"),IF(OR(I809="AH1",I809="AH2"),-J808,IF(OR(I809="EH1",I809="EH2"),-J808+0.5,"")),IF(OR(I808="EH1",I808="EH2"),IF(OR(I809="AH1",I809="AH2"),-J808+0.5,IF(OR(I809="EH1",I809="EH2"),-J808+1,"")),IF(AND(OR(I808="DNB1",I808="DNB2"),OR(I809="AH1",I809="AH2")),0,IF(AND(I808="Not ScoreBoth",OR(I809="TO1",I809="TO2")),0.5,"")))))</f>
        <v/>
      </c>
      <c r="K809" s="232" t="s">
        <v>47</v>
      </c>
      <c r="L809" s="58">
        <v>1.32</v>
      </c>
      <c r="M809" s="59">
        <v>14</v>
      </c>
      <c r="N809" s="406"/>
      <c r="O809" s="60">
        <f>IF(OR(AE808="",AE809=""),"",ROUND(IF(L810&gt;0,IF(M809&gt;0,M809,IF(M808&gt;0,IF(N808=TRUE,ROUND((M808*AE809)/AE808,0),(M808*AE809)/AE808),IF(M809&gt;0,ROUND(M809,IF(N808=0,2,IF(N808=0.1,1,0))),IF(M810&gt;0,ROUND(O810*AE809/AE810,IF(N808=0,2,IF(N808=0.1,1,0))),0)))),IF(M809&gt;0,M809,ROUND((M808*AE809)/AE808,IF(N808=0,2,IF(N808=0.1,1,0))))),2))</f>
        <v>14</v>
      </c>
      <c r="P809" s="61">
        <f>IF(OR(L809="",O809=""),"",IF($C809="1/2W",O809/2+O809/2*L809,IF($C809="1/2L",O809/2,IF(I809="Lay",((O809*(L809/(L809-1)))-O809)*(1-_xlfn.XLOOKUP(K809,'Fevereiro 2023 - Valor Real'!A3:A15,'Fevereiro 2023 - Valor Real'!C3:C15,0))+O809,(O809*L809-O809)*(1-_xlfn.XLOOKUP(K809,'Fevereiro 2023 - Valor Real'!A3:A15,'Fevereiro 2023 - Valor Real'!C3:C15,0))+O809))))</f>
        <v>18.48</v>
      </c>
      <c r="Q809" s="233">
        <f>IF(K809="","",IF(_xlfn.XLOOKUP(K809,K$4:K808,$DJ$4:DJ808,0,,-1)=DJ809,_xlfn.XLOOKUP(K809,K$4:K808,Q$4:Q808,1,,-1)+1,1))</f>
        <v>6</v>
      </c>
      <c r="R809" s="234">
        <f>IF(K809="","",_xlfn.XLOOKUP(K809,K$4:K808,R$4:R808,0,,-1)+IF($C809=" ",1,0))</f>
        <v>0</v>
      </c>
      <c r="S809" s="403"/>
      <c r="T809" s="380"/>
      <c r="U809" s="380"/>
      <c r="V809" s="481"/>
      <c r="W809" s="380"/>
      <c r="X809" s="452"/>
      <c r="Y809" s="383"/>
      <c r="Z809" s="384"/>
      <c r="AA809" s="384"/>
      <c r="AB809" s="384"/>
      <c r="AC809" s="384"/>
      <c r="AD809" s="64">
        <f>(((L809/(L809-1)-1)*(1-_xlfn.XLOOKUP(K809,'Fevereiro 2023 - Valor Real'!A3:A15,'Fevereiro 2023 - Valor Real'!C3:C15,0))+1))</f>
        <v>4.1249999999999991</v>
      </c>
      <c r="AE809" s="65">
        <f>IF(L809="","",IF(L810&gt;0,(SUM(((L808-1)*(1-_xlfn.XLOOKUP(K808,'Fevereiro 2023 - Valor Real'!A3:A15,'Fevereiro 2023 - Valor Real'!C3:C15,0))+1),((L809-1)*(1-_xlfn.XLOOKUP(K809,'Fevereiro 2023 - Valor Real'!A3:A15,'Fevereiro 2023 - Valor Real'!C3:C15,0))+1),((L810-1)*(1-_xlfn.XLOOKUP(K810,'Fevereiro 2023 - Valor Real'!A3:A15,'Fevereiro 2023 - Valor Real'!C3:C15,0))+1))/((L809-1)*(1-_xlfn.XLOOKUP(K809,'Fevereiro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Real'!C3:C15,0))+1))/((L808-1)*(1-_xlfn.XLOOKUP(K808,'Fevereiro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Real'!C3:C15,0))+1))/((L809-1)*(1-_xlfn.XLOOKUP(K809,'Fevereiro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Real'!C3:C15,0))+1))/((L810-1)*(1-_xlfn.XLOOKUP(K810,'Fevereiro 2023 - Valor Real'!A3:A15,'Fevereiro 2023 - Valor Real'!C3:C15,0))+1)),IF(I809="Lay",IF(I808="Lay",((L808/(L808-1)-1)*(1-_xlfn.XLOOKUP(K808,'Fevereiro 2023 - Valor Real'!A3:A15,'Fevereiro 2023 - Valor Real'!C3:C15,0))+1)/(((L808/(L808-1)-1)*(1-_xlfn.XLOOKUP(K808,'Fevereiro 2023 - Valor Real'!A3:A15,'Fevereiro 2023 - Valor Real'!C3:C15,0))+1)+((L809/(L809-1)-1)*(1-_xlfn.XLOOKUP(K809,'Fevereiro 2023 - Valor Real'!A3:A15,'Fevereiro 2023 - Valor Real'!C3:C15,0))+1)),((L808-1)*(1-_xlfn.XLOOKUP(K808,'Fevereiro 2023 - Valor Real'!A3:A15,'Fevereiro 2023 - Valor Real'!C3:C15,0))+1)/(((L808-1)*(1-_xlfn.XLOOKUP(K808,'Fevereiro 2023 - Valor Real'!A3:A15,'Fevereiro 2023 - Valor Real'!C3:C15,0))+1)+((L809/(L809-1)-1)*(1-_xlfn.XLOOKUP(K809,'Fevereiro 2023 - Valor Real'!A3:A15,'Fevereiro 2023 - Valor Real'!C3:C15,0))+1))),IF(I808="Lay",((L808/(L808-1)-1)*(1-_xlfn.XLOOKUP(K808,'Fevereiro 2023 - Valor Real'!A3:A15,'Fevereiro 2023 - Valor Real'!C3:C15,0))+1)/((((L808/(L808-1)-1)*(1-_xlfn.XLOOKUP(K808,'Fevereiro 2023 - Valor Real'!A3:A15,'Fevereiro 2023 - Valor Real'!C3:C15,0))+1))+((L809-1)*(1-_xlfn.XLOOKUP(K809,'Fevereiro 2023 - Valor Real'!A3:A15,'Fevereiro 2023 - Valor Real'!C3:C15,0))+1)),((L808-1)*(1-_xlfn.XLOOKUP(K808,'Fevereiro 2023 - Valor Real'!A3:A15,'Fevereiro 2023 - Valor Real'!C3:C15,0))+1)/(((L808-1)*(1-_xlfn.XLOOKUP(K808,'Fevereiro 2023 - Valor Real'!A3:A15,'Fevereiro 2023 - Valor Real'!C3:C15,0))+1)+((L809-1)*(1-_xlfn.XLOOKUP(K809,'Fevereiro 2023 - Valor Real'!A3:A15,'Fevereiro 2023 - Valor Real'!C3:C15,0))+1))))))</f>
        <v>0.79113924050632911</v>
      </c>
      <c r="AF809" s="66">
        <f t="shared" si="1617"/>
        <v>0</v>
      </c>
      <c r="AG809" s="67">
        <f t="shared" si="1617"/>
        <v>0</v>
      </c>
      <c r="AH809" s="67">
        <f t="shared" si="1617"/>
        <v>0</v>
      </c>
      <c r="AI809" s="67">
        <f t="shared" si="1617"/>
        <v>0</v>
      </c>
      <c r="AJ809" s="67">
        <f t="shared" si="1617"/>
        <v>0</v>
      </c>
      <c r="AK809" s="67">
        <f t="shared" si="1617"/>
        <v>0</v>
      </c>
      <c r="AL809" s="67">
        <f t="shared" si="1617"/>
        <v>0</v>
      </c>
      <c r="AM809" s="67">
        <f t="shared" si="1617"/>
        <v>0</v>
      </c>
      <c r="AN809" s="67">
        <f t="shared" si="1617"/>
        <v>0</v>
      </c>
      <c r="AO809" s="67">
        <f t="shared" si="1617"/>
        <v>0</v>
      </c>
      <c r="AP809" s="67">
        <f t="shared" si="1617"/>
        <v>0</v>
      </c>
      <c r="AQ809" s="67">
        <f t="shared" si="1617"/>
        <v>4.4800000000000004</v>
      </c>
      <c r="AR809" s="68">
        <f t="shared" si="1617"/>
        <v>0</v>
      </c>
      <c r="AS809" s="66">
        <f>IF(AND($B808=" ",$K809=AS$3),$O809,0)</f>
        <v>0</v>
      </c>
      <c r="AT809" s="67">
        <f>IF(AND($B808=" ",K809=AT$3),$O809,0)</f>
        <v>0</v>
      </c>
      <c r="AU809" s="67">
        <f t="shared" ref="AU809:BE809" si="1626">IF(AND($B808=" ",$K809=AU$3),$O809,0)</f>
        <v>0</v>
      </c>
      <c r="AV809" s="67">
        <f t="shared" si="1626"/>
        <v>0</v>
      </c>
      <c r="AW809" s="67">
        <f t="shared" si="1626"/>
        <v>0</v>
      </c>
      <c r="AX809" s="67">
        <f t="shared" si="1626"/>
        <v>0</v>
      </c>
      <c r="AY809" s="69">
        <f t="shared" si="1626"/>
        <v>0</v>
      </c>
      <c r="AZ809" s="70">
        <f t="shared" si="1626"/>
        <v>0</v>
      </c>
      <c r="BA809" s="70">
        <f t="shared" si="1626"/>
        <v>0</v>
      </c>
      <c r="BB809" s="70">
        <f t="shared" si="1626"/>
        <v>0</v>
      </c>
      <c r="BC809" s="71">
        <f t="shared" si="1626"/>
        <v>0</v>
      </c>
      <c r="BD809" s="67">
        <f t="shared" si="1626"/>
        <v>0</v>
      </c>
      <c r="BE809" s="68">
        <f t="shared" si="1626"/>
        <v>0</v>
      </c>
      <c r="BF809" s="66">
        <f t="shared" si="1619"/>
        <v>0</v>
      </c>
      <c r="BG809" s="67">
        <f t="shared" si="1619"/>
        <v>0</v>
      </c>
      <c r="BH809" s="67">
        <f t="shared" si="1619"/>
        <v>0</v>
      </c>
      <c r="BI809" s="67">
        <f t="shared" si="1619"/>
        <v>0</v>
      </c>
      <c r="BJ809" s="67">
        <f t="shared" si="1619"/>
        <v>0</v>
      </c>
      <c r="BK809" s="67">
        <f t="shared" si="1619"/>
        <v>0</v>
      </c>
      <c r="BL809" s="67">
        <f t="shared" si="1619"/>
        <v>0</v>
      </c>
      <c r="BM809" s="235">
        <f t="shared" si="1619"/>
        <v>0</v>
      </c>
      <c r="BN809" s="159">
        <f t="shared" si="1619"/>
        <v>0</v>
      </c>
      <c r="BO809" s="159">
        <f t="shared" si="1619"/>
        <v>0</v>
      </c>
      <c r="BP809" s="159">
        <f t="shared" si="1619"/>
        <v>0</v>
      </c>
      <c r="BQ809" s="71">
        <f t="shared" si="1619"/>
        <v>14</v>
      </c>
      <c r="BR809" s="68">
        <f t="shared" si="1619"/>
        <v>0</v>
      </c>
      <c r="BS809" s="464"/>
      <c r="BT809" s="461"/>
      <c r="BU809" s="392"/>
      <c r="BV809" s="461"/>
      <c r="BW809" s="392"/>
      <c r="BX809" s="392"/>
      <c r="BY809" s="392"/>
      <c r="BZ809" s="461"/>
      <c r="CA809" s="392"/>
      <c r="CB809" s="392"/>
      <c r="CC809" s="392"/>
      <c r="CD809" s="401"/>
      <c r="CE809" s="409"/>
      <c r="CF809" s="236">
        <f t="shared" si="1540"/>
        <v>0</v>
      </c>
      <c r="CG809" s="237">
        <f t="shared" si="1541"/>
        <v>0</v>
      </c>
      <c r="CH809" s="237">
        <f t="shared" si="1542"/>
        <v>0</v>
      </c>
      <c r="CI809" s="237">
        <f t="shared" si="1543"/>
        <v>0</v>
      </c>
      <c r="CJ809" s="237">
        <f t="shared" si="1544"/>
        <v>0</v>
      </c>
      <c r="CK809" s="237">
        <f t="shared" si="1545"/>
        <v>0</v>
      </c>
      <c r="CL809" s="237">
        <f t="shared" si="1546"/>
        <v>0</v>
      </c>
      <c r="CM809" s="237">
        <f t="shared" si="1547"/>
        <v>0</v>
      </c>
      <c r="CN809" s="237">
        <f t="shared" si="1548"/>
        <v>0</v>
      </c>
      <c r="CO809" s="237">
        <f t="shared" si="1549"/>
        <v>0</v>
      </c>
      <c r="CP809" s="237">
        <f t="shared" si="1550"/>
        <v>0</v>
      </c>
      <c r="CQ809" s="237">
        <f t="shared" si="1551"/>
        <v>0</v>
      </c>
      <c r="CR809" s="237">
        <f t="shared" si="1552"/>
        <v>0</v>
      </c>
      <c r="CS809" s="237">
        <f t="shared" si="1553"/>
        <v>0</v>
      </c>
      <c r="CT809" s="75">
        <f t="shared" si="1554"/>
        <v>0</v>
      </c>
      <c r="CU809" s="76">
        <f t="shared" si="1555"/>
        <v>0</v>
      </c>
      <c r="CV809" s="76">
        <f t="shared" si="1556"/>
        <v>0</v>
      </c>
      <c r="CW809" s="76">
        <f t="shared" si="1557"/>
        <v>0</v>
      </c>
      <c r="CX809" s="76">
        <f t="shared" si="1558"/>
        <v>0</v>
      </c>
      <c r="CY809" s="76">
        <f t="shared" si="1559"/>
        <v>0</v>
      </c>
      <c r="CZ809" s="76">
        <f t="shared" si="1560"/>
        <v>0</v>
      </c>
      <c r="DA809" s="76">
        <f t="shared" si="1561"/>
        <v>0</v>
      </c>
      <c r="DB809" s="76">
        <f t="shared" si="1562"/>
        <v>1</v>
      </c>
      <c r="DC809" s="76">
        <f t="shared" si="1563"/>
        <v>0</v>
      </c>
      <c r="DD809" s="76">
        <f t="shared" si="1564"/>
        <v>0</v>
      </c>
      <c r="DE809" s="77">
        <f t="shared" si="1565"/>
        <v>0</v>
      </c>
      <c r="DF809" s="73">
        <f t="shared" si="1567"/>
        <v>45</v>
      </c>
      <c r="DG809" s="67">
        <f t="shared" si="1568"/>
        <v>59.887999999999991</v>
      </c>
      <c r="DH809" s="76">
        <f t="shared" si="1569"/>
        <v>17</v>
      </c>
      <c r="DI809" s="67">
        <f t="shared" si="1570"/>
        <v>72.399999999999991</v>
      </c>
      <c r="DJ809" s="202" t="str">
        <f>IF($D808="","",$D808)</f>
        <v>27</v>
      </c>
      <c r="DK809" s="466"/>
    </row>
    <row r="810" spans="1:115" ht="14.5" customHeight="1" x14ac:dyDescent="0.2">
      <c r="A810" s="390"/>
      <c r="B810" s="457"/>
      <c r="C810" s="79" t="s">
        <v>53</v>
      </c>
      <c r="D810" s="375"/>
      <c r="E810" s="387"/>
      <c r="F810" s="378"/>
      <c r="G810" s="484"/>
      <c r="H810" s="477"/>
      <c r="I810" s="82"/>
      <c r="J810" s="83"/>
      <c r="K810" s="90"/>
      <c r="L810" s="84"/>
      <c r="M810" s="85"/>
      <c r="N810" s="407"/>
      <c r="O810" s="86" t="str">
        <f>IF(OR(AE808="",AE809=""),"",IF(L810&gt;0,ROUND(IF(M810&gt;0,M810,IF(M808&gt;0,ROUND((M808*AE810)/AE808,IF(N808=0,2,IF(N808=0.1,1,0))),IF(M809&gt;0,ROUND((M809*AE810)/AE809,IF(N808=0,2,IF(N808=0.1,1,0))),IF(M810&gt;0,M810,0)))),2),""))</f>
        <v/>
      </c>
      <c r="P810" s="87" t="str">
        <f>IF(I809="Lay",O809*(L809/(L809-1))-O809,IF(I808="Lay",O808*(L808/(L808-1))-O808,IF(OR(L810="",O810=""),"",IF($C810="1/2W",O810/2+O810/2*L810,IF($C810="1/2L",O810/2,(O810*L810-O810)*(1-_xlfn.XLOOKUP(K810,'Fevereiro 2023 - Valor Real'!A3:A15,'Fevereiro 2023 - Valor Real'!C3:C15,0))+O810)))))</f>
        <v/>
      </c>
      <c r="Q810" s="238" t="str">
        <f>IF(K810="","",IF(_xlfn.XLOOKUP(K810,K$4:K809,$DJ$4:DJ809,0,,-1)=DJ810,_xlfn.XLOOKUP(K810,K$4:K809,Q$4:Q809,1,,-1)+1,1))</f>
        <v/>
      </c>
      <c r="R810" s="239" t="str">
        <f>IF(K810="","",_xlfn.XLOOKUP(K810,K$4:K809,R$4:R809,0,,-1)+IF($C810=" ",1,0))</f>
        <v/>
      </c>
      <c r="S810" s="404"/>
      <c r="T810" s="378"/>
      <c r="U810" s="378"/>
      <c r="V810" s="404"/>
      <c r="W810" s="378"/>
      <c r="X810" s="453"/>
      <c r="Y810" s="383"/>
      <c r="Z810" s="384"/>
      <c r="AA810" s="384"/>
      <c r="AB810" s="384"/>
      <c r="AC810" s="384"/>
      <c r="AD810" s="240">
        <f>((L809/(L809-1)-1))</f>
        <v>3.1249999999999991</v>
      </c>
      <c r="AE810" s="91" t="str">
        <f>IF(L810="","",(SUM(((L808-1)*(1-_xlfn.XLOOKUP(K808,'Fevereiro 2023 - Valor Real'!A3:A15,'Fevereiro 2023 - Valor Real'!C3:C15,0))+1),((L809-1)*(1-_xlfn.XLOOKUP(K809,'Fevereiro 2023 - Valor Real'!A3:A15,'Fevereiro 2023 - Valor Real'!C3:C15,0))+1),((L810-1)*(1-_xlfn.XLOOKUP(K810,'Fevereiro 2023 - Valor Real'!A3:A15,'Fevereiro 2023 - Valor Real'!C3:C15,0))+1))/((L810-1)*(1-_xlfn.XLOOKUP(K810,'Fevereiro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Real'!C3:C15,0))+1))/((L808-1)*(1-_xlfn.XLOOKUP(K808,'Fevereiro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Real'!C3:C15,0))+1))/((L809-1)*(1-_xlfn.XLOOKUP(K809,'Fevereiro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Real'!C3:C15,0))+1))/((L810-1)*(1-_xlfn.XLOOKUP(K810,'Fevereiro 2023 - Valor Real'!A3:A15,'Fevereiro 2023 - Valor Real'!C3:C15,0))+1)))</f>
        <v/>
      </c>
      <c r="AF810" s="66">
        <f t="shared" si="1617"/>
        <v>0</v>
      </c>
      <c r="AG810" s="67">
        <f t="shared" si="1617"/>
        <v>0</v>
      </c>
      <c r="AH810" s="67">
        <f t="shared" si="1617"/>
        <v>0</v>
      </c>
      <c r="AI810" s="67">
        <f t="shared" si="1617"/>
        <v>0</v>
      </c>
      <c r="AJ810" s="67">
        <f t="shared" si="1617"/>
        <v>0</v>
      </c>
      <c r="AK810" s="67">
        <f t="shared" si="1617"/>
        <v>0</v>
      </c>
      <c r="AL810" s="67">
        <f t="shared" si="1617"/>
        <v>0</v>
      </c>
      <c r="AM810" s="67">
        <f t="shared" si="1617"/>
        <v>0</v>
      </c>
      <c r="AN810" s="67">
        <f t="shared" si="1617"/>
        <v>0</v>
      </c>
      <c r="AO810" s="67">
        <f t="shared" si="1617"/>
        <v>0</v>
      </c>
      <c r="AP810" s="67">
        <f t="shared" si="1617"/>
        <v>0</v>
      </c>
      <c r="AQ810" s="67">
        <f t="shared" si="1617"/>
        <v>0</v>
      </c>
      <c r="AR810" s="68">
        <f t="shared" si="1617"/>
        <v>0</v>
      </c>
      <c r="AS810" s="66">
        <f>IF(AND($B808=" ",$K810=AS$3),$O810,0)</f>
        <v>0</v>
      </c>
      <c r="AT810" s="67">
        <f>IF(AND($B808=" ",K810=AT$3),$O810,0)</f>
        <v>0</v>
      </c>
      <c r="AU810" s="67">
        <f t="shared" ref="AU810:BE810" si="1627">IF(AND($B808=" ",$K810=AU$3),$O810,0)</f>
        <v>0</v>
      </c>
      <c r="AV810" s="67">
        <f t="shared" si="1627"/>
        <v>0</v>
      </c>
      <c r="AW810" s="67">
        <f t="shared" si="1627"/>
        <v>0</v>
      </c>
      <c r="AX810" s="67">
        <f t="shared" si="1627"/>
        <v>0</v>
      </c>
      <c r="AY810" s="69">
        <f t="shared" si="1627"/>
        <v>0</v>
      </c>
      <c r="AZ810" s="70">
        <f t="shared" si="1627"/>
        <v>0</v>
      </c>
      <c r="BA810" s="70">
        <f t="shared" si="1627"/>
        <v>0</v>
      </c>
      <c r="BB810" s="70">
        <f t="shared" si="1627"/>
        <v>0</v>
      </c>
      <c r="BC810" s="71">
        <f t="shared" si="1627"/>
        <v>0</v>
      </c>
      <c r="BD810" s="67">
        <f t="shared" si="1627"/>
        <v>0</v>
      </c>
      <c r="BE810" s="68">
        <f t="shared" si="1627"/>
        <v>0</v>
      </c>
      <c r="BF810" s="66">
        <f t="shared" si="1619"/>
        <v>0</v>
      </c>
      <c r="BG810" s="67">
        <f t="shared" si="1619"/>
        <v>0</v>
      </c>
      <c r="BH810" s="67">
        <f t="shared" si="1619"/>
        <v>0</v>
      </c>
      <c r="BI810" s="67">
        <f t="shared" si="1619"/>
        <v>0</v>
      </c>
      <c r="BJ810" s="67">
        <f t="shared" si="1619"/>
        <v>0</v>
      </c>
      <c r="BK810" s="67">
        <f t="shared" si="1619"/>
        <v>0</v>
      </c>
      <c r="BL810" s="67">
        <f t="shared" si="1619"/>
        <v>0</v>
      </c>
      <c r="BM810" s="69">
        <f t="shared" si="1619"/>
        <v>0</v>
      </c>
      <c r="BN810" s="70">
        <f t="shared" si="1619"/>
        <v>0</v>
      </c>
      <c r="BO810" s="70">
        <f t="shared" si="1619"/>
        <v>0</v>
      </c>
      <c r="BP810" s="70">
        <f t="shared" si="1619"/>
        <v>0</v>
      </c>
      <c r="BQ810" s="71">
        <f t="shared" si="1619"/>
        <v>0</v>
      </c>
      <c r="BR810" s="68">
        <f t="shared" si="1619"/>
        <v>0</v>
      </c>
      <c r="BS810" s="464"/>
      <c r="BT810" s="461"/>
      <c r="BU810" s="392"/>
      <c r="BV810" s="461"/>
      <c r="BW810" s="392"/>
      <c r="BX810" s="392"/>
      <c r="BY810" s="392"/>
      <c r="BZ810" s="461"/>
      <c r="CA810" s="392"/>
      <c r="CB810" s="392"/>
      <c r="CC810" s="392"/>
      <c r="CD810" s="401"/>
      <c r="CE810" s="409"/>
      <c r="CF810" s="236">
        <f t="shared" si="1540"/>
        <v>0</v>
      </c>
      <c r="CG810" s="237">
        <f t="shared" si="1541"/>
        <v>0</v>
      </c>
      <c r="CH810" s="237">
        <f t="shared" si="1542"/>
        <v>0</v>
      </c>
      <c r="CI810" s="237">
        <f t="shared" si="1543"/>
        <v>0</v>
      </c>
      <c r="CJ810" s="237">
        <f t="shared" si="1544"/>
        <v>0</v>
      </c>
      <c r="CK810" s="237">
        <f t="shared" si="1545"/>
        <v>0</v>
      </c>
      <c r="CL810" s="237">
        <f t="shared" si="1546"/>
        <v>0</v>
      </c>
      <c r="CM810" s="237">
        <f t="shared" si="1547"/>
        <v>0</v>
      </c>
      <c r="CN810" s="237">
        <f t="shared" si="1548"/>
        <v>0</v>
      </c>
      <c r="CO810" s="237">
        <f t="shared" si="1549"/>
        <v>0</v>
      </c>
      <c r="CP810" s="237">
        <f t="shared" si="1550"/>
        <v>0</v>
      </c>
      <c r="CQ810" s="237">
        <f t="shared" si="1551"/>
        <v>0</v>
      </c>
      <c r="CR810" s="237">
        <f t="shared" si="1552"/>
        <v>0</v>
      </c>
      <c r="CS810" s="237">
        <f t="shared" si="1553"/>
        <v>0</v>
      </c>
      <c r="CT810" s="75">
        <f t="shared" si="1554"/>
        <v>0</v>
      </c>
      <c r="CU810" s="76">
        <f t="shared" si="1555"/>
        <v>0</v>
      </c>
      <c r="CV810" s="76">
        <f t="shared" si="1556"/>
        <v>0</v>
      </c>
      <c r="CW810" s="76">
        <f t="shared" si="1557"/>
        <v>0</v>
      </c>
      <c r="CX810" s="76">
        <f t="shared" si="1558"/>
        <v>0</v>
      </c>
      <c r="CY810" s="76">
        <f t="shared" si="1559"/>
        <v>0</v>
      </c>
      <c r="CZ810" s="76">
        <f t="shared" si="1560"/>
        <v>0</v>
      </c>
      <c r="DA810" s="76">
        <f t="shared" si="1561"/>
        <v>0</v>
      </c>
      <c r="DB810" s="76">
        <f t="shared" si="1562"/>
        <v>0</v>
      </c>
      <c r="DC810" s="76">
        <f t="shared" si="1563"/>
        <v>0</v>
      </c>
      <c r="DD810" s="76">
        <f t="shared" si="1564"/>
        <v>0</v>
      </c>
      <c r="DE810" s="77">
        <f t="shared" si="1565"/>
        <v>0</v>
      </c>
      <c r="DF810" s="73">
        <f t="shared" si="1567"/>
        <v>45</v>
      </c>
      <c r="DG810" s="67">
        <f t="shared" si="1568"/>
        <v>59.887999999999991</v>
      </c>
      <c r="DH810" s="76">
        <f t="shared" si="1569"/>
        <v>17</v>
      </c>
      <c r="DI810" s="67">
        <f t="shared" si="1570"/>
        <v>72.399999999999991</v>
      </c>
      <c r="DJ810" s="202" t="str">
        <f>IF($D808="","",$D808)</f>
        <v>27</v>
      </c>
      <c r="DK810" s="466"/>
    </row>
    <row r="811" spans="1:115" ht="14.5" customHeight="1" x14ac:dyDescent="0.2">
      <c r="A811" s="459">
        <f>$A808+1</f>
        <v>270</v>
      </c>
      <c r="B811" s="507" t="str">
        <f>IF(OR(C811="W",C812="W",C813="W",C811="1/2W",C812="1/2W",C813="1/2W",C811="1/2L",C812="1/2L",C813="1/2L"),"OK",IF(OR(C811="L",C812="L",C813="L"),"LOSS",IF(OR(C811="X",C812="X",C813="X"),"Anulado"," ")))</f>
        <v>OK</v>
      </c>
      <c r="C811" s="93" t="s">
        <v>55</v>
      </c>
      <c r="D811" s="468" t="s">
        <v>274</v>
      </c>
      <c r="E811" s="485" t="str">
        <f>IF(G811=""," ","– "&amp;COUNTIF(D$4:D813,$D811))</f>
        <v>– 1</v>
      </c>
      <c r="F811" s="509" t="str">
        <f ca="1">IF(G811="","",IF(OR(AND($C811&lt;&gt;" ",$C812=" "),AND($C812&lt;&gt;" ",$C811=" "),AND(L813&gt;0,OR(AND($C813&lt;&gt;" ",OR($C811=" ",$C812=" ")),AND($C813=" ",OR($C811&lt;&gt;" ",$C812&lt;&gt;" "))))),IF(SUM(F$4:F810)=0,1,LARGE(F$4:F810,1)+1),IF(MONTH(G811)=MONTH(TODAY()),IF(AND(DAY(G811)&lt;DAY(TODAY()),$B811=" "),IF(SUM(F$4:F810)=0,1,LARGE(F$4:F810,1)+1),IF($B811=" ",IF(AND(DAY(G811)=DAY(TODAY()),HOUR(G811)&lt;=HOUR(NOW())+1),IF(AND(HOUR(G811)+2&lt;=HOUR(NOW()),DAY(G811)&lt;=DAY(TODAY()),MINUTE(G811)&lt;=MINUTE(NOW())),IF(SUM(F$4:F810)=0,1,LARGE(F$4:F810,1)+1),IF(OR(MINUTE(G811)&lt;=MINUTE(NOW()),HOUR(G811)&lt;=HOUR(NOW())),"!!!","")),""),"")),"")))</f>
        <v/>
      </c>
      <c r="G811" s="482">
        <v>45014.729166666664</v>
      </c>
      <c r="H811" s="475" t="s">
        <v>275</v>
      </c>
      <c r="I811" s="94" t="s">
        <v>66</v>
      </c>
      <c r="J811" s="95">
        <v>1.5</v>
      </c>
      <c r="K811" s="96" t="s">
        <v>39</v>
      </c>
      <c r="L811" s="97">
        <v>3.8</v>
      </c>
      <c r="M811" s="98">
        <v>5.56</v>
      </c>
      <c r="N811" s="478">
        <v>0.1</v>
      </c>
      <c r="O811" s="99">
        <f>IF(OR(AE811="",AE812=""),"",ROUND(IF(L813&gt;0,IF(M811&gt;0,M811,IF(M812&gt;0,ROUND((M812*AE811)/AE812,IF(N811=0,2,IF(N811=0.1,1,0))),ROUND((M813*AE811)/AE813,IF(N811=0,2,IF(N811=0.1,1,0))))),IF(M811&gt;0,M811,ROUND((M812*AE811)/AE812,IF(N811=0,2,IF(N811=0.1,1,0))))),2))</f>
        <v>5.56</v>
      </c>
      <c r="P811" s="100">
        <f>IF(OR(L811="",O811=""),"",IF($C811="1/2W",O811/2+O811/2*L811,IF($C811="1/2L",O811/2,IF(I811="Lay",(O811*(L811/(L811-1))-O811)*(1-_xlfn.XLOOKUP(K811,'Fevereiro 2023 - Valor Real'!A3:A15,'Fevereiro 2023 - Valor Real'!C3:C15,0))+O811,(O811*L811-O811)*(1-_xlfn.XLOOKUP(K811,'Fevereiro 2023 - Valor Real'!A3:A15,'Fevereiro 2023 - Valor Real'!C3:C15,0))+O811))))</f>
        <v>21.127999999999997</v>
      </c>
      <c r="Q811" s="101">
        <f>IF(K811="","",IF(_xlfn.XLOOKUP(K811,K$4:K810,$DJ$4:DJ810,0,,-1)=DJ811,_xlfn.XLOOKUP(K811,K$4:K810,Q$4:Q810,1,,-1)+1,1))</f>
        <v>1</v>
      </c>
      <c r="R811" s="102">
        <f>IF(K811="","",_xlfn.XLOOKUP(K811,K$4:K810,R$4:R810,0,,-1)+IF($C811=" ",1,0))</f>
        <v>0</v>
      </c>
      <c r="S811" s="474">
        <f>IF($B811="Anulado",0,ROUND(IF(OR($B811="LOSS",$B811="OK"),IF(OR($C811="W",$C811="1/2W",$C811="1/2L"),P811-O811,IF($C811="L",-O811,0))+IF(OR($C812="W",$C812="1/2W",$C812="1/2L"),P812-O812,IF($C812="L",-O812,0))+IF(OR($C813="W",$C813="1/2W",$C813="1/2L"),P813-O813,IF($C813="L",-O813,0)),IF(AND(OR($C811="W",$C811="1/2W",$C811="1/2L"),C812="W"),P811+P812-SUM(O811:O813)+_xlfn.XLOOKUP("X",C811:C813,O811:O813,0),IF(AND(C811=TRUE,C813="W"),P811+P813-SUM(O811:O813),IF(AND(C812="W",C813="W"),P812+P813-SUM(O811:O813)+_xlfn.XLOOKUP("X",C811:C813,O811:O813,0),IF(L813&gt;0,IF(OR($C811="W",$C811="1/2W",$C811="1/2L"),P811-SUM(O811:O813)+_xlfn.XLOOKUP("X",C811:C813,O811:O813,0),IF(OR($C811="W",$C811="1/2W",$C811="1/2L"),P812-SUM(O811:O813)+_xlfn.XLOOKUP("X",C811:C813,O811:O813,0),IF(OR($C811="W",$C811="1/2W",$C811="1/2L"),P813-SUM(O811:O813)+_xlfn.XLOOKUP("X",C811:C813,O811:O813,0),IF(SUM(P811:P813)/3-SUM(O811:O813)+_xlfn.XLOOKUP("X",C811:C813,O811:O813,0)&gt;0,SUM(P811:P813)/3-SUM(O811:O813)+_xlfn.XLOOKUP("X",C811:C813,O811:O813,0),LARGE(P811:P813,1)-SUM(O811:O813))))),IF(OR($C811="W",$C811="1/2W",$C811="1/2L"),P811-SUM(O811:O812)+_xlfn.XLOOKUP("X",C811:C813,O811:O813,0),IF(OR($C811="W",$C811="1/2W",$C811="1/2L"),P812-SUM(O811:O812)+_xlfn.XLOOKUP("X",C811:C813,O811:O813,0),SUM(P811:P812)/2-SUM(O811:O812)+_xlfn.XLOOKUP("X",C811:C813,O811:O813,0)))))))),2))</f>
        <v>1.3</v>
      </c>
      <c r="T811" s="458">
        <f>IF(S811=0,0,S811/SUM(O811:O813))</f>
        <v>6.5458207452165157E-2</v>
      </c>
      <c r="U811" s="470">
        <f>IF($D811=$D808,IF(OR($B811="LOSS",$B811="OK",$B811="Anulada"),S811,0)+U808,IF(OR($B811="LOSS",$B811="OK",$B811="Anulada"),S811,0))</f>
        <v>1.3</v>
      </c>
      <c r="V811" s="470">
        <f>IF($D811="",0,IF($D811=$D808,IF($B811=" ",IF(I813="",IF(OR(AND(I811="DNB1",I812="DNB2"),AND(OR(I811="DNB1",I811="DNB2"),J812=0),AND(OR(I812="DNB1",I812="DNB2"),J811=0),AND(I811="DNB2",I812="DNB1"),AND(IF(J811=0,(J811+1)/ROUND(J811+1,0),J811/ROUND(J811,0))=1,IF(J812=0,(J812+1)/ROUND(IF(J812="",0,J812)+1,0),IF(J812="",0,J812)/ROUND(IF(J812="",1,J812),0))=1,OR(J811&lt;&gt;""),J812&lt;&gt;"")),0,IF(S811&lt;0,IF(I813="",SMALL(P811:P812,1)-SUM(O811:O812),0),SMALL(P811:P812,1)-SUM(O811:O812))),IF(S811&lt;0,IF(I813="",SMALL(P811:P813,1)-SUM(O811:O813),0),LARGE(P811:P813,1)-SUM(O811:O813))),S811)+V808,IF(I813="",IF(OR(AND(I811="DNB1",I812="DNB2"),AND(OR(I811="DNB1",I811="DNB2"),J812=0),AND(OR(I812="DNB1",I812="DNB2"),J811=0),AND(I811="DNB2",I812="DNB1"),AND(IF(J811=0,(J811+1)/ROUND(J811+1,0),J811/ROUND(J811,0))=1,IF(J812=0,(IF(J812="",0,J812)+1)/ROUND(IF(J812="",0,J812)+1,0),IF(J812="",0,J812)/ROUND(IF(J812="",0,J812)+1,0))=1,OR(J811&lt;&gt;""),J812&lt;&gt;"")),0,IF(S811&lt;0,IF(I813="",SMALL(P811:P812,1)-SUM(O811:O812),0),SMALL(P811:P813,1)-SUM(O811:O813))),IF(S811&lt;0,IF(I813="",SMALL(P811:P813,1)-SUM(O811:O813),0),LARGE(P811:P813,1)-SUM(O811:O813)))))</f>
        <v>1.2679999999999971</v>
      </c>
      <c r="W811" s="470">
        <f>IF($D811=$D808,IF(S811&lt;0,IF(I813="",S811,0),S811)+W808,S811)</f>
        <v>1.3</v>
      </c>
      <c r="X811" s="480" t="str">
        <f>IF(OR(SUM(R811:R813)=0,V811=W811),ROUND(IF(W811=0,0,W811/Y811)*100,2)&amp;"%",ROUND(IF(V811=0,0,V811/Y811)*100,2)&amp;"% a "&amp;ROUND(IF(W811=0,0,W811/Y811)*100,2)&amp;"%")</f>
        <v>6,55%</v>
      </c>
      <c r="Y811" s="471">
        <f>IF($D811=$D808,Y808+SUM(O811:O813),SUM(O811:O813))</f>
        <v>19.86</v>
      </c>
      <c r="Z811" s="470">
        <f>IF($B811=" ",SUM(O811:O813),0)+Z808</f>
        <v>0</v>
      </c>
      <c r="AA811" s="470">
        <f>IF(G811="","",IF($B811="Anulado",LARGE(P811:P813,1)-SUM(O811:O813)+AA808,AA808))</f>
        <v>13.381099999999991</v>
      </c>
      <c r="AB811" s="470">
        <f>IF($D811="","",AB808+S811)</f>
        <v>896.31000000000074</v>
      </c>
      <c r="AC811" s="472">
        <f ca="1">IF($D811="","",IF($B811=" ",IF(DAY(G811)=DAY(TODAY()),1+AC808,0+AC808),0+AC808))</f>
        <v>0</v>
      </c>
      <c r="AD811" s="103">
        <f>(((L812/(L812-1)-1)*(1-_xlfn.XLOOKUP(K812,'Fevereiro 2023 - Valor Real'!A3:A15,'Fevereiro 2023 - Valor Real'!C3:C15,0))+1))/(((L811-1)*(1-_xlfn.XLOOKUP(K811,'Fevereiro 2023 - Valor Real'!A3:A15,'Fevereiro 2023 - Valor Real'!C3:C15,0))+1)+((L812/(L812-1)-1)*(1-_xlfn.XLOOKUP(K812,'Fevereiro 2023 - Valor Real'!A3:A15,'Fevereiro 2023 - Valor Real'!C3:C15,0))+1))</f>
        <v>0.44794188861985479</v>
      </c>
      <c r="AE811" s="104">
        <f>IF(L811="","",IF(L813&gt;0,(SUM(((L811-1)*(1-_xlfn.XLOOKUP(K811,'Fevereiro 2023 - Valor Real'!A3:A15,'Fevereiro 2023 - Valor Real'!C3:C15,0))+1),((L812-1)*(1-_xlfn.XLOOKUP(K812,'Fevereiro 2023 - Valor Real'!A3:A15,'Fevereiro 2023 - Valor Real'!C3:C15,0))+1),((L813-1)*(1-_xlfn.XLOOKUP(K813,'Fevereiro 2023 - Valor Real'!A3:A15,'Fevereiro 2023 - Valor Real'!C3:C15,0))+1))/((L811-1)*(1-_xlfn.XLOOKUP(K811,'Fevereiro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Real'!C3:C15,0))+1))/((L811-1)*(1-_xlfn.XLOOKUP(K811,'Fevereiro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Real'!C3:C15,0))+1))/((L812-1)*(1-_xlfn.XLOOKUP(K812,'Fevereiro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Real'!C3:C15,0))+1))/((L813-1)*(1-_xlfn.XLOOKUP(K813,'Fevereiro 2023 - Valor Real'!A3:A15,'Fevereiro 2023 - Valor Real'!C3:C15,0))+1)),IF(I811="Lay",IF(I812="Lay",((L812/(L812-1)-1)*(1-_xlfn.XLOOKUP(K812,'Fevereiro 2023 - Valor Real'!A3:A15,'Fevereiro 2023 - Valor Real'!C3:C15,0))+1)/(((L812/(L812-1)-1)*(1-_xlfn.XLOOKUP(K812,'Fevereiro 2023 - Valor Real'!A3:A15,'Fevereiro 2023 - Valor Real'!C3:C15,0))+1)+((L811/(L811-1)-1)*(1-_xlfn.XLOOKUP(K811,'Fevereiro 2023 - Valor Real'!A3:A15,'Fevereiro 2023 - Valor Real'!C3:C15,0))+1)),((L812-1)*(1-_xlfn.XLOOKUP(K812,'Fevereiro 2023 - Valor Real'!A3:A15,'Fevereiro 2023 - Valor Real'!C3:C15,0))+1)/(((L812-1)*(1-_xlfn.XLOOKUP(K812,'Fevereiro 2023 - Valor Real'!A3:A15,'Fevereiro 2023 - Valor Real'!C3:C15,0))+1)+((L811/(L811-1)-1)*(1-_xlfn.XLOOKUP(K811,'Fevereiro 2023 - Valor Real'!A3:A15,'Fevereiro 2023 - Valor Real'!C3:C15,0))+1))),IF(I812="Lay",(((L812/(L812-1)-1)*(1-_xlfn.XLOOKUP(K812,'Fevereiro 2023 - Valor Real'!A3:A15,'Fevereiro 2023 - Valor Real'!C3:C15,0))+1))/(((L811-1)*(1-_xlfn.XLOOKUP(K811,'Fevereiro 2023 - Valor Real'!A3:A15,'Fevereiro 2023 - Valor Real'!C3:C15,0))+1)+((L812/(L812-1)-1)*(1-_xlfn.XLOOKUP(K812,'Fevereiro 2023 - Valor Real'!A3:A15,'Fevereiro 2023 - Valor Real'!C3:C15,0))+1)),((L812-1)*(1-_xlfn.XLOOKUP(K812,'Fevereiro 2023 - Valor Real'!A3:A15,'Fevereiro 2023 - Valor Real'!C3:C15,0))+1)/(((L812-1)*(1-_xlfn.XLOOKUP(K812,'Fevereiro 2023 - Valor Real'!A3:A15,'Fevereiro 2023 - Valor Real'!C3:C15,0))+1)+((L811-1)*(1-_xlfn.XLOOKUP(K811,'Fevereiro 2023 - Valor Real'!A3:A15,'Fevereiro 2023 - Valor Real'!C3:C15,0))+1))))))</f>
        <v>0.28030303030303033</v>
      </c>
      <c r="AF811" s="105">
        <f t="shared" si="1617"/>
        <v>0</v>
      </c>
      <c r="AG811" s="106">
        <f t="shared" si="1617"/>
        <v>0</v>
      </c>
      <c r="AH811" s="106">
        <f t="shared" si="1617"/>
        <v>0</v>
      </c>
      <c r="AI811" s="106">
        <f t="shared" si="1617"/>
        <v>-5.56</v>
      </c>
      <c r="AJ811" s="106">
        <f t="shared" si="1617"/>
        <v>0</v>
      </c>
      <c r="AK811" s="106">
        <f t="shared" si="1617"/>
        <v>0</v>
      </c>
      <c r="AL811" s="106">
        <f t="shared" si="1617"/>
        <v>0</v>
      </c>
      <c r="AM811" s="106">
        <f t="shared" si="1617"/>
        <v>0</v>
      </c>
      <c r="AN811" s="106">
        <f t="shared" si="1617"/>
        <v>0</v>
      </c>
      <c r="AO811" s="106">
        <f t="shared" si="1617"/>
        <v>0</v>
      </c>
      <c r="AP811" s="106">
        <f t="shared" si="1617"/>
        <v>0</v>
      </c>
      <c r="AQ811" s="106">
        <f t="shared" si="1617"/>
        <v>0</v>
      </c>
      <c r="AR811" s="107">
        <f t="shared" si="1617"/>
        <v>0</v>
      </c>
      <c r="AS811" s="105">
        <f t="shared" ref="AS811:BE811" si="1628">IF(AND($B811=" ",$K811=AS$3),$O811,0)</f>
        <v>0</v>
      </c>
      <c r="AT811" s="106">
        <f t="shared" si="1628"/>
        <v>0</v>
      </c>
      <c r="AU811" s="106">
        <f t="shared" si="1628"/>
        <v>0</v>
      </c>
      <c r="AV811" s="106">
        <f t="shared" si="1628"/>
        <v>0</v>
      </c>
      <c r="AW811" s="106">
        <f t="shared" si="1628"/>
        <v>0</v>
      </c>
      <c r="AX811" s="106">
        <f t="shared" si="1628"/>
        <v>0</v>
      </c>
      <c r="AY811" s="108">
        <f t="shared" si="1628"/>
        <v>0</v>
      </c>
      <c r="AZ811" s="109">
        <f t="shared" si="1628"/>
        <v>0</v>
      </c>
      <c r="BA811" s="109">
        <f t="shared" si="1628"/>
        <v>0</v>
      </c>
      <c r="BB811" s="109">
        <f t="shared" si="1628"/>
        <v>0</v>
      </c>
      <c r="BC811" s="110">
        <f t="shared" si="1628"/>
        <v>0</v>
      </c>
      <c r="BD811" s="106">
        <f t="shared" si="1628"/>
        <v>0</v>
      </c>
      <c r="BE811" s="107">
        <f t="shared" si="1628"/>
        <v>0</v>
      </c>
      <c r="BF811" s="111">
        <f t="shared" si="1619"/>
        <v>0</v>
      </c>
      <c r="BG811" s="106">
        <f t="shared" si="1619"/>
        <v>0</v>
      </c>
      <c r="BH811" s="106">
        <f t="shared" si="1619"/>
        <v>0</v>
      </c>
      <c r="BI811" s="106">
        <f t="shared" si="1619"/>
        <v>5.56</v>
      </c>
      <c r="BJ811" s="106">
        <f t="shared" si="1619"/>
        <v>0</v>
      </c>
      <c r="BK811" s="106">
        <f t="shared" si="1619"/>
        <v>0</v>
      </c>
      <c r="BL811" s="106">
        <f t="shared" si="1619"/>
        <v>0</v>
      </c>
      <c r="BM811" s="108">
        <f t="shared" si="1619"/>
        <v>0</v>
      </c>
      <c r="BN811" s="109">
        <f t="shared" si="1619"/>
        <v>0</v>
      </c>
      <c r="BO811" s="109">
        <f t="shared" si="1619"/>
        <v>0</v>
      </c>
      <c r="BP811" s="109">
        <f t="shared" si="1619"/>
        <v>0</v>
      </c>
      <c r="BQ811" s="110">
        <f t="shared" si="1619"/>
        <v>0</v>
      </c>
      <c r="BR811" s="107">
        <f t="shared" si="1619"/>
        <v>0</v>
      </c>
      <c r="BS811" s="463">
        <f>IF($B811="LOSS",IF(AND($K811=BS$3,$C811="L"),-$O811,0)+IF(AND($K812=BS$3,$C812="L"),-$O812,0)+IF(AND($K813=BS$3,$C813="L"),-$O813,0),IF(OR(AND($K811=BS$3,OR($C811="W",$C811="1/2W")),AND($K812=BS$3,OR($C812="W",$C812="1/2W")),AND($K813=BS$3,OR($C813="W",$C813="1/2W"))),$S811,0))</f>
        <v>0</v>
      </c>
      <c r="BT811" s="462">
        <f>IF($B811="LOSS",IF(AND($K811=BT$3,$C811="L"),-$O811,0)+IF(AND($K812=BT$3,$C812="L"),-$O812,0)+IF(AND($K812=BT$3,$C813="L"),-$O813,0),IF(OR(AND($K812=BT$3,OR($C811="W",$C811="1/2W")),AND($K812=BT$3,OR($C812="W",$C812="1/2W")),AND($K812=BT$3,OR($C813="W",$C813="1/2W"))),$S811,0))</f>
        <v>0</v>
      </c>
      <c r="BU811" s="462">
        <f>IF($B811="LOSS",IF(AND($K811=BU$3,$C811="L"),-$O811,0)+IF(AND($K812=BU$3,$C812="L"),-$O812,0)+IF(AND($K812=BU$3,$C813="L"),-$O813,0),IF(OR(AND($K812=BU$3,OR($C811="W",$C811="1/2W")),AND($K812=BU$3,OR($C812="W",$C812="1/2W")),AND($K812=BU$3,OR($C813="W",$C813="1/2W"))),$S811,0))</f>
        <v>0</v>
      </c>
      <c r="BV811" s="462">
        <f t="shared" ref="BV811:CE811" si="1629">IF($B811="LOSS",IF(AND($K811=BV$3,$C811="L"),-$O811,0)+IF(AND($K812=BV$3,$C812="L"),-$O812,0)+IF(AND($K813=BV$3,$C813="L"),-$O813,0),IF(OR(AND($K811=BV$3,OR($C811="W",$C811="1/2W")),AND($K812=BV$3,OR($C812="W",$C812="1/2W")),AND($K813=BV$3,OR($C813="W",$C813="1/2W"))),$S811,0))</f>
        <v>0</v>
      </c>
      <c r="BW811" s="462">
        <f t="shared" si="1629"/>
        <v>1.3</v>
      </c>
      <c r="BX811" s="462">
        <f t="shared" si="1629"/>
        <v>0</v>
      </c>
      <c r="BY811" s="462">
        <f t="shared" si="1629"/>
        <v>0</v>
      </c>
      <c r="BZ811" s="460">
        <f t="shared" si="1629"/>
        <v>0</v>
      </c>
      <c r="CA811" s="460">
        <f t="shared" si="1629"/>
        <v>0</v>
      </c>
      <c r="CB811" s="460">
        <f t="shared" si="1629"/>
        <v>0</v>
      </c>
      <c r="CC811" s="460">
        <f t="shared" si="1629"/>
        <v>0</v>
      </c>
      <c r="CD811" s="473">
        <f t="shared" si="1629"/>
        <v>0</v>
      </c>
      <c r="CE811" s="479">
        <f t="shared" si="1629"/>
        <v>0</v>
      </c>
      <c r="CF811" s="113">
        <f t="shared" si="1540"/>
        <v>0</v>
      </c>
      <c r="CG811" s="114">
        <f t="shared" si="1541"/>
        <v>0</v>
      </c>
      <c r="CH811" s="114">
        <f t="shared" si="1542"/>
        <v>0</v>
      </c>
      <c r="CI811" s="114">
        <f t="shared" si="1543"/>
        <v>0</v>
      </c>
      <c r="CJ811" s="114">
        <f t="shared" si="1544"/>
        <v>0</v>
      </c>
      <c r="CK811" s="114">
        <f t="shared" si="1545"/>
        <v>0</v>
      </c>
      <c r="CL811" s="114">
        <f t="shared" si="1546"/>
        <v>0</v>
      </c>
      <c r="CM811" s="114">
        <f t="shared" si="1547"/>
        <v>1</v>
      </c>
      <c r="CN811" s="114">
        <f t="shared" si="1548"/>
        <v>0</v>
      </c>
      <c r="CO811" s="114">
        <f t="shared" si="1549"/>
        <v>0</v>
      </c>
      <c r="CP811" s="114">
        <f t="shared" si="1550"/>
        <v>0</v>
      </c>
      <c r="CQ811" s="114">
        <f t="shared" si="1551"/>
        <v>0</v>
      </c>
      <c r="CR811" s="114">
        <f t="shared" si="1552"/>
        <v>0</v>
      </c>
      <c r="CS811" s="114">
        <f t="shared" si="1553"/>
        <v>0</v>
      </c>
      <c r="CT811" s="115">
        <f t="shared" si="1554"/>
        <v>0</v>
      </c>
      <c r="CU811" s="116">
        <f t="shared" si="1555"/>
        <v>0</v>
      </c>
      <c r="CV811" s="116">
        <f t="shared" si="1556"/>
        <v>0</v>
      </c>
      <c r="CW811" s="116">
        <f t="shared" si="1557"/>
        <v>0</v>
      </c>
      <c r="CX811" s="116">
        <f t="shared" si="1558"/>
        <v>0</v>
      </c>
      <c r="CY811" s="116">
        <f t="shared" si="1559"/>
        <v>0</v>
      </c>
      <c r="CZ811" s="116">
        <f t="shared" si="1560"/>
        <v>0</v>
      </c>
      <c r="DA811" s="116">
        <f t="shared" si="1561"/>
        <v>0</v>
      </c>
      <c r="DB811" s="116">
        <f t="shared" si="1562"/>
        <v>0</v>
      </c>
      <c r="DC811" s="116">
        <f t="shared" si="1563"/>
        <v>0</v>
      </c>
      <c r="DD811" s="116">
        <f t="shared" si="1564"/>
        <v>0</v>
      </c>
      <c r="DE811" s="117">
        <f t="shared" si="1565"/>
        <v>0</v>
      </c>
      <c r="DF811" s="118">
        <f t="shared" si="1567"/>
        <v>45</v>
      </c>
      <c r="DG811" s="106">
        <f t="shared" si="1568"/>
        <v>59.887999999999991</v>
      </c>
      <c r="DH811" s="116">
        <f t="shared" si="1569"/>
        <v>17</v>
      </c>
      <c r="DI811" s="106">
        <f t="shared" si="1570"/>
        <v>72.399999999999991</v>
      </c>
      <c r="DJ811" s="201" t="str">
        <f>IF($D811="","",$D811)</f>
        <v>28</v>
      </c>
      <c r="DK811" s="465">
        <f>IF(AND($B811=" ",$D811&lt;&gt;""),1,0)</f>
        <v>0</v>
      </c>
    </row>
    <row r="812" spans="1:115" ht="14.5" customHeight="1" x14ac:dyDescent="0.2">
      <c r="A812" s="389"/>
      <c r="B812" s="456"/>
      <c r="C812" s="120" t="s">
        <v>54</v>
      </c>
      <c r="D812" s="374"/>
      <c r="E812" s="386"/>
      <c r="F812" s="377"/>
      <c r="G812" s="483"/>
      <c r="H812" s="476"/>
      <c r="I812" s="121" t="s">
        <v>76</v>
      </c>
      <c r="J812" s="122">
        <f>IF(OR(I811="TO",I811="TU",I811="TO1",I811="TU1",I811="TO2",I811="TU2"),J811,IF(OR(I811="AH1",I811="AH2"),IF(OR(I812="AH1",I812="AH2"),-J811,IF(OR(I812="EH1",I812="EH2"),-J811+0.5,"")),IF(OR(I811="EH1",I811="EH2"),IF(OR(I812="AH1",I812="AH2"),-J811+0.5,IF(OR(I812="EH1",I812="EH2"),-J811+1,"")),IF(AND(OR(I811="DNB1",I811="DNB2"),OR(I812="AH1",I812="AH2")),0,IF(AND(I811="Not ScoreBoth",OR(I812="TO1",I812="TO2")),0.5,"")))))</f>
        <v>-1.5</v>
      </c>
      <c r="K812" s="123" t="s">
        <v>40</v>
      </c>
      <c r="L812" s="124">
        <v>1.48</v>
      </c>
      <c r="M812" s="125"/>
      <c r="N812" s="406"/>
      <c r="O812" s="126">
        <f>IF(OR(AE811="",AE812=""),"",ROUND(IF(L813&gt;0,IF(M812&gt;0,M812,IF(M811&gt;0,IF(N811=TRUE,ROUND((M811*AE812)/AE811,0),(M811*AE812)/AE811),IF(M812&gt;0,ROUND(M812,IF(N811=0,2,IF(N811=0.1,1,0))),IF(M813&gt;0,ROUND(O813*AE812/AE813,IF(N811=0,2,IF(N811=0.1,1,0))),0)))),IF(M812&gt;0,M812,ROUND((M811*AE812)/AE811,IF(N811=0,2,IF(N811=0.1,1,0))))),2))</f>
        <v>14.3</v>
      </c>
      <c r="P812" s="127">
        <f>IF(OR(L812="",O812=""),"",IF($C812="1/2W",O812/2+O812/2*L812,IF($C812="1/2L",O812/2,IF(I812="Lay",((O812*(L812/(L812-1)))-O812)*(1-_xlfn.XLOOKUP(K812,'Fevereiro 2023 - Valor Real'!A3:A15,'Fevereiro 2023 - Valor Real'!C3:C15,0))+O812,(O812*L812-O812)*(1-_xlfn.XLOOKUP(K812,'Fevereiro 2023 - Valor Real'!A3:A15,'Fevereiro 2023 - Valor Real'!C3:C15,0))+O812))))</f>
        <v>21.164000000000001</v>
      </c>
      <c r="Q812" s="128">
        <f>IF(K812="","",IF(_xlfn.XLOOKUP(K812,K$4:K811,$DJ$4:DJ811,0,,-1)=DJ812,_xlfn.XLOOKUP(K812,K$4:K811,Q$4:Q811,1,,-1)+1,1))</f>
        <v>1</v>
      </c>
      <c r="R812" s="129">
        <f>IF(K812="","",_xlfn.XLOOKUP(K812,K$4:K811,R$4:R811,0,,-1)+IF($C812=" ",1,0))</f>
        <v>0</v>
      </c>
      <c r="S812" s="403"/>
      <c r="T812" s="380"/>
      <c r="U812" s="380"/>
      <c r="V812" s="481"/>
      <c r="W812" s="380"/>
      <c r="X812" s="452"/>
      <c r="Y812" s="383"/>
      <c r="Z812" s="384"/>
      <c r="AA812" s="384"/>
      <c r="AB812" s="384"/>
      <c r="AC812" s="384"/>
      <c r="AD812" s="130">
        <f>(((L812/(L812-1)-1)*(1-_xlfn.XLOOKUP(K812,'Fevereiro 2023 - Valor Real'!A3:A15,'Fevereiro 2023 - Valor Real'!C3:C15,0))+1))</f>
        <v>3.0833333333333335</v>
      </c>
      <c r="AE812" s="131">
        <f>IF(L812="","",IF(L813&gt;0,(SUM(((L811-1)*(1-_xlfn.XLOOKUP(K811,'Fevereiro 2023 - Valor Real'!A3:A15,'Fevereiro 2023 - Valor Real'!C3:C15,0))+1),((L812-1)*(1-_xlfn.XLOOKUP(K812,'Fevereiro 2023 - Valor Real'!A3:A15,'Fevereiro 2023 - Valor Real'!C3:C15,0))+1),((L813-1)*(1-_xlfn.XLOOKUP(K813,'Fevereiro 2023 - Valor Real'!A3:A15,'Fevereiro 2023 - Valor Real'!C3:C15,0))+1))/((L812-1)*(1-_xlfn.XLOOKUP(K812,'Fevereiro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Real'!C3:C15,0))+1))/((L811-1)*(1-_xlfn.XLOOKUP(K811,'Fevereiro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Real'!C3:C15,0))+1))/((L812-1)*(1-_xlfn.XLOOKUP(K812,'Fevereiro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Real'!C3:C15,0))+1))/((L813-1)*(1-_xlfn.XLOOKUP(K813,'Fevereiro 2023 - Valor Real'!A3:A15,'Fevereiro 2023 - Valor Real'!C3:C15,0))+1)),IF(I812="Lay",IF(I811="Lay",((L811/(L811-1)-1)*(1-_xlfn.XLOOKUP(K811,'Fevereiro 2023 - Valor Real'!A3:A15,'Fevereiro 2023 - Valor Real'!C3:C15,0))+1)/(((L811/(L811-1)-1)*(1-_xlfn.XLOOKUP(K811,'Fevereiro 2023 - Valor Real'!A3:A15,'Fevereiro 2023 - Valor Real'!C3:C15,0))+1)+((L812/(L812-1)-1)*(1-_xlfn.XLOOKUP(K812,'Fevereiro 2023 - Valor Real'!A3:A15,'Fevereiro 2023 - Valor Real'!C3:C15,0))+1)),((L811-1)*(1-_xlfn.XLOOKUP(K811,'Fevereiro 2023 - Valor Real'!A3:A15,'Fevereiro 2023 - Valor Real'!C3:C15,0))+1)/(((L811-1)*(1-_xlfn.XLOOKUP(K811,'Fevereiro 2023 - Valor Real'!A3:A15,'Fevereiro 2023 - Valor Real'!C3:C15,0))+1)+((L812/(L812-1)-1)*(1-_xlfn.XLOOKUP(K812,'Fevereiro 2023 - Valor Real'!A3:A15,'Fevereiro 2023 - Valor Real'!C3:C15,0))+1))),IF(I811="Lay",((L811/(L811-1)-1)*(1-_xlfn.XLOOKUP(K811,'Fevereiro 2023 - Valor Real'!A3:A15,'Fevereiro 2023 - Valor Real'!C3:C15,0))+1)/((((L811/(L811-1)-1)*(1-_xlfn.XLOOKUP(K811,'Fevereiro 2023 - Valor Real'!A3:A15,'Fevereiro 2023 - Valor Real'!C3:C15,0))+1))+((L812-1)*(1-_xlfn.XLOOKUP(K812,'Fevereiro 2023 - Valor Real'!A3:A15,'Fevereiro 2023 - Valor Real'!C3:C15,0))+1)),((L811-1)*(1-_xlfn.XLOOKUP(K811,'Fevereiro 2023 - Valor Real'!A3:A15,'Fevereiro 2023 - Valor Real'!C3:C15,0))+1)/(((L811-1)*(1-_xlfn.XLOOKUP(K811,'Fevereiro 2023 - Valor Real'!A3:A15,'Fevereiro 2023 - Valor Real'!C3:C15,0))+1)+((L812-1)*(1-_xlfn.XLOOKUP(K812,'Fevereiro 2023 - Valor Real'!A3:A15,'Fevereiro 2023 - Valor Real'!C3:C15,0))+1))))))</f>
        <v>0.71969696969696972</v>
      </c>
      <c r="AF812" s="105">
        <f t="shared" si="1617"/>
        <v>0</v>
      </c>
      <c r="AG812" s="106">
        <f t="shared" si="1617"/>
        <v>0</v>
      </c>
      <c r="AH812" s="106">
        <f t="shared" si="1617"/>
        <v>0</v>
      </c>
      <c r="AI812" s="106">
        <f t="shared" si="1617"/>
        <v>0</v>
      </c>
      <c r="AJ812" s="106">
        <f t="shared" si="1617"/>
        <v>6.86</v>
      </c>
      <c r="AK812" s="106">
        <f t="shared" si="1617"/>
        <v>0</v>
      </c>
      <c r="AL812" s="106">
        <f t="shared" si="1617"/>
        <v>0</v>
      </c>
      <c r="AM812" s="106">
        <f t="shared" si="1617"/>
        <v>0</v>
      </c>
      <c r="AN812" s="106">
        <f t="shared" si="1617"/>
        <v>0</v>
      </c>
      <c r="AO812" s="106">
        <f t="shared" si="1617"/>
        <v>0</v>
      </c>
      <c r="AP812" s="106">
        <f t="shared" si="1617"/>
        <v>0</v>
      </c>
      <c r="AQ812" s="106">
        <f t="shared" si="1617"/>
        <v>0</v>
      </c>
      <c r="AR812" s="107">
        <f t="shared" si="1617"/>
        <v>0</v>
      </c>
      <c r="AS812" s="105">
        <f>IF(AND($B811=" ",$K812=AS$3),$O812,0)</f>
        <v>0</v>
      </c>
      <c r="AT812" s="106">
        <f>IF(AND($B811=" ",K812=AT$3),$O812,0)</f>
        <v>0</v>
      </c>
      <c r="AU812" s="106">
        <f t="shared" ref="AU812:BE812" si="1630">IF(AND($B811=" ",$K812=AU$3),$O812,0)</f>
        <v>0</v>
      </c>
      <c r="AV812" s="106">
        <f t="shared" si="1630"/>
        <v>0</v>
      </c>
      <c r="AW812" s="106">
        <f t="shared" si="1630"/>
        <v>0</v>
      </c>
      <c r="AX812" s="106">
        <f t="shared" si="1630"/>
        <v>0</v>
      </c>
      <c r="AY812" s="108">
        <f t="shared" si="1630"/>
        <v>0</v>
      </c>
      <c r="AZ812" s="109">
        <f t="shared" si="1630"/>
        <v>0</v>
      </c>
      <c r="BA812" s="109">
        <f t="shared" si="1630"/>
        <v>0</v>
      </c>
      <c r="BB812" s="109">
        <f t="shared" si="1630"/>
        <v>0</v>
      </c>
      <c r="BC812" s="110">
        <f t="shared" si="1630"/>
        <v>0</v>
      </c>
      <c r="BD812" s="106">
        <f t="shared" si="1630"/>
        <v>0</v>
      </c>
      <c r="BE812" s="107">
        <f t="shared" si="1630"/>
        <v>0</v>
      </c>
      <c r="BF812" s="105">
        <f t="shared" si="1619"/>
        <v>0</v>
      </c>
      <c r="BG812" s="106">
        <f t="shared" si="1619"/>
        <v>0</v>
      </c>
      <c r="BH812" s="106">
        <f t="shared" si="1619"/>
        <v>0</v>
      </c>
      <c r="BI812" s="106">
        <f t="shared" si="1619"/>
        <v>0</v>
      </c>
      <c r="BJ812" s="106">
        <f t="shared" si="1619"/>
        <v>14.3</v>
      </c>
      <c r="BK812" s="106">
        <f t="shared" si="1619"/>
        <v>0</v>
      </c>
      <c r="BL812" s="106">
        <f t="shared" si="1619"/>
        <v>0</v>
      </c>
      <c r="BM812" s="132">
        <f t="shared" si="1619"/>
        <v>0</v>
      </c>
      <c r="BN812" s="112">
        <f t="shared" si="1619"/>
        <v>0</v>
      </c>
      <c r="BO812" s="112">
        <f t="shared" si="1619"/>
        <v>0</v>
      </c>
      <c r="BP812" s="112">
        <f t="shared" si="1619"/>
        <v>0</v>
      </c>
      <c r="BQ812" s="110">
        <f t="shared" si="1619"/>
        <v>0</v>
      </c>
      <c r="BR812" s="107">
        <f t="shared" si="1619"/>
        <v>0</v>
      </c>
      <c r="BS812" s="464"/>
      <c r="BT812" s="461"/>
      <c r="BU812" s="392"/>
      <c r="BV812" s="461"/>
      <c r="BW812" s="392"/>
      <c r="BX812" s="392"/>
      <c r="BY812" s="392"/>
      <c r="BZ812" s="461"/>
      <c r="CA812" s="392"/>
      <c r="CB812" s="392"/>
      <c r="CC812" s="392"/>
      <c r="CD812" s="401"/>
      <c r="CE812" s="409"/>
      <c r="CF812" s="133">
        <f t="shared" si="1540"/>
        <v>0</v>
      </c>
      <c r="CG812" s="134">
        <f t="shared" si="1541"/>
        <v>0</v>
      </c>
      <c r="CH812" s="134">
        <f t="shared" si="1542"/>
        <v>0</v>
      </c>
      <c r="CI812" s="134">
        <f t="shared" si="1543"/>
        <v>0</v>
      </c>
      <c r="CJ812" s="134">
        <f t="shared" si="1544"/>
        <v>0</v>
      </c>
      <c r="CK812" s="134">
        <f t="shared" si="1545"/>
        <v>0</v>
      </c>
      <c r="CL812" s="134">
        <f t="shared" si="1546"/>
        <v>0</v>
      </c>
      <c r="CM812" s="134">
        <f t="shared" si="1547"/>
        <v>0</v>
      </c>
      <c r="CN812" s="134">
        <f t="shared" si="1548"/>
        <v>1</v>
      </c>
      <c r="CO812" s="134">
        <f t="shared" si="1549"/>
        <v>0</v>
      </c>
      <c r="CP812" s="134">
        <f t="shared" si="1550"/>
        <v>0</v>
      </c>
      <c r="CQ812" s="134">
        <f t="shared" si="1551"/>
        <v>0</v>
      </c>
      <c r="CR812" s="134">
        <f t="shared" si="1552"/>
        <v>0</v>
      </c>
      <c r="CS812" s="134">
        <f t="shared" si="1553"/>
        <v>0</v>
      </c>
      <c r="CT812" s="115">
        <f t="shared" si="1554"/>
        <v>0</v>
      </c>
      <c r="CU812" s="116">
        <f t="shared" si="1555"/>
        <v>0</v>
      </c>
      <c r="CV812" s="116">
        <f t="shared" si="1556"/>
        <v>0</v>
      </c>
      <c r="CW812" s="116">
        <f t="shared" si="1557"/>
        <v>0</v>
      </c>
      <c r="CX812" s="116">
        <f t="shared" si="1558"/>
        <v>0</v>
      </c>
      <c r="CY812" s="116">
        <f t="shared" si="1559"/>
        <v>0</v>
      </c>
      <c r="CZ812" s="116">
        <f t="shared" si="1560"/>
        <v>0</v>
      </c>
      <c r="DA812" s="116">
        <f t="shared" si="1561"/>
        <v>0</v>
      </c>
      <c r="DB812" s="116">
        <f t="shared" si="1562"/>
        <v>0</v>
      </c>
      <c r="DC812" s="116">
        <f t="shared" si="1563"/>
        <v>0</v>
      </c>
      <c r="DD812" s="116">
        <f t="shared" si="1564"/>
        <v>0</v>
      </c>
      <c r="DE812" s="117">
        <f t="shared" si="1565"/>
        <v>0</v>
      </c>
      <c r="DF812" s="118">
        <f t="shared" si="1567"/>
        <v>46</v>
      </c>
      <c r="DG812" s="106">
        <f t="shared" si="1568"/>
        <v>61.367999999999988</v>
      </c>
      <c r="DH812" s="116">
        <f t="shared" si="1569"/>
        <v>17</v>
      </c>
      <c r="DI812" s="106">
        <f t="shared" si="1570"/>
        <v>72.399999999999991</v>
      </c>
      <c r="DJ812" s="201" t="str">
        <f>IF($D811="","",$D811)</f>
        <v>28</v>
      </c>
      <c r="DK812" s="466"/>
    </row>
    <row r="813" spans="1:115" ht="14.5" customHeight="1" x14ac:dyDescent="0.2">
      <c r="A813" s="390"/>
      <c r="B813" s="457"/>
      <c r="C813" s="135" t="s">
        <v>53</v>
      </c>
      <c r="D813" s="375"/>
      <c r="E813" s="387"/>
      <c r="F813" s="378"/>
      <c r="G813" s="484"/>
      <c r="H813" s="477"/>
      <c r="I813" s="136"/>
      <c r="J813" s="137"/>
      <c r="K813" s="138"/>
      <c r="L813" s="139"/>
      <c r="M813" s="140"/>
      <c r="N813" s="407"/>
      <c r="O813" s="141" t="str">
        <f>IF(OR(AE811="",AE812=""),"",IF(L813&gt;0,ROUND(IF(M813&gt;0,M813,IF(M811&gt;0,ROUND((M811*AE813)/AE811,IF(N811=0,2,IF(N811=0.1,1,0))),IF(M812&gt;0,ROUND((M812*AE813)/AE812,IF(N811=0,2,IF(N811=0.1,1,0))),IF(M813&gt;0,M813,0)))),2),""))</f>
        <v/>
      </c>
      <c r="P813" s="142" t="str">
        <f>IF(I812="Lay",O812*(L812/(L812-1))-O812,IF(I811="Lay",O811*(L811/(L811-1))-O811,IF(OR(L813="",O813=""),"",IF($C813="1/2W",O813/2+O813/2*L813,IF($C813="1/2L",O813/2,(O813*L813-O813)*(1-_xlfn.XLOOKUP(K813,'Fevereiro 2023 - Valor Real'!A3:A15,'Fevereiro 2023 - Valor Real'!C3:C15,0))+O813)))))</f>
        <v/>
      </c>
      <c r="Q813" s="221" t="str">
        <f>IF(K813="","",IF(_xlfn.XLOOKUP(K813,K$4:K812,$DJ$4:DJ812,0,,-1)=DJ813,_xlfn.XLOOKUP(K813,K$4:K812,Q$4:Q812,1,,-1)+1,1))</f>
        <v/>
      </c>
      <c r="R813" s="144" t="str">
        <f>IF(K813="","",_xlfn.XLOOKUP(K813,K$4:K812,R$4:R812,0,,-1)+IF($C813=" ",1,0))</f>
        <v/>
      </c>
      <c r="S813" s="404"/>
      <c r="T813" s="378"/>
      <c r="U813" s="378"/>
      <c r="V813" s="404"/>
      <c r="W813" s="378"/>
      <c r="X813" s="453"/>
      <c r="Y813" s="383"/>
      <c r="Z813" s="384"/>
      <c r="AA813" s="384"/>
      <c r="AB813" s="384"/>
      <c r="AC813" s="384"/>
      <c r="AD813" s="145">
        <f>((L812/(L812-1)-1))</f>
        <v>2.0833333333333335</v>
      </c>
      <c r="AE813" s="146" t="str">
        <f>IF(L813="","",(SUM(((L811-1)*(1-_xlfn.XLOOKUP(K811,'Fevereiro 2023 - Valor Real'!A3:A15,'Fevereiro 2023 - Valor Real'!C3:C15,0))+1),((L812-1)*(1-_xlfn.XLOOKUP(K812,'Fevereiro 2023 - Valor Real'!A3:A15,'Fevereiro 2023 - Valor Real'!C3:C15,0))+1),((L813-1)*(1-_xlfn.XLOOKUP(K813,'Fevereiro 2023 - Valor Real'!A3:A15,'Fevereiro 2023 - Valor Real'!C3:C15,0))+1))/((L813-1)*(1-_xlfn.XLOOKUP(K813,'Fevereiro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Real'!C3:C15,0))+1))/((L811-1)*(1-_xlfn.XLOOKUP(K811,'Fevereiro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Real'!C3:C15,0))+1))/((L812-1)*(1-_xlfn.XLOOKUP(K812,'Fevereiro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Real'!C3:C15,0))+1))/((L813-1)*(1-_xlfn.XLOOKUP(K813,'Fevereiro 2023 - Valor Real'!A3:A15,'Fevereiro 2023 - Valor Real'!C3:C15,0))+1)))</f>
        <v/>
      </c>
      <c r="AF813" s="105">
        <f t="shared" si="1617"/>
        <v>0</v>
      </c>
      <c r="AG813" s="106">
        <f t="shared" si="1617"/>
        <v>0</v>
      </c>
      <c r="AH813" s="106">
        <f t="shared" si="1617"/>
        <v>0</v>
      </c>
      <c r="AI813" s="106">
        <f t="shared" si="1617"/>
        <v>0</v>
      </c>
      <c r="AJ813" s="106">
        <f t="shared" si="1617"/>
        <v>0</v>
      </c>
      <c r="AK813" s="106">
        <f t="shared" si="1617"/>
        <v>0</v>
      </c>
      <c r="AL813" s="106">
        <f t="shared" si="1617"/>
        <v>0</v>
      </c>
      <c r="AM813" s="106">
        <f t="shared" si="1617"/>
        <v>0</v>
      </c>
      <c r="AN813" s="106">
        <f t="shared" si="1617"/>
        <v>0</v>
      </c>
      <c r="AO813" s="106">
        <f t="shared" si="1617"/>
        <v>0</v>
      </c>
      <c r="AP813" s="106">
        <f t="shared" si="1617"/>
        <v>0</v>
      </c>
      <c r="AQ813" s="106">
        <f t="shared" si="1617"/>
        <v>0</v>
      </c>
      <c r="AR813" s="107">
        <f t="shared" si="1617"/>
        <v>0</v>
      </c>
      <c r="AS813" s="105">
        <f>IF(AND($B811=" ",$K813=AS$3),$O813,0)</f>
        <v>0</v>
      </c>
      <c r="AT813" s="106">
        <f>IF(AND($B811=" ",K813=AT$3),$O813,0)</f>
        <v>0</v>
      </c>
      <c r="AU813" s="106">
        <f t="shared" ref="AU813:BE813" si="1631">IF(AND($B811=" ",$K813=AU$3),$O813,0)</f>
        <v>0</v>
      </c>
      <c r="AV813" s="106">
        <f t="shared" si="1631"/>
        <v>0</v>
      </c>
      <c r="AW813" s="106">
        <f t="shared" si="1631"/>
        <v>0</v>
      </c>
      <c r="AX813" s="106">
        <f t="shared" si="1631"/>
        <v>0</v>
      </c>
      <c r="AY813" s="108">
        <f t="shared" si="1631"/>
        <v>0</v>
      </c>
      <c r="AZ813" s="109">
        <f t="shared" si="1631"/>
        <v>0</v>
      </c>
      <c r="BA813" s="109">
        <f t="shared" si="1631"/>
        <v>0</v>
      </c>
      <c r="BB813" s="109">
        <f t="shared" si="1631"/>
        <v>0</v>
      </c>
      <c r="BC813" s="110">
        <f t="shared" si="1631"/>
        <v>0</v>
      </c>
      <c r="BD813" s="106">
        <f t="shared" si="1631"/>
        <v>0</v>
      </c>
      <c r="BE813" s="107">
        <f t="shared" si="1631"/>
        <v>0</v>
      </c>
      <c r="BF813" s="105">
        <f t="shared" si="1619"/>
        <v>0</v>
      </c>
      <c r="BG813" s="106">
        <f t="shared" si="1619"/>
        <v>0</v>
      </c>
      <c r="BH813" s="106">
        <f t="shared" si="1619"/>
        <v>0</v>
      </c>
      <c r="BI813" s="106">
        <f t="shared" si="1619"/>
        <v>0</v>
      </c>
      <c r="BJ813" s="106">
        <f t="shared" si="1619"/>
        <v>0</v>
      </c>
      <c r="BK813" s="106">
        <f t="shared" si="1619"/>
        <v>0</v>
      </c>
      <c r="BL813" s="106">
        <f t="shared" si="1619"/>
        <v>0</v>
      </c>
      <c r="BM813" s="108">
        <f t="shared" si="1619"/>
        <v>0</v>
      </c>
      <c r="BN813" s="109">
        <f t="shared" si="1619"/>
        <v>0</v>
      </c>
      <c r="BO813" s="109">
        <f t="shared" si="1619"/>
        <v>0</v>
      </c>
      <c r="BP813" s="109">
        <f t="shared" si="1619"/>
        <v>0</v>
      </c>
      <c r="BQ813" s="110">
        <f t="shared" si="1619"/>
        <v>0</v>
      </c>
      <c r="BR813" s="107">
        <f t="shared" si="1619"/>
        <v>0</v>
      </c>
      <c r="BS813" s="464"/>
      <c r="BT813" s="461"/>
      <c r="BU813" s="392"/>
      <c r="BV813" s="461"/>
      <c r="BW813" s="392"/>
      <c r="BX813" s="392"/>
      <c r="BY813" s="392"/>
      <c r="BZ813" s="461"/>
      <c r="CA813" s="392"/>
      <c r="CB813" s="392"/>
      <c r="CC813" s="392"/>
      <c r="CD813" s="401"/>
      <c r="CE813" s="409"/>
      <c r="CF813" s="133">
        <f t="shared" si="1540"/>
        <v>0</v>
      </c>
      <c r="CG813" s="134">
        <f t="shared" si="1541"/>
        <v>0</v>
      </c>
      <c r="CH813" s="134">
        <f t="shared" si="1542"/>
        <v>0</v>
      </c>
      <c r="CI813" s="134">
        <f t="shared" si="1543"/>
        <v>0</v>
      </c>
      <c r="CJ813" s="134">
        <f t="shared" si="1544"/>
        <v>0</v>
      </c>
      <c r="CK813" s="134">
        <f t="shared" si="1545"/>
        <v>0</v>
      </c>
      <c r="CL813" s="134">
        <f t="shared" si="1546"/>
        <v>0</v>
      </c>
      <c r="CM813" s="134">
        <f t="shared" si="1547"/>
        <v>0</v>
      </c>
      <c r="CN813" s="134">
        <f t="shared" si="1548"/>
        <v>0</v>
      </c>
      <c r="CO813" s="134">
        <f t="shared" si="1549"/>
        <v>0</v>
      </c>
      <c r="CP813" s="134">
        <f t="shared" si="1550"/>
        <v>0</v>
      </c>
      <c r="CQ813" s="134">
        <f t="shared" si="1551"/>
        <v>0</v>
      </c>
      <c r="CR813" s="134">
        <f t="shared" si="1552"/>
        <v>0</v>
      </c>
      <c r="CS813" s="134">
        <f t="shared" si="1553"/>
        <v>0</v>
      </c>
      <c r="CT813" s="115">
        <f t="shared" si="1554"/>
        <v>0</v>
      </c>
      <c r="CU813" s="116">
        <f t="shared" si="1555"/>
        <v>0</v>
      </c>
      <c r="CV813" s="116">
        <f t="shared" si="1556"/>
        <v>0</v>
      </c>
      <c r="CW813" s="116">
        <f t="shared" si="1557"/>
        <v>0</v>
      </c>
      <c r="CX813" s="116">
        <f t="shared" si="1558"/>
        <v>0</v>
      </c>
      <c r="CY813" s="116">
        <f t="shared" si="1559"/>
        <v>0</v>
      </c>
      <c r="CZ813" s="116">
        <f t="shared" si="1560"/>
        <v>0</v>
      </c>
      <c r="DA813" s="116">
        <f t="shared" si="1561"/>
        <v>0</v>
      </c>
      <c r="DB813" s="116">
        <f t="shared" si="1562"/>
        <v>0</v>
      </c>
      <c r="DC813" s="116">
        <f t="shared" si="1563"/>
        <v>0</v>
      </c>
      <c r="DD813" s="116">
        <f t="shared" si="1564"/>
        <v>0</v>
      </c>
      <c r="DE813" s="117">
        <f t="shared" si="1565"/>
        <v>0</v>
      </c>
      <c r="DF813" s="118">
        <f t="shared" si="1567"/>
        <v>46</v>
      </c>
      <c r="DG813" s="106">
        <f t="shared" si="1568"/>
        <v>61.367999999999988</v>
      </c>
      <c r="DH813" s="116">
        <f t="shared" si="1569"/>
        <v>17</v>
      </c>
      <c r="DI813" s="106">
        <f t="shared" si="1570"/>
        <v>72.399999999999991</v>
      </c>
      <c r="DJ813" s="201" t="str">
        <f>IF($D811="","",$D811)</f>
        <v>28</v>
      </c>
      <c r="DK813" s="466"/>
    </row>
    <row r="814" spans="1:115" ht="14.5" customHeight="1" x14ac:dyDescent="0.2">
      <c r="A814" s="487">
        <f>$A811+1</f>
        <v>271</v>
      </c>
      <c r="B814" s="506" t="str">
        <f>IF(OR(C814="W",C815="W",C816="W",C814="1/2W",C815="1/2W",C816="1/2W",C814="1/2L",C815="1/2L",C816="1/2L"),"OK",IF(OR(C814="L",C815="L",C816="L"),"LOSS",IF(OR(C814="X",C815="X",C816="X"),"Anulado"," ")))</f>
        <v>OK</v>
      </c>
      <c r="C814" s="147" t="s">
        <v>55</v>
      </c>
      <c r="D814" s="494" t="str">
        <f>IF(G814="","",$D811)</f>
        <v>28</v>
      </c>
      <c r="E814" s="511" t="str">
        <f>IF(G814=""," ","– "&amp;COUNTIF(D$4:D816,$D814))</f>
        <v>– 2</v>
      </c>
      <c r="F814" s="510" t="str">
        <f ca="1">IF(G814="","",IF(OR(AND($C814&lt;&gt;" ",$C815=" "),AND($C815&lt;&gt;" ",$C814=" "),AND(L816&gt;0,OR(AND($C816&lt;&gt;" ",OR($C814=" ",$C815=" ")),AND($C816=" ",OR($C814&lt;&gt;" ",$C815&lt;&gt;" "))))),IF(SUM(F$4:F813)=0,1,LARGE(F$4:F813,1)+1),IF(MONTH(G814)=MONTH(TODAY()),IF(AND(DAY(G814)&lt;DAY(TODAY()),$B814=" "),IF(SUM(F$4:F813)=0,1,LARGE(F$4:F813,1)+1),IF($B814=" ",IF(AND(DAY(G814)=DAY(TODAY()),HOUR(G814)&lt;=HOUR(NOW())+1),IF(AND(HOUR(G814)+2&lt;=HOUR(NOW()),DAY(G814)&lt;=DAY(TODAY()),MINUTE(G814)&lt;=MINUTE(NOW())),IF(SUM(F$4:F813)=0,1,LARGE(F$4:F813,1)+1),IF(OR(MINUTE(G814)&lt;=MINUTE(NOW()),HOUR(G814)&lt;=HOUR(NOW())),"!!!","")),""),"")),"")))</f>
        <v/>
      </c>
      <c r="G814" s="517">
        <v>45014.65625</v>
      </c>
      <c r="H814" s="516" t="s">
        <v>276</v>
      </c>
      <c r="I814" s="222" t="s">
        <v>51</v>
      </c>
      <c r="J814" s="223">
        <v>1</v>
      </c>
      <c r="K814" s="224" t="s">
        <v>43</v>
      </c>
      <c r="L814" s="225">
        <v>1.98</v>
      </c>
      <c r="M814" s="226"/>
      <c r="N814" s="503">
        <v>0</v>
      </c>
      <c r="O814" s="153">
        <f>IF(OR(AE814="",AE815=""),"",ROUND(IF(L816&gt;0,IF(M814&gt;0,M814,IF(M815&gt;0,ROUND((M815*AE814)/AE815,IF(N814=0,2,IF(N814=0.1,1,0))),ROUND((M816*AE814)/AE816,IF(N814=0,2,IF(N814=0.1,1,0))))),IF(M814&gt;0,M814,ROUND((M815*AE814)/AE815,IF(N814=0,2,IF(N814=0.1,1,0))))),2))</f>
        <v>10.49</v>
      </c>
      <c r="P814" s="227">
        <f>IF(OR(L814="",O814=""),"",IF($C814="1/2W",O814/2+O814/2*L814,IF($C814="1/2L",O814/2,IF(I814="Lay",(O814*(L814/(L814-1))-O814)*(1-_xlfn.XLOOKUP(K814,'Fevereiro 2023 - Valor Real'!A3:A15,'Fevereiro 2023 - Valor Real'!C3:C15,0))+O814,(O814*L814-O814)*(1-_xlfn.XLOOKUP(K814,'Fevereiro 2023 - Valor Real'!A3:A15,'Fevereiro 2023 - Valor Real'!C3:C15,0))+O814))))</f>
        <v>20.770199999999999</v>
      </c>
      <c r="Q814" s="228">
        <f>IF(K814="","",IF(_xlfn.XLOOKUP(K814,K$4:K813,$DJ$4:DJ813,0,,-1)=DJ814,_xlfn.XLOOKUP(K814,K$4:K813,Q$4:Q813,1,,-1)+1,1))</f>
        <v>1</v>
      </c>
      <c r="R814" s="229">
        <f>IF(K814="","",_xlfn.XLOOKUP(K814,K$4:K813,R$4:R813,0,,-1)+IF($C814=" ",1,0))</f>
        <v>0</v>
      </c>
      <c r="S814" s="501">
        <f>IF($B814="Anulado",0,ROUND(IF(OR($B814="LOSS",$B814="OK"),IF(OR($C814="W",$C814="1/2W",$C814="1/2L"),P814-O814,IF($C814="L",-O814,0))+IF(OR($C815="W",$C815="1/2W",$C815="1/2L"),P815-O815,IF($C815="L",-O815,0))+IF(OR($C816="W",$C816="1/2W",$C816="1/2L"),P816-O816,IF($C816="L",-O816,0)),IF(AND(OR($C814="W",$C814="1/2W",$C814="1/2L"),C815="W"),P814+P815-SUM(O814:O816)+_xlfn.XLOOKUP("X",C814:C816,O814:O816,0),IF(AND(C814=TRUE,C816="W"),P814+P816-SUM(O814:O816),IF(AND(C815="W",C816="W"),P815+P816-SUM(O814:O816)+_xlfn.XLOOKUP("X",C814:C816,O814:O816,0),IF(L816&gt;0,IF(OR($C814="W",$C814="1/2W",$C814="1/2L"),P814-SUM(O814:O816)+_xlfn.XLOOKUP("X",C814:C816,O814:O816,0),IF(OR($C814="W",$C814="1/2W",$C814="1/2L"),P815-SUM(O814:O816)+_xlfn.XLOOKUP("X",C814:C816,O814:O816,0),IF(OR($C814="W",$C814="1/2W",$C814="1/2L"),P816-SUM(O814:O816)+_xlfn.XLOOKUP("X",C814:C816,O814:O816,0),IF(SUM(P814:P816)/3-SUM(O814:O816)+_xlfn.XLOOKUP("X",C814:C816,O814:O816,0)&gt;0,SUM(P814:P816)/3-SUM(O814:O816)+_xlfn.XLOOKUP("X",C814:C816,O814:O816,0),LARGE(P814:P816,1)-SUM(O814:O816))))),IF(OR($C814="W",$C814="1/2W",$C814="1/2L"),P814-SUM(O814:O815)+_xlfn.XLOOKUP("X",C814:C816,O814:O816,0),IF(OR($C814="W",$C814="1/2W",$C814="1/2L"),P815-SUM(O814:O815)+_xlfn.XLOOKUP("X",C814:C816,O814:O816,0),SUM(P814:P815)/2-SUM(O814:O815)+_xlfn.XLOOKUP("X",C814:C816,O814:O816,0)))))))),2))</f>
        <v>0.76</v>
      </c>
      <c r="T814" s="486">
        <f>IF(S814=0,0,S814/SUM(O814:O816))</f>
        <v>3.796203796203796E-2</v>
      </c>
      <c r="U814" s="496">
        <f>IF($D814=$D811,IF(OR($B814="LOSS",$B814="OK",$B814="Anulada"),S814,0)+U811,IF(OR($B814="LOSS",$B814="OK",$B814="Anulada"),S814,0))</f>
        <v>2.06</v>
      </c>
      <c r="V814" s="496">
        <f>IF($D814="",0,IF($D814=$D811,IF($B814=" ",IF(I816="",IF(OR(AND(I814="DNB1",I815="DNB2"),AND(OR(I814="DNB1",I814="DNB2"),J815=0),AND(OR(I815="DNB1",I815="DNB2"),J814=0),AND(I814="DNB2",I815="DNB1"),AND(IF(J814=0,(J814+1)/ROUND(J814+1,0),J814/ROUND(J814,0))=1,IF(J815=0,(J815+1)/ROUND(IF(J815="",0,J815)+1,0),IF(J815="",0,J815)/ROUND(IF(J815="",1,J815),0))=1,OR(J814&lt;&gt;""),J815&lt;&gt;"")),0,IF(S814&lt;0,IF(I816="",SMALL(P814:P815,1)-SUM(O814:O815),0),SMALL(P814:P815,1)-SUM(O814:O815))),IF(S814&lt;0,IF(I816="",SMALL(P814:P816,1)-SUM(O814:O816),0),LARGE(P814:P816,1)-SUM(O814:O816))),S814)+V811,IF(I816="",IF(OR(AND(I814="DNB1",I815="DNB2"),AND(OR(I814="DNB1",I814="DNB2"),J815=0),AND(OR(I815="DNB1",I815="DNB2"),J814=0),AND(I814="DNB2",I815="DNB1"),AND(IF(J814=0,(J814+1)/ROUND(J814+1,0),J814/ROUND(J814,0))=1,IF(J815=0,(IF(J815="",0,J815)+1)/ROUND(IF(J815="",0,J815)+1,0),IF(J815="",0,J815)/ROUND(IF(J815="",0,J815)+1,0))=1,OR(J814&lt;&gt;""),J815&lt;&gt;"")),0,IF(S814&lt;0,IF(I816="",SMALL(P814:P815,1)-SUM(O814:O815),0),SMALL(P814:P816,1)-SUM(O814:O816))),IF(S814&lt;0,IF(I816="",SMALL(P814:P816,1)-SUM(O814:O816),0),LARGE(P814:P816,1)-SUM(O814:O816)))))</f>
        <v>2.0279999999999969</v>
      </c>
      <c r="W814" s="496">
        <f>IF($D814=$D811,IF(S814&lt;0,IF(I816="",S814,0),S814)+W811,S814)</f>
        <v>2.06</v>
      </c>
      <c r="X814" s="505" t="str">
        <f>IF(OR(SUM(R814:R816)=0,V814=W814),ROUND(IF(W814=0,0,W814/Y814)*100,2)&amp;"%",ROUND(IF(V814=0,0,V814/Y814)*100,2)&amp;"% a "&amp;ROUND(IF(W814=0,0,W814/Y814)*100,2)&amp;"%")</f>
        <v>5,17%</v>
      </c>
      <c r="Y814" s="497">
        <f>IF($D814=$D811,Y811+SUM(O814:O816),SUM(O814:O816))</f>
        <v>39.879999999999995</v>
      </c>
      <c r="Z814" s="496">
        <f>IF($B814=" ",SUM(O814:O816),0)+Z811</f>
        <v>0</v>
      </c>
      <c r="AA814" s="496">
        <f>IF(G814="","",IF($B814="Anulado",LARGE(P814:P816,1)-SUM(O814:O816)+AA811,AA811))</f>
        <v>13.381099999999991</v>
      </c>
      <c r="AB814" s="496">
        <f>IF($D814="","",AB811+S814)</f>
        <v>897.07000000000073</v>
      </c>
      <c r="AC814" s="499">
        <f ca="1">IF($D814="","",IF($B814=" ",IF(DAY(G814)=DAY(TODAY()),1+AC811,0+AC811),0+AC811))</f>
        <v>0</v>
      </c>
      <c r="AD814" s="157">
        <f>(((L815/(L815-1)-1)*(1-_xlfn.XLOOKUP(K815,'Fevereiro 2023 - Valor Real'!A3:A15,'Fevereiro 2023 - Valor Real'!C3:C15,0))+1))/(((L814-1)*(1-_xlfn.XLOOKUP(K814,'Fevereiro 2023 - Valor Real'!A3:A15,'Fevereiro 2023 - Valor Real'!C3:C15,0))+1)+((L815/(L815-1)-1)*(1-_xlfn.XLOOKUP(K815,'Fevereiro 2023 - Valor Real'!A3:A15,'Fevereiro 2023 - Valor Real'!C3:C15,0))+1))</f>
        <v>0.48268532459481001</v>
      </c>
      <c r="AE814" s="158">
        <f>IF(L814="","",IF(L816&gt;0,(SUM(((L814-1)*(1-_xlfn.XLOOKUP(K814,'Fevereiro 2023 - Valor Real'!A3:A15,'Fevereiro 2023 - Valor Real'!C3:C15,0))+1),((L815-1)*(1-_xlfn.XLOOKUP(K815,'Fevereiro 2023 - Valor Real'!A3:A15,'Fevereiro 2023 - Valor Real'!C3:C15,0))+1),((L816-1)*(1-_xlfn.XLOOKUP(K816,'Fevereiro 2023 - Valor Real'!A3:A15,'Fevereiro 2023 - Valor Real'!C3:C15,0))+1))/((L814-1)*(1-_xlfn.XLOOKUP(K814,'Fevereiro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Real'!C3:C15,0))+1))/((L814-1)*(1-_xlfn.XLOOKUP(K814,'Fevereiro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Real'!C3:C15,0))+1))/((L815-1)*(1-_xlfn.XLOOKUP(K815,'Fevereiro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Real'!C3:C15,0))+1))/((L816-1)*(1-_xlfn.XLOOKUP(K816,'Fevereiro 2023 - Valor Real'!A3:A15,'Fevereiro 2023 - Valor Real'!C3:C15,0))+1)),IF(I814="Lay",IF(I815="Lay",((L815/(L815-1)-1)*(1-_xlfn.XLOOKUP(K815,'Fevereiro 2023 - Valor Real'!A3:A15,'Fevereiro 2023 - Valor Real'!C3:C15,0))+1)/(((L815/(L815-1)-1)*(1-_xlfn.XLOOKUP(K815,'Fevereiro 2023 - Valor Real'!A3:A15,'Fevereiro 2023 - Valor Real'!C3:C15,0))+1)+((L814/(L814-1)-1)*(1-_xlfn.XLOOKUP(K814,'Fevereiro 2023 - Valor Real'!A3:A15,'Fevereiro 2023 - Valor Real'!C3:C15,0))+1)),((L815-1)*(1-_xlfn.XLOOKUP(K815,'Fevereiro 2023 - Valor Real'!A3:A15,'Fevereiro 2023 - Valor Real'!C3:C15,0))+1)/(((L815-1)*(1-_xlfn.XLOOKUP(K815,'Fevereiro 2023 - Valor Real'!A3:A15,'Fevereiro 2023 - Valor Real'!C3:C15,0))+1)+((L814/(L814-1)-1)*(1-_xlfn.XLOOKUP(K814,'Fevereiro 2023 - Valor Real'!A3:A15,'Fevereiro 2023 - Valor Real'!C3:C15,0))+1))),IF(I815="Lay",(((L815/(L815-1)-1)*(1-_xlfn.XLOOKUP(K815,'Fevereiro 2023 - Valor Real'!A3:A15,'Fevereiro 2023 - Valor Real'!C3:C15,0))+1))/(((L814-1)*(1-_xlfn.XLOOKUP(K814,'Fevereiro 2023 - Valor Real'!A3:A15,'Fevereiro 2023 - Valor Real'!C3:C15,0))+1)+((L815/(L815-1)-1)*(1-_xlfn.XLOOKUP(K815,'Fevereiro 2023 - Valor Real'!A3:A15,'Fevereiro 2023 - Valor Real'!C3:C15,0))+1)),((L815-1)*(1-_xlfn.XLOOKUP(K815,'Fevereiro 2023 - Valor Real'!A3:A15,'Fevereiro 2023 - Valor Real'!C3:C15,0))+1)/(((L815-1)*(1-_xlfn.XLOOKUP(K815,'Fevereiro 2023 - Valor Real'!A3:A15,'Fevereiro 2023 - Valor Real'!C3:C15,0))+1)+((L814-1)*(1-_xlfn.XLOOKUP(K814,'Fevereiro 2023 - Valor Real'!A3:A15,'Fevereiro 2023 - Valor Real'!C3:C15,0))+1))))))</f>
        <v>0.52403846153846156</v>
      </c>
      <c r="AF814" s="66">
        <f t="shared" ref="AF814:AR823" si="1632">IF($K814=AF$3,ROUND(IF(OR($C814="W",$C814="1/2W",$C814="1/2L"),$P814-$O814,IF($C814="X",0,-$O814)),2),0)</f>
        <v>0</v>
      </c>
      <c r="AG814" s="67">
        <f t="shared" si="1632"/>
        <v>0</v>
      </c>
      <c r="AH814" s="67">
        <f t="shared" si="1632"/>
        <v>0</v>
      </c>
      <c r="AI814" s="67">
        <f t="shared" si="1632"/>
        <v>0</v>
      </c>
      <c r="AJ814" s="67">
        <f t="shared" si="1632"/>
        <v>0</v>
      </c>
      <c r="AK814" s="67">
        <f t="shared" si="1632"/>
        <v>0</v>
      </c>
      <c r="AL814" s="67">
        <f t="shared" si="1632"/>
        <v>0</v>
      </c>
      <c r="AM814" s="67">
        <f t="shared" si="1632"/>
        <v>-10.49</v>
      </c>
      <c r="AN814" s="67">
        <f t="shared" si="1632"/>
        <v>0</v>
      </c>
      <c r="AO814" s="67">
        <f t="shared" si="1632"/>
        <v>0</v>
      </c>
      <c r="AP814" s="67">
        <f t="shared" si="1632"/>
        <v>0</v>
      </c>
      <c r="AQ814" s="67">
        <f t="shared" si="1632"/>
        <v>0</v>
      </c>
      <c r="AR814" s="68">
        <f t="shared" si="1632"/>
        <v>0</v>
      </c>
      <c r="AS814" s="66">
        <f t="shared" ref="AS814:BE814" si="1633">IF(AND($B814=" ",$K814=AS$3),$O814,0)</f>
        <v>0</v>
      </c>
      <c r="AT814" s="67">
        <f t="shared" si="1633"/>
        <v>0</v>
      </c>
      <c r="AU814" s="67">
        <f t="shared" si="1633"/>
        <v>0</v>
      </c>
      <c r="AV814" s="67">
        <f t="shared" si="1633"/>
        <v>0</v>
      </c>
      <c r="AW814" s="67">
        <f t="shared" si="1633"/>
        <v>0</v>
      </c>
      <c r="AX814" s="67">
        <f t="shared" si="1633"/>
        <v>0</v>
      </c>
      <c r="AY814" s="69">
        <f t="shared" si="1633"/>
        <v>0</v>
      </c>
      <c r="AZ814" s="70">
        <f t="shared" si="1633"/>
        <v>0</v>
      </c>
      <c r="BA814" s="70">
        <f t="shared" si="1633"/>
        <v>0</v>
      </c>
      <c r="BB814" s="70">
        <f t="shared" si="1633"/>
        <v>0</v>
      </c>
      <c r="BC814" s="71">
        <f t="shared" si="1633"/>
        <v>0</v>
      </c>
      <c r="BD814" s="67">
        <f t="shared" si="1633"/>
        <v>0</v>
      </c>
      <c r="BE814" s="68">
        <f t="shared" si="1633"/>
        <v>0</v>
      </c>
      <c r="BF814" s="230">
        <f t="shared" ref="BF814:BR823" si="1634">IF($K814=BF$3,IF($C814="X",0,$O814),0)</f>
        <v>0</v>
      </c>
      <c r="BG814" s="67">
        <f t="shared" si="1634"/>
        <v>0</v>
      </c>
      <c r="BH814" s="67">
        <f t="shared" si="1634"/>
        <v>0</v>
      </c>
      <c r="BI814" s="67">
        <f t="shared" si="1634"/>
        <v>0</v>
      </c>
      <c r="BJ814" s="67">
        <f t="shared" si="1634"/>
        <v>0</v>
      </c>
      <c r="BK814" s="67">
        <f t="shared" si="1634"/>
        <v>0</v>
      </c>
      <c r="BL814" s="67">
        <f t="shared" si="1634"/>
        <v>0</v>
      </c>
      <c r="BM814" s="69">
        <f t="shared" si="1634"/>
        <v>10.49</v>
      </c>
      <c r="BN814" s="70">
        <f t="shared" si="1634"/>
        <v>0</v>
      </c>
      <c r="BO814" s="70">
        <f t="shared" si="1634"/>
        <v>0</v>
      </c>
      <c r="BP814" s="70">
        <f t="shared" si="1634"/>
        <v>0</v>
      </c>
      <c r="BQ814" s="71">
        <f t="shared" si="1634"/>
        <v>0</v>
      </c>
      <c r="BR814" s="68">
        <f t="shared" si="1634"/>
        <v>0</v>
      </c>
      <c r="BS814" s="490">
        <f>IF($B814="LOSS",IF(AND($K814=BS$3,$C814="L"),-$O814,0)+IF(AND($K815=BS$3,$C815="L"),-$O815,0)+IF(AND($K816=BS$3,$C816="L"),-$O816,0),IF(OR(AND($K814=BS$3,OR($C814="W",$C814="1/2W")),AND($K815=BS$3,OR($C815="W",$C815="1/2W")),AND($K816=BS$3,OR($C816="W",$C816="1/2W"))),$S814,0))</f>
        <v>0</v>
      </c>
      <c r="BT814" s="488">
        <f>IF($B814="LOSS",IF(AND($K814=BT$3,$C814="L"),-$O814,0)+IF(AND($K815=BT$3,$C815="L"),-$O815,0)+IF(AND($K815=BT$3,$C816="L"),-$O816,0),IF(OR(AND($K815=BT$3,OR($C814="W",$C814="1/2W")),AND($K815=BT$3,OR($C815="W",$C815="1/2W")),AND($K815=BT$3,OR($C816="W",$C816="1/2W"))),$S814,0))</f>
        <v>0</v>
      </c>
      <c r="BU814" s="488">
        <f>IF($B814="LOSS",IF(AND($K814=BU$3,$C814="L"),-$O814,0)+IF(AND($K815=BU$3,$C815="L"),-$O815,0)+IF(AND($K815=BU$3,$C816="L"),-$O816,0),IF(OR(AND($K815=BU$3,OR($C814="W",$C814="1/2W")),AND($K815=BU$3,OR($C815="W",$C815="1/2W")),AND($K815=BU$3,OR($C816="W",$C816="1/2W"))),$S814,0))</f>
        <v>0</v>
      </c>
      <c r="BV814" s="488">
        <f t="shared" ref="BV814:CE814" si="1635">IF($B814="LOSS",IF(AND($K814=BV$3,$C814="L"),-$O814,0)+IF(AND($K815=BV$3,$C815="L"),-$O815,0)+IF(AND($K816=BV$3,$C816="L"),-$O816,0),IF(OR(AND($K814=BV$3,OR($C814="W",$C814="1/2W")),AND($K815=BV$3,OR($C815="W",$C815="1/2W")),AND($K816=BV$3,OR($C816="W",$C816="1/2W"))),$S814,0))</f>
        <v>0</v>
      </c>
      <c r="BW814" s="488">
        <f t="shared" si="1635"/>
        <v>0.76</v>
      </c>
      <c r="BX814" s="488">
        <f t="shared" si="1635"/>
        <v>0</v>
      </c>
      <c r="BY814" s="488">
        <f t="shared" si="1635"/>
        <v>0</v>
      </c>
      <c r="BZ814" s="498">
        <f t="shared" si="1635"/>
        <v>0</v>
      </c>
      <c r="CA814" s="498">
        <f t="shared" si="1635"/>
        <v>0</v>
      </c>
      <c r="CB814" s="498">
        <f t="shared" si="1635"/>
        <v>0</v>
      </c>
      <c r="CC814" s="498">
        <f t="shared" si="1635"/>
        <v>0</v>
      </c>
      <c r="CD814" s="500">
        <f t="shared" si="1635"/>
        <v>0</v>
      </c>
      <c r="CE814" s="504">
        <f t="shared" si="1635"/>
        <v>0</v>
      </c>
      <c r="CF814" s="160">
        <f t="shared" si="1540"/>
        <v>0</v>
      </c>
      <c r="CG814" s="161">
        <f t="shared" si="1541"/>
        <v>0</v>
      </c>
      <c r="CH814" s="161">
        <f t="shared" si="1542"/>
        <v>0</v>
      </c>
      <c r="CI814" s="161">
        <f t="shared" si="1543"/>
        <v>0</v>
      </c>
      <c r="CJ814" s="161">
        <f t="shared" si="1544"/>
        <v>0</v>
      </c>
      <c r="CK814" s="161">
        <f t="shared" si="1545"/>
        <v>0</v>
      </c>
      <c r="CL814" s="161">
        <f t="shared" si="1546"/>
        <v>0</v>
      </c>
      <c r="CM814" s="161">
        <f t="shared" si="1547"/>
        <v>0</v>
      </c>
      <c r="CN814" s="161">
        <f t="shared" si="1548"/>
        <v>0</v>
      </c>
      <c r="CO814" s="161">
        <f t="shared" si="1549"/>
        <v>0</v>
      </c>
      <c r="CP814" s="161">
        <f t="shared" si="1550"/>
        <v>0</v>
      </c>
      <c r="CQ814" s="161">
        <f t="shared" si="1551"/>
        <v>0</v>
      </c>
      <c r="CR814" s="161">
        <f t="shared" si="1552"/>
        <v>0</v>
      </c>
      <c r="CS814" s="161">
        <f t="shared" si="1553"/>
        <v>0</v>
      </c>
      <c r="CT814" s="75">
        <f t="shared" si="1554"/>
        <v>0</v>
      </c>
      <c r="CU814" s="76">
        <f t="shared" si="1555"/>
        <v>1</v>
      </c>
      <c r="CV814" s="76">
        <f t="shared" si="1556"/>
        <v>0</v>
      </c>
      <c r="CW814" s="76">
        <f t="shared" si="1557"/>
        <v>0</v>
      </c>
      <c r="CX814" s="76">
        <f t="shared" si="1558"/>
        <v>0</v>
      </c>
      <c r="CY814" s="76">
        <f t="shared" si="1559"/>
        <v>0</v>
      </c>
      <c r="CZ814" s="76">
        <f t="shared" si="1560"/>
        <v>0</v>
      </c>
      <c r="DA814" s="76">
        <f t="shared" si="1561"/>
        <v>0</v>
      </c>
      <c r="DB814" s="76">
        <f t="shared" si="1562"/>
        <v>0</v>
      </c>
      <c r="DC814" s="76">
        <f t="shared" si="1563"/>
        <v>0</v>
      </c>
      <c r="DD814" s="76">
        <f t="shared" si="1564"/>
        <v>0</v>
      </c>
      <c r="DE814" s="77">
        <f t="shared" si="1565"/>
        <v>0</v>
      </c>
      <c r="DF814" s="73">
        <f t="shared" si="1567"/>
        <v>46</v>
      </c>
      <c r="DG814" s="67">
        <f t="shared" si="1568"/>
        <v>61.367999999999988</v>
      </c>
      <c r="DH814" s="76">
        <f t="shared" si="1569"/>
        <v>17</v>
      </c>
      <c r="DI814" s="67">
        <f t="shared" si="1570"/>
        <v>72.399999999999991</v>
      </c>
      <c r="DJ814" s="202" t="str">
        <f>IF($D814="","",$D814)</f>
        <v>28</v>
      </c>
      <c r="DK814" s="492">
        <f>IF(AND($B814=" ",$D814&lt;&gt;""),1,0)</f>
        <v>0</v>
      </c>
    </row>
    <row r="815" spans="1:115" ht="14.5" customHeight="1" x14ac:dyDescent="0.2">
      <c r="A815" s="389"/>
      <c r="B815" s="456"/>
      <c r="C815" s="53" t="s">
        <v>54</v>
      </c>
      <c r="D815" s="374"/>
      <c r="E815" s="386"/>
      <c r="F815" s="377"/>
      <c r="G815" s="483"/>
      <c r="H815" s="476"/>
      <c r="I815" s="55" t="s">
        <v>52</v>
      </c>
      <c r="J815" s="231">
        <f>IF(OR(I814="TO",I814="TU",I814="TO1",I814="TU1",I814="TO2",I814="TU2"),J814,IF(OR(I814="AH1",I814="AH2"),IF(OR(I815="AH1",I815="AH2"),-J814,IF(OR(I815="EH1",I815="EH2"),-J814+0.5,"")),IF(OR(I814="EH1",I814="EH2"),IF(OR(I815="AH1",I815="AH2"),-J814+0.5,IF(OR(I815="EH1",I815="EH2"),-J814+1,"")),IF(AND(OR(I814="DNB1",I814="DNB2"),OR(I815="AH1",I815="AH2")),0,IF(AND(I814="Not ScoreBoth",OR(I815="TO1",I815="TO2")),0.5,"")))))</f>
        <v>1</v>
      </c>
      <c r="K815" s="232" t="s">
        <v>40</v>
      </c>
      <c r="L815" s="58">
        <v>2.1800000000000002</v>
      </c>
      <c r="M815" s="59">
        <v>9.5299999999999994</v>
      </c>
      <c r="N815" s="406"/>
      <c r="O815" s="60">
        <f>IF(OR(AE814="",AE815=""),"",ROUND(IF(L816&gt;0,IF(M815&gt;0,M815,IF(M814&gt;0,IF(N814=TRUE,ROUND((M814*AE815)/AE814,0),(M814*AE815)/AE814),IF(M815&gt;0,ROUND(M815,IF(N814=0,2,IF(N814=0.1,1,0))),IF(M816&gt;0,ROUND(O816*AE815/AE816,IF(N814=0,2,IF(N814=0.1,1,0))),0)))),IF(M815&gt;0,M815,ROUND((M814*AE815)/AE814,IF(N814=0,2,IF(N814=0.1,1,0))))),2))</f>
        <v>9.5299999999999994</v>
      </c>
      <c r="P815" s="61">
        <f>IF(OR(L815="",O815=""),"",IF($C815="1/2W",O815/2+O815/2*L815,IF($C815="1/2L",O815/2,IF(I815="Lay",((O815*(L815/(L815-1)))-O815)*(1-_xlfn.XLOOKUP(K815,'Fevereiro 2023 - Valor Real'!A3:A15,'Fevereiro 2023 - Valor Real'!C3:C15,0))+O815,(O815*L815-O815)*(1-_xlfn.XLOOKUP(K815,'Fevereiro 2023 - Valor Real'!A3:A15,'Fevereiro 2023 - Valor Real'!C3:C15,0))+O815))))</f>
        <v>20.775400000000001</v>
      </c>
      <c r="Q815" s="233">
        <f>IF(K815="","",IF(_xlfn.XLOOKUP(K815,K$4:K814,$DJ$4:DJ814,0,,-1)=DJ815,_xlfn.XLOOKUP(K815,K$4:K814,Q$4:Q814,1,,-1)+1,1))</f>
        <v>2</v>
      </c>
      <c r="R815" s="234">
        <f>IF(K815="","",_xlfn.XLOOKUP(K815,K$4:K814,R$4:R814,0,,-1)+IF($C815=" ",1,0))</f>
        <v>0</v>
      </c>
      <c r="S815" s="403"/>
      <c r="T815" s="380"/>
      <c r="U815" s="380"/>
      <c r="V815" s="481"/>
      <c r="W815" s="380"/>
      <c r="X815" s="452"/>
      <c r="Y815" s="383"/>
      <c r="Z815" s="384"/>
      <c r="AA815" s="384"/>
      <c r="AB815" s="384"/>
      <c r="AC815" s="384"/>
      <c r="AD815" s="64">
        <f>(((L815/(L815-1)-1)*(1-_xlfn.XLOOKUP(K815,'Fevereiro 2023 - Valor Real'!A3:A15,'Fevereiro 2023 - Valor Real'!C3:C15,0))+1))</f>
        <v>1.847457627118644</v>
      </c>
      <c r="AE815" s="65">
        <f>IF(L815="","",IF(L816&gt;0,(SUM(((L814-1)*(1-_xlfn.XLOOKUP(K814,'Fevereiro 2023 - Valor Real'!A3:A15,'Fevereiro 2023 - Valor Real'!C3:C15,0))+1),((L815-1)*(1-_xlfn.XLOOKUP(K815,'Fevereiro 2023 - Valor Real'!A3:A15,'Fevereiro 2023 - Valor Real'!C3:C15,0))+1),((L816-1)*(1-_xlfn.XLOOKUP(K816,'Fevereiro 2023 - Valor Real'!A3:A15,'Fevereiro 2023 - Valor Real'!C3:C15,0))+1))/((L815-1)*(1-_xlfn.XLOOKUP(K815,'Fevereiro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Real'!C3:C15,0))+1))/((L814-1)*(1-_xlfn.XLOOKUP(K814,'Fevereiro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Real'!C3:C15,0))+1))/((L815-1)*(1-_xlfn.XLOOKUP(K815,'Fevereiro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Real'!C3:C15,0))+1))/((L816-1)*(1-_xlfn.XLOOKUP(K816,'Fevereiro 2023 - Valor Real'!A3:A15,'Fevereiro 2023 - Valor Real'!C3:C15,0))+1)),IF(I815="Lay",IF(I814="Lay",((L814/(L814-1)-1)*(1-_xlfn.XLOOKUP(K814,'Fevereiro 2023 - Valor Real'!A3:A15,'Fevereiro 2023 - Valor Real'!C3:C15,0))+1)/(((L814/(L814-1)-1)*(1-_xlfn.XLOOKUP(K814,'Fevereiro 2023 - Valor Real'!A3:A15,'Fevereiro 2023 - Valor Real'!C3:C15,0))+1)+((L815/(L815-1)-1)*(1-_xlfn.XLOOKUP(K815,'Fevereiro 2023 - Valor Real'!A3:A15,'Fevereiro 2023 - Valor Real'!C3:C15,0))+1)),((L814-1)*(1-_xlfn.XLOOKUP(K814,'Fevereiro 2023 - Valor Real'!A3:A15,'Fevereiro 2023 - Valor Real'!C3:C15,0))+1)/(((L814-1)*(1-_xlfn.XLOOKUP(K814,'Fevereiro 2023 - Valor Real'!A3:A15,'Fevereiro 2023 - Valor Real'!C3:C15,0))+1)+((L815/(L815-1)-1)*(1-_xlfn.XLOOKUP(K815,'Fevereiro 2023 - Valor Real'!A3:A15,'Fevereiro 2023 - Valor Real'!C3:C15,0))+1))),IF(I814="Lay",((L814/(L814-1)-1)*(1-_xlfn.XLOOKUP(K814,'Fevereiro 2023 - Valor Real'!A3:A15,'Fevereiro 2023 - Valor Real'!C3:C15,0))+1)/((((L814/(L814-1)-1)*(1-_xlfn.XLOOKUP(K814,'Fevereiro 2023 - Valor Real'!A3:A15,'Fevereiro 2023 - Valor Real'!C3:C15,0))+1))+((L815-1)*(1-_xlfn.XLOOKUP(K815,'Fevereiro 2023 - Valor Real'!A3:A15,'Fevereiro 2023 - Valor Real'!C3:C15,0))+1)),((L814-1)*(1-_xlfn.XLOOKUP(K814,'Fevereiro 2023 - Valor Real'!A3:A15,'Fevereiro 2023 - Valor Real'!C3:C15,0))+1)/(((L814-1)*(1-_xlfn.XLOOKUP(K814,'Fevereiro 2023 - Valor Real'!A3:A15,'Fevereiro 2023 - Valor Real'!C3:C15,0))+1)+((L815-1)*(1-_xlfn.XLOOKUP(K815,'Fevereiro 2023 - Valor Real'!A3:A15,'Fevereiro 2023 - Valor Real'!C3:C15,0))+1))))))</f>
        <v>0.47596153846153844</v>
      </c>
      <c r="AF815" s="66">
        <f t="shared" si="1632"/>
        <v>0</v>
      </c>
      <c r="AG815" s="67">
        <f t="shared" si="1632"/>
        <v>0</v>
      </c>
      <c r="AH815" s="67">
        <f t="shared" si="1632"/>
        <v>0</v>
      </c>
      <c r="AI815" s="67">
        <f t="shared" si="1632"/>
        <v>0</v>
      </c>
      <c r="AJ815" s="67">
        <f t="shared" si="1632"/>
        <v>11.25</v>
      </c>
      <c r="AK815" s="67">
        <f t="shared" si="1632"/>
        <v>0</v>
      </c>
      <c r="AL815" s="67">
        <f t="shared" si="1632"/>
        <v>0</v>
      </c>
      <c r="AM815" s="67">
        <f t="shared" si="1632"/>
        <v>0</v>
      </c>
      <c r="AN815" s="67">
        <f t="shared" si="1632"/>
        <v>0</v>
      </c>
      <c r="AO815" s="67">
        <f t="shared" si="1632"/>
        <v>0</v>
      </c>
      <c r="AP815" s="67">
        <f t="shared" si="1632"/>
        <v>0</v>
      </c>
      <c r="AQ815" s="67">
        <f t="shared" si="1632"/>
        <v>0</v>
      </c>
      <c r="AR815" s="68">
        <f t="shared" si="1632"/>
        <v>0</v>
      </c>
      <c r="AS815" s="66">
        <f>IF(AND($B814=" ",$K815=AS$3),$O815,0)</f>
        <v>0</v>
      </c>
      <c r="AT815" s="67">
        <f>IF(AND($B814=" ",K815=AT$3),$O815,0)</f>
        <v>0</v>
      </c>
      <c r="AU815" s="67">
        <f t="shared" ref="AU815:BE815" si="1636">IF(AND($B814=" ",$K815=AU$3),$O815,0)</f>
        <v>0</v>
      </c>
      <c r="AV815" s="67">
        <f t="shared" si="1636"/>
        <v>0</v>
      </c>
      <c r="AW815" s="67">
        <f t="shared" si="1636"/>
        <v>0</v>
      </c>
      <c r="AX815" s="67">
        <f t="shared" si="1636"/>
        <v>0</v>
      </c>
      <c r="AY815" s="69">
        <f t="shared" si="1636"/>
        <v>0</v>
      </c>
      <c r="AZ815" s="70">
        <f t="shared" si="1636"/>
        <v>0</v>
      </c>
      <c r="BA815" s="70">
        <f t="shared" si="1636"/>
        <v>0</v>
      </c>
      <c r="BB815" s="70">
        <f t="shared" si="1636"/>
        <v>0</v>
      </c>
      <c r="BC815" s="71">
        <f t="shared" si="1636"/>
        <v>0</v>
      </c>
      <c r="BD815" s="67">
        <f t="shared" si="1636"/>
        <v>0</v>
      </c>
      <c r="BE815" s="68">
        <f t="shared" si="1636"/>
        <v>0</v>
      </c>
      <c r="BF815" s="66">
        <f t="shared" si="1634"/>
        <v>0</v>
      </c>
      <c r="BG815" s="67">
        <f t="shared" si="1634"/>
        <v>0</v>
      </c>
      <c r="BH815" s="67">
        <f t="shared" si="1634"/>
        <v>0</v>
      </c>
      <c r="BI815" s="67">
        <f t="shared" si="1634"/>
        <v>0</v>
      </c>
      <c r="BJ815" s="67">
        <f t="shared" si="1634"/>
        <v>9.5299999999999994</v>
      </c>
      <c r="BK815" s="67">
        <f t="shared" si="1634"/>
        <v>0</v>
      </c>
      <c r="BL815" s="67">
        <f t="shared" si="1634"/>
        <v>0</v>
      </c>
      <c r="BM815" s="235">
        <f t="shared" si="1634"/>
        <v>0</v>
      </c>
      <c r="BN815" s="159">
        <f t="shared" si="1634"/>
        <v>0</v>
      </c>
      <c r="BO815" s="159">
        <f t="shared" si="1634"/>
        <v>0</v>
      </c>
      <c r="BP815" s="159">
        <f t="shared" si="1634"/>
        <v>0</v>
      </c>
      <c r="BQ815" s="71">
        <f t="shared" si="1634"/>
        <v>0</v>
      </c>
      <c r="BR815" s="68">
        <f t="shared" si="1634"/>
        <v>0</v>
      </c>
      <c r="BS815" s="464"/>
      <c r="BT815" s="461"/>
      <c r="BU815" s="392"/>
      <c r="BV815" s="461"/>
      <c r="BW815" s="392"/>
      <c r="BX815" s="392"/>
      <c r="BY815" s="392"/>
      <c r="BZ815" s="461"/>
      <c r="CA815" s="392"/>
      <c r="CB815" s="392"/>
      <c r="CC815" s="392"/>
      <c r="CD815" s="401"/>
      <c r="CE815" s="409"/>
      <c r="CF815" s="236">
        <f t="shared" si="1540"/>
        <v>0</v>
      </c>
      <c r="CG815" s="237">
        <f t="shared" si="1541"/>
        <v>0</v>
      </c>
      <c r="CH815" s="237">
        <f t="shared" si="1542"/>
        <v>0</v>
      </c>
      <c r="CI815" s="237">
        <f t="shared" si="1543"/>
        <v>0</v>
      </c>
      <c r="CJ815" s="237">
        <f t="shared" si="1544"/>
        <v>0</v>
      </c>
      <c r="CK815" s="237">
        <f t="shared" si="1545"/>
        <v>0</v>
      </c>
      <c r="CL815" s="237">
        <f t="shared" si="1546"/>
        <v>0</v>
      </c>
      <c r="CM815" s="237">
        <f t="shared" si="1547"/>
        <v>0</v>
      </c>
      <c r="CN815" s="237">
        <f t="shared" si="1548"/>
        <v>1</v>
      </c>
      <c r="CO815" s="237">
        <f t="shared" si="1549"/>
        <v>0</v>
      </c>
      <c r="CP815" s="237">
        <f t="shared" si="1550"/>
        <v>0</v>
      </c>
      <c r="CQ815" s="237">
        <f t="shared" si="1551"/>
        <v>0</v>
      </c>
      <c r="CR815" s="237">
        <f t="shared" si="1552"/>
        <v>0</v>
      </c>
      <c r="CS815" s="237">
        <f t="shared" si="1553"/>
        <v>0</v>
      </c>
      <c r="CT815" s="75">
        <f t="shared" si="1554"/>
        <v>0</v>
      </c>
      <c r="CU815" s="76">
        <f t="shared" si="1555"/>
        <v>0</v>
      </c>
      <c r="CV815" s="76">
        <f t="shared" si="1556"/>
        <v>0</v>
      </c>
      <c r="CW815" s="76">
        <f t="shared" si="1557"/>
        <v>0</v>
      </c>
      <c r="CX815" s="76">
        <f t="shared" si="1558"/>
        <v>0</v>
      </c>
      <c r="CY815" s="76">
        <f t="shared" si="1559"/>
        <v>0</v>
      </c>
      <c r="CZ815" s="76">
        <f t="shared" si="1560"/>
        <v>0</v>
      </c>
      <c r="DA815" s="76">
        <f t="shared" si="1561"/>
        <v>0</v>
      </c>
      <c r="DB815" s="76">
        <f t="shared" si="1562"/>
        <v>0</v>
      </c>
      <c r="DC815" s="76">
        <f t="shared" si="1563"/>
        <v>0</v>
      </c>
      <c r="DD815" s="76">
        <f t="shared" si="1564"/>
        <v>0</v>
      </c>
      <c r="DE815" s="77">
        <f t="shared" si="1565"/>
        <v>0</v>
      </c>
      <c r="DF815" s="73">
        <f t="shared" si="1567"/>
        <v>46</v>
      </c>
      <c r="DG815" s="67">
        <f t="shared" si="1568"/>
        <v>61.367999999999988</v>
      </c>
      <c r="DH815" s="76">
        <f t="shared" si="1569"/>
        <v>17</v>
      </c>
      <c r="DI815" s="67">
        <f t="shared" si="1570"/>
        <v>72.399999999999991</v>
      </c>
      <c r="DJ815" s="202" t="str">
        <f>IF($D814="","",$D814)</f>
        <v>28</v>
      </c>
      <c r="DK815" s="466"/>
    </row>
    <row r="816" spans="1:115" ht="14.5" customHeight="1" x14ac:dyDescent="0.2">
      <c r="A816" s="390"/>
      <c r="B816" s="457"/>
      <c r="C816" s="79" t="s">
        <v>53</v>
      </c>
      <c r="D816" s="375"/>
      <c r="E816" s="387"/>
      <c r="F816" s="378"/>
      <c r="G816" s="484"/>
      <c r="H816" s="477"/>
      <c r="I816" s="82"/>
      <c r="J816" s="83"/>
      <c r="K816" s="90"/>
      <c r="L816" s="84"/>
      <c r="M816" s="85"/>
      <c r="N816" s="407"/>
      <c r="O816" s="86" t="str">
        <f>IF(OR(AE814="",AE815=""),"",IF(L816&gt;0,ROUND(IF(M816&gt;0,M816,IF(M814&gt;0,ROUND((M814*AE816)/AE814,IF(N814=0,2,IF(N814=0.1,1,0))),IF(M815&gt;0,ROUND((M815*AE816)/AE815,IF(N814=0,2,IF(N814=0.1,1,0))),IF(M816&gt;0,M816,0)))),2),""))</f>
        <v/>
      </c>
      <c r="P816" s="87" t="str">
        <f>IF(I815="Lay",O815*(L815/(L815-1))-O815,IF(I814="Lay",O814*(L814/(L814-1))-O814,IF(OR(L816="",O816=""),"",IF($C816="1/2W",O816/2+O816/2*L816,IF($C816="1/2L",O816/2,(O816*L816-O816)*(1-_xlfn.XLOOKUP(K816,'Fevereiro 2023 - Valor Real'!A3:A15,'Fevereiro 2023 - Valor Real'!C3:C15,0))+O816)))))</f>
        <v/>
      </c>
      <c r="Q816" s="238" t="str">
        <f>IF(K816="","",IF(_xlfn.XLOOKUP(K816,K$4:K815,$DJ$4:DJ815,0,,-1)=DJ816,_xlfn.XLOOKUP(K816,K$4:K815,Q$4:Q815,1,,-1)+1,1))</f>
        <v/>
      </c>
      <c r="R816" s="239" t="str">
        <f>IF(K816="","",_xlfn.XLOOKUP(K816,K$4:K815,R$4:R815,0,,-1)+IF($C816=" ",1,0))</f>
        <v/>
      </c>
      <c r="S816" s="404"/>
      <c r="T816" s="378"/>
      <c r="U816" s="378"/>
      <c r="V816" s="404"/>
      <c r="W816" s="378"/>
      <c r="X816" s="453"/>
      <c r="Y816" s="383"/>
      <c r="Z816" s="384"/>
      <c r="AA816" s="384"/>
      <c r="AB816" s="384"/>
      <c r="AC816" s="384"/>
      <c r="AD816" s="240">
        <f>((L815/(L815-1)-1))</f>
        <v>0.84745762711864403</v>
      </c>
      <c r="AE816" s="91" t="str">
        <f>IF(L816="","",(SUM(((L814-1)*(1-_xlfn.XLOOKUP(K814,'Fevereiro 2023 - Valor Real'!A3:A15,'Fevereiro 2023 - Valor Real'!C3:C15,0))+1),((L815-1)*(1-_xlfn.XLOOKUP(K815,'Fevereiro 2023 - Valor Real'!A3:A15,'Fevereiro 2023 - Valor Real'!C3:C15,0))+1),((L816-1)*(1-_xlfn.XLOOKUP(K816,'Fevereiro 2023 - Valor Real'!A3:A15,'Fevereiro 2023 - Valor Real'!C3:C15,0))+1))/((L816-1)*(1-_xlfn.XLOOKUP(K816,'Fevereiro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Real'!C3:C15,0))+1))/((L814-1)*(1-_xlfn.XLOOKUP(K814,'Fevereiro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Real'!C3:C15,0))+1))/((L815-1)*(1-_xlfn.XLOOKUP(K815,'Fevereiro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Real'!C3:C15,0))+1))/((L816-1)*(1-_xlfn.XLOOKUP(K816,'Fevereiro 2023 - Valor Real'!A3:A15,'Fevereiro 2023 - Valor Real'!C3:C15,0))+1)))</f>
        <v/>
      </c>
      <c r="AF816" s="66">
        <f t="shared" si="1632"/>
        <v>0</v>
      </c>
      <c r="AG816" s="67">
        <f t="shared" si="1632"/>
        <v>0</v>
      </c>
      <c r="AH816" s="67">
        <f t="shared" si="1632"/>
        <v>0</v>
      </c>
      <c r="AI816" s="67">
        <f t="shared" si="1632"/>
        <v>0</v>
      </c>
      <c r="AJ816" s="67">
        <f t="shared" si="1632"/>
        <v>0</v>
      </c>
      <c r="AK816" s="67">
        <f t="shared" si="1632"/>
        <v>0</v>
      </c>
      <c r="AL816" s="67">
        <f t="shared" si="1632"/>
        <v>0</v>
      </c>
      <c r="AM816" s="67">
        <f t="shared" si="1632"/>
        <v>0</v>
      </c>
      <c r="AN816" s="67">
        <f t="shared" si="1632"/>
        <v>0</v>
      </c>
      <c r="AO816" s="67">
        <f t="shared" si="1632"/>
        <v>0</v>
      </c>
      <c r="AP816" s="67">
        <f t="shared" si="1632"/>
        <v>0</v>
      </c>
      <c r="AQ816" s="67">
        <f t="shared" si="1632"/>
        <v>0</v>
      </c>
      <c r="AR816" s="68">
        <f t="shared" si="1632"/>
        <v>0</v>
      </c>
      <c r="AS816" s="66">
        <f>IF(AND($B814=" ",$K816=AS$3),$O816,0)</f>
        <v>0</v>
      </c>
      <c r="AT816" s="67">
        <f>IF(AND($B814=" ",K816=AT$3),$O816,0)</f>
        <v>0</v>
      </c>
      <c r="AU816" s="67">
        <f t="shared" ref="AU816:BE816" si="1637">IF(AND($B814=" ",$K816=AU$3),$O816,0)</f>
        <v>0</v>
      </c>
      <c r="AV816" s="67">
        <f t="shared" si="1637"/>
        <v>0</v>
      </c>
      <c r="AW816" s="67">
        <f t="shared" si="1637"/>
        <v>0</v>
      </c>
      <c r="AX816" s="67">
        <f t="shared" si="1637"/>
        <v>0</v>
      </c>
      <c r="AY816" s="69">
        <f t="shared" si="1637"/>
        <v>0</v>
      </c>
      <c r="AZ816" s="70">
        <f t="shared" si="1637"/>
        <v>0</v>
      </c>
      <c r="BA816" s="70">
        <f t="shared" si="1637"/>
        <v>0</v>
      </c>
      <c r="BB816" s="70">
        <f t="shared" si="1637"/>
        <v>0</v>
      </c>
      <c r="BC816" s="71">
        <f t="shared" si="1637"/>
        <v>0</v>
      </c>
      <c r="BD816" s="67">
        <f t="shared" si="1637"/>
        <v>0</v>
      </c>
      <c r="BE816" s="68">
        <f t="shared" si="1637"/>
        <v>0</v>
      </c>
      <c r="BF816" s="66">
        <f t="shared" si="1634"/>
        <v>0</v>
      </c>
      <c r="BG816" s="67">
        <f t="shared" si="1634"/>
        <v>0</v>
      </c>
      <c r="BH816" s="67">
        <f t="shared" si="1634"/>
        <v>0</v>
      </c>
      <c r="BI816" s="67">
        <f t="shared" si="1634"/>
        <v>0</v>
      </c>
      <c r="BJ816" s="67">
        <f t="shared" si="1634"/>
        <v>0</v>
      </c>
      <c r="BK816" s="67">
        <f t="shared" si="1634"/>
        <v>0</v>
      </c>
      <c r="BL816" s="67">
        <f t="shared" si="1634"/>
        <v>0</v>
      </c>
      <c r="BM816" s="69">
        <f t="shared" si="1634"/>
        <v>0</v>
      </c>
      <c r="BN816" s="70">
        <f t="shared" si="1634"/>
        <v>0</v>
      </c>
      <c r="BO816" s="70">
        <f t="shared" si="1634"/>
        <v>0</v>
      </c>
      <c r="BP816" s="70">
        <f t="shared" si="1634"/>
        <v>0</v>
      </c>
      <c r="BQ816" s="71">
        <f t="shared" si="1634"/>
        <v>0</v>
      </c>
      <c r="BR816" s="68">
        <f t="shared" si="1634"/>
        <v>0</v>
      </c>
      <c r="BS816" s="464"/>
      <c r="BT816" s="461"/>
      <c r="BU816" s="392"/>
      <c r="BV816" s="461"/>
      <c r="BW816" s="392"/>
      <c r="BX816" s="392"/>
      <c r="BY816" s="392"/>
      <c r="BZ816" s="461"/>
      <c r="CA816" s="392"/>
      <c r="CB816" s="392"/>
      <c r="CC816" s="392"/>
      <c r="CD816" s="401"/>
      <c r="CE816" s="409"/>
      <c r="CF816" s="236">
        <f t="shared" si="1540"/>
        <v>0</v>
      </c>
      <c r="CG816" s="237">
        <f t="shared" si="1541"/>
        <v>0</v>
      </c>
      <c r="CH816" s="237">
        <f t="shared" si="1542"/>
        <v>0</v>
      </c>
      <c r="CI816" s="237">
        <f t="shared" si="1543"/>
        <v>0</v>
      </c>
      <c r="CJ816" s="237">
        <f t="shared" si="1544"/>
        <v>0</v>
      </c>
      <c r="CK816" s="237">
        <f t="shared" si="1545"/>
        <v>0</v>
      </c>
      <c r="CL816" s="237">
        <f t="shared" si="1546"/>
        <v>0</v>
      </c>
      <c r="CM816" s="237">
        <f t="shared" si="1547"/>
        <v>0</v>
      </c>
      <c r="CN816" s="237">
        <f t="shared" si="1548"/>
        <v>0</v>
      </c>
      <c r="CO816" s="237">
        <f t="shared" si="1549"/>
        <v>0</v>
      </c>
      <c r="CP816" s="237">
        <f t="shared" si="1550"/>
        <v>0</v>
      </c>
      <c r="CQ816" s="237">
        <f t="shared" si="1551"/>
        <v>0</v>
      </c>
      <c r="CR816" s="237">
        <f t="shared" si="1552"/>
        <v>0</v>
      </c>
      <c r="CS816" s="237">
        <f t="shared" si="1553"/>
        <v>0</v>
      </c>
      <c r="CT816" s="75">
        <f t="shared" si="1554"/>
        <v>0</v>
      </c>
      <c r="CU816" s="76">
        <f t="shared" si="1555"/>
        <v>0</v>
      </c>
      <c r="CV816" s="76">
        <f t="shared" si="1556"/>
        <v>0</v>
      </c>
      <c r="CW816" s="76">
        <f t="shared" si="1557"/>
        <v>0</v>
      </c>
      <c r="CX816" s="76">
        <f t="shared" si="1558"/>
        <v>0</v>
      </c>
      <c r="CY816" s="76">
        <f t="shared" si="1559"/>
        <v>0</v>
      </c>
      <c r="CZ816" s="76">
        <f t="shared" si="1560"/>
        <v>0</v>
      </c>
      <c r="DA816" s="76">
        <f t="shared" si="1561"/>
        <v>0</v>
      </c>
      <c r="DB816" s="76">
        <f t="shared" si="1562"/>
        <v>0</v>
      </c>
      <c r="DC816" s="76">
        <f t="shared" si="1563"/>
        <v>0</v>
      </c>
      <c r="DD816" s="76">
        <f t="shared" si="1564"/>
        <v>0</v>
      </c>
      <c r="DE816" s="77">
        <f t="shared" si="1565"/>
        <v>0</v>
      </c>
      <c r="DF816" s="73">
        <f t="shared" si="1567"/>
        <v>46</v>
      </c>
      <c r="DG816" s="67">
        <f t="shared" si="1568"/>
        <v>61.367999999999988</v>
      </c>
      <c r="DH816" s="76">
        <f t="shared" si="1569"/>
        <v>17</v>
      </c>
      <c r="DI816" s="67">
        <f t="shared" si="1570"/>
        <v>72.399999999999991</v>
      </c>
      <c r="DJ816" s="202" t="str">
        <f>IF($D814="","",$D814)</f>
        <v>28</v>
      </c>
      <c r="DK816" s="466"/>
    </row>
    <row r="817" spans="1:115" ht="14.5" customHeight="1" x14ac:dyDescent="0.2">
      <c r="A817" s="459">
        <f>$A814+1</f>
        <v>272</v>
      </c>
      <c r="B817" s="507" t="str">
        <f>IF(OR(C817="W",C818="W",C819="W",C817="1/2W",C818="1/2W",C819="1/2W",C817="1/2L",C818="1/2L",C819="1/2L"),"OK",IF(OR(C817="L",C818="L",C819="L"),"LOSS",IF(OR(C817="X",C818="X",C819="X"),"Anulado"," ")))</f>
        <v>OK</v>
      </c>
      <c r="C817" s="93" t="s">
        <v>55</v>
      </c>
      <c r="D817" s="468" t="str">
        <f>IF(G817="","",$D814)</f>
        <v>28</v>
      </c>
      <c r="E817" s="485" t="str">
        <f>IF(G817=""," ","– "&amp;COUNTIF(D$4:D819,$D817))</f>
        <v>– 3</v>
      </c>
      <c r="F817" s="509" t="str">
        <f ca="1">IF(G817="","",IF(OR(AND($C817&lt;&gt;" ",$C818=" "),AND($C818&lt;&gt;" ",$C817=" "),AND(L819&gt;0,OR(AND($C819&lt;&gt;" ",OR($C817=" ",$C818=" ")),AND($C819=" ",OR($C817&lt;&gt;" ",$C818&lt;&gt;" "))))),IF(SUM(F$4:F816)=0,1,LARGE(F$4:F816,1)+1),IF(MONTH(G817)=MONTH(TODAY()),IF(AND(DAY(G817)&lt;DAY(TODAY()),$B817=" "),IF(SUM(F$4:F816)=0,1,LARGE(F$4:F816,1)+1),IF($B817=" ",IF(AND(DAY(G817)=DAY(TODAY()),HOUR(G817)&lt;=HOUR(NOW())+1),IF(AND(HOUR(G817)+2&lt;=HOUR(NOW()),DAY(G817)&lt;=DAY(TODAY()),MINUTE(G817)&lt;=MINUTE(NOW())),IF(SUM(F$4:F816)=0,1,LARGE(F$4:F816,1)+1),IF(OR(MINUTE(G817)&lt;=MINUTE(NOW()),HOUR(G817)&lt;=HOUR(NOW())),"!!!","")),""),"")),"")))</f>
        <v/>
      </c>
      <c r="G817" s="482">
        <v>45013.541666666664</v>
      </c>
      <c r="H817" s="475" t="s">
        <v>277</v>
      </c>
      <c r="I817" s="94" t="s">
        <v>76</v>
      </c>
      <c r="J817" s="95">
        <v>0</v>
      </c>
      <c r="K817" s="96" t="s">
        <v>40</v>
      </c>
      <c r="L817" s="97">
        <v>1.78</v>
      </c>
      <c r="M817" s="98">
        <v>28.85</v>
      </c>
      <c r="N817" s="478">
        <v>0</v>
      </c>
      <c r="O817" s="99">
        <f>IF(OR(AE817="",AE818=""),"",ROUND(IF(L819&gt;0,IF(M817&gt;0,M817,IF(M818&gt;0,ROUND((M818*AE817)/AE818,IF(N817=0,2,IF(N817=0.1,1,0))),ROUND((M819*AE817)/AE819,IF(N817=0,2,IF(N817=0.1,1,0))))),IF(M817&gt;0,M817,ROUND((M818*AE817)/AE818,IF(N817=0,2,IF(N817=0.1,1,0))))),2))</f>
        <v>28.85</v>
      </c>
      <c r="P817" s="100">
        <f>IF(OR(L817="",O817=""),"",IF($C817="1/2W",O817/2+O817/2*L817,IF($C817="1/2L",O817/2,IF(I817="Lay",(O817*(L817/(L817-1))-O817)*(1-_xlfn.XLOOKUP(K817,'Fevereiro 2023 - Valor Real'!A3:A15,'Fevereiro 2023 - Valor Real'!C3:C15,0))+O817,(O817*L817-O817)*(1-_xlfn.XLOOKUP(K817,'Fevereiro 2023 - Valor Real'!A3:A15,'Fevereiro 2023 - Valor Real'!C3:C15,0))+O817))))</f>
        <v>51.353000000000002</v>
      </c>
      <c r="Q817" s="101">
        <f>IF(K817="","",IF(_xlfn.XLOOKUP(K817,K$4:K816,$DJ$4:DJ816,0,,-1)=DJ817,_xlfn.XLOOKUP(K817,K$4:K816,Q$4:Q816,1,,-1)+1,1))</f>
        <v>3</v>
      </c>
      <c r="R817" s="102">
        <f>IF(K817="","",_xlfn.XLOOKUP(K817,K$4:K816,R$4:R816,0,,-1)+IF($C817=" ",1,0))</f>
        <v>0</v>
      </c>
      <c r="S817" s="474">
        <f>IF($B817="Anulado",0,ROUND(IF(OR($B817="LOSS",$B817="OK"),IF(OR($C817="W",$C817="1/2W",$C817="1/2L"),P817-O817,IF($C817="L",-O817,0))+IF(OR($C818="W",$C818="1/2W",$C818="1/2L"),P818-O818,IF($C818="L",-O818,0))+IF(OR($C819="W",$C819="1/2W",$C819="1/2L"),P819-O819,IF($C819="L",-O819,0)),IF(AND(OR($C817="W",$C817="1/2W",$C817="1/2L"),C818="W"),P817+P818-SUM(O817:O819)+_xlfn.XLOOKUP("X",C817:C819,O817:O819,0),IF(AND(C817=TRUE,C819="W"),P817+P819-SUM(O817:O819),IF(AND(C818="W",C819="W"),P818+P819-SUM(O817:O819)+_xlfn.XLOOKUP("X",C817:C819,O817:O819,0),IF(L819&gt;0,IF(OR($C817="W",$C817="1/2W",$C817="1/2L"),P817-SUM(O817:O819)+_xlfn.XLOOKUP("X",C817:C819,O817:O819,0),IF(OR($C817="W",$C817="1/2W",$C817="1/2L"),P818-SUM(O817:O819)+_xlfn.XLOOKUP("X",C817:C819,O817:O819,0),IF(OR($C817="W",$C817="1/2W",$C817="1/2L"),P819-SUM(O817:O819)+_xlfn.XLOOKUP("X",C817:C819,O817:O819,0),IF(SUM(P817:P819)/3-SUM(O817:O819)+_xlfn.XLOOKUP("X",C817:C819,O817:O819,0)&gt;0,SUM(P817:P819)/3-SUM(O817:O819)+_xlfn.XLOOKUP("X",C817:C819,O817:O819,0),LARGE(P817:P819,1)-SUM(O817:O819))))),IF(OR($C817="W",$C817="1/2W",$C817="1/2L"),P817-SUM(O817:O818)+_xlfn.XLOOKUP("X",C817:C819,O817:O819,0),IF(OR($C817="W",$C817="1/2W",$C817="1/2L"),P818-SUM(O817:O818)+_xlfn.XLOOKUP("X",C817:C819,O817:O819,0),SUM(P817:P818)/2-SUM(O817:O818)+_xlfn.XLOOKUP("X",C817:C819,O817:O819,0)))))))),2))</f>
        <v>4.0999999999999996</v>
      </c>
      <c r="T817" s="458">
        <f>IF(S817=0,0,S817/SUM(O817:O819))</f>
        <v>8.675412611087599E-2</v>
      </c>
      <c r="U817" s="470">
        <f>IF($D817=$D814,IF(OR($B817="LOSS",$B817="OK",$B817="Anulada"),S817,0)+U814,IF(OR($B817="LOSS",$B817="OK",$B817="Anulada"),S817,0))</f>
        <v>6.16</v>
      </c>
      <c r="V817" s="470">
        <f>IF($D817="",0,IF($D817=$D814,IF($B817=" ",IF(I819="",IF(OR(AND(I817="DNB1",I818="DNB2"),AND(OR(I817="DNB1",I817="DNB2"),J818=0),AND(OR(I818="DNB1",I818="DNB2"),J817=0),AND(I817="DNB2",I818="DNB1"),AND(IF(J817=0,(J817+1)/ROUND(J817+1,0),J817/ROUND(J817,0))=1,IF(J818=0,(J818+1)/ROUND(IF(J818="",0,J818)+1,0),IF(J818="",0,J818)/ROUND(IF(J818="",1,J818),0))=1,OR(J817&lt;&gt;""),J818&lt;&gt;"")),0,IF(S817&lt;0,IF(I819="",SMALL(P817:P818,1)-SUM(O817:O818),0),SMALL(P817:P818,1)-SUM(O817:O818))),IF(S817&lt;0,IF(I819="",SMALL(P817:P819,1)-SUM(O817:O819),0),LARGE(P817:P819,1)-SUM(O817:O819))),S817)+V814,IF(I819="",IF(OR(AND(I817="DNB1",I818="DNB2"),AND(OR(I817="DNB1",I817="DNB2"),J818=0),AND(OR(I818="DNB1",I818="DNB2"),J817=0),AND(I817="DNB2",I818="DNB1"),AND(IF(J817=0,(J817+1)/ROUND(J817+1,0),J817/ROUND(J817,0))=1,IF(J818=0,(IF(J818="",0,J818)+1)/ROUND(IF(J818="",0,J818)+1,0),IF(J818="",0,J818)/ROUND(IF(J818="",0,J818)+1,0))=1,OR(J817&lt;&gt;""),J818&lt;&gt;"")),0,IF(S817&lt;0,IF(I819="",SMALL(P817:P818,1)-SUM(O817:O818),0),SMALL(P817:P819,1)-SUM(O817:O819))),IF(S817&lt;0,IF(I819="",SMALL(P817:P819,1)-SUM(O817:O819),0),LARGE(P817:P819,1)-SUM(O817:O819)))))</f>
        <v>6.1279999999999966</v>
      </c>
      <c r="W817" s="470">
        <f>IF($D817=$D814,IF(S817&lt;0,IF(I819="",S817,0),S817)+W814,S817)</f>
        <v>6.16</v>
      </c>
      <c r="X817" s="480" t="str">
        <f>IF(OR(SUM(R817:R819)=0,V817=W817),ROUND(IF(W817=0,0,W817/Y817)*100,2)&amp;"%",ROUND(IF(V817=0,0,V817/Y817)*100,2)&amp;"% a "&amp;ROUND(IF(W817=0,0,W817/Y817)*100,2)&amp;"%")</f>
        <v>7,07%</v>
      </c>
      <c r="Y817" s="471">
        <f>IF($D817=$D814,Y814+SUM(O817:O819),SUM(O817:O819))</f>
        <v>87.14</v>
      </c>
      <c r="Z817" s="470">
        <f>IF($B817=" ",SUM(O817:O819),0)+Z814</f>
        <v>0</v>
      </c>
      <c r="AA817" s="470">
        <f>IF(G817="","",IF($B817="Anulado",LARGE(P817:P819,1)-SUM(O817:O819)+AA814,AA814))</f>
        <v>13.381099999999991</v>
      </c>
      <c r="AB817" s="470">
        <f>IF($D817="","",AB814+S817)</f>
        <v>901.17000000000075</v>
      </c>
      <c r="AC817" s="472">
        <f ca="1">IF($D817="","",IF($B817=" ",IF(DAY(G817)=DAY(TODAY()),1+AC814,0+AC814),0+AC814))</f>
        <v>0</v>
      </c>
      <c r="AD817" s="103">
        <f>(((L818/(L818-1)-1)*(1-_xlfn.XLOOKUP(K818,'Fevereiro 2023 - Valor Real'!A3:A15,'Fevereiro 2023 - Valor Real'!C3:C15,0))+1))/(((L817-1)*(1-_xlfn.XLOOKUP(K817,'Fevereiro 2023 - Valor Real'!A3:A15,'Fevereiro 2023 - Valor Real'!C3:C15,0))+1)+((L818/(L818-1)-1)*(1-_xlfn.XLOOKUP(K818,'Fevereiro 2023 - Valor Real'!A3:A15,'Fevereiro 2023 - Valor Real'!C3:C15,0))+1))</f>
        <v>0.46685184565442928</v>
      </c>
      <c r="AE817" s="104">
        <f>IF(L817="","",IF(L819&gt;0,(SUM(((L817-1)*(1-_xlfn.XLOOKUP(K817,'Fevereiro 2023 - Valor Real'!A3:A15,'Fevereiro 2023 - Valor Real'!C3:C15,0))+1),((L818-1)*(1-_xlfn.XLOOKUP(K818,'Fevereiro 2023 - Valor Real'!A3:A15,'Fevereiro 2023 - Valor Real'!C3:C15,0))+1),((L819-1)*(1-_xlfn.XLOOKUP(K819,'Fevereiro 2023 - Valor Real'!A3:A15,'Fevereiro 2023 - Valor Real'!C3:C15,0))+1))/((L817-1)*(1-_xlfn.XLOOKUP(K817,'Fevereiro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Real'!C3:C15,0))+1))/((L817-1)*(1-_xlfn.XLOOKUP(K817,'Fevereiro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Real'!C3:C15,0))+1))/((L818-1)*(1-_xlfn.XLOOKUP(K818,'Fevereiro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Real'!C3:C15,0))+1))/((L819-1)*(1-_xlfn.XLOOKUP(K819,'Fevereiro 2023 - Valor Real'!A3:A15,'Fevereiro 2023 - Valor Real'!C3:C15,0))+1)),IF(I817="Lay",IF(I818="Lay",((L818/(L818-1)-1)*(1-_xlfn.XLOOKUP(K818,'Fevereiro 2023 - Valor Real'!A3:A15,'Fevereiro 2023 - Valor Real'!C3:C15,0))+1)/(((L818/(L818-1)-1)*(1-_xlfn.XLOOKUP(K818,'Fevereiro 2023 - Valor Real'!A3:A15,'Fevereiro 2023 - Valor Real'!C3:C15,0))+1)+((L817/(L817-1)-1)*(1-_xlfn.XLOOKUP(K817,'Fevereiro 2023 - Valor Real'!A3:A15,'Fevereiro 2023 - Valor Real'!C3:C15,0))+1)),((L818-1)*(1-_xlfn.XLOOKUP(K818,'Fevereiro 2023 - Valor Real'!A3:A15,'Fevereiro 2023 - Valor Real'!C3:C15,0))+1)/(((L818-1)*(1-_xlfn.XLOOKUP(K818,'Fevereiro 2023 - Valor Real'!A3:A15,'Fevereiro 2023 - Valor Real'!C3:C15,0))+1)+((L817/(L817-1)-1)*(1-_xlfn.XLOOKUP(K817,'Fevereiro 2023 - Valor Real'!A3:A15,'Fevereiro 2023 - Valor Real'!C3:C15,0))+1))),IF(I818="Lay",(((L818/(L818-1)-1)*(1-_xlfn.XLOOKUP(K818,'Fevereiro 2023 - Valor Real'!A3:A15,'Fevereiro 2023 - Valor Real'!C3:C15,0))+1))/(((L817-1)*(1-_xlfn.XLOOKUP(K817,'Fevereiro 2023 - Valor Real'!A3:A15,'Fevereiro 2023 - Valor Real'!C3:C15,0))+1)+((L818/(L818-1)-1)*(1-_xlfn.XLOOKUP(K818,'Fevereiro 2023 - Valor Real'!A3:A15,'Fevereiro 2023 - Valor Real'!C3:C15,0))+1)),((L818-1)*(1-_xlfn.XLOOKUP(K818,'Fevereiro 2023 - Valor Real'!A3:A15,'Fevereiro 2023 - Valor Real'!C3:C15,0))+1)/(((L818-1)*(1-_xlfn.XLOOKUP(K818,'Fevereiro 2023 - Valor Real'!A3:A15,'Fevereiro 2023 - Valor Real'!C3:C15,0))+1)+((L817-1)*(1-_xlfn.XLOOKUP(K817,'Fevereiro 2023 - Valor Real'!A3:A15,'Fevereiro 2023 - Valor Real'!C3:C15,0))+1))))))</f>
        <v>0.61050328227571116</v>
      </c>
      <c r="AF817" s="105">
        <f t="shared" si="1632"/>
        <v>0</v>
      </c>
      <c r="AG817" s="106">
        <f t="shared" si="1632"/>
        <v>0</v>
      </c>
      <c r="AH817" s="106">
        <f t="shared" si="1632"/>
        <v>0</v>
      </c>
      <c r="AI817" s="106">
        <f t="shared" si="1632"/>
        <v>0</v>
      </c>
      <c r="AJ817" s="106">
        <f t="shared" si="1632"/>
        <v>-28.85</v>
      </c>
      <c r="AK817" s="106">
        <f t="shared" si="1632"/>
        <v>0</v>
      </c>
      <c r="AL817" s="106">
        <f t="shared" si="1632"/>
        <v>0</v>
      </c>
      <c r="AM817" s="106">
        <f t="shared" si="1632"/>
        <v>0</v>
      </c>
      <c r="AN817" s="106">
        <f t="shared" si="1632"/>
        <v>0</v>
      </c>
      <c r="AO817" s="106">
        <f t="shared" si="1632"/>
        <v>0</v>
      </c>
      <c r="AP817" s="106">
        <f t="shared" si="1632"/>
        <v>0</v>
      </c>
      <c r="AQ817" s="106">
        <f t="shared" si="1632"/>
        <v>0</v>
      </c>
      <c r="AR817" s="107">
        <f t="shared" si="1632"/>
        <v>0</v>
      </c>
      <c r="AS817" s="105">
        <f t="shared" ref="AS817:BE817" si="1638">IF(AND($B817=" ",$K817=AS$3),$O817,0)</f>
        <v>0</v>
      </c>
      <c r="AT817" s="106">
        <f t="shared" si="1638"/>
        <v>0</v>
      </c>
      <c r="AU817" s="106">
        <f t="shared" si="1638"/>
        <v>0</v>
      </c>
      <c r="AV817" s="106">
        <f t="shared" si="1638"/>
        <v>0</v>
      </c>
      <c r="AW817" s="106">
        <f t="shared" si="1638"/>
        <v>0</v>
      </c>
      <c r="AX817" s="106">
        <f t="shared" si="1638"/>
        <v>0</v>
      </c>
      <c r="AY817" s="108">
        <f t="shared" si="1638"/>
        <v>0</v>
      </c>
      <c r="AZ817" s="109">
        <f t="shared" si="1638"/>
        <v>0</v>
      </c>
      <c r="BA817" s="109">
        <f t="shared" si="1638"/>
        <v>0</v>
      </c>
      <c r="BB817" s="109">
        <f t="shared" si="1638"/>
        <v>0</v>
      </c>
      <c r="BC817" s="110">
        <f t="shared" si="1638"/>
        <v>0</v>
      </c>
      <c r="BD817" s="106">
        <f t="shared" si="1638"/>
        <v>0</v>
      </c>
      <c r="BE817" s="107">
        <f t="shared" si="1638"/>
        <v>0</v>
      </c>
      <c r="BF817" s="111">
        <f t="shared" si="1634"/>
        <v>0</v>
      </c>
      <c r="BG817" s="106">
        <f t="shared" si="1634"/>
        <v>0</v>
      </c>
      <c r="BH817" s="106">
        <f t="shared" si="1634"/>
        <v>0</v>
      </c>
      <c r="BI817" s="106">
        <f t="shared" si="1634"/>
        <v>0</v>
      </c>
      <c r="BJ817" s="106">
        <f t="shared" si="1634"/>
        <v>28.85</v>
      </c>
      <c r="BK817" s="106">
        <f t="shared" si="1634"/>
        <v>0</v>
      </c>
      <c r="BL817" s="106">
        <f t="shared" si="1634"/>
        <v>0</v>
      </c>
      <c r="BM817" s="108">
        <f t="shared" si="1634"/>
        <v>0</v>
      </c>
      <c r="BN817" s="109">
        <f t="shared" si="1634"/>
        <v>0</v>
      </c>
      <c r="BO817" s="109">
        <f t="shared" si="1634"/>
        <v>0</v>
      </c>
      <c r="BP817" s="109">
        <f t="shared" si="1634"/>
        <v>0</v>
      </c>
      <c r="BQ817" s="110">
        <f t="shared" si="1634"/>
        <v>0</v>
      </c>
      <c r="BR817" s="107">
        <f t="shared" si="1634"/>
        <v>0</v>
      </c>
      <c r="BS817" s="463">
        <f>IF($B817="LOSS",IF(AND($K817=BS$3,$C817="L"),-$O817,0)+IF(AND($K818=BS$3,$C818="L"),-$O818,0)+IF(AND($K819=BS$3,$C819="L"),-$O819,0),IF(OR(AND($K817=BS$3,OR($C817="W",$C817="1/2W")),AND($K818=BS$3,OR($C818="W",$C818="1/2W")),AND($K819=BS$3,OR($C819="W",$C819="1/2W"))),$S817,0))</f>
        <v>0</v>
      </c>
      <c r="BT817" s="462">
        <f>IF($B817="LOSS",IF(AND($K817=BT$3,$C817="L"),-$O817,0)+IF(AND($K818=BT$3,$C818="L"),-$O818,0)+IF(AND($K818=BT$3,$C819="L"),-$O819,0),IF(OR(AND($K818=BT$3,OR($C817="W",$C817="1/2W")),AND($K818=BT$3,OR($C818="W",$C818="1/2W")),AND($K818=BT$3,OR($C819="W",$C819="1/2W"))),$S817,0))</f>
        <v>0</v>
      </c>
      <c r="BU817" s="462">
        <f>IF($B817="LOSS",IF(AND($K817=BU$3,$C817="L"),-$O817,0)+IF(AND($K818=BU$3,$C818="L"),-$O818,0)+IF(AND($K818=BU$3,$C819="L"),-$O819,0),IF(OR(AND($K818=BU$3,OR($C817="W",$C817="1/2W")),AND($K818=BU$3,OR($C818="W",$C818="1/2W")),AND($K818=BU$3,OR($C819="W",$C819="1/2W"))),$S817,0))</f>
        <v>0</v>
      </c>
      <c r="BV817" s="462">
        <f t="shared" ref="BV817:CE817" si="1639">IF($B817="LOSS",IF(AND($K817=BV$3,$C817="L"),-$O817,0)+IF(AND($K818=BV$3,$C818="L"),-$O818,0)+IF(AND($K819=BV$3,$C819="L"),-$O819,0),IF(OR(AND($K817=BV$3,OR($C817="W",$C817="1/2W")),AND($K818=BV$3,OR($C818="W",$C818="1/2W")),AND($K819=BV$3,OR($C819="W",$C819="1/2W"))),$S817,0))</f>
        <v>0</v>
      </c>
      <c r="BW817" s="462">
        <f t="shared" si="1639"/>
        <v>0</v>
      </c>
      <c r="BX817" s="462">
        <f t="shared" si="1639"/>
        <v>0</v>
      </c>
      <c r="BY817" s="462">
        <f t="shared" si="1639"/>
        <v>0</v>
      </c>
      <c r="BZ817" s="460">
        <f t="shared" si="1639"/>
        <v>4.0999999999999996</v>
      </c>
      <c r="CA817" s="460">
        <f t="shared" si="1639"/>
        <v>0</v>
      </c>
      <c r="CB817" s="460">
        <f t="shared" si="1639"/>
        <v>0</v>
      </c>
      <c r="CC817" s="460">
        <f t="shared" si="1639"/>
        <v>0</v>
      </c>
      <c r="CD817" s="473">
        <f t="shared" si="1639"/>
        <v>0</v>
      </c>
      <c r="CE817" s="479">
        <f t="shared" si="1639"/>
        <v>0</v>
      </c>
      <c r="CF817" s="113">
        <f t="shared" si="1540"/>
        <v>0</v>
      </c>
      <c r="CG817" s="114">
        <f t="shared" si="1541"/>
        <v>0</v>
      </c>
      <c r="CH817" s="114">
        <f t="shared" si="1542"/>
        <v>0</v>
      </c>
      <c r="CI817" s="114">
        <f t="shared" si="1543"/>
        <v>0</v>
      </c>
      <c r="CJ817" s="114">
        <f t="shared" si="1544"/>
        <v>0</v>
      </c>
      <c r="CK817" s="114">
        <f t="shared" si="1545"/>
        <v>0</v>
      </c>
      <c r="CL817" s="114">
        <f t="shared" si="1546"/>
        <v>0</v>
      </c>
      <c r="CM817" s="114">
        <f t="shared" si="1547"/>
        <v>0</v>
      </c>
      <c r="CN817" s="114">
        <f t="shared" si="1548"/>
        <v>0</v>
      </c>
      <c r="CO817" s="114">
        <f t="shared" si="1549"/>
        <v>1</v>
      </c>
      <c r="CP817" s="114">
        <f t="shared" si="1550"/>
        <v>0</v>
      </c>
      <c r="CQ817" s="114">
        <f t="shared" si="1551"/>
        <v>0</v>
      </c>
      <c r="CR817" s="114">
        <f t="shared" si="1552"/>
        <v>0</v>
      </c>
      <c r="CS817" s="114">
        <f t="shared" si="1553"/>
        <v>0</v>
      </c>
      <c r="CT817" s="115">
        <f t="shared" si="1554"/>
        <v>0</v>
      </c>
      <c r="CU817" s="116">
        <f t="shared" si="1555"/>
        <v>0</v>
      </c>
      <c r="CV817" s="116">
        <f t="shared" si="1556"/>
        <v>0</v>
      </c>
      <c r="CW817" s="116">
        <f t="shared" si="1557"/>
        <v>0</v>
      </c>
      <c r="CX817" s="116">
        <f t="shared" si="1558"/>
        <v>0</v>
      </c>
      <c r="CY817" s="116">
        <f t="shared" si="1559"/>
        <v>0</v>
      </c>
      <c r="CZ817" s="116">
        <f t="shared" si="1560"/>
        <v>0</v>
      </c>
      <c r="DA817" s="116">
        <f t="shared" si="1561"/>
        <v>0</v>
      </c>
      <c r="DB817" s="116">
        <f t="shared" si="1562"/>
        <v>0</v>
      </c>
      <c r="DC817" s="116">
        <f t="shared" si="1563"/>
        <v>0</v>
      </c>
      <c r="DD817" s="116">
        <f t="shared" si="1564"/>
        <v>0</v>
      </c>
      <c r="DE817" s="117">
        <f t="shared" si="1565"/>
        <v>0</v>
      </c>
      <c r="DF817" s="118">
        <f t="shared" si="1567"/>
        <v>46</v>
      </c>
      <c r="DG817" s="106">
        <f t="shared" si="1568"/>
        <v>61.367999999999988</v>
      </c>
      <c r="DH817" s="116">
        <f t="shared" si="1569"/>
        <v>17</v>
      </c>
      <c r="DI817" s="106">
        <f t="shared" si="1570"/>
        <v>72.399999999999991</v>
      </c>
      <c r="DJ817" s="201" t="str">
        <f>IF($D817="","",$D817)</f>
        <v>28</v>
      </c>
      <c r="DK817" s="465">
        <f>IF(AND($B817=" ",$D817&lt;&gt;""),1,0)</f>
        <v>0</v>
      </c>
    </row>
    <row r="818" spans="1:115" ht="14.5" customHeight="1" x14ac:dyDescent="0.2">
      <c r="A818" s="389"/>
      <c r="B818" s="456"/>
      <c r="C818" s="120" t="s">
        <v>54</v>
      </c>
      <c r="D818" s="374"/>
      <c r="E818" s="386"/>
      <c r="F818" s="377"/>
      <c r="G818" s="483"/>
      <c r="H818" s="476"/>
      <c r="I818" s="121" t="s">
        <v>66</v>
      </c>
      <c r="J818" s="122">
        <f>IF(OR(I817="TO",I817="TU",I817="TO1",I817="TU1",I817="TO2",I817="TU2"),J817,IF(OR(I817="AH1",I817="AH2"),IF(OR(I818="AH1",I818="AH2"),-J817,IF(OR(I818="EH1",I818="EH2"),-J817+0.5,"")),IF(OR(I817="EH1",I817="EH2"),IF(OR(I818="AH1",I818="AH2"),-J817+0.5,IF(OR(I818="EH1",I818="EH2"),-J817+1,"")),IF(AND(OR(I817="DNB1",I817="DNB2"),OR(I818="AH1",I818="AH2")),0,IF(AND(I817="Not ScoreBoth",OR(I818="TO1",I818="TO2")),0.5,"")))))</f>
        <v>0</v>
      </c>
      <c r="K818" s="123" t="s">
        <v>43</v>
      </c>
      <c r="L818" s="124">
        <v>2.79</v>
      </c>
      <c r="M818" s="125"/>
      <c r="N818" s="406"/>
      <c r="O818" s="126">
        <f>IF(OR(AE817="",AE818=""),"",ROUND(IF(L819&gt;0,IF(M818&gt;0,M818,IF(M817&gt;0,IF(N817=TRUE,ROUND((M817*AE818)/AE817,0),(M817*AE818)/AE817),IF(M818&gt;0,ROUND(M818,IF(N817=0,2,IF(N817=0.1,1,0))),IF(M819&gt;0,ROUND(O819*AE818/AE819,IF(N817=0,2,IF(N817=0.1,1,0))),0)))),IF(M818&gt;0,M818,ROUND((M817*AE818)/AE817,IF(N817=0,2,IF(N817=0.1,1,0))))),2))</f>
        <v>18.41</v>
      </c>
      <c r="P818" s="127">
        <f>IF(OR(L818="",O818=""),"",IF($C818="1/2W",O818/2+O818/2*L818,IF($C818="1/2L",O818/2,IF(I818="Lay",((O818*(L818/(L818-1)))-O818)*(1-_xlfn.XLOOKUP(K818,'Fevereiro 2023 - Valor Real'!A3:A15,'Fevereiro 2023 - Valor Real'!C3:C15,0))+O818,(O818*L818-O818)*(1-_xlfn.XLOOKUP(K818,'Fevereiro 2023 - Valor Real'!A3:A15,'Fevereiro 2023 - Valor Real'!C3:C15,0))+O818))))</f>
        <v>51.363900000000001</v>
      </c>
      <c r="Q818" s="128">
        <f>IF(K818="","",IF(_xlfn.XLOOKUP(K818,K$4:K817,$DJ$4:DJ817,0,,-1)=DJ818,_xlfn.XLOOKUP(K818,K$4:K817,Q$4:Q817,1,,-1)+1,1))</f>
        <v>2</v>
      </c>
      <c r="R818" s="129">
        <f>IF(K818="","",_xlfn.XLOOKUP(K818,K$4:K817,R$4:R817,0,,-1)+IF($C818=" ",1,0))</f>
        <v>0</v>
      </c>
      <c r="S818" s="403"/>
      <c r="T818" s="380"/>
      <c r="U818" s="380"/>
      <c r="V818" s="481"/>
      <c r="W818" s="380"/>
      <c r="X818" s="452"/>
      <c r="Y818" s="383"/>
      <c r="Z818" s="384"/>
      <c r="AA818" s="384"/>
      <c r="AB818" s="384"/>
      <c r="AC818" s="384"/>
      <c r="AD818" s="130">
        <f>(((L818/(L818-1)-1)*(1-_xlfn.XLOOKUP(K818,'Fevereiro 2023 - Valor Real'!A3:A15,'Fevereiro 2023 - Valor Real'!C3:C15,0))+1))</f>
        <v>1.558659217877095</v>
      </c>
      <c r="AE818" s="131">
        <f>IF(L818="","",IF(L819&gt;0,(SUM(((L817-1)*(1-_xlfn.XLOOKUP(K817,'Fevereiro 2023 - Valor Real'!A3:A15,'Fevereiro 2023 - Valor Real'!C3:C15,0))+1),((L818-1)*(1-_xlfn.XLOOKUP(K818,'Fevereiro 2023 - Valor Real'!A3:A15,'Fevereiro 2023 - Valor Real'!C3:C15,0))+1),((L819-1)*(1-_xlfn.XLOOKUP(K819,'Fevereiro 2023 - Valor Real'!A3:A15,'Fevereiro 2023 - Valor Real'!C3:C15,0))+1))/((L818-1)*(1-_xlfn.XLOOKUP(K818,'Fevereiro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Real'!C3:C15,0))+1))/((L817-1)*(1-_xlfn.XLOOKUP(K817,'Fevereiro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Real'!C3:C15,0))+1))/((L818-1)*(1-_xlfn.XLOOKUP(K818,'Fevereiro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Real'!C3:C15,0))+1))/((L819-1)*(1-_xlfn.XLOOKUP(K819,'Fevereiro 2023 - Valor Real'!A3:A15,'Fevereiro 2023 - Valor Real'!C3:C15,0))+1)),IF(I818="Lay",IF(I817="Lay",((L817/(L817-1)-1)*(1-_xlfn.XLOOKUP(K817,'Fevereiro 2023 - Valor Real'!A3:A15,'Fevereiro 2023 - Valor Real'!C3:C15,0))+1)/(((L817/(L817-1)-1)*(1-_xlfn.XLOOKUP(K817,'Fevereiro 2023 - Valor Real'!A3:A15,'Fevereiro 2023 - Valor Real'!C3:C15,0))+1)+((L818/(L818-1)-1)*(1-_xlfn.XLOOKUP(K818,'Fevereiro 2023 - Valor Real'!A3:A15,'Fevereiro 2023 - Valor Real'!C3:C15,0))+1)),((L817-1)*(1-_xlfn.XLOOKUP(K817,'Fevereiro 2023 - Valor Real'!A3:A15,'Fevereiro 2023 - Valor Real'!C3:C15,0))+1)/(((L817-1)*(1-_xlfn.XLOOKUP(K817,'Fevereiro 2023 - Valor Real'!A3:A15,'Fevereiro 2023 - Valor Real'!C3:C15,0))+1)+((L818/(L818-1)-1)*(1-_xlfn.XLOOKUP(K818,'Fevereiro 2023 - Valor Real'!A3:A15,'Fevereiro 2023 - Valor Real'!C3:C15,0))+1))),IF(I817="Lay",((L817/(L817-1)-1)*(1-_xlfn.XLOOKUP(K817,'Fevereiro 2023 - Valor Real'!A3:A15,'Fevereiro 2023 - Valor Real'!C3:C15,0))+1)/((((L817/(L817-1)-1)*(1-_xlfn.XLOOKUP(K817,'Fevereiro 2023 - Valor Real'!A3:A15,'Fevereiro 2023 - Valor Real'!C3:C15,0))+1))+((L818-1)*(1-_xlfn.XLOOKUP(K818,'Fevereiro 2023 - Valor Real'!A3:A15,'Fevereiro 2023 - Valor Real'!C3:C15,0))+1)),((L817-1)*(1-_xlfn.XLOOKUP(K817,'Fevereiro 2023 - Valor Real'!A3:A15,'Fevereiro 2023 - Valor Real'!C3:C15,0))+1)/(((L817-1)*(1-_xlfn.XLOOKUP(K817,'Fevereiro 2023 - Valor Real'!A3:A15,'Fevereiro 2023 - Valor Real'!C3:C15,0))+1)+((L818-1)*(1-_xlfn.XLOOKUP(K818,'Fevereiro 2023 - Valor Real'!A3:A15,'Fevereiro 2023 - Valor Real'!C3:C15,0))+1))))))</f>
        <v>0.38949671772428884</v>
      </c>
      <c r="AF818" s="105">
        <f t="shared" si="1632"/>
        <v>0</v>
      </c>
      <c r="AG818" s="106">
        <f t="shared" si="1632"/>
        <v>0</v>
      </c>
      <c r="AH818" s="106">
        <f t="shared" si="1632"/>
        <v>0</v>
      </c>
      <c r="AI818" s="106">
        <f t="shared" si="1632"/>
        <v>0</v>
      </c>
      <c r="AJ818" s="106">
        <f t="shared" si="1632"/>
        <v>0</v>
      </c>
      <c r="AK818" s="106">
        <f t="shared" si="1632"/>
        <v>0</v>
      </c>
      <c r="AL818" s="106">
        <f t="shared" si="1632"/>
        <v>0</v>
      </c>
      <c r="AM818" s="106">
        <f t="shared" si="1632"/>
        <v>32.950000000000003</v>
      </c>
      <c r="AN818" s="106">
        <f t="shared" si="1632"/>
        <v>0</v>
      </c>
      <c r="AO818" s="106">
        <f t="shared" si="1632"/>
        <v>0</v>
      </c>
      <c r="AP818" s="106">
        <f t="shared" si="1632"/>
        <v>0</v>
      </c>
      <c r="AQ818" s="106">
        <f t="shared" si="1632"/>
        <v>0</v>
      </c>
      <c r="AR818" s="107">
        <f t="shared" si="1632"/>
        <v>0</v>
      </c>
      <c r="AS818" s="105">
        <f>IF(AND($B817=" ",$K818=AS$3),$O818,0)</f>
        <v>0</v>
      </c>
      <c r="AT818" s="106">
        <f>IF(AND($B817=" ",K818=AT$3),$O818,0)</f>
        <v>0</v>
      </c>
      <c r="AU818" s="106">
        <f t="shared" ref="AU818:BE818" si="1640">IF(AND($B817=" ",$K818=AU$3),$O818,0)</f>
        <v>0</v>
      </c>
      <c r="AV818" s="106">
        <f t="shared" si="1640"/>
        <v>0</v>
      </c>
      <c r="AW818" s="106">
        <f t="shared" si="1640"/>
        <v>0</v>
      </c>
      <c r="AX818" s="106">
        <f t="shared" si="1640"/>
        <v>0</v>
      </c>
      <c r="AY818" s="108">
        <f t="shared" si="1640"/>
        <v>0</v>
      </c>
      <c r="AZ818" s="109">
        <f t="shared" si="1640"/>
        <v>0</v>
      </c>
      <c r="BA818" s="109">
        <f t="shared" si="1640"/>
        <v>0</v>
      </c>
      <c r="BB818" s="109">
        <f t="shared" si="1640"/>
        <v>0</v>
      </c>
      <c r="BC818" s="110">
        <f t="shared" si="1640"/>
        <v>0</v>
      </c>
      <c r="BD818" s="106">
        <f t="shared" si="1640"/>
        <v>0</v>
      </c>
      <c r="BE818" s="107">
        <f t="shared" si="1640"/>
        <v>0</v>
      </c>
      <c r="BF818" s="105">
        <f t="shared" si="1634"/>
        <v>0</v>
      </c>
      <c r="BG818" s="106">
        <f t="shared" si="1634"/>
        <v>0</v>
      </c>
      <c r="BH818" s="106">
        <f t="shared" si="1634"/>
        <v>0</v>
      </c>
      <c r="BI818" s="106">
        <f t="shared" si="1634"/>
        <v>0</v>
      </c>
      <c r="BJ818" s="106">
        <f t="shared" si="1634"/>
        <v>0</v>
      </c>
      <c r="BK818" s="106">
        <f t="shared" si="1634"/>
        <v>0</v>
      </c>
      <c r="BL818" s="106">
        <f t="shared" si="1634"/>
        <v>0</v>
      </c>
      <c r="BM818" s="132">
        <f t="shared" si="1634"/>
        <v>18.41</v>
      </c>
      <c r="BN818" s="112">
        <f t="shared" si="1634"/>
        <v>0</v>
      </c>
      <c r="BO818" s="112">
        <f t="shared" si="1634"/>
        <v>0</v>
      </c>
      <c r="BP818" s="112">
        <f t="shared" si="1634"/>
        <v>0</v>
      </c>
      <c r="BQ818" s="110">
        <f t="shared" si="1634"/>
        <v>0</v>
      </c>
      <c r="BR818" s="107">
        <f t="shared" si="1634"/>
        <v>0</v>
      </c>
      <c r="BS818" s="464"/>
      <c r="BT818" s="461"/>
      <c r="BU818" s="392"/>
      <c r="BV818" s="461"/>
      <c r="BW818" s="392"/>
      <c r="BX818" s="392"/>
      <c r="BY818" s="392"/>
      <c r="BZ818" s="461"/>
      <c r="CA818" s="392"/>
      <c r="CB818" s="392"/>
      <c r="CC818" s="392"/>
      <c r="CD818" s="401"/>
      <c r="CE818" s="409"/>
      <c r="CF818" s="133">
        <f t="shared" si="1540"/>
        <v>0</v>
      </c>
      <c r="CG818" s="134">
        <f t="shared" si="1541"/>
        <v>0</v>
      </c>
      <c r="CH818" s="134">
        <f t="shared" si="1542"/>
        <v>0</v>
      </c>
      <c r="CI818" s="134">
        <f t="shared" si="1543"/>
        <v>0</v>
      </c>
      <c r="CJ818" s="134">
        <f t="shared" si="1544"/>
        <v>0</v>
      </c>
      <c r="CK818" s="134">
        <f t="shared" si="1545"/>
        <v>0</v>
      </c>
      <c r="CL818" s="134">
        <f t="shared" si="1546"/>
        <v>0</v>
      </c>
      <c r="CM818" s="134">
        <f t="shared" si="1547"/>
        <v>0</v>
      </c>
      <c r="CN818" s="134">
        <f t="shared" si="1548"/>
        <v>0</v>
      </c>
      <c r="CO818" s="134">
        <f t="shared" si="1549"/>
        <v>0</v>
      </c>
      <c r="CP818" s="134">
        <f t="shared" si="1550"/>
        <v>0</v>
      </c>
      <c r="CQ818" s="134">
        <f t="shared" si="1551"/>
        <v>0</v>
      </c>
      <c r="CR818" s="134">
        <f t="shared" si="1552"/>
        <v>0</v>
      </c>
      <c r="CS818" s="134">
        <f t="shared" si="1553"/>
        <v>0</v>
      </c>
      <c r="CT818" s="115">
        <f t="shared" si="1554"/>
        <v>1</v>
      </c>
      <c r="CU818" s="116">
        <f t="shared" si="1555"/>
        <v>0</v>
      </c>
      <c r="CV818" s="116">
        <f t="shared" si="1556"/>
        <v>0</v>
      </c>
      <c r="CW818" s="116">
        <f t="shared" si="1557"/>
        <v>0</v>
      </c>
      <c r="CX818" s="116">
        <f t="shared" si="1558"/>
        <v>0</v>
      </c>
      <c r="CY818" s="116">
        <f t="shared" si="1559"/>
        <v>0</v>
      </c>
      <c r="CZ818" s="116">
        <f t="shared" si="1560"/>
        <v>0</v>
      </c>
      <c r="DA818" s="116">
        <f t="shared" si="1561"/>
        <v>0</v>
      </c>
      <c r="DB818" s="116">
        <f t="shared" si="1562"/>
        <v>0</v>
      </c>
      <c r="DC818" s="116">
        <f t="shared" si="1563"/>
        <v>0</v>
      </c>
      <c r="DD818" s="116">
        <f t="shared" si="1564"/>
        <v>0</v>
      </c>
      <c r="DE818" s="117">
        <f t="shared" si="1565"/>
        <v>0</v>
      </c>
      <c r="DF818" s="118">
        <f t="shared" si="1567"/>
        <v>46</v>
      </c>
      <c r="DG818" s="106">
        <f t="shared" si="1568"/>
        <v>61.367999999999988</v>
      </c>
      <c r="DH818" s="116">
        <f t="shared" si="1569"/>
        <v>17</v>
      </c>
      <c r="DI818" s="106">
        <f t="shared" si="1570"/>
        <v>72.399999999999991</v>
      </c>
      <c r="DJ818" s="201" t="str">
        <f>IF($D817="","",$D817)</f>
        <v>28</v>
      </c>
      <c r="DK818" s="466"/>
    </row>
    <row r="819" spans="1:115" ht="14.5" customHeight="1" x14ac:dyDescent="0.2">
      <c r="A819" s="390"/>
      <c r="B819" s="457"/>
      <c r="C819" s="135" t="s">
        <v>53</v>
      </c>
      <c r="D819" s="375"/>
      <c r="E819" s="387"/>
      <c r="F819" s="378"/>
      <c r="G819" s="484"/>
      <c r="H819" s="477"/>
      <c r="I819" s="136"/>
      <c r="J819" s="137"/>
      <c r="K819" s="138"/>
      <c r="L819" s="139"/>
      <c r="M819" s="140"/>
      <c r="N819" s="407"/>
      <c r="O819" s="141" t="str">
        <f>IF(OR(AE817="",AE818=""),"",IF(L819&gt;0,ROUND(IF(M819&gt;0,M819,IF(M817&gt;0,ROUND((M817*AE819)/AE817,IF(N817=0,2,IF(N817=0.1,1,0))),IF(M818&gt;0,ROUND((M818*AE819)/AE818,IF(N817=0,2,IF(N817=0.1,1,0))),IF(M819&gt;0,M819,0)))),2),""))</f>
        <v/>
      </c>
      <c r="P819" s="142" t="str">
        <f>IF(I818="Lay",O818*(L818/(L818-1))-O818,IF(I817="Lay",O817*(L817/(L817-1))-O817,IF(OR(L819="",O819=""),"",IF($C819="1/2W",O819/2+O819/2*L819,IF($C819="1/2L",O819/2,(O819*L819-O819)*(1-_xlfn.XLOOKUP(K819,'Fevereiro 2023 - Valor Real'!A3:A15,'Fevereiro 2023 - Valor Real'!C3:C15,0))+O819)))))</f>
        <v/>
      </c>
      <c r="Q819" s="221" t="str">
        <f>IF(K819="","",IF(_xlfn.XLOOKUP(K819,K$4:K818,$DJ$4:DJ818,0,,-1)=DJ819,_xlfn.XLOOKUP(K819,K$4:K818,Q$4:Q818,1,,-1)+1,1))</f>
        <v/>
      </c>
      <c r="R819" s="144" t="str">
        <f>IF(K819="","",_xlfn.XLOOKUP(K819,K$4:K818,R$4:R818,0,,-1)+IF($C819=" ",1,0))</f>
        <v/>
      </c>
      <c r="S819" s="404"/>
      <c r="T819" s="378"/>
      <c r="U819" s="378"/>
      <c r="V819" s="404"/>
      <c r="W819" s="378"/>
      <c r="X819" s="453"/>
      <c r="Y819" s="383"/>
      <c r="Z819" s="384"/>
      <c r="AA819" s="384"/>
      <c r="AB819" s="384"/>
      <c r="AC819" s="384"/>
      <c r="AD819" s="145">
        <f>((L818/(L818-1)-1))</f>
        <v>0.55865921787709505</v>
      </c>
      <c r="AE819" s="146" t="str">
        <f>IF(L819="","",(SUM(((L817-1)*(1-_xlfn.XLOOKUP(K817,'Fevereiro 2023 - Valor Real'!A3:A15,'Fevereiro 2023 - Valor Real'!C3:C15,0))+1),((L818-1)*(1-_xlfn.XLOOKUP(K818,'Fevereiro 2023 - Valor Real'!A3:A15,'Fevereiro 2023 - Valor Real'!C3:C15,0))+1),((L819-1)*(1-_xlfn.XLOOKUP(K819,'Fevereiro 2023 - Valor Real'!A3:A15,'Fevereiro 2023 - Valor Real'!C3:C15,0))+1))/((L819-1)*(1-_xlfn.XLOOKUP(K819,'Fevereiro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Real'!C3:C15,0))+1))/((L817-1)*(1-_xlfn.XLOOKUP(K817,'Fevereiro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Real'!C3:C15,0))+1))/((L818-1)*(1-_xlfn.XLOOKUP(K818,'Fevereiro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Real'!C3:C15,0))+1))/((L819-1)*(1-_xlfn.XLOOKUP(K819,'Fevereiro 2023 - Valor Real'!A3:A15,'Fevereiro 2023 - Valor Real'!C3:C15,0))+1)))</f>
        <v/>
      </c>
      <c r="AF819" s="105">
        <f t="shared" si="1632"/>
        <v>0</v>
      </c>
      <c r="AG819" s="106">
        <f t="shared" si="1632"/>
        <v>0</v>
      </c>
      <c r="AH819" s="106">
        <f t="shared" si="1632"/>
        <v>0</v>
      </c>
      <c r="AI819" s="106">
        <f t="shared" si="1632"/>
        <v>0</v>
      </c>
      <c r="AJ819" s="106">
        <f t="shared" si="1632"/>
        <v>0</v>
      </c>
      <c r="AK819" s="106">
        <f t="shared" si="1632"/>
        <v>0</v>
      </c>
      <c r="AL819" s="106">
        <f t="shared" si="1632"/>
        <v>0</v>
      </c>
      <c r="AM819" s="106">
        <f t="shared" si="1632"/>
        <v>0</v>
      </c>
      <c r="AN819" s="106">
        <f t="shared" si="1632"/>
        <v>0</v>
      </c>
      <c r="AO819" s="106">
        <f t="shared" si="1632"/>
        <v>0</v>
      </c>
      <c r="AP819" s="106">
        <f t="shared" si="1632"/>
        <v>0</v>
      </c>
      <c r="AQ819" s="106">
        <f t="shared" si="1632"/>
        <v>0</v>
      </c>
      <c r="AR819" s="107">
        <f t="shared" si="1632"/>
        <v>0</v>
      </c>
      <c r="AS819" s="105">
        <f>IF(AND($B817=" ",$K819=AS$3),$O819,0)</f>
        <v>0</v>
      </c>
      <c r="AT819" s="106">
        <f>IF(AND($B817=" ",K819=AT$3),$O819,0)</f>
        <v>0</v>
      </c>
      <c r="AU819" s="106">
        <f t="shared" ref="AU819:BE819" si="1641">IF(AND($B817=" ",$K819=AU$3),$O819,0)</f>
        <v>0</v>
      </c>
      <c r="AV819" s="106">
        <f t="shared" si="1641"/>
        <v>0</v>
      </c>
      <c r="AW819" s="106">
        <f t="shared" si="1641"/>
        <v>0</v>
      </c>
      <c r="AX819" s="106">
        <f t="shared" si="1641"/>
        <v>0</v>
      </c>
      <c r="AY819" s="108">
        <f t="shared" si="1641"/>
        <v>0</v>
      </c>
      <c r="AZ819" s="109">
        <f t="shared" si="1641"/>
        <v>0</v>
      </c>
      <c r="BA819" s="109">
        <f t="shared" si="1641"/>
        <v>0</v>
      </c>
      <c r="BB819" s="109">
        <f t="shared" si="1641"/>
        <v>0</v>
      </c>
      <c r="BC819" s="110">
        <f t="shared" si="1641"/>
        <v>0</v>
      </c>
      <c r="BD819" s="106">
        <f t="shared" si="1641"/>
        <v>0</v>
      </c>
      <c r="BE819" s="107">
        <f t="shared" si="1641"/>
        <v>0</v>
      </c>
      <c r="BF819" s="105">
        <f t="shared" si="1634"/>
        <v>0</v>
      </c>
      <c r="BG819" s="106">
        <f t="shared" si="1634"/>
        <v>0</v>
      </c>
      <c r="BH819" s="106">
        <f t="shared" si="1634"/>
        <v>0</v>
      </c>
      <c r="BI819" s="106">
        <f t="shared" si="1634"/>
        <v>0</v>
      </c>
      <c r="BJ819" s="106">
        <f t="shared" si="1634"/>
        <v>0</v>
      </c>
      <c r="BK819" s="106">
        <f t="shared" si="1634"/>
        <v>0</v>
      </c>
      <c r="BL819" s="106">
        <f t="shared" si="1634"/>
        <v>0</v>
      </c>
      <c r="BM819" s="108">
        <f t="shared" si="1634"/>
        <v>0</v>
      </c>
      <c r="BN819" s="109">
        <f t="shared" si="1634"/>
        <v>0</v>
      </c>
      <c r="BO819" s="109">
        <f t="shared" si="1634"/>
        <v>0</v>
      </c>
      <c r="BP819" s="109">
        <f t="shared" si="1634"/>
        <v>0</v>
      </c>
      <c r="BQ819" s="110">
        <f t="shared" si="1634"/>
        <v>0</v>
      </c>
      <c r="BR819" s="107">
        <f t="shared" si="1634"/>
        <v>0</v>
      </c>
      <c r="BS819" s="464"/>
      <c r="BT819" s="461"/>
      <c r="BU819" s="392"/>
      <c r="BV819" s="461"/>
      <c r="BW819" s="392"/>
      <c r="BX819" s="392"/>
      <c r="BY819" s="392"/>
      <c r="BZ819" s="461"/>
      <c r="CA819" s="392"/>
      <c r="CB819" s="392"/>
      <c r="CC819" s="392"/>
      <c r="CD819" s="401"/>
      <c r="CE819" s="409"/>
      <c r="CF819" s="133">
        <f t="shared" si="1540"/>
        <v>0</v>
      </c>
      <c r="CG819" s="134">
        <f t="shared" si="1541"/>
        <v>0</v>
      </c>
      <c r="CH819" s="134">
        <f t="shared" si="1542"/>
        <v>0</v>
      </c>
      <c r="CI819" s="134">
        <f t="shared" si="1543"/>
        <v>0</v>
      </c>
      <c r="CJ819" s="134">
        <f t="shared" si="1544"/>
        <v>0</v>
      </c>
      <c r="CK819" s="134">
        <f t="shared" si="1545"/>
        <v>0</v>
      </c>
      <c r="CL819" s="134">
        <f t="shared" si="1546"/>
        <v>0</v>
      </c>
      <c r="CM819" s="134">
        <f t="shared" si="1547"/>
        <v>0</v>
      </c>
      <c r="CN819" s="134">
        <f t="shared" si="1548"/>
        <v>0</v>
      </c>
      <c r="CO819" s="134">
        <f t="shared" si="1549"/>
        <v>0</v>
      </c>
      <c r="CP819" s="134">
        <f t="shared" si="1550"/>
        <v>0</v>
      </c>
      <c r="CQ819" s="134">
        <f t="shared" si="1551"/>
        <v>0</v>
      </c>
      <c r="CR819" s="134">
        <f t="shared" si="1552"/>
        <v>0</v>
      </c>
      <c r="CS819" s="134">
        <f t="shared" si="1553"/>
        <v>0</v>
      </c>
      <c r="CT819" s="115">
        <f t="shared" si="1554"/>
        <v>0</v>
      </c>
      <c r="CU819" s="116">
        <f t="shared" si="1555"/>
        <v>0</v>
      </c>
      <c r="CV819" s="116">
        <f t="shared" si="1556"/>
        <v>0</v>
      </c>
      <c r="CW819" s="116">
        <f t="shared" si="1557"/>
        <v>0</v>
      </c>
      <c r="CX819" s="116">
        <f t="shared" si="1558"/>
        <v>0</v>
      </c>
      <c r="CY819" s="116">
        <f t="shared" si="1559"/>
        <v>0</v>
      </c>
      <c r="CZ819" s="116">
        <f t="shared" si="1560"/>
        <v>0</v>
      </c>
      <c r="DA819" s="116">
        <f t="shared" si="1561"/>
        <v>0</v>
      </c>
      <c r="DB819" s="116">
        <f t="shared" si="1562"/>
        <v>0</v>
      </c>
      <c r="DC819" s="116">
        <f t="shared" si="1563"/>
        <v>0</v>
      </c>
      <c r="DD819" s="116">
        <f t="shared" si="1564"/>
        <v>0</v>
      </c>
      <c r="DE819" s="117">
        <f t="shared" si="1565"/>
        <v>0</v>
      </c>
      <c r="DF819" s="118">
        <f t="shared" si="1567"/>
        <v>46</v>
      </c>
      <c r="DG819" s="106">
        <f t="shared" si="1568"/>
        <v>61.367999999999988</v>
      </c>
      <c r="DH819" s="116">
        <f t="shared" si="1569"/>
        <v>17</v>
      </c>
      <c r="DI819" s="106">
        <f t="shared" si="1570"/>
        <v>72.399999999999991</v>
      </c>
      <c r="DJ819" s="201" t="str">
        <f>IF($D817="","",$D817)</f>
        <v>28</v>
      </c>
      <c r="DK819" s="466"/>
    </row>
    <row r="820" spans="1:115" ht="14.5" customHeight="1" x14ac:dyDescent="0.2">
      <c r="A820" s="487">
        <f>$A817+1</f>
        <v>273</v>
      </c>
      <c r="B820" s="506" t="str">
        <f>IF(OR(C820="W",C821="W",C822="W",C820="1/2W",C821="1/2W",C822="1/2W",C820="1/2L",C821="1/2L",C822="1/2L"),"OK",IF(OR(C820="L",C821="L",C822="L"),"LOSS",IF(OR(C820="X",C821="X",C822="X"),"Anulado"," ")))</f>
        <v>OK</v>
      </c>
      <c r="C820" s="147" t="s">
        <v>55</v>
      </c>
      <c r="D820" s="494" t="str">
        <f>IF(G820="","",$D817)</f>
        <v>28</v>
      </c>
      <c r="E820" s="511" t="str">
        <f>IF(G820=""," ","– "&amp;COUNTIF(D$4:D822,$D820))</f>
        <v>– 4</v>
      </c>
      <c r="F820" s="510" t="str">
        <f ca="1">IF(G820="","",IF(OR(AND($C820&lt;&gt;" ",$C821=" "),AND($C821&lt;&gt;" ",$C820=" "),AND(L822&gt;0,OR(AND($C822&lt;&gt;" ",OR($C820=" ",$C821=" ")),AND($C822=" ",OR($C820&lt;&gt;" ",$C821&lt;&gt;" "))))),IF(SUM(F$4:F819)=0,1,LARGE(F$4:F819,1)+1),IF(MONTH(G820)=MONTH(TODAY()),IF(AND(DAY(G820)&lt;DAY(TODAY()),$B820=" "),IF(SUM(F$4:F819)=0,1,LARGE(F$4:F819,1)+1),IF($B820=" ",IF(AND(DAY(G820)=DAY(TODAY()),HOUR(G820)&lt;=HOUR(NOW())+1),IF(AND(HOUR(G820)+2&lt;=HOUR(NOW()),DAY(G820)&lt;=DAY(TODAY()),MINUTE(G820)&lt;=MINUTE(NOW())),IF(SUM(F$4:F819)=0,1,LARGE(F$4:F819,1)+1),IF(OR(MINUTE(G820)&lt;=MINUTE(NOW()),HOUR(G820)&lt;=HOUR(NOW())),"!!!","")),""),"")),"")))</f>
        <v/>
      </c>
      <c r="G820" s="517">
        <v>45013.65625</v>
      </c>
      <c r="H820" s="516" t="s">
        <v>278</v>
      </c>
      <c r="I820" s="222" t="s">
        <v>51</v>
      </c>
      <c r="J820" s="223">
        <v>3.5</v>
      </c>
      <c r="K820" s="224" t="s">
        <v>37</v>
      </c>
      <c r="L820" s="225">
        <v>1.95</v>
      </c>
      <c r="M820" s="226"/>
      <c r="N820" s="503">
        <v>0</v>
      </c>
      <c r="O820" s="153">
        <f>IF(OR(AE820="",AE821=""),"",ROUND(IF(L822&gt;0,IF(M820&gt;0,M820,IF(M821&gt;0,ROUND((M821*AE820)/AE821,IF(N820=0,2,IF(N820=0.1,1,0))),ROUND((M822*AE820)/AE822,IF(N820=0,2,IF(N820=0.1,1,0))))),IF(M820&gt;0,M820,ROUND((M821*AE820)/AE821,IF(N820=0,2,IF(N820=0.1,1,0))))),2))</f>
        <v>20.350000000000001</v>
      </c>
      <c r="P820" s="227">
        <f>IF(OR(L820="",O820=""),"",IF($C820="1/2W",O820/2+O820/2*L820,IF($C820="1/2L",O820/2,IF(I820="Lay",(O820*(L820/(L820-1))-O820)*(1-_xlfn.XLOOKUP(K820,'Fevereiro 2023 - Valor Real'!A3:A15,'Fevereiro 2023 - Valor Real'!C3:C15,0))+O820,(O820*L820-O820)*(1-_xlfn.XLOOKUP(K820,'Fevereiro 2023 - Valor Real'!A3:A15,'Fevereiro 2023 - Valor Real'!C3:C15,0))+O820))))</f>
        <v>39.682500000000005</v>
      </c>
      <c r="Q820" s="228">
        <f>IF(K820="","",IF(_xlfn.XLOOKUP(K820,K$4:K819,$DJ$4:DJ819,0,,-1)=DJ820,_xlfn.XLOOKUP(K820,K$4:K819,Q$4:Q819,1,,-1)+1,1))</f>
        <v>1</v>
      </c>
      <c r="R820" s="229">
        <f>IF(K820="","",_xlfn.XLOOKUP(K820,K$4:K819,R$4:R819,0,,-1)+IF($C820=" ",1,0))</f>
        <v>0</v>
      </c>
      <c r="S820" s="501">
        <f>IF($B820="Anulado",0,ROUND(IF(OR($B820="LOSS",$B820="OK"),IF(OR($C820="W",$C820="1/2W",$C820="1/2L"),P820-O820,IF($C820="L",-O820,0))+IF(OR($C821="W",$C821="1/2W",$C821="1/2L"),P821-O821,IF($C821="L",-O821,0))+IF(OR($C822="W",$C822="1/2W",$C822="1/2L"),P822-O822,IF($C822="L",-O822,0)),IF(AND(OR($C820="W",$C820="1/2W",$C820="1/2L"),C821="W"),P820+P821-SUM(O820:O822)+_xlfn.XLOOKUP("X",C820:C822,O820:O822,0),IF(AND(C820=TRUE,C822="W"),P820+P822-SUM(O820:O822),IF(AND(C821="W",C822="W"),P821+P822-SUM(O820:O822)+_xlfn.XLOOKUP("X",C820:C822,O820:O822,0),IF(L822&gt;0,IF(OR($C820="W",$C820="1/2W",$C820="1/2L"),P820-SUM(O820:O822)+_xlfn.XLOOKUP("X",C820:C822,O820:O822,0),IF(OR($C820="W",$C820="1/2W",$C820="1/2L"),P821-SUM(O820:O822)+_xlfn.XLOOKUP("X",C820:C822,O820:O822,0),IF(OR($C820="W",$C820="1/2W",$C820="1/2L"),P822-SUM(O820:O822)+_xlfn.XLOOKUP("X",C820:C822,O820:O822,0),IF(SUM(P820:P822)/3-SUM(O820:O822)+_xlfn.XLOOKUP("X",C820:C822,O820:O822,0)&gt;0,SUM(P820:P822)/3-SUM(O820:O822)+_xlfn.XLOOKUP("X",C820:C822,O820:O822,0),LARGE(P820:P822,1)-SUM(O820:O822))))),IF(OR($C820="W",$C820="1/2W",$C820="1/2L"),P820-SUM(O820:O821)+_xlfn.XLOOKUP("X",C820:C822,O820:O822,0),IF(OR($C820="W",$C820="1/2W",$C820="1/2L"),P821-SUM(O820:O821)+_xlfn.XLOOKUP("X",C820:C822,O820:O822,0),SUM(P820:P821)/2-SUM(O820:O821)+_xlfn.XLOOKUP("X",C820:C822,O820:O822,0)))))))),2))</f>
        <v>2.16</v>
      </c>
      <c r="T820" s="486">
        <f>IF(S820=0,0,S820/SUM(O820:O822))</f>
        <v>5.7553956834532377E-2</v>
      </c>
      <c r="U820" s="496">
        <f>IF($D820=$D817,IF(OR($B820="LOSS",$B820="OK",$B820="Anulada"),S820,0)+U817,IF(OR($B820="LOSS",$B820="OK",$B820="Anulada"),S820,0))</f>
        <v>8.32</v>
      </c>
      <c r="V820" s="496">
        <f>IF($D820="",0,IF($D820=$D817,IF($B820=" ",IF(I822="",IF(OR(AND(I820="DNB1",I821="DNB2"),AND(OR(I820="DNB1",I820="DNB2"),J821=0),AND(OR(I821="DNB1",I821="DNB2"),J820=0),AND(I820="DNB2",I821="DNB1"),AND(IF(J820=0,(J820+1)/ROUND(J820+1,0),J820/ROUND(J820,0))=1,IF(J821=0,(J821+1)/ROUND(IF(J821="",0,J821)+1,0),IF(J821="",0,J821)/ROUND(IF(J821="",1,J821),0))=1,OR(J820&lt;&gt;""),J821&lt;&gt;"")),0,IF(S820&lt;0,IF(I822="",SMALL(P820:P821,1)-SUM(O820:O821),0),SMALL(P820:P821,1)-SUM(O820:O821))),IF(S820&lt;0,IF(I822="",SMALL(P820:P822,1)-SUM(O820:O822),0),LARGE(P820:P822,1)-SUM(O820:O822))),S820)+V817,IF(I822="",IF(OR(AND(I820="DNB1",I821="DNB2"),AND(OR(I820="DNB1",I820="DNB2"),J821=0),AND(OR(I821="DNB1",I821="DNB2"),J820=0),AND(I820="DNB2",I821="DNB1"),AND(IF(J820=0,(J820+1)/ROUND(J820+1,0),J820/ROUND(J820,0))=1,IF(J821=0,(IF(J821="",0,J821)+1)/ROUND(IF(J821="",0,J821)+1,0),IF(J821="",0,J821)/ROUND(IF(J821="",0,J821)+1,0))=1,OR(J820&lt;&gt;""),J821&lt;&gt;"")),0,IF(S820&lt;0,IF(I822="",SMALL(P820:P821,1)-SUM(O820:O821),0),SMALL(P820:P822,1)-SUM(O820:O822))),IF(S820&lt;0,IF(I822="",SMALL(P820:P822,1)-SUM(O820:O822),0),LARGE(P820:P822,1)-SUM(O820:O822)))))</f>
        <v>8.2879999999999967</v>
      </c>
      <c r="W820" s="496">
        <f>IF($D820=$D817,IF(S820&lt;0,IF(I822="",S820,0),S820)+W817,S820)</f>
        <v>8.32</v>
      </c>
      <c r="X820" s="505" t="str">
        <f>IF(OR(SUM(R820:R822)=0,V820=W820),ROUND(IF(W820=0,0,W820/Y820)*100,2)&amp;"%",ROUND(IF(V820=0,0,V820/Y820)*100,2)&amp;"% a "&amp;ROUND(IF(W820=0,0,W820/Y820)*100,2)&amp;"%")</f>
        <v>6,67%</v>
      </c>
      <c r="Y820" s="497">
        <f>IF($D820=$D817,Y817+SUM(O820:O822),SUM(O820:O822))</f>
        <v>124.67</v>
      </c>
      <c r="Z820" s="496">
        <f>IF($B820=" ",SUM(O820:O822),0)+Z817</f>
        <v>0</v>
      </c>
      <c r="AA820" s="496">
        <f>IF(G820="","",IF($B820="Anulado",LARGE(P820:P822,1)-SUM(O820:O822)+AA817,AA817))</f>
        <v>13.381099999999991</v>
      </c>
      <c r="AB820" s="496">
        <f>IF($D820="","",AB817+S820)</f>
        <v>903.33000000000072</v>
      </c>
      <c r="AC820" s="499">
        <f ca="1">IF($D820="","",IF($B820=" ",IF(DAY(G820)=DAY(TODAY()),1+AC817,0+AC817),0+AC817))</f>
        <v>0</v>
      </c>
      <c r="AD820" s="157">
        <f>(((L821/(L821-1)-1)*(1-_xlfn.XLOOKUP(K821,'Fevereiro 2023 - Valor Real'!A3:A15,'Fevereiro 2023 - Valor Real'!C3:C15,0))+1))/(((L820-1)*(1-_xlfn.XLOOKUP(K820,'Fevereiro 2023 - Valor Real'!A3:A15,'Fevereiro 2023 - Valor Real'!C3:C15,0))+1)+((L821/(L821-1)-1)*(1-_xlfn.XLOOKUP(K821,'Fevereiro 2023 - Valor Real'!A3:A15,'Fevereiro 2023 - Valor Real'!C3:C15,0))+1))</f>
        <v>0.47486894850447114</v>
      </c>
      <c r="AE820" s="158">
        <f>IF(L820="","",IF(L822&gt;0,(SUM(((L820-1)*(1-_xlfn.XLOOKUP(K820,'Fevereiro 2023 - Valor Real'!A3:A15,'Fevereiro 2023 - Valor Real'!C3:C15,0))+1),((L821-1)*(1-_xlfn.XLOOKUP(K821,'Fevereiro 2023 - Valor Real'!A3:A15,'Fevereiro 2023 - Valor Real'!C3:C15,0))+1),((L822-1)*(1-_xlfn.XLOOKUP(K822,'Fevereiro 2023 - Valor Real'!A3:A15,'Fevereiro 2023 - Valor Real'!C3:C15,0))+1))/((L820-1)*(1-_xlfn.XLOOKUP(K820,'Fevereiro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Real'!C3:C15,0))+1))/((L820-1)*(1-_xlfn.XLOOKUP(K820,'Fevereiro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Real'!C3:C15,0))+1))/((L821-1)*(1-_xlfn.XLOOKUP(K821,'Fevereiro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Real'!C3:C15,0))+1))/((L822-1)*(1-_xlfn.XLOOKUP(K822,'Fevereiro 2023 - Valor Real'!A3:A15,'Fevereiro 2023 - Valor Real'!C3:C15,0))+1)),IF(I820="Lay",IF(I821="Lay",((L821/(L821-1)-1)*(1-_xlfn.XLOOKUP(K821,'Fevereiro 2023 - Valor Real'!A3:A15,'Fevereiro 2023 - Valor Real'!C3:C15,0))+1)/(((L821/(L821-1)-1)*(1-_xlfn.XLOOKUP(K821,'Fevereiro 2023 - Valor Real'!A3:A15,'Fevereiro 2023 - Valor Real'!C3:C15,0))+1)+((L820/(L820-1)-1)*(1-_xlfn.XLOOKUP(K820,'Fevereiro 2023 - Valor Real'!A3:A15,'Fevereiro 2023 - Valor Real'!C3:C15,0))+1)),((L821-1)*(1-_xlfn.XLOOKUP(K821,'Fevereiro 2023 - Valor Real'!A3:A15,'Fevereiro 2023 - Valor Real'!C3:C15,0))+1)/(((L821-1)*(1-_xlfn.XLOOKUP(K821,'Fevereiro 2023 - Valor Real'!A3:A15,'Fevereiro 2023 - Valor Real'!C3:C15,0))+1)+((L820/(L820-1)-1)*(1-_xlfn.XLOOKUP(K820,'Fevereiro 2023 - Valor Real'!A3:A15,'Fevereiro 2023 - Valor Real'!C3:C15,0))+1))),IF(I821="Lay",(((L821/(L821-1)-1)*(1-_xlfn.XLOOKUP(K821,'Fevereiro 2023 - Valor Real'!A3:A15,'Fevereiro 2023 - Valor Real'!C3:C15,0))+1))/(((L820-1)*(1-_xlfn.XLOOKUP(K820,'Fevereiro 2023 - Valor Real'!A3:A15,'Fevereiro 2023 - Valor Real'!C3:C15,0))+1)+((L821/(L821-1)-1)*(1-_xlfn.XLOOKUP(K821,'Fevereiro 2023 - Valor Real'!A3:A15,'Fevereiro 2023 - Valor Real'!C3:C15,0))+1)),((L821-1)*(1-_xlfn.XLOOKUP(K821,'Fevereiro 2023 - Valor Real'!A3:A15,'Fevereiro 2023 - Valor Real'!C3:C15,0))+1)/(((L821-1)*(1-_xlfn.XLOOKUP(K821,'Fevereiro 2023 - Valor Real'!A3:A15,'Fevereiro 2023 - Valor Real'!C3:C15,0))+1)+((L820-1)*(1-_xlfn.XLOOKUP(K820,'Fevereiro 2023 - Valor Real'!A3:A15,'Fevereiro 2023 - Valor Real'!C3:C15,0))+1))))))</f>
        <v>0.54225352112676062</v>
      </c>
      <c r="AF820" s="66">
        <f t="shared" si="1632"/>
        <v>0</v>
      </c>
      <c r="AG820" s="67">
        <f t="shared" si="1632"/>
        <v>-20.350000000000001</v>
      </c>
      <c r="AH820" s="67">
        <f t="shared" si="1632"/>
        <v>0</v>
      </c>
      <c r="AI820" s="67">
        <f t="shared" si="1632"/>
        <v>0</v>
      </c>
      <c r="AJ820" s="67">
        <f t="shared" si="1632"/>
        <v>0</v>
      </c>
      <c r="AK820" s="67">
        <f t="shared" si="1632"/>
        <v>0</v>
      </c>
      <c r="AL820" s="67">
        <f t="shared" si="1632"/>
        <v>0</v>
      </c>
      <c r="AM820" s="67">
        <f t="shared" si="1632"/>
        <v>0</v>
      </c>
      <c r="AN820" s="67">
        <f t="shared" si="1632"/>
        <v>0</v>
      </c>
      <c r="AO820" s="67">
        <f t="shared" si="1632"/>
        <v>0</v>
      </c>
      <c r="AP820" s="67">
        <f t="shared" si="1632"/>
        <v>0</v>
      </c>
      <c r="AQ820" s="67">
        <f t="shared" si="1632"/>
        <v>0</v>
      </c>
      <c r="AR820" s="68">
        <f t="shared" si="1632"/>
        <v>0</v>
      </c>
      <c r="AS820" s="66">
        <f t="shared" ref="AS820:BE820" si="1642">IF(AND($B820=" ",$K820=AS$3),$O820,0)</f>
        <v>0</v>
      </c>
      <c r="AT820" s="67">
        <f t="shared" si="1642"/>
        <v>0</v>
      </c>
      <c r="AU820" s="67">
        <f t="shared" si="1642"/>
        <v>0</v>
      </c>
      <c r="AV820" s="67">
        <f t="shared" si="1642"/>
        <v>0</v>
      </c>
      <c r="AW820" s="67">
        <f t="shared" si="1642"/>
        <v>0</v>
      </c>
      <c r="AX820" s="67">
        <f t="shared" si="1642"/>
        <v>0</v>
      </c>
      <c r="AY820" s="69">
        <f t="shared" si="1642"/>
        <v>0</v>
      </c>
      <c r="AZ820" s="70">
        <f t="shared" si="1642"/>
        <v>0</v>
      </c>
      <c r="BA820" s="70">
        <f t="shared" si="1642"/>
        <v>0</v>
      </c>
      <c r="BB820" s="70">
        <f t="shared" si="1642"/>
        <v>0</v>
      </c>
      <c r="BC820" s="71">
        <f t="shared" si="1642"/>
        <v>0</v>
      </c>
      <c r="BD820" s="67">
        <f t="shared" si="1642"/>
        <v>0</v>
      </c>
      <c r="BE820" s="68">
        <f t="shared" si="1642"/>
        <v>0</v>
      </c>
      <c r="BF820" s="230">
        <f t="shared" si="1634"/>
        <v>0</v>
      </c>
      <c r="BG820" s="67">
        <f t="shared" si="1634"/>
        <v>20.350000000000001</v>
      </c>
      <c r="BH820" s="67">
        <f t="shared" si="1634"/>
        <v>0</v>
      </c>
      <c r="BI820" s="67">
        <f t="shared" si="1634"/>
        <v>0</v>
      </c>
      <c r="BJ820" s="67">
        <f t="shared" si="1634"/>
        <v>0</v>
      </c>
      <c r="BK820" s="67">
        <f t="shared" si="1634"/>
        <v>0</v>
      </c>
      <c r="BL820" s="67">
        <f t="shared" si="1634"/>
        <v>0</v>
      </c>
      <c r="BM820" s="69">
        <f t="shared" si="1634"/>
        <v>0</v>
      </c>
      <c r="BN820" s="70">
        <f t="shared" si="1634"/>
        <v>0</v>
      </c>
      <c r="BO820" s="70">
        <f t="shared" si="1634"/>
        <v>0</v>
      </c>
      <c r="BP820" s="70">
        <f t="shared" si="1634"/>
        <v>0</v>
      </c>
      <c r="BQ820" s="71">
        <f t="shared" si="1634"/>
        <v>0</v>
      </c>
      <c r="BR820" s="68">
        <f t="shared" si="1634"/>
        <v>0</v>
      </c>
      <c r="BS820" s="490">
        <f>IF($B820="LOSS",IF(AND($K820=BS$3,$C820="L"),-$O820,0)+IF(AND($K821=BS$3,$C821="L"),-$O821,0)+IF(AND($K822=BS$3,$C822="L"),-$O822,0),IF(OR(AND($K820=BS$3,OR($C820="W",$C820="1/2W")),AND($K821=BS$3,OR($C821="W",$C821="1/2W")),AND($K822=BS$3,OR($C822="W",$C822="1/2W"))),$S820,0))</f>
        <v>0</v>
      </c>
      <c r="BT820" s="488">
        <f>IF($B820="LOSS",IF(AND($K820=BT$3,$C820="L"),-$O820,0)+IF(AND($K821=BT$3,$C821="L"),-$O821,0)+IF(AND($K821=BT$3,$C822="L"),-$O822,0),IF(OR(AND($K821=BT$3,OR($C820="W",$C820="1/2W")),AND($K821=BT$3,OR($C821="W",$C821="1/2W")),AND($K821=BT$3,OR($C822="W",$C822="1/2W"))),$S820,0))</f>
        <v>0</v>
      </c>
      <c r="BU820" s="488">
        <f>IF($B820="LOSS",IF(AND($K820=BU$3,$C820="L"),-$O820,0)+IF(AND($K821=BU$3,$C821="L"),-$O821,0)+IF(AND($K821=BU$3,$C822="L"),-$O822,0),IF(OR(AND($K821=BU$3,OR($C820="W",$C820="1/2W")),AND($K821=BU$3,OR($C821="W",$C821="1/2W")),AND($K821=BU$3,OR($C822="W",$C822="1/2W"))),$S820,0))</f>
        <v>0</v>
      </c>
      <c r="BV820" s="488">
        <f t="shared" ref="BV820:CE820" si="1643">IF($B820="LOSS",IF(AND($K820=BV$3,$C820="L"),-$O820,0)+IF(AND($K821=BV$3,$C821="L"),-$O821,0)+IF(AND($K822=BV$3,$C822="L"),-$O822,0),IF(OR(AND($K820=BV$3,OR($C820="W",$C820="1/2W")),AND($K821=BV$3,OR($C821="W",$C821="1/2W")),AND($K822=BV$3,OR($C822="W",$C822="1/2W"))),$S820,0))</f>
        <v>0</v>
      </c>
      <c r="BW820" s="488">
        <f t="shared" si="1643"/>
        <v>2.16</v>
      </c>
      <c r="BX820" s="488">
        <f t="shared" si="1643"/>
        <v>0</v>
      </c>
      <c r="BY820" s="488">
        <f t="shared" si="1643"/>
        <v>0</v>
      </c>
      <c r="BZ820" s="498">
        <f t="shared" si="1643"/>
        <v>0</v>
      </c>
      <c r="CA820" s="498">
        <f t="shared" si="1643"/>
        <v>0</v>
      </c>
      <c r="CB820" s="498">
        <f t="shared" si="1643"/>
        <v>0</v>
      </c>
      <c r="CC820" s="498">
        <f t="shared" si="1643"/>
        <v>0</v>
      </c>
      <c r="CD820" s="500">
        <f t="shared" si="1643"/>
        <v>0</v>
      </c>
      <c r="CE820" s="504">
        <f t="shared" si="1643"/>
        <v>0</v>
      </c>
      <c r="CF820" s="160">
        <f t="shared" si="1540"/>
        <v>0</v>
      </c>
      <c r="CG820" s="161">
        <f t="shared" si="1541"/>
        <v>0</v>
      </c>
      <c r="CH820" s="161">
        <f t="shared" si="1542"/>
        <v>0</v>
      </c>
      <c r="CI820" s="161">
        <f t="shared" si="1543"/>
        <v>1</v>
      </c>
      <c r="CJ820" s="161">
        <f t="shared" si="1544"/>
        <v>0</v>
      </c>
      <c r="CK820" s="161">
        <f t="shared" si="1545"/>
        <v>0</v>
      </c>
      <c r="CL820" s="161">
        <f t="shared" si="1546"/>
        <v>0</v>
      </c>
      <c r="CM820" s="161">
        <f t="shared" si="1547"/>
        <v>0</v>
      </c>
      <c r="CN820" s="161">
        <f t="shared" si="1548"/>
        <v>0</v>
      </c>
      <c r="CO820" s="161">
        <f t="shared" si="1549"/>
        <v>0</v>
      </c>
      <c r="CP820" s="161">
        <f t="shared" si="1550"/>
        <v>0</v>
      </c>
      <c r="CQ820" s="161">
        <f t="shared" si="1551"/>
        <v>0</v>
      </c>
      <c r="CR820" s="161">
        <f t="shared" si="1552"/>
        <v>0</v>
      </c>
      <c r="CS820" s="161">
        <f t="shared" si="1553"/>
        <v>0</v>
      </c>
      <c r="CT820" s="75">
        <f t="shared" si="1554"/>
        <v>0</v>
      </c>
      <c r="CU820" s="76">
        <f t="shared" si="1555"/>
        <v>0</v>
      </c>
      <c r="CV820" s="76">
        <f t="shared" si="1556"/>
        <v>0</v>
      </c>
      <c r="CW820" s="76">
        <f t="shared" si="1557"/>
        <v>0</v>
      </c>
      <c r="CX820" s="76">
        <f t="shared" si="1558"/>
        <v>0</v>
      </c>
      <c r="CY820" s="76">
        <f t="shared" si="1559"/>
        <v>0</v>
      </c>
      <c r="CZ820" s="76">
        <f t="shared" si="1560"/>
        <v>0</v>
      </c>
      <c r="DA820" s="76">
        <f t="shared" si="1561"/>
        <v>0</v>
      </c>
      <c r="DB820" s="76">
        <f t="shared" si="1562"/>
        <v>0</v>
      </c>
      <c r="DC820" s="76">
        <f t="shared" si="1563"/>
        <v>0</v>
      </c>
      <c r="DD820" s="76">
        <f t="shared" si="1564"/>
        <v>0</v>
      </c>
      <c r="DE820" s="77">
        <f t="shared" si="1565"/>
        <v>0</v>
      </c>
      <c r="DF820" s="73">
        <f t="shared" si="1567"/>
        <v>46</v>
      </c>
      <c r="DG820" s="67">
        <f t="shared" si="1568"/>
        <v>61.367999999999988</v>
      </c>
      <c r="DH820" s="76">
        <f t="shared" si="1569"/>
        <v>17</v>
      </c>
      <c r="DI820" s="67">
        <f t="shared" si="1570"/>
        <v>72.399999999999991</v>
      </c>
      <c r="DJ820" s="202" t="str">
        <f>IF($D820="","",$D820)</f>
        <v>28</v>
      </c>
      <c r="DK820" s="492">
        <f>IF(AND($B820=" ",$D820&lt;&gt;""),1,0)</f>
        <v>0</v>
      </c>
    </row>
    <row r="821" spans="1:115" ht="14.5" customHeight="1" x14ac:dyDescent="0.2">
      <c r="A821" s="389"/>
      <c r="B821" s="456"/>
      <c r="C821" s="53" t="s">
        <v>54</v>
      </c>
      <c r="D821" s="374"/>
      <c r="E821" s="386"/>
      <c r="F821" s="377"/>
      <c r="G821" s="483"/>
      <c r="H821" s="476"/>
      <c r="I821" s="55" t="s">
        <v>52</v>
      </c>
      <c r="J821" s="231">
        <f>IF(OR(I820="TO",I820="TU",I820="TO1",I820="TU1",I820="TO2",I820="TU2"),J820,IF(OR(I820="AH1",I820="AH2"),IF(OR(I821="AH1",I821="AH2"),-J820,IF(OR(I821="EH1",I821="EH2"),-J820+0.5,"")),IF(OR(I820="EH1",I820="EH2"),IF(OR(I821="AH1",I821="AH2"),-J820+0.5,IF(OR(I821="EH1",I821="EH2"),-J820+1,"")),IF(AND(OR(I820="DNB1",I820="DNB2"),OR(I821="AH1",I821="AH2")),0,IF(AND(I820="Not ScoreBoth",OR(I821="TO1",I821="TO2")),0.5,"")))))</f>
        <v>3.5</v>
      </c>
      <c r="K821" s="232" t="s">
        <v>40</v>
      </c>
      <c r="L821" s="58">
        <v>2.31</v>
      </c>
      <c r="M821" s="59">
        <v>17.18</v>
      </c>
      <c r="N821" s="406"/>
      <c r="O821" s="60">
        <f>IF(OR(AE820="",AE821=""),"",ROUND(IF(L822&gt;0,IF(M821&gt;0,M821,IF(M820&gt;0,IF(N820=TRUE,ROUND((M820*AE821)/AE820,0),(M820*AE821)/AE820),IF(M821&gt;0,ROUND(M821,IF(N820=0,2,IF(N820=0.1,1,0))),IF(M822&gt;0,ROUND(O822*AE821/AE822,IF(N820=0,2,IF(N820=0.1,1,0))),0)))),IF(M821&gt;0,M821,ROUND((M820*AE821)/AE820,IF(N820=0,2,IF(N820=0.1,1,0))))),2))</f>
        <v>17.18</v>
      </c>
      <c r="P821" s="61">
        <f>IF(OR(L821="",O821=""),"",IF($C821="1/2W",O821/2+O821/2*L821,IF($C821="1/2L",O821/2,IF(I821="Lay",((O821*(L821/(L821-1)))-O821)*(1-_xlfn.XLOOKUP(K821,'Fevereiro 2023 - Valor Real'!A3:A15,'Fevereiro 2023 - Valor Real'!C3:C15,0))+O821,(O821*L821-O821)*(1-_xlfn.XLOOKUP(K821,'Fevereiro 2023 - Valor Real'!A3:A15,'Fevereiro 2023 - Valor Real'!C3:C15,0))+O821))))</f>
        <v>39.6858</v>
      </c>
      <c r="Q821" s="233">
        <f>IF(K821="","",IF(_xlfn.XLOOKUP(K821,K$4:K820,$DJ$4:DJ820,0,,-1)=DJ821,_xlfn.XLOOKUP(K821,K$4:K820,Q$4:Q820,1,,-1)+1,1))</f>
        <v>4</v>
      </c>
      <c r="R821" s="234">
        <f>IF(K821="","",_xlfn.XLOOKUP(K821,K$4:K820,R$4:R820,0,,-1)+IF($C821=" ",1,0))</f>
        <v>0</v>
      </c>
      <c r="S821" s="403"/>
      <c r="T821" s="380"/>
      <c r="U821" s="380"/>
      <c r="V821" s="481"/>
      <c r="W821" s="380"/>
      <c r="X821" s="452"/>
      <c r="Y821" s="383"/>
      <c r="Z821" s="384"/>
      <c r="AA821" s="384"/>
      <c r="AB821" s="384"/>
      <c r="AC821" s="384"/>
      <c r="AD821" s="64">
        <f>(((L821/(L821-1)-1)*(1-_xlfn.XLOOKUP(K821,'Fevereiro 2023 - Valor Real'!A3:A15,'Fevereiro 2023 - Valor Real'!C3:C15,0))+1))</f>
        <v>1.7633587786259541</v>
      </c>
      <c r="AE821" s="65">
        <f>IF(L821="","",IF(L822&gt;0,(SUM(((L820-1)*(1-_xlfn.XLOOKUP(K820,'Fevereiro 2023 - Valor Real'!A3:A15,'Fevereiro 2023 - Valor Real'!C3:C15,0))+1),((L821-1)*(1-_xlfn.XLOOKUP(K821,'Fevereiro 2023 - Valor Real'!A3:A15,'Fevereiro 2023 - Valor Real'!C3:C15,0))+1),((L822-1)*(1-_xlfn.XLOOKUP(K822,'Fevereiro 2023 - Valor Real'!A3:A15,'Fevereiro 2023 - Valor Real'!C3:C15,0))+1))/((L821-1)*(1-_xlfn.XLOOKUP(K821,'Fevereiro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Real'!C3:C15,0))+1))/((L820-1)*(1-_xlfn.XLOOKUP(K820,'Fevereiro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Real'!C3:C15,0))+1))/((L821-1)*(1-_xlfn.XLOOKUP(K821,'Fevereiro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Real'!C3:C15,0))+1))/((L822-1)*(1-_xlfn.XLOOKUP(K822,'Fevereiro 2023 - Valor Real'!A3:A15,'Fevereiro 2023 - Valor Real'!C3:C15,0))+1)),IF(I821="Lay",IF(I820="Lay",((L820/(L820-1)-1)*(1-_xlfn.XLOOKUP(K820,'Fevereiro 2023 - Valor Real'!A3:A15,'Fevereiro 2023 - Valor Real'!C3:C15,0))+1)/(((L820/(L820-1)-1)*(1-_xlfn.XLOOKUP(K820,'Fevereiro 2023 - Valor Real'!A3:A15,'Fevereiro 2023 - Valor Real'!C3:C15,0))+1)+((L821/(L821-1)-1)*(1-_xlfn.XLOOKUP(K821,'Fevereiro 2023 - Valor Real'!A3:A15,'Fevereiro 2023 - Valor Real'!C3:C15,0))+1)),((L820-1)*(1-_xlfn.XLOOKUP(K820,'Fevereiro 2023 - Valor Real'!A3:A15,'Fevereiro 2023 - Valor Real'!C3:C15,0))+1)/(((L820-1)*(1-_xlfn.XLOOKUP(K820,'Fevereiro 2023 - Valor Real'!A3:A15,'Fevereiro 2023 - Valor Real'!C3:C15,0))+1)+((L821/(L821-1)-1)*(1-_xlfn.XLOOKUP(K821,'Fevereiro 2023 - Valor Real'!A3:A15,'Fevereiro 2023 - Valor Real'!C3:C15,0))+1))),IF(I820="Lay",((L820/(L820-1)-1)*(1-_xlfn.XLOOKUP(K820,'Fevereiro 2023 - Valor Real'!A3:A15,'Fevereiro 2023 - Valor Real'!C3:C15,0))+1)/((((L820/(L820-1)-1)*(1-_xlfn.XLOOKUP(K820,'Fevereiro 2023 - Valor Real'!A3:A15,'Fevereiro 2023 - Valor Real'!C3:C15,0))+1))+((L821-1)*(1-_xlfn.XLOOKUP(K821,'Fevereiro 2023 - Valor Real'!A3:A15,'Fevereiro 2023 - Valor Real'!C3:C15,0))+1)),((L820-1)*(1-_xlfn.XLOOKUP(K820,'Fevereiro 2023 - Valor Real'!A3:A15,'Fevereiro 2023 - Valor Real'!C3:C15,0))+1)/(((L820-1)*(1-_xlfn.XLOOKUP(K820,'Fevereiro 2023 - Valor Real'!A3:A15,'Fevereiro 2023 - Valor Real'!C3:C15,0))+1)+((L821-1)*(1-_xlfn.XLOOKUP(K821,'Fevereiro 2023 - Valor Real'!A3:A15,'Fevereiro 2023 - Valor Real'!C3:C15,0))+1))))))</f>
        <v>0.45774647887323944</v>
      </c>
      <c r="AF821" s="66">
        <f t="shared" si="1632"/>
        <v>0</v>
      </c>
      <c r="AG821" s="67">
        <f t="shared" si="1632"/>
        <v>0</v>
      </c>
      <c r="AH821" s="67">
        <f t="shared" si="1632"/>
        <v>0</v>
      </c>
      <c r="AI821" s="67">
        <f t="shared" si="1632"/>
        <v>0</v>
      </c>
      <c r="AJ821" s="67">
        <f t="shared" si="1632"/>
        <v>22.51</v>
      </c>
      <c r="AK821" s="67">
        <f t="shared" si="1632"/>
        <v>0</v>
      </c>
      <c r="AL821" s="67">
        <f t="shared" si="1632"/>
        <v>0</v>
      </c>
      <c r="AM821" s="67">
        <f t="shared" si="1632"/>
        <v>0</v>
      </c>
      <c r="AN821" s="67">
        <f t="shared" si="1632"/>
        <v>0</v>
      </c>
      <c r="AO821" s="67">
        <f t="shared" si="1632"/>
        <v>0</v>
      </c>
      <c r="AP821" s="67">
        <f t="shared" si="1632"/>
        <v>0</v>
      </c>
      <c r="AQ821" s="67">
        <f t="shared" si="1632"/>
        <v>0</v>
      </c>
      <c r="AR821" s="68">
        <f t="shared" si="1632"/>
        <v>0</v>
      </c>
      <c r="AS821" s="66">
        <f>IF(AND($B820=" ",$K821=AS$3),$O821,0)</f>
        <v>0</v>
      </c>
      <c r="AT821" s="67">
        <f>IF(AND($B820=" ",K821=AT$3),$O821,0)</f>
        <v>0</v>
      </c>
      <c r="AU821" s="67">
        <f t="shared" ref="AU821:BE821" si="1644">IF(AND($B820=" ",$K821=AU$3),$O821,0)</f>
        <v>0</v>
      </c>
      <c r="AV821" s="67">
        <f t="shared" si="1644"/>
        <v>0</v>
      </c>
      <c r="AW821" s="67">
        <f t="shared" si="1644"/>
        <v>0</v>
      </c>
      <c r="AX821" s="67">
        <f t="shared" si="1644"/>
        <v>0</v>
      </c>
      <c r="AY821" s="69">
        <f t="shared" si="1644"/>
        <v>0</v>
      </c>
      <c r="AZ821" s="70">
        <f t="shared" si="1644"/>
        <v>0</v>
      </c>
      <c r="BA821" s="70">
        <f t="shared" si="1644"/>
        <v>0</v>
      </c>
      <c r="BB821" s="70">
        <f t="shared" si="1644"/>
        <v>0</v>
      </c>
      <c r="BC821" s="71">
        <f t="shared" si="1644"/>
        <v>0</v>
      </c>
      <c r="BD821" s="67">
        <f t="shared" si="1644"/>
        <v>0</v>
      </c>
      <c r="BE821" s="68">
        <f t="shared" si="1644"/>
        <v>0</v>
      </c>
      <c r="BF821" s="66">
        <f t="shared" si="1634"/>
        <v>0</v>
      </c>
      <c r="BG821" s="67">
        <f t="shared" si="1634"/>
        <v>0</v>
      </c>
      <c r="BH821" s="67">
        <f t="shared" si="1634"/>
        <v>0</v>
      </c>
      <c r="BI821" s="67">
        <f t="shared" si="1634"/>
        <v>0</v>
      </c>
      <c r="BJ821" s="67">
        <f t="shared" si="1634"/>
        <v>17.18</v>
      </c>
      <c r="BK821" s="67">
        <f t="shared" si="1634"/>
        <v>0</v>
      </c>
      <c r="BL821" s="67">
        <f t="shared" si="1634"/>
        <v>0</v>
      </c>
      <c r="BM821" s="235">
        <f t="shared" si="1634"/>
        <v>0</v>
      </c>
      <c r="BN821" s="159">
        <f t="shared" si="1634"/>
        <v>0</v>
      </c>
      <c r="BO821" s="159">
        <f t="shared" si="1634"/>
        <v>0</v>
      </c>
      <c r="BP821" s="159">
        <f t="shared" si="1634"/>
        <v>0</v>
      </c>
      <c r="BQ821" s="71">
        <f t="shared" si="1634"/>
        <v>0</v>
      </c>
      <c r="BR821" s="68">
        <f t="shared" si="1634"/>
        <v>0</v>
      </c>
      <c r="BS821" s="464"/>
      <c r="BT821" s="461"/>
      <c r="BU821" s="392"/>
      <c r="BV821" s="461"/>
      <c r="BW821" s="392"/>
      <c r="BX821" s="392"/>
      <c r="BY821" s="392"/>
      <c r="BZ821" s="461"/>
      <c r="CA821" s="392"/>
      <c r="CB821" s="392"/>
      <c r="CC821" s="392"/>
      <c r="CD821" s="401"/>
      <c r="CE821" s="409"/>
      <c r="CF821" s="236">
        <f t="shared" si="1540"/>
        <v>0</v>
      </c>
      <c r="CG821" s="237">
        <f t="shared" si="1541"/>
        <v>0</v>
      </c>
      <c r="CH821" s="237">
        <f t="shared" si="1542"/>
        <v>0</v>
      </c>
      <c r="CI821" s="237">
        <f t="shared" si="1543"/>
        <v>0</v>
      </c>
      <c r="CJ821" s="237">
        <f t="shared" si="1544"/>
        <v>0</v>
      </c>
      <c r="CK821" s="237">
        <f t="shared" si="1545"/>
        <v>0</v>
      </c>
      <c r="CL821" s="237">
        <f t="shared" si="1546"/>
        <v>0</v>
      </c>
      <c r="CM821" s="237">
        <f t="shared" si="1547"/>
        <v>0</v>
      </c>
      <c r="CN821" s="237">
        <f t="shared" si="1548"/>
        <v>1</v>
      </c>
      <c r="CO821" s="237">
        <f t="shared" si="1549"/>
        <v>0</v>
      </c>
      <c r="CP821" s="237">
        <f t="shared" si="1550"/>
        <v>0</v>
      </c>
      <c r="CQ821" s="237">
        <f t="shared" si="1551"/>
        <v>0</v>
      </c>
      <c r="CR821" s="237">
        <f t="shared" si="1552"/>
        <v>0</v>
      </c>
      <c r="CS821" s="237">
        <f t="shared" si="1553"/>
        <v>0</v>
      </c>
      <c r="CT821" s="75">
        <f t="shared" si="1554"/>
        <v>0</v>
      </c>
      <c r="CU821" s="76">
        <f t="shared" si="1555"/>
        <v>0</v>
      </c>
      <c r="CV821" s="76">
        <f t="shared" si="1556"/>
        <v>0</v>
      </c>
      <c r="CW821" s="76">
        <f t="shared" si="1557"/>
        <v>0</v>
      </c>
      <c r="CX821" s="76">
        <f t="shared" si="1558"/>
        <v>0</v>
      </c>
      <c r="CY821" s="76">
        <f t="shared" si="1559"/>
        <v>0</v>
      </c>
      <c r="CZ821" s="76">
        <f t="shared" si="1560"/>
        <v>0</v>
      </c>
      <c r="DA821" s="76">
        <f t="shared" si="1561"/>
        <v>0</v>
      </c>
      <c r="DB821" s="76">
        <f t="shared" si="1562"/>
        <v>0</v>
      </c>
      <c r="DC821" s="76">
        <f t="shared" si="1563"/>
        <v>0</v>
      </c>
      <c r="DD821" s="76">
        <f t="shared" si="1564"/>
        <v>0</v>
      </c>
      <c r="DE821" s="77">
        <f t="shared" si="1565"/>
        <v>0</v>
      </c>
      <c r="DF821" s="73">
        <f t="shared" si="1567"/>
        <v>46</v>
      </c>
      <c r="DG821" s="67">
        <f t="shared" si="1568"/>
        <v>61.367999999999988</v>
      </c>
      <c r="DH821" s="76">
        <f t="shared" si="1569"/>
        <v>17</v>
      </c>
      <c r="DI821" s="67">
        <f t="shared" si="1570"/>
        <v>72.399999999999991</v>
      </c>
      <c r="DJ821" s="202" t="str">
        <f>IF($D820="","",$D820)</f>
        <v>28</v>
      </c>
      <c r="DK821" s="466"/>
    </row>
    <row r="822" spans="1:115" ht="14.5" customHeight="1" x14ac:dyDescent="0.2">
      <c r="A822" s="390"/>
      <c r="B822" s="457"/>
      <c r="C822" s="79" t="s">
        <v>53</v>
      </c>
      <c r="D822" s="375"/>
      <c r="E822" s="387"/>
      <c r="F822" s="378"/>
      <c r="G822" s="484"/>
      <c r="H822" s="477"/>
      <c r="I822" s="82"/>
      <c r="J822" s="83"/>
      <c r="K822" s="90"/>
      <c r="L822" s="84"/>
      <c r="M822" s="85"/>
      <c r="N822" s="407"/>
      <c r="O822" s="86" t="str">
        <f>IF(OR(AE820="",AE821=""),"",IF(L822&gt;0,ROUND(IF(M822&gt;0,M822,IF(M820&gt;0,ROUND((M820*AE822)/AE820,IF(N820=0,2,IF(N820=0.1,1,0))),IF(M821&gt;0,ROUND((M821*AE822)/AE821,IF(N820=0,2,IF(N820=0.1,1,0))),IF(M822&gt;0,M822,0)))),2),""))</f>
        <v/>
      </c>
      <c r="P822" s="87" t="str">
        <f>IF(I821="Lay",O821*(L821/(L821-1))-O821,IF(I820="Lay",O820*(L820/(L820-1))-O820,IF(OR(L822="",O822=""),"",IF($C822="1/2W",O822/2+O822/2*L822,IF($C822="1/2L",O822/2,(O822*L822-O822)*(1-_xlfn.XLOOKUP(K822,'Fevereiro 2023 - Valor Real'!A3:A15,'Fevereiro 2023 - Valor Real'!C3:C15,0))+O822)))))</f>
        <v/>
      </c>
      <c r="Q822" s="238" t="str">
        <f>IF(K822="","",IF(_xlfn.XLOOKUP(K822,K$4:K821,$DJ$4:DJ821,0,,-1)=DJ822,_xlfn.XLOOKUP(K822,K$4:K821,Q$4:Q821,1,,-1)+1,1))</f>
        <v/>
      </c>
      <c r="R822" s="239" t="str">
        <f>IF(K822="","",_xlfn.XLOOKUP(K822,K$4:K821,R$4:R821,0,,-1)+IF($C822=" ",1,0))</f>
        <v/>
      </c>
      <c r="S822" s="404"/>
      <c r="T822" s="378"/>
      <c r="U822" s="378"/>
      <c r="V822" s="404"/>
      <c r="W822" s="378"/>
      <c r="X822" s="453"/>
      <c r="Y822" s="383"/>
      <c r="Z822" s="384"/>
      <c r="AA822" s="384"/>
      <c r="AB822" s="384"/>
      <c r="AC822" s="384"/>
      <c r="AD822" s="240">
        <f>((L821/(L821-1)-1))</f>
        <v>0.76335877862595414</v>
      </c>
      <c r="AE822" s="91" t="str">
        <f>IF(L822="","",(SUM(((L820-1)*(1-_xlfn.XLOOKUP(K820,'Fevereiro 2023 - Valor Real'!A3:A15,'Fevereiro 2023 - Valor Real'!C3:C15,0))+1),((L821-1)*(1-_xlfn.XLOOKUP(K821,'Fevereiro 2023 - Valor Real'!A3:A15,'Fevereiro 2023 - Valor Real'!C3:C15,0))+1),((L822-1)*(1-_xlfn.XLOOKUP(K822,'Fevereiro 2023 - Valor Real'!A3:A15,'Fevereiro 2023 - Valor Real'!C3:C15,0))+1))/((L822-1)*(1-_xlfn.XLOOKUP(K822,'Fevereiro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Real'!C3:C15,0))+1))/((L820-1)*(1-_xlfn.XLOOKUP(K820,'Fevereiro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Real'!C3:C15,0))+1))/((L821-1)*(1-_xlfn.XLOOKUP(K821,'Fevereiro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Real'!C3:C15,0))+1))/((L822-1)*(1-_xlfn.XLOOKUP(K822,'Fevereiro 2023 - Valor Real'!A3:A15,'Fevereiro 2023 - Valor Real'!C3:C15,0))+1)))</f>
        <v/>
      </c>
      <c r="AF822" s="66">
        <f t="shared" si="1632"/>
        <v>0</v>
      </c>
      <c r="AG822" s="67">
        <f t="shared" si="1632"/>
        <v>0</v>
      </c>
      <c r="AH822" s="67">
        <f t="shared" si="1632"/>
        <v>0</v>
      </c>
      <c r="AI822" s="67">
        <f t="shared" si="1632"/>
        <v>0</v>
      </c>
      <c r="AJ822" s="67">
        <f t="shared" si="1632"/>
        <v>0</v>
      </c>
      <c r="AK822" s="67">
        <f t="shared" si="1632"/>
        <v>0</v>
      </c>
      <c r="AL822" s="67">
        <f t="shared" si="1632"/>
        <v>0</v>
      </c>
      <c r="AM822" s="67">
        <f t="shared" si="1632"/>
        <v>0</v>
      </c>
      <c r="AN822" s="67">
        <f t="shared" si="1632"/>
        <v>0</v>
      </c>
      <c r="AO822" s="67">
        <f t="shared" si="1632"/>
        <v>0</v>
      </c>
      <c r="AP822" s="67">
        <f t="shared" si="1632"/>
        <v>0</v>
      </c>
      <c r="AQ822" s="67">
        <f t="shared" si="1632"/>
        <v>0</v>
      </c>
      <c r="AR822" s="68">
        <f t="shared" si="1632"/>
        <v>0</v>
      </c>
      <c r="AS822" s="66">
        <f>IF(AND($B820=" ",$K822=AS$3),$O822,0)</f>
        <v>0</v>
      </c>
      <c r="AT822" s="67">
        <f>IF(AND($B820=" ",K822=AT$3),$O822,0)</f>
        <v>0</v>
      </c>
      <c r="AU822" s="67">
        <f t="shared" ref="AU822:BE822" si="1645">IF(AND($B820=" ",$K822=AU$3),$O822,0)</f>
        <v>0</v>
      </c>
      <c r="AV822" s="67">
        <f t="shared" si="1645"/>
        <v>0</v>
      </c>
      <c r="AW822" s="67">
        <f t="shared" si="1645"/>
        <v>0</v>
      </c>
      <c r="AX822" s="67">
        <f t="shared" si="1645"/>
        <v>0</v>
      </c>
      <c r="AY822" s="69">
        <f t="shared" si="1645"/>
        <v>0</v>
      </c>
      <c r="AZ822" s="70">
        <f t="shared" si="1645"/>
        <v>0</v>
      </c>
      <c r="BA822" s="70">
        <f t="shared" si="1645"/>
        <v>0</v>
      </c>
      <c r="BB822" s="70">
        <f t="shared" si="1645"/>
        <v>0</v>
      </c>
      <c r="BC822" s="71">
        <f t="shared" si="1645"/>
        <v>0</v>
      </c>
      <c r="BD822" s="67">
        <f t="shared" si="1645"/>
        <v>0</v>
      </c>
      <c r="BE822" s="68">
        <f t="shared" si="1645"/>
        <v>0</v>
      </c>
      <c r="BF822" s="66">
        <f t="shared" si="1634"/>
        <v>0</v>
      </c>
      <c r="BG822" s="67">
        <f t="shared" si="1634"/>
        <v>0</v>
      </c>
      <c r="BH822" s="67">
        <f t="shared" si="1634"/>
        <v>0</v>
      </c>
      <c r="BI822" s="67">
        <f t="shared" si="1634"/>
        <v>0</v>
      </c>
      <c r="BJ822" s="67">
        <f t="shared" si="1634"/>
        <v>0</v>
      </c>
      <c r="BK822" s="67">
        <f t="shared" si="1634"/>
        <v>0</v>
      </c>
      <c r="BL822" s="67">
        <f t="shared" si="1634"/>
        <v>0</v>
      </c>
      <c r="BM822" s="69">
        <f t="shared" si="1634"/>
        <v>0</v>
      </c>
      <c r="BN822" s="70">
        <f t="shared" si="1634"/>
        <v>0</v>
      </c>
      <c r="BO822" s="70">
        <f t="shared" si="1634"/>
        <v>0</v>
      </c>
      <c r="BP822" s="70">
        <f t="shared" si="1634"/>
        <v>0</v>
      </c>
      <c r="BQ822" s="71">
        <f t="shared" si="1634"/>
        <v>0</v>
      </c>
      <c r="BR822" s="68">
        <f t="shared" si="1634"/>
        <v>0</v>
      </c>
      <c r="BS822" s="464"/>
      <c r="BT822" s="461"/>
      <c r="BU822" s="392"/>
      <c r="BV822" s="461"/>
      <c r="BW822" s="392"/>
      <c r="BX822" s="392"/>
      <c r="BY822" s="392"/>
      <c r="BZ822" s="461"/>
      <c r="CA822" s="392"/>
      <c r="CB822" s="392"/>
      <c r="CC822" s="392"/>
      <c r="CD822" s="401"/>
      <c r="CE822" s="409"/>
      <c r="CF822" s="236">
        <f t="shared" si="1540"/>
        <v>0</v>
      </c>
      <c r="CG822" s="237">
        <f t="shared" si="1541"/>
        <v>0</v>
      </c>
      <c r="CH822" s="237">
        <f t="shared" si="1542"/>
        <v>0</v>
      </c>
      <c r="CI822" s="237">
        <f t="shared" si="1543"/>
        <v>0</v>
      </c>
      <c r="CJ822" s="237">
        <f t="shared" si="1544"/>
        <v>0</v>
      </c>
      <c r="CK822" s="237">
        <f t="shared" si="1545"/>
        <v>0</v>
      </c>
      <c r="CL822" s="237">
        <f t="shared" si="1546"/>
        <v>0</v>
      </c>
      <c r="CM822" s="237">
        <f t="shared" si="1547"/>
        <v>0</v>
      </c>
      <c r="CN822" s="237">
        <f t="shared" si="1548"/>
        <v>0</v>
      </c>
      <c r="CO822" s="237">
        <f t="shared" si="1549"/>
        <v>0</v>
      </c>
      <c r="CP822" s="237">
        <f t="shared" si="1550"/>
        <v>0</v>
      </c>
      <c r="CQ822" s="237">
        <f t="shared" si="1551"/>
        <v>0</v>
      </c>
      <c r="CR822" s="237">
        <f t="shared" si="1552"/>
        <v>0</v>
      </c>
      <c r="CS822" s="237">
        <f t="shared" si="1553"/>
        <v>0</v>
      </c>
      <c r="CT822" s="75">
        <f t="shared" si="1554"/>
        <v>0</v>
      </c>
      <c r="CU822" s="76">
        <f t="shared" si="1555"/>
        <v>0</v>
      </c>
      <c r="CV822" s="76">
        <f t="shared" si="1556"/>
        <v>0</v>
      </c>
      <c r="CW822" s="76">
        <f t="shared" si="1557"/>
        <v>0</v>
      </c>
      <c r="CX822" s="76">
        <f t="shared" si="1558"/>
        <v>0</v>
      </c>
      <c r="CY822" s="76">
        <f t="shared" si="1559"/>
        <v>0</v>
      </c>
      <c r="CZ822" s="76">
        <f t="shared" si="1560"/>
        <v>0</v>
      </c>
      <c r="DA822" s="76">
        <f t="shared" si="1561"/>
        <v>0</v>
      </c>
      <c r="DB822" s="76">
        <f t="shared" si="1562"/>
        <v>0</v>
      </c>
      <c r="DC822" s="76">
        <f t="shared" si="1563"/>
        <v>0</v>
      </c>
      <c r="DD822" s="76">
        <f t="shared" si="1564"/>
        <v>0</v>
      </c>
      <c r="DE822" s="77">
        <f t="shared" si="1565"/>
        <v>0</v>
      </c>
      <c r="DF822" s="73">
        <f t="shared" si="1567"/>
        <v>46</v>
      </c>
      <c r="DG822" s="67">
        <f t="shared" si="1568"/>
        <v>61.367999999999988</v>
      </c>
      <c r="DH822" s="76">
        <f t="shared" si="1569"/>
        <v>17</v>
      </c>
      <c r="DI822" s="67">
        <f t="shared" si="1570"/>
        <v>72.399999999999991</v>
      </c>
      <c r="DJ822" s="202" t="str">
        <f>IF($D820="","",$D820)</f>
        <v>28</v>
      </c>
      <c r="DK822" s="466"/>
    </row>
    <row r="823" spans="1:115" ht="14.5" customHeight="1" x14ac:dyDescent="0.2">
      <c r="A823" s="459">
        <f>$A820+1</f>
        <v>274</v>
      </c>
      <c r="B823" s="507" t="str">
        <f>IF(OR(C823="W",C824="W",C825="W",C823="1/2W",C824="1/2W",C825="1/2W",C823="1/2L",C824="1/2L",C825="1/2L"),"OK",IF(OR(C823="L",C824="L",C825="L"),"LOSS",IF(OR(C823="X",C824="X",C825="X"),"Anulado"," ")))</f>
        <v>OK</v>
      </c>
      <c r="C823" s="93" t="s">
        <v>55</v>
      </c>
      <c r="D823" s="468" t="str">
        <f>IF(G823="","",$D820)</f>
        <v>28</v>
      </c>
      <c r="E823" s="485" t="str">
        <f>IF(G823=""," ","– "&amp;COUNTIF(D$4:D825,$D823))</f>
        <v>– 5</v>
      </c>
      <c r="F823" s="509" t="str">
        <f ca="1">IF(G823="","",IF(OR(AND($C823&lt;&gt;" ",$C824=" "),AND($C824&lt;&gt;" ",$C823=" "),AND(L825&gt;0,OR(AND($C825&lt;&gt;" ",OR($C823=" ",$C824=" ")),AND($C825=" ",OR($C823&lt;&gt;" ",$C824&lt;&gt;" "))))),IF(SUM(F$4:F822)=0,1,LARGE(F$4:F822,1)+1),IF(MONTH(G823)=MONTH(TODAY()),IF(AND(DAY(G823)&lt;DAY(TODAY()),$B823=" "),IF(SUM(F$4:F822)=0,1,LARGE(F$4:F822,1)+1),IF($B823=" ",IF(AND(DAY(G823)=DAY(TODAY()),HOUR(G823)&lt;=HOUR(NOW())+1),IF(AND(HOUR(G823)+2&lt;=HOUR(NOW()),DAY(G823)&lt;=DAY(TODAY()),MINUTE(G823)&lt;=MINUTE(NOW())),IF(SUM(F$4:F822)=0,1,LARGE(F$4:F822,1)+1),IF(OR(MINUTE(G823)&lt;=MINUTE(NOW()),HOUR(G823)&lt;=HOUR(NOW())),"!!!","")),""),"")),"")))</f>
        <v/>
      </c>
      <c r="G823" s="482">
        <v>45013.583333333336</v>
      </c>
      <c r="H823" s="475" t="s">
        <v>279</v>
      </c>
      <c r="I823" s="94" t="s">
        <v>51</v>
      </c>
      <c r="J823" s="95">
        <v>12.5</v>
      </c>
      <c r="K823" s="96" t="s">
        <v>40</v>
      </c>
      <c r="L823" s="97">
        <v>4.3499999999999996</v>
      </c>
      <c r="M823" s="98">
        <v>6.72</v>
      </c>
      <c r="N823" s="478">
        <v>0</v>
      </c>
      <c r="O823" s="99">
        <f>IF(OR(AE823="",AE824=""),"",ROUND(IF(L825&gt;0,IF(M823&gt;0,M823,IF(M824&gt;0,ROUND((M824*AE823)/AE824,IF(N823=0,2,IF(N823=0.1,1,0))),ROUND((M825*AE823)/AE825,IF(N823=0,2,IF(N823=0.1,1,0))))),IF(M823&gt;0,M823,ROUND((M824*AE823)/AE824,IF(N823=0,2,IF(N823=0.1,1,0))))),2))</f>
        <v>6.72</v>
      </c>
      <c r="P823" s="100">
        <f>IF(OR(L823="",O823=""),"",IF($C823="1/2W",O823/2+O823/2*L823,IF($C823="1/2L",O823/2,IF(I823="Lay",(O823*(L823/(L823-1))-O823)*(1-_xlfn.XLOOKUP(K823,'Fevereiro 2023 - Valor Real'!A3:A15,'Fevereiro 2023 - Valor Real'!C3:C15,0))+O823,(O823*L823-O823)*(1-_xlfn.XLOOKUP(K823,'Fevereiro 2023 - Valor Real'!A3:A15,'Fevereiro 2023 - Valor Real'!C3:C15,0))+O823))))</f>
        <v>29.231999999999996</v>
      </c>
      <c r="Q823" s="101">
        <f>IF(K823="","",IF(_xlfn.XLOOKUP(K823,K$4:K822,$DJ$4:DJ822,0,,-1)=DJ823,_xlfn.XLOOKUP(K823,K$4:K822,Q$4:Q822,1,,-1)+1,1))</f>
        <v>5</v>
      </c>
      <c r="R823" s="102">
        <f>IF(K823="","",_xlfn.XLOOKUP(K823,K$4:K822,R$4:R822,0,,-1)+IF($C823=" ",1,0))</f>
        <v>0</v>
      </c>
      <c r="S823" s="474">
        <f>IF($B823="Anulado",0,ROUND(IF(OR($B823="LOSS",$B823="OK"),IF(OR($C823="W",$C823="1/2W",$C823="1/2L"),P823-O823,IF($C823="L",-O823,0))+IF(OR($C824="W",$C824="1/2W",$C824="1/2L"),P824-O824,IF($C824="L",-O824,0))+IF(OR($C825="W",$C825="1/2W",$C825="1/2L"),P825-O825,IF($C825="L",-O825,0)),IF(AND(OR($C823="W",$C823="1/2W",$C823="1/2L"),C824="W"),P823+P824-SUM(O823:O825)+_xlfn.XLOOKUP("X",C823:C825,O823:O825,0),IF(AND(C823=TRUE,C825="W"),P823+P825-SUM(O823:O825),IF(AND(C824="W",C825="W"),P824+P825-SUM(O823:O825)+_xlfn.XLOOKUP("X",C823:C825,O823:O825,0),IF(L825&gt;0,IF(OR($C823="W",$C823="1/2W",$C823="1/2L"),P823-SUM(O823:O825)+_xlfn.XLOOKUP("X",C823:C825,O823:O825,0),IF(OR($C823="W",$C823="1/2W",$C823="1/2L"),P824-SUM(O823:O825)+_xlfn.XLOOKUP("X",C823:C825,O823:O825,0),IF(OR($C823="W",$C823="1/2W",$C823="1/2L"),P825-SUM(O823:O825)+_xlfn.XLOOKUP("X",C823:C825,O823:O825,0),IF(SUM(P823:P825)/3-SUM(O823:O825)+_xlfn.XLOOKUP("X",C823:C825,O823:O825,0)&gt;0,SUM(P823:P825)/3-SUM(O823:O825)+_xlfn.XLOOKUP("X",C823:C825,O823:O825,0),LARGE(P823:P825,1)-SUM(O823:O825))))),IF(OR($C823="W",$C823="1/2W",$C823="1/2L"),P823-SUM(O823:O824)+_xlfn.XLOOKUP("X",C823:C825,O823:O825,0),IF(OR($C823="W",$C823="1/2W",$C823="1/2L"),P824-SUM(O823:O824)+_xlfn.XLOOKUP("X",C823:C825,O823:O825,0),SUM(P823:P824)/2-SUM(O823:O824)+_xlfn.XLOOKUP("X",C823:C825,O823:O825,0)))))))),2))</f>
        <v>1.75</v>
      </c>
      <c r="T823" s="458">
        <f>IF(S823=0,0,S823/SUM(O823:O825))</f>
        <v>6.3682678311499277E-2</v>
      </c>
      <c r="U823" s="470">
        <f>IF($D823=$D820,IF(OR($B823="LOSS",$B823="OK",$B823="Anulada"),S823,0)+U820,IF(OR($B823="LOSS",$B823="OK",$B823="Anulada"),S823,0))</f>
        <v>10.07</v>
      </c>
      <c r="V823" s="470">
        <f>IF($D823="",0,IF($D823=$D820,IF($B823=" ",IF(I825="",IF(OR(AND(I823="DNB1",I824="DNB2"),AND(OR(I823="DNB1",I823="DNB2"),J824=0),AND(OR(I824="DNB1",I824="DNB2"),J823=0),AND(I823="DNB2",I824="DNB1"),AND(IF(J823=0,(J823+1)/ROUND(J823+1,0),J823/ROUND(J823,0))=1,IF(J824=0,(J824+1)/ROUND(IF(J824="",0,J824)+1,0),IF(J824="",0,J824)/ROUND(IF(J824="",1,J824),0))=1,OR(J823&lt;&gt;""),J824&lt;&gt;"")),0,IF(S823&lt;0,IF(I825="",SMALL(P823:P824,1)-SUM(O823:O824),0),SMALL(P823:P824,1)-SUM(O823:O824))),IF(S823&lt;0,IF(I825="",SMALL(P823:P825,1)-SUM(O823:O825),0),LARGE(P823:P825,1)-SUM(O823:O825))),S823)+V820,IF(I825="",IF(OR(AND(I823="DNB1",I824="DNB2"),AND(OR(I823="DNB1",I823="DNB2"),J824=0),AND(OR(I824="DNB1",I824="DNB2"),J823=0),AND(I823="DNB2",I824="DNB1"),AND(IF(J823=0,(J823+1)/ROUND(J823+1,0),J823/ROUND(J823,0))=1,IF(J824=0,(IF(J824="",0,J824)+1)/ROUND(IF(J824="",0,J824)+1,0),IF(J824="",0,J824)/ROUND(IF(J824="",0,J824)+1,0))=1,OR(J823&lt;&gt;""),J824&lt;&gt;"")),0,IF(S823&lt;0,IF(I825="",SMALL(P823:P824,1)-SUM(O823:O824),0),SMALL(P823:P825,1)-SUM(O823:O825))),IF(S823&lt;0,IF(I825="",SMALL(P823:P825,1)-SUM(O823:O825),0),LARGE(P823:P825,1)-SUM(O823:O825)))))</f>
        <v>10.037999999999997</v>
      </c>
      <c r="W823" s="470">
        <f>IF($D823=$D820,IF(S823&lt;0,IF(I825="",S823,0),S823)+W820,S823)</f>
        <v>10.07</v>
      </c>
      <c r="X823" s="480" t="str">
        <f>IF(OR(SUM(R823:R825)=0,V823=W823),ROUND(IF(W823=0,0,W823/Y823)*100,2)&amp;"%",ROUND(IF(V823=0,0,V823/Y823)*100,2)&amp;"% a "&amp;ROUND(IF(W823=0,0,W823/Y823)*100,2)&amp;"%")</f>
        <v>6,62%</v>
      </c>
      <c r="Y823" s="471">
        <f>IF($D823=$D820,Y820+SUM(O823:O825),SUM(O823:O825))</f>
        <v>152.15</v>
      </c>
      <c r="Z823" s="470">
        <f>IF($B823=" ",SUM(O823:O825),0)+Z820</f>
        <v>0</v>
      </c>
      <c r="AA823" s="470">
        <f>IF(G823="","",IF($B823="Anulado",LARGE(P823:P825,1)-SUM(O823:O825)+AA820,AA820))</f>
        <v>13.381099999999991</v>
      </c>
      <c r="AB823" s="470">
        <f>IF($D823="","",AB820+S823)</f>
        <v>905.08000000000072</v>
      </c>
      <c r="AC823" s="472">
        <f ca="1">IF($D823="","",IF($B823=" ",IF(DAY(G823)=DAY(TODAY()),1+AC820,0+AC820),0+AC820))</f>
        <v>0</v>
      </c>
      <c r="AD823" s="103">
        <f>(((L824/(L824-1)-1)*(1-_xlfn.XLOOKUP(K824,'Fevereiro 2023 - Valor Real'!A3:A15,'Fevereiro 2023 - Valor Real'!C3:C15,0))+1))/(((L823-1)*(1-_xlfn.XLOOKUP(K823,'Fevereiro 2023 - Valor Real'!A3:A15,'Fevereiro 2023 - Valor Real'!C3:C15,0))+1)+((L824/(L824-1)-1)*(1-_xlfn.XLOOKUP(K824,'Fevereiro 2023 - Valor Real'!A3:A15,'Fevereiro 2023 - Valor Real'!C3:C15,0))+1))</f>
        <v>0.44237778057056687</v>
      </c>
      <c r="AE823" s="104">
        <f>IF(L823="","",IF(L825&gt;0,(SUM(((L823-1)*(1-_xlfn.XLOOKUP(K823,'Fevereiro 2023 - Valor Real'!A3:A15,'Fevereiro 2023 - Valor Real'!C3:C15,0))+1),((L824-1)*(1-_xlfn.XLOOKUP(K824,'Fevereiro 2023 - Valor Real'!A3:A15,'Fevereiro 2023 - Valor Real'!C3:C15,0))+1),((L825-1)*(1-_xlfn.XLOOKUP(K825,'Fevereiro 2023 - Valor Real'!A3:A15,'Fevereiro 2023 - Valor Real'!C3:C15,0))+1))/((L823-1)*(1-_xlfn.XLOOKUP(K823,'Fevereiro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Real'!C3:C15,0))+1))/((L823-1)*(1-_xlfn.XLOOKUP(K823,'Fevereiro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Real'!C3:C15,0))+1))/((L824-1)*(1-_xlfn.XLOOKUP(K824,'Fevereiro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Real'!C3:C15,0))+1))/((L825-1)*(1-_xlfn.XLOOKUP(K825,'Fevereiro 2023 - Valor Real'!A3:A15,'Fevereiro 2023 - Valor Real'!C3:C15,0))+1)),IF(I823="Lay",IF(I824="Lay",((L824/(L824-1)-1)*(1-_xlfn.XLOOKUP(K824,'Fevereiro 2023 - Valor Real'!A3:A15,'Fevereiro 2023 - Valor Real'!C3:C15,0))+1)/(((L824/(L824-1)-1)*(1-_xlfn.XLOOKUP(K824,'Fevereiro 2023 - Valor Real'!A3:A15,'Fevereiro 2023 - Valor Real'!C3:C15,0))+1)+((L823/(L823-1)-1)*(1-_xlfn.XLOOKUP(K823,'Fevereiro 2023 - Valor Real'!A3:A15,'Fevereiro 2023 - Valor Real'!C3:C15,0))+1)),((L824-1)*(1-_xlfn.XLOOKUP(K824,'Fevereiro 2023 - Valor Real'!A3:A15,'Fevereiro 2023 - Valor Real'!C3:C15,0))+1)/(((L824-1)*(1-_xlfn.XLOOKUP(K824,'Fevereiro 2023 - Valor Real'!A3:A15,'Fevereiro 2023 - Valor Real'!C3:C15,0))+1)+((L823/(L823-1)-1)*(1-_xlfn.XLOOKUP(K823,'Fevereiro 2023 - Valor Real'!A3:A15,'Fevereiro 2023 - Valor Real'!C3:C15,0))+1))),IF(I824="Lay",(((L824/(L824-1)-1)*(1-_xlfn.XLOOKUP(K824,'Fevereiro 2023 - Valor Real'!A3:A15,'Fevereiro 2023 - Valor Real'!C3:C15,0))+1))/(((L823-1)*(1-_xlfn.XLOOKUP(K823,'Fevereiro 2023 - Valor Real'!A3:A15,'Fevereiro 2023 - Valor Real'!C3:C15,0))+1)+((L824/(L824-1)-1)*(1-_xlfn.XLOOKUP(K824,'Fevereiro 2023 - Valor Real'!A3:A15,'Fevereiro 2023 - Valor Real'!C3:C15,0))+1)),((L824-1)*(1-_xlfn.XLOOKUP(K824,'Fevereiro 2023 - Valor Real'!A3:A15,'Fevereiro 2023 - Valor Real'!C3:C15,0))+1)/(((L824-1)*(1-_xlfn.XLOOKUP(K824,'Fevereiro 2023 - Valor Real'!A3:A15,'Fevereiro 2023 - Valor Real'!C3:C15,0))+1)+((L823-1)*(1-_xlfn.XLOOKUP(K823,'Fevereiro 2023 - Valor Real'!A3:A15,'Fevereiro 2023 - Valor Real'!C3:C15,0))+1))))))</f>
        <v>0.24452935046891283</v>
      </c>
      <c r="AF823" s="105">
        <f t="shared" si="1632"/>
        <v>0</v>
      </c>
      <c r="AG823" s="106">
        <f t="shared" si="1632"/>
        <v>0</v>
      </c>
      <c r="AH823" s="106">
        <f t="shared" si="1632"/>
        <v>0</v>
      </c>
      <c r="AI823" s="106">
        <f t="shared" si="1632"/>
        <v>0</v>
      </c>
      <c r="AJ823" s="106">
        <f t="shared" si="1632"/>
        <v>-6.72</v>
      </c>
      <c r="AK823" s="106">
        <f t="shared" si="1632"/>
        <v>0</v>
      </c>
      <c r="AL823" s="106">
        <f t="shared" si="1632"/>
        <v>0</v>
      </c>
      <c r="AM823" s="106">
        <f t="shared" si="1632"/>
        <v>0</v>
      </c>
      <c r="AN823" s="106">
        <f t="shared" si="1632"/>
        <v>0</v>
      </c>
      <c r="AO823" s="106">
        <f t="shared" si="1632"/>
        <v>0</v>
      </c>
      <c r="AP823" s="106">
        <f t="shared" si="1632"/>
        <v>0</v>
      </c>
      <c r="AQ823" s="106">
        <f t="shared" si="1632"/>
        <v>0</v>
      </c>
      <c r="AR823" s="107">
        <f t="shared" si="1632"/>
        <v>0</v>
      </c>
      <c r="AS823" s="105">
        <f t="shared" ref="AS823:BE823" si="1646">IF(AND($B823=" ",$K823=AS$3),$O823,0)</f>
        <v>0</v>
      </c>
      <c r="AT823" s="106">
        <f t="shared" si="1646"/>
        <v>0</v>
      </c>
      <c r="AU823" s="106">
        <f t="shared" si="1646"/>
        <v>0</v>
      </c>
      <c r="AV823" s="106">
        <f t="shared" si="1646"/>
        <v>0</v>
      </c>
      <c r="AW823" s="106">
        <f t="shared" si="1646"/>
        <v>0</v>
      </c>
      <c r="AX823" s="106">
        <f t="shared" si="1646"/>
        <v>0</v>
      </c>
      <c r="AY823" s="108">
        <f t="shared" si="1646"/>
        <v>0</v>
      </c>
      <c r="AZ823" s="109">
        <f t="shared" si="1646"/>
        <v>0</v>
      </c>
      <c r="BA823" s="109">
        <f t="shared" si="1646"/>
        <v>0</v>
      </c>
      <c r="BB823" s="109">
        <f t="shared" si="1646"/>
        <v>0</v>
      </c>
      <c r="BC823" s="110">
        <f t="shared" si="1646"/>
        <v>0</v>
      </c>
      <c r="BD823" s="106">
        <f t="shared" si="1646"/>
        <v>0</v>
      </c>
      <c r="BE823" s="107">
        <f t="shared" si="1646"/>
        <v>0</v>
      </c>
      <c r="BF823" s="111">
        <f t="shared" si="1634"/>
        <v>0</v>
      </c>
      <c r="BG823" s="106">
        <f t="shared" si="1634"/>
        <v>0</v>
      </c>
      <c r="BH823" s="106">
        <f t="shared" si="1634"/>
        <v>0</v>
      </c>
      <c r="BI823" s="106">
        <f t="shared" si="1634"/>
        <v>0</v>
      </c>
      <c r="BJ823" s="106">
        <f t="shared" si="1634"/>
        <v>6.72</v>
      </c>
      <c r="BK823" s="106">
        <f t="shared" si="1634"/>
        <v>0</v>
      </c>
      <c r="BL823" s="106">
        <f t="shared" si="1634"/>
        <v>0</v>
      </c>
      <c r="BM823" s="108">
        <f t="shared" si="1634"/>
        <v>0</v>
      </c>
      <c r="BN823" s="109">
        <f t="shared" si="1634"/>
        <v>0</v>
      </c>
      <c r="BO823" s="109">
        <f t="shared" si="1634"/>
        <v>0</v>
      </c>
      <c r="BP823" s="109">
        <f t="shared" si="1634"/>
        <v>0</v>
      </c>
      <c r="BQ823" s="110">
        <f t="shared" si="1634"/>
        <v>0</v>
      </c>
      <c r="BR823" s="107">
        <f t="shared" si="1634"/>
        <v>0</v>
      </c>
      <c r="BS823" s="463">
        <f>IF($B823="LOSS",IF(AND($K823=BS$3,$C823="L"),-$O823,0)+IF(AND($K824=BS$3,$C824="L"),-$O824,0)+IF(AND($K825=BS$3,$C825="L"),-$O825,0),IF(OR(AND($K823=BS$3,OR($C823="W",$C823="1/2W")),AND($K824=BS$3,OR($C824="W",$C824="1/2W")),AND($K825=BS$3,OR($C825="W",$C825="1/2W"))),$S823,0))</f>
        <v>0</v>
      </c>
      <c r="BT823" s="462">
        <f>IF($B823="LOSS",IF(AND($K823=BT$3,$C823="L"),-$O823,0)+IF(AND($K824=BT$3,$C824="L"),-$O824,0)+IF(AND($K824=BT$3,$C825="L"),-$O825,0),IF(OR(AND($K824=BT$3,OR($C823="W",$C823="1/2W")),AND($K824=BT$3,OR($C824="W",$C824="1/2W")),AND($K824=BT$3,OR($C825="W",$C825="1/2W"))),$S823,0))</f>
        <v>0</v>
      </c>
      <c r="BU823" s="462">
        <f>IF($B823="LOSS",IF(AND($K823=BU$3,$C823="L"),-$O823,0)+IF(AND($K824=BU$3,$C824="L"),-$O824,0)+IF(AND($K824=BU$3,$C825="L"),-$O825,0),IF(OR(AND($K824=BU$3,OR($C823="W",$C823="1/2W")),AND($K824=BU$3,OR($C824="W",$C824="1/2W")),AND($K824=BU$3,OR($C825="W",$C825="1/2W"))),$S823,0))</f>
        <v>0</v>
      </c>
      <c r="BV823" s="462">
        <f t="shared" ref="BV823:CE823" si="1647">IF($B823="LOSS",IF(AND($K823=BV$3,$C823="L"),-$O823,0)+IF(AND($K824=BV$3,$C824="L"),-$O824,0)+IF(AND($K825=BV$3,$C825="L"),-$O825,0),IF(OR(AND($K823=BV$3,OR($C823="W",$C823="1/2W")),AND($K824=BV$3,OR($C824="W",$C824="1/2W")),AND($K825=BV$3,OR($C825="W",$C825="1/2W"))),$S823,0))</f>
        <v>0</v>
      </c>
      <c r="BW823" s="462">
        <f t="shared" si="1647"/>
        <v>0</v>
      </c>
      <c r="BX823" s="462">
        <f t="shared" si="1647"/>
        <v>0</v>
      </c>
      <c r="BY823" s="462">
        <f t="shared" si="1647"/>
        <v>0</v>
      </c>
      <c r="BZ823" s="460">
        <f t="shared" si="1647"/>
        <v>1.75</v>
      </c>
      <c r="CA823" s="460">
        <f t="shared" si="1647"/>
        <v>0</v>
      </c>
      <c r="CB823" s="460">
        <f t="shared" si="1647"/>
        <v>0</v>
      </c>
      <c r="CC823" s="460">
        <f t="shared" si="1647"/>
        <v>0</v>
      </c>
      <c r="CD823" s="473">
        <f t="shared" si="1647"/>
        <v>0</v>
      </c>
      <c r="CE823" s="479">
        <f t="shared" si="1647"/>
        <v>0</v>
      </c>
      <c r="CF823" s="113">
        <f t="shared" si="1540"/>
        <v>0</v>
      </c>
      <c r="CG823" s="114">
        <f t="shared" si="1541"/>
        <v>0</v>
      </c>
      <c r="CH823" s="114">
        <f t="shared" si="1542"/>
        <v>0</v>
      </c>
      <c r="CI823" s="114">
        <f t="shared" si="1543"/>
        <v>0</v>
      </c>
      <c r="CJ823" s="114">
        <f t="shared" si="1544"/>
        <v>0</v>
      </c>
      <c r="CK823" s="114">
        <f t="shared" si="1545"/>
        <v>0</v>
      </c>
      <c r="CL823" s="114">
        <f t="shared" si="1546"/>
        <v>0</v>
      </c>
      <c r="CM823" s="114">
        <f t="shared" si="1547"/>
        <v>0</v>
      </c>
      <c r="CN823" s="114">
        <f t="shared" si="1548"/>
        <v>0</v>
      </c>
      <c r="CO823" s="114">
        <f t="shared" si="1549"/>
        <v>1</v>
      </c>
      <c r="CP823" s="114">
        <f t="shared" si="1550"/>
        <v>0</v>
      </c>
      <c r="CQ823" s="114">
        <f t="shared" si="1551"/>
        <v>0</v>
      </c>
      <c r="CR823" s="114">
        <f t="shared" si="1552"/>
        <v>0</v>
      </c>
      <c r="CS823" s="114">
        <f t="shared" si="1553"/>
        <v>0</v>
      </c>
      <c r="CT823" s="115">
        <f t="shared" si="1554"/>
        <v>0</v>
      </c>
      <c r="CU823" s="116">
        <f t="shared" si="1555"/>
        <v>0</v>
      </c>
      <c r="CV823" s="116">
        <f t="shared" si="1556"/>
        <v>0</v>
      </c>
      <c r="CW823" s="116">
        <f t="shared" si="1557"/>
        <v>0</v>
      </c>
      <c r="CX823" s="116">
        <f t="shared" si="1558"/>
        <v>0</v>
      </c>
      <c r="CY823" s="116">
        <f t="shared" si="1559"/>
        <v>0</v>
      </c>
      <c r="CZ823" s="116">
        <f t="shared" si="1560"/>
        <v>0</v>
      </c>
      <c r="DA823" s="116">
        <f t="shared" si="1561"/>
        <v>0</v>
      </c>
      <c r="DB823" s="116">
        <f t="shared" si="1562"/>
        <v>0</v>
      </c>
      <c r="DC823" s="116">
        <f t="shared" si="1563"/>
        <v>0</v>
      </c>
      <c r="DD823" s="116">
        <f t="shared" si="1564"/>
        <v>0</v>
      </c>
      <c r="DE823" s="117">
        <f t="shared" si="1565"/>
        <v>0</v>
      </c>
      <c r="DF823" s="118">
        <f t="shared" si="1567"/>
        <v>46</v>
      </c>
      <c r="DG823" s="106">
        <f t="shared" si="1568"/>
        <v>61.367999999999988</v>
      </c>
      <c r="DH823" s="116">
        <f t="shared" si="1569"/>
        <v>17</v>
      </c>
      <c r="DI823" s="106">
        <f t="shared" si="1570"/>
        <v>72.399999999999991</v>
      </c>
      <c r="DJ823" s="201" t="str">
        <f>IF($D823="","",$D823)</f>
        <v>28</v>
      </c>
      <c r="DK823" s="465">
        <f>IF(AND($B823=" ",$D823&lt;&gt;""),1,0)</f>
        <v>0</v>
      </c>
    </row>
    <row r="824" spans="1:115" ht="14.5" customHeight="1" x14ac:dyDescent="0.2">
      <c r="A824" s="389"/>
      <c r="B824" s="456"/>
      <c r="C824" s="120" t="s">
        <v>54</v>
      </c>
      <c r="D824" s="374"/>
      <c r="E824" s="386"/>
      <c r="F824" s="377"/>
      <c r="G824" s="483"/>
      <c r="H824" s="476"/>
      <c r="I824" s="121" t="s">
        <v>52</v>
      </c>
      <c r="J824" s="122">
        <f>IF(OR(I823="TO",I823="TU",I823="TO1",I823="TU1",I823="TO2",I823="TU2"),J823,IF(OR(I823="AH1",I823="AH2"),IF(OR(I824="AH1",I824="AH2"),-J823,IF(OR(I824="EH1",I824="EH2"),-J823+0.5,"")),IF(OR(I823="EH1",I823="EH2"),IF(OR(I824="AH1",I824="AH2"),-J823+0.5,IF(OR(I824="EH1",I824="EH2"),-J823+1,"")),IF(AND(OR(I823="DNB1",I823="DNB2"),OR(I824="AH1",I824="AH2")),0,IF(AND(I823="Not ScoreBoth",OR(I824="TO1",I824="TO2")),0.5,"")))))</f>
        <v>12.5</v>
      </c>
      <c r="K824" s="123" t="s">
        <v>43</v>
      </c>
      <c r="L824" s="124">
        <v>1.4079999999999999</v>
      </c>
      <c r="M824" s="125"/>
      <c r="N824" s="406"/>
      <c r="O824" s="126">
        <f>IF(OR(AE823="",AE824=""),"",ROUND(IF(L825&gt;0,IF(M824&gt;0,M824,IF(M823&gt;0,IF(N823=TRUE,ROUND((M823*AE824)/AE823,0),(M823*AE824)/AE823),IF(M824&gt;0,ROUND(M824,IF(N823=0,2,IF(N823=0.1,1,0))),IF(M825&gt;0,ROUND(O825*AE824/AE825,IF(N823=0,2,IF(N823=0.1,1,0))),0)))),IF(M824&gt;0,M824,ROUND((M823*AE824)/AE823,IF(N823=0,2,IF(N823=0.1,1,0))))),2))</f>
        <v>20.76</v>
      </c>
      <c r="P824" s="127">
        <f>IF(OR(L824="",O824=""),"",IF($C824="1/2W",O824/2+O824/2*L824,IF($C824="1/2L",O824/2,IF(I824="Lay",((O824*(L824/(L824-1)))-O824)*(1-_xlfn.XLOOKUP(K824,'Fevereiro 2023 - Valor Real'!A3:A15,'Fevereiro 2023 - Valor Real'!C3:C15,0))+O824,(O824*L824-O824)*(1-_xlfn.XLOOKUP(K824,'Fevereiro 2023 - Valor Real'!A3:A15,'Fevereiro 2023 - Valor Real'!C3:C15,0))+O824))))</f>
        <v>29.230080000000001</v>
      </c>
      <c r="Q824" s="128">
        <f>IF(K824="","",IF(_xlfn.XLOOKUP(K824,K$4:K823,$DJ$4:DJ823,0,,-1)=DJ824,_xlfn.XLOOKUP(K824,K$4:K823,Q$4:Q823,1,,-1)+1,1))</f>
        <v>3</v>
      </c>
      <c r="R824" s="129">
        <f>IF(K824="","",_xlfn.XLOOKUP(K824,K$4:K823,R$4:R823,0,,-1)+IF($C824=" ",1,0))</f>
        <v>0</v>
      </c>
      <c r="S824" s="403"/>
      <c r="T824" s="380"/>
      <c r="U824" s="380"/>
      <c r="V824" s="481"/>
      <c r="W824" s="380"/>
      <c r="X824" s="452"/>
      <c r="Y824" s="383"/>
      <c r="Z824" s="384"/>
      <c r="AA824" s="384"/>
      <c r="AB824" s="384"/>
      <c r="AC824" s="384"/>
      <c r="AD824" s="130">
        <f>(((L824/(L824-1)-1)*(1-_xlfn.XLOOKUP(K824,'Fevereiro 2023 - Valor Real'!A3:A15,'Fevereiro 2023 - Valor Real'!C3:C15,0))+1))</f>
        <v>3.4509803921568634</v>
      </c>
      <c r="AE824" s="131">
        <f>IF(L824="","",IF(L825&gt;0,(SUM(((L823-1)*(1-_xlfn.XLOOKUP(K823,'Fevereiro 2023 - Valor Real'!A3:A15,'Fevereiro 2023 - Valor Real'!C3:C15,0))+1),((L824-1)*(1-_xlfn.XLOOKUP(K824,'Fevereiro 2023 - Valor Real'!A3:A15,'Fevereiro 2023 - Valor Real'!C3:C15,0))+1),((L825-1)*(1-_xlfn.XLOOKUP(K825,'Fevereiro 2023 - Valor Real'!A3:A15,'Fevereiro 2023 - Valor Real'!C3:C15,0))+1))/((L824-1)*(1-_xlfn.XLOOKUP(K824,'Fevereiro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Real'!C3:C15,0))+1))/((L823-1)*(1-_xlfn.XLOOKUP(K823,'Fevereiro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Real'!C3:C15,0))+1))/((L824-1)*(1-_xlfn.XLOOKUP(K824,'Fevereiro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Real'!C3:C15,0))+1))/((L825-1)*(1-_xlfn.XLOOKUP(K825,'Fevereiro 2023 - Valor Real'!A3:A15,'Fevereiro 2023 - Valor Real'!C3:C15,0))+1)),IF(I824="Lay",IF(I823="Lay",((L823/(L823-1)-1)*(1-_xlfn.XLOOKUP(K823,'Fevereiro 2023 - Valor Real'!A3:A15,'Fevereiro 2023 - Valor Real'!C3:C15,0))+1)/(((L823/(L823-1)-1)*(1-_xlfn.XLOOKUP(K823,'Fevereiro 2023 - Valor Real'!A3:A15,'Fevereiro 2023 - Valor Real'!C3:C15,0))+1)+((L824/(L824-1)-1)*(1-_xlfn.XLOOKUP(K824,'Fevereiro 2023 - Valor Real'!A3:A15,'Fevereiro 2023 - Valor Real'!C3:C15,0))+1)),((L823-1)*(1-_xlfn.XLOOKUP(K823,'Fevereiro 2023 - Valor Real'!A3:A15,'Fevereiro 2023 - Valor Real'!C3:C15,0))+1)/(((L823-1)*(1-_xlfn.XLOOKUP(K823,'Fevereiro 2023 - Valor Real'!A3:A15,'Fevereiro 2023 - Valor Real'!C3:C15,0))+1)+((L824/(L824-1)-1)*(1-_xlfn.XLOOKUP(K824,'Fevereiro 2023 - Valor Real'!A3:A15,'Fevereiro 2023 - Valor Real'!C3:C15,0))+1))),IF(I823="Lay",((L823/(L823-1)-1)*(1-_xlfn.XLOOKUP(K823,'Fevereiro 2023 - Valor Real'!A3:A15,'Fevereiro 2023 - Valor Real'!C3:C15,0))+1)/((((L823/(L823-1)-1)*(1-_xlfn.XLOOKUP(K823,'Fevereiro 2023 - Valor Real'!A3:A15,'Fevereiro 2023 - Valor Real'!C3:C15,0))+1))+((L824-1)*(1-_xlfn.XLOOKUP(K824,'Fevereiro 2023 - Valor Real'!A3:A15,'Fevereiro 2023 - Valor Real'!C3:C15,0))+1)),((L823-1)*(1-_xlfn.XLOOKUP(K823,'Fevereiro 2023 - Valor Real'!A3:A15,'Fevereiro 2023 - Valor Real'!C3:C15,0))+1)/(((L823-1)*(1-_xlfn.XLOOKUP(K823,'Fevereiro 2023 - Valor Real'!A3:A15,'Fevereiro 2023 - Valor Real'!C3:C15,0))+1)+((L824-1)*(1-_xlfn.XLOOKUP(K824,'Fevereiro 2023 - Valor Real'!A3:A15,'Fevereiro 2023 - Valor Real'!C3:C15,0))+1))))))</f>
        <v>0.75547064953108722</v>
      </c>
      <c r="AF824" s="105">
        <f t="shared" ref="AF824:AR833" si="1648">IF($K824=AF$3,ROUND(IF(OR($C824="W",$C824="1/2W",$C824="1/2L"),$P824-$O824,IF($C824="X",0,-$O824)),2),0)</f>
        <v>0</v>
      </c>
      <c r="AG824" s="106">
        <f t="shared" si="1648"/>
        <v>0</v>
      </c>
      <c r="AH824" s="106">
        <f t="shared" si="1648"/>
        <v>0</v>
      </c>
      <c r="AI824" s="106">
        <f t="shared" si="1648"/>
        <v>0</v>
      </c>
      <c r="AJ824" s="106">
        <f t="shared" si="1648"/>
        <v>0</v>
      </c>
      <c r="AK824" s="106">
        <f t="shared" si="1648"/>
        <v>0</v>
      </c>
      <c r="AL824" s="106">
        <f t="shared" si="1648"/>
        <v>0</v>
      </c>
      <c r="AM824" s="106">
        <f t="shared" si="1648"/>
        <v>8.4700000000000006</v>
      </c>
      <c r="AN824" s="106">
        <f t="shared" si="1648"/>
        <v>0</v>
      </c>
      <c r="AO824" s="106">
        <f t="shared" si="1648"/>
        <v>0</v>
      </c>
      <c r="AP824" s="106">
        <f t="shared" si="1648"/>
        <v>0</v>
      </c>
      <c r="AQ824" s="106">
        <f t="shared" si="1648"/>
        <v>0</v>
      </c>
      <c r="AR824" s="107">
        <f t="shared" si="1648"/>
        <v>0</v>
      </c>
      <c r="AS824" s="105">
        <f>IF(AND($B823=" ",$K824=AS$3),$O824,0)</f>
        <v>0</v>
      </c>
      <c r="AT824" s="106">
        <f>IF(AND($B823=" ",K824=AT$3),$O824,0)</f>
        <v>0</v>
      </c>
      <c r="AU824" s="106">
        <f t="shared" ref="AU824:BE824" si="1649">IF(AND($B823=" ",$K824=AU$3),$O824,0)</f>
        <v>0</v>
      </c>
      <c r="AV824" s="106">
        <f t="shared" si="1649"/>
        <v>0</v>
      </c>
      <c r="AW824" s="106">
        <f t="shared" si="1649"/>
        <v>0</v>
      </c>
      <c r="AX824" s="106">
        <f t="shared" si="1649"/>
        <v>0</v>
      </c>
      <c r="AY824" s="108">
        <f t="shared" si="1649"/>
        <v>0</v>
      </c>
      <c r="AZ824" s="109">
        <f t="shared" si="1649"/>
        <v>0</v>
      </c>
      <c r="BA824" s="109">
        <f t="shared" si="1649"/>
        <v>0</v>
      </c>
      <c r="BB824" s="109">
        <f t="shared" si="1649"/>
        <v>0</v>
      </c>
      <c r="BC824" s="110">
        <f t="shared" si="1649"/>
        <v>0</v>
      </c>
      <c r="BD824" s="106">
        <f t="shared" si="1649"/>
        <v>0</v>
      </c>
      <c r="BE824" s="107">
        <f t="shared" si="1649"/>
        <v>0</v>
      </c>
      <c r="BF824" s="105">
        <f t="shared" ref="BF824:BR833" si="1650">IF($K824=BF$3,IF($C824="X",0,$O824),0)</f>
        <v>0</v>
      </c>
      <c r="BG824" s="106">
        <f t="shared" si="1650"/>
        <v>0</v>
      </c>
      <c r="BH824" s="106">
        <f t="shared" si="1650"/>
        <v>0</v>
      </c>
      <c r="BI824" s="106">
        <f t="shared" si="1650"/>
        <v>0</v>
      </c>
      <c r="BJ824" s="106">
        <f t="shared" si="1650"/>
        <v>0</v>
      </c>
      <c r="BK824" s="106">
        <f t="shared" si="1650"/>
        <v>0</v>
      </c>
      <c r="BL824" s="106">
        <f t="shared" si="1650"/>
        <v>0</v>
      </c>
      <c r="BM824" s="132">
        <f t="shared" si="1650"/>
        <v>20.76</v>
      </c>
      <c r="BN824" s="112">
        <f t="shared" si="1650"/>
        <v>0</v>
      </c>
      <c r="BO824" s="112">
        <f t="shared" si="1650"/>
        <v>0</v>
      </c>
      <c r="BP824" s="112">
        <f t="shared" si="1650"/>
        <v>0</v>
      </c>
      <c r="BQ824" s="110">
        <f t="shared" si="1650"/>
        <v>0</v>
      </c>
      <c r="BR824" s="107">
        <f t="shared" si="1650"/>
        <v>0</v>
      </c>
      <c r="BS824" s="464"/>
      <c r="BT824" s="461"/>
      <c r="BU824" s="392"/>
      <c r="BV824" s="461"/>
      <c r="BW824" s="392"/>
      <c r="BX824" s="392"/>
      <c r="BY824" s="392"/>
      <c r="BZ824" s="461"/>
      <c r="CA824" s="392"/>
      <c r="CB824" s="392"/>
      <c r="CC824" s="392"/>
      <c r="CD824" s="401"/>
      <c r="CE824" s="409"/>
      <c r="CF824" s="133">
        <f t="shared" si="1540"/>
        <v>0</v>
      </c>
      <c r="CG824" s="134">
        <f t="shared" si="1541"/>
        <v>0</v>
      </c>
      <c r="CH824" s="134">
        <f t="shared" si="1542"/>
        <v>0</v>
      </c>
      <c r="CI824" s="134">
        <f t="shared" si="1543"/>
        <v>0</v>
      </c>
      <c r="CJ824" s="134">
        <f t="shared" si="1544"/>
        <v>0</v>
      </c>
      <c r="CK824" s="134">
        <f t="shared" si="1545"/>
        <v>0</v>
      </c>
      <c r="CL824" s="134">
        <f t="shared" si="1546"/>
        <v>0</v>
      </c>
      <c r="CM824" s="134">
        <f t="shared" si="1547"/>
        <v>0</v>
      </c>
      <c r="CN824" s="134">
        <f t="shared" si="1548"/>
        <v>0</v>
      </c>
      <c r="CO824" s="134">
        <f t="shared" si="1549"/>
        <v>0</v>
      </c>
      <c r="CP824" s="134">
        <f t="shared" si="1550"/>
        <v>0</v>
      </c>
      <c r="CQ824" s="134">
        <f t="shared" si="1551"/>
        <v>0</v>
      </c>
      <c r="CR824" s="134">
        <f t="shared" si="1552"/>
        <v>0</v>
      </c>
      <c r="CS824" s="134">
        <f t="shared" si="1553"/>
        <v>0</v>
      </c>
      <c r="CT824" s="115">
        <f t="shared" si="1554"/>
        <v>1</v>
      </c>
      <c r="CU824" s="116">
        <f t="shared" si="1555"/>
        <v>0</v>
      </c>
      <c r="CV824" s="116">
        <f t="shared" si="1556"/>
        <v>0</v>
      </c>
      <c r="CW824" s="116">
        <f t="shared" si="1557"/>
        <v>0</v>
      </c>
      <c r="CX824" s="116">
        <f t="shared" si="1558"/>
        <v>0</v>
      </c>
      <c r="CY824" s="116">
        <f t="shared" si="1559"/>
        <v>0</v>
      </c>
      <c r="CZ824" s="116">
        <f t="shared" si="1560"/>
        <v>0</v>
      </c>
      <c r="DA824" s="116">
        <f t="shared" si="1561"/>
        <v>0</v>
      </c>
      <c r="DB824" s="116">
        <f t="shared" si="1562"/>
        <v>0</v>
      </c>
      <c r="DC824" s="116">
        <f t="shared" si="1563"/>
        <v>0</v>
      </c>
      <c r="DD824" s="116">
        <f t="shared" si="1564"/>
        <v>0</v>
      </c>
      <c r="DE824" s="117">
        <f t="shared" si="1565"/>
        <v>0</v>
      </c>
      <c r="DF824" s="118">
        <f t="shared" si="1567"/>
        <v>47</v>
      </c>
      <c r="DG824" s="106">
        <f t="shared" si="1568"/>
        <v>62.775999999999989</v>
      </c>
      <c r="DH824" s="116">
        <f t="shared" si="1569"/>
        <v>17</v>
      </c>
      <c r="DI824" s="106">
        <f t="shared" si="1570"/>
        <v>72.399999999999991</v>
      </c>
      <c r="DJ824" s="201" t="str">
        <f>IF($D823="","",$D823)</f>
        <v>28</v>
      </c>
      <c r="DK824" s="466"/>
    </row>
    <row r="825" spans="1:115" ht="14.5" customHeight="1" x14ac:dyDescent="0.2">
      <c r="A825" s="390"/>
      <c r="B825" s="457"/>
      <c r="C825" s="135" t="s">
        <v>53</v>
      </c>
      <c r="D825" s="375"/>
      <c r="E825" s="387"/>
      <c r="F825" s="378"/>
      <c r="G825" s="484"/>
      <c r="H825" s="477"/>
      <c r="I825" s="136"/>
      <c r="J825" s="137"/>
      <c r="K825" s="138"/>
      <c r="L825" s="139"/>
      <c r="M825" s="140"/>
      <c r="N825" s="407"/>
      <c r="O825" s="141" t="str">
        <f>IF(OR(AE823="",AE824=""),"",IF(L825&gt;0,ROUND(IF(M825&gt;0,M825,IF(M823&gt;0,ROUND((M823*AE825)/AE823,IF(N823=0,2,IF(N823=0.1,1,0))),IF(M824&gt;0,ROUND((M824*AE825)/AE824,IF(N823=0,2,IF(N823=0.1,1,0))),IF(M825&gt;0,M825,0)))),2),""))</f>
        <v/>
      </c>
      <c r="P825" s="142" t="str">
        <f>IF(I824="Lay",O824*(L824/(L824-1))-O824,IF(I823="Lay",O823*(L823/(L823-1))-O823,IF(OR(L825="",O825=""),"",IF($C825="1/2W",O825/2+O825/2*L825,IF($C825="1/2L",O825/2,(O825*L825-O825)*(1-_xlfn.XLOOKUP(K825,'Fevereiro 2023 - Valor Real'!A3:A15,'Fevereiro 2023 - Valor Real'!C3:C15,0))+O825)))))</f>
        <v/>
      </c>
      <c r="Q825" s="221" t="str">
        <f>IF(K825="","",IF(_xlfn.XLOOKUP(K825,K$4:K824,$DJ$4:DJ824,0,,-1)=DJ825,_xlfn.XLOOKUP(K825,K$4:K824,Q$4:Q824,1,,-1)+1,1))</f>
        <v/>
      </c>
      <c r="R825" s="144" t="str">
        <f>IF(K825="","",_xlfn.XLOOKUP(K825,K$4:K824,R$4:R824,0,,-1)+IF($C825=" ",1,0))</f>
        <v/>
      </c>
      <c r="S825" s="404"/>
      <c r="T825" s="378"/>
      <c r="U825" s="378"/>
      <c r="V825" s="404"/>
      <c r="W825" s="378"/>
      <c r="X825" s="453"/>
      <c r="Y825" s="383"/>
      <c r="Z825" s="384"/>
      <c r="AA825" s="384"/>
      <c r="AB825" s="384"/>
      <c r="AC825" s="384"/>
      <c r="AD825" s="145">
        <f>((L824/(L824-1)-1))</f>
        <v>2.4509803921568634</v>
      </c>
      <c r="AE825" s="146" t="str">
        <f>IF(L825="","",(SUM(((L823-1)*(1-_xlfn.XLOOKUP(K823,'Fevereiro 2023 - Valor Real'!A3:A15,'Fevereiro 2023 - Valor Real'!C3:C15,0))+1),((L824-1)*(1-_xlfn.XLOOKUP(K824,'Fevereiro 2023 - Valor Real'!A3:A15,'Fevereiro 2023 - Valor Real'!C3:C15,0))+1),((L825-1)*(1-_xlfn.XLOOKUP(K825,'Fevereiro 2023 - Valor Real'!A3:A15,'Fevereiro 2023 - Valor Real'!C3:C15,0))+1))/((L825-1)*(1-_xlfn.XLOOKUP(K825,'Fevereiro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Real'!C3:C15,0))+1))/((L823-1)*(1-_xlfn.XLOOKUP(K823,'Fevereiro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Real'!C3:C15,0))+1))/((L824-1)*(1-_xlfn.XLOOKUP(K824,'Fevereiro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Real'!C3:C15,0))+1))/((L825-1)*(1-_xlfn.XLOOKUP(K825,'Fevereiro 2023 - Valor Real'!A3:A15,'Fevereiro 2023 - Valor Real'!C3:C15,0))+1)))</f>
        <v/>
      </c>
      <c r="AF825" s="105">
        <f t="shared" si="1648"/>
        <v>0</v>
      </c>
      <c r="AG825" s="106">
        <f t="shared" si="1648"/>
        <v>0</v>
      </c>
      <c r="AH825" s="106">
        <f t="shared" si="1648"/>
        <v>0</v>
      </c>
      <c r="AI825" s="106">
        <f t="shared" si="1648"/>
        <v>0</v>
      </c>
      <c r="AJ825" s="106">
        <f t="shared" si="1648"/>
        <v>0</v>
      </c>
      <c r="AK825" s="106">
        <f t="shared" si="1648"/>
        <v>0</v>
      </c>
      <c r="AL825" s="106">
        <f t="shared" si="1648"/>
        <v>0</v>
      </c>
      <c r="AM825" s="106">
        <f t="shared" si="1648"/>
        <v>0</v>
      </c>
      <c r="AN825" s="106">
        <f t="shared" si="1648"/>
        <v>0</v>
      </c>
      <c r="AO825" s="106">
        <f t="shared" si="1648"/>
        <v>0</v>
      </c>
      <c r="AP825" s="106">
        <f t="shared" si="1648"/>
        <v>0</v>
      </c>
      <c r="AQ825" s="106">
        <f t="shared" si="1648"/>
        <v>0</v>
      </c>
      <c r="AR825" s="107">
        <f t="shared" si="1648"/>
        <v>0</v>
      </c>
      <c r="AS825" s="105">
        <f>IF(AND($B823=" ",$K825=AS$3),$O825,0)</f>
        <v>0</v>
      </c>
      <c r="AT825" s="106">
        <f>IF(AND($B823=" ",K825=AT$3),$O825,0)</f>
        <v>0</v>
      </c>
      <c r="AU825" s="106">
        <f t="shared" ref="AU825:BE825" si="1651">IF(AND($B823=" ",$K825=AU$3),$O825,0)</f>
        <v>0</v>
      </c>
      <c r="AV825" s="106">
        <f t="shared" si="1651"/>
        <v>0</v>
      </c>
      <c r="AW825" s="106">
        <f t="shared" si="1651"/>
        <v>0</v>
      </c>
      <c r="AX825" s="106">
        <f t="shared" si="1651"/>
        <v>0</v>
      </c>
      <c r="AY825" s="108">
        <f t="shared" si="1651"/>
        <v>0</v>
      </c>
      <c r="AZ825" s="109">
        <f t="shared" si="1651"/>
        <v>0</v>
      </c>
      <c r="BA825" s="109">
        <f t="shared" si="1651"/>
        <v>0</v>
      </c>
      <c r="BB825" s="109">
        <f t="shared" si="1651"/>
        <v>0</v>
      </c>
      <c r="BC825" s="110">
        <f t="shared" si="1651"/>
        <v>0</v>
      </c>
      <c r="BD825" s="106">
        <f t="shared" si="1651"/>
        <v>0</v>
      </c>
      <c r="BE825" s="107">
        <f t="shared" si="1651"/>
        <v>0</v>
      </c>
      <c r="BF825" s="105">
        <f t="shared" si="1650"/>
        <v>0</v>
      </c>
      <c r="BG825" s="106">
        <f t="shared" si="1650"/>
        <v>0</v>
      </c>
      <c r="BH825" s="106">
        <f t="shared" si="1650"/>
        <v>0</v>
      </c>
      <c r="BI825" s="106">
        <f t="shared" si="1650"/>
        <v>0</v>
      </c>
      <c r="BJ825" s="106">
        <f t="shared" si="1650"/>
        <v>0</v>
      </c>
      <c r="BK825" s="106">
        <f t="shared" si="1650"/>
        <v>0</v>
      </c>
      <c r="BL825" s="106">
        <f t="shared" si="1650"/>
        <v>0</v>
      </c>
      <c r="BM825" s="108">
        <f t="shared" si="1650"/>
        <v>0</v>
      </c>
      <c r="BN825" s="109">
        <f t="shared" si="1650"/>
        <v>0</v>
      </c>
      <c r="BO825" s="109">
        <f t="shared" si="1650"/>
        <v>0</v>
      </c>
      <c r="BP825" s="109">
        <f t="shared" si="1650"/>
        <v>0</v>
      </c>
      <c r="BQ825" s="110">
        <f t="shared" si="1650"/>
        <v>0</v>
      </c>
      <c r="BR825" s="107">
        <f t="shared" si="1650"/>
        <v>0</v>
      </c>
      <c r="BS825" s="464"/>
      <c r="BT825" s="461"/>
      <c r="BU825" s="392"/>
      <c r="BV825" s="461"/>
      <c r="BW825" s="392"/>
      <c r="BX825" s="392"/>
      <c r="BY825" s="392"/>
      <c r="BZ825" s="461"/>
      <c r="CA825" s="392"/>
      <c r="CB825" s="392"/>
      <c r="CC825" s="392"/>
      <c r="CD825" s="401"/>
      <c r="CE825" s="409"/>
      <c r="CF825" s="133">
        <f t="shared" si="1540"/>
        <v>0</v>
      </c>
      <c r="CG825" s="134">
        <f t="shared" si="1541"/>
        <v>0</v>
      </c>
      <c r="CH825" s="134">
        <f t="shared" si="1542"/>
        <v>0</v>
      </c>
      <c r="CI825" s="134">
        <f t="shared" si="1543"/>
        <v>0</v>
      </c>
      <c r="CJ825" s="134">
        <f t="shared" si="1544"/>
        <v>0</v>
      </c>
      <c r="CK825" s="134">
        <f t="shared" si="1545"/>
        <v>0</v>
      </c>
      <c r="CL825" s="134">
        <f t="shared" si="1546"/>
        <v>0</v>
      </c>
      <c r="CM825" s="134">
        <f t="shared" si="1547"/>
        <v>0</v>
      </c>
      <c r="CN825" s="134">
        <f t="shared" si="1548"/>
        <v>0</v>
      </c>
      <c r="CO825" s="134">
        <f t="shared" si="1549"/>
        <v>0</v>
      </c>
      <c r="CP825" s="134">
        <f t="shared" si="1550"/>
        <v>0</v>
      </c>
      <c r="CQ825" s="134">
        <f t="shared" si="1551"/>
        <v>0</v>
      </c>
      <c r="CR825" s="134">
        <f t="shared" si="1552"/>
        <v>0</v>
      </c>
      <c r="CS825" s="134">
        <f t="shared" si="1553"/>
        <v>0</v>
      </c>
      <c r="CT825" s="115">
        <f t="shared" si="1554"/>
        <v>0</v>
      </c>
      <c r="CU825" s="116">
        <f t="shared" si="1555"/>
        <v>0</v>
      </c>
      <c r="CV825" s="116">
        <f t="shared" si="1556"/>
        <v>0</v>
      </c>
      <c r="CW825" s="116">
        <f t="shared" si="1557"/>
        <v>0</v>
      </c>
      <c r="CX825" s="116">
        <f t="shared" si="1558"/>
        <v>0</v>
      </c>
      <c r="CY825" s="116">
        <f t="shared" si="1559"/>
        <v>0</v>
      </c>
      <c r="CZ825" s="116">
        <f t="shared" si="1560"/>
        <v>0</v>
      </c>
      <c r="DA825" s="116">
        <f t="shared" si="1561"/>
        <v>0</v>
      </c>
      <c r="DB825" s="116">
        <f t="shared" si="1562"/>
        <v>0</v>
      </c>
      <c r="DC825" s="116">
        <f t="shared" si="1563"/>
        <v>0</v>
      </c>
      <c r="DD825" s="116">
        <f t="shared" si="1564"/>
        <v>0</v>
      </c>
      <c r="DE825" s="117">
        <f t="shared" si="1565"/>
        <v>0</v>
      </c>
      <c r="DF825" s="118">
        <f t="shared" si="1567"/>
        <v>47</v>
      </c>
      <c r="DG825" s="106">
        <f t="shared" si="1568"/>
        <v>62.775999999999989</v>
      </c>
      <c r="DH825" s="116">
        <f t="shared" si="1569"/>
        <v>17</v>
      </c>
      <c r="DI825" s="106">
        <f t="shared" si="1570"/>
        <v>72.399999999999991</v>
      </c>
      <c r="DJ825" s="201" t="str">
        <f>IF($D823="","",$D823)</f>
        <v>28</v>
      </c>
      <c r="DK825" s="466"/>
    </row>
    <row r="826" spans="1:115" ht="14.5" customHeight="1" x14ac:dyDescent="0.2">
      <c r="A826" s="487">
        <f>$A823+1</f>
        <v>275</v>
      </c>
      <c r="B826" s="506" t="str">
        <f>IF(OR(C826="W",C827="W",C828="W",C826="1/2W",C827="1/2W",C828="1/2W",C826="1/2L",C827="1/2L",C828="1/2L"),"OK",IF(OR(C826="L",C827="L",C828="L"),"LOSS",IF(OR(C826="X",C827="X",C828="X"),"Anulado"," ")))</f>
        <v>OK</v>
      </c>
      <c r="C826" s="147" t="s">
        <v>55</v>
      </c>
      <c r="D826" s="494" t="str">
        <f>IF(G826="","",$D823)</f>
        <v>28</v>
      </c>
      <c r="E826" s="511" t="str">
        <f>IF(G826=""," ","– "&amp;COUNTIF(D$4:D828,$D826))</f>
        <v>– 6</v>
      </c>
      <c r="F826" s="510" t="str">
        <f ca="1">IF(G826="","",IF(OR(AND($C826&lt;&gt;" ",$C827=" "),AND($C827&lt;&gt;" ",$C826=" "),AND(L828&gt;0,OR(AND($C828&lt;&gt;" ",OR($C826=" ",$C827=" ")),AND($C828=" ",OR($C826&lt;&gt;" ",$C827&lt;&gt;" "))))),IF(SUM(F$4:F825)=0,1,LARGE(F$4:F825,1)+1),IF(MONTH(G826)=MONTH(TODAY()),IF(AND(DAY(G826)&lt;DAY(TODAY()),$B826=" "),IF(SUM(F$4:F825)=0,1,LARGE(F$4:F825,1)+1),IF($B826=" ",IF(AND(DAY(G826)=DAY(TODAY()),HOUR(G826)&lt;=HOUR(NOW())+1),IF(AND(HOUR(G826)+2&lt;=HOUR(NOW()),DAY(G826)&lt;=DAY(TODAY()),MINUTE(G826)&lt;=MINUTE(NOW())),IF(SUM(F$4:F825)=0,1,LARGE(F$4:F825,1)+1),IF(OR(MINUTE(G826)&lt;=MINUTE(NOW()),HOUR(G826)&lt;=HOUR(NOW())),"!!!","")),""),"")),"")))</f>
        <v/>
      </c>
      <c r="G826" s="517">
        <v>45014.572916666664</v>
      </c>
      <c r="H826" s="516" t="s">
        <v>280</v>
      </c>
      <c r="I826" s="222" t="s">
        <v>51</v>
      </c>
      <c r="J826" s="223">
        <v>0.5</v>
      </c>
      <c r="K826" s="224" t="s">
        <v>40</v>
      </c>
      <c r="L826" s="225">
        <v>2.37</v>
      </c>
      <c r="M826" s="226"/>
      <c r="N826" s="503">
        <v>0.1</v>
      </c>
      <c r="O826" s="153">
        <f>IF(OR(AE826="",AE827=""),"",ROUND(IF(L828&gt;0,IF(M826&gt;0,M826,IF(M827&gt;0,ROUND((M827*AE826)/AE827,IF(N826=0,2,IF(N826=0.1,1,0))),ROUND((M828*AE826)/AE828,IF(N826=0,2,IF(N826=0.1,1,0))))),IF(M826&gt;0,M826,ROUND((M827*AE826)/AE827,IF(N826=0,2,IF(N826=0.1,1,0))))),2))</f>
        <v>16.100000000000001</v>
      </c>
      <c r="P826" s="227">
        <f>IF(OR(L826="",O826=""),"",IF($C826="1/2W",O826/2+O826/2*L826,IF($C826="1/2L",O826/2,IF(I826="Lay",(O826*(L826/(L826-1))-O826)*(1-_xlfn.XLOOKUP(K826,'Fevereiro 2023 - Valor Real'!A3:A15,'Fevereiro 2023 - Valor Real'!C3:C15,0))+O826,(O826*L826-O826)*(1-_xlfn.XLOOKUP(K826,'Fevereiro 2023 - Valor Real'!A3:A15,'Fevereiro 2023 - Valor Real'!C3:C15,0))+O826))))</f>
        <v>38.157000000000004</v>
      </c>
      <c r="Q826" s="228">
        <f>IF(K826="","",IF(_xlfn.XLOOKUP(K826,K$4:K825,$DJ$4:DJ825,0,,-1)=DJ826,_xlfn.XLOOKUP(K826,K$4:K825,Q$4:Q825,1,,-1)+1,1))</f>
        <v>6</v>
      </c>
      <c r="R826" s="229">
        <f>IF(K826="","",_xlfn.XLOOKUP(K826,K$4:K825,R$4:R825,0,,-1)+IF($C826=" ",1,0))</f>
        <v>0</v>
      </c>
      <c r="S826" s="501">
        <f>IF($B826="Anulado",0,ROUND(IF(OR($B826="LOSS",$B826="OK"),IF(OR($C826="W",$C826="1/2W",$C826="1/2L"),P826-O826,IF($C826="L",-O826,0))+IF(OR($C827="W",$C827="1/2W",$C827="1/2L"),P827-O827,IF($C827="L",-O827,0))+IF(OR($C828="W",$C828="1/2W",$C828="1/2L"),P828-O828,IF($C828="L",-O828,0)),IF(AND(OR($C826="W",$C826="1/2W",$C826="1/2L"),C827="W"),P826+P827-SUM(O826:O828)+_xlfn.XLOOKUP("X",C826:C828,O826:O828,0),IF(AND(C826=TRUE,C828="W"),P826+P828-SUM(O826:O828),IF(AND(C827="W",C828="W"),P827+P828-SUM(O826:O828)+_xlfn.XLOOKUP("X",C826:C828,O826:O828,0),IF(L828&gt;0,IF(OR($C826="W",$C826="1/2W",$C826="1/2L"),P826-SUM(O826:O828)+_xlfn.XLOOKUP("X",C826:C828,O826:O828,0),IF(OR($C826="W",$C826="1/2W",$C826="1/2L"),P827-SUM(O826:O828)+_xlfn.XLOOKUP("X",C826:C828,O826:O828,0),IF(OR($C826="W",$C826="1/2W",$C826="1/2L"),P828-SUM(O826:O828)+_xlfn.XLOOKUP("X",C826:C828,O826:O828,0),IF(SUM(P826:P828)/3-SUM(O826:O828)+_xlfn.XLOOKUP("X",C826:C828,O826:O828,0)&gt;0,SUM(P826:P828)/3-SUM(O826:O828)+_xlfn.XLOOKUP("X",C826:C828,O826:O828,0),LARGE(P826:P828,1)-SUM(O826:O828))))),IF(OR($C826="W",$C826="1/2W",$C826="1/2L"),P826-SUM(O826:O827)+_xlfn.XLOOKUP("X",C826:C828,O826:O828,0),IF(OR($C826="W",$C826="1/2W",$C826="1/2L"),P827-SUM(O826:O827)+_xlfn.XLOOKUP("X",C826:C828,O826:O828,0),SUM(P826:P827)/2-SUM(O826:O827)+_xlfn.XLOOKUP("X",C826:C828,O826:O828,0)))))))),2))</f>
        <v>3.01</v>
      </c>
      <c r="T826" s="486">
        <f>IF(S826=0,0,S826/SUM(O826:O828))</f>
        <v>8.5487077534791248E-2</v>
      </c>
      <c r="U826" s="496">
        <f>IF($D826=$D823,IF(OR($B826="LOSS",$B826="OK",$B826="Anulada"),S826,0)+U823,IF(OR($B826="LOSS",$B826="OK",$B826="Anulada"),S826,0))</f>
        <v>13.08</v>
      </c>
      <c r="V826" s="496">
        <f>IF($D826="",0,IF($D826=$D823,IF($B826=" ",IF(I828="",IF(OR(AND(I826="DNB1",I827="DNB2"),AND(OR(I826="DNB1",I826="DNB2"),J827=0),AND(OR(I827="DNB1",I827="DNB2"),J826=0),AND(I826="DNB2",I827="DNB1"),AND(IF(J826=0,(J826+1)/ROUND(J826+1,0),J826/ROUND(J826,0))=1,IF(J827=0,(J827+1)/ROUND(IF(J827="",0,J827)+1,0),IF(J827="",0,J827)/ROUND(IF(J827="",1,J827),0))=1,OR(J826&lt;&gt;""),J827&lt;&gt;"")),0,IF(S826&lt;0,IF(I828="",SMALL(P826:P827,1)-SUM(O826:O827),0),SMALL(P826:P827,1)-SUM(O826:O827))),IF(S826&lt;0,IF(I828="",SMALL(P826:P828,1)-SUM(O826:O828),0),LARGE(P826:P828,1)-SUM(O826:O828))),S826)+V823,IF(I828="",IF(OR(AND(I826="DNB1",I827="DNB2"),AND(OR(I826="DNB1",I826="DNB2"),J827=0),AND(OR(I827="DNB1",I827="DNB2"),J826=0),AND(I826="DNB2",I827="DNB1"),AND(IF(J826=0,(J826+1)/ROUND(J826+1,0),J826/ROUND(J826,0))=1,IF(J827=0,(IF(J827="",0,J827)+1)/ROUND(IF(J827="",0,J827)+1,0),IF(J827="",0,J827)/ROUND(IF(J827="",0,J827)+1,0))=1,OR(J826&lt;&gt;""),J827&lt;&gt;"")),0,IF(S826&lt;0,IF(I828="",SMALL(P826:P827,1)-SUM(O826:O827),0),SMALL(P826:P828,1)-SUM(O826:O828))),IF(S826&lt;0,IF(I828="",SMALL(P826:P828,1)-SUM(O826:O828),0),LARGE(P826:P828,1)-SUM(O826:O828)))))</f>
        <v>13.047999999999996</v>
      </c>
      <c r="W826" s="496">
        <f>IF($D826=$D823,IF(S826&lt;0,IF(I828="",S826,0),S826)+W823,S826)</f>
        <v>13.08</v>
      </c>
      <c r="X826" s="505" t="str">
        <f>IF(OR(SUM(R826:R828)=0,V826=W826),ROUND(IF(W826=0,0,W826/Y826)*100,2)&amp;"%",ROUND(IF(V826=0,0,V826/Y826)*100,2)&amp;"% a "&amp;ROUND(IF(W826=0,0,W826/Y826)*100,2)&amp;"%")</f>
        <v>6,98%</v>
      </c>
      <c r="Y826" s="497">
        <f>IF($D826=$D823,Y823+SUM(O826:O828),SUM(O826:O828))</f>
        <v>187.36</v>
      </c>
      <c r="Z826" s="496">
        <f>IF($B826=" ",SUM(O826:O828),0)+Z823</f>
        <v>0</v>
      </c>
      <c r="AA826" s="496">
        <f>IF(G826="","",IF($B826="Anulado",LARGE(P826:P828,1)-SUM(O826:O828)+AA823,AA823))</f>
        <v>13.381099999999991</v>
      </c>
      <c r="AB826" s="496">
        <f>IF($D826="","",AB823+S826)</f>
        <v>908.09000000000071</v>
      </c>
      <c r="AC826" s="499">
        <f ca="1">IF($D826="","",IF($B826=" ",IF(DAY(G826)=DAY(TODAY()),1+AC823,0+AC823),0+AC823))</f>
        <v>0</v>
      </c>
      <c r="AD826" s="157">
        <f>(((L827/(L827-1)-1)*(1-_xlfn.XLOOKUP(K827,'Fevereiro 2023 - Valor Real'!A3:A15,'Fevereiro 2023 - Valor Real'!C3:C15,0))+1))/(((L826-1)*(1-_xlfn.XLOOKUP(K826,'Fevereiro 2023 - Valor Real'!A3:A15,'Fevereiro 2023 - Valor Real'!C3:C15,0))+1)+((L827/(L827-1)-1)*(1-_xlfn.XLOOKUP(K827,'Fevereiro 2023 - Valor Real'!A3:A15,'Fevereiro 2023 - Valor Real'!C3:C15,0))+1))</f>
        <v>0.45766590389016015</v>
      </c>
      <c r="AE826" s="158">
        <f>IF(L826="","",IF(L828&gt;0,(SUM(((L826-1)*(1-_xlfn.XLOOKUP(K826,'Fevereiro 2023 - Valor Real'!A3:A15,'Fevereiro 2023 - Valor Real'!C3:C15,0))+1),((L827-1)*(1-_xlfn.XLOOKUP(K827,'Fevereiro 2023 - Valor Real'!A3:A15,'Fevereiro 2023 - Valor Real'!C3:C15,0))+1),((L828-1)*(1-_xlfn.XLOOKUP(K828,'Fevereiro 2023 - Valor Real'!A3:A15,'Fevereiro 2023 - Valor Real'!C3:C15,0))+1))/((L826-1)*(1-_xlfn.XLOOKUP(K826,'Fevereiro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Real'!C3:C15,0))+1))/((L826-1)*(1-_xlfn.XLOOKUP(K826,'Fevereiro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Real'!C3:C15,0))+1))/((L827-1)*(1-_xlfn.XLOOKUP(K827,'Fevereiro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Real'!C3:C15,0))+1))/((L828-1)*(1-_xlfn.XLOOKUP(K828,'Fevereiro 2023 - Valor Real'!A3:A15,'Fevereiro 2023 - Valor Real'!C3:C15,0))+1)),IF(I826="Lay",IF(I827="Lay",((L827/(L827-1)-1)*(1-_xlfn.XLOOKUP(K827,'Fevereiro 2023 - Valor Real'!A3:A15,'Fevereiro 2023 - Valor Real'!C3:C15,0))+1)/(((L827/(L827-1)-1)*(1-_xlfn.XLOOKUP(K827,'Fevereiro 2023 - Valor Real'!A3:A15,'Fevereiro 2023 - Valor Real'!C3:C15,0))+1)+((L826/(L826-1)-1)*(1-_xlfn.XLOOKUP(K826,'Fevereiro 2023 - Valor Real'!A3:A15,'Fevereiro 2023 - Valor Real'!C3:C15,0))+1)),((L827-1)*(1-_xlfn.XLOOKUP(K827,'Fevereiro 2023 - Valor Real'!A3:A15,'Fevereiro 2023 - Valor Real'!C3:C15,0))+1)/(((L827-1)*(1-_xlfn.XLOOKUP(K827,'Fevereiro 2023 - Valor Real'!A3:A15,'Fevereiro 2023 - Valor Real'!C3:C15,0))+1)+((L826/(L826-1)-1)*(1-_xlfn.XLOOKUP(K826,'Fevereiro 2023 - Valor Real'!A3:A15,'Fevereiro 2023 - Valor Real'!C3:C15,0))+1))),IF(I827="Lay",(((L827/(L827-1)-1)*(1-_xlfn.XLOOKUP(K827,'Fevereiro 2023 - Valor Real'!A3:A15,'Fevereiro 2023 - Valor Real'!C3:C15,0))+1))/(((L826-1)*(1-_xlfn.XLOOKUP(K826,'Fevereiro 2023 - Valor Real'!A3:A15,'Fevereiro 2023 - Valor Real'!C3:C15,0))+1)+((L827/(L827-1)-1)*(1-_xlfn.XLOOKUP(K827,'Fevereiro 2023 - Valor Real'!A3:A15,'Fevereiro 2023 - Valor Real'!C3:C15,0))+1)),((L827-1)*(1-_xlfn.XLOOKUP(K827,'Fevereiro 2023 - Valor Real'!A3:A15,'Fevereiro 2023 - Valor Real'!C3:C15,0))+1)/(((L827-1)*(1-_xlfn.XLOOKUP(K827,'Fevereiro 2023 - Valor Real'!A3:A15,'Fevereiro 2023 - Valor Real'!C3:C15,0))+1)+((L826-1)*(1-_xlfn.XLOOKUP(K826,'Fevereiro 2023 - Valor Real'!A3:A15,'Fevereiro 2023 - Valor Real'!C3:C15,0))+1))))))</f>
        <v>0.45766590389016015</v>
      </c>
      <c r="AF826" s="66">
        <f t="shared" si="1648"/>
        <v>0</v>
      </c>
      <c r="AG826" s="67">
        <f t="shared" si="1648"/>
        <v>0</v>
      </c>
      <c r="AH826" s="67">
        <f t="shared" si="1648"/>
        <v>0</v>
      </c>
      <c r="AI826" s="67">
        <f t="shared" si="1648"/>
        <v>0</v>
      </c>
      <c r="AJ826" s="67">
        <f t="shared" si="1648"/>
        <v>-16.100000000000001</v>
      </c>
      <c r="AK826" s="67">
        <f t="shared" si="1648"/>
        <v>0</v>
      </c>
      <c r="AL826" s="67">
        <f t="shared" si="1648"/>
        <v>0</v>
      </c>
      <c r="AM826" s="67">
        <f t="shared" si="1648"/>
        <v>0</v>
      </c>
      <c r="AN826" s="67">
        <f t="shared" si="1648"/>
        <v>0</v>
      </c>
      <c r="AO826" s="67">
        <f t="shared" si="1648"/>
        <v>0</v>
      </c>
      <c r="AP826" s="67">
        <f t="shared" si="1648"/>
        <v>0</v>
      </c>
      <c r="AQ826" s="67">
        <f t="shared" si="1648"/>
        <v>0</v>
      </c>
      <c r="AR826" s="68">
        <f t="shared" si="1648"/>
        <v>0</v>
      </c>
      <c r="AS826" s="66">
        <f t="shared" ref="AS826:BE826" si="1652">IF(AND($B826=" ",$K826=AS$3),$O826,0)</f>
        <v>0</v>
      </c>
      <c r="AT826" s="67">
        <f t="shared" si="1652"/>
        <v>0</v>
      </c>
      <c r="AU826" s="67">
        <f t="shared" si="1652"/>
        <v>0</v>
      </c>
      <c r="AV826" s="67">
        <f t="shared" si="1652"/>
        <v>0</v>
      </c>
      <c r="AW826" s="67">
        <f t="shared" si="1652"/>
        <v>0</v>
      </c>
      <c r="AX826" s="67">
        <f t="shared" si="1652"/>
        <v>0</v>
      </c>
      <c r="AY826" s="69">
        <f t="shared" si="1652"/>
        <v>0</v>
      </c>
      <c r="AZ826" s="70">
        <f t="shared" si="1652"/>
        <v>0</v>
      </c>
      <c r="BA826" s="70">
        <f t="shared" si="1652"/>
        <v>0</v>
      </c>
      <c r="BB826" s="70">
        <f t="shared" si="1652"/>
        <v>0</v>
      </c>
      <c r="BC826" s="71">
        <f t="shared" si="1652"/>
        <v>0</v>
      </c>
      <c r="BD826" s="67">
        <f t="shared" si="1652"/>
        <v>0</v>
      </c>
      <c r="BE826" s="68">
        <f t="shared" si="1652"/>
        <v>0</v>
      </c>
      <c r="BF826" s="230">
        <f t="shared" si="1650"/>
        <v>0</v>
      </c>
      <c r="BG826" s="67">
        <f t="shared" si="1650"/>
        <v>0</v>
      </c>
      <c r="BH826" s="67">
        <f t="shared" si="1650"/>
        <v>0</v>
      </c>
      <c r="BI826" s="67">
        <f t="shared" si="1650"/>
        <v>0</v>
      </c>
      <c r="BJ826" s="67">
        <f t="shared" si="1650"/>
        <v>16.100000000000001</v>
      </c>
      <c r="BK826" s="67">
        <f t="shared" si="1650"/>
        <v>0</v>
      </c>
      <c r="BL826" s="67">
        <f t="shared" si="1650"/>
        <v>0</v>
      </c>
      <c r="BM826" s="69">
        <f t="shared" si="1650"/>
        <v>0</v>
      </c>
      <c r="BN826" s="70">
        <f t="shared" si="1650"/>
        <v>0</v>
      </c>
      <c r="BO826" s="70">
        <f t="shared" si="1650"/>
        <v>0</v>
      </c>
      <c r="BP826" s="70">
        <f t="shared" si="1650"/>
        <v>0</v>
      </c>
      <c r="BQ826" s="71">
        <f t="shared" si="1650"/>
        <v>0</v>
      </c>
      <c r="BR826" s="68">
        <f t="shared" si="1650"/>
        <v>0</v>
      </c>
      <c r="BS826" s="490">
        <f>IF($B826="LOSS",IF(AND($K826=BS$3,$C826="L"),-$O826,0)+IF(AND($K827=BS$3,$C827="L"),-$O827,0)+IF(AND($K828=BS$3,$C828="L"),-$O828,0),IF(OR(AND($K826=BS$3,OR($C826="W",$C826="1/2W")),AND($K827=BS$3,OR($C827="W",$C827="1/2W")),AND($K828=BS$3,OR($C828="W",$C828="1/2W"))),$S826,0))</f>
        <v>0</v>
      </c>
      <c r="BT826" s="488">
        <f>IF($B826="LOSS",IF(AND($K826=BT$3,$C826="L"),-$O826,0)+IF(AND($K827=BT$3,$C827="L"),-$O827,0)+IF(AND($K827=BT$3,$C828="L"),-$O828,0),IF(OR(AND($K827=BT$3,OR($C826="W",$C826="1/2W")),AND($K827=BT$3,OR($C827="W",$C827="1/2W")),AND($K827=BT$3,OR($C828="W",$C828="1/2W"))),$S826,0))</f>
        <v>3.01</v>
      </c>
      <c r="BU826" s="488">
        <f>IF($B826="LOSS",IF(AND($K826=BU$3,$C826="L"),-$O826,0)+IF(AND($K827=BU$3,$C827="L"),-$O827,0)+IF(AND($K827=BU$3,$C828="L"),-$O828,0),IF(OR(AND($K827=BU$3,OR($C826="W",$C826="1/2W")),AND($K827=BU$3,OR($C827="W",$C827="1/2W")),AND($K827=BU$3,OR($C828="W",$C828="1/2W"))),$S826,0))</f>
        <v>0</v>
      </c>
      <c r="BV826" s="488">
        <f t="shared" ref="BV826:CE826" si="1653">IF($B826="LOSS",IF(AND($K826=BV$3,$C826="L"),-$O826,0)+IF(AND($K827=BV$3,$C827="L"),-$O827,0)+IF(AND($K828=BV$3,$C828="L"),-$O828,0),IF(OR(AND($K826=BV$3,OR($C826="W",$C826="1/2W")),AND($K827=BV$3,OR($C827="W",$C827="1/2W")),AND($K828=BV$3,OR($C828="W",$C828="1/2W"))),$S826,0))</f>
        <v>0</v>
      </c>
      <c r="BW826" s="488">
        <f t="shared" si="1653"/>
        <v>0</v>
      </c>
      <c r="BX826" s="488">
        <f t="shared" si="1653"/>
        <v>0</v>
      </c>
      <c r="BY826" s="488">
        <f t="shared" si="1653"/>
        <v>0</v>
      </c>
      <c r="BZ826" s="498">
        <f t="shared" si="1653"/>
        <v>0</v>
      </c>
      <c r="CA826" s="498">
        <f t="shared" si="1653"/>
        <v>0</v>
      </c>
      <c r="CB826" s="498">
        <f t="shared" si="1653"/>
        <v>0</v>
      </c>
      <c r="CC826" s="498">
        <f t="shared" si="1653"/>
        <v>0</v>
      </c>
      <c r="CD826" s="500">
        <f t="shared" si="1653"/>
        <v>0</v>
      </c>
      <c r="CE826" s="504">
        <f t="shared" si="1653"/>
        <v>0</v>
      </c>
      <c r="CF826" s="160">
        <f t="shared" si="1540"/>
        <v>0</v>
      </c>
      <c r="CG826" s="161">
        <f t="shared" si="1541"/>
        <v>0</v>
      </c>
      <c r="CH826" s="161">
        <f t="shared" si="1542"/>
        <v>0</v>
      </c>
      <c r="CI826" s="161">
        <f t="shared" si="1543"/>
        <v>0</v>
      </c>
      <c r="CJ826" s="161">
        <f t="shared" si="1544"/>
        <v>0</v>
      </c>
      <c r="CK826" s="161">
        <f t="shared" si="1545"/>
        <v>0</v>
      </c>
      <c r="CL826" s="161">
        <f t="shared" si="1546"/>
        <v>0</v>
      </c>
      <c r="CM826" s="161">
        <f t="shared" si="1547"/>
        <v>0</v>
      </c>
      <c r="CN826" s="161">
        <f t="shared" si="1548"/>
        <v>0</v>
      </c>
      <c r="CO826" s="161">
        <f t="shared" si="1549"/>
        <v>1</v>
      </c>
      <c r="CP826" s="161">
        <f t="shared" si="1550"/>
        <v>0</v>
      </c>
      <c r="CQ826" s="161">
        <f t="shared" si="1551"/>
        <v>0</v>
      </c>
      <c r="CR826" s="161">
        <f t="shared" si="1552"/>
        <v>0</v>
      </c>
      <c r="CS826" s="161">
        <f t="shared" si="1553"/>
        <v>0</v>
      </c>
      <c r="CT826" s="75">
        <f t="shared" si="1554"/>
        <v>0</v>
      </c>
      <c r="CU826" s="76">
        <f t="shared" si="1555"/>
        <v>0</v>
      </c>
      <c r="CV826" s="76">
        <f t="shared" si="1556"/>
        <v>0</v>
      </c>
      <c r="CW826" s="76">
        <f t="shared" si="1557"/>
        <v>0</v>
      </c>
      <c r="CX826" s="76">
        <f t="shared" si="1558"/>
        <v>0</v>
      </c>
      <c r="CY826" s="76">
        <f t="shared" si="1559"/>
        <v>0</v>
      </c>
      <c r="CZ826" s="76">
        <f t="shared" si="1560"/>
        <v>0</v>
      </c>
      <c r="DA826" s="76">
        <f t="shared" si="1561"/>
        <v>0</v>
      </c>
      <c r="DB826" s="76">
        <f t="shared" si="1562"/>
        <v>0</v>
      </c>
      <c r="DC826" s="76">
        <f t="shared" si="1563"/>
        <v>0</v>
      </c>
      <c r="DD826" s="76">
        <f t="shared" si="1564"/>
        <v>0</v>
      </c>
      <c r="DE826" s="77">
        <f t="shared" si="1565"/>
        <v>0</v>
      </c>
      <c r="DF826" s="73">
        <f t="shared" si="1567"/>
        <v>47</v>
      </c>
      <c r="DG826" s="67">
        <f t="shared" si="1568"/>
        <v>62.775999999999989</v>
      </c>
      <c r="DH826" s="76">
        <f t="shared" si="1569"/>
        <v>17</v>
      </c>
      <c r="DI826" s="67">
        <f t="shared" si="1570"/>
        <v>72.399999999999991</v>
      </c>
      <c r="DJ826" s="202" t="str">
        <f>IF($D826="","",$D826)</f>
        <v>28</v>
      </c>
      <c r="DK826" s="492">
        <f>IF(AND($B826=" ",$D826&lt;&gt;""),1,0)</f>
        <v>0</v>
      </c>
    </row>
    <row r="827" spans="1:115" ht="14.5" customHeight="1" x14ac:dyDescent="0.2">
      <c r="A827" s="389"/>
      <c r="B827" s="456"/>
      <c r="C827" s="53" t="s">
        <v>54</v>
      </c>
      <c r="D827" s="374"/>
      <c r="E827" s="386"/>
      <c r="F827" s="377"/>
      <c r="G827" s="483"/>
      <c r="H827" s="476"/>
      <c r="I827" s="55" t="s">
        <v>52</v>
      </c>
      <c r="J827" s="231">
        <f>IF(OR(I826="TO",I826="TU",I826="TO1",I826="TU1",I826="TO2",I826="TU2"),J826,IF(OR(I826="AH1",I826="AH2"),IF(OR(I827="AH1",I827="AH2"),-J826,IF(OR(I827="EH1",I827="EH2"),-J826+0.5,"")),IF(OR(I826="EH1",I826="EH2"),IF(OR(I827="AH1",I827="AH2"),-J826+0.5,IF(OR(I827="EH1",I827="EH2"),-J826+1,"")),IF(AND(OR(I826="DNB1",I826="DNB2"),OR(I827="AH1",I827="AH2")),0,IF(AND(I826="Not ScoreBoth",OR(I827="TO1",I827="TO2")),0.5,"")))))</f>
        <v>0.5</v>
      </c>
      <c r="K827" s="232" t="s">
        <v>37</v>
      </c>
      <c r="L827" s="58">
        <v>2</v>
      </c>
      <c r="M827" s="59">
        <v>19.11</v>
      </c>
      <c r="N827" s="406"/>
      <c r="O827" s="60">
        <f>IF(OR(AE826="",AE827=""),"",ROUND(IF(L828&gt;0,IF(M827&gt;0,M827,IF(M826&gt;0,IF(N826=TRUE,ROUND((M826*AE827)/AE826,0),(M826*AE827)/AE826),IF(M827&gt;0,ROUND(M827,IF(N826=0,2,IF(N826=0.1,1,0))),IF(M828&gt;0,ROUND(O828*AE827/AE828,IF(N826=0,2,IF(N826=0.1,1,0))),0)))),IF(M827&gt;0,M827,ROUND((M826*AE827)/AE826,IF(N826=0,2,IF(N826=0.1,1,0))))),2))</f>
        <v>19.11</v>
      </c>
      <c r="P827" s="61">
        <f>IF(OR(L827="",O827=""),"",IF($C827="1/2W",O827/2+O827/2*L827,IF($C827="1/2L",O827/2,IF(I827="Lay",((O827*(L827/(L827-1)))-O827)*(1-_xlfn.XLOOKUP(K827,'Fevereiro 2023 - Valor Real'!A3:A15,'Fevereiro 2023 - Valor Real'!C3:C15,0))+O827,(O827*L827-O827)*(1-_xlfn.XLOOKUP(K827,'Fevereiro 2023 - Valor Real'!A3:A15,'Fevereiro 2023 - Valor Real'!C3:C15,0))+O827))))</f>
        <v>38.22</v>
      </c>
      <c r="Q827" s="233">
        <f>IF(K827="","",IF(_xlfn.XLOOKUP(K827,K$4:K826,$DJ$4:DJ826,0,,-1)=DJ827,_xlfn.XLOOKUP(K827,K$4:K826,Q$4:Q826,1,,-1)+1,1))</f>
        <v>2</v>
      </c>
      <c r="R827" s="234">
        <f>IF(K827="","",_xlfn.XLOOKUP(K827,K$4:K826,R$4:R826,0,,-1)+IF($C827=" ",1,0))</f>
        <v>0</v>
      </c>
      <c r="S827" s="403"/>
      <c r="T827" s="380"/>
      <c r="U827" s="380"/>
      <c r="V827" s="481"/>
      <c r="W827" s="380"/>
      <c r="X827" s="452"/>
      <c r="Y827" s="383"/>
      <c r="Z827" s="384"/>
      <c r="AA827" s="384"/>
      <c r="AB827" s="384"/>
      <c r="AC827" s="384"/>
      <c r="AD827" s="64">
        <f>(((L827/(L827-1)-1)*(1-_xlfn.XLOOKUP(K827,'Fevereiro 2023 - Valor Real'!A3:A15,'Fevereiro 2023 - Valor Real'!C3:C15,0))+1))</f>
        <v>2</v>
      </c>
      <c r="AE827" s="65">
        <f>IF(L827="","",IF(L828&gt;0,(SUM(((L826-1)*(1-_xlfn.XLOOKUP(K826,'Fevereiro 2023 - Valor Real'!A3:A15,'Fevereiro 2023 - Valor Real'!C3:C15,0))+1),((L827-1)*(1-_xlfn.XLOOKUP(K827,'Fevereiro 2023 - Valor Real'!A3:A15,'Fevereiro 2023 - Valor Real'!C3:C15,0))+1),((L828-1)*(1-_xlfn.XLOOKUP(K828,'Fevereiro 2023 - Valor Real'!A3:A15,'Fevereiro 2023 - Valor Real'!C3:C15,0))+1))/((L827-1)*(1-_xlfn.XLOOKUP(K827,'Fevereiro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Real'!C3:C15,0))+1))/((L826-1)*(1-_xlfn.XLOOKUP(K826,'Fevereiro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Real'!C3:C15,0))+1))/((L827-1)*(1-_xlfn.XLOOKUP(K827,'Fevereiro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Real'!C3:C15,0))+1))/((L828-1)*(1-_xlfn.XLOOKUP(K828,'Fevereiro 2023 - Valor Real'!A3:A15,'Fevereiro 2023 - Valor Real'!C3:C15,0))+1)),IF(I827="Lay",IF(I826="Lay",((L826/(L826-1)-1)*(1-_xlfn.XLOOKUP(K826,'Fevereiro 2023 - Valor Real'!A3:A15,'Fevereiro 2023 - Valor Real'!C3:C15,0))+1)/(((L826/(L826-1)-1)*(1-_xlfn.XLOOKUP(K826,'Fevereiro 2023 - Valor Real'!A3:A15,'Fevereiro 2023 - Valor Real'!C3:C15,0))+1)+((L827/(L827-1)-1)*(1-_xlfn.XLOOKUP(K827,'Fevereiro 2023 - Valor Real'!A3:A15,'Fevereiro 2023 - Valor Real'!C3:C15,0))+1)),((L826-1)*(1-_xlfn.XLOOKUP(K826,'Fevereiro 2023 - Valor Real'!A3:A15,'Fevereiro 2023 - Valor Real'!C3:C15,0))+1)/(((L826-1)*(1-_xlfn.XLOOKUP(K826,'Fevereiro 2023 - Valor Real'!A3:A15,'Fevereiro 2023 - Valor Real'!C3:C15,0))+1)+((L827/(L827-1)-1)*(1-_xlfn.XLOOKUP(K827,'Fevereiro 2023 - Valor Real'!A3:A15,'Fevereiro 2023 - Valor Real'!C3:C15,0))+1))),IF(I826="Lay",((L826/(L826-1)-1)*(1-_xlfn.XLOOKUP(K826,'Fevereiro 2023 - Valor Real'!A3:A15,'Fevereiro 2023 - Valor Real'!C3:C15,0))+1)/((((L826/(L826-1)-1)*(1-_xlfn.XLOOKUP(K826,'Fevereiro 2023 - Valor Real'!A3:A15,'Fevereiro 2023 - Valor Real'!C3:C15,0))+1))+((L827-1)*(1-_xlfn.XLOOKUP(K827,'Fevereiro 2023 - Valor Real'!A3:A15,'Fevereiro 2023 - Valor Real'!C3:C15,0))+1)),((L826-1)*(1-_xlfn.XLOOKUP(K826,'Fevereiro 2023 - Valor Real'!A3:A15,'Fevereiro 2023 - Valor Real'!C3:C15,0))+1)/(((L826-1)*(1-_xlfn.XLOOKUP(K826,'Fevereiro 2023 - Valor Real'!A3:A15,'Fevereiro 2023 - Valor Real'!C3:C15,0))+1)+((L827-1)*(1-_xlfn.XLOOKUP(K827,'Fevereiro 2023 - Valor Real'!A3:A15,'Fevereiro 2023 - Valor Real'!C3:C15,0))+1))))))</f>
        <v>0.54233409610983985</v>
      </c>
      <c r="AF827" s="66">
        <f t="shared" si="1648"/>
        <v>0</v>
      </c>
      <c r="AG827" s="67">
        <f t="shared" si="1648"/>
        <v>19.11</v>
      </c>
      <c r="AH827" s="67">
        <f t="shared" si="1648"/>
        <v>0</v>
      </c>
      <c r="AI827" s="67">
        <f t="shared" si="1648"/>
        <v>0</v>
      </c>
      <c r="AJ827" s="67">
        <f t="shared" si="1648"/>
        <v>0</v>
      </c>
      <c r="AK827" s="67">
        <f t="shared" si="1648"/>
        <v>0</v>
      </c>
      <c r="AL827" s="67">
        <f t="shared" si="1648"/>
        <v>0</v>
      </c>
      <c r="AM827" s="67">
        <f t="shared" si="1648"/>
        <v>0</v>
      </c>
      <c r="AN827" s="67">
        <f t="shared" si="1648"/>
        <v>0</v>
      </c>
      <c r="AO827" s="67">
        <f t="shared" si="1648"/>
        <v>0</v>
      </c>
      <c r="AP827" s="67">
        <f t="shared" si="1648"/>
        <v>0</v>
      </c>
      <c r="AQ827" s="67">
        <f t="shared" si="1648"/>
        <v>0</v>
      </c>
      <c r="AR827" s="68">
        <f t="shared" si="1648"/>
        <v>0</v>
      </c>
      <c r="AS827" s="66">
        <f>IF(AND($B826=" ",$K827=AS$3),$O827,0)</f>
        <v>0</v>
      </c>
      <c r="AT827" s="67">
        <f>IF(AND($B826=" ",K827=AT$3),$O827,0)</f>
        <v>0</v>
      </c>
      <c r="AU827" s="67">
        <f t="shared" ref="AU827:BE827" si="1654">IF(AND($B826=" ",$K827=AU$3),$O827,0)</f>
        <v>0</v>
      </c>
      <c r="AV827" s="67">
        <f t="shared" si="1654"/>
        <v>0</v>
      </c>
      <c r="AW827" s="67">
        <f t="shared" si="1654"/>
        <v>0</v>
      </c>
      <c r="AX827" s="67">
        <f t="shared" si="1654"/>
        <v>0</v>
      </c>
      <c r="AY827" s="69">
        <f t="shared" si="1654"/>
        <v>0</v>
      </c>
      <c r="AZ827" s="70">
        <f t="shared" si="1654"/>
        <v>0</v>
      </c>
      <c r="BA827" s="70">
        <f t="shared" si="1654"/>
        <v>0</v>
      </c>
      <c r="BB827" s="70">
        <f t="shared" si="1654"/>
        <v>0</v>
      </c>
      <c r="BC827" s="71">
        <f t="shared" si="1654"/>
        <v>0</v>
      </c>
      <c r="BD827" s="67">
        <f t="shared" si="1654"/>
        <v>0</v>
      </c>
      <c r="BE827" s="68">
        <f t="shared" si="1654"/>
        <v>0</v>
      </c>
      <c r="BF827" s="66">
        <f t="shared" si="1650"/>
        <v>0</v>
      </c>
      <c r="BG827" s="67">
        <f t="shared" si="1650"/>
        <v>19.11</v>
      </c>
      <c r="BH827" s="67">
        <f t="shared" si="1650"/>
        <v>0</v>
      </c>
      <c r="BI827" s="67">
        <f t="shared" si="1650"/>
        <v>0</v>
      </c>
      <c r="BJ827" s="67">
        <f t="shared" si="1650"/>
        <v>0</v>
      </c>
      <c r="BK827" s="67">
        <f t="shared" si="1650"/>
        <v>0</v>
      </c>
      <c r="BL827" s="67">
        <f t="shared" si="1650"/>
        <v>0</v>
      </c>
      <c r="BM827" s="235">
        <f t="shared" si="1650"/>
        <v>0</v>
      </c>
      <c r="BN827" s="159">
        <f t="shared" si="1650"/>
        <v>0</v>
      </c>
      <c r="BO827" s="159">
        <f t="shared" si="1650"/>
        <v>0</v>
      </c>
      <c r="BP827" s="159">
        <f t="shared" si="1650"/>
        <v>0</v>
      </c>
      <c r="BQ827" s="71">
        <f t="shared" si="1650"/>
        <v>0</v>
      </c>
      <c r="BR827" s="68">
        <f t="shared" si="1650"/>
        <v>0</v>
      </c>
      <c r="BS827" s="464"/>
      <c r="BT827" s="461"/>
      <c r="BU827" s="392"/>
      <c r="BV827" s="461"/>
      <c r="BW827" s="392"/>
      <c r="BX827" s="392"/>
      <c r="BY827" s="392"/>
      <c r="BZ827" s="461"/>
      <c r="CA827" s="392"/>
      <c r="CB827" s="392"/>
      <c r="CC827" s="392"/>
      <c r="CD827" s="401"/>
      <c r="CE827" s="409"/>
      <c r="CF827" s="236">
        <f t="shared" si="1540"/>
        <v>0</v>
      </c>
      <c r="CG827" s="237">
        <f t="shared" si="1541"/>
        <v>0</v>
      </c>
      <c r="CH827" s="237">
        <f t="shared" si="1542"/>
        <v>1</v>
      </c>
      <c r="CI827" s="237">
        <f t="shared" si="1543"/>
        <v>0</v>
      </c>
      <c r="CJ827" s="237">
        <f t="shared" si="1544"/>
        <v>0</v>
      </c>
      <c r="CK827" s="237">
        <f t="shared" si="1545"/>
        <v>0</v>
      </c>
      <c r="CL827" s="237">
        <f t="shared" si="1546"/>
        <v>0</v>
      </c>
      <c r="CM827" s="237">
        <f t="shared" si="1547"/>
        <v>0</v>
      </c>
      <c r="CN827" s="237">
        <f t="shared" si="1548"/>
        <v>0</v>
      </c>
      <c r="CO827" s="237">
        <f t="shared" si="1549"/>
        <v>0</v>
      </c>
      <c r="CP827" s="237">
        <f t="shared" si="1550"/>
        <v>0</v>
      </c>
      <c r="CQ827" s="237">
        <f t="shared" si="1551"/>
        <v>0</v>
      </c>
      <c r="CR827" s="237">
        <f t="shared" si="1552"/>
        <v>0</v>
      </c>
      <c r="CS827" s="237">
        <f t="shared" si="1553"/>
        <v>0</v>
      </c>
      <c r="CT827" s="75">
        <f t="shared" si="1554"/>
        <v>0</v>
      </c>
      <c r="CU827" s="76">
        <f t="shared" si="1555"/>
        <v>0</v>
      </c>
      <c r="CV827" s="76">
        <f t="shared" si="1556"/>
        <v>0</v>
      </c>
      <c r="CW827" s="76">
        <f t="shared" si="1557"/>
        <v>0</v>
      </c>
      <c r="CX827" s="76">
        <f t="shared" si="1558"/>
        <v>0</v>
      </c>
      <c r="CY827" s="76">
        <f t="shared" si="1559"/>
        <v>0</v>
      </c>
      <c r="CZ827" s="76">
        <f t="shared" si="1560"/>
        <v>0</v>
      </c>
      <c r="DA827" s="76">
        <f t="shared" si="1561"/>
        <v>0</v>
      </c>
      <c r="DB827" s="76">
        <f t="shared" si="1562"/>
        <v>0</v>
      </c>
      <c r="DC827" s="76">
        <f t="shared" si="1563"/>
        <v>0</v>
      </c>
      <c r="DD827" s="76">
        <f t="shared" si="1564"/>
        <v>0</v>
      </c>
      <c r="DE827" s="77">
        <f t="shared" si="1565"/>
        <v>0</v>
      </c>
      <c r="DF827" s="73">
        <f t="shared" si="1567"/>
        <v>47</v>
      </c>
      <c r="DG827" s="67">
        <f t="shared" si="1568"/>
        <v>62.775999999999989</v>
      </c>
      <c r="DH827" s="76">
        <f t="shared" si="1569"/>
        <v>17</v>
      </c>
      <c r="DI827" s="67">
        <f t="shared" si="1570"/>
        <v>72.399999999999991</v>
      </c>
      <c r="DJ827" s="202" t="str">
        <f>IF($D826="","",$D826)</f>
        <v>28</v>
      </c>
      <c r="DK827" s="466"/>
    </row>
    <row r="828" spans="1:115" ht="14.5" customHeight="1" x14ac:dyDescent="0.2">
      <c r="A828" s="390"/>
      <c r="B828" s="457"/>
      <c r="C828" s="79" t="s">
        <v>53</v>
      </c>
      <c r="D828" s="375"/>
      <c r="E828" s="387"/>
      <c r="F828" s="378"/>
      <c r="G828" s="484"/>
      <c r="H828" s="477"/>
      <c r="I828" s="82"/>
      <c r="J828" s="83"/>
      <c r="K828" s="90"/>
      <c r="L828" s="84"/>
      <c r="M828" s="85"/>
      <c r="N828" s="407"/>
      <c r="O828" s="86" t="str">
        <f>IF(OR(AE826="",AE827=""),"",IF(L828&gt;0,ROUND(IF(M828&gt;0,M828,IF(M826&gt;0,ROUND((M826*AE828)/AE826,IF(N826=0,2,IF(N826=0.1,1,0))),IF(M827&gt;0,ROUND((M827*AE828)/AE827,IF(N826=0,2,IF(N826=0.1,1,0))),IF(M828&gt;0,M828,0)))),2),""))</f>
        <v/>
      </c>
      <c r="P828" s="87" t="str">
        <f>IF(I827="Lay",O827*(L827/(L827-1))-O827,IF(I826="Lay",O826*(L826/(L826-1))-O826,IF(OR(L828="",O828=""),"",IF($C828="1/2W",O828/2+O828/2*L828,IF($C828="1/2L",O828/2,(O828*L828-O828)*(1-_xlfn.XLOOKUP(K828,'Fevereiro 2023 - Valor Real'!A3:A15,'Fevereiro 2023 - Valor Real'!C3:C15,0))+O828)))))</f>
        <v/>
      </c>
      <c r="Q828" s="238" t="str">
        <f>IF(K828="","",IF(_xlfn.XLOOKUP(K828,K$4:K827,$DJ$4:DJ827,0,,-1)=DJ828,_xlfn.XLOOKUP(K828,K$4:K827,Q$4:Q827,1,,-1)+1,1))</f>
        <v/>
      </c>
      <c r="R828" s="239" t="str">
        <f>IF(K828="","",_xlfn.XLOOKUP(K828,K$4:K827,R$4:R827,0,,-1)+IF($C828=" ",1,0))</f>
        <v/>
      </c>
      <c r="S828" s="404"/>
      <c r="T828" s="378"/>
      <c r="U828" s="378"/>
      <c r="V828" s="404"/>
      <c r="W828" s="378"/>
      <c r="X828" s="453"/>
      <c r="Y828" s="383"/>
      <c r="Z828" s="384"/>
      <c r="AA828" s="384"/>
      <c r="AB828" s="384"/>
      <c r="AC828" s="384"/>
      <c r="AD828" s="240">
        <f>((L827/(L827-1)-1))</f>
        <v>1</v>
      </c>
      <c r="AE828" s="91" t="str">
        <f>IF(L828="","",(SUM(((L826-1)*(1-_xlfn.XLOOKUP(K826,'Fevereiro 2023 - Valor Real'!A3:A15,'Fevereiro 2023 - Valor Real'!C3:C15,0))+1),((L827-1)*(1-_xlfn.XLOOKUP(K827,'Fevereiro 2023 - Valor Real'!A3:A15,'Fevereiro 2023 - Valor Real'!C3:C15,0))+1),((L828-1)*(1-_xlfn.XLOOKUP(K828,'Fevereiro 2023 - Valor Real'!A3:A15,'Fevereiro 2023 - Valor Real'!C3:C15,0))+1))/((L828-1)*(1-_xlfn.XLOOKUP(K828,'Fevereiro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Real'!C3:C15,0))+1))/((L826-1)*(1-_xlfn.XLOOKUP(K826,'Fevereiro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Real'!C3:C15,0))+1))/((L827-1)*(1-_xlfn.XLOOKUP(K827,'Fevereiro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Real'!C3:C15,0))+1))/((L828-1)*(1-_xlfn.XLOOKUP(K828,'Fevereiro 2023 - Valor Real'!A3:A15,'Fevereiro 2023 - Valor Real'!C3:C15,0))+1)))</f>
        <v/>
      </c>
      <c r="AF828" s="66">
        <f t="shared" si="1648"/>
        <v>0</v>
      </c>
      <c r="AG828" s="67">
        <f t="shared" si="1648"/>
        <v>0</v>
      </c>
      <c r="AH828" s="67">
        <f t="shared" si="1648"/>
        <v>0</v>
      </c>
      <c r="AI828" s="67">
        <f t="shared" si="1648"/>
        <v>0</v>
      </c>
      <c r="AJ828" s="67">
        <f t="shared" si="1648"/>
        <v>0</v>
      </c>
      <c r="AK828" s="67">
        <f t="shared" si="1648"/>
        <v>0</v>
      </c>
      <c r="AL828" s="67">
        <f t="shared" si="1648"/>
        <v>0</v>
      </c>
      <c r="AM828" s="67">
        <f t="shared" si="1648"/>
        <v>0</v>
      </c>
      <c r="AN828" s="67">
        <f t="shared" si="1648"/>
        <v>0</v>
      </c>
      <c r="AO828" s="67">
        <f t="shared" si="1648"/>
        <v>0</v>
      </c>
      <c r="AP828" s="67">
        <f t="shared" si="1648"/>
        <v>0</v>
      </c>
      <c r="AQ828" s="67">
        <f t="shared" si="1648"/>
        <v>0</v>
      </c>
      <c r="AR828" s="68">
        <f t="shared" si="1648"/>
        <v>0</v>
      </c>
      <c r="AS828" s="66">
        <f>IF(AND($B826=" ",$K828=AS$3),$O828,0)</f>
        <v>0</v>
      </c>
      <c r="AT828" s="67">
        <f>IF(AND($B826=" ",K828=AT$3),$O828,0)</f>
        <v>0</v>
      </c>
      <c r="AU828" s="67">
        <f t="shared" ref="AU828:BE828" si="1655">IF(AND($B826=" ",$K828=AU$3),$O828,0)</f>
        <v>0</v>
      </c>
      <c r="AV828" s="67">
        <f t="shared" si="1655"/>
        <v>0</v>
      </c>
      <c r="AW828" s="67">
        <f t="shared" si="1655"/>
        <v>0</v>
      </c>
      <c r="AX828" s="67">
        <f t="shared" si="1655"/>
        <v>0</v>
      </c>
      <c r="AY828" s="69">
        <f t="shared" si="1655"/>
        <v>0</v>
      </c>
      <c r="AZ828" s="70">
        <f t="shared" si="1655"/>
        <v>0</v>
      </c>
      <c r="BA828" s="70">
        <f t="shared" si="1655"/>
        <v>0</v>
      </c>
      <c r="BB828" s="70">
        <f t="shared" si="1655"/>
        <v>0</v>
      </c>
      <c r="BC828" s="71">
        <f t="shared" si="1655"/>
        <v>0</v>
      </c>
      <c r="BD828" s="67">
        <f t="shared" si="1655"/>
        <v>0</v>
      </c>
      <c r="BE828" s="68">
        <f t="shared" si="1655"/>
        <v>0</v>
      </c>
      <c r="BF828" s="66">
        <f t="shared" si="1650"/>
        <v>0</v>
      </c>
      <c r="BG828" s="67">
        <f t="shared" si="1650"/>
        <v>0</v>
      </c>
      <c r="BH828" s="67">
        <f t="shared" si="1650"/>
        <v>0</v>
      </c>
      <c r="BI828" s="67">
        <f t="shared" si="1650"/>
        <v>0</v>
      </c>
      <c r="BJ828" s="67">
        <f t="shared" si="1650"/>
        <v>0</v>
      </c>
      <c r="BK828" s="67">
        <f t="shared" si="1650"/>
        <v>0</v>
      </c>
      <c r="BL828" s="67">
        <f t="shared" si="1650"/>
        <v>0</v>
      </c>
      <c r="BM828" s="69">
        <f t="shared" si="1650"/>
        <v>0</v>
      </c>
      <c r="BN828" s="70">
        <f t="shared" si="1650"/>
        <v>0</v>
      </c>
      <c r="BO828" s="70">
        <f t="shared" si="1650"/>
        <v>0</v>
      </c>
      <c r="BP828" s="70">
        <f t="shared" si="1650"/>
        <v>0</v>
      </c>
      <c r="BQ828" s="71">
        <f t="shared" si="1650"/>
        <v>0</v>
      </c>
      <c r="BR828" s="68">
        <f t="shared" si="1650"/>
        <v>0</v>
      </c>
      <c r="BS828" s="464"/>
      <c r="BT828" s="461"/>
      <c r="BU828" s="392"/>
      <c r="BV828" s="461"/>
      <c r="BW828" s="392"/>
      <c r="BX828" s="392"/>
      <c r="BY828" s="392"/>
      <c r="BZ828" s="461"/>
      <c r="CA828" s="392"/>
      <c r="CB828" s="392"/>
      <c r="CC828" s="392"/>
      <c r="CD828" s="401"/>
      <c r="CE828" s="409"/>
      <c r="CF828" s="236">
        <f t="shared" si="1540"/>
        <v>0</v>
      </c>
      <c r="CG828" s="237">
        <f t="shared" si="1541"/>
        <v>0</v>
      </c>
      <c r="CH828" s="237">
        <f t="shared" si="1542"/>
        <v>0</v>
      </c>
      <c r="CI828" s="237">
        <f t="shared" si="1543"/>
        <v>0</v>
      </c>
      <c r="CJ828" s="237">
        <f t="shared" si="1544"/>
        <v>0</v>
      </c>
      <c r="CK828" s="237">
        <f t="shared" si="1545"/>
        <v>0</v>
      </c>
      <c r="CL828" s="237">
        <f t="shared" si="1546"/>
        <v>0</v>
      </c>
      <c r="CM828" s="237">
        <f t="shared" si="1547"/>
        <v>0</v>
      </c>
      <c r="CN828" s="237">
        <f t="shared" si="1548"/>
        <v>0</v>
      </c>
      <c r="CO828" s="237">
        <f t="shared" si="1549"/>
        <v>0</v>
      </c>
      <c r="CP828" s="237">
        <f t="shared" si="1550"/>
        <v>0</v>
      </c>
      <c r="CQ828" s="237">
        <f t="shared" si="1551"/>
        <v>0</v>
      </c>
      <c r="CR828" s="237">
        <f t="shared" si="1552"/>
        <v>0</v>
      </c>
      <c r="CS828" s="237">
        <f t="shared" si="1553"/>
        <v>0</v>
      </c>
      <c r="CT828" s="75">
        <f t="shared" si="1554"/>
        <v>0</v>
      </c>
      <c r="CU828" s="76">
        <f t="shared" si="1555"/>
        <v>0</v>
      </c>
      <c r="CV828" s="76">
        <f t="shared" si="1556"/>
        <v>0</v>
      </c>
      <c r="CW828" s="76">
        <f t="shared" si="1557"/>
        <v>0</v>
      </c>
      <c r="CX828" s="76">
        <f t="shared" si="1558"/>
        <v>0</v>
      </c>
      <c r="CY828" s="76">
        <f t="shared" si="1559"/>
        <v>0</v>
      </c>
      <c r="CZ828" s="76">
        <f t="shared" si="1560"/>
        <v>0</v>
      </c>
      <c r="DA828" s="76">
        <f t="shared" si="1561"/>
        <v>0</v>
      </c>
      <c r="DB828" s="76">
        <f t="shared" si="1562"/>
        <v>0</v>
      </c>
      <c r="DC828" s="76">
        <f t="shared" si="1563"/>
        <v>0</v>
      </c>
      <c r="DD828" s="76">
        <f t="shared" si="1564"/>
        <v>0</v>
      </c>
      <c r="DE828" s="77">
        <f t="shared" si="1565"/>
        <v>0</v>
      </c>
      <c r="DF828" s="73">
        <f t="shared" si="1567"/>
        <v>47</v>
      </c>
      <c r="DG828" s="67">
        <f t="shared" si="1568"/>
        <v>62.775999999999989</v>
      </c>
      <c r="DH828" s="76">
        <f t="shared" si="1569"/>
        <v>17</v>
      </c>
      <c r="DI828" s="67">
        <f t="shared" si="1570"/>
        <v>72.399999999999991</v>
      </c>
      <c r="DJ828" s="202" t="str">
        <f>IF($D826="","",$D826)</f>
        <v>28</v>
      </c>
      <c r="DK828" s="466"/>
    </row>
    <row r="829" spans="1:115" ht="14.5" customHeight="1" x14ac:dyDescent="0.2">
      <c r="A829" s="459">
        <f>$A826+1</f>
        <v>276</v>
      </c>
      <c r="B829" s="507" t="str">
        <f>IF(OR(C829="W",C830="W",C831="W",C829="1/2W",C830="1/2W",C831="1/2W",C829="1/2L",C830="1/2L",C831="1/2L"),"OK",IF(OR(C829="L",C830="L",C831="L"),"LOSS",IF(OR(C829="X",C830="X",C831="X"),"Anulado"," ")))</f>
        <v>OK</v>
      </c>
      <c r="C829" s="93" t="s">
        <v>55</v>
      </c>
      <c r="D829" s="468" t="str">
        <f>IF(G829="","",$D826)</f>
        <v>28</v>
      </c>
      <c r="E829" s="485" t="str">
        <f>IF(G829=""," ","– "&amp;COUNTIF(D$4:D831,$D829))</f>
        <v>– 7</v>
      </c>
      <c r="F829" s="509" t="str">
        <f ca="1">IF(G829="","",IF(OR(AND($C829&lt;&gt;" ",$C830=" "),AND($C830&lt;&gt;" ",$C829=" "),AND(L831&gt;0,OR(AND($C831&lt;&gt;" ",OR($C829=" ",$C830=" ")),AND($C831=" ",OR($C829&lt;&gt;" ",$C830&lt;&gt;" "))))),IF(SUM(F$4:F828)=0,1,LARGE(F$4:F828,1)+1),IF(MONTH(G829)=MONTH(TODAY()),IF(AND(DAY(G829)&lt;DAY(TODAY()),$B829=" "),IF(SUM(F$4:F828)=0,1,LARGE(F$4:F828,1)+1),IF($B829=" ",IF(AND(DAY(G829)=DAY(TODAY()),HOUR(G829)&lt;=HOUR(NOW())+1),IF(AND(HOUR(G829)+2&lt;=HOUR(NOW()),DAY(G829)&lt;=DAY(TODAY()),MINUTE(G829)&lt;=MINUTE(NOW())),IF(SUM(F$4:F828)=0,1,LARGE(F$4:F828,1)+1),IF(OR(MINUTE(G829)&lt;=MINUTE(NOW()),HOUR(G829)&lt;=HOUR(NOW())),"!!!","")),""),"")),"")))</f>
        <v/>
      </c>
      <c r="G829" s="482">
        <v>45013.65625</v>
      </c>
      <c r="H829" s="475" t="s">
        <v>281</v>
      </c>
      <c r="I829" s="94" t="s">
        <v>51</v>
      </c>
      <c r="J829" s="95">
        <v>3.5</v>
      </c>
      <c r="K829" s="96" t="s">
        <v>43</v>
      </c>
      <c r="L829" s="97">
        <v>2.12</v>
      </c>
      <c r="M829" s="98"/>
      <c r="N829" s="478">
        <v>0</v>
      </c>
      <c r="O829" s="99">
        <f>IF(OR(AE829="",AE830=""),"",ROUND(IF(L831&gt;0,IF(M829&gt;0,M829,IF(M830&gt;0,ROUND((M830*AE829)/AE830,IF(N829=0,2,IF(N829=0.1,1,0))),ROUND((M831*AE829)/AE831,IF(N829=0,2,IF(N829=0.1,1,0))))),IF(M829&gt;0,M829,ROUND((M830*AE829)/AE830,IF(N829=0,2,IF(N829=0.1,1,0))))),2))</f>
        <v>19.39</v>
      </c>
      <c r="P829" s="100">
        <f>IF(OR(L829="",O829=""),"",IF($C829="1/2W",O829/2+O829/2*L829,IF($C829="1/2L",O829/2,IF(I829="Lay",(O829*(L829/(L829-1))-O829)*(1-_xlfn.XLOOKUP(K829,'Fevereiro 2023 - Valor Real'!A3:A15,'Fevereiro 2023 - Valor Real'!C3:C15,0))+O829,(O829*L829-O829)*(1-_xlfn.XLOOKUP(K829,'Fevereiro 2023 - Valor Real'!A3:A15,'Fevereiro 2023 - Valor Real'!C3:C15,0))+O829))))</f>
        <v>41.1068</v>
      </c>
      <c r="Q829" s="101">
        <f>IF(K829="","",IF(_xlfn.XLOOKUP(K829,K$4:K828,$DJ$4:DJ828,0,,-1)=DJ829,_xlfn.XLOOKUP(K829,K$4:K828,Q$4:Q828,1,,-1)+1,1))</f>
        <v>4</v>
      </c>
      <c r="R829" s="102">
        <f>IF(K829="","",_xlfn.XLOOKUP(K829,K$4:K828,R$4:R828,0,,-1)+IF($C829=" ",1,0))</f>
        <v>0</v>
      </c>
      <c r="S829" s="474">
        <f>IF($B829="Anulado",0,ROUND(IF(OR($B829="LOSS",$B829="OK"),IF(OR($C829="W",$C829="1/2W",$C829="1/2L"),P829-O829,IF($C829="L",-O829,0))+IF(OR($C830="W",$C830="1/2W",$C830="1/2L"),P830-O830,IF($C830="L",-O830,0))+IF(OR($C831="W",$C831="1/2W",$C831="1/2L"),P831-O831,IF($C831="L",-O831,0)),IF(AND(OR($C829="W",$C829="1/2W",$C829="1/2L"),C830="W"),P829+P830-SUM(O829:O831)+_xlfn.XLOOKUP("X",C829:C831,O829:O831,0),IF(AND(C829=TRUE,C831="W"),P829+P831-SUM(O829:O831),IF(AND(C830="W",C831="W"),P830+P831-SUM(O829:O831)+_xlfn.XLOOKUP("X",C829:C831,O829:O831,0),IF(L831&gt;0,IF(OR($C829="W",$C829="1/2W",$C829="1/2L"),P829-SUM(O829:O831)+_xlfn.XLOOKUP("X",C829:C831,O829:O831,0),IF(OR($C829="W",$C829="1/2W",$C829="1/2L"),P830-SUM(O829:O831)+_xlfn.XLOOKUP("X",C829:C831,O829:O831,0),IF(OR($C829="W",$C829="1/2W",$C829="1/2L"),P831-SUM(O829:O831)+_xlfn.XLOOKUP("X",C829:C831,O829:O831,0),IF(SUM(P829:P831)/3-SUM(O829:O831)+_xlfn.XLOOKUP("X",C829:C831,O829:O831,0)&gt;0,SUM(P829:P831)/3-SUM(O829:O831)+_xlfn.XLOOKUP("X",C829:C831,O829:O831,0),LARGE(P829:P831,1)-SUM(O829:O831))))),IF(OR($C829="W",$C829="1/2W",$C829="1/2L"),P829-SUM(O829:O830)+_xlfn.XLOOKUP("X",C829:C831,O829:O831,0),IF(OR($C829="W",$C829="1/2W",$C829="1/2L"),P830-SUM(O829:O830)+_xlfn.XLOOKUP("X",C829:C831,O829:O831,0),SUM(P829:P830)/2-SUM(O829:O830)+_xlfn.XLOOKUP("X",C829:C831,O829:O831,0)))))))),2))</f>
        <v>3.12</v>
      </c>
      <c r="T829" s="458">
        <f>IF(S829=0,0,S829/SUM(O829:O831))</f>
        <v>8.2126875493550938E-2</v>
      </c>
      <c r="U829" s="470">
        <f>IF($D829=$D826,IF(OR($B829="LOSS",$B829="OK",$B829="Anulada"),S829,0)+U826,IF(OR($B829="LOSS",$B829="OK",$B829="Anulada"),S829,0))</f>
        <v>16.2</v>
      </c>
      <c r="V829" s="470">
        <f>IF($D829="",0,IF($D829=$D826,IF($B829=" ",IF(I831="",IF(OR(AND(I829="DNB1",I830="DNB2"),AND(OR(I829="DNB1",I829="DNB2"),J830=0),AND(OR(I830="DNB1",I830="DNB2"),J829=0),AND(I829="DNB2",I830="DNB1"),AND(IF(J829=0,(J829+1)/ROUND(J829+1,0),J829/ROUND(J829,0))=1,IF(J830=0,(J830+1)/ROUND(IF(J830="",0,J830)+1,0),IF(J830="",0,J830)/ROUND(IF(J830="",1,J830),0))=1,OR(J829&lt;&gt;""),J830&lt;&gt;"")),0,IF(S829&lt;0,IF(I831="",SMALL(P829:P830,1)-SUM(O829:O830),0),SMALL(P829:P830,1)-SUM(O829:O830))),IF(S829&lt;0,IF(I831="",SMALL(P829:P831,1)-SUM(O829:O831),0),LARGE(P829:P831,1)-SUM(O829:O831))),S829)+V826,IF(I831="",IF(OR(AND(I829="DNB1",I830="DNB2"),AND(OR(I829="DNB1",I829="DNB2"),J830=0),AND(OR(I830="DNB1",I830="DNB2"),J829=0),AND(I829="DNB2",I830="DNB1"),AND(IF(J829=0,(J829+1)/ROUND(J829+1,0),J829/ROUND(J829,0))=1,IF(J830=0,(IF(J830="",0,J830)+1)/ROUND(IF(J830="",0,J830)+1,0),IF(J830="",0,J830)/ROUND(IF(J830="",0,J830)+1,0))=1,OR(J829&lt;&gt;""),J830&lt;&gt;"")),0,IF(S829&lt;0,IF(I831="",SMALL(P829:P830,1)-SUM(O829:O830),0),SMALL(P829:P831,1)-SUM(O829:O831))),IF(S829&lt;0,IF(I831="",SMALL(P829:P831,1)-SUM(O829:O831),0),LARGE(P829:P831,1)-SUM(O829:O831)))))</f>
        <v>16.167999999999996</v>
      </c>
      <c r="W829" s="470">
        <f>IF($D829=$D826,IF(S829&lt;0,IF(I831="",S829,0),S829)+W826,S829)</f>
        <v>16.2</v>
      </c>
      <c r="X829" s="480" t="str">
        <f>IF(OR(SUM(R829:R831)=0,V829=W829),ROUND(IF(W829=0,0,W829/Y829)*100,2)&amp;"%",ROUND(IF(V829=0,0,V829/Y829)*100,2)&amp;"% a "&amp;ROUND(IF(W829=0,0,W829/Y829)*100,2)&amp;"%")</f>
        <v>7,19%</v>
      </c>
      <c r="Y829" s="471">
        <f>IF($D829=$D826,Y826+SUM(O829:O831),SUM(O829:O831))</f>
        <v>225.35000000000002</v>
      </c>
      <c r="Z829" s="470">
        <f>IF($B829=" ",SUM(O829:O831),0)+Z826</f>
        <v>0</v>
      </c>
      <c r="AA829" s="470">
        <f>IF(G829="","",IF($B829="Anulado",LARGE(P829:P831,1)-SUM(O829:O831)+AA826,AA826))</f>
        <v>13.381099999999991</v>
      </c>
      <c r="AB829" s="470">
        <f>IF($D829="","",AB826+S829)</f>
        <v>911.21000000000072</v>
      </c>
      <c r="AC829" s="472">
        <f ca="1">IF($D829="","",IF($B829=" ",IF(DAY(G829)=DAY(TODAY()),1+AC826,0+AC826),0+AC826))</f>
        <v>0</v>
      </c>
      <c r="AD829" s="103">
        <f>(((L830/(L830-1)-1)*(1-_xlfn.XLOOKUP(K830,'Fevereiro 2023 - Valor Real'!A3:A15,'Fevereiro 2023 - Valor Real'!C3:C15,0))+1))/(((L829-1)*(1-_xlfn.XLOOKUP(K829,'Fevereiro 2023 - Valor Real'!A3:A15,'Fevereiro 2023 - Valor Real'!C3:C15,0))+1)+((L830/(L830-1)-1)*(1-_xlfn.XLOOKUP(K830,'Fevereiro 2023 - Valor Real'!A3:A15,'Fevereiro 2023 - Valor Real'!C3:C15,0))+1))</f>
        <v>0.46280784050929807</v>
      </c>
      <c r="AE829" s="104">
        <f>IF(L829="","",IF(L831&gt;0,(SUM(((L829-1)*(1-_xlfn.XLOOKUP(K829,'Fevereiro 2023 - Valor Real'!A3:A15,'Fevereiro 2023 - Valor Real'!C3:C15,0))+1),((L830-1)*(1-_xlfn.XLOOKUP(K830,'Fevereiro 2023 - Valor Real'!A3:A15,'Fevereiro 2023 - Valor Real'!C3:C15,0))+1),((L831-1)*(1-_xlfn.XLOOKUP(K831,'Fevereiro 2023 - Valor Real'!A3:A15,'Fevereiro 2023 - Valor Real'!C3:C15,0))+1))/((L829-1)*(1-_xlfn.XLOOKUP(K829,'Fevereiro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Real'!C3:C15,0))+1))/((L829-1)*(1-_xlfn.XLOOKUP(K829,'Fevereiro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Real'!C3:C15,0))+1))/((L830-1)*(1-_xlfn.XLOOKUP(K830,'Fevereiro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Real'!C3:C15,0))+1))/((L831-1)*(1-_xlfn.XLOOKUP(K831,'Fevereiro 2023 - Valor Real'!A3:A15,'Fevereiro 2023 - Valor Real'!C3:C15,0))+1)),IF(I829="Lay",IF(I830="Lay",((L830/(L830-1)-1)*(1-_xlfn.XLOOKUP(K830,'Fevereiro 2023 - Valor Real'!A3:A15,'Fevereiro 2023 - Valor Real'!C3:C15,0))+1)/(((L830/(L830-1)-1)*(1-_xlfn.XLOOKUP(K830,'Fevereiro 2023 - Valor Real'!A3:A15,'Fevereiro 2023 - Valor Real'!C3:C15,0))+1)+((L829/(L829-1)-1)*(1-_xlfn.XLOOKUP(K829,'Fevereiro 2023 - Valor Real'!A3:A15,'Fevereiro 2023 - Valor Real'!C3:C15,0))+1)),((L830-1)*(1-_xlfn.XLOOKUP(K830,'Fevereiro 2023 - Valor Real'!A3:A15,'Fevereiro 2023 - Valor Real'!C3:C15,0))+1)/(((L830-1)*(1-_xlfn.XLOOKUP(K830,'Fevereiro 2023 - Valor Real'!A3:A15,'Fevereiro 2023 - Valor Real'!C3:C15,0))+1)+((L829/(L829-1)-1)*(1-_xlfn.XLOOKUP(K829,'Fevereiro 2023 - Valor Real'!A3:A15,'Fevereiro 2023 - Valor Real'!C3:C15,0))+1))),IF(I830="Lay",(((L830/(L830-1)-1)*(1-_xlfn.XLOOKUP(K830,'Fevereiro 2023 - Valor Real'!A3:A15,'Fevereiro 2023 - Valor Real'!C3:C15,0))+1))/(((L829-1)*(1-_xlfn.XLOOKUP(K829,'Fevereiro 2023 - Valor Real'!A3:A15,'Fevereiro 2023 - Valor Real'!C3:C15,0))+1)+((L830/(L830-1)-1)*(1-_xlfn.XLOOKUP(K830,'Fevereiro 2023 - Valor Real'!A3:A15,'Fevereiro 2023 - Valor Real'!C3:C15,0))+1)),((L830-1)*(1-_xlfn.XLOOKUP(K830,'Fevereiro 2023 - Valor Real'!A3:A15,'Fevereiro 2023 - Valor Real'!C3:C15,0))+1)/(((L830-1)*(1-_xlfn.XLOOKUP(K830,'Fevereiro 2023 - Valor Real'!A3:A15,'Fevereiro 2023 - Valor Real'!C3:C15,0))+1)+((L829-1)*(1-_xlfn.XLOOKUP(K829,'Fevereiro 2023 - Valor Real'!A3:A15,'Fevereiro 2023 - Valor Real'!C3:C15,0))+1))))))</f>
        <v>0.51039260969976907</v>
      </c>
      <c r="AF829" s="105">
        <f t="shared" si="1648"/>
        <v>0</v>
      </c>
      <c r="AG829" s="106">
        <f t="shared" si="1648"/>
        <v>0</v>
      </c>
      <c r="AH829" s="106">
        <f t="shared" si="1648"/>
        <v>0</v>
      </c>
      <c r="AI829" s="106">
        <f t="shared" si="1648"/>
        <v>0</v>
      </c>
      <c r="AJ829" s="106">
        <f t="shared" si="1648"/>
        <v>0</v>
      </c>
      <c r="AK829" s="106">
        <f t="shared" si="1648"/>
        <v>0</v>
      </c>
      <c r="AL829" s="106">
        <f t="shared" si="1648"/>
        <v>0</v>
      </c>
      <c r="AM829" s="106">
        <f t="shared" si="1648"/>
        <v>-19.39</v>
      </c>
      <c r="AN829" s="106">
        <f t="shared" si="1648"/>
        <v>0</v>
      </c>
      <c r="AO829" s="106">
        <f t="shared" si="1648"/>
        <v>0</v>
      </c>
      <c r="AP829" s="106">
        <f t="shared" si="1648"/>
        <v>0</v>
      </c>
      <c r="AQ829" s="106">
        <f t="shared" si="1648"/>
        <v>0</v>
      </c>
      <c r="AR829" s="107">
        <f t="shared" si="1648"/>
        <v>0</v>
      </c>
      <c r="AS829" s="105">
        <f t="shared" ref="AS829:BE829" si="1656">IF(AND($B829=" ",$K829=AS$3),$O829,0)</f>
        <v>0</v>
      </c>
      <c r="AT829" s="106">
        <f t="shared" si="1656"/>
        <v>0</v>
      </c>
      <c r="AU829" s="106">
        <f t="shared" si="1656"/>
        <v>0</v>
      </c>
      <c r="AV829" s="106">
        <f t="shared" si="1656"/>
        <v>0</v>
      </c>
      <c r="AW829" s="106">
        <f t="shared" si="1656"/>
        <v>0</v>
      </c>
      <c r="AX829" s="106">
        <f t="shared" si="1656"/>
        <v>0</v>
      </c>
      <c r="AY829" s="108">
        <f t="shared" si="1656"/>
        <v>0</v>
      </c>
      <c r="AZ829" s="109">
        <f t="shared" si="1656"/>
        <v>0</v>
      </c>
      <c r="BA829" s="109">
        <f t="shared" si="1656"/>
        <v>0</v>
      </c>
      <c r="BB829" s="109">
        <f t="shared" si="1656"/>
        <v>0</v>
      </c>
      <c r="BC829" s="110">
        <f t="shared" si="1656"/>
        <v>0</v>
      </c>
      <c r="BD829" s="106">
        <f t="shared" si="1656"/>
        <v>0</v>
      </c>
      <c r="BE829" s="107">
        <f t="shared" si="1656"/>
        <v>0</v>
      </c>
      <c r="BF829" s="111">
        <f t="shared" si="1650"/>
        <v>0</v>
      </c>
      <c r="BG829" s="106">
        <f t="shared" si="1650"/>
        <v>0</v>
      </c>
      <c r="BH829" s="106">
        <f t="shared" si="1650"/>
        <v>0</v>
      </c>
      <c r="BI829" s="106">
        <f t="shared" si="1650"/>
        <v>0</v>
      </c>
      <c r="BJ829" s="106">
        <f t="shared" si="1650"/>
        <v>0</v>
      </c>
      <c r="BK829" s="106">
        <f t="shared" si="1650"/>
        <v>0</v>
      </c>
      <c r="BL829" s="106">
        <f t="shared" si="1650"/>
        <v>0</v>
      </c>
      <c r="BM829" s="108">
        <f t="shared" si="1650"/>
        <v>19.39</v>
      </c>
      <c r="BN829" s="109">
        <f t="shared" si="1650"/>
        <v>0</v>
      </c>
      <c r="BO829" s="109">
        <f t="shared" si="1650"/>
        <v>0</v>
      </c>
      <c r="BP829" s="109">
        <f t="shared" si="1650"/>
        <v>0</v>
      </c>
      <c r="BQ829" s="110">
        <f t="shared" si="1650"/>
        <v>0</v>
      </c>
      <c r="BR829" s="107">
        <f t="shared" si="1650"/>
        <v>0</v>
      </c>
      <c r="BS829" s="463">
        <f>IF($B829="LOSS",IF(AND($K829=BS$3,$C829="L"),-$O829,0)+IF(AND($K830=BS$3,$C830="L"),-$O830,0)+IF(AND($K831=BS$3,$C831="L"),-$O831,0),IF(OR(AND($K829=BS$3,OR($C829="W",$C829="1/2W")),AND($K830=BS$3,OR($C830="W",$C830="1/2W")),AND($K831=BS$3,OR($C831="W",$C831="1/2W"))),$S829,0))</f>
        <v>0</v>
      </c>
      <c r="BT829" s="462">
        <f>IF($B829="LOSS",IF(AND($K829=BT$3,$C829="L"),-$O829,0)+IF(AND($K830=BT$3,$C830="L"),-$O830,0)+IF(AND($K830=BT$3,$C831="L"),-$O831,0),IF(OR(AND($K830=BT$3,OR($C829="W",$C829="1/2W")),AND($K830=BT$3,OR($C830="W",$C830="1/2W")),AND($K830=BT$3,OR($C831="W",$C831="1/2W"))),$S829,0))</f>
        <v>0</v>
      </c>
      <c r="BU829" s="462">
        <f>IF($B829="LOSS",IF(AND($K829=BU$3,$C829="L"),-$O829,0)+IF(AND($K830=BU$3,$C830="L"),-$O830,0)+IF(AND($K830=BU$3,$C831="L"),-$O831,0),IF(OR(AND($K830=BU$3,OR($C829="W",$C829="1/2W")),AND($K830=BU$3,OR($C830="W",$C830="1/2W")),AND($K830=BU$3,OR($C831="W",$C831="1/2W"))),$S829,0))</f>
        <v>0</v>
      </c>
      <c r="BV829" s="462">
        <f t="shared" ref="BV829:CE829" si="1657">IF($B829="LOSS",IF(AND($K829=BV$3,$C829="L"),-$O829,0)+IF(AND($K830=BV$3,$C830="L"),-$O830,0)+IF(AND($K831=BV$3,$C831="L"),-$O831,0),IF(OR(AND($K829=BV$3,OR($C829="W",$C829="1/2W")),AND($K830=BV$3,OR($C830="W",$C830="1/2W")),AND($K831=BV$3,OR($C831="W",$C831="1/2W"))),$S829,0))</f>
        <v>0</v>
      </c>
      <c r="BW829" s="462">
        <f t="shared" si="1657"/>
        <v>3.12</v>
      </c>
      <c r="BX829" s="462">
        <f t="shared" si="1657"/>
        <v>0</v>
      </c>
      <c r="BY829" s="462">
        <f t="shared" si="1657"/>
        <v>0</v>
      </c>
      <c r="BZ829" s="460">
        <f t="shared" si="1657"/>
        <v>0</v>
      </c>
      <c r="CA829" s="460">
        <f t="shared" si="1657"/>
        <v>0</v>
      </c>
      <c r="CB829" s="460">
        <f t="shared" si="1657"/>
        <v>0</v>
      </c>
      <c r="CC829" s="460">
        <f t="shared" si="1657"/>
        <v>0</v>
      </c>
      <c r="CD829" s="473">
        <f t="shared" si="1657"/>
        <v>0</v>
      </c>
      <c r="CE829" s="479">
        <f t="shared" si="1657"/>
        <v>0</v>
      </c>
      <c r="CF829" s="113">
        <f t="shared" si="1540"/>
        <v>0</v>
      </c>
      <c r="CG829" s="114">
        <f t="shared" si="1541"/>
        <v>0</v>
      </c>
      <c r="CH829" s="114">
        <f t="shared" si="1542"/>
        <v>0</v>
      </c>
      <c r="CI829" s="114">
        <f t="shared" si="1543"/>
        <v>0</v>
      </c>
      <c r="CJ829" s="114">
        <f t="shared" si="1544"/>
        <v>0</v>
      </c>
      <c r="CK829" s="114">
        <f t="shared" si="1545"/>
        <v>0</v>
      </c>
      <c r="CL829" s="114">
        <f t="shared" si="1546"/>
        <v>0</v>
      </c>
      <c r="CM829" s="114">
        <f t="shared" si="1547"/>
        <v>0</v>
      </c>
      <c r="CN829" s="114">
        <f t="shared" si="1548"/>
        <v>0</v>
      </c>
      <c r="CO829" s="114">
        <f t="shared" si="1549"/>
        <v>0</v>
      </c>
      <c r="CP829" s="114">
        <f t="shared" si="1550"/>
        <v>0</v>
      </c>
      <c r="CQ829" s="114">
        <f t="shared" si="1551"/>
        <v>0</v>
      </c>
      <c r="CR829" s="114">
        <f t="shared" si="1552"/>
        <v>0</v>
      </c>
      <c r="CS829" s="114">
        <f t="shared" si="1553"/>
        <v>0</v>
      </c>
      <c r="CT829" s="115">
        <f t="shared" si="1554"/>
        <v>0</v>
      </c>
      <c r="CU829" s="116">
        <f t="shared" si="1555"/>
        <v>1</v>
      </c>
      <c r="CV829" s="116">
        <f t="shared" si="1556"/>
        <v>0</v>
      </c>
      <c r="CW829" s="116">
        <f t="shared" si="1557"/>
        <v>0</v>
      </c>
      <c r="CX829" s="116">
        <f t="shared" si="1558"/>
        <v>0</v>
      </c>
      <c r="CY829" s="116">
        <f t="shared" si="1559"/>
        <v>0</v>
      </c>
      <c r="CZ829" s="116">
        <f t="shared" si="1560"/>
        <v>0</v>
      </c>
      <c r="DA829" s="116">
        <f t="shared" si="1561"/>
        <v>0</v>
      </c>
      <c r="DB829" s="116">
        <f t="shared" si="1562"/>
        <v>0</v>
      </c>
      <c r="DC829" s="116">
        <f t="shared" si="1563"/>
        <v>0</v>
      </c>
      <c r="DD829" s="116">
        <f t="shared" si="1564"/>
        <v>0</v>
      </c>
      <c r="DE829" s="117">
        <f t="shared" si="1565"/>
        <v>0</v>
      </c>
      <c r="DF829" s="118">
        <f t="shared" si="1567"/>
        <v>47</v>
      </c>
      <c r="DG829" s="106">
        <f t="shared" si="1568"/>
        <v>62.775999999999989</v>
      </c>
      <c r="DH829" s="116">
        <f t="shared" si="1569"/>
        <v>17</v>
      </c>
      <c r="DI829" s="106">
        <f t="shared" si="1570"/>
        <v>72.399999999999991</v>
      </c>
      <c r="DJ829" s="201" t="str">
        <f>IF($D829="","",$D829)</f>
        <v>28</v>
      </c>
      <c r="DK829" s="465">
        <f>IF(AND($B829=" ",$D829&lt;&gt;""),1,0)</f>
        <v>0</v>
      </c>
    </row>
    <row r="830" spans="1:115" ht="14.5" customHeight="1" x14ac:dyDescent="0.2">
      <c r="A830" s="389"/>
      <c r="B830" s="456"/>
      <c r="C830" s="120" t="s">
        <v>54</v>
      </c>
      <c r="D830" s="374"/>
      <c r="E830" s="386"/>
      <c r="F830" s="377"/>
      <c r="G830" s="483"/>
      <c r="H830" s="476"/>
      <c r="I830" s="121" t="s">
        <v>52</v>
      </c>
      <c r="J830" s="122">
        <f>IF(OR(I829="TO",I829="TU",I829="TO1",I829="TU1",I829="TO2",I829="TU2"),J829,IF(OR(I829="AH1",I829="AH2"),IF(OR(I830="AH1",I830="AH2"),-J829,IF(OR(I830="EH1",I830="EH2"),-J829+0.5,"")),IF(OR(I829="EH1",I829="EH2"),IF(OR(I830="AH1",I830="AH2"),-J829+0.5,IF(OR(I830="EH1",I830="EH2"),-J829+1,"")),IF(AND(OR(I829="DNB1",I829="DNB2"),OR(I830="AH1",I830="AH2")),0,IF(AND(I829="Not ScoreBoth",OR(I830="TO1",I830="TO2")),0.5,"")))))</f>
        <v>3.5</v>
      </c>
      <c r="K830" s="123" t="s">
        <v>40</v>
      </c>
      <c r="L830" s="124">
        <v>2.21</v>
      </c>
      <c r="M830" s="125">
        <v>18.600000000000001</v>
      </c>
      <c r="N830" s="406"/>
      <c r="O830" s="126">
        <f>IF(OR(AE829="",AE830=""),"",ROUND(IF(L831&gt;0,IF(M830&gt;0,M830,IF(M829&gt;0,IF(N829=TRUE,ROUND((M829*AE830)/AE829,0),(M829*AE830)/AE829),IF(M830&gt;0,ROUND(M830,IF(N829=0,2,IF(N829=0.1,1,0))),IF(M831&gt;0,ROUND(O831*AE830/AE831,IF(N829=0,2,IF(N829=0.1,1,0))),0)))),IF(M830&gt;0,M830,ROUND((M829*AE830)/AE829,IF(N829=0,2,IF(N829=0.1,1,0))))),2))</f>
        <v>18.600000000000001</v>
      </c>
      <c r="P830" s="127">
        <f>IF(OR(L830="",O830=""),"",IF($C830="1/2W",O830/2+O830/2*L830,IF($C830="1/2L",O830/2,IF(I830="Lay",((O830*(L830/(L830-1)))-O830)*(1-_xlfn.XLOOKUP(K830,'Fevereiro 2023 - Valor Real'!A3:A15,'Fevereiro 2023 - Valor Real'!C3:C15,0))+O830,(O830*L830-O830)*(1-_xlfn.XLOOKUP(K830,'Fevereiro 2023 - Valor Real'!A3:A15,'Fevereiro 2023 - Valor Real'!C3:C15,0))+O830))))</f>
        <v>41.106000000000002</v>
      </c>
      <c r="Q830" s="128">
        <f>IF(K830="","",IF(_xlfn.XLOOKUP(K830,K$4:K829,$DJ$4:DJ829,0,,-1)=DJ830,_xlfn.XLOOKUP(K830,K$4:K829,Q$4:Q829,1,,-1)+1,1))</f>
        <v>7</v>
      </c>
      <c r="R830" s="129">
        <f>IF(K830="","",_xlfn.XLOOKUP(K830,K$4:K829,R$4:R829,0,,-1)+IF($C830=" ",1,0))</f>
        <v>0</v>
      </c>
      <c r="S830" s="403"/>
      <c r="T830" s="380"/>
      <c r="U830" s="380"/>
      <c r="V830" s="481"/>
      <c r="W830" s="380"/>
      <c r="X830" s="452"/>
      <c r="Y830" s="383"/>
      <c r="Z830" s="384"/>
      <c r="AA830" s="384"/>
      <c r="AB830" s="384"/>
      <c r="AC830" s="384"/>
      <c r="AD830" s="130">
        <f>(((L830/(L830-1)-1)*(1-_xlfn.XLOOKUP(K830,'Fevereiro 2023 - Valor Real'!A3:A15,'Fevereiro 2023 - Valor Real'!C3:C15,0))+1))</f>
        <v>1.8264462809917357</v>
      </c>
      <c r="AE830" s="131">
        <f>IF(L830="","",IF(L831&gt;0,(SUM(((L829-1)*(1-_xlfn.XLOOKUP(K829,'Fevereiro 2023 - Valor Real'!A3:A15,'Fevereiro 2023 - Valor Real'!C3:C15,0))+1),((L830-1)*(1-_xlfn.XLOOKUP(K830,'Fevereiro 2023 - Valor Real'!A3:A15,'Fevereiro 2023 - Valor Real'!C3:C15,0))+1),((L831-1)*(1-_xlfn.XLOOKUP(K831,'Fevereiro 2023 - Valor Real'!A3:A15,'Fevereiro 2023 - Valor Real'!C3:C15,0))+1))/((L830-1)*(1-_xlfn.XLOOKUP(K830,'Fevereiro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Real'!C3:C15,0))+1))/((L829-1)*(1-_xlfn.XLOOKUP(K829,'Fevereiro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Real'!C3:C15,0))+1))/((L830-1)*(1-_xlfn.XLOOKUP(K830,'Fevereiro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Real'!C3:C15,0))+1))/((L831-1)*(1-_xlfn.XLOOKUP(K831,'Fevereiro 2023 - Valor Real'!A3:A15,'Fevereiro 2023 - Valor Real'!C3:C15,0))+1)),IF(I830="Lay",IF(I829="Lay",((L829/(L829-1)-1)*(1-_xlfn.XLOOKUP(K829,'Fevereiro 2023 - Valor Real'!A3:A15,'Fevereiro 2023 - Valor Real'!C3:C15,0))+1)/(((L829/(L829-1)-1)*(1-_xlfn.XLOOKUP(K829,'Fevereiro 2023 - Valor Real'!A3:A15,'Fevereiro 2023 - Valor Real'!C3:C15,0))+1)+((L830/(L830-1)-1)*(1-_xlfn.XLOOKUP(K830,'Fevereiro 2023 - Valor Real'!A3:A15,'Fevereiro 2023 - Valor Real'!C3:C15,0))+1)),((L829-1)*(1-_xlfn.XLOOKUP(K829,'Fevereiro 2023 - Valor Real'!A3:A15,'Fevereiro 2023 - Valor Real'!C3:C15,0))+1)/(((L829-1)*(1-_xlfn.XLOOKUP(K829,'Fevereiro 2023 - Valor Real'!A3:A15,'Fevereiro 2023 - Valor Real'!C3:C15,0))+1)+((L830/(L830-1)-1)*(1-_xlfn.XLOOKUP(K830,'Fevereiro 2023 - Valor Real'!A3:A15,'Fevereiro 2023 - Valor Real'!C3:C15,0))+1))),IF(I829="Lay",((L829/(L829-1)-1)*(1-_xlfn.XLOOKUP(K829,'Fevereiro 2023 - Valor Real'!A3:A15,'Fevereiro 2023 - Valor Real'!C3:C15,0))+1)/((((L829/(L829-1)-1)*(1-_xlfn.XLOOKUP(K829,'Fevereiro 2023 - Valor Real'!A3:A15,'Fevereiro 2023 - Valor Real'!C3:C15,0))+1))+((L830-1)*(1-_xlfn.XLOOKUP(K830,'Fevereiro 2023 - Valor Real'!A3:A15,'Fevereiro 2023 - Valor Real'!C3:C15,0))+1)),((L829-1)*(1-_xlfn.XLOOKUP(K829,'Fevereiro 2023 - Valor Real'!A3:A15,'Fevereiro 2023 - Valor Real'!C3:C15,0))+1)/(((L829-1)*(1-_xlfn.XLOOKUP(K829,'Fevereiro 2023 - Valor Real'!A3:A15,'Fevereiro 2023 - Valor Real'!C3:C15,0))+1)+((L830-1)*(1-_xlfn.XLOOKUP(K830,'Fevereiro 2023 - Valor Real'!A3:A15,'Fevereiro 2023 - Valor Real'!C3:C15,0))+1))))))</f>
        <v>0.48960739030023098</v>
      </c>
      <c r="AF830" s="105">
        <f t="shared" si="1648"/>
        <v>0</v>
      </c>
      <c r="AG830" s="106">
        <f t="shared" si="1648"/>
        <v>0</v>
      </c>
      <c r="AH830" s="106">
        <f t="shared" si="1648"/>
        <v>0</v>
      </c>
      <c r="AI830" s="106">
        <f t="shared" si="1648"/>
        <v>0</v>
      </c>
      <c r="AJ830" s="106">
        <f t="shared" si="1648"/>
        <v>22.51</v>
      </c>
      <c r="AK830" s="106">
        <f t="shared" si="1648"/>
        <v>0</v>
      </c>
      <c r="AL830" s="106">
        <f t="shared" si="1648"/>
        <v>0</v>
      </c>
      <c r="AM830" s="106">
        <f t="shared" si="1648"/>
        <v>0</v>
      </c>
      <c r="AN830" s="106">
        <f t="shared" si="1648"/>
        <v>0</v>
      </c>
      <c r="AO830" s="106">
        <f t="shared" si="1648"/>
        <v>0</v>
      </c>
      <c r="AP830" s="106">
        <f t="shared" si="1648"/>
        <v>0</v>
      </c>
      <c r="AQ830" s="106">
        <f t="shared" si="1648"/>
        <v>0</v>
      </c>
      <c r="AR830" s="107">
        <f t="shared" si="1648"/>
        <v>0</v>
      </c>
      <c r="AS830" s="105">
        <f>IF(AND($B829=" ",$K830=AS$3),$O830,0)</f>
        <v>0</v>
      </c>
      <c r="AT830" s="106">
        <f>IF(AND($B829=" ",K830=AT$3),$O830,0)</f>
        <v>0</v>
      </c>
      <c r="AU830" s="106">
        <f t="shared" ref="AU830:BE830" si="1658">IF(AND($B829=" ",$K830=AU$3),$O830,0)</f>
        <v>0</v>
      </c>
      <c r="AV830" s="106">
        <f t="shared" si="1658"/>
        <v>0</v>
      </c>
      <c r="AW830" s="106">
        <f t="shared" si="1658"/>
        <v>0</v>
      </c>
      <c r="AX830" s="106">
        <f t="shared" si="1658"/>
        <v>0</v>
      </c>
      <c r="AY830" s="108">
        <f t="shared" si="1658"/>
        <v>0</v>
      </c>
      <c r="AZ830" s="109">
        <f t="shared" si="1658"/>
        <v>0</v>
      </c>
      <c r="BA830" s="109">
        <f t="shared" si="1658"/>
        <v>0</v>
      </c>
      <c r="BB830" s="109">
        <f t="shared" si="1658"/>
        <v>0</v>
      </c>
      <c r="BC830" s="110">
        <f t="shared" si="1658"/>
        <v>0</v>
      </c>
      <c r="BD830" s="106">
        <f t="shared" si="1658"/>
        <v>0</v>
      </c>
      <c r="BE830" s="107">
        <f t="shared" si="1658"/>
        <v>0</v>
      </c>
      <c r="BF830" s="105">
        <f t="shared" si="1650"/>
        <v>0</v>
      </c>
      <c r="BG830" s="106">
        <f t="shared" si="1650"/>
        <v>0</v>
      </c>
      <c r="BH830" s="106">
        <f t="shared" si="1650"/>
        <v>0</v>
      </c>
      <c r="BI830" s="106">
        <f t="shared" si="1650"/>
        <v>0</v>
      </c>
      <c r="BJ830" s="106">
        <f t="shared" si="1650"/>
        <v>18.600000000000001</v>
      </c>
      <c r="BK830" s="106">
        <f t="shared" si="1650"/>
        <v>0</v>
      </c>
      <c r="BL830" s="106">
        <f t="shared" si="1650"/>
        <v>0</v>
      </c>
      <c r="BM830" s="132">
        <f t="shared" si="1650"/>
        <v>0</v>
      </c>
      <c r="BN830" s="112">
        <f t="shared" si="1650"/>
        <v>0</v>
      </c>
      <c r="BO830" s="112">
        <f t="shared" si="1650"/>
        <v>0</v>
      </c>
      <c r="BP830" s="112">
        <f t="shared" si="1650"/>
        <v>0</v>
      </c>
      <c r="BQ830" s="110">
        <f t="shared" si="1650"/>
        <v>0</v>
      </c>
      <c r="BR830" s="107">
        <f t="shared" si="1650"/>
        <v>0</v>
      </c>
      <c r="BS830" s="464"/>
      <c r="BT830" s="461"/>
      <c r="BU830" s="392"/>
      <c r="BV830" s="461"/>
      <c r="BW830" s="392"/>
      <c r="BX830" s="392"/>
      <c r="BY830" s="392"/>
      <c r="BZ830" s="461"/>
      <c r="CA830" s="392"/>
      <c r="CB830" s="392"/>
      <c r="CC830" s="392"/>
      <c r="CD830" s="401"/>
      <c r="CE830" s="409"/>
      <c r="CF830" s="133">
        <f t="shared" si="1540"/>
        <v>0</v>
      </c>
      <c r="CG830" s="134">
        <f t="shared" si="1541"/>
        <v>0</v>
      </c>
      <c r="CH830" s="134">
        <f t="shared" si="1542"/>
        <v>0</v>
      </c>
      <c r="CI830" s="134">
        <f t="shared" si="1543"/>
        <v>0</v>
      </c>
      <c r="CJ830" s="134">
        <f t="shared" si="1544"/>
        <v>0</v>
      </c>
      <c r="CK830" s="134">
        <f t="shared" si="1545"/>
        <v>0</v>
      </c>
      <c r="CL830" s="134">
        <f t="shared" si="1546"/>
        <v>0</v>
      </c>
      <c r="CM830" s="134">
        <f t="shared" si="1547"/>
        <v>0</v>
      </c>
      <c r="CN830" s="134">
        <f t="shared" si="1548"/>
        <v>1</v>
      </c>
      <c r="CO830" s="134">
        <f t="shared" si="1549"/>
        <v>0</v>
      </c>
      <c r="CP830" s="134">
        <f t="shared" si="1550"/>
        <v>0</v>
      </c>
      <c r="CQ830" s="134">
        <f t="shared" si="1551"/>
        <v>0</v>
      </c>
      <c r="CR830" s="134">
        <f t="shared" si="1552"/>
        <v>0</v>
      </c>
      <c r="CS830" s="134">
        <f t="shared" si="1553"/>
        <v>0</v>
      </c>
      <c r="CT830" s="115">
        <f t="shared" si="1554"/>
        <v>0</v>
      </c>
      <c r="CU830" s="116">
        <f t="shared" si="1555"/>
        <v>0</v>
      </c>
      <c r="CV830" s="116">
        <f t="shared" si="1556"/>
        <v>0</v>
      </c>
      <c r="CW830" s="116">
        <f t="shared" si="1557"/>
        <v>0</v>
      </c>
      <c r="CX830" s="116">
        <f t="shared" si="1558"/>
        <v>0</v>
      </c>
      <c r="CY830" s="116">
        <f t="shared" si="1559"/>
        <v>0</v>
      </c>
      <c r="CZ830" s="116">
        <f t="shared" si="1560"/>
        <v>0</v>
      </c>
      <c r="DA830" s="116">
        <f t="shared" si="1561"/>
        <v>0</v>
      </c>
      <c r="DB830" s="116">
        <f t="shared" si="1562"/>
        <v>0</v>
      </c>
      <c r="DC830" s="116">
        <f t="shared" si="1563"/>
        <v>0</v>
      </c>
      <c r="DD830" s="116">
        <f t="shared" si="1564"/>
        <v>0</v>
      </c>
      <c r="DE830" s="117">
        <f t="shared" si="1565"/>
        <v>0</v>
      </c>
      <c r="DF830" s="118">
        <f t="shared" si="1567"/>
        <v>47</v>
      </c>
      <c r="DG830" s="106">
        <f t="shared" si="1568"/>
        <v>62.775999999999989</v>
      </c>
      <c r="DH830" s="116">
        <f t="shared" si="1569"/>
        <v>17</v>
      </c>
      <c r="DI830" s="106">
        <f t="shared" si="1570"/>
        <v>72.399999999999991</v>
      </c>
      <c r="DJ830" s="201" t="str">
        <f>IF($D829="","",$D829)</f>
        <v>28</v>
      </c>
      <c r="DK830" s="466"/>
    </row>
    <row r="831" spans="1:115" ht="14.5" customHeight="1" x14ac:dyDescent="0.2">
      <c r="A831" s="390"/>
      <c r="B831" s="457"/>
      <c r="C831" s="135" t="s">
        <v>53</v>
      </c>
      <c r="D831" s="375"/>
      <c r="E831" s="387"/>
      <c r="F831" s="378"/>
      <c r="G831" s="484"/>
      <c r="H831" s="477"/>
      <c r="I831" s="136"/>
      <c r="J831" s="137"/>
      <c r="K831" s="138"/>
      <c r="L831" s="139"/>
      <c r="M831" s="140"/>
      <c r="N831" s="407"/>
      <c r="O831" s="141" t="str">
        <f>IF(OR(AE829="",AE830=""),"",IF(L831&gt;0,ROUND(IF(M831&gt;0,M831,IF(M829&gt;0,ROUND((M829*AE831)/AE829,IF(N829=0,2,IF(N829=0.1,1,0))),IF(M830&gt;0,ROUND((M830*AE831)/AE830,IF(N829=0,2,IF(N829=0.1,1,0))),IF(M831&gt;0,M831,0)))),2),""))</f>
        <v/>
      </c>
      <c r="P831" s="142" t="str">
        <f>IF(I830="Lay",O830*(L830/(L830-1))-O830,IF(I829="Lay",O829*(L829/(L829-1))-O829,IF(OR(L831="",O831=""),"",IF($C831="1/2W",O831/2+O831/2*L831,IF($C831="1/2L",O831/2,(O831*L831-O831)*(1-_xlfn.XLOOKUP(K831,'Fevereiro 2023 - Valor Real'!A3:A15,'Fevereiro 2023 - Valor Real'!C3:C15,0))+O831)))))</f>
        <v/>
      </c>
      <c r="Q831" s="221" t="str">
        <f>IF(K831="","",IF(_xlfn.XLOOKUP(K831,K$4:K830,$DJ$4:DJ830,0,,-1)=DJ831,_xlfn.XLOOKUP(K831,K$4:K830,Q$4:Q830,1,,-1)+1,1))</f>
        <v/>
      </c>
      <c r="R831" s="144" t="str">
        <f>IF(K831="","",_xlfn.XLOOKUP(K831,K$4:K830,R$4:R830,0,,-1)+IF($C831=" ",1,0))</f>
        <v/>
      </c>
      <c r="S831" s="404"/>
      <c r="T831" s="378"/>
      <c r="U831" s="378"/>
      <c r="V831" s="404"/>
      <c r="W831" s="378"/>
      <c r="X831" s="453"/>
      <c r="Y831" s="383"/>
      <c r="Z831" s="384"/>
      <c r="AA831" s="384"/>
      <c r="AB831" s="384"/>
      <c r="AC831" s="384"/>
      <c r="AD831" s="145">
        <f>((L830/(L830-1)-1))</f>
        <v>0.82644628099173567</v>
      </c>
      <c r="AE831" s="146" t="str">
        <f>IF(L831="","",(SUM(((L829-1)*(1-_xlfn.XLOOKUP(K829,'Fevereiro 2023 - Valor Real'!A3:A15,'Fevereiro 2023 - Valor Real'!C3:C15,0))+1),((L830-1)*(1-_xlfn.XLOOKUP(K830,'Fevereiro 2023 - Valor Real'!A3:A15,'Fevereiro 2023 - Valor Real'!C3:C15,0))+1),((L831-1)*(1-_xlfn.XLOOKUP(K831,'Fevereiro 2023 - Valor Real'!A3:A15,'Fevereiro 2023 - Valor Real'!C3:C15,0))+1))/((L831-1)*(1-_xlfn.XLOOKUP(K831,'Fevereiro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Real'!C3:C15,0))+1))/((L829-1)*(1-_xlfn.XLOOKUP(K829,'Fevereiro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Real'!C3:C15,0))+1))/((L830-1)*(1-_xlfn.XLOOKUP(K830,'Fevereiro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Real'!C3:C15,0))+1))/((L831-1)*(1-_xlfn.XLOOKUP(K831,'Fevereiro 2023 - Valor Real'!A3:A15,'Fevereiro 2023 - Valor Real'!C3:C15,0))+1)))</f>
        <v/>
      </c>
      <c r="AF831" s="105">
        <f t="shared" si="1648"/>
        <v>0</v>
      </c>
      <c r="AG831" s="106">
        <f t="shared" si="1648"/>
        <v>0</v>
      </c>
      <c r="AH831" s="106">
        <f t="shared" si="1648"/>
        <v>0</v>
      </c>
      <c r="AI831" s="106">
        <f t="shared" si="1648"/>
        <v>0</v>
      </c>
      <c r="AJ831" s="106">
        <f t="shared" si="1648"/>
        <v>0</v>
      </c>
      <c r="AK831" s="106">
        <f t="shared" si="1648"/>
        <v>0</v>
      </c>
      <c r="AL831" s="106">
        <f t="shared" si="1648"/>
        <v>0</v>
      </c>
      <c r="AM831" s="106">
        <f t="shared" si="1648"/>
        <v>0</v>
      </c>
      <c r="AN831" s="106">
        <f t="shared" si="1648"/>
        <v>0</v>
      </c>
      <c r="AO831" s="106">
        <f t="shared" si="1648"/>
        <v>0</v>
      </c>
      <c r="AP831" s="106">
        <f t="shared" si="1648"/>
        <v>0</v>
      </c>
      <c r="AQ831" s="106">
        <f t="shared" si="1648"/>
        <v>0</v>
      </c>
      <c r="AR831" s="107">
        <f t="shared" si="1648"/>
        <v>0</v>
      </c>
      <c r="AS831" s="105">
        <f>IF(AND($B829=" ",$K831=AS$3),$O831,0)</f>
        <v>0</v>
      </c>
      <c r="AT831" s="106">
        <f>IF(AND($B829=" ",K831=AT$3),$O831,0)</f>
        <v>0</v>
      </c>
      <c r="AU831" s="106">
        <f t="shared" ref="AU831:BE831" si="1659">IF(AND($B829=" ",$K831=AU$3),$O831,0)</f>
        <v>0</v>
      </c>
      <c r="AV831" s="106">
        <f t="shared" si="1659"/>
        <v>0</v>
      </c>
      <c r="AW831" s="106">
        <f t="shared" si="1659"/>
        <v>0</v>
      </c>
      <c r="AX831" s="106">
        <f t="shared" si="1659"/>
        <v>0</v>
      </c>
      <c r="AY831" s="108">
        <f t="shared" si="1659"/>
        <v>0</v>
      </c>
      <c r="AZ831" s="109">
        <f t="shared" si="1659"/>
        <v>0</v>
      </c>
      <c r="BA831" s="109">
        <f t="shared" si="1659"/>
        <v>0</v>
      </c>
      <c r="BB831" s="109">
        <f t="shared" si="1659"/>
        <v>0</v>
      </c>
      <c r="BC831" s="110">
        <f t="shared" si="1659"/>
        <v>0</v>
      </c>
      <c r="BD831" s="106">
        <f t="shared" si="1659"/>
        <v>0</v>
      </c>
      <c r="BE831" s="107">
        <f t="shared" si="1659"/>
        <v>0</v>
      </c>
      <c r="BF831" s="105">
        <f t="shared" si="1650"/>
        <v>0</v>
      </c>
      <c r="BG831" s="106">
        <f t="shared" si="1650"/>
        <v>0</v>
      </c>
      <c r="BH831" s="106">
        <f t="shared" si="1650"/>
        <v>0</v>
      </c>
      <c r="BI831" s="106">
        <f t="shared" si="1650"/>
        <v>0</v>
      </c>
      <c r="BJ831" s="106">
        <f t="shared" si="1650"/>
        <v>0</v>
      </c>
      <c r="BK831" s="106">
        <f t="shared" si="1650"/>
        <v>0</v>
      </c>
      <c r="BL831" s="106">
        <f t="shared" si="1650"/>
        <v>0</v>
      </c>
      <c r="BM831" s="108">
        <f t="shared" si="1650"/>
        <v>0</v>
      </c>
      <c r="BN831" s="109">
        <f t="shared" si="1650"/>
        <v>0</v>
      </c>
      <c r="BO831" s="109">
        <f t="shared" si="1650"/>
        <v>0</v>
      </c>
      <c r="BP831" s="109">
        <f t="shared" si="1650"/>
        <v>0</v>
      </c>
      <c r="BQ831" s="110">
        <f t="shared" si="1650"/>
        <v>0</v>
      </c>
      <c r="BR831" s="107">
        <f t="shared" si="1650"/>
        <v>0</v>
      </c>
      <c r="BS831" s="464"/>
      <c r="BT831" s="461"/>
      <c r="BU831" s="392"/>
      <c r="BV831" s="461"/>
      <c r="BW831" s="392"/>
      <c r="BX831" s="392"/>
      <c r="BY831" s="392"/>
      <c r="BZ831" s="461"/>
      <c r="CA831" s="392"/>
      <c r="CB831" s="392"/>
      <c r="CC831" s="392"/>
      <c r="CD831" s="401"/>
      <c r="CE831" s="409"/>
      <c r="CF831" s="133">
        <f t="shared" si="1540"/>
        <v>0</v>
      </c>
      <c r="CG831" s="134">
        <f t="shared" si="1541"/>
        <v>0</v>
      </c>
      <c r="CH831" s="134">
        <f t="shared" si="1542"/>
        <v>0</v>
      </c>
      <c r="CI831" s="134">
        <f t="shared" si="1543"/>
        <v>0</v>
      </c>
      <c r="CJ831" s="134">
        <f t="shared" si="1544"/>
        <v>0</v>
      </c>
      <c r="CK831" s="134">
        <f t="shared" si="1545"/>
        <v>0</v>
      </c>
      <c r="CL831" s="134">
        <f t="shared" si="1546"/>
        <v>0</v>
      </c>
      <c r="CM831" s="134">
        <f t="shared" si="1547"/>
        <v>0</v>
      </c>
      <c r="CN831" s="134">
        <f t="shared" si="1548"/>
        <v>0</v>
      </c>
      <c r="CO831" s="134">
        <f t="shared" si="1549"/>
        <v>0</v>
      </c>
      <c r="CP831" s="134">
        <f t="shared" si="1550"/>
        <v>0</v>
      </c>
      <c r="CQ831" s="134">
        <f t="shared" si="1551"/>
        <v>0</v>
      </c>
      <c r="CR831" s="134">
        <f t="shared" si="1552"/>
        <v>0</v>
      </c>
      <c r="CS831" s="134">
        <f t="shared" si="1553"/>
        <v>0</v>
      </c>
      <c r="CT831" s="115">
        <f t="shared" si="1554"/>
        <v>0</v>
      </c>
      <c r="CU831" s="116">
        <f t="shared" si="1555"/>
        <v>0</v>
      </c>
      <c r="CV831" s="116">
        <f t="shared" si="1556"/>
        <v>0</v>
      </c>
      <c r="CW831" s="116">
        <f t="shared" si="1557"/>
        <v>0</v>
      </c>
      <c r="CX831" s="116">
        <f t="shared" si="1558"/>
        <v>0</v>
      </c>
      <c r="CY831" s="116">
        <f t="shared" si="1559"/>
        <v>0</v>
      </c>
      <c r="CZ831" s="116">
        <f t="shared" si="1560"/>
        <v>0</v>
      </c>
      <c r="DA831" s="116">
        <f t="shared" si="1561"/>
        <v>0</v>
      </c>
      <c r="DB831" s="116">
        <f t="shared" si="1562"/>
        <v>0</v>
      </c>
      <c r="DC831" s="116">
        <f t="shared" si="1563"/>
        <v>0</v>
      </c>
      <c r="DD831" s="116">
        <f t="shared" si="1564"/>
        <v>0</v>
      </c>
      <c r="DE831" s="117">
        <f t="shared" si="1565"/>
        <v>0</v>
      </c>
      <c r="DF831" s="118">
        <f t="shared" si="1567"/>
        <v>47</v>
      </c>
      <c r="DG831" s="106">
        <f t="shared" si="1568"/>
        <v>62.775999999999989</v>
      </c>
      <c r="DH831" s="116">
        <f t="shared" si="1569"/>
        <v>17</v>
      </c>
      <c r="DI831" s="106">
        <f t="shared" si="1570"/>
        <v>72.399999999999991</v>
      </c>
      <c r="DJ831" s="201" t="str">
        <f>IF($D829="","",$D829)</f>
        <v>28</v>
      </c>
      <c r="DK831" s="466"/>
    </row>
    <row r="832" spans="1:115" ht="14.5" customHeight="1" x14ac:dyDescent="0.2">
      <c r="A832" s="487">
        <f>$A829+1</f>
        <v>277</v>
      </c>
      <c r="B832" s="506" t="str">
        <f>IF(OR(C832="W",C833="W",C834="W",C832="1/2W",C833="1/2W",C834="1/2W",C832="1/2L",C833="1/2L",C834="1/2L"),"OK",IF(OR(C832="L",C833="L",C834="L"),"LOSS",IF(OR(C832="X",C833="X",C834="X"),"Anulado"," ")))</f>
        <v>OK</v>
      </c>
      <c r="C832" s="147" t="s">
        <v>55</v>
      </c>
      <c r="D832" s="494" t="str">
        <f>IF(G832="","",$D829)</f>
        <v>28</v>
      </c>
      <c r="E832" s="511" t="str">
        <f>IF(G832=""," ","– "&amp;COUNTIF(D$4:D834,$D832))</f>
        <v>– 8</v>
      </c>
      <c r="F832" s="510" t="str">
        <f ca="1">IF(G832="","",IF(OR(AND($C832&lt;&gt;" ",$C833=" "),AND($C833&lt;&gt;" ",$C832=" "),AND(L834&gt;0,OR(AND($C834&lt;&gt;" ",OR($C832=" ",$C833=" ")),AND($C834=" ",OR($C832&lt;&gt;" ",$C833&lt;&gt;" "))))),IF(SUM(F$4:F831)=0,1,LARGE(F$4:F831,1)+1),IF(MONTH(G832)=MONTH(TODAY()),IF(AND(DAY(G832)&lt;DAY(TODAY()),$B832=" "),IF(SUM(F$4:F831)=0,1,LARGE(F$4:F831,1)+1),IF($B832=" ",IF(AND(DAY(G832)=DAY(TODAY()),HOUR(G832)&lt;=HOUR(NOW())+1),IF(AND(HOUR(G832)+2&lt;=HOUR(NOW()),DAY(G832)&lt;=DAY(TODAY()),MINUTE(G832)&lt;=MINUTE(NOW())),IF(SUM(F$4:F831)=0,1,LARGE(F$4:F831,1)+1),IF(OR(MINUTE(G832)&lt;=MINUTE(NOW()),HOUR(G832)&lt;=HOUR(NOW())),"!!!","")),""),"")),"")))</f>
        <v/>
      </c>
      <c r="G832" s="517">
        <f>IF(H832="","",_xlfn.XLOOKUP(H832,$H$4:H831,$G$4:G831,""))</f>
        <v>45013.65625</v>
      </c>
      <c r="H832" s="516" t="s">
        <v>281</v>
      </c>
      <c r="I832" s="222" t="s">
        <v>66</v>
      </c>
      <c r="J832" s="223">
        <v>0</v>
      </c>
      <c r="K832" s="224" t="s">
        <v>40</v>
      </c>
      <c r="L832" s="225">
        <v>1.53</v>
      </c>
      <c r="M832" s="226">
        <v>14</v>
      </c>
      <c r="N832" s="503">
        <v>0</v>
      </c>
      <c r="O832" s="153">
        <f>IF(OR(AE832="",AE833=""),"",ROUND(IF(L834&gt;0,IF(M832&gt;0,M832,IF(M833&gt;0,ROUND((M833*AE832)/AE833,IF(N832=0,2,IF(N832=0.1,1,0))),ROUND((M834*AE832)/AE834,IF(N832=0,2,IF(N832=0.1,1,0))))),IF(M832&gt;0,M832,ROUND((M833*AE832)/AE833,IF(N832=0,2,IF(N832=0.1,1,0))))),2))</f>
        <v>14</v>
      </c>
      <c r="P832" s="227">
        <f>IF(OR(L832="",O832=""),"",IF($C832="1/2W",O832/2+O832/2*L832,IF($C832="1/2L",O832/2,IF(I832="Lay",(O832*(L832/(L832-1))-O832)*(1-_xlfn.XLOOKUP(K832,'Fevereiro 2023 - Valor Real'!A3:A15,'Fevereiro 2023 - Valor Real'!C3:C15,0))+O832,(O832*L832-O832)*(1-_xlfn.XLOOKUP(K832,'Fevereiro 2023 - Valor Real'!A3:A15,'Fevereiro 2023 - Valor Real'!C3:C15,0))+O832))))</f>
        <v>21.42</v>
      </c>
      <c r="Q832" s="228">
        <f>IF(K832="","",IF(_xlfn.XLOOKUP(K832,K$4:K831,$DJ$4:DJ831,0,,-1)=DJ832,_xlfn.XLOOKUP(K832,K$4:K831,Q$4:Q831,1,,-1)+1,1))</f>
        <v>8</v>
      </c>
      <c r="R832" s="229">
        <f>IF(K832="","",_xlfn.XLOOKUP(K832,K$4:K831,R$4:R831,0,,-1)+IF($C832=" ",1,0))</f>
        <v>0</v>
      </c>
      <c r="S832" s="501">
        <f>IF($B832="Anulado",0,ROUND(IF(OR($B832="LOSS",$B832="OK"),IF(OR($C832="W",$C832="1/2W",$C832="1/2L"),P832-O832,IF($C832="L",-O832,0))+IF(OR($C833="W",$C833="1/2W",$C833="1/2L"),P833-O833,IF($C833="L",-O833,0))+IF(OR($C834="W",$C834="1/2W",$C834="1/2L"),P834-O834,IF($C834="L",-O834,0)),IF(AND(OR($C832="W",$C832="1/2W",$C832="1/2L"),C833="W"),P832+P833-SUM(O832:O834)+_xlfn.XLOOKUP("X",C832:C834,O832:O834,0),IF(AND(C832=TRUE,C834="W"),P832+P834-SUM(O832:O834),IF(AND(C833="W",C834="W"),P833+P834-SUM(O832:O834)+_xlfn.XLOOKUP("X",C832:C834,O832:O834,0),IF(L834&gt;0,IF(OR($C832="W",$C832="1/2W",$C832="1/2L"),P832-SUM(O832:O834)+_xlfn.XLOOKUP("X",C832:C834,O832:O834,0),IF(OR($C832="W",$C832="1/2W",$C832="1/2L"),P833-SUM(O832:O834)+_xlfn.XLOOKUP("X",C832:C834,O832:O834,0),IF(OR($C832="W",$C832="1/2W",$C832="1/2L"),P834-SUM(O832:O834)+_xlfn.XLOOKUP("X",C832:C834,O832:O834,0),IF(SUM(P832:P834)/3-SUM(O832:O834)+_xlfn.XLOOKUP("X",C832:C834,O832:O834,0)&gt;0,SUM(P832:P834)/3-SUM(O832:O834)+_xlfn.XLOOKUP("X",C832:C834,O832:O834,0),LARGE(P832:P834,1)-SUM(O832:O834))))),IF(OR($C832="W",$C832="1/2W",$C832="1/2L"),P832-SUM(O832:O833)+_xlfn.XLOOKUP("X",C832:C834,O832:O834,0),IF(OR($C832="W",$C832="1/2W",$C832="1/2L"),P833-SUM(O832:O833)+_xlfn.XLOOKUP("X",C832:C834,O832:O834,0),SUM(P832:P833)/2-SUM(O832:O833)+_xlfn.XLOOKUP("X",C832:C834,O832:O834,0)))))))),2))</f>
        <v>-12.12</v>
      </c>
      <c r="T832" s="486">
        <f>IF(S832=0,0,S832/SUM(O832:O834))</f>
        <v>-0.62026612077789145</v>
      </c>
      <c r="U832" s="496">
        <f>IF($D832=$D829,IF(OR($B832="LOSS",$B832="OK",$B832="Anulada"),S832,0)+U829,IF(OR($B832="LOSS",$B832="OK",$B832="Anulada"),S832,0))</f>
        <v>4.08</v>
      </c>
      <c r="V832" s="496">
        <f>IF($D832="",0,IF($D832=$D829,IF($B832=" ",IF(I834="",IF(OR(AND(I832="DNB1",I833="DNB2"),AND(OR(I832="DNB1",I832="DNB2"),J833=0),AND(OR(I833="DNB1",I833="DNB2"),J832=0),AND(I832="DNB2",I833="DNB1"),AND(IF(J832=0,(J832+1)/ROUND(J832+1,0),J832/ROUND(J832,0))=1,IF(J833=0,(J833+1)/ROUND(IF(J833="",0,J833)+1,0),IF(J833="",0,J833)/ROUND(IF(J833="",1,J833),0))=1,OR(J832&lt;&gt;""),J833&lt;&gt;"")),0,IF(S832&lt;0,IF(I834="",SMALL(P832:P833,1)-SUM(O832:O833),0),SMALL(P832:P833,1)-SUM(O832:O833))),IF(S832&lt;0,IF(I834="",SMALL(P832:P834,1)-SUM(O832:O834),0),LARGE(P832:P834,1)-SUM(O832:O834))),S832)+V829,IF(I834="",IF(OR(AND(I832="DNB1",I833="DNB2"),AND(OR(I832="DNB1",I832="DNB2"),J833=0),AND(OR(I833="DNB1",I833="DNB2"),J832=0),AND(I832="DNB2",I833="DNB1"),AND(IF(J832=0,(J832+1)/ROUND(J832+1,0),J832/ROUND(J832,0))=1,IF(J833=0,(IF(J833="",0,J833)+1)/ROUND(IF(J833="",0,J833)+1,0),IF(J833="",0,J833)/ROUND(IF(J833="",0,J833)+1,0))=1,OR(J832&lt;&gt;""),J833&lt;&gt;"")),0,IF(S832&lt;0,IF(I834="",SMALL(P832:P833,1)-SUM(O832:O833),0),SMALL(P832:P834,1)-SUM(O832:O834))),IF(S832&lt;0,IF(I834="",SMALL(P832:P834,1)-SUM(O832:O834),0),LARGE(P832:P834,1)-SUM(O832:O834)))))</f>
        <v>4.0479999999999965</v>
      </c>
      <c r="W832" s="496">
        <f>IF($D832=$D829,IF(S832&lt;0,IF(I834="",S832,0),S832)+W829,S832)</f>
        <v>16.2</v>
      </c>
      <c r="X832" s="505" t="str">
        <f>IF(OR(SUM(R832:R834)=0,V832=W832),ROUND(IF(W832=0,0,W832/Y832)*100,2)&amp;"%",ROUND(IF(V832=0,0,V832/Y832)*100,2)&amp;"% a "&amp;ROUND(IF(W832=0,0,W832/Y832)*100,2)&amp;"%")</f>
        <v>6,62%</v>
      </c>
      <c r="Y832" s="497">
        <f>IF($D832=$D829,Y829+SUM(O832:O834),SUM(O832:O834))</f>
        <v>244.89000000000001</v>
      </c>
      <c r="Z832" s="496">
        <f>IF($B832=" ",SUM(O832:O834),0)+Z829</f>
        <v>0</v>
      </c>
      <c r="AA832" s="496">
        <f>IF(G832="","",IF($B832="Anulado",LARGE(P832:P834,1)-SUM(O832:O834)+AA829,AA829))</f>
        <v>13.381099999999991</v>
      </c>
      <c r="AB832" s="496">
        <f>IF($D832="","",AB829+S832)</f>
        <v>899.09000000000071</v>
      </c>
      <c r="AC832" s="499">
        <f ca="1">IF($D832="","",IF($B832=" ",IF(DAY(G832)=DAY(TODAY()),1+AC829,0+AC829),0+AC829))</f>
        <v>0</v>
      </c>
      <c r="AD832" s="157">
        <f>(((L833/(L833-1)-1)*(1-_xlfn.XLOOKUP(K833,'Fevereiro 2023 - Valor Real'!A3:A15,'Fevereiro 2023 - Valor Real'!C3:C15,0))+1))/(((L832-1)*(1-_xlfn.XLOOKUP(K832,'Fevereiro 2023 - Valor Real'!A3:A15,'Fevereiro 2023 - Valor Real'!C3:C15,0))+1)+((L833/(L833-1)-1)*(1-_xlfn.XLOOKUP(K833,'Fevereiro 2023 - Valor Real'!A3:A15,'Fevereiro 2023 - Valor Real'!C3:C15,0))+1))</f>
        <v>0.45662100456621008</v>
      </c>
      <c r="AE832" s="158">
        <f>IF(L832="","",IF(L834&gt;0,(SUM(((L832-1)*(1-_xlfn.XLOOKUP(K832,'Fevereiro 2023 - Valor Real'!A3:A15,'Fevereiro 2023 - Valor Real'!C3:C15,0))+1),((L833-1)*(1-_xlfn.XLOOKUP(K833,'Fevereiro 2023 - Valor Real'!A3:A15,'Fevereiro 2023 - Valor Real'!C3:C15,0))+1),((L834-1)*(1-_xlfn.XLOOKUP(K834,'Fevereiro 2023 - Valor Real'!A3:A15,'Fevereiro 2023 - Valor Real'!C3:C15,0))+1))/((L832-1)*(1-_xlfn.XLOOKUP(K832,'Fevereiro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Real'!C3:C15,0))+1))/((L832-1)*(1-_xlfn.XLOOKUP(K832,'Fevereiro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Real'!C3:C15,0))+1))/((L833-1)*(1-_xlfn.XLOOKUP(K833,'Fevereiro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Real'!C3:C15,0))+1))/((L834-1)*(1-_xlfn.XLOOKUP(K834,'Fevereiro 2023 - Valor Real'!A3:A15,'Fevereiro 2023 - Valor Real'!C3:C15,0))+1)),IF(I832="Lay",IF(I833="Lay",((L833/(L833-1)-1)*(1-_xlfn.XLOOKUP(K833,'Fevereiro 2023 - Valor Real'!A3:A15,'Fevereiro 2023 - Valor Real'!C3:C15,0))+1)/(((L833/(L833-1)-1)*(1-_xlfn.XLOOKUP(K833,'Fevereiro 2023 - Valor Real'!A3:A15,'Fevereiro 2023 - Valor Real'!C3:C15,0))+1)+((L832/(L832-1)-1)*(1-_xlfn.XLOOKUP(K832,'Fevereiro 2023 - Valor Real'!A3:A15,'Fevereiro 2023 - Valor Real'!C3:C15,0))+1)),((L833-1)*(1-_xlfn.XLOOKUP(K833,'Fevereiro 2023 - Valor Real'!A3:A15,'Fevereiro 2023 - Valor Real'!C3:C15,0))+1)/(((L833-1)*(1-_xlfn.XLOOKUP(K833,'Fevereiro 2023 - Valor Real'!A3:A15,'Fevereiro 2023 - Valor Real'!C3:C15,0))+1)+((L832/(L832-1)-1)*(1-_xlfn.XLOOKUP(K832,'Fevereiro 2023 - Valor Real'!A3:A15,'Fevereiro 2023 - Valor Real'!C3:C15,0))+1))),IF(I833="Lay",(((L833/(L833-1)-1)*(1-_xlfn.XLOOKUP(K833,'Fevereiro 2023 - Valor Real'!A3:A15,'Fevereiro 2023 - Valor Real'!C3:C15,0))+1))/(((L832-1)*(1-_xlfn.XLOOKUP(K832,'Fevereiro 2023 - Valor Real'!A3:A15,'Fevereiro 2023 - Valor Real'!C3:C15,0))+1)+((L833/(L833-1)-1)*(1-_xlfn.XLOOKUP(K833,'Fevereiro 2023 - Valor Real'!A3:A15,'Fevereiro 2023 - Valor Real'!C3:C15,0))+1)),((L833-1)*(1-_xlfn.XLOOKUP(K833,'Fevereiro 2023 - Valor Real'!A3:A15,'Fevereiro 2023 - Valor Real'!C3:C15,0))+1)/(((L833-1)*(1-_xlfn.XLOOKUP(K833,'Fevereiro 2023 - Valor Real'!A3:A15,'Fevereiro 2023 - Valor Real'!C3:C15,0))+1)+((L832-1)*(1-_xlfn.XLOOKUP(K832,'Fevereiro 2023 - Valor Real'!A3:A15,'Fevereiro 2023 - Valor Real'!C3:C15,0))+1))))))</f>
        <v>0.6179775280898876</v>
      </c>
      <c r="AF832" s="66">
        <f t="shared" si="1648"/>
        <v>0</v>
      </c>
      <c r="AG832" s="67">
        <f t="shared" si="1648"/>
        <v>0</v>
      </c>
      <c r="AH832" s="67">
        <f t="shared" si="1648"/>
        <v>0</v>
      </c>
      <c r="AI832" s="67">
        <f t="shared" si="1648"/>
        <v>0</v>
      </c>
      <c r="AJ832" s="67">
        <f t="shared" si="1648"/>
        <v>-14</v>
      </c>
      <c r="AK832" s="67">
        <f t="shared" si="1648"/>
        <v>0</v>
      </c>
      <c r="AL832" s="67">
        <f t="shared" si="1648"/>
        <v>0</v>
      </c>
      <c r="AM832" s="67">
        <f t="shared" si="1648"/>
        <v>0</v>
      </c>
      <c r="AN832" s="67">
        <f t="shared" si="1648"/>
        <v>0</v>
      </c>
      <c r="AO832" s="67">
        <f t="shared" si="1648"/>
        <v>0</v>
      </c>
      <c r="AP832" s="67">
        <f t="shared" si="1648"/>
        <v>0</v>
      </c>
      <c r="AQ832" s="67">
        <f t="shared" si="1648"/>
        <v>0</v>
      </c>
      <c r="AR832" s="68">
        <f t="shared" si="1648"/>
        <v>0</v>
      </c>
      <c r="AS832" s="66">
        <f t="shared" ref="AS832:BE832" si="1660">IF(AND($B832=" ",$K832=AS$3),$O832,0)</f>
        <v>0</v>
      </c>
      <c r="AT832" s="67">
        <f t="shared" si="1660"/>
        <v>0</v>
      </c>
      <c r="AU832" s="67">
        <f t="shared" si="1660"/>
        <v>0</v>
      </c>
      <c r="AV832" s="67">
        <f t="shared" si="1660"/>
        <v>0</v>
      </c>
      <c r="AW832" s="67">
        <f t="shared" si="1660"/>
        <v>0</v>
      </c>
      <c r="AX832" s="67">
        <f t="shared" si="1660"/>
        <v>0</v>
      </c>
      <c r="AY832" s="69">
        <f t="shared" si="1660"/>
        <v>0</v>
      </c>
      <c r="AZ832" s="70">
        <f t="shared" si="1660"/>
        <v>0</v>
      </c>
      <c r="BA832" s="70">
        <f t="shared" si="1660"/>
        <v>0</v>
      </c>
      <c r="BB832" s="70">
        <f t="shared" si="1660"/>
        <v>0</v>
      </c>
      <c r="BC832" s="71">
        <f t="shared" si="1660"/>
        <v>0</v>
      </c>
      <c r="BD832" s="67">
        <f t="shared" si="1660"/>
        <v>0</v>
      </c>
      <c r="BE832" s="68">
        <f t="shared" si="1660"/>
        <v>0</v>
      </c>
      <c r="BF832" s="230">
        <f t="shared" si="1650"/>
        <v>0</v>
      </c>
      <c r="BG832" s="67">
        <f t="shared" si="1650"/>
        <v>0</v>
      </c>
      <c r="BH832" s="67">
        <f t="shared" si="1650"/>
        <v>0</v>
      </c>
      <c r="BI832" s="67">
        <f t="shared" si="1650"/>
        <v>0</v>
      </c>
      <c r="BJ832" s="67">
        <f t="shared" si="1650"/>
        <v>14</v>
      </c>
      <c r="BK832" s="67">
        <f t="shared" si="1650"/>
        <v>0</v>
      </c>
      <c r="BL832" s="67">
        <f t="shared" si="1650"/>
        <v>0</v>
      </c>
      <c r="BM832" s="69">
        <f t="shared" si="1650"/>
        <v>0</v>
      </c>
      <c r="BN832" s="70">
        <f t="shared" si="1650"/>
        <v>0</v>
      </c>
      <c r="BO832" s="70">
        <f t="shared" si="1650"/>
        <v>0</v>
      </c>
      <c r="BP832" s="70">
        <f t="shared" si="1650"/>
        <v>0</v>
      </c>
      <c r="BQ832" s="71">
        <f t="shared" si="1650"/>
        <v>0</v>
      </c>
      <c r="BR832" s="68">
        <f t="shared" si="1650"/>
        <v>0</v>
      </c>
      <c r="BS832" s="490">
        <f>IF($B832="LOSS",IF(AND($K832=BS$3,$C832="L"),-$O832,0)+IF(AND($K833=BS$3,$C833="L"),-$O833,0)+IF(AND($K834=BS$3,$C834="L"),-$O834,0),IF(OR(AND($K832=BS$3,OR($C832="W",$C832="1/2W")),AND($K833=BS$3,OR($C833="W",$C833="1/2W")),AND($K834=BS$3,OR($C834="W",$C834="1/2W"))),$S832,0))</f>
        <v>0</v>
      </c>
      <c r="BT832" s="488">
        <f>IF($B832="LOSS",IF(AND($K832=BT$3,$C832="L"),-$O832,0)+IF(AND($K833=BT$3,$C833="L"),-$O833,0)+IF(AND($K833=BT$3,$C834="L"),-$O834,0),IF(OR(AND($K833=BT$3,OR($C832="W",$C832="1/2W")),AND($K833=BT$3,OR($C833="W",$C833="1/2W")),AND($K833=BT$3,OR($C834="W",$C834="1/2W"))),$S832,0))</f>
        <v>0</v>
      </c>
      <c r="BU832" s="488">
        <f>IF($B832="LOSS",IF(AND($K832=BU$3,$C832="L"),-$O832,0)+IF(AND($K833=BU$3,$C833="L"),-$O833,0)+IF(AND($K833=BU$3,$C834="L"),-$O834,0),IF(OR(AND($K833=BU$3,OR($C832="W",$C832="1/2W")),AND($K833=BU$3,OR($C833="W",$C833="1/2W")),AND($K833=BU$3,OR($C834="W",$C834="1/2W"))),$S832,0))</f>
        <v>0</v>
      </c>
      <c r="BV832" s="488">
        <f t="shared" ref="BV832:CE832" si="1661">IF($B832="LOSS",IF(AND($K832=BV$3,$C832="L"),-$O832,0)+IF(AND($K833=BV$3,$C833="L"),-$O833,0)+IF(AND($K834=BV$3,$C834="L"),-$O834,0),IF(OR(AND($K832=BV$3,OR($C832="W",$C832="1/2W")),AND($K833=BV$3,OR($C833="W",$C833="1/2W")),AND($K834=BV$3,OR($C834="W",$C834="1/2W"))),$S832,0))</f>
        <v>0</v>
      </c>
      <c r="BW832" s="488">
        <f t="shared" si="1661"/>
        <v>-12.12</v>
      </c>
      <c r="BX832" s="488">
        <f t="shared" si="1661"/>
        <v>0</v>
      </c>
      <c r="BY832" s="488">
        <f t="shared" si="1661"/>
        <v>0</v>
      </c>
      <c r="BZ832" s="498">
        <f t="shared" si="1661"/>
        <v>0</v>
      </c>
      <c r="CA832" s="498">
        <f t="shared" si="1661"/>
        <v>0</v>
      </c>
      <c r="CB832" s="498">
        <f t="shared" si="1661"/>
        <v>0</v>
      </c>
      <c r="CC832" s="498">
        <f t="shared" si="1661"/>
        <v>0</v>
      </c>
      <c r="CD832" s="500">
        <f t="shared" si="1661"/>
        <v>0</v>
      </c>
      <c r="CE832" s="504">
        <f t="shared" si="1661"/>
        <v>0</v>
      </c>
      <c r="CF832" s="160">
        <f t="shared" si="1540"/>
        <v>0</v>
      </c>
      <c r="CG832" s="161">
        <f t="shared" si="1541"/>
        <v>0</v>
      </c>
      <c r="CH832" s="161">
        <f t="shared" si="1542"/>
        <v>0</v>
      </c>
      <c r="CI832" s="161">
        <f t="shared" si="1543"/>
        <v>0</v>
      </c>
      <c r="CJ832" s="161">
        <f t="shared" si="1544"/>
        <v>0</v>
      </c>
      <c r="CK832" s="161">
        <f t="shared" si="1545"/>
        <v>0</v>
      </c>
      <c r="CL832" s="161">
        <f t="shared" si="1546"/>
        <v>0</v>
      </c>
      <c r="CM832" s="161">
        <f t="shared" si="1547"/>
        <v>0</v>
      </c>
      <c r="CN832" s="161">
        <f t="shared" si="1548"/>
        <v>0</v>
      </c>
      <c r="CO832" s="161">
        <f t="shared" si="1549"/>
        <v>1</v>
      </c>
      <c r="CP832" s="161">
        <f t="shared" si="1550"/>
        <v>0</v>
      </c>
      <c r="CQ832" s="161">
        <f t="shared" si="1551"/>
        <v>0</v>
      </c>
      <c r="CR832" s="161">
        <f t="shared" si="1552"/>
        <v>0</v>
      </c>
      <c r="CS832" s="161">
        <f t="shared" si="1553"/>
        <v>0</v>
      </c>
      <c r="CT832" s="75">
        <f t="shared" si="1554"/>
        <v>0</v>
      </c>
      <c r="CU832" s="76">
        <f t="shared" si="1555"/>
        <v>0</v>
      </c>
      <c r="CV832" s="76">
        <f t="shared" si="1556"/>
        <v>0</v>
      </c>
      <c r="CW832" s="76">
        <f t="shared" si="1557"/>
        <v>0</v>
      </c>
      <c r="CX832" s="76">
        <f t="shared" si="1558"/>
        <v>0</v>
      </c>
      <c r="CY832" s="76">
        <f t="shared" si="1559"/>
        <v>0</v>
      </c>
      <c r="CZ832" s="76">
        <f t="shared" si="1560"/>
        <v>0</v>
      </c>
      <c r="DA832" s="76">
        <f t="shared" si="1561"/>
        <v>0</v>
      </c>
      <c r="DB832" s="76">
        <f t="shared" si="1562"/>
        <v>0</v>
      </c>
      <c r="DC832" s="76">
        <f t="shared" si="1563"/>
        <v>0</v>
      </c>
      <c r="DD832" s="76">
        <f t="shared" si="1564"/>
        <v>0</v>
      </c>
      <c r="DE832" s="77">
        <f t="shared" si="1565"/>
        <v>0</v>
      </c>
      <c r="DF832" s="73">
        <f t="shared" si="1567"/>
        <v>47</v>
      </c>
      <c r="DG832" s="67">
        <f t="shared" si="1568"/>
        <v>62.775999999999989</v>
      </c>
      <c r="DH832" s="76">
        <f t="shared" si="1569"/>
        <v>17</v>
      </c>
      <c r="DI832" s="67">
        <f t="shared" si="1570"/>
        <v>72.399999999999991</v>
      </c>
      <c r="DJ832" s="202" t="str">
        <f>IF($D832="","",$D832)</f>
        <v>28</v>
      </c>
      <c r="DK832" s="492">
        <f>IF(AND($B832=" ",$D832&lt;&gt;""),1,0)</f>
        <v>0</v>
      </c>
    </row>
    <row r="833" spans="1:115" ht="14.5" customHeight="1" x14ac:dyDescent="0.2">
      <c r="A833" s="389"/>
      <c r="B833" s="456"/>
      <c r="C833" s="53" t="s">
        <v>54</v>
      </c>
      <c r="D833" s="374"/>
      <c r="E833" s="386"/>
      <c r="F833" s="377"/>
      <c r="G833" s="483"/>
      <c r="H833" s="476"/>
      <c r="I833" s="55" t="s">
        <v>49</v>
      </c>
      <c r="J833" s="242" t="str">
        <f>IF(OR(I832="TO",I832="TU",I832="TO1",I832="TU1",I832="TO2",I832="TU2"),J832,IF(OR(I832="AH1",I832="AH2"),IF(OR(I833="AH1",I833="AH2"),-J832,IF(OR(I833="EH1",I833="EH2"),-J832+0.5,"")),IF(OR(I832="EH1",I832="EH2"),IF(OR(I833="AH1",I833="AH2"),-J832+0.5,IF(OR(I833="EH1",I833="EH2"),-J832+1,"")),IF(AND(OR(I832="DNB1",I832="DNB2"),OR(I833="AH1",I833="AH2")),0,IF(AND(I832="Not ScoreBoth",OR(I833="TO1",I833="TO2")),0.5,"")))))</f>
        <v/>
      </c>
      <c r="K833" s="232" t="s">
        <v>40</v>
      </c>
      <c r="L833" s="58">
        <v>4.5</v>
      </c>
      <c r="M833" s="59">
        <v>1.65</v>
      </c>
      <c r="N833" s="406"/>
      <c r="O833" s="60">
        <f>IF(OR(AE832="",AE833=""),"",ROUND(IF(L834&gt;0,IF(M833&gt;0,M833,IF(M832&gt;0,IF(N832=TRUE,ROUND((M832*AE833)/AE832,0),(M832*AE833)/AE832),IF(M833&gt;0,ROUND(M833,IF(N832=0,2,IF(N832=0.1,1,0))),IF(M834&gt;0,ROUND(O834*AE833/AE834,IF(N832=0,2,IF(N832=0.1,1,0))),0)))),IF(M833&gt;0,M833,ROUND((M832*AE833)/AE832,IF(N832=0,2,IF(N832=0.1,1,0))))),2))</f>
        <v>1.65</v>
      </c>
      <c r="P833" s="61">
        <f>IF(OR(L833="",O833=""),"",IF($C833="1/2W",O833/2+O833/2*L833,IF($C833="1/2L",O833/2,IF(I833="Lay",((O833*(L833/(L833-1)))-O833)*(1-_xlfn.XLOOKUP(K833,'Fevereiro 2023 - Valor Real'!A3:A15,'Fevereiro 2023 - Valor Real'!C3:C15,0))+O833,(O833*L833-O833)*(1-_xlfn.XLOOKUP(K833,'Fevereiro 2023 - Valor Real'!A3:A15,'Fevereiro 2023 - Valor Real'!C3:C15,0))+O833))))</f>
        <v>7.4250000000000007</v>
      </c>
      <c r="Q833" s="233">
        <f>IF(K833="","",IF(_xlfn.XLOOKUP(K833,K$4:K832,$DJ$4:DJ832,0,,-1)=DJ833,_xlfn.XLOOKUP(K833,K$4:K832,Q$4:Q832,1,,-1)+1,1))</f>
        <v>9</v>
      </c>
      <c r="R833" s="234">
        <f>IF(K833="","",_xlfn.XLOOKUP(K833,K$4:K832,R$4:R832,0,,-1)+IF($C833=" ",1,0))</f>
        <v>0</v>
      </c>
      <c r="S833" s="403"/>
      <c r="T833" s="380"/>
      <c r="U833" s="380"/>
      <c r="V833" s="481"/>
      <c r="W833" s="380"/>
      <c r="X833" s="452"/>
      <c r="Y833" s="383"/>
      <c r="Z833" s="384"/>
      <c r="AA833" s="384"/>
      <c r="AB833" s="384"/>
      <c r="AC833" s="384"/>
      <c r="AD833" s="64">
        <f>(((L833/(L833-1)-1)*(1-_xlfn.XLOOKUP(K833,'Fevereiro 2023 - Valor Real'!A3:A15,'Fevereiro 2023 - Valor Real'!C3:C15,0))+1))</f>
        <v>1.2857142857142858</v>
      </c>
      <c r="AE833" s="65">
        <f>IF(L833="","",IF(L834&gt;0,(SUM(((L832-1)*(1-_xlfn.XLOOKUP(K832,'Fevereiro 2023 - Valor Real'!A3:A15,'Fevereiro 2023 - Valor Real'!C3:C15,0))+1),((L833-1)*(1-_xlfn.XLOOKUP(K833,'Fevereiro 2023 - Valor Real'!A3:A15,'Fevereiro 2023 - Valor Real'!C3:C15,0))+1),((L834-1)*(1-_xlfn.XLOOKUP(K834,'Fevereiro 2023 - Valor Real'!A3:A15,'Fevereiro 2023 - Valor Real'!C3:C15,0))+1))/((L833-1)*(1-_xlfn.XLOOKUP(K833,'Fevereiro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Real'!C3:C15,0))+1))/((L832-1)*(1-_xlfn.XLOOKUP(K832,'Fevereiro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Real'!C3:C15,0))+1))/((L833-1)*(1-_xlfn.XLOOKUP(K833,'Fevereiro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Real'!C3:C15,0))+1))/((L834-1)*(1-_xlfn.XLOOKUP(K834,'Fevereiro 2023 - Valor Real'!A3:A15,'Fevereiro 2023 - Valor Real'!C3:C15,0))+1)),IF(I833="Lay",IF(I832="Lay",((L832/(L832-1)-1)*(1-_xlfn.XLOOKUP(K832,'Fevereiro 2023 - Valor Real'!A3:A15,'Fevereiro 2023 - Valor Real'!C3:C15,0))+1)/(((L832/(L832-1)-1)*(1-_xlfn.XLOOKUP(K832,'Fevereiro 2023 - Valor Real'!A3:A15,'Fevereiro 2023 - Valor Real'!C3:C15,0))+1)+((L833/(L833-1)-1)*(1-_xlfn.XLOOKUP(K833,'Fevereiro 2023 - Valor Real'!A3:A15,'Fevereiro 2023 - Valor Real'!C3:C15,0))+1)),((L832-1)*(1-_xlfn.XLOOKUP(K832,'Fevereiro 2023 - Valor Real'!A3:A15,'Fevereiro 2023 - Valor Real'!C3:C15,0))+1)/(((L832-1)*(1-_xlfn.XLOOKUP(K832,'Fevereiro 2023 - Valor Real'!A3:A15,'Fevereiro 2023 - Valor Real'!C3:C15,0))+1)+((L833/(L833-1)-1)*(1-_xlfn.XLOOKUP(K833,'Fevereiro 2023 - Valor Real'!A3:A15,'Fevereiro 2023 - Valor Real'!C3:C15,0))+1))),IF(I832="Lay",((L832/(L832-1)-1)*(1-_xlfn.XLOOKUP(K832,'Fevereiro 2023 - Valor Real'!A3:A15,'Fevereiro 2023 - Valor Real'!C3:C15,0))+1)/((((L832/(L832-1)-1)*(1-_xlfn.XLOOKUP(K832,'Fevereiro 2023 - Valor Real'!A3:A15,'Fevereiro 2023 - Valor Real'!C3:C15,0))+1))+((L833-1)*(1-_xlfn.XLOOKUP(K833,'Fevereiro 2023 - Valor Real'!A3:A15,'Fevereiro 2023 - Valor Real'!C3:C15,0))+1)),((L832-1)*(1-_xlfn.XLOOKUP(K832,'Fevereiro 2023 - Valor Real'!A3:A15,'Fevereiro 2023 - Valor Real'!C3:C15,0))+1)/(((L832-1)*(1-_xlfn.XLOOKUP(K832,'Fevereiro 2023 - Valor Real'!A3:A15,'Fevereiro 2023 - Valor Real'!C3:C15,0))+1)+((L833-1)*(1-_xlfn.XLOOKUP(K833,'Fevereiro 2023 - Valor Real'!A3:A15,'Fevereiro 2023 - Valor Real'!C3:C15,0))+1))))))</f>
        <v>0.21011235955056179</v>
      </c>
      <c r="AF833" s="66">
        <f t="shared" si="1648"/>
        <v>0</v>
      </c>
      <c r="AG833" s="67">
        <f t="shared" si="1648"/>
        <v>0</v>
      </c>
      <c r="AH833" s="67">
        <f t="shared" si="1648"/>
        <v>0</v>
      </c>
      <c r="AI833" s="67">
        <f t="shared" si="1648"/>
        <v>0</v>
      </c>
      <c r="AJ833" s="67">
        <f t="shared" si="1648"/>
        <v>5.78</v>
      </c>
      <c r="AK833" s="67">
        <f t="shared" si="1648"/>
        <v>0</v>
      </c>
      <c r="AL833" s="67">
        <f t="shared" si="1648"/>
        <v>0</v>
      </c>
      <c r="AM833" s="67">
        <f t="shared" si="1648"/>
        <v>0</v>
      </c>
      <c r="AN833" s="67">
        <f t="shared" si="1648"/>
        <v>0</v>
      </c>
      <c r="AO833" s="67">
        <f t="shared" si="1648"/>
        <v>0</v>
      </c>
      <c r="AP833" s="67">
        <f t="shared" si="1648"/>
        <v>0</v>
      </c>
      <c r="AQ833" s="67">
        <f t="shared" si="1648"/>
        <v>0</v>
      </c>
      <c r="AR833" s="68">
        <f t="shared" si="1648"/>
        <v>0</v>
      </c>
      <c r="AS833" s="66">
        <f>IF(AND($B832=" ",$K833=AS$3),$O833,0)</f>
        <v>0</v>
      </c>
      <c r="AT833" s="67">
        <f>IF(AND($B832=" ",K833=AT$3),$O833,0)</f>
        <v>0</v>
      </c>
      <c r="AU833" s="67">
        <f t="shared" ref="AU833:BE833" si="1662">IF(AND($B832=" ",$K833=AU$3),$O833,0)</f>
        <v>0</v>
      </c>
      <c r="AV833" s="67">
        <f t="shared" si="1662"/>
        <v>0</v>
      </c>
      <c r="AW833" s="67">
        <f t="shared" si="1662"/>
        <v>0</v>
      </c>
      <c r="AX833" s="67">
        <f t="shared" si="1662"/>
        <v>0</v>
      </c>
      <c r="AY833" s="69">
        <f t="shared" si="1662"/>
        <v>0</v>
      </c>
      <c r="AZ833" s="70">
        <f t="shared" si="1662"/>
        <v>0</v>
      </c>
      <c r="BA833" s="70">
        <f t="shared" si="1662"/>
        <v>0</v>
      </c>
      <c r="BB833" s="70">
        <f t="shared" si="1662"/>
        <v>0</v>
      </c>
      <c r="BC833" s="71">
        <f t="shared" si="1662"/>
        <v>0</v>
      </c>
      <c r="BD833" s="67">
        <f t="shared" si="1662"/>
        <v>0</v>
      </c>
      <c r="BE833" s="68">
        <f t="shared" si="1662"/>
        <v>0</v>
      </c>
      <c r="BF833" s="66">
        <f t="shared" si="1650"/>
        <v>0</v>
      </c>
      <c r="BG833" s="67">
        <f t="shared" si="1650"/>
        <v>0</v>
      </c>
      <c r="BH833" s="67">
        <f t="shared" si="1650"/>
        <v>0</v>
      </c>
      <c r="BI833" s="67">
        <f t="shared" si="1650"/>
        <v>0</v>
      </c>
      <c r="BJ833" s="67">
        <f t="shared" si="1650"/>
        <v>1.65</v>
      </c>
      <c r="BK833" s="67">
        <f t="shared" si="1650"/>
        <v>0</v>
      </c>
      <c r="BL833" s="67">
        <f t="shared" si="1650"/>
        <v>0</v>
      </c>
      <c r="BM833" s="235">
        <f t="shared" si="1650"/>
        <v>0</v>
      </c>
      <c r="BN833" s="159">
        <f t="shared" si="1650"/>
        <v>0</v>
      </c>
      <c r="BO833" s="159">
        <f t="shared" si="1650"/>
        <v>0</v>
      </c>
      <c r="BP833" s="159">
        <f t="shared" si="1650"/>
        <v>0</v>
      </c>
      <c r="BQ833" s="71">
        <f t="shared" si="1650"/>
        <v>0</v>
      </c>
      <c r="BR833" s="68">
        <f t="shared" si="1650"/>
        <v>0</v>
      </c>
      <c r="BS833" s="464"/>
      <c r="BT833" s="461"/>
      <c r="BU833" s="392"/>
      <c r="BV833" s="461"/>
      <c r="BW833" s="392"/>
      <c r="BX833" s="392"/>
      <c r="BY833" s="392"/>
      <c r="BZ833" s="461"/>
      <c r="CA833" s="392"/>
      <c r="CB833" s="392"/>
      <c r="CC833" s="392"/>
      <c r="CD833" s="401"/>
      <c r="CE833" s="409"/>
      <c r="CF833" s="236">
        <f t="shared" si="1540"/>
        <v>0</v>
      </c>
      <c r="CG833" s="237">
        <f t="shared" si="1541"/>
        <v>0</v>
      </c>
      <c r="CH833" s="237">
        <f t="shared" si="1542"/>
        <v>0</v>
      </c>
      <c r="CI833" s="237">
        <f t="shared" si="1543"/>
        <v>0</v>
      </c>
      <c r="CJ833" s="237">
        <f t="shared" si="1544"/>
        <v>0</v>
      </c>
      <c r="CK833" s="237">
        <f t="shared" si="1545"/>
        <v>0</v>
      </c>
      <c r="CL833" s="237">
        <f t="shared" si="1546"/>
        <v>0</v>
      </c>
      <c r="CM833" s="237">
        <f t="shared" si="1547"/>
        <v>0</v>
      </c>
      <c r="CN833" s="237">
        <f t="shared" si="1548"/>
        <v>1</v>
      </c>
      <c r="CO833" s="237">
        <f t="shared" si="1549"/>
        <v>0</v>
      </c>
      <c r="CP833" s="237">
        <f t="shared" si="1550"/>
        <v>0</v>
      </c>
      <c r="CQ833" s="237">
        <f t="shared" si="1551"/>
        <v>0</v>
      </c>
      <c r="CR833" s="237">
        <f t="shared" si="1552"/>
        <v>0</v>
      </c>
      <c r="CS833" s="237">
        <f t="shared" si="1553"/>
        <v>0</v>
      </c>
      <c r="CT833" s="75">
        <f t="shared" si="1554"/>
        <v>0</v>
      </c>
      <c r="CU833" s="76">
        <f t="shared" si="1555"/>
        <v>0</v>
      </c>
      <c r="CV833" s="76">
        <f t="shared" si="1556"/>
        <v>0</v>
      </c>
      <c r="CW833" s="76">
        <f t="shared" si="1557"/>
        <v>0</v>
      </c>
      <c r="CX833" s="76">
        <f t="shared" si="1558"/>
        <v>0</v>
      </c>
      <c r="CY833" s="76">
        <f t="shared" si="1559"/>
        <v>0</v>
      </c>
      <c r="CZ833" s="76">
        <f t="shared" si="1560"/>
        <v>0</v>
      </c>
      <c r="DA833" s="76">
        <f t="shared" si="1561"/>
        <v>0</v>
      </c>
      <c r="DB833" s="76">
        <f t="shared" si="1562"/>
        <v>0</v>
      </c>
      <c r="DC833" s="76">
        <f t="shared" si="1563"/>
        <v>0</v>
      </c>
      <c r="DD833" s="76">
        <f t="shared" si="1564"/>
        <v>0</v>
      </c>
      <c r="DE833" s="77">
        <f t="shared" si="1565"/>
        <v>0</v>
      </c>
      <c r="DF833" s="73">
        <f t="shared" si="1567"/>
        <v>47</v>
      </c>
      <c r="DG833" s="67">
        <f t="shared" si="1568"/>
        <v>62.775999999999989</v>
      </c>
      <c r="DH833" s="76">
        <f t="shared" si="1569"/>
        <v>18</v>
      </c>
      <c r="DI833" s="67">
        <f t="shared" si="1570"/>
        <v>76.899999999999991</v>
      </c>
      <c r="DJ833" s="202" t="str">
        <f>IF($D832="","",$D832)</f>
        <v>28</v>
      </c>
      <c r="DK833" s="466"/>
    </row>
    <row r="834" spans="1:115" ht="14.5" customHeight="1" x14ac:dyDescent="0.2">
      <c r="A834" s="390"/>
      <c r="B834" s="457"/>
      <c r="C834" s="79" t="s">
        <v>55</v>
      </c>
      <c r="D834" s="375"/>
      <c r="E834" s="387"/>
      <c r="F834" s="378"/>
      <c r="G834" s="484"/>
      <c r="H834" s="477"/>
      <c r="I834" s="243" t="s">
        <v>67</v>
      </c>
      <c r="J834" s="244">
        <v>0</v>
      </c>
      <c r="K834" s="245" t="s">
        <v>36</v>
      </c>
      <c r="L834" s="246">
        <v>5.5</v>
      </c>
      <c r="M834" s="85">
        <v>3.89</v>
      </c>
      <c r="N834" s="407"/>
      <c r="O834" s="187">
        <f>IF(OR(AE832="",AE833=""),"",IF(L834&gt;0,ROUND(IF(M834&gt;0,M834,IF(M832&gt;0,ROUND((M832*AE834)/AE832,IF(N832=0,2,IF(N832=0.1,1,0))),IF(M833&gt;0,ROUND((M833*AE834)/AE833,IF(N832=0,2,IF(N832=0.1,1,0))),IF(M834&gt;0,M834,0)))),2),""))</f>
        <v>3.89</v>
      </c>
      <c r="P834" s="188">
        <f>IF(I833="Lay",O833*(L833/(L833-1))-O833,IF(I832="Lay",O832*(L832/(L832-1))-O832,IF(OR(L834="",O834=""),"",IF($C834="1/2W",O834/2+O834/2*L834,IF($C834="1/2L",O834/2,(O834*L834-O834)*(1-_xlfn.XLOOKUP(K834,'Fevereiro 2023 - Valor Real'!A3:A15,'Fevereiro 2023 - Valor Real'!C3:C15,0))+O834)))))</f>
        <v>21.395</v>
      </c>
      <c r="Q834" s="233">
        <f>IF(K834="","",IF(_xlfn.XLOOKUP(K834,K$4:K833,$DJ$4:DJ833,0,,-1)=DJ834,_xlfn.XLOOKUP(K834,K$4:K833,Q$4:Q833,1,,-1)+1,1))</f>
        <v>1</v>
      </c>
      <c r="R834" s="247">
        <f>IF(K834="","",_xlfn.XLOOKUP(K834,K$4:K833,R$4:R833,0,,-1)+IF($C834=" ",1,0))</f>
        <v>0</v>
      </c>
      <c r="S834" s="404"/>
      <c r="T834" s="378"/>
      <c r="U834" s="378"/>
      <c r="V834" s="404"/>
      <c r="W834" s="378"/>
      <c r="X834" s="453"/>
      <c r="Y834" s="383"/>
      <c r="Z834" s="384"/>
      <c r="AA834" s="384"/>
      <c r="AB834" s="384"/>
      <c r="AC834" s="384"/>
      <c r="AD834" s="240">
        <f>((L833/(L833-1)-1))</f>
        <v>0.28571428571428581</v>
      </c>
      <c r="AE834" s="190">
        <f>IF(L834="","",(SUM(((L832-1)*(1-_xlfn.XLOOKUP(K832,'Fevereiro 2023 - Valor Real'!A3:A15,'Fevereiro 2023 - Valor Real'!C3:C15,0))+1),((L833-1)*(1-_xlfn.XLOOKUP(K833,'Fevereiro 2023 - Valor Real'!A3:A15,'Fevereiro 2023 - Valor Real'!C3:C15,0))+1),((L834-1)*(1-_xlfn.XLOOKUP(K834,'Fevereiro 2023 - Valor Real'!A3:A15,'Fevereiro 2023 - Valor Real'!C3:C15,0))+1))/((L834-1)*(1-_xlfn.XLOOKUP(K834,'Fevereiro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Real'!C3:C15,0))+1))/((L832-1)*(1-_xlfn.XLOOKUP(K832,'Fevereiro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Real'!C3:C15,0))+1))/((L833-1)*(1-_xlfn.XLOOKUP(K833,'Fevereiro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Real'!C3:C15,0))+1))/((L834-1)*(1-_xlfn.XLOOKUP(K834,'Fevereiro 2023 - Valor Real'!A3:A15,'Fevereiro 2023 - Valor Real'!C3:C15,0))+1)))</f>
        <v>0.17191011235955056</v>
      </c>
      <c r="AF834" s="66">
        <f t="shared" ref="AF834:AR843" si="1663">IF($K834=AF$3,ROUND(IF(OR($C834="W",$C834="1/2W",$C834="1/2L"),$P834-$O834,IF($C834="X",0,-$O834)),2),0)</f>
        <v>-3.89</v>
      </c>
      <c r="AG834" s="67">
        <f t="shared" si="1663"/>
        <v>0</v>
      </c>
      <c r="AH834" s="67">
        <f t="shared" si="1663"/>
        <v>0</v>
      </c>
      <c r="AI834" s="67">
        <f t="shared" si="1663"/>
        <v>0</v>
      </c>
      <c r="AJ834" s="67">
        <f t="shared" si="1663"/>
        <v>0</v>
      </c>
      <c r="AK834" s="67">
        <f t="shared" si="1663"/>
        <v>0</v>
      </c>
      <c r="AL834" s="67">
        <f t="shared" si="1663"/>
        <v>0</v>
      </c>
      <c r="AM834" s="67">
        <f t="shared" si="1663"/>
        <v>0</v>
      </c>
      <c r="AN834" s="67">
        <f t="shared" si="1663"/>
        <v>0</v>
      </c>
      <c r="AO834" s="67">
        <f t="shared" si="1663"/>
        <v>0</v>
      </c>
      <c r="AP834" s="67">
        <f t="shared" si="1663"/>
        <v>0</v>
      </c>
      <c r="AQ834" s="67">
        <f t="shared" si="1663"/>
        <v>0</v>
      </c>
      <c r="AR834" s="68">
        <f t="shared" si="1663"/>
        <v>0</v>
      </c>
      <c r="AS834" s="66">
        <f>IF(AND($B832=" ",$K834=AS$3),$O834,0)</f>
        <v>0</v>
      </c>
      <c r="AT834" s="67">
        <f>IF(AND($B832=" ",K834=AT$3),$O834,0)</f>
        <v>0</v>
      </c>
      <c r="AU834" s="67">
        <f t="shared" ref="AU834:BE834" si="1664">IF(AND($B832=" ",$K834=AU$3),$O834,0)</f>
        <v>0</v>
      </c>
      <c r="AV834" s="67">
        <f t="shared" si="1664"/>
        <v>0</v>
      </c>
      <c r="AW834" s="67">
        <f t="shared" si="1664"/>
        <v>0</v>
      </c>
      <c r="AX834" s="67">
        <f t="shared" si="1664"/>
        <v>0</v>
      </c>
      <c r="AY834" s="69">
        <f t="shared" si="1664"/>
        <v>0</v>
      </c>
      <c r="AZ834" s="70">
        <f t="shared" si="1664"/>
        <v>0</v>
      </c>
      <c r="BA834" s="70">
        <f t="shared" si="1664"/>
        <v>0</v>
      </c>
      <c r="BB834" s="70">
        <f t="shared" si="1664"/>
        <v>0</v>
      </c>
      <c r="BC834" s="71">
        <f t="shared" si="1664"/>
        <v>0</v>
      </c>
      <c r="BD834" s="67">
        <f t="shared" si="1664"/>
        <v>0</v>
      </c>
      <c r="BE834" s="68">
        <f t="shared" si="1664"/>
        <v>0</v>
      </c>
      <c r="BF834" s="66">
        <f t="shared" ref="BF834:BR843" si="1665">IF($K834=BF$3,IF($C834="X",0,$O834),0)</f>
        <v>3.89</v>
      </c>
      <c r="BG834" s="67">
        <f t="shared" si="1665"/>
        <v>0</v>
      </c>
      <c r="BH834" s="67">
        <f t="shared" si="1665"/>
        <v>0</v>
      </c>
      <c r="BI834" s="67">
        <f t="shared" si="1665"/>
        <v>0</v>
      </c>
      <c r="BJ834" s="67">
        <f t="shared" si="1665"/>
        <v>0</v>
      </c>
      <c r="BK834" s="67">
        <f t="shared" si="1665"/>
        <v>0</v>
      </c>
      <c r="BL834" s="67">
        <f t="shared" si="1665"/>
        <v>0</v>
      </c>
      <c r="BM834" s="69">
        <f t="shared" si="1665"/>
        <v>0</v>
      </c>
      <c r="BN834" s="70">
        <f t="shared" si="1665"/>
        <v>0</v>
      </c>
      <c r="BO834" s="70">
        <f t="shared" si="1665"/>
        <v>0</v>
      </c>
      <c r="BP834" s="70">
        <f t="shared" si="1665"/>
        <v>0</v>
      </c>
      <c r="BQ834" s="71">
        <f t="shared" si="1665"/>
        <v>0</v>
      </c>
      <c r="BR834" s="68">
        <f t="shared" si="1665"/>
        <v>0</v>
      </c>
      <c r="BS834" s="464"/>
      <c r="BT834" s="461"/>
      <c r="BU834" s="392"/>
      <c r="BV834" s="461"/>
      <c r="BW834" s="392"/>
      <c r="BX834" s="392"/>
      <c r="BY834" s="392"/>
      <c r="BZ834" s="461"/>
      <c r="CA834" s="392"/>
      <c r="CB834" s="392"/>
      <c r="CC834" s="392"/>
      <c r="CD834" s="401"/>
      <c r="CE834" s="409"/>
      <c r="CF834" s="236">
        <f t="shared" si="1540"/>
        <v>0</v>
      </c>
      <c r="CG834" s="237">
        <f t="shared" si="1541"/>
        <v>1</v>
      </c>
      <c r="CH834" s="237">
        <f t="shared" si="1542"/>
        <v>0</v>
      </c>
      <c r="CI834" s="237">
        <f t="shared" si="1543"/>
        <v>0</v>
      </c>
      <c r="CJ834" s="237">
        <f t="shared" si="1544"/>
        <v>0</v>
      </c>
      <c r="CK834" s="237">
        <f t="shared" si="1545"/>
        <v>0</v>
      </c>
      <c r="CL834" s="237">
        <f t="shared" si="1546"/>
        <v>0</v>
      </c>
      <c r="CM834" s="237">
        <f t="shared" si="1547"/>
        <v>0</v>
      </c>
      <c r="CN834" s="237">
        <f t="shared" si="1548"/>
        <v>0</v>
      </c>
      <c r="CO834" s="237">
        <f t="shared" si="1549"/>
        <v>0</v>
      </c>
      <c r="CP834" s="237">
        <f t="shared" si="1550"/>
        <v>0</v>
      </c>
      <c r="CQ834" s="237">
        <f t="shared" si="1551"/>
        <v>0</v>
      </c>
      <c r="CR834" s="237">
        <f t="shared" si="1552"/>
        <v>0</v>
      </c>
      <c r="CS834" s="237">
        <f t="shared" si="1553"/>
        <v>0</v>
      </c>
      <c r="CT834" s="75">
        <f t="shared" si="1554"/>
        <v>0</v>
      </c>
      <c r="CU834" s="76">
        <f t="shared" si="1555"/>
        <v>0</v>
      </c>
      <c r="CV834" s="76">
        <f t="shared" si="1556"/>
        <v>0</v>
      </c>
      <c r="CW834" s="76">
        <f t="shared" si="1557"/>
        <v>0</v>
      </c>
      <c r="CX834" s="76">
        <f t="shared" si="1558"/>
        <v>0</v>
      </c>
      <c r="CY834" s="76">
        <f t="shared" si="1559"/>
        <v>0</v>
      </c>
      <c r="CZ834" s="76">
        <f t="shared" si="1560"/>
        <v>0</v>
      </c>
      <c r="DA834" s="76">
        <f t="shared" si="1561"/>
        <v>0</v>
      </c>
      <c r="DB834" s="76">
        <f t="shared" si="1562"/>
        <v>0</v>
      </c>
      <c r="DC834" s="76">
        <f t="shared" si="1563"/>
        <v>0</v>
      </c>
      <c r="DD834" s="76">
        <f t="shared" si="1564"/>
        <v>0</v>
      </c>
      <c r="DE834" s="77">
        <f t="shared" si="1565"/>
        <v>0</v>
      </c>
      <c r="DF834" s="73">
        <f t="shared" si="1567"/>
        <v>47</v>
      </c>
      <c r="DG834" s="67">
        <f t="shared" si="1568"/>
        <v>62.775999999999989</v>
      </c>
      <c r="DH834" s="76">
        <f t="shared" si="1569"/>
        <v>18</v>
      </c>
      <c r="DI834" s="67">
        <f t="shared" si="1570"/>
        <v>76.899999999999991</v>
      </c>
      <c r="DJ834" s="202" t="str">
        <f>IF($D832="","",$D832)</f>
        <v>28</v>
      </c>
      <c r="DK834" s="466"/>
    </row>
    <row r="835" spans="1:115" ht="14.5" customHeight="1" x14ac:dyDescent="0.2">
      <c r="A835" s="459">
        <f>$A832+1</f>
        <v>278</v>
      </c>
      <c r="B835" s="507" t="str">
        <f>IF(OR(C835="W",C836="W",C837="W",C835="1/2W",C836="1/2W",C837="1/2W",C835="1/2L",C836="1/2L",C837="1/2L"),"OK",IF(OR(C835="L",C836="L",C837="L"),"LOSS",IF(OR(C835="X",C836="X",C837="X"),"Anulado"," ")))</f>
        <v>OK</v>
      </c>
      <c r="C835" s="93" t="s">
        <v>55</v>
      </c>
      <c r="D835" s="468" t="str">
        <f>IF(G835="","",$D832)</f>
        <v>28</v>
      </c>
      <c r="E835" s="485" t="str">
        <f>IF(G835=""," ","– "&amp;COUNTIF(D$4:D837,$D835))</f>
        <v>– 9</v>
      </c>
      <c r="F835" s="509" t="str">
        <f ca="1">IF(G835="","",IF(OR(AND($C835&lt;&gt;" ",$C836=" "),AND($C836&lt;&gt;" ",$C835=" "),AND(L837&gt;0,OR(AND($C837&lt;&gt;" ",OR($C835=" ",$C836=" ")),AND($C837=" ",OR($C835&lt;&gt;" ",$C836&lt;&gt;" "))))),IF(SUM(F$4:F834)=0,1,LARGE(F$4:F834,1)+1),IF(MONTH(G835)=MONTH(TODAY()),IF(AND(DAY(G835)&lt;DAY(TODAY()),$B835=" "),IF(SUM(F$4:F834)=0,1,LARGE(F$4:F834,1)+1),IF($B835=" ",IF(AND(DAY(G835)=DAY(TODAY()),HOUR(G835)&lt;=HOUR(NOW())+1),IF(AND(HOUR(G835)+2&lt;=HOUR(NOW()),DAY(G835)&lt;=DAY(TODAY()),MINUTE(G835)&lt;=MINUTE(NOW())),IF(SUM(F$4:F834)=0,1,LARGE(F$4:F834,1)+1),IF(OR(MINUTE(G835)&lt;=MINUTE(NOW()),HOUR(G835)&lt;=HOUR(NOW())),"!!!","")),""),"")),"")))</f>
        <v/>
      </c>
      <c r="G835" s="482">
        <f>IF(H835="","",_xlfn.XLOOKUP(H835,$H$4:H834,$G$4:G834,""))</f>
        <v>45013.65625</v>
      </c>
      <c r="H835" s="475" t="s">
        <v>281</v>
      </c>
      <c r="I835" s="94" t="s">
        <v>66</v>
      </c>
      <c r="J835" s="95">
        <v>-1</v>
      </c>
      <c r="K835" s="96" t="s">
        <v>40</v>
      </c>
      <c r="L835" s="97">
        <v>2.5</v>
      </c>
      <c r="M835" s="98"/>
      <c r="N835" s="478">
        <v>0.1</v>
      </c>
      <c r="O835" s="99">
        <f>IF(OR(AE835="",AE836=""),"",ROUND(IF(L837&gt;0,IF(M835&gt;0,M835,IF(M836&gt;0,ROUND((M836*AE835)/AE836,IF(N835=0,2,IF(N835=0.1,1,0))),ROUND((M837*AE835)/AE837,IF(N835=0,2,IF(N835=0.1,1,0))))),IF(M835&gt;0,M835,ROUND((M836*AE835)/AE836,IF(N835=0,2,IF(N835=0.1,1,0))))),2))</f>
        <v>14.4</v>
      </c>
      <c r="P835" s="100">
        <f>IF(OR(L835="",O835=""),"",IF($C835="1/2W",O835/2+O835/2*L835,IF($C835="1/2L",O835/2,IF(I835="Lay",(O835*(L835/(L835-1))-O835)*(1-_xlfn.XLOOKUP(K835,'Fevereiro 2023 - Valor Real'!A3:A15,'Fevereiro 2023 - Valor Real'!C3:C15,0))+O835,(O835*L835-O835)*(1-_xlfn.XLOOKUP(K835,'Fevereiro 2023 - Valor Real'!A3:A15,'Fevereiro 2023 - Valor Real'!C3:C15,0))+O835))))</f>
        <v>36</v>
      </c>
      <c r="Q835" s="101">
        <f>IF(K835="","",IF(_xlfn.XLOOKUP(K835,K$4:K834,$DJ$4:DJ834,0,,-1)=DJ835,_xlfn.XLOOKUP(K835,K$4:K834,Q$4:Q834,1,,-1)+1,1))</f>
        <v>10</v>
      </c>
      <c r="R835" s="102">
        <f>IF(K835="","",_xlfn.XLOOKUP(K835,K$4:K834,R$4:R834,0,,-1)+IF($C835=" ",1,0))</f>
        <v>0</v>
      </c>
      <c r="S835" s="474">
        <f>IF($B835="Anulado",0,ROUND(IF(OR($B835="LOSS",$B835="OK"),IF(OR($C835="W",$C835="1/2W",$C835="1/2L"),P835-O835,IF($C835="L",-O835,0))+IF(OR($C836="W",$C836="1/2W",$C836="1/2L"),P836-O836,IF($C836="L",-O836,0))+IF(OR($C837="W",$C837="1/2W",$C837="1/2L"),P837-O837,IF($C837="L",-O837,0)),IF(AND(OR($C835="W",$C835="1/2W",$C835="1/2L"),C836="W"),P835+P836-SUM(O835:O837)+_xlfn.XLOOKUP("X",C835:C837,O835:O837,0),IF(AND(C835=TRUE,C837="W"),P835+P837-SUM(O835:O837),IF(AND(C836="W",C837="W"),P836+P837-SUM(O835:O837)+_xlfn.XLOOKUP("X",C835:C837,O835:O837,0),IF(L837&gt;0,IF(OR($C835="W",$C835="1/2W",$C835="1/2L"),P835-SUM(O835:O837)+_xlfn.XLOOKUP("X",C835:C837,O835:O837,0),IF(OR($C835="W",$C835="1/2W",$C835="1/2L"),P836-SUM(O835:O837)+_xlfn.XLOOKUP("X",C835:C837,O835:O837,0),IF(OR($C835="W",$C835="1/2W",$C835="1/2L"),P837-SUM(O835:O837)+_xlfn.XLOOKUP("X",C835:C837,O835:O837,0),IF(SUM(P835:P837)/3-SUM(O835:O837)+_xlfn.XLOOKUP("X",C835:C837,O835:O837,0)&gt;0,SUM(P835:P837)/3-SUM(O835:O837)+_xlfn.XLOOKUP("X",C835:C837,O835:O837,0),LARGE(P835:P837,1)-SUM(O835:O837))))),IF(OR($C835="W",$C835="1/2W",$C835="1/2L"),P835-SUM(O835:O836)+_xlfn.XLOOKUP("X",C835:C837,O835:O837,0),IF(OR($C835="W",$C835="1/2W",$C835="1/2L"),P836-SUM(O835:O836)+_xlfn.XLOOKUP("X",C835:C837,O835:O837,0),SUM(P835:P836)/2-SUM(O835:O836)+_xlfn.XLOOKUP("X",C835:C837,O835:O837,0)))))))),2))</f>
        <v>3.1</v>
      </c>
      <c r="T835" s="458">
        <f>IF(S835=0,0,S835/SUM(O835:O837))</f>
        <v>9.4454600853138337E-2</v>
      </c>
      <c r="U835" s="470">
        <f>IF($D835=$D832,IF(OR($B835="LOSS",$B835="OK",$B835="Anulada"),S835,0)+U832,IF(OR($B835="LOSS",$B835="OK",$B835="Anulada"),S835,0))</f>
        <v>7.18</v>
      </c>
      <c r="V835" s="470">
        <f>IF($D835="",0,IF($D835=$D832,IF($B835=" ",IF(I837="",IF(OR(AND(I835="DNB1",I836="DNB2"),AND(OR(I835="DNB1",I835="DNB2"),J836=0),AND(OR(I836="DNB1",I836="DNB2"),J835=0),AND(I835="DNB2",I836="DNB1"),AND(IF(J835=0,(J835+1)/ROUND(J835+1,0),J835/ROUND(J835,0))=1,IF(J836=0,(J836+1)/ROUND(IF(J836="",0,J836)+1,0),IF(J836="",0,J836)/ROUND(IF(J836="",1,J836),0))=1,OR(J835&lt;&gt;""),J836&lt;&gt;"")),0,IF(S835&lt;0,IF(I837="",SMALL(P835:P836,1)-SUM(O835:O836),0),SMALL(P835:P836,1)-SUM(O835:O836))),IF(S835&lt;0,IF(I837="",SMALL(P835:P837,1)-SUM(O835:O837),0),LARGE(P835:P837,1)-SUM(O835:O837))),S835)+V832,IF(I837="",IF(OR(AND(I835="DNB1",I836="DNB2"),AND(OR(I835="DNB1",I835="DNB2"),J836=0),AND(OR(I836="DNB1",I836="DNB2"),J835=0),AND(I835="DNB2",I836="DNB1"),AND(IF(J835=0,(J835+1)/ROUND(J835+1,0),J835/ROUND(J835,0))=1,IF(J836=0,(IF(J836="",0,J836)+1)/ROUND(IF(J836="",0,J836)+1,0),IF(J836="",0,J836)/ROUND(IF(J836="",0,J836)+1,0))=1,OR(J835&lt;&gt;""),J836&lt;&gt;"")),0,IF(S835&lt;0,IF(I837="",SMALL(P835:P836,1)-SUM(O835:O836),0),SMALL(P835:P837,1)-SUM(O835:O837))),IF(S835&lt;0,IF(I837="",SMALL(P835:P837,1)-SUM(O835:O837),0),LARGE(P835:P837,1)-SUM(O835:O837)))))</f>
        <v>7.1479999999999961</v>
      </c>
      <c r="W835" s="470">
        <f>IF($D835=$D832,IF(S835&lt;0,IF(I837="",S835,0),S835)+W832,S835)</f>
        <v>19.3</v>
      </c>
      <c r="X835" s="480" t="str">
        <f>IF(OR(SUM(R835:R837)=0,V835=W835),ROUND(IF(W835=0,0,W835/Y835)*100,2)&amp;"%",ROUND(IF(V835=0,0,V835/Y835)*100,2)&amp;"% a "&amp;ROUND(IF(W835=0,0,W835/Y835)*100,2)&amp;"%")</f>
        <v>6,95%</v>
      </c>
      <c r="Y835" s="471">
        <f>IF($D835=$D832,Y832+SUM(O835:O837),SUM(O835:O837))</f>
        <v>277.71000000000004</v>
      </c>
      <c r="Z835" s="470">
        <f>IF($B835=" ",SUM(O835:O837),0)+Z832</f>
        <v>0</v>
      </c>
      <c r="AA835" s="470">
        <f>IF(G835="","",IF($B835="Anulado",LARGE(P835:P837,1)-SUM(O835:O837)+AA832,AA832))</f>
        <v>13.381099999999991</v>
      </c>
      <c r="AB835" s="470">
        <f>IF($D835="","",AB832+S835)</f>
        <v>902.19000000000074</v>
      </c>
      <c r="AC835" s="472">
        <f ca="1">IF($D835="","",IF($B835=" ",IF(DAY(G835)=DAY(TODAY()),1+AC832,0+AC832),0+AC832))</f>
        <v>0</v>
      </c>
      <c r="AD835" s="103">
        <f>(((L836/(L836-1)-1)*(1-_xlfn.XLOOKUP(K836,'Fevereiro 2023 - Valor Real'!A3:A15,'Fevereiro 2023 - Valor Real'!C3:C15,0))+1))/(((L835-1)*(1-_xlfn.XLOOKUP(K835,'Fevereiro 2023 - Valor Real'!A3:A15,'Fevereiro 2023 - Valor Real'!C3:C15,0))+1)+((L836/(L836-1)-1)*(1-_xlfn.XLOOKUP(K836,'Fevereiro 2023 - Valor Real'!A3:A15,'Fevereiro 2023 - Valor Real'!C3:C15,0))+1))</f>
        <v>0.45086705202312144</v>
      </c>
      <c r="AE835" s="104">
        <f>IF(L835="","",IF(L837&gt;0,(SUM(((L835-1)*(1-_xlfn.XLOOKUP(K835,'Fevereiro 2023 - Valor Real'!A3:A15,'Fevereiro 2023 - Valor Real'!C3:C15,0))+1),((L836-1)*(1-_xlfn.XLOOKUP(K836,'Fevereiro 2023 - Valor Real'!A3:A15,'Fevereiro 2023 - Valor Real'!C3:C15,0))+1),((L837-1)*(1-_xlfn.XLOOKUP(K837,'Fevereiro 2023 - Valor Real'!A3:A15,'Fevereiro 2023 - Valor Real'!C3:C15,0))+1))/((L835-1)*(1-_xlfn.XLOOKUP(K835,'Fevereiro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Real'!C3:C15,0))+1))/((L835-1)*(1-_xlfn.XLOOKUP(K835,'Fevereiro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Real'!C3:C15,0))+1))/((L836-1)*(1-_xlfn.XLOOKUP(K836,'Fevereiro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Real'!C3:C15,0))+1))/((L837-1)*(1-_xlfn.XLOOKUP(K837,'Fevereiro 2023 - Valor Real'!A3:A15,'Fevereiro 2023 - Valor Real'!C3:C15,0))+1)),IF(I835="Lay",IF(I836="Lay",((L836/(L836-1)-1)*(1-_xlfn.XLOOKUP(K836,'Fevereiro 2023 - Valor Real'!A3:A15,'Fevereiro 2023 - Valor Real'!C3:C15,0))+1)/(((L836/(L836-1)-1)*(1-_xlfn.XLOOKUP(K836,'Fevereiro 2023 - Valor Real'!A3:A15,'Fevereiro 2023 - Valor Real'!C3:C15,0))+1)+((L835/(L835-1)-1)*(1-_xlfn.XLOOKUP(K835,'Fevereiro 2023 - Valor Real'!A3:A15,'Fevereiro 2023 - Valor Real'!C3:C15,0))+1)),((L836-1)*(1-_xlfn.XLOOKUP(K836,'Fevereiro 2023 - Valor Real'!A3:A15,'Fevereiro 2023 - Valor Real'!C3:C15,0))+1)/(((L836-1)*(1-_xlfn.XLOOKUP(K836,'Fevereiro 2023 - Valor Real'!A3:A15,'Fevereiro 2023 - Valor Real'!C3:C15,0))+1)+((L835/(L835-1)-1)*(1-_xlfn.XLOOKUP(K835,'Fevereiro 2023 - Valor Real'!A3:A15,'Fevereiro 2023 - Valor Real'!C3:C15,0))+1))),IF(I836="Lay",(((L836/(L836-1)-1)*(1-_xlfn.XLOOKUP(K836,'Fevereiro 2023 - Valor Real'!A3:A15,'Fevereiro 2023 - Valor Real'!C3:C15,0))+1))/(((L835-1)*(1-_xlfn.XLOOKUP(K835,'Fevereiro 2023 - Valor Real'!A3:A15,'Fevereiro 2023 - Valor Real'!C3:C15,0))+1)+((L836/(L836-1)-1)*(1-_xlfn.XLOOKUP(K836,'Fevereiro 2023 - Valor Real'!A3:A15,'Fevereiro 2023 - Valor Real'!C3:C15,0))+1)),((L836-1)*(1-_xlfn.XLOOKUP(K836,'Fevereiro 2023 - Valor Real'!A3:A15,'Fevereiro 2023 - Valor Real'!C3:C15,0))+1)/(((L836-1)*(1-_xlfn.XLOOKUP(K836,'Fevereiro 2023 - Valor Real'!A3:A15,'Fevereiro 2023 - Valor Real'!C3:C15,0))+1)+((L835-1)*(1-_xlfn.XLOOKUP(K835,'Fevereiro 2023 - Valor Real'!A3:A15,'Fevereiro 2023 - Valor Real'!C3:C15,0))+1))))))</f>
        <v>0.4382022471910112</v>
      </c>
      <c r="AF835" s="105">
        <f t="shared" si="1663"/>
        <v>0</v>
      </c>
      <c r="AG835" s="106">
        <f t="shared" si="1663"/>
        <v>0</v>
      </c>
      <c r="AH835" s="106">
        <f t="shared" si="1663"/>
        <v>0</v>
      </c>
      <c r="AI835" s="106">
        <f t="shared" si="1663"/>
        <v>0</v>
      </c>
      <c r="AJ835" s="106">
        <f t="shared" si="1663"/>
        <v>-14.4</v>
      </c>
      <c r="AK835" s="106">
        <f t="shared" si="1663"/>
        <v>0</v>
      </c>
      <c r="AL835" s="106">
        <f t="shared" si="1663"/>
        <v>0</v>
      </c>
      <c r="AM835" s="106">
        <f t="shared" si="1663"/>
        <v>0</v>
      </c>
      <c r="AN835" s="106">
        <f t="shared" si="1663"/>
        <v>0</v>
      </c>
      <c r="AO835" s="106">
        <f t="shared" si="1663"/>
        <v>0</v>
      </c>
      <c r="AP835" s="106">
        <f t="shared" si="1663"/>
        <v>0</v>
      </c>
      <c r="AQ835" s="106">
        <f t="shared" si="1663"/>
        <v>0</v>
      </c>
      <c r="AR835" s="107">
        <f t="shared" si="1663"/>
        <v>0</v>
      </c>
      <c r="AS835" s="105">
        <f t="shared" ref="AS835:BE835" si="1666">IF(AND($B835=" ",$K835=AS$3),$O835,0)</f>
        <v>0</v>
      </c>
      <c r="AT835" s="106">
        <f t="shared" si="1666"/>
        <v>0</v>
      </c>
      <c r="AU835" s="106">
        <f t="shared" si="1666"/>
        <v>0</v>
      </c>
      <c r="AV835" s="106">
        <f t="shared" si="1666"/>
        <v>0</v>
      </c>
      <c r="AW835" s="106">
        <f t="shared" si="1666"/>
        <v>0</v>
      </c>
      <c r="AX835" s="106">
        <f t="shared" si="1666"/>
        <v>0</v>
      </c>
      <c r="AY835" s="108">
        <f t="shared" si="1666"/>
        <v>0</v>
      </c>
      <c r="AZ835" s="109">
        <f t="shared" si="1666"/>
        <v>0</v>
      </c>
      <c r="BA835" s="109">
        <f t="shared" si="1666"/>
        <v>0</v>
      </c>
      <c r="BB835" s="109">
        <f t="shared" si="1666"/>
        <v>0</v>
      </c>
      <c r="BC835" s="110">
        <f t="shared" si="1666"/>
        <v>0</v>
      </c>
      <c r="BD835" s="106">
        <f t="shared" si="1666"/>
        <v>0</v>
      </c>
      <c r="BE835" s="107">
        <f t="shared" si="1666"/>
        <v>0</v>
      </c>
      <c r="BF835" s="111">
        <f t="shared" si="1665"/>
        <v>0</v>
      </c>
      <c r="BG835" s="106">
        <f t="shared" si="1665"/>
        <v>0</v>
      </c>
      <c r="BH835" s="106">
        <f t="shared" si="1665"/>
        <v>0</v>
      </c>
      <c r="BI835" s="106">
        <f t="shared" si="1665"/>
        <v>0</v>
      </c>
      <c r="BJ835" s="106">
        <f t="shared" si="1665"/>
        <v>14.4</v>
      </c>
      <c r="BK835" s="106">
        <f t="shared" si="1665"/>
        <v>0</v>
      </c>
      <c r="BL835" s="106">
        <f t="shared" si="1665"/>
        <v>0</v>
      </c>
      <c r="BM835" s="108">
        <f t="shared" si="1665"/>
        <v>0</v>
      </c>
      <c r="BN835" s="109">
        <f t="shared" si="1665"/>
        <v>0</v>
      </c>
      <c r="BO835" s="109">
        <f t="shared" si="1665"/>
        <v>0</v>
      </c>
      <c r="BP835" s="109">
        <f t="shared" si="1665"/>
        <v>0</v>
      </c>
      <c r="BQ835" s="110">
        <f t="shared" si="1665"/>
        <v>0</v>
      </c>
      <c r="BR835" s="107">
        <f t="shared" si="1665"/>
        <v>0</v>
      </c>
      <c r="BS835" s="463">
        <f>IF($B835="LOSS",IF(AND($K835=BS$3,$C835="L"),-$O835,0)+IF(AND($K836=BS$3,$C836="L"),-$O836,0)+IF(AND($K837=BS$3,$C837="L"),-$O837,0),IF(OR(AND($K835=BS$3,OR($C835="W",$C835="1/2W")),AND($K836=BS$3,OR($C836="W",$C836="1/2W")),AND($K837=BS$3,OR($C837="W",$C837="1/2W"))),$S835,0))</f>
        <v>3.1</v>
      </c>
      <c r="BT835" s="462">
        <f>IF($B835="LOSS",IF(AND($K835=BT$3,$C835="L"),-$O835,0)+IF(AND($K836=BT$3,$C836="L"),-$O836,0)+IF(AND($K836=BT$3,$C837="L"),-$O837,0),IF(OR(AND($K836=BT$3,OR($C835="W",$C835="1/2W")),AND($K836=BT$3,OR($C836="W",$C836="1/2W")),AND($K836=BT$3,OR($C837="W",$C837="1/2W"))),$S835,0))</f>
        <v>0</v>
      </c>
      <c r="BU835" s="462">
        <f>IF($B835="LOSS",IF(AND($K835=BU$3,$C835="L"),-$O835,0)+IF(AND($K836=BU$3,$C836="L"),-$O836,0)+IF(AND($K836=BU$3,$C837="L"),-$O837,0),IF(OR(AND($K836=BU$3,OR($C835="W",$C835="1/2W")),AND($K836=BU$3,OR($C836="W",$C836="1/2W")),AND($K836=BU$3,OR($C837="W",$C837="1/2W"))),$S835,0))</f>
        <v>0</v>
      </c>
      <c r="BV835" s="462">
        <f t="shared" ref="BV835:CE835" si="1667">IF($B835="LOSS",IF(AND($K835=BV$3,$C835="L"),-$O835,0)+IF(AND($K836=BV$3,$C836="L"),-$O836,0)+IF(AND($K837=BV$3,$C837="L"),-$O837,0),IF(OR(AND($K835=BV$3,OR($C835="W",$C835="1/2W")),AND($K836=BV$3,OR($C836="W",$C836="1/2W")),AND($K837=BV$3,OR($C837="W",$C837="1/2W"))),$S835,0))</f>
        <v>0</v>
      </c>
      <c r="BW835" s="462">
        <f t="shared" si="1667"/>
        <v>0</v>
      </c>
      <c r="BX835" s="462">
        <f t="shared" si="1667"/>
        <v>0</v>
      </c>
      <c r="BY835" s="462">
        <f t="shared" si="1667"/>
        <v>0</v>
      </c>
      <c r="BZ835" s="460">
        <f t="shared" si="1667"/>
        <v>0</v>
      </c>
      <c r="CA835" s="460">
        <f t="shared" si="1667"/>
        <v>0</v>
      </c>
      <c r="CB835" s="460">
        <f t="shared" si="1667"/>
        <v>0</v>
      </c>
      <c r="CC835" s="460">
        <f t="shared" si="1667"/>
        <v>0</v>
      </c>
      <c r="CD835" s="473">
        <f t="shared" si="1667"/>
        <v>0</v>
      </c>
      <c r="CE835" s="479">
        <f t="shared" si="1667"/>
        <v>0</v>
      </c>
      <c r="CF835" s="113">
        <f t="shared" si="1540"/>
        <v>0</v>
      </c>
      <c r="CG835" s="114">
        <f t="shared" si="1541"/>
        <v>0</v>
      </c>
      <c r="CH835" s="114">
        <f t="shared" si="1542"/>
        <v>0</v>
      </c>
      <c r="CI835" s="114">
        <f t="shared" si="1543"/>
        <v>0</v>
      </c>
      <c r="CJ835" s="114">
        <f t="shared" si="1544"/>
        <v>0</v>
      </c>
      <c r="CK835" s="114">
        <f t="shared" si="1545"/>
        <v>0</v>
      </c>
      <c r="CL835" s="114">
        <f t="shared" si="1546"/>
        <v>0</v>
      </c>
      <c r="CM835" s="114">
        <f t="shared" si="1547"/>
        <v>0</v>
      </c>
      <c r="CN835" s="114">
        <f t="shared" si="1548"/>
        <v>0</v>
      </c>
      <c r="CO835" s="114">
        <f t="shared" si="1549"/>
        <v>1</v>
      </c>
      <c r="CP835" s="114">
        <f t="shared" si="1550"/>
        <v>0</v>
      </c>
      <c r="CQ835" s="114">
        <f t="shared" si="1551"/>
        <v>0</v>
      </c>
      <c r="CR835" s="114">
        <f t="shared" si="1552"/>
        <v>0</v>
      </c>
      <c r="CS835" s="114">
        <f t="shared" si="1553"/>
        <v>0</v>
      </c>
      <c r="CT835" s="115">
        <f t="shared" si="1554"/>
        <v>0</v>
      </c>
      <c r="CU835" s="116">
        <f t="shared" si="1555"/>
        <v>0</v>
      </c>
      <c r="CV835" s="116">
        <f t="shared" si="1556"/>
        <v>0</v>
      </c>
      <c r="CW835" s="116">
        <f t="shared" si="1557"/>
        <v>0</v>
      </c>
      <c r="CX835" s="116">
        <f t="shared" si="1558"/>
        <v>0</v>
      </c>
      <c r="CY835" s="116">
        <f t="shared" si="1559"/>
        <v>0</v>
      </c>
      <c r="CZ835" s="116">
        <f t="shared" si="1560"/>
        <v>0</v>
      </c>
      <c r="DA835" s="116">
        <f t="shared" si="1561"/>
        <v>0</v>
      </c>
      <c r="DB835" s="116">
        <f t="shared" si="1562"/>
        <v>0</v>
      </c>
      <c r="DC835" s="116">
        <f t="shared" si="1563"/>
        <v>0</v>
      </c>
      <c r="DD835" s="116">
        <f t="shared" si="1564"/>
        <v>0</v>
      </c>
      <c r="DE835" s="117">
        <f t="shared" si="1565"/>
        <v>0</v>
      </c>
      <c r="DF835" s="118">
        <f t="shared" si="1567"/>
        <v>47</v>
      </c>
      <c r="DG835" s="106">
        <f t="shared" si="1568"/>
        <v>62.775999999999989</v>
      </c>
      <c r="DH835" s="116">
        <f t="shared" si="1569"/>
        <v>18</v>
      </c>
      <c r="DI835" s="106">
        <f t="shared" si="1570"/>
        <v>76.899999999999991</v>
      </c>
      <c r="DJ835" s="201" t="str">
        <f>IF($D835="","",$D835)</f>
        <v>28</v>
      </c>
      <c r="DK835" s="465">
        <f>IF(AND($B835=" ",$D835&lt;&gt;""),1,0)</f>
        <v>0</v>
      </c>
    </row>
    <row r="836" spans="1:115" ht="14.5" customHeight="1" x14ac:dyDescent="0.2">
      <c r="A836" s="389"/>
      <c r="B836" s="456"/>
      <c r="C836" s="120" t="s">
        <v>54</v>
      </c>
      <c r="D836" s="374"/>
      <c r="E836" s="386"/>
      <c r="F836" s="377"/>
      <c r="G836" s="483"/>
      <c r="H836" s="476"/>
      <c r="I836" s="121" t="s">
        <v>76</v>
      </c>
      <c r="J836" s="122">
        <f>IF(OR(I835="TO",I835="TU",I835="TO1",I835="TU1",I835="TO2",I835="TU2"),J835,IF(OR(I835="AH1",I835="AH2"),IF(OR(I836="AH1",I836="AH2"),-J835,IF(OR(I836="EH1",I836="EH2"),-J835+0.5,"")),IF(OR(I835="EH1",I835="EH2"),IF(OR(I836="AH1",I836="AH2"),-J835+0.5,IF(OR(I836="EH1",I836="EH2"),-J835+1,"")),IF(AND(OR(I835="DNB1",I835="DNB2"),OR(I836="AH1",I836="AH2")),0,IF(AND(I835="Not ScoreBoth",OR(I836="TO1",I836="TO2")),0.5,"")))))</f>
        <v>1</v>
      </c>
      <c r="K836" s="123" t="s">
        <v>36</v>
      </c>
      <c r="L836" s="124">
        <v>1.95</v>
      </c>
      <c r="M836" s="125">
        <v>18.420000000000002</v>
      </c>
      <c r="N836" s="406"/>
      <c r="O836" s="126">
        <f>IF(OR(AE835="",AE836=""),"",ROUND(IF(L837&gt;0,IF(M836&gt;0,M836,IF(M835&gt;0,IF(N835=TRUE,ROUND((M835*AE836)/AE835,0),(M835*AE836)/AE835),IF(M836&gt;0,ROUND(M836,IF(N835=0,2,IF(N835=0.1,1,0))),IF(M837&gt;0,ROUND(O837*AE836/AE837,IF(N835=0,2,IF(N835=0.1,1,0))),0)))),IF(M836&gt;0,M836,ROUND((M835*AE836)/AE835,IF(N835=0,2,IF(N835=0.1,1,0))))),2))</f>
        <v>18.420000000000002</v>
      </c>
      <c r="P836" s="127">
        <f>IF(OR(L836="",O836=""),"",IF($C836="1/2W",O836/2+O836/2*L836,IF($C836="1/2L",O836/2,IF(I836="Lay",((O836*(L836/(L836-1)))-O836)*(1-_xlfn.XLOOKUP(K836,'Fevereiro 2023 - Valor Real'!A3:A15,'Fevereiro 2023 - Valor Real'!C3:C15,0))+O836,(O836*L836-O836)*(1-_xlfn.XLOOKUP(K836,'Fevereiro 2023 - Valor Real'!A3:A15,'Fevereiro 2023 - Valor Real'!C3:C15,0))+O836))))</f>
        <v>35.919000000000004</v>
      </c>
      <c r="Q836" s="128">
        <f>IF(K836="","",IF(_xlfn.XLOOKUP(K836,K$4:K835,$DJ$4:DJ835,0,,-1)=DJ836,_xlfn.XLOOKUP(K836,K$4:K835,Q$4:Q835,1,,-1)+1,1))</f>
        <v>2</v>
      </c>
      <c r="R836" s="129">
        <f>IF(K836="","",_xlfn.XLOOKUP(K836,K$4:K835,R$4:R835,0,,-1)+IF($C836=" ",1,0))</f>
        <v>0</v>
      </c>
      <c r="S836" s="403"/>
      <c r="T836" s="380"/>
      <c r="U836" s="380"/>
      <c r="V836" s="481"/>
      <c r="W836" s="380"/>
      <c r="X836" s="452"/>
      <c r="Y836" s="383"/>
      <c r="Z836" s="384"/>
      <c r="AA836" s="384"/>
      <c r="AB836" s="384"/>
      <c r="AC836" s="384"/>
      <c r="AD836" s="130">
        <f>(((L836/(L836-1)-1)*(1-_xlfn.XLOOKUP(K836,'Fevereiro 2023 - Valor Real'!A3:A15,'Fevereiro 2023 - Valor Real'!C3:C15,0))+1))</f>
        <v>2.0526315789473686</v>
      </c>
      <c r="AE836" s="131">
        <f>IF(L836="","",IF(L837&gt;0,(SUM(((L835-1)*(1-_xlfn.XLOOKUP(K835,'Fevereiro 2023 - Valor Real'!A3:A15,'Fevereiro 2023 - Valor Real'!C3:C15,0))+1),((L836-1)*(1-_xlfn.XLOOKUP(K836,'Fevereiro 2023 - Valor Real'!A3:A15,'Fevereiro 2023 - Valor Real'!C3:C15,0))+1),((L837-1)*(1-_xlfn.XLOOKUP(K837,'Fevereiro 2023 - Valor Real'!A3:A15,'Fevereiro 2023 - Valor Real'!C3:C15,0))+1))/((L836-1)*(1-_xlfn.XLOOKUP(K836,'Fevereiro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Real'!C3:C15,0))+1))/((L835-1)*(1-_xlfn.XLOOKUP(K835,'Fevereiro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Real'!C3:C15,0))+1))/((L836-1)*(1-_xlfn.XLOOKUP(K836,'Fevereiro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Real'!C3:C15,0))+1))/((L837-1)*(1-_xlfn.XLOOKUP(K837,'Fevereiro 2023 - Valor Real'!A3:A15,'Fevereiro 2023 - Valor Real'!C3:C15,0))+1)),IF(I836="Lay",IF(I835="Lay",((L835/(L835-1)-1)*(1-_xlfn.XLOOKUP(K835,'Fevereiro 2023 - Valor Real'!A3:A15,'Fevereiro 2023 - Valor Real'!C3:C15,0))+1)/(((L835/(L835-1)-1)*(1-_xlfn.XLOOKUP(K835,'Fevereiro 2023 - Valor Real'!A3:A15,'Fevereiro 2023 - Valor Real'!C3:C15,0))+1)+((L836/(L836-1)-1)*(1-_xlfn.XLOOKUP(K836,'Fevereiro 2023 - Valor Real'!A3:A15,'Fevereiro 2023 - Valor Real'!C3:C15,0))+1)),((L835-1)*(1-_xlfn.XLOOKUP(K835,'Fevereiro 2023 - Valor Real'!A3:A15,'Fevereiro 2023 - Valor Real'!C3:C15,0))+1)/(((L835-1)*(1-_xlfn.XLOOKUP(K835,'Fevereiro 2023 - Valor Real'!A3:A15,'Fevereiro 2023 - Valor Real'!C3:C15,0))+1)+((L836/(L836-1)-1)*(1-_xlfn.XLOOKUP(K836,'Fevereiro 2023 - Valor Real'!A3:A15,'Fevereiro 2023 - Valor Real'!C3:C15,0))+1))),IF(I835="Lay",((L835/(L835-1)-1)*(1-_xlfn.XLOOKUP(K835,'Fevereiro 2023 - Valor Real'!A3:A15,'Fevereiro 2023 - Valor Real'!C3:C15,0))+1)/((((L835/(L835-1)-1)*(1-_xlfn.XLOOKUP(K835,'Fevereiro 2023 - Valor Real'!A3:A15,'Fevereiro 2023 - Valor Real'!C3:C15,0))+1))+((L836-1)*(1-_xlfn.XLOOKUP(K836,'Fevereiro 2023 - Valor Real'!A3:A15,'Fevereiro 2023 - Valor Real'!C3:C15,0))+1)),((L835-1)*(1-_xlfn.XLOOKUP(K835,'Fevereiro 2023 - Valor Real'!A3:A15,'Fevereiro 2023 - Valor Real'!C3:C15,0))+1)/(((L835-1)*(1-_xlfn.XLOOKUP(K835,'Fevereiro 2023 - Valor Real'!A3:A15,'Fevereiro 2023 - Valor Real'!C3:C15,0))+1)+((L836-1)*(1-_xlfn.XLOOKUP(K836,'Fevereiro 2023 - Valor Real'!A3:A15,'Fevereiro 2023 - Valor Real'!C3:C15,0))+1))))))</f>
        <v>0.56179775280898869</v>
      </c>
      <c r="AF836" s="105">
        <f t="shared" si="1663"/>
        <v>17.5</v>
      </c>
      <c r="AG836" s="106">
        <f t="shared" si="1663"/>
        <v>0</v>
      </c>
      <c r="AH836" s="106">
        <f t="shared" si="1663"/>
        <v>0</v>
      </c>
      <c r="AI836" s="106">
        <f t="shared" si="1663"/>
        <v>0</v>
      </c>
      <c r="AJ836" s="106">
        <f t="shared" si="1663"/>
        <v>0</v>
      </c>
      <c r="AK836" s="106">
        <f t="shared" si="1663"/>
        <v>0</v>
      </c>
      <c r="AL836" s="106">
        <f t="shared" si="1663"/>
        <v>0</v>
      </c>
      <c r="AM836" s="106">
        <f t="shared" si="1663"/>
        <v>0</v>
      </c>
      <c r="AN836" s="106">
        <f t="shared" si="1663"/>
        <v>0</v>
      </c>
      <c r="AO836" s="106">
        <f t="shared" si="1663"/>
        <v>0</v>
      </c>
      <c r="AP836" s="106">
        <f t="shared" si="1663"/>
        <v>0</v>
      </c>
      <c r="AQ836" s="106">
        <f t="shared" si="1663"/>
        <v>0</v>
      </c>
      <c r="AR836" s="107">
        <f t="shared" si="1663"/>
        <v>0</v>
      </c>
      <c r="AS836" s="105">
        <f>IF(AND($B835=" ",$K836=AS$3),$O836,0)</f>
        <v>0</v>
      </c>
      <c r="AT836" s="106">
        <f>IF(AND($B835=" ",K836=AT$3),$O836,0)</f>
        <v>0</v>
      </c>
      <c r="AU836" s="106">
        <f t="shared" ref="AU836:BE836" si="1668">IF(AND($B835=" ",$K836=AU$3),$O836,0)</f>
        <v>0</v>
      </c>
      <c r="AV836" s="106">
        <f t="shared" si="1668"/>
        <v>0</v>
      </c>
      <c r="AW836" s="106">
        <f t="shared" si="1668"/>
        <v>0</v>
      </c>
      <c r="AX836" s="106">
        <f t="shared" si="1668"/>
        <v>0</v>
      </c>
      <c r="AY836" s="108">
        <f t="shared" si="1668"/>
        <v>0</v>
      </c>
      <c r="AZ836" s="109">
        <f t="shared" si="1668"/>
        <v>0</v>
      </c>
      <c r="BA836" s="109">
        <f t="shared" si="1668"/>
        <v>0</v>
      </c>
      <c r="BB836" s="109">
        <f t="shared" si="1668"/>
        <v>0</v>
      </c>
      <c r="BC836" s="110">
        <f t="shared" si="1668"/>
        <v>0</v>
      </c>
      <c r="BD836" s="106">
        <f t="shared" si="1668"/>
        <v>0</v>
      </c>
      <c r="BE836" s="107">
        <f t="shared" si="1668"/>
        <v>0</v>
      </c>
      <c r="BF836" s="105">
        <f t="shared" si="1665"/>
        <v>18.420000000000002</v>
      </c>
      <c r="BG836" s="106">
        <f t="shared" si="1665"/>
        <v>0</v>
      </c>
      <c r="BH836" s="106">
        <f t="shared" si="1665"/>
        <v>0</v>
      </c>
      <c r="BI836" s="106">
        <f t="shared" si="1665"/>
        <v>0</v>
      </c>
      <c r="BJ836" s="106">
        <f t="shared" si="1665"/>
        <v>0</v>
      </c>
      <c r="BK836" s="106">
        <f t="shared" si="1665"/>
        <v>0</v>
      </c>
      <c r="BL836" s="106">
        <f t="shared" si="1665"/>
        <v>0</v>
      </c>
      <c r="BM836" s="132">
        <f t="shared" si="1665"/>
        <v>0</v>
      </c>
      <c r="BN836" s="112">
        <f t="shared" si="1665"/>
        <v>0</v>
      </c>
      <c r="BO836" s="112">
        <f t="shared" si="1665"/>
        <v>0</v>
      </c>
      <c r="BP836" s="112">
        <f t="shared" si="1665"/>
        <v>0</v>
      </c>
      <c r="BQ836" s="110">
        <f t="shared" si="1665"/>
        <v>0</v>
      </c>
      <c r="BR836" s="107">
        <f t="shared" si="1665"/>
        <v>0</v>
      </c>
      <c r="BS836" s="464"/>
      <c r="BT836" s="461"/>
      <c r="BU836" s="392"/>
      <c r="BV836" s="461"/>
      <c r="BW836" s="392"/>
      <c r="BX836" s="392"/>
      <c r="BY836" s="392"/>
      <c r="BZ836" s="461"/>
      <c r="CA836" s="392"/>
      <c r="CB836" s="392"/>
      <c r="CC836" s="392"/>
      <c r="CD836" s="401"/>
      <c r="CE836" s="409"/>
      <c r="CF836" s="133">
        <f t="shared" ref="CF836:CF899" si="1669">IF(CF$3=$K836,IF($C836="W",1,IF($C836="1/2W",0.5,0)),0)</f>
        <v>1</v>
      </c>
      <c r="CG836" s="134">
        <f t="shared" ref="CG836:CG899" si="1670">IF(CF$3=$K836,IF($C836="L",1,IF($C836="1/2L",0.5,0)),0)</f>
        <v>0</v>
      </c>
      <c r="CH836" s="134">
        <f t="shared" ref="CH836:CH899" si="1671">IF(CH$3=$K836,IF($C836="W",1,IF($C836="1/2W",0.5,0)),0)</f>
        <v>0</v>
      </c>
      <c r="CI836" s="134">
        <f t="shared" ref="CI836:CI899" si="1672">IF(CH$3=$K836,IF($C836="L",1,IF($C836="1/2L",0.5,0)),0)</f>
        <v>0</v>
      </c>
      <c r="CJ836" s="134">
        <f t="shared" ref="CJ836:CJ899" si="1673">IF(CJ$3=$K836,IF($C836="W",1,IF($C836="1/2W",0.5,0)),0)</f>
        <v>0</v>
      </c>
      <c r="CK836" s="134">
        <f t="shared" ref="CK836:CK899" si="1674">IF(CJ$3=$K836,IF($C836="L",1,IF($C836="1/2L",0.5,0)),0)</f>
        <v>0</v>
      </c>
      <c r="CL836" s="134">
        <f t="shared" ref="CL836:CL899" si="1675">IF(CL$3=$K836,IF($C836="W",1,IF($C836="1/2W",0.5,0)),0)</f>
        <v>0</v>
      </c>
      <c r="CM836" s="134">
        <f t="shared" ref="CM836:CM899" si="1676">IF(CL$3=$K836,IF($C836="L",1,IF($C836="1/2L",0.5,0)),0)</f>
        <v>0</v>
      </c>
      <c r="CN836" s="134">
        <f t="shared" ref="CN836:CN899" si="1677">IF(CN$3=$K836,IF($C836="W",1,IF($C836="1/2W",0.5,0)),0)</f>
        <v>0</v>
      </c>
      <c r="CO836" s="134">
        <f t="shared" ref="CO836:CO899" si="1678">IF(CN$3=$K836,IF($C836="L",1,IF($C836="1/2L",0.5,0)),0)</f>
        <v>0</v>
      </c>
      <c r="CP836" s="134">
        <f t="shared" ref="CP836:CP899" si="1679">IF(CP$3=$K836,IF($C836="W",1,IF($C836="1/2W",0.5,0)),0)</f>
        <v>0</v>
      </c>
      <c r="CQ836" s="134">
        <f t="shared" ref="CQ836:CQ899" si="1680">IF(CP$3=$K836,IF($C836="L",1,IF($C836="1/2L",0.5,0)),0)</f>
        <v>0</v>
      </c>
      <c r="CR836" s="134">
        <f t="shared" ref="CR836:CR899" si="1681">IF(CR$3=$K836,IF($C836="W",1,IF($C836="1/2W",0.5,0)),0)</f>
        <v>0</v>
      </c>
      <c r="CS836" s="134">
        <f t="shared" ref="CS836:CS899" si="1682">IF(CR$3=$K836,IF($C836="L",1,IF($C836="1/2L",0.5,0)),0)</f>
        <v>0</v>
      </c>
      <c r="CT836" s="115">
        <f t="shared" ref="CT836:CT899" si="1683">IF(CT$3=$K836,IF($C836="W",1,IF($C836="1/2W",0.5,0)),0)</f>
        <v>0</v>
      </c>
      <c r="CU836" s="116">
        <f t="shared" ref="CU836:CU899" si="1684">IF(CT$3=$K836,IF($C836="L",1,IF($C836="1/2L",0.5,0)),0)</f>
        <v>0</v>
      </c>
      <c r="CV836" s="116">
        <f t="shared" ref="CV836:CV899" si="1685">IF(CV$3=$K836,IF($C836="W",1,IF($C836="1/2W",0.5,0)),0)</f>
        <v>0</v>
      </c>
      <c r="CW836" s="116">
        <f t="shared" ref="CW836:CW899" si="1686">IF(CV$3=$K836,IF($C836="L",1,IF($C836="1/2L",0.5,0)),0)</f>
        <v>0</v>
      </c>
      <c r="CX836" s="116">
        <f t="shared" ref="CX836:CX899" si="1687">IF(CX$3=$K836,IF($C836="W",1,IF($C836="1/2W",0.5,0)),0)</f>
        <v>0</v>
      </c>
      <c r="CY836" s="116">
        <f t="shared" ref="CY836:CY899" si="1688">IF(CX$3=$K836,IF($C836="L",1,IF($C836="1/2L",0.5,0)),0)</f>
        <v>0</v>
      </c>
      <c r="CZ836" s="116">
        <f t="shared" ref="CZ836:CZ899" si="1689">IF(CZ$3=$K836,IF($C836="W",1,IF($C836="1/2W",0.5,0)),0)</f>
        <v>0</v>
      </c>
      <c r="DA836" s="116">
        <f t="shared" ref="DA836:DA899" si="1690">IF(CZ$3=$K836,IF($C836="L",1,IF($C836="1/2L",0.5,0)),0)</f>
        <v>0</v>
      </c>
      <c r="DB836" s="116">
        <f t="shared" ref="DB836:DB899" si="1691">IF(DB$3=$K836,IF($C836="W",1,IF($C836="1/2W",0.5,0)),0)</f>
        <v>0</v>
      </c>
      <c r="DC836" s="116">
        <f t="shared" ref="DC836:DC899" si="1692">IF(DB$3=$K836,IF($C836="L",1,IF($C836="1/2L",0.5,0)),0)</f>
        <v>0</v>
      </c>
      <c r="DD836" s="116">
        <f t="shared" ref="DD836:DD899" si="1693">IF(DD$3=$K836,IF($C836="W",1,IF($C836="1/2W",0.5,0)),0)</f>
        <v>0</v>
      </c>
      <c r="DE836" s="117">
        <f t="shared" ref="DE836:DE899" si="1694">IF(DD$3=$K836,IF($C836="L",1,IF($C836="1/2L",0.5,0)),0)</f>
        <v>0</v>
      </c>
      <c r="DF836" s="118">
        <f t="shared" si="1567"/>
        <v>47</v>
      </c>
      <c r="DG836" s="106">
        <f t="shared" si="1568"/>
        <v>62.775999999999989</v>
      </c>
      <c r="DH836" s="116">
        <f t="shared" si="1569"/>
        <v>18</v>
      </c>
      <c r="DI836" s="106">
        <f t="shared" si="1570"/>
        <v>76.899999999999991</v>
      </c>
      <c r="DJ836" s="201" t="str">
        <f>IF($D835="","",$D835)</f>
        <v>28</v>
      </c>
      <c r="DK836" s="466"/>
    </row>
    <row r="837" spans="1:115" ht="14.5" customHeight="1" x14ac:dyDescent="0.2">
      <c r="A837" s="390"/>
      <c r="B837" s="457"/>
      <c r="C837" s="135" t="s">
        <v>53</v>
      </c>
      <c r="D837" s="375"/>
      <c r="E837" s="387"/>
      <c r="F837" s="378"/>
      <c r="G837" s="484"/>
      <c r="H837" s="477"/>
      <c r="I837" s="136"/>
      <c r="J837" s="137"/>
      <c r="K837" s="138"/>
      <c r="L837" s="139"/>
      <c r="M837" s="140"/>
      <c r="N837" s="407"/>
      <c r="O837" s="141" t="str">
        <f>IF(OR(AE835="",AE836=""),"",IF(L837&gt;0,ROUND(IF(M837&gt;0,M837,IF(M835&gt;0,ROUND((M835*AE837)/AE835,IF(N835=0,2,IF(N835=0.1,1,0))),IF(M836&gt;0,ROUND((M836*AE837)/AE836,IF(N835=0,2,IF(N835=0.1,1,0))),IF(M837&gt;0,M837,0)))),2),""))</f>
        <v/>
      </c>
      <c r="P837" s="142" t="str">
        <f>IF(I836="Lay",O836*(L836/(L836-1))-O836,IF(I835="Lay",O835*(L835/(L835-1))-O835,IF(OR(L837="",O837=""),"",IF($C837="1/2W",O837/2+O837/2*L837,IF($C837="1/2L",O837/2,(O837*L837-O837)*(1-_xlfn.XLOOKUP(K837,'Fevereiro 2023 - Valor Real'!A3:A15,'Fevereiro 2023 - Valor Real'!C3:C15,0))+O837)))))</f>
        <v/>
      </c>
      <c r="Q837" s="221" t="str">
        <f>IF(K837="","",IF(_xlfn.XLOOKUP(K837,K$4:K836,$DJ$4:DJ836,0,,-1)=DJ837,_xlfn.XLOOKUP(K837,K$4:K836,Q$4:Q836,1,,-1)+1,1))</f>
        <v/>
      </c>
      <c r="R837" s="144" t="str">
        <f>IF(K837="","",_xlfn.XLOOKUP(K837,K$4:K836,R$4:R836,0,,-1)+IF($C837=" ",1,0))</f>
        <v/>
      </c>
      <c r="S837" s="404"/>
      <c r="T837" s="378"/>
      <c r="U837" s="378"/>
      <c r="V837" s="404"/>
      <c r="W837" s="378"/>
      <c r="X837" s="453"/>
      <c r="Y837" s="383"/>
      <c r="Z837" s="384"/>
      <c r="AA837" s="384"/>
      <c r="AB837" s="384"/>
      <c r="AC837" s="384"/>
      <c r="AD837" s="145">
        <f>((L836/(L836-1)-1))</f>
        <v>1.0526315789473686</v>
      </c>
      <c r="AE837" s="146" t="str">
        <f>IF(L837="","",(SUM(((L835-1)*(1-_xlfn.XLOOKUP(K835,'Fevereiro 2023 - Valor Real'!A3:A15,'Fevereiro 2023 - Valor Real'!C3:C15,0))+1),((L836-1)*(1-_xlfn.XLOOKUP(K836,'Fevereiro 2023 - Valor Real'!A3:A15,'Fevereiro 2023 - Valor Real'!C3:C15,0))+1),((L837-1)*(1-_xlfn.XLOOKUP(K837,'Fevereiro 2023 - Valor Real'!A3:A15,'Fevereiro 2023 - Valor Real'!C3:C15,0))+1))/((L837-1)*(1-_xlfn.XLOOKUP(K837,'Fevereiro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Real'!C3:C15,0))+1))/((L835-1)*(1-_xlfn.XLOOKUP(K835,'Fevereiro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Real'!C3:C15,0))+1))/((L836-1)*(1-_xlfn.XLOOKUP(K836,'Fevereiro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Real'!C3:C15,0))+1))/((L837-1)*(1-_xlfn.XLOOKUP(K837,'Fevereiro 2023 - Valor Real'!A3:A15,'Fevereiro 2023 - Valor Real'!C3:C15,0))+1)))</f>
        <v/>
      </c>
      <c r="AF837" s="105">
        <f t="shared" si="1663"/>
        <v>0</v>
      </c>
      <c r="AG837" s="106">
        <f t="shared" si="1663"/>
        <v>0</v>
      </c>
      <c r="AH837" s="106">
        <f t="shared" si="1663"/>
        <v>0</v>
      </c>
      <c r="AI837" s="106">
        <f t="shared" si="1663"/>
        <v>0</v>
      </c>
      <c r="AJ837" s="106">
        <f t="shared" si="1663"/>
        <v>0</v>
      </c>
      <c r="AK837" s="106">
        <f t="shared" si="1663"/>
        <v>0</v>
      </c>
      <c r="AL837" s="106">
        <f t="shared" si="1663"/>
        <v>0</v>
      </c>
      <c r="AM837" s="106">
        <f t="shared" si="1663"/>
        <v>0</v>
      </c>
      <c r="AN837" s="106">
        <f t="shared" si="1663"/>
        <v>0</v>
      </c>
      <c r="AO837" s="106">
        <f t="shared" si="1663"/>
        <v>0</v>
      </c>
      <c r="AP837" s="106">
        <f t="shared" si="1663"/>
        <v>0</v>
      </c>
      <c r="AQ837" s="106">
        <f t="shared" si="1663"/>
        <v>0</v>
      </c>
      <c r="AR837" s="107">
        <f t="shared" si="1663"/>
        <v>0</v>
      </c>
      <c r="AS837" s="105">
        <f>IF(AND($B835=" ",$K837=AS$3),$O837,0)</f>
        <v>0</v>
      </c>
      <c r="AT837" s="106">
        <f>IF(AND($B835=" ",K837=AT$3),$O837,0)</f>
        <v>0</v>
      </c>
      <c r="AU837" s="106">
        <f t="shared" ref="AU837:BE837" si="1695">IF(AND($B835=" ",$K837=AU$3),$O837,0)</f>
        <v>0</v>
      </c>
      <c r="AV837" s="106">
        <f t="shared" si="1695"/>
        <v>0</v>
      </c>
      <c r="AW837" s="106">
        <f t="shared" si="1695"/>
        <v>0</v>
      </c>
      <c r="AX837" s="106">
        <f t="shared" si="1695"/>
        <v>0</v>
      </c>
      <c r="AY837" s="108">
        <f t="shared" si="1695"/>
        <v>0</v>
      </c>
      <c r="AZ837" s="109">
        <f t="shared" si="1695"/>
        <v>0</v>
      </c>
      <c r="BA837" s="109">
        <f t="shared" si="1695"/>
        <v>0</v>
      </c>
      <c r="BB837" s="109">
        <f t="shared" si="1695"/>
        <v>0</v>
      </c>
      <c r="BC837" s="110">
        <f t="shared" si="1695"/>
        <v>0</v>
      </c>
      <c r="BD837" s="106">
        <f t="shared" si="1695"/>
        <v>0</v>
      </c>
      <c r="BE837" s="107">
        <f t="shared" si="1695"/>
        <v>0</v>
      </c>
      <c r="BF837" s="105">
        <f t="shared" si="1665"/>
        <v>0</v>
      </c>
      <c r="BG837" s="106">
        <f t="shared" si="1665"/>
        <v>0</v>
      </c>
      <c r="BH837" s="106">
        <f t="shared" si="1665"/>
        <v>0</v>
      </c>
      <c r="BI837" s="106">
        <f t="shared" si="1665"/>
        <v>0</v>
      </c>
      <c r="BJ837" s="106">
        <f t="shared" si="1665"/>
        <v>0</v>
      </c>
      <c r="BK837" s="106">
        <f t="shared" si="1665"/>
        <v>0</v>
      </c>
      <c r="BL837" s="106">
        <f t="shared" si="1665"/>
        <v>0</v>
      </c>
      <c r="BM837" s="108">
        <f t="shared" si="1665"/>
        <v>0</v>
      </c>
      <c r="BN837" s="109">
        <f t="shared" si="1665"/>
        <v>0</v>
      </c>
      <c r="BO837" s="109">
        <f t="shared" si="1665"/>
        <v>0</v>
      </c>
      <c r="BP837" s="109">
        <f t="shared" si="1665"/>
        <v>0</v>
      </c>
      <c r="BQ837" s="110">
        <f t="shared" si="1665"/>
        <v>0</v>
      </c>
      <c r="BR837" s="107">
        <f t="shared" si="1665"/>
        <v>0</v>
      </c>
      <c r="BS837" s="464"/>
      <c r="BT837" s="461"/>
      <c r="BU837" s="392"/>
      <c r="BV837" s="461"/>
      <c r="BW837" s="392"/>
      <c r="BX837" s="392"/>
      <c r="BY837" s="392"/>
      <c r="BZ837" s="461"/>
      <c r="CA837" s="392"/>
      <c r="CB837" s="392"/>
      <c r="CC837" s="392"/>
      <c r="CD837" s="401"/>
      <c r="CE837" s="409"/>
      <c r="CF837" s="133">
        <f t="shared" si="1669"/>
        <v>0</v>
      </c>
      <c r="CG837" s="134">
        <f t="shared" si="1670"/>
        <v>0</v>
      </c>
      <c r="CH837" s="134">
        <f t="shared" si="1671"/>
        <v>0</v>
      </c>
      <c r="CI837" s="134">
        <f t="shared" si="1672"/>
        <v>0</v>
      </c>
      <c r="CJ837" s="134">
        <f t="shared" si="1673"/>
        <v>0</v>
      </c>
      <c r="CK837" s="134">
        <f t="shared" si="1674"/>
        <v>0</v>
      </c>
      <c r="CL837" s="134">
        <f t="shared" si="1675"/>
        <v>0</v>
      </c>
      <c r="CM837" s="134">
        <f t="shared" si="1676"/>
        <v>0</v>
      </c>
      <c r="CN837" s="134">
        <f t="shared" si="1677"/>
        <v>0</v>
      </c>
      <c r="CO837" s="134">
        <f t="shared" si="1678"/>
        <v>0</v>
      </c>
      <c r="CP837" s="134">
        <f t="shared" si="1679"/>
        <v>0</v>
      </c>
      <c r="CQ837" s="134">
        <f t="shared" si="1680"/>
        <v>0</v>
      </c>
      <c r="CR837" s="134">
        <f t="shared" si="1681"/>
        <v>0</v>
      </c>
      <c r="CS837" s="134">
        <f t="shared" si="1682"/>
        <v>0</v>
      </c>
      <c r="CT837" s="115">
        <f t="shared" si="1683"/>
        <v>0</v>
      </c>
      <c r="CU837" s="116">
        <f t="shared" si="1684"/>
        <v>0</v>
      </c>
      <c r="CV837" s="116">
        <f t="shared" si="1685"/>
        <v>0</v>
      </c>
      <c r="CW837" s="116">
        <f t="shared" si="1686"/>
        <v>0</v>
      </c>
      <c r="CX837" s="116">
        <f t="shared" si="1687"/>
        <v>0</v>
      </c>
      <c r="CY837" s="116">
        <f t="shared" si="1688"/>
        <v>0</v>
      </c>
      <c r="CZ837" s="116">
        <f t="shared" si="1689"/>
        <v>0</v>
      </c>
      <c r="DA837" s="116">
        <f t="shared" si="1690"/>
        <v>0</v>
      </c>
      <c r="DB837" s="116">
        <f t="shared" si="1691"/>
        <v>0</v>
      </c>
      <c r="DC837" s="116">
        <f t="shared" si="1692"/>
        <v>0</v>
      </c>
      <c r="DD837" s="116">
        <f t="shared" si="1693"/>
        <v>0</v>
      </c>
      <c r="DE837" s="117">
        <f t="shared" si="1694"/>
        <v>0</v>
      </c>
      <c r="DF837" s="118">
        <f t="shared" ref="DF837:DF900" si="1696">IF(AND(L837&lt;DF$3,$C837="W"),1+DF836,DF836)</f>
        <v>47</v>
      </c>
      <c r="DG837" s="106">
        <f t="shared" ref="DG837:DG900" si="1697">IF(DF837&gt;DF836,L837+DG836,DG836)</f>
        <v>62.775999999999989</v>
      </c>
      <c r="DH837" s="116">
        <f t="shared" ref="DH837:DH900" si="1698">IF(AND(L837&gt;DH$3,$C837="W"),1+DH836,0+DH836)</f>
        <v>18</v>
      </c>
      <c r="DI837" s="106">
        <f t="shared" ref="DI837:DI900" si="1699">IF(DH837&gt;DH836,L837+DI836,DI836)</f>
        <v>76.899999999999991</v>
      </c>
      <c r="DJ837" s="201" t="str">
        <f>IF($D835="","",$D835)</f>
        <v>28</v>
      </c>
      <c r="DK837" s="466"/>
    </row>
    <row r="838" spans="1:115" ht="14.5" customHeight="1" x14ac:dyDescent="0.2">
      <c r="A838" s="487">
        <f>$A835+1</f>
        <v>279</v>
      </c>
      <c r="B838" s="506" t="str">
        <f>IF(OR(C838="W",C839="W",C840="W",C838="1/2W",C839="1/2W",C840="1/2W",C838="1/2L",C839="1/2L",C840="1/2L"),"OK",IF(OR(C838="L",C839="L",C840="L"),"LOSS",IF(OR(C838="X",C839="X",C840="X"),"Anulado"," ")))</f>
        <v>OK</v>
      </c>
      <c r="C838" s="147" t="s">
        <v>55</v>
      </c>
      <c r="D838" s="494" t="str">
        <f>IF(G838="","",$D835)</f>
        <v>28</v>
      </c>
      <c r="E838" s="511" t="str">
        <f>IF(G838=""," ","– "&amp;COUNTIF(D$4:D840,$D838))</f>
        <v>– 10</v>
      </c>
      <c r="F838" s="510" t="str">
        <f ca="1">IF(G838="","",IF(OR(AND($C838&lt;&gt;" ",$C839=" "),AND($C839&lt;&gt;" ",$C838=" "),AND(L840&gt;0,OR(AND($C840&lt;&gt;" ",OR($C838=" ",$C839=" ")),AND($C840=" ",OR($C838&lt;&gt;" ",$C839&lt;&gt;" "))))),IF(SUM(F$4:F837)=0,1,LARGE(F$4:F837,1)+1),IF(MONTH(G838)=MONTH(TODAY()),IF(AND(DAY(G838)&lt;DAY(TODAY()),$B838=" "),IF(SUM(F$4:F837)=0,1,LARGE(F$4:F837,1)+1),IF($B838=" ",IF(AND(DAY(G838)=DAY(TODAY()),HOUR(G838)&lt;=HOUR(NOW())+1),IF(AND(HOUR(G838)+2&lt;=HOUR(NOW()),DAY(G838)&lt;=DAY(TODAY()),MINUTE(G838)&lt;=MINUTE(NOW())),IF(SUM(F$4:F837)=0,1,LARGE(F$4:F837,1)+1),IF(OR(MINUTE(G838)&lt;=MINUTE(NOW()),HOUR(G838)&lt;=HOUR(NOW())),"!!!","")),""),"")),"")))</f>
        <v/>
      </c>
      <c r="G838" s="517">
        <f>IF(H838="","",_xlfn.XLOOKUP(H838,$H$4:H837,$G$4:G837,""))</f>
        <v>45013.65625</v>
      </c>
      <c r="H838" s="516" t="s">
        <v>281</v>
      </c>
      <c r="I838" s="222" t="s">
        <v>51</v>
      </c>
      <c r="J838" s="223">
        <v>1.5</v>
      </c>
      <c r="K838" s="224" t="s">
        <v>36</v>
      </c>
      <c r="L838" s="225">
        <v>2.375</v>
      </c>
      <c r="M838" s="226">
        <v>6.36</v>
      </c>
      <c r="N838" s="503">
        <v>0.1</v>
      </c>
      <c r="O838" s="153">
        <f>IF(OR(AE838="",AE839=""),"",ROUND(IF(L840&gt;0,IF(M838&gt;0,M838,IF(M839&gt;0,ROUND((M839*AE838)/AE839,IF(N838=0,2,IF(N838=0.1,1,0))),ROUND((M840*AE838)/AE840,IF(N838=0,2,IF(N838=0.1,1,0))))),IF(M838&gt;0,M838,ROUND((M839*AE838)/AE839,IF(N838=0,2,IF(N838=0.1,1,0))))),2))</f>
        <v>6.36</v>
      </c>
      <c r="P838" s="227">
        <f>IF(OR(L838="",O838=""),"",IF($C838="1/2W",O838/2+O838/2*L838,IF($C838="1/2L",O838/2,IF(I838="Lay",(O838*(L838/(L838-1))-O838)*(1-_xlfn.XLOOKUP(K838,'Fevereiro 2023 - Valor Real'!A3:A15,'Fevereiro 2023 - Valor Real'!C3:C15,0))+O838,(O838*L838-O838)*(1-_xlfn.XLOOKUP(K838,'Fevereiro 2023 - Valor Real'!A3:A15,'Fevereiro 2023 - Valor Real'!C3:C15,0))+O838))))</f>
        <v>15.105</v>
      </c>
      <c r="Q838" s="228">
        <f>IF(K838="","",IF(_xlfn.XLOOKUP(K838,K$4:K837,$DJ$4:DJ837,0,,-1)=DJ838,_xlfn.XLOOKUP(K838,K$4:K837,Q$4:Q837,1,,-1)+1,1))</f>
        <v>3</v>
      </c>
      <c r="R838" s="229">
        <f>IF(K838="","",_xlfn.XLOOKUP(K838,K$4:K837,R$4:R837,0,,-1)+IF($C838=" ",1,0))</f>
        <v>0</v>
      </c>
      <c r="S838" s="501">
        <f>IF($B838="Anulado",0,ROUND(IF(OR($B838="LOSS",$B838="OK"),IF(OR($C838="W",$C838="1/2W",$C838="1/2L"),P838-O838,IF($C838="L",-O838,0))+IF(OR($C839="W",$C839="1/2W",$C839="1/2L"),P839-O839,IF($C839="L",-O839,0))+IF(OR($C840="W",$C840="1/2W",$C840="1/2L"),P840-O840,IF($C840="L",-O840,0)),IF(AND(OR($C838="W",$C838="1/2W",$C838="1/2L"),C839="W"),P838+P839-SUM(O838:O840)+_xlfn.XLOOKUP("X",C838:C840,O838:O840,0),IF(AND(C838=TRUE,C840="W"),P838+P840-SUM(O838:O840),IF(AND(C839="W",C840="W"),P839+P840-SUM(O838:O840)+_xlfn.XLOOKUP("X",C838:C840,O838:O840,0),IF(L840&gt;0,IF(OR($C838="W",$C838="1/2W",$C838="1/2L"),P838-SUM(O838:O840)+_xlfn.XLOOKUP("X",C838:C840,O838:O840,0),IF(OR($C838="W",$C838="1/2W",$C838="1/2L"),P839-SUM(O838:O840)+_xlfn.XLOOKUP("X",C838:C840,O838:O840,0),IF(OR($C838="W",$C838="1/2W",$C838="1/2L"),P840-SUM(O838:O840)+_xlfn.XLOOKUP("X",C838:C840,O838:O840,0),IF(SUM(P838:P840)/3-SUM(O838:O840)+_xlfn.XLOOKUP("X",C838:C840,O838:O840,0)&gt;0,SUM(P838:P840)/3-SUM(O838:O840)+_xlfn.XLOOKUP("X",C838:C840,O838:O840,0),LARGE(P838:P840,1)-SUM(O838:O840))))),IF(OR($C838="W",$C838="1/2W",$C838="1/2L"),P838-SUM(O838:O839)+_xlfn.XLOOKUP("X",C838:C840,O838:O840,0),IF(OR($C838="W",$C838="1/2W",$C838="1/2L"),P839-SUM(O838:O839)+_xlfn.XLOOKUP("X",C838:C840,O838:O840,0),SUM(P838:P839)/2-SUM(O838:O839)+_xlfn.XLOOKUP("X",C838:C840,O838:O840,0)))))))),2))</f>
        <v>0.83</v>
      </c>
      <c r="T838" s="486">
        <f>IF(S838=0,0,S838/SUM(O838:O840))</f>
        <v>5.8204768583450202E-2</v>
      </c>
      <c r="U838" s="496">
        <f>IF($D838=$D835,IF(OR($B838="LOSS",$B838="OK",$B838="Anulada"),S838,0)+U835,IF(OR($B838="LOSS",$B838="OK",$B838="Anulada"),S838,0))</f>
        <v>8.01</v>
      </c>
      <c r="V838" s="496">
        <f>IF($D838="",0,IF($D838=$D835,IF($B838=" ",IF(I840="",IF(OR(AND(I838="DNB1",I839="DNB2"),AND(OR(I838="DNB1",I838="DNB2"),J839=0),AND(OR(I839="DNB1",I839="DNB2"),J838=0),AND(I838="DNB2",I839="DNB1"),AND(IF(J838=0,(J838+1)/ROUND(J838+1,0),J838/ROUND(J838,0))=1,IF(J839=0,(J839+1)/ROUND(IF(J839="",0,J839)+1,0),IF(J839="",0,J839)/ROUND(IF(J839="",1,J839),0))=1,OR(J838&lt;&gt;""),J839&lt;&gt;"")),0,IF(S838&lt;0,IF(I840="",SMALL(P838:P839,1)-SUM(O838:O839),0),SMALL(P838:P839,1)-SUM(O838:O839))),IF(S838&lt;0,IF(I840="",SMALL(P838:P840,1)-SUM(O838:O840),0),LARGE(P838:P840,1)-SUM(O838:O840))),S838)+V835,IF(I840="",IF(OR(AND(I838="DNB1",I839="DNB2"),AND(OR(I838="DNB1",I838="DNB2"),J839=0),AND(OR(I839="DNB1",I839="DNB2"),J838=0),AND(I838="DNB2",I839="DNB1"),AND(IF(J838=0,(J838+1)/ROUND(J838+1,0),J838/ROUND(J838,0))=1,IF(J839=0,(IF(J839="",0,J839)+1)/ROUND(IF(J839="",0,J839)+1,0),IF(J839="",0,J839)/ROUND(IF(J839="",0,J839)+1,0))=1,OR(J838&lt;&gt;""),J839&lt;&gt;"")),0,IF(S838&lt;0,IF(I840="",SMALL(P838:P839,1)-SUM(O838:O839),0),SMALL(P838:P840,1)-SUM(O838:O840))),IF(S838&lt;0,IF(I840="",SMALL(P838:P840,1)-SUM(O838:O840),0),LARGE(P838:P840,1)-SUM(O838:O840)))))</f>
        <v>7.9779999999999962</v>
      </c>
      <c r="W838" s="496">
        <f>IF($D838=$D835,IF(S838&lt;0,IF(I840="",S838,0),S838)+W835,S838)</f>
        <v>20.13</v>
      </c>
      <c r="X838" s="505" t="str">
        <f>IF(OR(SUM(R838:R840)=0,V838=W838),ROUND(IF(W838=0,0,W838/Y838)*100,2)&amp;"%",ROUND(IF(V838=0,0,V838/Y838)*100,2)&amp;"% a "&amp;ROUND(IF(W838=0,0,W838/Y838)*100,2)&amp;"%")</f>
        <v>6,89%</v>
      </c>
      <c r="Y838" s="497">
        <f>IF($D838=$D835,Y835+SUM(O838:O840),SUM(O838:O840))</f>
        <v>291.97000000000003</v>
      </c>
      <c r="Z838" s="496">
        <f>IF($B838=" ",SUM(O838:O840),0)+Z835</f>
        <v>0</v>
      </c>
      <c r="AA838" s="496">
        <f>IF(G838="","",IF($B838="Anulado",LARGE(P838:P840,1)-SUM(O838:O840)+AA835,AA835))</f>
        <v>13.381099999999991</v>
      </c>
      <c r="AB838" s="496">
        <f>IF($D838="","",AB835+S838)</f>
        <v>903.02000000000078</v>
      </c>
      <c r="AC838" s="499">
        <f ca="1">IF($D838="","",IF($B838=" ",IF(DAY(G838)=DAY(TODAY()),1+AC835,0+AC835),0+AC835))</f>
        <v>0</v>
      </c>
      <c r="AD838" s="157">
        <f>(((L839/(L839-1)-1)*(1-_xlfn.XLOOKUP(K839,'Fevereiro 2023 - Valor Real'!A3:A15,'Fevereiro 2023 - Valor Real'!C3:C15,0))+1))/(((L838-1)*(1-_xlfn.XLOOKUP(K838,'Fevereiro 2023 - Valor Real'!A3:A15,'Fevereiro 2023 - Valor Real'!C3:C15,0))+1)+((L839/(L839-1)-1)*(1-_xlfn.XLOOKUP(K839,'Fevereiro 2023 - Valor Real'!A3:A15,'Fevereiro 2023 - Valor Real'!C3:C15,0))+1))</f>
        <v>0.46914338348173173</v>
      </c>
      <c r="AE838" s="158">
        <f>IF(L838="","",IF(L840&gt;0,(SUM(((L838-1)*(1-_xlfn.XLOOKUP(K838,'Fevereiro 2023 - Valor Real'!A3:A15,'Fevereiro 2023 - Valor Real'!C3:C15,0))+1),((L839-1)*(1-_xlfn.XLOOKUP(K839,'Fevereiro 2023 - Valor Real'!A3:A15,'Fevereiro 2023 - Valor Real'!C3:C15,0))+1),((L840-1)*(1-_xlfn.XLOOKUP(K840,'Fevereiro 2023 - Valor Real'!A3:A15,'Fevereiro 2023 - Valor Real'!C3:C15,0))+1))/((L838-1)*(1-_xlfn.XLOOKUP(K838,'Fevereiro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Real'!C3:C15,0))+1))/((L838-1)*(1-_xlfn.XLOOKUP(K838,'Fevereiro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Real'!C3:C15,0))+1))/((L839-1)*(1-_xlfn.XLOOKUP(K839,'Fevereiro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Real'!C3:C15,0))+1))/((L840-1)*(1-_xlfn.XLOOKUP(K840,'Fevereiro 2023 - Valor Real'!A3:A15,'Fevereiro 2023 - Valor Real'!C3:C15,0))+1)),IF(I838="Lay",IF(I839="Lay",((L839/(L839-1)-1)*(1-_xlfn.XLOOKUP(K839,'Fevereiro 2023 - Valor Real'!A3:A15,'Fevereiro 2023 - Valor Real'!C3:C15,0))+1)/(((L839/(L839-1)-1)*(1-_xlfn.XLOOKUP(K839,'Fevereiro 2023 - Valor Real'!A3:A15,'Fevereiro 2023 - Valor Real'!C3:C15,0))+1)+((L838/(L838-1)-1)*(1-_xlfn.XLOOKUP(K838,'Fevereiro 2023 - Valor Real'!A3:A15,'Fevereiro 2023 - Valor Real'!C3:C15,0))+1)),((L839-1)*(1-_xlfn.XLOOKUP(K839,'Fevereiro 2023 - Valor Real'!A3:A15,'Fevereiro 2023 - Valor Real'!C3:C15,0))+1)/(((L839-1)*(1-_xlfn.XLOOKUP(K839,'Fevereiro 2023 - Valor Real'!A3:A15,'Fevereiro 2023 - Valor Real'!C3:C15,0))+1)+((L838/(L838-1)-1)*(1-_xlfn.XLOOKUP(K838,'Fevereiro 2023 - Valor Real'!A3:A15,'Fevereiro 2023 - Valor Real'!C3:C15,0))+1))),IF(I839="Lay",(((L839/(L839-1)-1)*(1-_xlfn.XLOOKUP(K839,'Fevereiro 2023 - Valor Real'!A3:A15,'Fevereiro 2023 - Valor Real'!C3:C15,0))+1))/(((L838-1)*(1-_xlfn.XLOOKUP(K838,'Fevereiro 2023 - Valor Real'!A3:A15,'Fevereiro 2023 - Valor Real'!C3:C15,0))+1)+((L839/(L839-1)-1)*(1-_xlfn.XLOOKUP(K839,'Fevereiro 2023 - Valor Real'!A3:A15,'Fevereiro 2023 - Valor Real'!C3:C15,0))+1)),((L839-1)*(1-_xlfn.XLOOKUP(K839,'Fevereiro 2023 - Valor Real'!A3:A15,'Fevereiro 2023 - Valor Real'!C3:C15,0))+1)/(((L839-1)*(1-_xlfn.XLOOKUP(K839,'Fevereiro 2023 - Valor Real'!A3:A15,'Fevereiro 2023 - Valor Real'!C3:C15,0))+1)+((L838-1)*(1-_xlfn.XLOOKUP(K838,'Fevereiro 2023 - Valor Real'!A3:A15,'Fevereiro 2023 - Valor Real'!C3:C15,0))+1))))))</f>
        <v>0.44574095682613768</v>
      </c>
      <c r="AF838" s="66">
        <f t="shared" si="1663"/>
        <v>-6.36</v>
      </c>
      <c r="AG838" s="67">
        <f t="shared" si="1663"/>
        <v>0</v>
      </c>
      <c r="AH838" s="67">
        <f t="shared" si="1663"/>
        <v>0</v>
      </c>
      <c r="AI838" s="67">
        <f t="shared" si="1663"/>
        <v>0</v>
      </c>
      <c r="AJ838" s="67">
        <f t="shared" si="1663"/>
        <v>0</v>
      </c>
      <c r="AK838" s="67">
        <f t="shared" si="1663"/>
        <v>0</v>
      </c>
      <c r="AL838" s="67">
        <f t="shared" si="1663"/>
        <v>0</v>
      </c>
      <c r="AM838" s="67">
        <f t="shared" si="1663"/>
        <v>0</v>
      </c>
      <c r="AN838" s="67">
        <f t="shared" si="1663"/>
        <v>0</v>
      </c>
      <c r="AO838" s="67">
        <f t="shared" si="1663"/>
        <v>0</v>
      </c>
      <c r="AP838" s="67">
        <f t="shared" si="1663"/>
        <v>0</v>
      </c>
      <c r="AQ838" s="67">
        <f t="shared" si="1663"/>
        <v>0</v>
      </c>
      <c r="AR838" s="68">
        <f t="shared" si="1663"/>
        <v>0</v>
      </c>
      <c r="AS838" s="66">
        <f t="shared" ref="AS838:BE838" si="1700">IF(AND($B838=" ",$K838=AS$3),$O838,0)</f>
        <v>0</v>
      </c>
      <c r="AT838" s="67">
        <f t="shared" si="1700"/>
        <v>0</v>
      </c>
      <c r="AU838" s="67">
        <f t="shared" si="1700"/>
        <v>0</v>
      </c>
      <c r="AV838" s="67">
        <f t="shared" si="1700"/>
        <v>0</v>
      </c>
      <c r="AW838" s="67">
        <f t="shared" si="1700"/>
        <v>0</v>
      </c>
      <c r="AX838" s="67">
        <f t="shared" si="1700"/>
        <v>0</v>
      </c>
      <c r="AY838" s="69">
        <f t="shared" si="1700"/>
        <v>0</v>
      </c>
      <c r="AZ838" s="70">
        <f t="shared" si="1700"/>
        <v>0</v>
      </c>
      <c r="BA838" s="70">
        <f t="shared" si="1700"/>
        <v>0</v>
      </c>
      <c r="BB838" s="70">
        <f t="shared" si="1700"/>
        <v>0</v>
      </c>
      <c r="BC838" s="71">
        <f t="shared" si="1700"/>
        <v>0</v>
      </c>
      <c r="BD838" s="67">
        <f t="shared" si="1700"/>
        <v>0</v>
      </c>
      <c r="BE838" s="68">
        <f t="shared" si="1700"/>
        <v>0</v>
      </c>
      <c r="BF838" s="230">
        <f t="shared" si="1665"/>
        <v>6.36</v>
      </c>
      <c r="BG838" s="67">
        <f t="shared" si="1665"/>
        <v>0</v>
      </c>
      <c r="BH838" s="67">
        <f t="shared" si="1665"/>
        <v>0</v>
      </c>
      <c r="BI838" s="67">
        <f t="shared" si="1665"/>
        <v>0</v>
      </c>
      <c r="BJ838" s="67">
        <f t="shared" si="1665"/>
        <v>0</v>
      </c>
      <c r="BK838" s="67">
        <f t="shared" si="1665"/>
        <v>0</v>
      </c>
      <c r="BL838" s="67">
        <f t="shared" si="1665"/>
        <v>0</v>
      </c>
      <c r="BM838" s="69">
        <f t="shared" si="1665"/>
        <v>0</v>
      </c>
      <c r="BN838" s="70">
        <f t="shared" si="1665"/>
        <v>0</v>
      </c>
      <c r="BO838" s="70">
        <f t="shared" si="1665"/>
        <v>0</v>
      </c>
      <c r="BP838" s="70">
        <f t="shared" si="1665"/>
        <v>0</v>
      </c>
      <c r="BQ838" s="71">
        <f t="shared" si="1665"/>
        <v>0</v>
      </c>
      <c r="BR838" s="68">
        <f t="shared" si="1665"/>
        <v>0</v>
      </c>
      <c r="BS838" s="490">
        <f>IF($B838="LOSS",IF(AND($K838=BS$3,$C838="L"),-$O838,0)+IF(AND($K839=BS$3,$C839="L"),-$O839,0)+IF(AND($K840=BS$3,$C840="L"),-$O840,0),IF(OR(AND($K838=BS$3,OR($C838="W",$C838="1/2W")),AND($K839=BS$3,OR($C839="W",$C839="1/2W")),AND($K840=BS$3,OR($C840="W",$C840="1/2W"))),$S838,0))</f>
        <v>0</v>
      </c>
      <c r="BT838" s="488">
        <f>IF($B838="LOSS",IF(AND($K838=BT$3,$C838="L"),-$O838,0)+IF(AND($K839=BT$3,$C839="L"),-$O839,0)+IF(AND($K839=BT$3,$C840="L"),-$O840,0),IF(OR(AND($K839=BT$3,OR($C838="W",$C838="1/2W")),AND($K839=BT$3,OR($C839="W",$C839="1/2W")),AND($K839=BT$3,OR($C840="W",$C840="1/2W"))),$S838,0))</f>
        <v>0</v>
      </c>
      <c r="BU838" s="488">
        <f>IF($B838="LOSS",IF(AND($K838=BU$3,$C838="L"),-$O838,0)+IF(AND($K839=BU$3,$C839="L"),-$O839,0)+IF(AND($K839=BU$3,$C840="L"),-$O840,0),IF(OR(AND($K839=BU$3,OR($C838="W",$C838="1/2W")),AND($K839=BU$3,OR($C839="W",$C839="1/2W")),AND($K839=BU$3,OR($C840="W",$C840="1/2W"))),$S838,0))</f>
        <v>0</v>
      </c>
      <c r="BV838" s="488">
        <f t="shared" ref="BV838:CE838" si="1701">IF($B838="LOSS",IF(AND($K838=BV$3,$C838="L"),-$O838,0)+IF(AND($K839=BV$3,$C839="L"),-$O839,0)+IF(AND($K840=BV$3,$C840="L"),-$O840,0),IF(OR(AND($K838=BV$3,OR($C838="W",$C838="1/2W")),AND($K839=BV$3,OR($C839="W",$C839="1/2W")),AND($K840=BV$3,OR($C840="W",$C840="1/2W"))),$S838,0))</f>
        <v>0</v>
      </c>
      <c r="BW838" s="488">
        <f t="shared" si="1701"/>
        <v>0.83</v>
      </c>
      <c r="BX838" s="488">
        <f t="shared" si="1701"/>
        <v>0</v>
      </c>
      <c r="BY838" s="488">
        <f t="shared" si="1701"/>
        <v>0</v>
      </c>
      <c r="BZ838" s="498">
        <f t="shared" si="1701"/>
        <v>0</v>
      </c>
      <c r="CA838" s="498">
        <f t="shared" si="1701"/>
        <v>0</v>
      </c>
      <c r="CB838" s="498">
        <f t="shared" si="1701"/>
        <v>0</v>
      </c>
      <c r="CC838" s="498">
        <f t="shared" si="1701"/>
        <v>0</v>
      </c>
      <c r="CD838" s="500">
        <f t="shared" si="1701"/>
        <v>0</v>
      </c>
      <c r="CE838" s="504">
        <f t="shared" si="1701"/>
        <v>0</v>
      </c>
      <c r="CF838" s="160">
        <f t="shared" si="1669"/>
        <v>0</v>
      </c>
      <c r="CG838" s="161">
        <f t="shared" si="1670"/>
        <v>1</v>
      </c>
      <c r="CH838" s="161">
        <f t="shared" si="1671"/>
        <v>0</v>
      </c>
      <c r="CI838" s="161">
        <f t="shared" si="1672"/>
        <v>0</v>
      </c>
      <c r="CJ838" s="161">
        <f t="shared" si="1673"/>
        <v>0</v>
      </c>
      <c r="CK838" s="161">
        <f t="shared" si="1674"/>
        <v>0</v>
      </c>
      <c r="CL838" s="161">
        <f t="shared" si="1675"/>
        <v>0</v>
      </c>
      <c r="CM838" s="161">
        <f t="shared" si="1676"/>
        <v>0</v>
      </c>
      <c r="CN838" s="161">
        <f t="shared" si="1677"/>
        <v>0</v>
      </c>
      <c r="CO838" s="161">
        <f t="shared" si="1678"/>
        <v>0</v>
      </c>
      <c r="CP838" s="161">
        <f t="shared" si="1679"/>
        <v>0</v>
      </c>
      <c r="CQ838" s="161">
        <f t="shared" si="1680"/>
        <v>0</v>
      </c>
      <c r="CR838" s="161">
        <f t="shared" si="1681"/>
        <v>0</v>
      </c>
      <c r="CS838" s="161">
        <f t="shared" si="1682"/>
        <v>0</v>
      </c>
      <c r="CT838" s="75">
        <f t="shared" si="1683"/>
        <v>0</v>
      </c>
      <c r="CU838" s="76">
        <f t="shared" si="1684"/>
        <v>0</v>
      </c>
      <c r="CV838" s="76">
        <f t="shared" si="1685"/>
        <v>0</v>
      </c>
      <c r="CW838" s="76">
        <f t="shared" si="1686"/>
        <v>0</v>
      </c>
      <c r="CX838" s="76">
        <f t="shared" si="1687"/>
        <v>0</v>
      </c>
      <c r="CY838" s="76">
        <f t="shared" si="1688"/>
        <v>0</v>
      </c>
      <c r="CZ838" s="76">
        <f t="shared" si="1689"/>
        <v>0</v>
      </c>
      <c r="DA838" s="76">
        <f t="shared" si="1690"/>
        <v>0</v>
      </c>
      <c r="DB838" s="76">
        <f t="shared" si="1691"/>
        <v>0</v>
      </c>
      <c r="DC838" s="76">
        <f t="shared" si="1692"/>
        <v>0</v>
      </c>
      <c r="DD838" s="76">
        <f t="shared" si="1693"/>
        <v>0</v>
      </c>
      <c r="DE838" s="77">
        <f t="shared" si="1694"/>
        <v>0</v>
      </c>
      <c r="DF838" s="73">
        <f t="shared" si="1696"/>
        <v>47</v>
      </c>
      <c r="DG838" s="67">
        <f t="shared" si="1697"/>
        <v>62.775999999999989</v>
      </c>
      <c r="DH838" s="76">
        <f t="shared" si="1698"/>
        <v>18</v>
      </c>
      <c r="DI838" s="67">
        <f t="shared" si="1699"/>
        <v>76.899999999999991</v>
      </c>
      <c r="DJ838" s="202" t="str">
        <f>IF($D838="","",$D838)</f>
        <v>28</v>
      </c>
      <c r="DK838" s="492">
        <f>IF(AND($B838=" ",$D838&lt;&gt;""),1,0)</f>
        <v>0</v>
      </c>
    </row>
    <row r="839" spans="1:115" ht="14.5" customHeight="1" x14ac:dyDescent="0.2">
      <c r="A839" s="389"/>
      <c r="B839" s="456"/>
      <c r="C839" s="53" t="s">
        <v>54</v>
      </c>
      <c r="D839" s="374"/>
      <c r="E839" s="386"/>
      <c r="F839" s="377"/>
      <c r="G839" s="483"/>
      <c r="H839" s="476"/>
      <c r="I839" s="55" t="s">
        <v>52</v>
      </c>
      <c r="J839" s="231">
        <f>IF(OR(I838="TO",I838="TU",I838="TO1",I838="TU1",I838="TO2",I838="TU2"),J838,IF(OR(I838="AH1",I838="AH2"),IF(OR(I839="AH1",I839="AH2"),-J838,IF(OR(I839="EH1",I839="EH2"),-J838+0.5,"")),IF(OR(I838="EH1",I838="EH2"),IF(OR(I839="AH1",I839="AH2"),-J838+0.5,IF(OR(I839="EH1",I839="EH2"),-J838+1,"")),IF(AND(OR(I838="DNB1",I838="DNB2"),OR(I839="AH1",I839="AH2")),0,IF(AND(I838="Not ScoreBoth",OR(I839="TO1",I839="TO2")),0.5,"")))))</f>
        <v>1.5</v>
      </c>
      <c r="K839" s="232" t="s">
        <v>40</v>
      </c>
      <c r="L839" s="58">
        <v>1.91</v>
      </c>
      <c r="M839" s="59"/>
      <c r="N839" s="406"/>
      <c r="O839" s="60">
        <f>IF(OR(AE838="",AE839=""),"",ROUND(IF(L840&gt;0,IF(M839&gt;0,M839,IF(M838&gt;0,IF(N838=TRUE,ROUND((M838*AE839)/AE838,0),(M838*AE839)/AE838),IF(M839&gt;0,ROUND(M839,IF(N838=0,2,IF(N838=0.1,1,0))),IF(M840&gt;0,ROUND(O840*AE839/AE840,IF(N838=0,2,IF(N838=0.1,1,0))),0)))),IF(M839&gt;0,M839,ROUND((M838*AE839)/AE838,IF(N838=0,2,IF(N838=0.1,1,0))))),2))</f>
        <v>7.9</v>
      </c>
      <c r="P839" s="61">
        <f>IF(OR(L839="",O839=""),"",IF($C839="1/2W",O839/2+O839/2*L839,IF($C839="1/2L",O839/2,IF(I839="Lay",((O839*(L839/(L839-1)))-O839)*(1-_xlfn.XLOOKUP(K839,'Fevereiro 2023 - Valor Real'!A3:A15,'Fevereiro 2023 - Valor Real'!C3:C15,0))+O839,(O839*L839-O839)*(1-_xlfn.XLOOKUP(K839,'Fevereiro 2023 - Valor Real'!A3:A15,'Fevereiro 2023 - Valor Real'!C3:C15,0))+O839))))</f>
        <v>15.089</v>
      </c>
      <c r="Q839" s="233">
        <f>IF(K839="","",IF(_xlfn.XLOOKUP(K839,K$4:K838,$DJ$4:DJ838,0,,-1)=DJ839,_xlfn.XLOOKUP(K839,K$4:K838,Q$4:Q838,1,,-1)+1,1))</f>
        <v>11</v>
      </c>
      <c r="R839" s="234">
        <f>IF(K839="","",_xlfn.XLOOKUP(K839,K$4:K838,R$4:R838,0,,-1)+IF($C839=" ",1,0))</f>
        <v>0</v>
      </c>
      <c r="S839" s="403"/>
      <c r="T839" s="380"/>
      <c r="U839" s="380"/>
      <c r="V839" s="481"/>
      <c r="W839" s="380"/>
      <c r="X839" s="452"/>
      <c r="Y839" s="383"/>
      <c r="Z839" s="384"/>
      <c r="AA839" s="384"/>
      <c r="AB839" s="384"/>
      <c r="AC839" s="384"/>
      <c r="AD839" s="64">
        <f>(((L839/(L839-1)-1)*(1-_xlfn.XLOOKUP(K839,'Fevereiro 2023 - Valor Real'!A3:A15,'Fevereiro 2023 - Valor Real'!C3:C15,0))+1))</f>
        <v>2.098901098901099</v>
      </c>
      <c r="AE839" s="65">
        <f>IF(L839="","",IF(L840&gt;0,(SUM(((L838-1)*(1-_xlfn.XLOOKUP(K838,'Fevereiro 2023 - Valor Real'!A3:A15,'Fevereiro 2023 - Valor Real'!C3:C15,0))+1),((L839-1)*(1-_xlfn.XLOOKUP(K839,'Fevereiro 2023 - Valor Real'!A3:A15,'Fevereiro 2023 - Valor Real'!C3:C15,0))+1),((L840-1)*(1-_xlfn.XLOOKUP(K840,'Fevereiro 2023 - Valor Real'!A3:A15,'Fevereiro 2023 - Valor Real'!C3:C15,0))+1))/((L839-1)*(1-_xlfn.XLOOKUP(K839,'Fevereiro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Real'!C3:C15,0))+1))/((L838-1)*(1-_xlfn.XLOOKUP(K838,'Fevereiro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Real'!C3:C15,0))+1))/((L839-1)*(1-_xlfn.XLOOKUP(K839,'Fevereiro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Real'!C3:C15,0))+1))/((L840-1)*(1-_xlfn.XLOOKUP(K840,'Fevereiro 2023 - Valor Real'!A3:A15,'Fevereiro 2023 - Valor Real'!C3:C15,0))+1)),IF(I839="Lay",IF(I838="Lay",((L838/(L838-1)-1)*(1-_xlfn.XLOOKUP(K838,'Fevereiro 2023 - Valor Real'!A3:A15,'Fevereiro 2023 - Valor Real'!C3:C15,0))+1)/(((L838/(L838-1)-1)*(1-_xlfn.XLOOKUP(K838,'Fevereiro 2023 - Valor Real'!A3:A15,'Fevereiro 2023 - Valor Real'!C3:C15,0))+1)+((L839/(L839-1)-1)*(1-_xlfn.XLOOKUP(K839,'Fevereiro 2023 - Valor Real'!A3:A15,'Fevereiro 2023 - Valor Real'!C3:C15,0))+1)),((L838-1)*(1-_xlfn.XLOOKUP(K838,'Fevereiro 2023 - Valor Real'!A3:A15,'Fevereiro 2023 - Valor Real'!C3:C15,0))+1)/(((L838-1)*(1-_xlfn.XLOOKUP(K838,'Fevereiro 2023 - Valor Real'!A3:A15,'Fevereiro 2023 - Valor Real'!C3:C15,0))+1)+((L839/(L839-1)-1)*(1-_xlfn.XLOOKUP(K839,'Fevereiro 2023 - Valor Real'!A3:A15,'Fevereiro 2023 - Valor Real'!C3:C15,0))+1))),IF(I838="Lay",((L838/(L838-1)-1)*(1-_xlfn.XLOOKUP(K838,'Fevereiro 2023 - Valor Real'!A3:A15,'Fevereiro 2023 - Valor Real'!C3:C15,0))+1)/((((L838/(L838-1)-1)*(1-_xlfn.XLOOKUP(K838,'Fevereiro 2023 - Valor Real'!A3:A15,'Fevereiro 2023 - Valor Real'!C3:C15,0))+1))+((L839-1)*(1-_xlfn.XLOOKUP(K839,'Fevereiro 2023 - Valor Real'!A3:A15,'Fevereiro 2023 - Valor Real'!C3:C15,0))+1)),((L838-1)*(1-_xlfn.XLOOKUP(K838,'Fevereiro 2023 - Valor Real'!A3:A15,'Fevereiro 2023 - Valor Real'!C3:C15,0))+1)/(((L838-1)*(1-_xlfn.XLOOKUP(K838,'Fevereiro 2023 - Valor Real'!A3:A15,'Fevereiro 2023 - Valor Real'!C3:C15,0))+1)+((L839-1)*(1-_xlfn.XLOOKUP(K839,'Fevereiro 2023 - Valor Real'!A3:A15,'Fevereiro 2023 - Valor Real'!C3:C15,0))+1))))))</f>
        <v>0.55425904317386232</v>
      </c>
      <c r="AF839" s="66">
        <f t="shared" si="1663"/>
        <v>0</v>
      </c>
      <c r="AG839" s="67">
        <f t="shared" si="1663"/>
        <v>0</v>
      </c>
      <c r="AH839" s="67">
        <f t="shared" si="1663"/>
        <v>0</v>
      </c>
      <c r="AI839" s="67">
        <f t="shared" si="1663"/>
        <v>0</v>
      </c>
      <c r="AJ839" s="67">
        <f t="shared" si="1663"/>
        <v>7.19</v>
      </c>
      <c r="AK839" s="67">
        <f t="shared" si="1663"/>
        <v>0</v>
      </c>
      <c r="AL839" s="67">
        <f t="shared" si="1663"/>
        <v>0</v>
      </c>
      <c r="AM839" s="67">
        <f t="shared" si="1663"/>
        <v>0</v>
      </c>
      <c r="AN839" s="67">
        <f t="shared" si="1663"/>
        <v>0</v>
      </c>
      <c r="AO839" s="67">
        <f t="shared" si="1663"/>
        <v>0</v>
      </c>
      <c r="AP839" s="67">
        <f t="shared" si="1663"/>
        <v>0</v>
      </c>
      <c r="AQ839" s="67">
        <f t="shared" si="1663"/>
        <v>0</v>
      </c>
      <c r="AR839" s="68">
        <f t="shared" si="1663"/>
        <v>0</v>
      </c>
      <c r="AS839" s="66">
        <f>IF(AND($B838=" ",$K839=AS$3),$O839,0)</f>
        <v>0</v>
      </c>
      <c r="AT839" s="67">
        <f>IF(AND($B838=" ",K839=AT$3),$O839,0)</f>
        <v>0</v>
      </c>
      <c r="AU839" s="67">
        <f t="shared" ref="AU839:BE839" si="1702">IF(AND($B838=" ",$K839=AU$3),$O839,0)</f>
        <v>0</v>
      </c>
      <c r="AV839" s="67">
        <f t="shared" si="1702"/>
        <v>0</v>
      </c>
      <c r="AW839" s="67">
        <f t="shared" si="1702"/>
        <v>0</v>
      </c>
      <c r="AX839" s="67">
        <f t="shared" si="1702"/>
        <v>0</v>
      </c>
      <c r="AY839" s="69">
        <f t="shared" si="1702"/>
        <v>0</v>
      </c>
      <c r="AZ839" s="70">
        <f t="shared" si="1702"/>
        <v>0</v>
      </c>
      <c r="BA839" s="70">
        <f t="shared" si="1702"/>
        <v>0</v>
      </c>
      <c r="BB839" s="70">
        <f t="shared" si="1702"/>
        <v>0</v>
      </c>
      <c r="BC839" s="71">
        <f t="shared" si="1702"/>
        <v>0</v>
      </c>
      <c r="BD839" s="67">
        <f t="shared" si="1702"/>
        <v>0</v>
      </c>
      <c r="BE839" s="68">
        <f t="shared" si="1702"/>
        <v>0</v>
      </c>
      <c r="BF839" s="66">
        <f t="shared" si="1665"/>
        <v>0</v>
      </c>
      <c r="BG839" s="67">
        <f t="shared" si="1665"/>
        <v>0</v>
      </c>
      <c r="BH839" s="67">
        <f t="shared" si="1665"/>
        <v>0</v>
      </c>
      <c r="BI839" s="67">
        <f t="shared" si="1665"/>
        <v>0</v>
      </c>
      <c r="BJ839" s="67">
        <f t="shared" si="1665"/>
        <v>7.9</v>
      </c>
      <c r="BK839" s="67">
        <f t="shared" si="1665"/>
        <v>0</v>
      </c>
      <c r="BL839" s="67">
        <f t="shared" si="1665"/>
        <v>0</v>
      </c>
      <c r="BM839" s="235">
        <f t="shared" si="1665"/>
        <v>0</v>
      </c>
      <c r="BN839" s="159">
        <f t="shared" si="1665"/>
        <v>0</v>
      </c>
      <c r="BO839" s="159">
        <f t="shared" si="1665"/>
        <v>0</v>
      </c>
      <c r="BP839" s="159">
        <f t="shared" si="1665"/>
        <v>0</v>
      </c>
      <c r="BQ839" s="71">
        <f t="shared" si="1665"/>
        <v>0</v>
      </c>
      <c r="BR839" s="68">
        <f t="shared" si="1665"/>
        <v>0</v>
      </c>
      <c r="BS839" s="464"/>
      <c r="BT839" s="461"/>
      <c r="BU839" s="392"/>
      <c r="BV839" s="461"/>
      <c r="BW839" s="392"/>
      <c r="BX839" s="392"/>
      <c r="BY839" s="392"/>
      <c r="BZ839" s="461"/>
      <c r="CA839" s="392"/>
      <c r="CB839" s="392"/>
      <c r="CC839" s="392"/>
      <c r="CD839" s="401"/>
      <c r="CE839" s="409"/>
      <c r="CF839" s="236">
        <f t="shared" si="1669"/>
        <v>0</v>
      </c>
      <c r="CG839" s="237">
        <f t="shared" si="1670"/>
        <v>0</v>
      </c>
      <c r="CH839" s="237">
        <f t="shared" si="1671"/>
        <v>0</v>
      </c>
      <c r="CI839" s="237">
        <f t="shared" si="1672"/>
        <v>0</v>
      </c>
      <c r="CJ839" s="237">
        <f t="shared" si="1673"/>
        <v>0</v>
      </c>
      <c r="CK839" s="237">
        <f t="shared" si="1674"/>
        <v>0</v>
      </c>
      <c r="CL839" s="237">
        <f t="shared" si="1675"/>
        <v>0</v>
      </c>
      <c r="CM839" s="237">
        <f t="shared" si="1676"/>
        <v>0</v>
      </c>
      <c r="CN839" s="237">
        <f t="shared" si="1677"/>
        <v>1</v>
      </c>
      <c r="CO839" s="237">
        <f t="shared" si="1678"/>
        <v>0</v>
      </c>
      <c r="CP839" s="237">
        <f t="shared" si="1679"/>
        <v>0</v>
      </c>
      <c r="CQ839" s="237">
        <f t="shared" si="1680"/>
        <v>0</v>
      </c>
      <c r="CR839" s="237">
        <f t="shared" si="1681"/>
        <v>0</v>
      </c>
      <c r="CS839" s="237">
        <f t="shared" si="1682"/>
        <v>0</v>
      </c>
      <c r="CT839" s="75">
        <f t="shared" si="1683"/>
        <v>0</v>
      </c>
      <c r="CU839" s="76">
        <f t="shared" si="1684"/>
        <v>0</v>
      </c>
      <c r="CV839" s="76">
        <f t="shared" si="1685"/>
        <v>0</v>
      </c>
      <c r="CW839" s="76">
        <f t="shared" si="1686"/>
        <v>0</v>
      </c>
      <c r="CX839" s="76">
        <f t="shared" si="1687"/>
        <v>0</v>
      </c>
      <c r="CY839" s="76">
        <f t="shared" si="1688"/>
        <v>0</v>
      </c>
      <c r="CZ839" s="76">
        <f t="shared" si="1689"/>
        <v>0</v>
      </c>
      <c r="DA839" s="76">
        <f t="shared" si="1690"/>
        <v>0</v>
      </c>
      <c r="DB839" s="76">
        <f t="shared" si="1691"/>
        <v>0</v>
      </c>
      <c r="DC839" s="76">
        <f t="shared" si="1692"/>
        <v>0</v>
      </c>
      <c r="DD839" s="76">
        <f t="shared" si="1693"/>
        <v>0</v>
      </c>
      <c r="DE839" s="77">
        <f t="shared" si="1694"/>
        <v>0</v>
      </c>
      <c r="DF839" s="73">
        <f t="shared" si="1696"/>
        <v>47</v>
      </c>
      <c r="DG839" s="67">
        <f t="shared" si="1697"/>
        <v>62.775999999999989</v>
      </c>
      <c r="DH839" s="76">
        <f t="shared" si="1698"/>
        <v>18</v>
      </c>
      <c r="DI839" s="67">
        <f t="shared" si="1699"/>
        <v>76.899999999999991</v>
      </c>
      <c r="DJ839" s="202" t="str">
        <f>IF($D838="","",$D838)</f>
        <v>28</v>
      </c>
      <c r="DK839" s="466"/>
    </row>
    <row r="840" spans="1:115" ht="14.5" customHeight="1" x14ac:dyDescent="0.2">
      <c r="A840" s="390"/>
      <c r="B840" s="457"/>
      <c r="C840" s="79" t="s">
        <v>53</v>
      </c>
      <c r="D840" s="375"/>
      <c r="E840" s="387"/>
      <c r="F840" s="378"/>
      <c r="G840" s="484"/>
      <c r="H840" s="477"/>
      <c r="I840" s="82"/>
      <c r="J840" s="83"/>
      <c r="K840" s="90"/>
      <c r="L840" s="84"/>
      <c r="M840" s="85"/>
      <c r="N840" s="407"/>
      <c r="O840" s="86" t="str">
        <f>IF(OR(AE838="",AE839=""),"",IF(L840&gt;0,ROUND(IF(M840&gt;0,M840,IF(M838&gt;0,ROUND((M838*AE840)/AE838,IF(N838=0,2,IF(N838=0.1,1,0))),IF(M839&gt;0,ROUND((M839*AE840)/AE839,IF(N838=0,2,IF(N838=0.1,1,0))),IF(M840&gt;0,M840,0)))),2),""))</f>
        <v/>
      </c>
      <c r="P840" s="87" t="str">
        <f>IF(I839="Lay",O839*(L839/(L839-1))-O839,IF(I838="Lay",O838*(L838/(L838-1))-O838,IF(OR(L840="",O840=""),"",IF($C840="1/2W",O840/2+O840/2*L840,IF($C840="1/2L",O840/2,(O840*L840-O840)*(1-_xlfn.XLOOKUP(K840,'Fevereiro 2023 - Valor Real'!A3:A15,'Fevereiro 2023 - Valor Real'!C3:C15,0))+O840)))))</f>
        <v/>
      </c>
      <c r="Q840" s="238" t="str">
        <f>IF(K840="","",IF(_xlfn.XLOOKUP(K840,K$4:K839,$DJ$4:DJ839,0,,-1)=DJ840,_xlfn.XLOOKUP(K840,K$4:K839,Q$4:Q839,1,,-1)+1,1))</f>
        <v/>
      </c>
      <c r="R840" s="239" t="str">
        <f>IF(K840="","",_xlfn.XLOOKUP(K840,K$4:K839,R$4:R839,0,,-1)+IF($C840=" ",1,0))</f>
        <v/>
      </c>
      <c r="S840" s="404"/>
      <c r="T840" s="378"/>
      <c r="U840" s="378"/>
      <c r="V840" s="404"/>
      <c r="W840" s="378"/>
      <c r="X840" s="453"/>
      <c r="Y840" s="383"/>
      <c r="Z840" s="384"/>
      <c r="AA840" s="384"/>
      <c r="AB840" s="384"/>
      <c r="AC840" s="384"/>
      <c r="AD840" s="240">
        <f>((L839/(L839-1)-1))</f>
        <v>1.098901098901099</v>
      </c>
      <c r="AE840" s="91" t="str">
        <f>IF(L840="","",(SUM(((L838-1)*(1-_xlfn.XLOOKUP(K838,'Fevereiro 2023 - Valor Real'!A3:A15,'Fevereiro 2023 - Valor Real'!C3:C15,0))+1),((L839-1)*(1-_xlfn.XLOOKUP(K839,'Fevereiro 2023 - Valor Real'!A3:A15,'Fevereiro 2023 - Valor Real'!C3:C15,0))+1),((L840-1)*(1-_xlfn.XLOOKUP(K840,'Fevereiro 2023 - Valor Real'!A3:A15,'Fevereiro 2023 - Valor Real'!C3:C15,0))+1))/((L840-1)*(1-_xlfn.XLOOKUP(K840,'Fevereiro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Real'!C3:C15,0))+1))/((L838-1)*(1-_xlfn.XLOOKUP(K838,'Fevereiro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Real'!C3:C15,0))+1))/((L839-1)*(1-_xlfn.XLOOKUP(K839,'Fevereiro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Real'!C3:C15,0))+1))/((L840-1)*(1-_xlfn.XLOOKUP(K840,'Fevereiro 2023 - Valor Real'!A3:A15,'Fevereiro 2023 - Valor Real'!C3:C15,0))+1)))</f>
        <v/>
      </c>
      <c r="AF840" s="66">
        <f t="shared" si="1663"/>
        <v>0</v>
      </c>
      <c r="AG840" s="67">
        <f t="shared" si="1663"/>
        <v>0</v>
      </c>
      <c r="AH840" s="67">
        <f t="shared" si="1663"/>
        <v>0</v>
      </c>
      <c r="AI840" s="67">
        <f t="shared" si="1663"/>
        <v>0</v>
      </c>
      <c r="AJ840" s="67">
        <f t="shared" si="1663"/>
        <v>0</v>
      </c>
      <c r="AK840" s="67">
        <f t="shared" si="1663"/>
        <v>0</v>
      </c>
      <c r="AL840" s="67">
        <f t="shared" si="1663"/>
        <v>0</v>
      </c>
      <c r="AM840" s="67">
        <f t="shared" si="1663"/>
        <v>0</v>
      </c>
      <c r="AN840" s="67">
        <f t="shared" si="1663"/>
        <v>0</v>
      </c>
      <c r="AO840" s="67">
        <f t="shared" si="1663"/>
        <v>0</v>
      </c>
      <c r="AP840" s="67">
        <f t="shared" si="1663"/>
        <v>0</v>
      </c>
      <c r="AQ840" s="67">
        <f t="shared" si="1663"/>
        <v>0</v>
      </c>
      <c r="AR840" s="68">
        <f t="shared" si="1663"/>
        <v>0</v>
      </c>
      <c r="AS840" s="66">
        <f>IF(AND($B838=" ",$K840=AS$3),$O840,0)</f>
        <v>0</v>
      </c>
      <c r="AT840" s="67">
        <f>IF(AND($B838=" ",K840=AT$3),$O840,0)</f>
        <v>0</v>
      </c>
      <c r="AU840" s="67">
        <f t="shared" ref="AU840:BE840" si="1703">IF(AND($B838=" ",$K840=AU$3),$O840,0)</f>
        <v>0</v>
      </c>
      <c r="AV840" s="67">
        <f t="shared" si="1703"/>
        <v>0</v>
      </c>
      <c r="AW840" s="67">
        <f t="shared" si="1703"/>
        <v>0</v>
      </c>
      <c r="AX840" s="67">
        <f t="shared" si="1703"/>
        <v>0</v>
      </c>
      <c r="AY840" s="69">
        <f t="shared" si="1703"/>
        <v>0</v>
      </c>
      <c r="AZ840" s="70">
        <f t="shared" si="1703"/>
        <v>0</v>
      </c>
      <c r="BA840" s="70">
        <f t="shared" si="1703"/>
        <v>0</v>
      </c>
      <c r="BB840" s="70">
        <f t="shared" si="1703"/>
        <v>0</v>
      </c>
      <c r="BC840" s="71">
        <f t="shared" si="1703"/>
        <v>0</v>
      </c>
      <c r="BD840" s="67">
        <f t="shared" si="1703"/>
        <v>0</v>
      </c>
      <c r="BE840" s="68">
        <f t="shared" si="1703"/>
        <v>0</v>
      </c>
      <c r="BF840" s="66">
        <f t="shared" si="1665"/>
        <v>0</v>
      </c>
      <c r="BG840" s="67">
        <f t="shared" si="1665"/>
        <v>0</v>
      </c>
      <c r="BH840" s="67">
        <f t="shared" si="1665"/>
        <v>0</v>
      </c>
      <c r="BI840" s="67">
        <f t="shared" si="1665"/>
        <v>0</v>
      </c>
      <c r="BJ840" s="67">
        <f t="shared" si="1665"/>
        <v>0</v>
      </c>
      <c r="BK840" s="67">
        <f t="shared" si="1665"/>
        <v>0</v>
      </c>
      <c r="BL840" s="67">
        <f t="shared" si="1665"/>
        <v>0</v>
      </c>
      <c r="BM840" s="69">
        <f t="shared" si="1665"/>
        <v>0</v>
      </c>
      <c r="BN840" s="70">
        <f t="shared" si="1665"/>
        <v>0</v>
      </c>
      <c r="BO840" s="70">
        <f t="shared" si="1665"/>
        <v>0</v>
      </c>
      <c r="BP840" s="70">
        <f t="shared" si="1665"/>
        <v>0</v>
      </c>
      <c r="BQ840" s="71">
        <f t="shared" si="1665"/>
        <v>0</v>
      </c>
      <c r="BR840" s="68">
        <f t="shared" si="1665"/>
        <v>0</v>
      </c>
      <c r="BS840" s="464"/>
      <c r="BT840" s="461"/>
      <c r="BU840" s="392"/>
      <c r="BV840" s="461"/>
      <c r="BW840" s="392"/>
      <c r="BX840" s="392"/>
      <c r="BY840" s="392"/>
      <c r="BZ840" s="461"/>
      <c r="CA840" s="392"/>
      <c r="CB840" s="392"/>
      <c r="CC840" s="392"/>
      <c r="CD840" s="401"/>
      <c r="CE840" s="409"/>
      <c r="CF840" s="236">
        <f t="shared" si="1669"/>
        <v>0</v>
      </c>
      <c r="CG840" s="237">
        <f t="shared" si="1670"/>
        <v>0</v>
      </c>
      <c r="CH840" s="237">
        <f t="shared" si="1671"/>
        <v>0</v>
      </c>
      <c r="CI840" s="237">
        <f t="shared" si="1672"/>
        <v>0</v>
      </c>
      <c r="CJ840" s="237">
        <f t="shared" si="1673"/>
        <v>0</v>
      </c>
      <c r="CK840" s="237">
        <f t="shared" si="1674"/>
        <v>0</v>
      </c>
      <c r="CL840" s="237">
        <f t="shared" si="1675"/>
        <v>0</v>
      </c>
      <c r="CM840" s="237">
        <f t="shared" si="1676"/>
        <v>0</v>
      </c>
      <c r="CN840" s="237">
        <f t="shared" si="1677"/>
        <v>0</v>
      </c>
      <c r="CO840" s="237">
        <f t="shared" si="1678"/>
        <v>0</v>
      </c>
      <c r="CP840" s="237">
        <f t="shared" si="1679"/>
        <v>0</v>
      </c>
      <c r="CQ840" s="237">
        <f t="shared" si="1680"/>
        <v>0</v>
      </c>
      <c r="CR840" s="237">
        <f t="shared" si="1681"/>
        <v>0</v>
      </c>
      <c r="CS840" s="237">
        <f t="shared" si="1682"/>
        <v>0</v>
      </c>
      <c r="CT840" s="75">
        <f t="shared" si="1683"/>
        <v>0</v>
      </c>
      <c r="CU840" s="76">
        <f t="shared" si="1684"/>
        <v>0</v>
      </c>
      <c r="CV840" s="76">
        <f t="shared" si="1685"/>
        <v>0</v>
      </c>
      <c r="CW840" s="76">
        <f t="shared" si="1686"/>
        <v>0</v>
      </c>
      <c r="CX840" s="76">
        <f t="shared" si="1687"/>
        <v>0</v>
      </c>
      <c r="CY840" s="76">
        <f t="shared" si="1688"/>
        <v>0</v>
      </c>
      <c r="CZ840" s="76">
        <f t="shared" si="1689"/>
        <v>0</v>
      </c>
      <c r="DA840" s="76">
        <f t="shared" si="1690"/>
        <v>0</v>
      </c>
      <c r="DB840" s="76">
        <f t="shared" si="1691"/>
        <v>0</v>
      </c>
      <c r="DC840" s="76">
        <f t="shared" si="1692"/>
        <v>0</v>
      </c>
      <c r="DD840" s="76">
        <f t="shared" si="1693"/>
        <v>0</v>
      </c>
      <c r="DE840" s="77">
        <f t="shared" si="1694"/>
        <v>0</v>
      </c>
      <c r="DF840" s="73">
        <f t="shared" si="1696"/>
        <v>47</v>
      </c>
      <c r="DG840" s="67">
        <f t="shared" si="1697"/>
        <v>62.775999999999989</v>
      </c>
      <c r="DH840" s="76">
        <f t="shared" si="1698"/>
        <v>18</v>
      </c>
      <c r="DI840" s="67">
        <f t="shared" si="1699"/>
        <v>76.899999999999991</v>
      </c>
      <c r="DJ840" s="202" t="str">
        <f>IF($D838="","",$D838)</f>
        <v>28</v>
      </c>
      <c r="DK840" s="466"/>
    </row>
    <row r="841" spans="1:115" ht="14.5" customHeight="1" x14ac:dyDescent="0.2">
      <c r="A841" s="459">
        <f>$A838+1</f>
        <v>280</v>
      </c>
      <c r="B841" s="507" t="str">
        <f>IF(OR(C841="W",C842="W",C843="W",C841="1/2W",C842="1/2W",C843="1/2W",C841="1/2L",C842="1/2L",C843="1/2L"),"OK",IF(OR(C841="L",C842="L",C843="L"),"LOSS",IF(OR(C841="X",C842="X",C843="X"),"Anulado"," ")))</f>
        <v>OK</v>
      </c>
      <c r="C841" s="93" t="s">
        <v>54</v>
      </c>
      <c r="D841" s="468" t="str">
        <f>IF(G841="","",$D838)</f>
        <v>28</v>
      </c>
      <c r="E841" s="485" t="str">
        <f>IF(G841=""," ","– "&amp;COUNTIF(D$4:D843,$D841))</f>
        <v>– 11</v>
      </c>
      <c r="F841" s="509" t="str">
        <f ca="1">IF(G841="","",IF(OR(AND($C841&lt;&gt;" ",$C842=" "),AND($C842&lt;&gt;" ",$C841=" "),AND(L843&gt;0,OR(AND($C843&lt;&gt;" ",OR($C841=" ",$C842=" ")),AND($C843=" ",OR($C841&lt;&gt;" ",$C842&lt;&gt;" "))))),IF(SUM(F$4:F840)=0,1,LARGE(F$4:F840,1)+1),IF(MONTH(G841)=MONTH(TODAY()),IF(AND(DAY(G841)&lt;DAY(TODAY()),$B841=" "),IF(SUM(F$4:F840)=0,1,LARGE(F$4:F840,1)+1),IF($B841=" ",IF(AND(DAY(G841)=DAY(TODAY()),HOUR(G841)&lt;=HOUR(NOW())+1),IF(AND(HOUR(G841)+2&lt;=HOUR(NOW()),DAY(G841)&lt;=DAY(TODAY()),MINUTE(G841)&lt;=MINUTE(NOW())),IF(SUM(F$4:F840)=0,1,LARGE(F$4:F840,1)+1),IF(OR(MINUTE(G841)&lt;=MINUTE(NOW()),HOUR(G841)&lt;=HOUR(NOW())),"!!!","")),""),"")),"")))</f>
        <v/>
      </c>
      <c r="G841" s="482">
        <f>IF(H841="","",_xlfn.XLOOKUP(H841,$H$4:H840,$G$4:G840,""))</f>
        <v>45013.875</v>
      </c>
      <c r="H841" s="475" t="s">
        <v>267</v>
      </c>
      <c r="I841" s="94" t="s">
        <v>72</v>
      </c>
      <c r="J841" s="176"/>
      <c r="K841" s="96" t="s">
        <v>36</v>
      </c>
      <c r="L841" s="97">
        <v>1.363</v>
      </c>
      <c r="M841" s="98">
        <v>200</v>
      </c>
      <c r="N841" s="478">
        <v>0</v>
      </c>
      <c r="O841" s="99">
        <f>IF(OR(AE841="",AE842=""),"",ROUND(IF(L843&gt;0,IF(M841&gt;0,M841,IF(M842&gt;0,ROUND((M842*AE841)/AE842,IF(N841=0,2,IF(N841=0.1,1,0))),ROUND((M843*AE841)/AE843,IF(N841=0,2,IF(N841=0.1,1,0))))),IF(M841&gt;0,M841,ROUND((M842*AE841)/AE842,IF(N841=0,2,IF(N841=0.1,1,0))))),2))</f>
        <v>200</v>
      </c>
      <c r="P841" s="100">
        <f>IF(OR(L841="",O841=""),"",IF($C841="1/2W",O841/2+O841/2*L841,IF($C841="1/2L",O841/2,IF(I841="Lay",(O841*(L841/(L841-1))-O841)*(1-_xlfn.XLOOKUP(K841,'Fevereiro 2023 - Valor Real'!A3:A15,'Fevereiro 2023 - Valor Real'!C3:C15,0))+O841,(O841*L841-O841)*(1-_xlfn.XLOOKUP(K841,'Fevereiro 2023 - Valor Real'!A3:A15,'Fevereiro 2023 - Valor Real'!C3:C15,0))+O841))))</f>
        <v>272.60000000000002</v>
      </c>
      <c r="Q841" s="101">
        <f>IF(K841="","",IF(_xlfn.XLOOKUP(K841,K$4:K840,$DJ$4:DJ840,0,,-1)=DJ841,_xlfn.XLOOKUP(K841,K$4:K840,Q$4:Q840,1,,-1)+1,1))</f>
        <v>4</v>
      </c>
      <c r="R841" s="102">
        <f>IF(K841="","",_xlfn.XLOOKUP(K841,K$4:K840,R$4:R840,0,,-1)+IF($C841=" ",1,0))</f>
        <v>0</v>
      </c>
      <c r="S841" s="474">
        <f>IF($B841="Anulado",0,ROUND(IF(OR($B841="LOSS",$B841="OK"),IF(OR($C841="W",$C841="1/2W",$C841="1/2L"),P841-O841,IF($C841="L",-O841,0))+IF(OR($C842="W",$C842="1/2W",$C842="1/2L"),P842-O842,IF($C842="L",-O842,0))+IF(OR($C843="W",$C843="1/2W",$C843="1/2L"),P843-O843,IF($C843="L",-O843,0)),IF(AND(OR($C841="W",$C841="1/2W",$C841="1/2L"),C842="W"),P841+P842-SUM(O841:O843)+_xlfn.XLOOKUP("X",C841:C843,O841:O843,0),IF(AND(C841=TRUE,C843="W"),P841+P843-SUM(O841:O843),IF(AND(C842="W",C843="W"),P842+P843-SUM(O841:O843)+_xlfn.XLOOKUP("X",C841:C843,O841:O843,0),IF(L843&gt;0,IF(OR($C841="W",$C841="1/2W",$C841="1/2L"),P841-SUM(O841:O843)+_xlfn.XLOOKUP("X",C841:C843,O841:O843,0),IF(OR($C841="W",$C841="1/2W",$C841="1/2L"),P842-SUM(O841:O843)+_xlfn.XLOOKUP("X",C841:C843,O841:O843,0),IF(OR($C841="W",$C841="1/2W",$C841="1/2L"),P843-SUM(O841:O843)+_xlfn.XLOOKUP("X",C841:C843,O841:O843,0),IF(SUM(P841:P843)/3-SUM(O841:O843)+_xlfn.XLOOKUP("X",C841:C843,O841:O843,0)&gt;0,SUM(P841:P843)/3-SUM(O841:O843)+_xlfn.XLOOKUP("X",C841:C843,O841:O843,0),LARGE(P841:P843,1)-SUM(O841:O843))))),IF(OR($C841="W",$C841="1/2W",$C841="1/2L"),P841-SUM(O841:O842)+_xlfn.XLOOKUP("X",C841:C843,O841:O843,0),IF(OR($C841="W",$C841="1/2W",$C841="1/2L"),P842-SUM(O841:O842)+_xlfn.XLOOKUP("X",C841:C843,O841:O843,0),SUM(P841:P842)/2-SUM(O841:O842)+_xlfn.XLOOKUP("X",C841:C843,O841:O843,0)))))))),2))</f>
        <v>72.599999999999994</v>
      </c>
      <c r="T841" s="458">
        <f>IF(S841=0,0,S841/SUM(O841:O843))</f>
        <v>0.24959603946780345</v>
      </c>
      <c r="U841" s="470">
        <f>IF($D841=$D838,IF(OR($B841="LOSS",$B841="OK",$B841="Anulada"),S841,0)+U838,IF(OR($B841="LOSS",$B841="OK",$B841="Anulada"),S841,0))</f>
        <v>80.61</v>
      </c>
      <c r="V841" s="470">
        <f>IF($D841="",0,IF($D841=$D838,IF($B841=" ",IF(I843="",IF(OR(AND(I841="DNB1",I842="DNB2"),AND(OR(I841="DNB1",I841="DNB2"),J842=0),AND(OR(I842="DNB1",I842="DNB2"),J841=0),AND(I841="DNB2",I842="DNB1"),AND(IF(J841=0,(J841+1)/ROUND(J841+1,0),J841/ROUND(J841,0))=1,IF(J842=0,(J842+1)/ROUND(IF(J842="",0,J842)+1,0),IF(J842="",0,J842)/ROUND(IF(J842="",1,J842),0))=1,OR(J841&lt;&gt;""),J842&lt;&gt;"")),0,IF(S841&lt;0,IF(I843="",SMALL(P841:P842,1)-SUM(O841:O842),0),SMALL(P841:P842,1)-SUM(O841:O842))),IF(S841&lt;0,IF(I843="",SMALL(P841:P843,1)-SUM(O841:O843),0),LARGE(P841:P843,1)-SUM(O841:O843))),S841)+V838,IF(I843="",IF(OR(AND(I841="DNB1",I842="DNB2"),AND(OR(I841="DNB1",I841="DNB2"),J842=0),AND(OR(I842="DNB1",I842="DNB2"),J841=0),AND(I841="DNB2",I842="DNB1"),AND(IF(J841=0,(J841+1)/ROUND(J841+1,0),J841/ROUND(J841,0))=1,IF(J842=0,(IF(J842="",0,J842)+1)/ROUND(IF(J842="",0,J842)+1,0),IF(J842="",0,J842)/ROUND(IF(J842="",0,J842)+1,0))=1,OR(J841&lt;&gt;""),J842&lt;&gt;"")),0,IF(S841&lt;0,IF(I843="",SMALL(P841:P842,1)-SUM(O841:O842),0),SMALL(P841:P843,1)-SUM(O841:O843))),IF(S841&lt;0,IF(I843="",SMALL(P841:P843,1)-SUM(O841:O843),0),LARGE(P841:P843,1)-SUM(O841:O843)))))</f>
        <v>80.577999999999989</v>
      </c>
      <c r="W841" s="470">
        <f>IF($D841=$D838,IF(S841&lt;0,IF(I843="",S841,0),S841)+W838,S841)</f>
        <v>92.72999999999999</v>
      </c>
      <c r="X841" s="480" t="str">
        <f>IF(OR(SUM(R841:R843)=0,V841=W841),ROUND(IF(W841=0,0,W841/Y841)*100,2)&amp;"%",ROUND(IF(V841=0,0,V841/Y841)*100,2)&amp;"% a "&amp;ROUND(IF(W841=0,0,W841/Y841)*100,2)&amp;"%")</f>
        <v>15,91%</v>
      </c>
      <c r="Y841" s="471">
        <f>IF($D841=$D838,Y838+SUM(O841:O843),SUM(O841:O843))</f>
        <v>582.84</v>
      </c>
      <c r="Z841" s="470">
        <f>IF($B841=" ",SUM(O841:O843),0)+Z838</f>
        <v>0</v>
      </c>
      <c r="AA841" s="470">
        <f>IF(G841="","",IF($B841="Anulado",LARGE(P841:P843,1)-SUM(O841:O843)+AA838,AA838))</f>
        <v>13.381099999999991</v>
      </c>
      <c r="AB841" s="470">
        <f>IF($D841="","",AB838+S841)</f>
        <v>975.6200000000008</v>
      </c>
      <c r="AC841" s="472">
        <f ca="1">IF($D841="","",IF($B841=" ",IF(DAY(G841)=DAY(TODAY()),1+AC838,0+AC838),0+AC838))</f>
        <v>0</v>
      </c>
      <c r="AD841" s="103">
        <f>(((L842/(L842-1)-1)*(1-_xlfn.XLOOKUP(K842,'Fevereiro 2023 - Valor Real'!A3:A15,'Fevereiro 2023 - Valor Real'!C3:C15,0))+1))/(((L841-1)*(1-_xlfn.XLOOKUP(K841,'Fevereiro 2023 - Valor Real'!A3:A15,'Fevereiro 2023 - Valor Real'!C3:C15,0))+1)+((L842/(L842-1)-1)*(1-_xlfn.XLOOKUP(K842,'Fevereiro 2023 - Valor Real'!A3:A15,'Fevereiro 2023 - Valor Real'!C3:C15,0))+1))</f>
        <v>0.52392595179881241</v>
      </c>
      <c r="AE841" s="104">
        <f>IF(L841="","",IF(L843&gt;0,(SUM(((L841-1)*(1-_xlfn.XLOOKUP(K841,'Fevereiro 2023 - Valor Real'!A3:A15,'Fevereiro 2023 - Valor Real'!C3:C15,0))+1),((L842-1)*(1-_xlfn.XLOOKUP(K842,'Fevereiro 2023 - Valor Real'!A3:A15,'Fevereiro 2023 - Valor Real'!C3:C15,0))+1),((L843-1)*(1-_xlfn.XLOOKUP(K843,'Fevereiro 2023 - Valor Real'!A3:A15,'Fevereiro 2023 - Valor Real'!C3:C15,0))+1))/((L841-1)*(1-_xlfn.XLOOKUP(K841,'Fevereiro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Real'!C3:C15,0))+1))/((L841-1)*(1-_xlfn.XLOOKUP(K841,'Fevereiro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Real'!C3:C15,0))+1))/((L842-1)*(1-_xlfn.XLOOKUP(K842,'Fevereiro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Real'!C3:C15,0))+1))/((L843-1)*(1-_xlfn.XLOOKUP(K843,'Fevereiro 2023 - Valor Real'!A3:A15,'Fevereiro 2023 - Valor Real'!C3:C15,0))+1)),IF(I841="Lay",IF(I842="Lay",((L842/(L842-1)-1)*(1-_xlfn.XLOOKUP(K842,'Fevereiro 2023 - Valor Real'!A3:A15,'Fevereiro 2023 - Valor Real'!C3:C15,0))+1)/(((L842/(L842-1)-1)*(1-_xlfn.XLOOKUP(K842,'Fevereiro 2023 - Valor Real'!A3:A15,'Fevereiro 2023 - Valor Real'!C3:C15,0))+1)+((L841/(L841-1)-1)*(1-_xlfn.XLOOKUP(K841,'Fevereiro 2023 - Valor Real'!A3:A15,'Fevereiro 2023 - Valor Real'!C3:C15,0))+1)),((L842-1)*(1-_xlfn.XLOOKUP(K842,'Fevereiro 2023 - Valor Real'!A3:A15,'Fevereiro 2023 - Valor Real'!C3:C15,0))+1)/(((L842-1)*(1-_xlfn.XLOOKUP(K842,'Fevereiro 2023 - Valor Real'!A3:A15,'Fevereiro 2023 - Valor Real'!C3:C15,0))+1)+((L841/(L841-1)-1)*(1-_xlfn.XLOOKUP(K841,'Fevereiro 2023 - Valor Real'!A3:A15,'Fevereiro 2023 - Valor Real'!C3:C15,0))+1))),IF(I842="Lay",(((L842/(L842-1)-1)*(1-_xlfn.XLOOKUP(K842,'Fevereiro 2023 - Valor Real'!A3:A15,'Fevereiro 2023 - Valor Real'!C3:C15,0))+1))/(((L841-1)*(1-_xlfn.XLOOKUP(K841,'Fevereiro 2023 - Valor Real'!A3:A15,'Fevereiro 2023 - Valor Real'!C3:C15,0))+1)+((L842/(L842-1)-1)*(1-_xlfn.XLOOKUP(K842,'Fevereiro 2023 - Valor Real'!A3:A15,'Fevereiro 2023 - Valor Real'!C3:C15,0))+1)),((L842-1)*(1-_xlfn.XLOOKUP(K842,'Fevereiro 2023 - Valor Real'!A3:A15,'Fevereiro 2023 - Valor Real'!C3:C15,0))+1)/(((L842-1)*(1-_xlfn.XLOOKUP(K842,'Fevereiro 2023 - Valor Real'!A3:A15,'Fevereiro 2023 - Valor Real'!C3:C15,0))+1)+((L841-1)*(1-_xlfn.XLOOKUP(K841,'Fevereiro 2023 - Valor Real'!A3:A15,'Fevereiro 2023 - Valor Real'!C3:C15,0))+1))))))</f>
        <v>0.68760027504011012</v>
      </c>
      <c r="AF841" s="105">
        <f t="shared" si="1663"/>
        <v>72.599999999999994</v>
      </c>
      <c r="AG841" s="106">
        <f t="shared" si="1663"/>
        <v>0</v>
      </c>
      <c r="AH841" s="106">
        <f t="shared" si="1663"/>
        <v>0</v>
      </c>
      <c r="AI841" s="106">
        <f t="shared" si="1663"/>
        <v>0</v>
      </c>
      <c r="AJ841" s="106">
        <f t="shared" si="1663"/>
        <v>0</v>
      </c>
      <c r="AK841" s="106">
        <f t="shared" si="1663"/>
        <v>0</v>
      </c>
      <c r="AL841" s="106">
        <f t="shared" si="1663"/>
        <v>0</v>
      </c>
      <c r="AM841" s="106">
        <f t="shared" si="1663"/>
        <v>0</v>
      </c>
      <c r="AN841" s="106">
        <f t="shared" si="1663"/>
        <v>0</v>
      </c>
      <c r="AO841" s="106">
        <f t="shared" si="1663"/>
        <v>0</v>
      </c>
      <c r="AP841" s="106">
        <f t="shared" si="1663"/>
        <v>0</v>
      </c>
      <c r="AQ841" s="106">
        <f t="shared" si="1663"/>
        <v>0</v>
      </c>
      <c r="AR841" s="107">
        <f t="shared" si="1663"/>
        <v>0</v>
      </c>
      <c r="AS841" s="105">
        <f t="shared" ref="AS841:BE841" si="1704">IF(AND($B841=" ",$K841=AS$3),$O841,0)</f>
        <v>0</v>
      </c>
      <c r="AT841" s="106">
        <f t="shared" si="1704"/>
        <v>0</v>
      </c>
      <c r="AU841" s="106">
        <f t="shared" si="1704"/>
        <v>0</v>
      </c>
      <c r="AV841" s="106">
        <f t="shared" si="1704"/>
        <v>0</v>
      </c>
      <c r="AW841" s="106">
        <f t="shared" si="1704"/>
        <v>0</v>
      </c>
      <c r="AX841" s="106">
        <f t="shared" si="1704"/>
        <v>0</v>
      </c>
      <c r="AY841" s="108">
        <f t="shared" si="1704"/>
        <v>0</v>
      </c>
      <c r="AZ841" s="109">
        <f t="shared" si="1704"/>
        <v>0</v>
      </c>
      <c r="BA841" s="109">
        <f t="shared" si="1704"/>
        <v>0</v>
      </c>
      <c r="BB841" s="109">
        <f t="shared" si="1704"/>
        <v>0</v>
      </c>
      <c r="BC841" s="110">
        <f t="shared" si="1704"/>
        <v>0</v>
      </c>
      <c r="BD841" s="106">
        <f t="shared" si="1704"/>
        <v>0</v>
      </c>
      <c r="BE841" s="107">
        <f t="shared" si="1704"/>
        <v>0</v>
      </c>
      <c r="BF841" s="111">
        <f t="shared" si="1665"/>
        <v>200</v>
      </c>
      <c r="BG841" s="106">
        <f t="shared" si="1665"/>
        <v>0</v>
      </c>
      <c r="BH841" s="106">
        <f t="shared" si="1665"/>
        <v>0</v>
      </c>
      <c r="BI841" s="106">
        <f t="shared" si="1665"/>
        <v>0</v>
      </c>
      <c r="BJ841" s="106">
        <f t="shared" si="1665"/>
        <v>0</v>
      </c>
      <c r="BK841" s="106">
        <f t="shared" si="1665"/>
        <v>0</v>
      </c>
      <c r="BL841" s="106">
        <f t="shared" si="1665"/>
        <v>0</v>
      </c>
      <c r="BM841" s="108">
        <f t="shared" si="1665"/>
        <v>0</v>
      </c>
      <c r="BN841" s="109">
        <f t="shared" si="1665"/>
        <v>0</v>
      </c>
      <c r="BO841" s="109">
        <f t="shared" si="1665"/>
        <v>0</v>
      </c>
      <c r="BP841" s="109">
        <f t="shared" si="1665"/>
        <v>0</v>
      </c>
      <c r="BQ841" s="110">
        <f t="shared" si="1665"/>
        <v>0</v>
      </c>
      <c r="BR841" s="107">
        <f t="shared" si="1665"/>
        <v>0</v>
      </c>
      <c r="BS841" s="463">
        <f>IF($B841="LOSS",IF(AND($K841=BS$3,$C841="L"),-$O841,0)+IF(AND($K842=BS$3,$C842="L"),-$O842,0)+IF(AND($K843=BS$3,$C843="L"),-$O843,0),IF(OR(AND($K841=BS$3,OR($C841="W",$C841="1/2W")),AND($K842=BS$3,OR($C842="W",$C842="1/2W")),AND($K843=BS$3,OR($C843="W",$C843="1/2W"))),$S841,0))</f>
        <v>72.599999999999994</v>
      </c>
      <c r="BT841" s="462">
        <f>IF($B841="LOSS",IF(AND($K841=BT$3,$C841="L"),-$O841,0)+IF(AND($K842=BT$3,$C842="L"),-$O842,0)+IF(AND($K842=BT$3,$C843="L"),-$O843,0),IF(OR(AND($K842=BT$3,OR($C841="W",$C841="1/2W")),AND($K842=BT$3,OR($C842="W",$C842="1/2W")),AND($K842=BT$3,OR($C843="W",$C843="1/2W"))),$S841,0))</f>
        <v>0</v>
      </c>
      <c r="BU841" s="462">
        <f>IF($B841="LOSS",IF(AND($K841=BU$3,$C841="L"),-$O841,0)+IF(AND($K842=BU$3,$C842="L"),-$O842,0)+IF(AND($K842=BU$3,$C843="L"),-$O843,0),IF(OR(AND($K842=BU$3,OR($C841="W",$C841="1/2W")),AND($K842=BU$3,OR($C842="W",$C842="1/2W")),AND($K842=BU$3,OR($C843="W",$C843="1/2W"))),$S841,0))</f>
        <v>0</v>
      </c>
      <c r="BV841" s="462">
        <f t="shared" ref="BV841:CE841" si="1705">IF($B841="LOSS",IF(AND($K841=BV$3,$C841="L"),-$O841,0)+IF(AND($K842=BV$3,$C842="L"),-$O842,0)+IF(AND($K843=BV$3,$C843="L"),-$O843,0),IF(OR(AND($K841=BV$3,OR($C841="W",$C841="1/2W")),AND($K842=BV$3,OR($C842="W",$C842="1/2W")),AND($K843=BV$3,OR($C843="W",$C843="1/2W"))),$S841,0))</f>
        <v>0</v>
      </c>
      <c r="BW841" s="462">
        <f t="shared" si="1705"/>
        <v>0</v>
      </c>
      <c r="BX841" s="462">
        <f t="shared" si="1705"/>
        <v>0</v>
      </c>
      <c r="BY841" s="462">
        <f t="shared" si="1705"/>
        <v>0</v>
      </c>
      <c r="BZ841" s="460">
        <f t="shared" si="1705"/>
        <v>0</v>
      </c>
      <c r="CA841" s="460">
        <f t="shared" si="1705"/>
        <v>0</v>
      </c>
      <c r="CB841" s="460">
        <f t="shared" si="1705"/>
        <v>0</v>
      </c>
      <c r="CC841" s="460">
        <f t="shared" si="1705"/>
        <v>0</v>
      </c>
      <c r="CD841" s="473">
        <f t="shared" si="1705"/>
        <v>0</v>
      </c>
      <c r="CE841" s="479">
        <f t="shared" si="1705"/>
        <v>0</v>
      </c>
      <c r="CF841" s="113">
        <f t="shared" si="1669"/>
        <v>1</v>
      </c>
      <c r="CG841" s="114">
        <f t="shared" si="1670"/>
        <v>0</v>
      </c>
      <c r="CH841" s="114">
        <f t="shared" si="1671"/>
        <v>0</v>
      </c>
      <c r="CI841" s="114">
        <f t="shared" si="1672"/>
        <v>0</v>
      </c>
      <c r="CJ841" s="114">
        <f t="shared" si="1673"/>
        <v>0</v>
      </c>
      <c r="CK841" s="114">
        <f t="shared" si="1674"/>
        <v>0</v>
      </c>
      <c r="CL841" s="114">
        <f t="shared" si="1675"/>
        <v>0</v>
      </c>
      <c r="CM841" s="114">
        <f t="shared" si="1676"/>
        <v>0</v>
      </c>
      <c r="CN841" s="114">
        <f t="shared" si="1677"/>
        <v>0</v>
      </c>
      <c r="CO841" s="114">
        <f t="shared" si="1678"/>
        <v>0</v>
      </c>
      <c r="CP841" s="114">
        <f t="shared" si="1679"/>
        <v>0</v>
      </c>
      <c r="CQ841" s="114">
        <f t="shared" si="1680"/>
        <v>0</v>
      </c>
      <c r="CR841" s="114">
        <f t="shared" si="1681"/>
        <v>0</v>
      </c>
      <c r="CS841" s="114">
        <f t="shared" si="1682"/>
        <v>0</v>
      </c>
      <c r="CT841" s="115">
        <f t="shared" si="1683"/>
        <v>0</v>
      </c>
      <c r="CU841" s="116">
        <f t="shared" si="1684"/>
        <v>0</v>
      </c>
      <c r="CV841" s="116">
        <f t="shared" si="1685"/>
        <v>0</v>
      </c>
      <c r="CW841" s="116">
        <f t="shared" si="1686"/>
        <v>0</v>
      </c>
      <c r="CX841" s="116">
        <f t="shared" si="1687"/>
        <v>0</v>
      </c>
      <c r="CY841" s="116">
        <f t="shared" si="1688"/>
        <v>0</v>
      </c>
      <c r="CZ841" s="116">
        <f t="shared" si="1689"/>
        <v>0</v>
      </c>
      <c r="DA841" s="116">
        <f t="shared" si="1690"/>
        <v>0</v>
      </c>
      <c r="DB841" s="116">
        <f t="shared" si="1691"/>
        <v>0</v>
      </c>
      <c r="DC841" s="116">
        <f t="shared" si="1692"/>
        <v>0</v>
      </c>
      <c r="DD841" s="116">
        <f t="shared" si="1693"/>
        <v>0</v>
      </c>
      <c r="DE841" s="117">
        <f t="shared" si="1694"/>
        <v>0</v>
      </c>
      <c r="DF841" s="118">
        <f t="shared" si="1696"/>
        <v>48</v>
      </c>
      <c r="DG841" s="106">
        <f t="shared" si="1697"/>
        <v>64.138999999999996</v>
      </c>
      <c r="DH841" s="116">
        <f t="shared" si="1698"/>
        <v>18</v>
      </c>
      <c r="DI841" s="106">
        <f t="shared" si="1699"/>
        <v>76.899999999999991</v>
      </c>
      <c r="DJ841" s="201" t="str">
        <f>IF($D841="","",$D841)</f>
        <v>28</v>
      </c>
      <c r="DK841" s="465">
        <f>IF(AND($B841=" ",$D841&lt;&gt;""),1,0)</f>
        <v>0</v>
      </c>
    </row>
    <row r="842" spans="1:115" ht="14.5" customHeight="1" x14ac:dyDescent="0.2">
      <c r="A842" s="389"/>
      <c r="B842" s="456"/>
      <c r="C842" s="120" t="s">
        <v>49</v>
      </c>
      <c r="D842" s="374"/>
      <c r="E842" s="386"/>
      <c r="F842" s="377"/>
      <c r="G842" s="483"/>
      <c r="H842" s="476"/>
      <c r="I842" s="208"/>
      <c r="J842" s="179" t="str">
        <f>IF(OR(I841="TO",I841="TU",I841="TO1",I841="TU1",I841="TO2",I841="TU2"),J841,IF(OR(I841="AH1",I841="AH2"),IF(OR(I842="AH1",I842="AH2"),-J841,IF(OR(I842="EH1",I842="EH2"),-J841+0.5,"")),IF(OR(I841="EH1",I841="EH2"),IF(OR(I842="AH1",I842="AH2"),-J841+0.5,IF(OR(I842="EH1",I842="EH2"),-J841+1,"")),IF(AND(OR(I841="DNB1",I841="DNB2"),OR(I842="AH1",I842="AH2")),0,IF(AND(I841="Not ScoreBoth",OR(I842="TO1",I842="TO2")),0.5,"")))))</f>
        <v/>
      </c>
      <c r="K842" s="123" t="s">
        <v>36</v>
      </c>
      <c r="L842" s="124">
        <v>3</v>
      </c>
      <c r="M842" s="125"/>
      <c r="N842" s="406"/>
      <c r="O842" s="126">
        <f>IF(OR(AE841="",AE842=""),"",ROUND(IF(L843&gt;0,IF(M842&gt;0,M842,IF(M841&gt;0,IF(N841=TRUE,ROUND((M841*AE842)/AE841,0),(M841*AE842)/AE841),IF(M842&gt;0,ROUND(M842,IF(N841=0,2,IF(N841=0.1,1,0))),IF(M843&gt;0,ROUND(O843*AE842/AE843,IF(N841=0,2,IF(N841=0.1,1,0))),0)))),IF(M842&gt;0,M842,ROUND((M841*AE842)/AE841,IF(N841=0,2,IF(N841=0.1,1,0))))),2))</f>
        <v>90.87</v>
      </c>
      <c r="P842" s="127">
        <f>IF(OR(L842="",O842=""),"",IF($C842="1/2W",O842/2+O842/2*L842,IF($C842="1/2L",O842/2,IF(I842="Lay",((O842*(L842/(L842-1)))-O842)*(1-_xlfn.XLOOKUP(K842,'Fevereiro 2023 - Valor Real'!A3:A15,'Fevereiro 2023 - Valor Real'!C3:C15,0))+O842,(O842*L842-O842)*(1-_xlfn.XLOOKUP(K842,'Fevereiro 2023 - Valor Real'!A3:A15,'Fevereiro 2023 - Valor Real'!C3:C15,0))+O842))))</f>
        <v>272.61</v>
      </c>
      <c r="Q842" s="128">
        <f>IF(K842="","",IF(_xlfn.XLOOKUP(K842,K$4:K841,$DJ$4:DJ841,0,,-1)=DJ842,_xlfn.XLOOKUP(K842,K$4:K841,Q$4:Q841,1,,-1)+1,1))</f>
        <v>5</v>
      </c>
      <c r="R842" s="129">
        <f>IF(K842="","",_xlfn.XLOOKUP(K842,K$4:K841,R$4:R841,0,,-1)+IF($C842=" ",1,0))</f>
        <v>0</v>
      </c>
      <c r="S842" s="403"/>
      <c r="T842" s="380"/>
      <c r="U842" s="380"/>
      <c r="V842" s="481"/>
      <c r="W842" s="380"/>
      <c r="X842" s="452"/>
      <c r="Y842" s="383"/>
      <c r="Z842" s="384"/>
      <c r="AA842" s="384"/>
      <c r="AB842" s="384"/>
      <c r="AC842" s="384"/>
      <c r="AD842" s="130">
        <f>(((L842/(L842-1)-1)*(1-_xlfn.XLOOKUP(K842,'Fevereiro 2023 - Valor Real'!A3:A15,'Fevereiro 2023 - Valor Real'!C3:C15,0))+1))</f>
        <v>1.5</v>
      </c>
      <c r="AE842" s="131">
        <f>IF(L842="","",IF(L843&gt;0,(SUM(((L841-1)*(1-_xlfn.XLOOKUP(K841,'Fevereiro 2023 - Valor Real'!A3:A15,'Fevereiro 2023 - Valor Real'!C3:C15,0))+1),((L842-1)*(1-_xlfn.XLOOKUP(K842,'Fevereiro 2023 - Valor Real'!A3:A15,'Fevereiro 2023 - Valor Real'!C3:C15,0))+1),((L843-1)*(1-_xlfn.XLOOKUP(K843,'Fevereiro 2023 - Valor Real'!A3:A15,'Fevereiro 2023 - Valor Real'!C3:C15,0))+1))/((L842-1)*(1-_xlfn.XLOOKUP(K842,'Fevereiro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Real'!C3:C15,0))+1))/((L841-1)*(1-_xlfn.XLOOKUP(K841,'Fevereiro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Real'!C3:C15,0))+1))/((L842-1)*(1-_xlfn.XLOOKUP(K842,'Fevereiro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Real'!C3:C15,0))+1))/((L843-1)*(1-_xlfn.XLOOKUP(K843,'Fevereiro 2023 - Valor Real'!A3:A15,'Fevereiro 2023 - Valor Real'!C3:C15,0))+1)),IF(I842="Lay",IF(I841="Lay",((L841/(L841-1)-1)*(1-_xlfn.XLOOKUP(K841,'Fevereiro 2023 - Valor Real'!A3:A15,'Fevereiro 2023 - Valor Real'!C3:C15,0))+1)/(((L841/(L841-1)-1)*(1-_xlfn.XLOOKUP(K841,'Fevereiro 2023 - Valor Real'!A3:A15,'Fevereiro 2023 - Valor Real'!C3:C15,0))+1)+((L842/(L842-1)-1)*(1-_xlfn.XLOOKUP(K842,'Fevereiro 2023 - Valor Real'!A3:A15,'Fevereiro 2023 - Valor Real'!C3:C15,0))+1)),((L841-1)*(1-_xlfn.XLOOKUP(K841,'Fevereiro 2023 - Valor Real'!A3:A15,'Fevereiro 2023 - Valor Real'!C3:C15,0))+1)/(((L841-1)*(1-_xlfn.XLOOKUP(K841,'Fevereiro 2023 - Valor Real'!A3:A15,'Fevereiro 2023 - Valor Real'!C3:C15,0))+1)+((L842/(L842-1)-1)*(1-_xlfn.XLOOKUP(K842,'Fevereiro 2023 - Valor Real'!A3:A15,'Fevereiro 2023 - Valor Real'!C3:C15,0))+1))),IF(I841="Lay",((L841/(L841-1)-1)*(1-_xlfn.XLOOKUP(K841,'Fevereiro 2023 - Valor Real'!A3:A15,'Fevereiro 2023 - Valor Real'!C3:C15,0))+1)/((((L841/(L841-1)-1)*(1-_xlfn.XLOOKUP(K841,'Fevereiro 2023 - Valor Real'!A3:A15,'Fevereiro 2023 - Valor Real'!C3:C15,0))+1))+((L842-1)*(1-_xlfn.XLOOKUP(K842,'Fevereiro 2023 - Valor Real'!A3:A15,'Fevereiro 2023 - Valor Real'!C3:C15,0))+1)),((L841-1)*(1-_xlfn.XLOOKUP(K841,'Fevereiro 2023 - Valor Real'!A3:A15,'Fevereiro 2023 - Valor Real'!C3:C15,0))+1)/(((L841-1)*(1-_xlfn.XLOOKUP(K841,'Fevereiro 2023 - Valor Real'!A3:A15,'Fevereiro 2023 - Valor Real'!C3:C15,0))+1)+((L842-1)*(1-_xlfn.XLOOKUP(K842,'Fevereiro 2023 - Valor Real'!A3:A15,'Fevereiro 2023 - Valor Real'!C3:C15,0))+1))))))</f>
        <v>0.31239972495988999</v>
      </c>
      <c r="AF842" s="105">
        <f t="shared" si="1663"/>
        <v>0</v>
      </c>
      <c r="AG842" s="106">
        <f t="shared" si="1663"/>
        <v>0</v>
      </c>
      <c r="AH842" s="106">
        <f t="shared" si="1663"/>
        <v>0</v>
      </c>
      <c r="AI842" s="106">
        <f t="shared" si="1663"/>
        <v>0</v>
      </c>
      <c r="AJ842" s="106">
        <f t="shared" si="1663"/>
        <v>0</v>
      </c>
      <c r="AK842" s="106">
        <f t="shared" si="1663"/>
        <v>0</v>
      </c>
      <c r="AL842" s="106">
        <f t="shared" si="1663"/>
        <v>0</v>
      </c>
      <c r="AM842" s="106">
        <f t="shared" si="1663"/>
        <v>0</v>
      </c>
      <c r="AN842" s="106">
        <f t="shared" si="1663"/>
        <v>0</v>
      </c>
      <c r="AO842" s="106">
        <f t="shared" si="1663"/>
        <v>0</v>
      </c>
      <c r="AP842" s="106">
        <f t="shared" si="1663"/>
        <v>0</v>
      </c>
      <c r="AQ842" s="106">
        <f t="shared" si="1663"/>
        <v>0</v>
      </c>
      <c r="AR842" s="107">
        <f t="shared" si="1663"/>
        <v>0</v>
      </c>
      <c r="AS842" s="105">
        <f>IF(AND($B841=" ",$K842=AS$3),$O842,0)</f>
        <v>0</v>
      </c>
      <c r="AT842" s="106">
        <f>IF(AND($B841=" ",K842=AT$3),$O842,0)</f>
        <v>0</v>
      </c>
      <c r="AU842" s="106">
        <f t="shared" ref="AU842:BE842" si="1706">IF(AND($B841=" ",$K842=AU$3),$O842,0)</f>
        <v>0</v>
      </c>
      <c r="AV842" s="106">
        <f t="shared" si="1706"/>
        <v>0</v>
      </c>
      <c r="AW842" s="106">
        <f t="shared" si="1706"/>
        <v>0</v>
      </c>
      <c r="AX842" s="106">
        <f t="shared" si="1706"/>
        <v>0</v>
      </c>
      <c r="AY842" s="108">
        <f t="shared" si="1706"/>
        <v>0</v>
      </c>
      <c r="AZ842" s="109">
        <f t="shared" si="1706"/>
        <v>0</v>
      </c>
      <c r="BA842" s="109">
        <f t="shared" si="1706"/>
        <v>0</v>
      </c>
      <c r="BB842" s="109">
        <f t="shared" si="1706"/>
        <v>0</v>
      </c>
      <c r="BC842" s="110">
        <f t="shared" si="1706"/>
        <v>0</v>
      </c>
      <c r="BD842" s="106">
        <f t="shared" si="1706"/>
        <v>0</v>
      </c>
      <c r="BE842" s="107">
        <f t="shared" si="1706"/>
        <v>0</v>
      </c>
      <c r="BF842" s="105">
        <f t="shared" si="1665"/>
        <v>0</v>
      </c>
      <c r="BG842" s="106">
        <f t="shared" si="1665"/>
        <v>0</v>
      </c>
      <c r="BH842" s="106">
        <f t="shared" si="1665"/>
        <v>0</v>
      </c>
      <c r="BI842" s="106">
        <f t="shared" si="1665"/>
        <v>0</v>
      </c>
      <c r="BJ842" s="106">
        <f t="shared" si="1665"/>
        <v>0</v>
      </c>
      <c r="BK842" s="106">
        <f t="shared" si="1665"/>
        <v>0</v>
      </c>
      <c r="BL842" s="106">
        <f t="shared" si="1665"/>
        <v>0</v>
      </c>
      <c r="BM842" s="132">
        <f t="shared" si="1665"/>
        <v>0</v>
      </c>
      <c r="BN842" s="112">
        <f t="shared" si="1665"/>
        <v>0</v>
      </c>
      <c r="BO842" s="112">
        <f t="shared" si="1665"/>
        <v>0</v>
      </c>
      <c r="BP842" s="112">
        <f t="shared" si="1665"/>
        <v>0</v>
      </c>
      <c r="BQ842" s="110">
        <f t="shared" si="1665"/>
        <v>0</v>
      </c>
      <c r="BR842" s="107">
        <f t="shared" si="1665"/>
        <v>0</v>
      </c>
      <c r="BS842" s="464"/>
      <c r="BT842" s="461"/>
      <c r="BU842" s="392"/>
      <c r="BV842" s="461"/>
      <c r="BW842" s="392"/>
      <c r="BX842" s="392"/>
      <c r="BY842" s="392"/>
      <c r="BZ842" s="461"/>
      <c r="CA842" s="392"/>
      <c r="CB842" s="392"/>
      <c r="CC842" s="392"/>
      <c r="CD842" s="401"/>
      <c r="CE842" s="409"/>
      <c r="CF842" s="133">
        <f t="shared" si="1669"/>
        <v>0</v>
      </c>
      <c r="CG842" s="134">
        <f t="shared" si="1670"/>
        <v>0</v>
      </c>
      <c r="CH842" s="134">
        <f t="shared" si="1671"/>
        <v>0</v>
      </c>
      <c r="CI842" s="134">
        <f t="shared" si="1672"/>
        <v>0</v>
      </c>
      <c r="CJ842" s="134">
        <f t="shared" si="1673"/>
        <v>0</v>
      </c>
      <c r="CK842" s="134">
        <f t="shared" si="1674"/>
        <v>0</v>
      </c>
      <c r="CL842" s="134">
        <f t="shared" si="1675"/>
        <v>0</v>
      </c>
      <c r="CM842" s="134">
        <f t="shared" si="1676"/>
        <v>0</v>
      </c>
      <c r="CN842" s="134">
        <f t="shared" si="1677"/>
        <v>0</v>
      </c>
      <c r="CO842" s="134">
        <f t="shared" si="1678"/>
        <v>0</v>
      </c>
      <c r="CP842" s="134">
        <f t="shared" si="1679"/>
        <v>0</v>
      </c>
      <c r="CQ842" s="134">
        <f t="shared" si="1680"/>
        <v>0</v>
      </c>
      <c r="CR842" s="134">
        <f t="shared" si="1681"/>
        <v>0</v>
      </c>
      <c r="CS842" s="134">
        <f t="shared" si="1682"/>
        <v>0</v>
      </c>
      <c r="CT842" s="115">
        <f t="shared" si="1683"/>
        <v>0</v>
      </c>
      <c r="CU842" s="116">
        <f t="shared" si="1684"/>
        <v>0</v>
      </c>
      <c r="CV842" s="116">
        <f t="shared" si="1685"/>
        <v>0</v>
      </c>
      <c r="CW842" s="116">
        <f t="shared" si="1686"/>
        <v>0</v>
      </c>
      <c r="CX842" s="116">
        <f t="shared" si="1687"/>
        <v>0</v>
      </c>
      <c r="CY842" s="116">
        <f t="shared" si="1688"/>
        <v>0</v>
      </c>
      <c r="CZ842" s="116">
        <f t="shared" si="1689"/>
        <v>0</v>
      </c>
      <c r="DA842" s="116">
        <f t="shared" si="1690"/>
        <v>0</v>
      </c>
      <c r="DB842" s="116">
        <f t="shared" si="1691"/>
        <v>0</v>
      </c>
      <c r="DC842" s="116">
        <f t="shared" si="1692"/>
        <v>0</v>
      </c>
      <c r="DD842" s="116">
        <f t="shared" si="1693"/>
        <v>0</v>
      </c>
      <c r="DE842" s="117">
        <f t="shared" si="1694"/>
        <v>0</v>
      </c>
      <c r="DF842" s="118">
        <f t="shared" si="1696"/>
        <v>48</v>
      </c>
      <c r="DG842" s="106">
        <f t="shared" si="1697"/>
        <v>64.138999999999996</v>
      </c>
      <c r="DH842" s="116">
        <f t="shared" si="1698"/>
        <v>18</v>
      </c>
      <c r="DI842" s="106">
        <f t="shared" si="1699"/>
        <v>76.899999999999991</v>
      </c>
      <c r="DJ842" s="201" t="str">
        <f>IF($D841="","",$D841)</f>
        <v>28</v>
      </c>
      <c r="DK842" s="466"/>
    </row>
    <row r="843" spans="1:115" ht="14.5" customHeight="1" x14ac:dyDescent="0.2">
      <c r="A843" s="390"/>
      <c r="B843" s="457"/>
      <c r="C843" s="135" t="s">
        <v>53</v>
      </c>
      <c r="D843" s="375"/>
      <c r="E843" s="387"/>
      <c r="F843" s="378"/>
      <c r="G843" s="484"/>
      <c r="H843" s="477"/>
      <c r="I843" s="136"/>
      <c r="J843" s="137"/>
      <c r="K843" s="138"/>
      <c r="L843" s="139"/>
      <c r="M843" s="140"/>
      <c r="N843" s="407"/>
      <c r="O843" s="141" t="str">
        <f>IF(OR(AE841="",AE842=""),"",IF(L843&gt;0,ROUND(IF(M843&gt;0,M843,IF(M841&gt;0,ROUND((M841*AE843)/AE841,IF(N841=0,2,IF(N841=0.1,1,0))),IF(M842&gt;0,ROUND((M842*AE843)/AE842,IF(N841=0,2,IF(N841=0.1,1,0))),IF(M843&gt;0,M843,0)))),2),""))</f>
        <v/>
      </c>
      <c r="P843" s="142" t="str">
        <f>IF(I842="Lay",O842*(L842/(L842-1))-O842,IF(I841="Lay",O841*(L841/(L841-1))-O841,IF(OR(L843="",O843=""),"",IF($C843="1/2W",O843/2+O843/2*L843,IF($C843="1/2L",O843/2,(O843*L843-O843)*(1-_xlfn.XLOOKUP(K843,'Fevereiro 2023 - Valor Real'!A3:A15,'Fevereiro 2023 - Valor Real'!C3:C15,0))+O843)))))</f>
        <v/>
      </c>
      <c r="Q843" s="221" t="str">
        <f>IF(K843="","",IF(_xlfn.XLOOKUP(K843,K$4:K842,$DJ$4:DJ842,0,,-1)=DJ843,_xlfn.XLOOKUP(K843,K$4:K842,Q$4:Q842,1,,-1)+1,1))</f>
        <v/>
      </c>
      <c r="R843" s="144" t="str">
        <f>IF(K843="","",_xlfn.XLOOKUP(K843,K$4:K842,R$4:R842,0,,-1)+IF($C843=" ",1,0))</f>
        <v/>
      </c>
      <c r="S843" s="404"/>
      <c r="T843" s="378"/>
      <c r="U843" s="378"/>
      <c r="V843" s="404"/>
      <c r="W843" s="378"/>
      <c r="X843" s="453"/>
      <c r="Y843" s="383"/>
      <c r="Z843" s="384"/>
      <c r="AA843" s="384"/>
      <c r="AB843" s="384"/>
      <c r="AC843" s="384"/>
      <c r="AD843" s="145">
        <f>((L842/(L842-1)-1))</f>
        <v>0.5</v>
      </c>
      <c r="AE843" s="146" t="str">
        <f>IF(L843="","",(SUM(((L841-1)*(1-_xlfn.XLOOKUP(K841,'Fevereiro 2023 - Valor Real'!A3:A15,'Fevereiro 2023 - Valor Real'!C3:C15,0))+1),((L842-1)*(1-_xlfn.XLOOKUP(K842,'Fevereiro 2023 - Valor Real'!A3:A15,'Fevereiro 2023 - Valor Real'!C3:C15,0))+1),((L843-1)*(1-_xlfn.XLOOKUP(K843,'Fevereiro 2023 - Valor Real'!A3:A15,'Fevereiro 2023 - Valor Real'!C3:C15,0))+1))/((L843-1)*(1-_xlfn.XLOOKUP(K843,'Fevereiro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Real'!C3:C15,0))+1))/((L841-1)*(1-_xlfn.XLOOKUP(K841,'Fevereiro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Real'!C3:C15,0))+1))/((L842-1)*(1-_xlfn.XLOOKUP(K842,'Fevereiro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Real'!C3:C15,0))+1))/((L843-1)*(1-_xlfn.XLOOKUP(K843,'Fevereiro 2023 - Valor Real'!A3:A15,'Fevereiro 2023 - Valor Real'!C3:C15,0))+1)))</f>
        <v/>
      </c>
      <c r="AF843" s="105">
        <f t="shared" si="1663"/>
        <v>0</v>
      </c>
      <c r="AG843" s="106">
        <f t="shared" si="1663"/>
        <v>0</v>
      </c>
      <c r="AH843" s="106">
        <f t="shared" si="1663"/>
        <v>0</v>
      </c>
      <c r="AI843" s="106">
        <f t="shared" si="1663"/>
        <v>0</v>
      </c>
      <c r="AJ843" s="106">
        <f t="shared" si="1663"/>
        <v>0</v>
      </c>
      <c r="AK843" s="106">
        <f t="shared" si="1663"/>
        <v>0</v>
      </c>
      <c r="AL843" s="106">
        <f t="shared" si="1663"/>
        <v>0</v>
      </c>
      <c r="AM843" s="106">
        <f t="shared" si="1663"/>
        <v>0</v>
      </c>
      <c r="AN843" s="106">
        <f t="shared" si="1663"/>
        <v>0</v>
      </c>
      <c r="AO843" s="106">
        <f t="shared" si="1663"/>
        <v>0</v>
      </c>
      <c r="AP843" s="106">
        <f t="shared" si="1663"/>
        <v>0</v>
      </c>
      <c r="AQ843" s="106">
        <f t="shared" si="1663"/>
        <v>0</v>
      </c>
      <c r="AR843" s="107">
        <f t="shared" si="1663"/>
        <v>0</v>
      </c>
      <c r="AS843" s="105">
        <f>IF(AND($B841=" ",$K843=AS$3),$O843,0)</f>
        <v>0</v>
      </c>
      <c r="AT843" s="106">
        <f>IF(AND($B841=" ",K843=AT$3),$O843,0)</f>
        <v>0</v>
      </c>
      <c r="AU843" s="106">
        <f t="shared" ref="AU843:BE843" si="1707">IF(AND($B841=" ",$K843=AU$3),$O843,0)</f>
        <v>0</v>
      </c>
      <c r="AV843" s="106">
        <f t="shared" si="1707"/>
        <v>0</v>
      </c>
      <c r="AW843" s="106">
        <f t="shared" si="1707"/>
        <v>0</v>
      </c>
      <c r="AX843" s="106">
        <f t="shared" si="1707"/>
        <v>0</v>
      </c>
      <c r="AY843" s="108">
        <f t="shared" si="1707"/>
        <v>0</v>
      </c>
      <c r="AZ843" s="109">
        <f t="shared" si="1707"/>
        <v>0</v>
      </c>
      <c r="BA843" s="109">
        <f t="shared" si="1707"/>
        <v>0</v>
      </c>
      <c r="BB843" s="109">
        <f t="shared" si="1707"/>
        <v>0</v>
      </c>
      <c r="BC843" s="110">
        <f t="shared" si="1707"/>
        <v>0</v>
      </c>
      <c r="BD843" s="106">
        <f t="shared" si="1707"/>
        <v>0</v>
      </c>
      <c r="BE843" s="107">
        <f t="shared" si="1707"/>
        <v>0</v>
      </c>
      <c r="BF843" s="105">
        <f t="shared" si="1665"/>
        <v>0</v>
      </c>
      <c r="BG843" s="106">
        <f t="shared" si="1665"/>
        <v>0</v>
      </c>
      <c r="BH843" s="106">
        <f t="shared" si="1665"/>
        <v>0</v>
      </c>
      <c r="BI843" s="106">
        <f t="shared" si="1665"/>
        <v>0</v>
      </c>
      <c r="BJ843" s="106">
        <f t="shared" si="1665"/>
        <v>0</v>
      </c>
      <c r="BK843" s="106">
        <f t="shared" si="1665"/>
        <v>0</v>
      </c>
      <c r="BL843" s="106">
        <f t="shared" si="1665"/>
        <v>0</v>
      </c>
      <c r="BM843" s="108">
        <f t="shared" si="1665"/>
        <v>0</v>
      </c>
      <c r="BN843" s="109">
        <f t="shared" si="1665"/>
        <v>0</v>
      </c>
      <c r="BO843" s="109">
        <f t="shared" si="1665"/>
        <v>0</v>
      </c>
      <c r="BP843" s="109">
        <f t="shared" si="1665"/>
        <v>0</v>
      </c>
      <c r="BQ843" s="110">
        <f t="shared" si="1665"/>
        <v>0</v>
      </c>
      <c r="BR843" s="107">
        <f t="shared" si="1665"/>
        <v>0</v>
      </c>
      <c r="BS843" s="464"/>
      <c r="BT843" s="461"/>
      <c r="BU843" s="392"/>
      <c r="BV843" s="461"/>
      <c r="BW843" s="392"/>
      <c r="BX843" s="392"/>
      <c r="BY843" s="392"/>
      <c r="BZ843" s="461"/>
      <c r="CA843" s="392"/>
      <c r="CB843" s="392"/>
      <c r="CC843" s="392"/>
      <c r="CD843" s="401"/>
      <c r="CE843" s="409"/>
      <c r="CF843" s="133">
        <f t="shared" si="1669"/>
        <v>0</v>
      </c>
      <c r="CG843" s="134">
        <f t="shared" si="1670"/>
        <v>0</v>
      </c>
      <c r="CH843" s="134">
        <f t="shared" si="1671"/>
        <v>0</v>
      </c>
      <c r="CI843" s="134">
        <f t="shared" si="1672"/>
        <v>0</v>
      </c>
      <c r="CJ843" s="134">
        <f t="shared" si="1673"/>
        <v>0</v>
      </c>
      <c r="CK843" s="134">
        <f t="shared" si="1674"/>
        <v>0</v>
      </c>
      <c r="CL843" s="134">
        <f t="shared" si="1675"/>
        <v>0</v>
      </c>
      <c r="CM843" s="134">
        <f t="shared" si="1676"/>
        <v>0</v>
      </c>
      <c r="CN843" s="134">
        <f t="shared" si="1677"/>
        <v>0</v>
      </c>
      <c r="CO843" s="134">
        <f t="shared" si="1678"/>
        <v>0</v>
      </c>
      <c r="CP843" s="134">
        <f t="shared" si="1679"/>
        <v>0</v>
      </c>
      <c r="CQ843" s="134">
        <f t="shared" si="1680"/>
        <v>0</v>
      </c>
      <c r="CR843" s="134">
        <f t="shared" si="1681"/>
        <v>0</v>
      </c>
      <c r="CS843" s="134">
        <f t="shared" si="1682"/>
        <v>0</v>
      </c>
      <c r="CT843" s="115">
        <f t="shared" si="1683"/>
        <v>0</v>
      </c>
      <c r="CU843" s="116">
        <f t="shared" si="1684"/>
        <v>0</v>
      </c>
      <c r="CV843" s="116">
        <f t="shared" si="1685"/>
        <v>0</v>
      </c>
      <c r="CW843" s="116">
        <f t="shared" si="1686"/>
        <v>0</v>
      </c>
      <c r="CX843" s="116">
        <f t="shared" si="1687"/>
        <v>0</v>
      </c>
      <c r="CY843" s="116">
        <f t="shared" si="1688"/>
        <v>0</v>
      </c>
      <c r="CZ843" s="116">
        <f t="shared" si="1689"/>
        <v>0</v>
      </c>
      <c r="DA843" s="116">
        <f t="shared" si="1690"/>
        <v>0</v>
      </c>
      <c r="DB843" s="116">
        <f t="shared" si="1691"/>
        <v>0</v>
      </c>
      <c r="DC843" s="116">
        <f t="shared" si="1692"/>
        <v>0</v>
      </c>
      <c r="DD843" s="116">
        <f t="shared" si="1693"/>
        <v>0</v>
      </c>
      <c r="DE843" s="117">
        <f t="shared" si="1694"/>
        <v>0</v>
      </c>
      <c r="DF843" s="118">
        <f t="shared" si="1696"/>
        <v>48</v>
      </c>
      <c r="DG843" s="106">
        <f t="shared" si="1697"/>
        <v>64.138999999999996</v>
      </c>
      <c r="DH843" s="116">
        <f t="shared" si="1698"/>
        <v>18</v>
      </c>
      <c r="DI843" s="106">
        <f t="shared" si="1699"/>
        <v>76.899999999999991</v>
      </c>
      <c r="DJ843" s="201" t="str">
        <f>IF($D841="","",$D841)</f>
        <v>28</v>
      </c>
      <c r="DK843" s="466"/>
    </row>
    <row r="844" spans="1:115" ht="14.5" customHeight="1" x14ac:dyDescent="0.2">
      <c r="A844" s="487">
        <f>$A841+1</f>
        <v>281</v>
      </c>
      <c r="B844" s="506" t="str">
        <f>IF(OR(C844="W",C845="W",C846="W",C844="1/2W",C845="1/2W",C846="1/2W",C844="1/2L",C845="1/2L",C846="1/2L"),"OK",IF(OR(C844="L",C845="L",C846="L"),"LOSS",IF(OR(C844="X",C845="X",C846="X"),"Anulado"," ")))</f>
        <v>OK</v>
      </c>
      <c r="C844" s="147" t="s">
        <v>55</v>
      </c>
      <c r="D844" s="494" t="str">
        <f>IF(G844="","",$D841)</f>
        <v>28</v>
      </c>
      <c r="E844" s="511" t="str">
        <f>IF(G844=""," ","– "&amp;COUNTIF(D$4:D846,$D844))</f>
        <v>– 12</v>
      </c>
      <c r="F844" s="510" t="str">
        <f ca="1">IF(G844="","",IF(OR(AND($C844&lt;&gt;" ",$C845=" "),AND($C845&lt;&gt;" ",$C844=" "),AND(L846&gt;0,OR(AND($C846&lt;&gt;" ",OR($C844=" ",$C845=" ")),AND($C846=" ",OR($C844&lt;&gt;" ",$C845&lt;&gt;" "))))),IF(SUM(F$4:F843)=0,1,LARGE(F$4:F843,1)+1),IF(MONTH(G844)=MONTH(TODAY()),IF(AND(DAY(G844)&lt;DAY(TODAY()),$B844=" "),IF(SUM(F$4:F843)=0,1,LARGE(F$4:F843,1)+1),IF($B844=" ",IF(AND(DAY(G844)=DAY(TODAY()),HOUR(G844)&lt;=HOUR(NOW())+1),IF(AND(HOUR(G844)+2&lt;=HOUR(NOW()),DAY(G844)&lt;=DAY(TODAY()),MINUTE(G844)&lt;=MINUTE(NOW())),IF(SUM(F$4:F843)=0,1,LARGE(F$4:F843,1)+1),IF(OR(MINUTE(G844)&lt;=MINUTE(NOW()),HOUR(G844)&lt;=HOUR(NOW())),"!!!","")),""),"")),"")))</f>
        <v/>
      </c>
      <c r="G844" s="517">
        <v>45015.677083333336</v>
      </c>
      <c r="H844" s="516" t="s">
        <v>282</v>
      </c>
      <c r="I844" s="222" t="s">
        <v>51</v>
      </c>
      <c r="J844" s="223">
        <v>184</v>
      </c>
      <c r="K844" s="224" t="s">
        <v>47</v>
      </c>
      <c r="L844" s="225">
        <v>2.2000000000000002</v>
      </c>
      <c r="M844" s="226">
        <v>17.43</v>
      </c>
      <c r="N844" s="503">
        <v>0</v>
      </c>
      <c r="O844" s="153">
        <f>IF(OR(AE844="",AE845=""),"",ROUND(IF(L846&gt;0,IF(M844&gt;0,M844,IF(M845&gt;0,ROUND((M845*AE844)/AE845,IF(N844=0,2,IF(N844=0.1,1,0))),ROUND((M846*AE844)/AE846,IF(N844=0,2,IF(N844=0.1,1,0))))),IF(M844&gt;0,M844,ROUND((M845*AE844)/AE845,IF(N844=0,2,IF(N844=0.1,1,0))))),2))</f>
        <v>17.43</v>
      </c>
      <c r="P844" s="227">
        <f>IF(OR(L844="",O844=""),"",IF($C844="1/2W",O844/2+O844/2*L844,IF($C844="1/2L",O844/2,IF(I844="Lay",(O844*(L844/(L844-1))-O844)*(1-_xlfn.XLOOKUP(K844,'Fevereiro 2023 - Valor Real'!A3:A15,'Fevereiro 2023 - Valor Real'!C3:C15,0))+O844,(O844*L844-O844)*(1-_xlfn.XLOOKUP(K844,'Fevereiro 2023 - Valor Real'!A3:A15,'Fevereiro 2023 - Valor Real'!C3:C15,0))+O844))))</f>
        <v>38.346000000000004</v>
      </c>
      <c r="Q844" s="228">
        <f>IF(K844="","",IF(_xlfn.XLOOKUP(K844,K$4:K843,$DJ$4:DJ843,0,,-1)=DJ844,_xlfn.XLOOKUP(K844,K$4:K843,Q$4:Q843,1,,-1)+1,1))</f>
        <v>1</v>
      </c>
      <c r="R844" s="229">
        <f>IF(K844="","",_xlfn.XLOOKUP(K844,K$4:K843,R$4:R843,0,,-1)+IF($C844=" ",1,0))</f>
        <v>0</v>
      </c>
      <c r="S844" s="501">
        <f>IF($B844="Anulado",0,ROUND(IF(OR($B844="LOSS",$B844="OK"),IF(OR($C844="W",$C844="1/2W",$C844="1/2L"),P844-O844,IF($C844="L",-O844,0))+IF(OR($C845="W",$C845="1/2W",$C845="1/2L"),P845-O845,IF($C845="L",-O845,0))+IF(OR($C846="W",$C846="1/2W",$C846="1/2L"),P846-O846,IF($C846="L",-O846,0)),IF(AND(OR($C844="W",$C844="1/2W",$C844="1/2L"),C845="W"),P844+P845-SUM(O844:O846)+_xlfn.XLOOKUP("X",C844:C846,O844:O846,0),IF(AND(C844=TRUE,C846="W"),P844+P846-SUM(O844:O846),IF(AND(C845="W",C846="W"),P845+P846-SUM(O844:O846)+_xlfn.XLOOKUP("X",C844:C846,O844:O846,0),IF(L846&gt;0,IF(OR($C844="W",$C844="1/2W",$C844="1/2L"),P844-SUM(O844:O846)+_xlfn.XLOOKUP("X",C844:C846,O844:O846,0),IF(OR($C844="W",$C844="1/2W",$C844="1/2L"),P845-SUM(O844:O846)+_xlfn.XLOOKUP("X",C844:C846,O844:O846,0),IF(OR($C844="W",$C844="1/2W",$C844="1/2L"),P846-SUM(O844:O846)+_xlfn.XLOOKUP("X",C844:C846,O844:O846,0),IF(SUM(P844:P846)/3-SUM(O844:O846)+_xlfn.XLOOKUP("X",C844:C846,O844:O846,0)&gt;0,SUM(P844:P846)/3-SUM(O844:O846)+_xlfn.XLOOKUP("X",C844:C846,O844:O846,0),LARGE(P844:P846,1)-SUM(O844:O846))))),IF(OR($C844="W",$C844="1/2W",$C844="1/2L"),P844-SUM(O844:O845)+_xlfn.XLOOKUP("X",C844:C846,O844:O846,0),IF(OR($C844="W",$C844="1/2W",$C844="1/2L"),P845-SUM(O844:O845)+_xlfn.XLOOKUP("X",C844:C846,O844:O846,0),SUM(P844:P845)/2-SUM(O844:O845)+_xlfn.XLOOKUP("X",C844:C846,O844:O846,0)))))))),2))</f>
        <v>3.23</v>
      </c>
      <c r="T844" s="486">
        <f>IF(S844=0,0,S844/SUM(O844:O846))</f>
        <v>8.962264150943397E-2</v>
      </c>
      <c r="U844" s="496">
        <f>IF($D844=$D841,IF(OR($B844="LOSS",$B844="OK",$B844="Anulada"),S844,0)+U841,IF(OR($B844="LOSS",$B844="OK",$B844="Anulada"),S844,0))</f>
        <v>83.84</v>
      </c>
      <c r="V844" s="496">
        <f>IF($D844="",0,IF($D844=$D841,IF($B844=" ",IF(I846="",IF(OR(AND(I844="DNB1",I845="DNB2"),AND(OR(I844="DNB1",I844="DNB2"),J845=0),AND(OR(I845="DNB1",I845="DNB2"),J844=0),AND(I844="DNB2",I845="DNB1"),AND(IF(J844=0,(J844+1)/ROUND(J844+1,0),J844/ROUND(J844,0))=1,IF(J845=0,(J845+1)/ROUND(IF(J845="",0,J845)+1,0),IF(J845="",0,J845)/ROUND(IF(J845="",1,J845),0))=1,OR(J844&lt;&gt;""),J845&lt;&gt;"")),0,IF(S844&lt;0,IF(I846="",SMALL(P844:P845,1)-SUM(O844:O845),0),SMALL(P844:P845,1)-SUM(O844:O845))),IF(S844&lt;0,IF(I846="",SMALL(P844:P846,1)-SUM(O844:O846),0),LARGE(P844:P846,1)-SUM(O844:O846))),S844)+V841,IF(I846="",IF(OR(AND(I844="DNB1",I845="DNB2"),AND(OR(I844="DNB1",I844="DNB2"),J845=0),AND(OR(I845="DNB1",I845="DNB2"),J844=0),AND(I844="DNB2",I845="DNB1"),AND(IF(J844=0,(J844+1)/ROUND(J844+1,0),J844/ROUND(J844,0))=1,IF(J845=0,(IF(J845="",0,J845)+1)/ROUND(IF(J845="",0,J845)+1,0),IF(J845="",0,J845)/ROUND(IF(J845="",0,J845)+1,0))=1,OR(J844&lt;&gt;""),J845&lt;&gt;"")),0,IF(S844&lt;0,IF(I846="",SMALL(P844:P845,1)-SUM(O844:O845),0),SMALL(P844:P846,1)-SUM(O844:O846))),IF(S844&lt;0,IF(I846="",SMALL(P844:P846,1)-SUM(O844:O846),0),LARGE(P844:P846,1)-SUM(O844:O846)))))</f>
        <v>83.807999999999993</v>
      </c>
      <c r="W844" s="496">
        <f>IF($D844=$D841,IF(S844&lt;0,IF(I846="",S844,0),S844)+W841,S844)</f>
        <v>95.96</v>
      </c>
      <c r="X844" s="505" t="str">
        <f>IF(OR(SUM(R844:R846)=0,V844=W844),ROUND(IF(W844=0,0,W844/Y844)*100,2)&amp;"%",ROUND(IF(V844=0,0,V844/Y844)*100,2)&amp;"% a "&amp;ROUND(IF(W844=0,0,W844/Y844)*100,2)&amp;"%")</f>
        <v>15,51%</v>
      </c>
      <c r="Y844" s="497">
        <f>IF($D844=$D841,Y841+SUM(O844:O846),SUM(O844:O846))</f>
        <v>618.88</v>
      </c>
      <c r="Z844" s="496">
        <f>IF($B844=" ",SUM(O844:O846),0)+Z841</f>
        <v>0</v>
      </c>
      <c r="AA844" s="496">
        <f>IF(G844="","",IF($B844="Anulado",LARGE(P844:P846,1)-SUM(O844:O846)+AA841,AA841))</f>
        <v>13.381099999999991</v>
      </c>
      <c r="AB844" s="496">
        <f>IF($D844="","",AB841+S844)</f>
        <v>978.85000000000082</v>
      </c>
      <c r="AC844" s="499">
        <f ca="1">IF($D844="","",IF($B844=" ",IF(DAY(G844)=DAY(TODAY()),1+AC841,0+AC841),0+AC841))</f>
        <v>0</v>
      </c>
      <c r="AD844" s="157">
        <f>(((L845/(L845-1)-1)*(1-_xlfn.XLOOKUP(K845,'Fevereiro 2023 - Valor Real'!A3:A15,'Fevereiro 2023 - Valor Real'!C3:C15,0))+1))/(((L844-1)*(1-_xlfn.XLOOKUP(K844,'Fevereiro 2023 - Valor Real'!A3:A15,'Fevereiro 2023 - Valor Real'!C3:C15,0))+1)+((L845/(L845-1)-1)*(1-_xlfn.XLOOKUP(K845,'Fevereiro 2023 - Valor Real'!A3:A15,'Fevereiro 2023 - Valor Real'!C3:C15,0))+1))</f>
        <v>0.46353251318101929</v>
      </c>
      <c r="AE844" s="158">
        <f>IF(L844="","",IF(L846&gt;0,(SUM(((L844-1)*(1-_xlfn.XLOOKUP(K844,'Fevereiro 2023 - Valor Real'!A3:A15,'Fevereiro 2023 - Valor Real'!C3:C15,0))+1),((L845-1)*(1-_xlfn.XLOOKUP(K845,'Fevereiro 2023 - Valor Real'!A3:A15,'Fevereiro 2023 - Valor Real'!C3:C15,0))+1),((L846-1)*(1-_xlfn.XLOOKUP(K846,'Fevereiro 2023 - Valor Real'!A3:A15,'Fevereiro 2023 - Valor Real'!C3:C15,0))+1))/((L844-1)*(1-_xlfn.XLOOKUP(K844,'Fevereiro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Real'!C3:C15,0))+1))/((L844-1)*(1-_xlfn.XLOOKUP(K844,'Fevereiro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Real'!C3:C15,0))+1))/((L845-1)*(1-_xlfn.XLOOKUP(K845,'Fevereiro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Real'!C3:C15,0))+1))/((L846-1)*(1-_xlfn.XLOOKUP(K846,'Fevereiro 2023 - Valor Real'!A3:A15,'Fevereiro 2023 - Valor Real'!C3:C15,0))+1)),IF(I844="Lay",IF(I845="Lay",((L845/(L845-1)-1)*(1-_xlfn.XLOOKUP(K845,'Fevereiro 2023 - Valor Real'!A3:A15,'Fevereiro 2023 - Valor Real'!C3:C15,0))+1)/(((L845/(L845-1)-1)*(1-_xlfn.XLOOKUP(K845,'Fevereiro 2023 - Valor Real'!A3:A15,'Fevereiro 2023 - Valor Real'!C3:C15,0))+1)+((L844/(L844-1)-1)*(1-_xlfn.XLOOKUP(K844,'Fevereiro 2023 - Valor Real'!A3:A15,'Fevereiro 2023 - Valor Real'!C3:C15,0))+1)),((L845-1)*(1-_xlfn.XLOOKUP(K845,'Fevereiro 2023 - Valor Real'!A3:A15,'Fevereiro 2023 - Valor Real'!C3:C15,0))+1)/(((L845-1)*(1-_xlfn.XLOOKUP(K845,'Fevereiro 2023 - Valor Real'!A3:A15,'Fevereiro 2023 - Valor Real'!C3:C15,0))+1)+((L844/(L844-1)-1)*(1-_xlfn.XLOOKUP(K844,'Fevereiro 2023 - Valor Real'!A3:A15,'Fevereiro 2023 - Valor Real'!C3:C15,0))+1))),IF(I845="Lay",(((L845/(L845-1)-1)*(1-_xlfn.XLOOKUP(K845,'Fevereiro 2023 - Valor Real'!A3:A15,'Fevereiro 2023 - Valor Real'!C3:C15,0))+1))/(((L844-1)*(1-_xlfn.XLOOKUP(K844,'Fevereiro 2023 - Valor Real'!A3:A15,'Fevereiro 2023 - Valor Real'!C3:C15,0))+1)+((L845/(L845-1)-1)*(1-_xlfn.XLOOKUP(K845,'Fevereiro 2023 - Valor Real'!A3:A15,'Fevereiro 2023 - Valor Real'!C3:C15,0))+1)),((L845-1)*(1-_xlfn.XLOOKUP(K845,'Fevereiro 2023 - Valor Real'!A3:A15,'Fevereiro 2023 - Valor Real'!C3:C15,0))+1)/(((L845-1)*(1-_xlfn.XLOOKUP(K845,'Fevereiro 2023 - Valor Real'!A3:A15,'Fevereiro 2023 - Valor Real'!C3:C15,0))+1)+((L844-1)*(1-_xlfn.XLOOKUP(K844,'Fevereiro 2023 - Valor Real'!A3:A15,'Fevereiro 2023 - Valor Real'!C3:C15,0))+1))))))</f>
        <v>0.48955916473317856</v>
      </c>
      <c r="AF844" s="66">
        <f t="shared" ref="AF844:AR853" si="1708">IF($K844=AF$3,ROUND(IF(OR($C844="W",$C844="1/2W",$C844="1/2L"),$P844-$O844,IF($C844="X",0,-$O844)),2),0)</f>
        <v>0</v>
      </c>
      <c r="AG844" s="67">
        <f t="shared" si="1708"/>
        <v>0</v>
      </c>
      <c r="AH844" s="67">
        <f t="shared" si="1708"/>
        <v>0</v>
      </c>
      <c r="AI844" s="67">
        <f t="shared" si="1708"/>
        <v>0</v>
      </c>
      <c r="AJ844" s="67">
        <f t="shared" si="1708"/>
        <v>0</v>
      </c>
      <c r="AK844" s="67">
        <f t="shared" si="1708"/>
        <v>0</v>
      </c>
      <c r="AL844" s="67">
        <f t="shared" si="1708"/>
        <v>0</v>
      </c>
      <c r="AM844" s="67">
        <f t="shared" si="1708"/>
        <v>0</v>
      </c>
      <c r="AN844" s="67">
        <f t="shared" si="1708"/>
        <v>0</v>
      </c>
      <c r="AO844" s="67">
        <f t="shared" si="1708"/>
        <v>0</v>
      </c>
      <c r="AP844" s="67">
        <f t="shared" si="1708"/>
        <v>0</v>
      </c>
      <c r="AQ844" s="67">
        <f t="shared" si="1708"/>
        <v>-17.43</v>
      </c>
      <c r="AR844" s="68">
        <f t="shared" si="1708"/>
        <v>0</v>
      </c>
      <c r="AS844" s="66">
        <f t="shared" ref="AS844:BE844" si="1709">IF(AND($B844=" ",$K844=AS$3),$O844,0)</f>
        <v>0</v>
      </c>
      <c r="AT844" s="67">
        <f t="shared" si="1709"/>
        <v>0</v>
      </c>
      <c r="AU844" s="67">
        <f t="shared" si="1709"/>
        <v>0</v>
      </c>
      <c r="AV844" s="67">
        <f t="shared" si="1709"/>
        <v>0</v>
      </c>
      <c r="AW844" s="67">
        <f t="shared" si="1709"/>
        <v>0</v>
      </c>
      <c r="AX844" s="67">
        <f t="shared" si="1709"/>
        <v>0</v>
      </c>
      <c r="AY844" s="69">
        <f t="shared" si="1709"/>
        <v>0</v>
      </c>
      <c r="AZ844" s="70">
        <f t="shared" si="1709"/>
        <v>0</v>
      </c>
      <c r="BA844" s="70">
        <f t="shared" si="1709"/>
        <v>0</v>
      </c>
      <c r="BB844" s="70">
        <f t="shared" si="1709"/>
        <v>0</v>
      </c>
      <c r="BC844" s="71">
        <f t="shared" si="1709"/>
        <v>0</v>
      </c>
      <c r="BD844" s="67">
        <f t="shared" si="1709"/>
        <v>0</v>
      </c>
      <c r="BE844" s="68">
        <f t="shared" si="1709"/>
        <v>0</v>
      </c>
      <c r="BF844" s="230">
        <f t="shared" ref="BF844:BR853" si="1710">IF($K844=BF$3,IF($C844="X",0,$O844),0)</f>
        <v>0</v>
      </c>
      <c r="BG844" s="67">
        <f t="shared" si="1710"/>
        <v>0</v>
      </c>
      <c r="BH844" s="67">
        <f t="shared" si="1710"/>
        <v>0</v>
      </c>
      <c r="BI844" s="67">
        <f t="shared" si="1710"/>
        <v>0</v>
      </c>
      <c r="BJ844" s="67">
        <f t="shared" si="1710"/>
        <v>0</v>
      </c>
      <c r="BK844" s="67">
        <f t="shared" si="1710"/>
        <v>0</v>
      </c>
      <c r="BL844" s="67">
        <f t="shared" si="1710"/>
        <v>0</v>
      </c>
      <c r="BM844" s="69">
        <f t="shared" si="1710"/>
        <v>0</v>
      </c>
      <c r="BN844" s="70">
        <f t="shared" si="1710"/>
        <v>0</v>
      </c>
      <c r="BO844" s="70">
        <f t="shared" si="1710"/>
        <v>0</v>
      </c>
      <c r="BP844" s="70">
        <f t="shared" si="1710"/>
        <v>0</v>
      </c>
      <c r="BQ844" s="71">
        <f t="shared" si="1710"/>
        <v>17.43</v>
      </c>
      <c r="BR844" s="68">
        <f t="shared" si="1710"/>
        <v>0</v>
      </c>
      <c r="BS844" s="490">
        <f>IF($B844="LOSS",IF(AND($K844=BS$3,$C844="L"),-$O844,0)+IF(AND($K845=BS$3,$C845="L"),-$O845,0)+IF(AND($K846=BS$3,$C846="L"),-$O846,0),IF(OR(AND($K844=BS$3,OR($C844="W",$C844="1/2W")),AND($K845=BS$3,OR($C845="W",$C845="1/2W")),AND($K846=BS$3,OR($C846="W",$C846="1/2W"))),$S844,0))</f>
        <v>0</v>
      </c>
      <c r="BT844" s="488">
        <f>IF($B844="LOSS",IF(AND($K844=BT$3,$C844="L"),-$O844,0)+IF(AND($K845=BT$3,$C845="L"),-$O845,0)+IF(AND($K845=BT$3,$C846="L"),-$O846,0),IF(OR(AND($K845=BT$3,OR($C844="W",$C844="1/2W")),AND($K845=BT$3,OR($C845="W",$C845="1/2W")),AND($K845=BT$3,OR($C846="W",$C846="1/2W"))),$S844,0))</f>
        <v>0</v>
      </c>
      <c r="BU844" s="488">
        <f>IF($B844="LOSS",IF(AND($K844=BU$3,$C844="L"),-$O844,0)+IF(AND($K845=BU$3,$C845="L"),-$O845,0)+IF(AND($K845=BU$3,$C846="L"),-$O846,0),IF(OR(AND($K845=BU$3,OR($C844="W",$C844="1/2W")),AND($K845=BU$3,OR($C845="W",$C845="1/2W")),AND($K845=BU$3,OR($C846="W",$C846="1/2W"))),$S844,0))</f>
        <v>0</v>
      </c>
      <c r="BV844" s="488">
        <f t="shared" ref="BV844:CE844" si="1711">IF($B844="LOSS",IF(AND($K844=BV$3,$C844="L"),-$O844,0)+IF(AND($K845=BV$3,$C845="L"),-$O845,0)+IF(AND($K846=BV$3,$C846="L"),-$O846,0),IF(OR(AND($K844=BV$3,OR($C844="W",$C844="1/2W")),AND($K845=BV$3,OR($C845="W",$C845="1/2W")),AND($K846=BV$3,OR($C846="W",$C846="1/2W"))),$S844,0))</f>
        <v>0</v>
      </c>
      <c r="BW844" s="488">
        <f t="shared" si="1711"/>
        <v>0</v>
      </c>
      <c r="BX844" s="488">
        <f t="shared" si="1711"/>
        <v>0</v>
      </c>
      <c r="BY844" s="488">
        <f t="shared" si="1711"/>
        <v>0</v>
      </c>
      <c r="BZ844" s="498">
        <f t="shared" si="1711"/>
        <v>3.23</v>
      </c>
      <c r="CA844" s="498">
        <f t="shared" si="1711"/>
        <v>0</v>
      </c>
      <c r="CB844" s="498">
        <f t="shared" si="1711"/>
        <v>0</v>
      </c>
      <c r="CC844" s="498">
        <f t="shared" si="1711"/>
        <v>0</v>
      </c>
      <c r="CD844" s="500">
        <f t="shared" si="1711"/>
        <v>0</v>
      </c>
      <c r="CE844" s="504">
        <f t="shared" si="1711"/>
        <v>0</v>
      </c>
      <c r="CF844" s="160">
        <f t="shared" si="1669"/>
        <v>0</v>
      </c>
      <c r="CG844" s="161">
        <f t="shared" si="1670"/>
        <v>0</v>
      </c>
      <c r="CH844" s="161">
        <f t="shared" si="1671"/>
        <v>0</v>
      </c>
      <c r="CI844" s="161">
        <f t="shared" si="1672"/>
        <v>0</v>
      </c>
      <c r="CJ844" s="161">
        <f t="shared" si="1673"/>
        <v>0</v>
      </c>
      <c r="CK844" s="161">
        <f t="shared" si="1674"/>
        <v>0</v>
      </c>
      <c r="CL844" s="161">
        <f t="shared" si="1675"/>
        <v>0</v>
      </c>
      <c r="CM844" s="161">
        <f t="shared" si="1676"/>
        <v>0</v>
      </c>
      <c r="CN844" s="161">
        <f t="shared" si="1677"/>
        <v>0</v>
      </c>
      <c r="CO844" s="161">
        <f t="shared" si="1678"/>
        <v>0</v>
      </c>
      <c r="CP844" s="161">
        <f t="shared" si="1679"/>
        <v>0</v>
      </c>
      <c r="CQ844" s="161">
        <f t="shared" si="1680"/>
        <v>0</v>
      </c>
      <c r="CR844" s="161">
        <f t="shared" si="1681"/>
        <v>0</v>
      </c>
      <c r="CS844" s="161">
        <f t="shared" si="1682"/>
        <v>0</v>
      </c>
      <c r="CT844" s="75">
        <f t="shared" si="1683"/>
        <v>0</v>
      </c>
      <c r="CU844" s="76">
        <f t="shared" si="1684"/>
        <v>0</v>
      </c>
      <c r="CV844" s="76">
        <f t="shared" si="1685"/>
        <v>0</v>
      </c>
      <c r="CW844" s="76">
        <f t="shared" si="1686"/>
        <v>0</v>
      </c>
      <c r="CX844" s="76">
        <f t="shared" si="1687"/>
        <v>0</v>
      </c>
      <c r="CY844" s="76">
        <f t="shared" si="1688"/>
        <v>0</v>
      </c>
      <c r="CZ844" s="76">
        <f t="shared" si="1689"/>
        <v>0</v>
      </c>
      <c r="DA844" s="76">
        <f t="shared" si="1690"/>
        <v>0</v>
      </c>
      <c r="DB844" s="76">
        <f t="shared" si="1691"/>
        <v>0</v>
      </c>
      <c r="DC844" s="76">
        <f t="shared" si="1692"/>
        <v>1</v>
      </c>
      <c r="DD844" s="76">
        <f t="shared" si="1693"/>
        <v>0</v>
      </c>
      <c r="DE844" s="77">
        <f t="shared" si="1694"/>
        <v>0</v>
      </c>
      <c r="DF844" s="73">
        <f t="shared" si="1696"/>
        <v>48</v>
      </c>
      <c r="DG844" s="67">
        <f t="shared" si="1697"/>
        <v>64.138999999999996</v>
      </c>
      <c r="DH844" s="76">
        <f t="shared" si="1698"/>
        <v>18</v>
      </c>
      <c r="DI844" s="67">
        <f t="shared" si="1699"/>
        <v>76.899999999999991</v>
      </c>
      <c r="DJ844" s="202" t="str">
        <f>IF($D844="","",$D844)</f>
        <v>28</v>
      </c>
      <c r="DK844" s="492">
        <f>IF(AND($B844=" ",$D844&lt;&gt;""),1,0)</f>
        <v>0</v>
      </c>
    </row>
    <row r="845" spans="1:115" ht="14.5" customHeight="1" x14ac:dyDescent="0.2">
      <c r="A845" s="389"/>
      <c r="B845" s="456"/>
      <c r="C845" s="53" t="s">
        <v>54</v>
      </c>
      <c r="D845" s="374"/>
      <c r="E845" s="386"/>
      <c r="F845" s="377"/>
      <c r="G845" s="483"/>
      <c r="H845" s="476"/>
      <c r="I845" s="55" t="s">
        <v>52</v>
      </c>
      <c r="J845" s="231">
        <v>185.5</v>
      </c>
      <c r="K845" s="232" t="s">
        <v>43</v>
      </c>
      <c r="L845" s="58">
        <v>2.11</v>
      </c>
      <c r="M845" s="59">
        <v>18.61</v>
      </c>
      <c r="N845" s="406"/>
      <c r="O845" s="60">
        <f>IF(OR(AE844="",AE845=""),"",ROUND(IF(L846&gt;0,IF(M845&gt;0,M845,IF(M844&gt;0,IF(N844=TRUE,ROUND((M844*AE845)/AE844,0),(M844*AE845)/AE844),IF(M845&gt;0,ROUND(M845,IF(N844=0,2,IF(N844=0.1,1,0))),IF(M846&gt;0,ROUND(O846*AE845/AE846,IF(N844=0,2,IF(N844=0.1,1,0))),0)))),IF(M845&gt;0,M845,ROUND((M844*AE845)/AE844,IF(N844=0,2,IF(N844=0.1,1,0))))),2))</f>
        <v>18.61</v>
      </c>
      <c r="P845" s="61">
        <f>IF(OR(L845="",O845=""),"",IF($C845="1/2W",O845/2+O845/2*L845,IF($C845="1/2L",O845/2,IF(I845="Lay",((O845*(L845/(L845-1)))-O845)*(1-_xlfn.XLOOKUP(K845,'Fevereiro 2023 - Valor Real'!A3:A15,'Fevereiro 2023 - Valor Real'!C3:C15,0))+O845,(O845*L845-O845)*(1-_xlfn.XLOOKUP(K845,'Fevereiro 2023 - Valor Real'!A3:A15,'Fevereiro 2023 - Valor Real'!C3:C15,0))+O845))))</f>
        <v>39.267099999999999</v>
      </c>
      <c r="Q845" s="233">
        <f>IF(K845="","",IF(_xlfn.XLOOKUP(K845,K$4:K844,$DJ$4:DJ844,0,,-1)=DJ845,_xlfn.XLOOKUP(K845,K$4:K844,Q$4:Q844,1,,-1)+1,1))</f>
        <v>5</v>
      </c>
      <c r="R845" s="234">
        <f>IF(K845="","",_xlfn.XLOOKUP(K845,K$4:K844,R$4:R844,0,,-1)+IF($C845=" ",1,0))</f>
        <v>0</v>
      </c>
      <c r="S845" s="403"/>
      <c r="T845" s="380"/>
      <c r="U845" s="380"/>
      <c r="V845" s="481"/>
      <c r="W845" s="380"/>
      <c r="X845" s="452"/>
      <c r="Y845" s="383"/>
      <c r="Z845" s="384"/>
      <c r="AA845" s="384"/>
      <c r="AB845" s="384"/>
      <c r="AC845" s="384"/>
      <c r="AD845" s="64">
        <f>(((L845/(L845-1)-1)*(1-_xlfn.XLOOKUP(K845,'Fevereiro 2023 - Valor Real'!A3:A15,'Fevereiro 2023 - Valor Real'!C3:C15,0))+1))</f>
        <v>1.900900900900901</v>
      </c>
      <c r="AE845" s="65">
        <f>IF(L845="","",IF(L846&gt;0,(SUM(((L844-1)*(1-_xlfn.XLOOKUP(K844,'Fevereiro 2023 - Valor Real'!A3:A15,'Fevereiro 2023 - Valor Real'!C3:C15,0))+1),((L845-1)*(1-_xlfn.XLOOKUP(K845,'Fevereiro 2023 - Valor Real'!A3:A15,'Fevereiro 2023 - Valor Real'!C3:C15,0))+1),((L846-1)*(1-_xlfn.XLOOKUP(K846,'Fevereiro 2023 - Valor Real'!A3:A15,'Fevereiro 2023 - Valor Real'!C3:C15,0))+1))/((L845-1)*(1-_xlfn.XLOOKUP(K845,'Fevereiro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Real'!C3:C15,0))+1))/((L844-1)*(1-_xlfn.XLOOKUP(K844,'Fevereiro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Real'!C3:C15,0))+1))/((L845-1)*(1-_xlfn.XLOOKUP(K845,'Fevereiro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Real'!C3:C15,0))+1))/((L846-1)*(1-_xlfn.XLOOKUP(K846,'Fevereiro 2023 - Valor Real'!A3:A15,'Fevereiro 2023 - Valor Real'!C3:C15,0))+1)),IF(I845="Lay",IF(I844="Lay",((L844/(L844-1)-1)*(1-_xlfn.XLOOKUP(K844,'Fevereiro 2023 - Valor Real'!A3:A15,'Fevereiro 2023 - Valor Real'!C3:C15,0))+1)/(((L844/(L844-1)-1)*(1-_xlfn.XLOOKUP(K844,'Fevereiro 2023 - Valor Real'!A3:A15,'Fevereiro 2023 - Valor Real'!C3:C15,0))+1)+((L845/(L845-1)-1)*(1-_xlfn.XLOOKUP(K845,'Fevereiro 2023 - Valor Real'!A3:A15,'Fevereiro 2023 - Valor Real'!C3:C15,0))+1)),((L844-1)*(1-_xlfn.XLOOKUP(K844,'Fevereiro 2023 - Valor Real'!A3:A15,'Fevereiro 2023 - Valor Real'!C3:C15,0))+1)/(((L844-1)*(1-_xlfn.XLOOKUP(K844,'Fevereiro 2023 - Valor Real'!A3:A15,'Fevereiro 2023 - Valor Real'!C3:C15,0))+1)+((L845/(L845-1)-1)*(1-_xlfn.XLOOKUP(K845,'Fevereiro 2023 - Valor Real'!A3:A15,'Fevereiro 2023 - Valor Real'!C3:C15,0))+1))),IF(I844="Lay",((L844/(L844-1)-1)*(1-_xlfn.XLOOKUP(K844,'Fevereiro 2023 - Valor Real'!A3:A15,'Fevereiro 2023 - Valor Real'!C3:C15,0))+1)/((((L844/(L844-1)-1)*(1-_xlfn.XLOOKUP(K844,'Fevereiro 2023 - Valor Real'!A3:A15,'Fevereiro 2023 - Valor Real'!C3:C15,0))+1))+((L845-1)*(1-_xlfn.XLOOKUP(K845,'Fevereiro 2023 - Valor Real'!A3:A15,'Fevereiro 2023 - Valor Real'!C3:C15,0))+1)),((L844-1)*(1-_xlfn.XLOOKUP(K844,'Fevereiro 2023 - Valor Real'!A3:A15,'Fevereiro 2023 - Valor Real'!C3:C15,0))+1)/(((L844-1)*(1-_xlfn.XLOOKUP(K844,'Fevereiro 2023 - Valor Real'!A3:A15,'Fevereiro 2023 - Valor Real'!C3:C15,0))+1)+((L845-1)*(1-_xlfn.XLOOKUP(K845,'Fevereiro 2023 - Valor Real'!A3:A15,'Fevereiro 2023 - Valor Real'!C3:C15,0))+1))))))</f>
        <v>0.51044083526682138</v>
      </c>
      <c r="AF845" s="66">
        <f t="shared" si="1708"/>
        <v>0</v>
      </c>
      <c r="AG845" s="67">
        <f t="shared" si="1708"/>
        <v>0</v>
      </c>
      <c r="AH845" s="67">
        <f t="shared" si="1708"/>
        <v>0</v>
      </c>
      <c r="AI845" s="67">
        <f t="shared" si="1708"/>
        <v>0</v>
      </c>
      <c r="AJ845" s="67">
        <f t="shared" si="1708"/>
        <v>0</v>
      </c>
      <c r="AK845" s="67">
        <f t="shared" si="1708"/>
        <v>0</v>
      </c>
      <c r="AL845" s="67">
        <f t="shared" si="1708"/>
        <v>0</v>
      </c>
      <c r="AM845" s="67">
        <f t="shared" si="1708"/>
        <v>20.66</v>
      </c>
      <c r="AN845" s="67">
        <f t="shared" si="1708"/>
        <v>0</v>
      </c>
      <c r="AO845" s="67">
        <f t="shared" si="1708"/>
        <v>0</v>
      </c>
      <c r="AP845" s="67">
        <f t="shared" si="1708"/>
        <v>0</v>
      </c>
      <c r="AQ845" s="67">
        <f t="shared" si="1708"/>
        <v>0</v>
      </c>
      <c r="AR845" s="68">
        <f t="shared" si="1708"/>
        <v>0</v>
      </c>
      <c r="AS845" s="66">
        <f>IF(AND($B844=" ",$K845=AS$3),$O845,0)</f>
        <v>0</v>
      </c>
      <c r="AT845" s="67">
        <f>IF(AND($B844=" ",K845=AT$3),$O845,0)</f>
        <v>0</v>
      </c>
      <c r="AU845" s="67">
        <f t="shared" ref="AU845:BE845" si="1712">IF(AND($B844=" ",$K845=AU$3),$O845,0)</f>
        <v>0</v>
      </c>
      <c r="AV845" s="67">
        <f t="shared" si="1712"/>
        <v>0</v>
      </c>
      <c r="AW845" s="67">
        <f t="shared" si="1712"/>
        <v>0</v>
      </c>
      <c r="AX845" s="67">
        <f t="shared" si="1712"/>
        <v>0</v>
      </c>
      <c r="AY845" s="69">
        <f t="shared" si="1712"/>
        <v>0</v>
      </c>
      <c r="AZ845" s="70">
        <f t="shared" si="1712"/>
        <v>0</v>
      </c>
      <c r="BA845" s="70">
        <f t="shared" si="1712"/>
        <v>0</v>
      </c>
      <c r="BB845" s="70">
        <f t="shared" si="1712"/>
        <v>0</v>
      </c>
      <c r="BC845" s="71">
        <f t="shared" si="1712"/>
        <v>0</v>
      </c>
      <c r="BD845" s="67">
        <f t="shared" si="1712"/>
        <v>0</v>
      </c>
      <c r="BE845" s="68">
        <f t="shared" si="1712"/>
        <v>0</v>
      </c>
      <c r="BF845" s="66">
        <f t="shared" si="1710"/>
        <v>0</v>
      </c>
      <c r="BG845" s="67">
        <f t="shared" si="1710"/>
        <v>0</v>
      </c>
      <c r="BH845" s="67">
        <f t="shared" si="1710"/>
        <v>0</v>
      </c>
      <c r="BI845" s="67">
        <f t="shared" si="1710"/>
        <v>0</v>
      </c>
      <c r="BJ845" s="67">
        <f t="shared" si="1710"/>
        <v>0</v>
      </c>
      <c r="BK845" s="67">
        <f t="shared" si="1710"/>
        <v>0</v>
      </c>
      <c r="BL845" s="67">
        <f t="shared" si="1710"/>
        <v>0</v>
      </c>
      <c r="BM845" s="235">
        <f t="shared" si="1710"/>
        <v>18.61</v>
      </c>
      <c r="BN845" s="159">
        <f t="shared" si="1710"/>
        <v>0</v>
      </c>
      <c r="BO845" s="159">
        <f t="shared" si="1710"/>
        <v>0</v>
      </c>
      <c r="BP845" s="159">
        <f t="shared" si="1710"/>
        <v>0</v>
      </c>
      <c r="BQ845" s="71">
        <f t="shared" si="1710"/>
        <v>0</v>
      </c>
      <c r="BR845" s="68">
        <f t="shared" si="1710"/>
        <v>0</v>
      </c>
      <c r="BS845" s="464"/>
      <c r="BT845" s="461"/>
      <c r="BU845" s="392"/>
      <c r="BV845" s="461"/>
      <c r="BW845" s="392"/>
      <c r="BX845" s="392"/>
      <c r="BY845" s="392"/>
      <c r="BZ845" s="461"/>
      <c r="CA845" s="392"/>
      <c r="CB845" s="392"/>
      <c r="CC845" s="392"/>
      <c r="CD845" s="401"/>
      <c r="CE845" s="409"/>
      <c r="CF845" s="236">
        <f t="shared" si="1669"/>
        <v>0</v>
      </c>
      <c r="CG845" s="237">
        <f t="shared" si="1670"/>
        <v>0</v>
      </c>
      <c r="CH845" s="237">
        <f t="shared" si="1671"/>
        <v>0</v>
      </c>
      <c r="CI845" s="237">
        <f t="shared" si="1672"/>
        <v>0</v>
      </c>
      <c r="CJ845" s="237">
        <f t="shared" si="1673"/>
        <v>0</v>
      </c>
      <c r="CK845" s="237">
        <f t="shared" si="1674"/>
        <v>0</v>
      </c>
      <c r="CL845" s="237">
        <f t="shared" si="1675"/>
        <v>0</v>
      </c>
      <c r="CM845" s="237">
        <f t="shared" si="1676"/>
        <v>0</v>
      </c>
      <c r="CN845" s="237">
        <f t="shared" si="1677"/>
        <v>0</v>
      </c>
      <c r="CO845" s="237">
        <f t="shared" si="1678"/>
        <v>0</v>
      </c>
      <c r="CP845" s="237">
        <f t="shared" si="1679"/>
        <v>0</v>
      </c>
      <c r="CQ845" s="237">
        <f t="shared" si="1680"/>
        <v>0</v>
      </c>
      <c r="CR845" s="237">
        <f t="shared" si="1681"/>
        <v>0</v>
      </c>
      <c r="CS845" s="237">
        <f t="shared" si="1682"/>
        <v>0</v>
      </c>
      <c r="CT845" s="75">
        <f t="shared" si="1683"/>
        <v>1</v>
      </c>
      <c r="CU845" s="76">
        <f t="shared" si="1684"/>
        <v>0</v>
      </c>
      <c r="CV845" s="76">
        <f t="shared" si="1685"/>
        <v>0</v>
      </c>
      <c r="CW845" s="76">
        <f t="shared" si="1686"/>
        <v>0</v>
      </c>
      <c r="CX845" s="76">
        <f t="shared" si="1687"/>
        <v>0</v>
      </c>
      <c r="CY845" s="76">
        <f t="shared" si="1688"/>
        <v>0</v>
      </c>
      <c r="CZ845" s="76">
        <f t="shared" si="1689"/>
        <v>0</v>
      </c>
      <c r="DA845" s="76">
        <f t="shared" si="1690"/>
        <v>0</v>
      </c>
      <c r="DB845" s="76">
        <f t="shared" si="1691"/>
        <v>0</v>
      </c>
      <c r="DC845" s="76">
        <f t="shared" si="1692"/>
        <v>0</v>
      </c>
      <c r="DD845" s="76">
        <f t="shared" si="1693"/>
        <v>0</v>
      </c>
      <c r="DE845" s="77">
        <f t="shared" si="1694"/>
        <v>0</v>
      </c>
      <c r="DF845" s="73">
        <f t="shared" si="1696"/>
        <v>48</v>
      </c>
      <c r="DG845" s="67">
        <f t="shared" si="1697"/>
        <v>64.138999999999996</v>
      </c>
      <c r="DH845" s="76">
        <f t="shared" si="1698"/>
        <v>18</v>
      </c>
      <c r="DI845" s="67">
        <f t="shared" si="1699"/>
        <v>76.899999999999991</v>
      </c>
      <c r="DJ845" s="202" t="str">
        <f>IF($D844="","",$D844)</f>
        <v>28</v>
      </c>
      <c r="DK845" s="466"/>
    </row>
    <row r="846" spans="1:115" ht="14.5" customHeight="1" x14ac:dyDescent="0.2">
      <c r="A846" s="390"/>
      <c r="B846" s="457"/>
      <c r="C846" s="79" t="s">
        <v>53</v>
      </c>
      <c r="D846" s="375"/>
      <c r="E846" s="387"/>
      <c r="F846" s="378"/>
      <c r="G846" s="484"/>
      <c r="H846" s="477"/>
      <c r="I846" s="82"/>
      <c r="J846" s="83"/>
      <c r="K846" s="90"/>
      <c r="L846" s="84"/>
      <c r="M846" s="85"/>
      <c r="N846" s="407"/>
      <c r="O846" s="86" t="str">
        <f>IF(OR(AE844="",AE845=""),"",IF(L846&gt;0,ROUND(IF(M846&gt;0,M846,IF(M844&gt;0,ROUND((M844*AE846)/AE844,IF(N844=0,2,IF(N844=0.1,1,0))),IF(M845&gt;0,ROUND((M845*AE846)/AE845,IF(N844=0,2,IF(N844=0.1,1,0))),IF(M846&gt;0,M846,0)))),2),""))</f>
        <v/>
      </c>
      <c r="P846" s="87" t="str">
        <f>IF(I845="Lay",O845*(L845/(L845-1))-O845,IF(I844="Lay",O844*(L844/(L844-1))-O844,IF(OR(L846="",O846=""),"",IF($C846="1/2W",O846/2+O846/2*L846,IF($C846="1/2L",O846/2,(O846*L846-O846)*(1-_xlfn.XLOOKUP(K846,'Fevereiro 2023 - Valor Real'!A3:A15,'Fevereiro 2023 - Valor Real'!C3:C15,0))+O846)))))</f>
        <v/>
      </c>
      <c r="Q846" s="238" t="str">
        <f>IF(K846="","",IF(_xlfn.XLOOKUP(K846,K$4:K845,$DJ$4:DJ845,0,,-1)=DJ846,_xlfn.XLOOKUP(K846,K$4:K845,Q$4:Q845,1,,-1)+1,1))</f>
        <v/>
      </c>
      <c r="R846" s="239" t="str">
        <f>IF(K846="","",_xlfn.XLOOKUP(K846,K$4:K845,R$4:R845,0,,-1)+IF($C846=" ",1,0))</f>
        <v/>
      </c>
      <c r="S846" s="404"/>
      <c r="T846" s="378"/>
      <c r="U846" s="378"/>
      <c r="V846" s="404"/>
      <c r="W846" s="378"/>
      <c r="X846" s="453"/>
      <c r="Y846" s="383"/>
      <c r="Z846" s="384"/>
      <c r="AA846" s="384"/>
      <c r="AB846" s="384"/>
      <c r="AC846" s="384"/>
      <c r="AD846" s="240">
        <f>((L845/(L845-1)-1))</f>
        <v>0.90090090090090102</v>
      </c>
      <c r="AE846" s="91" t="str">
        <f>IF(L846="","",(SUM(((L844-1)*(1-_xlfn.XLOOKUP(K844,'Fevereiro 2023 - Valor Real'!A3:A15,'Fevereiro 2023 - Valor Real'!C3:C15,0))+1),((L845-1)*(1-_xlfn.XLOOKUP(K845,'Fevereiro 2023 - Valor Real'!A3:A15,'Fevereiro 2023 - Valor Real'!C3:C15,0))+1),((L846-1)*(1-_xlfn.XLOOKUP(K846,'Fevereiro 2023 - Valor Real'!A3:A15,'Fevereiro 2023 - Valor Real'!C3:C15,0))+1))/((L846-1)*(1-_xlfn.XLOOKUP(K846,'Fevereiro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Real'!C3:C15,0))+1))/((L844-1)*(1-_xlfn.XLOOKUP(K844,'Fevereiro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Real'!C3:C15,0))+1))/((L845-1)*(1-_xlfn.XLOOKUP(K845,'Fevereiro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Real'!C3:C15,0))+1))/((L846-1)*(1-_xlfn.XLOOKUP(K846,'Fevereiro 2023 - Valor Real'!A3:A15,'Fevereiro 2023 - Valor Real'!C3:C15,0))+1)))</f>
        <v/>
      </c>
      <c r="AF846" s="66">
        <f t="shared" si="1708"/>
        <v>0</v>
      </c>
      <c r="AG846" s="67">
        <f t="shared" si="1708"/>
        <v>0</v>
      </c>
      <c r="AH846" s="67">
        <f t="shared" si="1708"/>
        <v>0</v>
      </c>
      <c r="AI846" s="67">
        <f t="shared" si="1708"/>
        <v>0</v>
      </c>
      <c r="AJ846" s="67">
        <f t="shared" si="1708"/>
        <v>0</v>
      </c>
      <c r="AK846" s="67">
        <f t="shared" si="1708"/>
        <v>0</v>
      </c>
      <c r="AL846" s="67">
        <f t="shared" si="1708"/>
        <v>0</v>
      </c>
      <c r="AM846" s="67">
        <f t="shared" si="1708"/>
        <v>0</v>
      </c>
      <c r="AN846" s="67">
        <f t="shared" si="1708"/>
        <v>0</v>
      </c>
      <c r="AO846" s="67">
        <f t="shared" si="1708"/>
        <v>0</v>
      </c>
      <c r="AP846" s="67">
        <f t="shared" si="1708"/>
        <v>0</v>
      </c>
      <c r="AQ846" s="67">
        <f t="shared" si="1708"/>
        <v>0</v>
      </c>
      <c r="AR846" s="68">
        <f t="shared" si="1708"/>
        <v>0</v>
      </c>
      <c r="AS846" s="66">
        <f>IF(AND($B844=" ",$K846=AS$3),$O846,0)</f>
        <v>0</v>
      </c>
      <c r="AT846" s="67">
        <f>IF(AND($B844=" ",K846=AT$3),$O846,0)</f>
        <v>0</v>
      </c>
      <c r="AU846" s="67">
        <f t="shared" ref="AU846:BE846" si="1713">IF(AND($B844=" ",$K846=AU$3),$O846,0)</f>
        <v>0</v>
      </c>
      <c r="AV846" s="67">
        <f t="shared" si="1713"/>
        <v>0</v>
      </c>
      <c r="AW846" s="67">
        <f t="shared" si="1713"/>
        <v>0</v>
      </c>
      <c r="AX846" s="67">
        <f t="shared" si="1713"/>
        <v>0</v>
      </c>
      <c r="AY846" s="69">
        <f t="shared" si="1713"/>
        <v>0</v>
      </c>
      <c r="AZ846" s="70">
        <f t="shared" si="1713"/>
        <v>0</v>
      </c>
      <c r="BA846" s="70">
        <f t="shared" si="1713"/>
        <v>0</v>
      </c>
      <c r="BB846" s="70">
        <f t="shared" si="1713"/>
        <v>0</v>
      </c>
      <c r="BC846" s="71">
        <f t="shared" si="1713"/>
        <v>0</v>
      </c>
      <c r="BD846" s="67">
        <f t="shared" si="1713"/>
        <v>0</v>
      </c>
      <c r="BE846" s="68">
        <f t="shared" si="1713"/>
        <v>0</v>
      </c>
      <c r="BF846" s="66">
        <f t="shared" si="1710"/>
        <v>0</v>
      </c>
      <c r="BG846" s="67">
        <f t="shared" si="1710"/>
        <v>0</v>
      </c>
      <c r="BH846" s="67">
        <f t="shared" si="1710"/>
        <v>0</v>
      </c>
      <c r="BI846" s="67">
        <f t="shared" si="1710"/>
        <v>0</v>
      </c>
      <c r="BJ846" s="67">
        <f t="shared" si="1710"/>
        <v>0</v>
      </c>
      <c r="BK846" s="67">
        <f t="shared" si="1710"/>
        <v>0</v>
      </c>
      <c r="BL846" s="67">
        <f t="shared" si="1710"/>
        <v>0</v>
      </c>
      <c r="BM846" s="69">
        <f t="shared" si="1710"/>
        <v>0</v>
      </c>
      <c r="BN846" s="70">
        <f t="shared" si="1710"/>
        <v>0</v>
      </c>
      <c r="BO846" s="70">
        <f t="shared" si="1710"/>
        <v>0</v>
      </c>
      <c r="BP846" s="70">
        <f t="shared" si="1710"/>
        <v>0</v>
      </c>
      <c r="BQ846" s="71">
        <f t="shared" si="1710"/>
        <v>0</v>
      </c>
      <c r="BR846" s="68">
        <f t="shared" si="1710"/>
        <v>0</v>
      </c>
      <c r="BS846" s="464"/>
      <c r="BT846" s="461"/>
      <c r="BU846" s="392"/>
      <c r="BV846" s="461"/>
      <c r="BW846" s="392"/>
      <c r="BX846" s="392"/>
      <c r="BY846" s="392"/>
      <c r="BZ846" s="461"/>
      <c r="CA846" s="392"/>
      <c r="CB846" s="392"/>
      <c r="CC846" s="392"/>
      <c r="CD846" s="401"/>
      <c r="CE846" s="409"/>
      <c r="CF846" s="236">
        <f t="shared" si="1669"/>
        <v>0</v>
      </c>
      <c r="CG846" s="237">
        <f t="shared" si="1670"/>
        <v>0</v>
      </c>
      <c r="CH846" s="237">
        <f t="shared" si="1671"/>
        <v>0</v>
      </c>
      <c r="CI846" s="237">
        <f t="shared" si="1672"/>
        <v>0</v>
      </c>
      <c r="CJ846" s="237">
        <f t="shared" si="1673"/>
        <v>0</v>
      </c>
      <c r="CK846" s="237">
        <f t="shared" si="1674"/>
        <v>0</v>
      </c>
      <c r="CL846" s="237">
        <f t="shared" si="1675"/>
        <v>0</v>
      </c>
      <c r="CM846" s="237">
        <f t="shared" si="1676"/>
        <v>0</v>
      </c>
      <c r="CN846" s="237">
        <f t="shared" si="1677"/>
        <v>0</v>
      </c>
      <c r="CO846" s="237">
        <f t="shared" si="1678"/>
        <v>0</v>
      </c>
      <c r="CP846" s="237">
        <f t="shared" si="1679"/>
        <v>0</v>
      </c>
      <c r="CQ846" s="237">
        <f t="shared" si="1680"/>
        <v>0</v>
      </c>
      <c r="CR846" s="237">
        <f t="shared" si="1681"/>
        <v>0</v>
      </c>
      <c r="CS846" s="237">
        <f t="shared" si="1682"/>
        <v>0</v>
      </c>
      <c r="CT846" s="75">
        <f t="shared" si="1683"/>
        <v>0</v>
      </c>
      <c r="CU846" s="76">
        <f t="shared" si="1684"/>
        <v>0</v>
      </c>
      <c r="CV846" s="76">
        <f t="shared" si="1685"/>
        <v>0</v>
      </c>
      <c r="CW846" s="76">
        <f t="shared" si="1686"/>
        <v>0</v>
      </c>
      <c r="CX846" s="76">
        <f t="shared" si="1687"/>
        <v>0</v>
      </c>
      <c r="CY846" s="76">
        <f t="shared" si="1688"/>
        <v>0</v>
      </c>
      <c r="CZ846" s="76">
        <f t="shared" si="1689"/>
        <v>0</v>
      </c>
      <c r="DA846" s="76">
        <f t="shared" si="1690"/>
        <v>0</v>
      </c>
      <c r="DB846" s="76">
        <f t="shared" si="1691"/>
        <v>0</v>
      </c>
      <c r="DC846" s="76">
        <f t="shared" si="1692"/>
        <v>0</v>
      </c>
      <c r="DD846" s="76">
        <f t="shared" si="1693"/>
        <v>0</v>
      </c>
      <c r="DE846" s="77">
        <f t="shared" si="1694"/>
        <v>0</v>
      </c>
      <c r="DF846" s="73">
        <f t="shared" si="1696"/>
        <v>48</v>
      </c>
      <c r="DG846" s="67">
        <f t="shared" si="1697"/>
        <v>64.138999999999996</v>
      </c>
      <c r="DH846" s="76">
        <f t="shared" si="1698"/>
        <v>18</v>
      </c>
      <c r="DI846" s="67">
        <f t="shared" si="1699"/>
        <v>76.899999999999991</v>
      </c>
      <c r="DJ846" s="202" t="str">
        <f>IF($D844="","",$D844)</f>
        <v>28</v>
      </c>
      <c r="DK846" s="466"/>
    </row>
    <row r="847" spans="1:115" ht="14.5" customHeight="1" x14ac:dyDescent="0.2">
      <c r="A847" s="459">
        <f>$A844+1</f>
        <v>282</v>
      </c>
      <c r="B847" s="507" t="str">
        <f>IF(OR(C847="W",C848="W",C849="W",C847="1/2W",C848="1/2W",C849="1/2W",C847="1/2L",C848="1/2L",C849="1/2L"),"OK",IF(OR(C847="L",C848="L",C849="L"),"LOSS",IF(OR(C847="X",C848="X",C849="X"),"Anulado"," ")))</f>
        <v>OK</v>
      </c>
      <c r="C847" s="93" t="s">
        <v>55</v>
      </c>
      <c r="D847" s="468" t="str">
        <f>IF(G847="","",$D844)</f>
        <v>28</v>
      </c>
      <c r="E847" s="485" t="str">
        <f>IF(G847=""," ","– "&amp;COUNTIF(D$4:D849,$D847))</f>
        <v>– 13</v>
      </c>
      <c r="F847" s="509" t="str">
        <f ca="1">IF(G847="","",IF(OR(AND($C847&lt;&gt;" ",$C848=" "),AND($C848&lt;&gt;" ",$C847=" "),AND(L849&gt;0,OR(AND($C849&lt;&gt;" ",OR($C847=" ",$C848=" ")),AND($C849=" ",OR($C847&lt;&gt;" ",$C848&lt;&gt;" "))))),IF(SUM(F$4:F846)=0,1,LARGE(F$4:F846,1)+1),IF(MONTH(G847)=MONTH(TODAY()),IF(AND(DAY(G847)&lt;DAY(TODAY()),$B847=" "),IF(SUM(F$4:F846)=0,1,LARGE(F$4:F846,1)+1),IF($B847=" ",IF(AND(DAY(G847)=DAY(TODAY()),HOUR(G847)&lt;=HOUR(NOW())+1),IF(AND(HOUR(G847)+2&lt;=HOUR(NOW()),DAY(G847)&lt;=DAY(TODAY()),MINUTE(G847)&lt;=MINUTE(NOW())),IF(SUM(F$4:F846)=0,1,LARGE(F$4:F846,1)+1),IF(OR(MINUTE(G847)&lt;=MINUTE(NOW()),HOUR(G847)&lt;=HOUR(NOW())),"!!!","")),""),"")),"")))</f>
        <v/>
      </c>
      <c r="G847" s="482">
        <v>45014.875</v>
      </c>
      <c r="H847" s="475" t="s">
        <v>283</v>
      </c>
      <c r="I847" s="94" t="s">
        <v>61</v>
      </c>
      <c r="J847" s="176"/>
      <c r="K847" s="96" t="s">
        <v>36</v>
      </c>
      <c r="L847" s="97">
        <v>2.25</v>
      </c>
      <c r="M847" s="98">
        <v>20.25</v>
      </c>
      <c r="N847" s="478">
        <v>0</v>
      </c>
      <c r="O847" s="99">
        <f>IF(OR(AE847="",AE848=""),"",ROUND(IF(L849&gt;0,IF(M847&gt;0,M847,IF(M848&gt;0,ROUND((M848*AE847)/AE848,IF(N847=0,2,IF(N847=0.1,1,0))),ROUND((M849*AE847)/AE849,IF(N847=0,2,IF(N847=0.1,1,0))))),IF(M847&gt;0,M847,ROUND((M848*AE847)/AE848,IF(N847=0,2,IF(N847=0.1,1,0))))),2))</f>
        <v>20.25</v>
      </c>
      <c r="P847" s="100">
        <f>IF(OR(L847="",O847=""),"",IF($C847="1/2W",O847/2+O847/2*L847,IF($C847="1/2L",O847/2,IF(I847="Lay",(O847*(L847/(L847-1))-O847)*(1-_xlfn.XLOOKUP(K847,'Fevereiro 2023 - Valor Real'!A3:A15,'Fevereiro 2023 - Valor Real'!C3:C15,0))+O847,(O847*L847-O847)*(1-_xlfn.XLOOKUP(K847,'Fevereiro 2023 - Valor Real'!A3:A15,'Fevereiro 2023 - Valor Real'!C3:C15,0))+O847))))</f>
        <v>45.5625</v>
      </c>
      <c r="Q847" s="101">
        <f>IF(K847="","",IF(_xlfn.XLOOKUP(K847,K$4:K846,$DJ$4:DJ846,0,,-1)=DJ847,_xlfn.XLOOKUP(K847,K$4:K846,Q$4:Q846,1,,-1)+1,1))</f>
        <v>6</v>
      </c>
      <c r="R847" s="102">
        <f>IF(K847="","",_xlfn.XLOOKUP(K847,K$4:K846,R$4:R846,0,,-1)+IF($C847=" ",1,0))</f>
        <v>0</v>
      </c>
      <c r="S847" s="474">
        <f>IF($B847="Anulado",0,ROUND(IF(OR($B847="LOSS",$B847="OK"),IF(OR($C847="W",$C847="1/2W",$C847="1/2L"),P847-O847,IF($C847="L",-O847,0))+IF(OR($C848="W",$C848="1/2W",$C848="1/2L"),P848-O848,IF($C848="L",-O848,0))+IF(OR($C849="W",$C849="1/2W",$C849="1/2L"),P849-O849,IF($C849="L",-O849,0)),IF(AND(OR($C847="W",$C847="1/2W",$C847="1/2L"),C848="W"),P847+P848-SUM(O847:O849)+_xlfn.XLOOKUP("X",C847:C849,O847:O849,0),IF(AND(C847=TRUE,C849="W"),P847+P849-SUM(O847:O849),IF(AND(C848="W",C849="W"),P848+P849-SUM(O847:O849)+_xlfn.XLOOKUP("X",C847:C849,O847:O849,0),IF(L849&gt;0,IF(OR($C847="W",$C847="1/2W",$C847="1/2L"),P847-SUM(O847:O849)+_xlfn.XLOOKUP("X",C847:C849,O847:O849,0),IF(OR($C847="W",$C847="1/2W",$C847="1/2L"),P848-SUM(O847:O849)+_xlfn.XLOOKUP("X",C847:C849,O847:O849,0),IF(OR($C847="W",$C847="1/2W",$C847="1/2L"),P849-SUM(O847:O849)+_xlfn.XLOOKUP("X",C847:C849,O847:O849,0),IF(SUM(P847:P849)/3-SUM(O847:O849)+_xlfn.XLOOKUP("X",C847:C849,O847:O849,0)&gt;0,SUM(P847:P849)/3-SUM(O847:O849)+_xlfn.XLOOKUP("X",C847:C849,O847:O849,0),LARGE(P847:P849,1)-SUM(O847:O849))))),IF(OR($C847="W",$C847="1/2W",$C847="1/2L"),P847-SUM(O847:O848)+_xlfn.XLOOKUP("X",C847:C849,O847:O849,0),IF(OR($C847="W",$C847="1/2W",$C847="1/2L"),P848-SUM(O847:O848)+_xlfn.XLOOKUP("X",C847:C849,O847:O849,0),SUM(P847:P848)/2-SUM(O847:O848)+_xlfn.XLOOKUP("X",C847:C849,O847:O849,0)))))))),2))</f>
        <v>2.25</v>
      </c>
      <c r="T847" s="458">
        <f>IF(S847=0,0,S847/SUM(O847:O849))</f>
        <v>4.6506821000413395E-2</v>
      </c>
      <c r="U847" s="470">
        <f>IF($D847=$D844,IF(OR($B847="LOSS",$B847="OK",$B847="Anulada"),S847,0)+U844,IF(OR($B847="LOSS",$B847="OK",$B847="Anulada"),S847,0))</f>
        <v>86.09</v>
      </c>
      <c r="V847" s="470">
        <f>IF($D847="",0,IF($D847=$D844,IF($B847=" ",IF(I849="",IF(OR(AND(I847="DNB1",I848="DNB2"),AND(OR(I847="DNB1",I847="DNB2"),J848=0),AND(OR(I848="DNB1",I848="DNB2"),J847=0),AND(I847="DNB2",I848="DNB1"),AND(IF(J847=0,(J847+1)/ROUND(J847+1,0),J847/ROUND(J847,0))=1,IF(J848=0,(J848+1)/ROUND(IF(J848="",0,J848)+1,0),IF(J848="",0,J848)/ROUND(IF(J848="",1,J848),0))=1,OR(J847&lt;&gt;""),J848&lt;&gt;"")),0,IF(S847&lt;0,IF(I849="",SMALL(P847:P848,1)-SUM(O847:O848),0),SMALL(P847:P848,1)-SUM(O847:O848))),IF(S847&lt;0,IF(I849="",SMALL(P847:P849,1)-SUM(O847:O849),0),LARGE(P847:P849,1)-SUM(O847:O849))),S847)+V844,IF(I849="",IF(OR(AND(I847="DNB1",I848="DNB2"),AND(OR(I847="DNB1",I847="DNB2"),J848=0),AND(OR(I848="DNB1",I848="DNB2"),J847=0),AND(I847="DNB2",I848="DNB1"),AND(IF(J847=0,(J847+1)/ROUND(J847+1,0),J847/ROUND(J847,0))=1,IF(J848=0,(IF(J848="",0,J848)+1)/ROUND(IF(J848="",0,J848)+1,0),IF(J848="",0,J848)/ROUND(IF(J848="",0,J848)+1,0))=1,OR(J847&lt;&gt;""),J848&lt;&gt;"")),0,IF(S847&lt;0,IF(I849="",SMALL(P847:P848,1)-SUM(O847:O848),0),SMALL(P847:P849,1)-SUM(O847:O849))),IF(S847&lt;0,IF(I849="",SMALL(P847:P849,1)-SUM(O847:O849),0),LARGE(P847:P849,1)-SUM(O847:O849)))))</f>
        <v>86.057999999999993</v>
      </c>
      <c r="W847" s="470">
        <f>IF($D847=$D844,IF(S847&lt;0,IF(I849="",S847,0),S847)+W844,S847)</f>
        <v>98.21</v>
      </c>
      <c r="X847" s="480" t="str">
        <f>IF(OR(SUM(R847:R849)=0,V847=W847),ROUND(IF(W847=0,0,W847/Y847)*100,2)&amp;"%",ROUND(IF(V847=0,0,V847/Y847)*100,2)&amp;"% a "&amp;ROUND(IF(W847=0,0,W847/Y847)*100,2)&amp;"%")</f>
        <v>14,72%</v>
      </c>
      <c r="Y847" s="471">
        <f>IF($D847=$D844,Y844+SUM(O847:O849),SUM(O847:O849))</f>
        <v>667.26</v>
      </c>
      <c r="Z847" s="470">
        <f>IF($B847=" ",SUM(O847:O849),0)+Z844</f>
        <v>0</v>
      </c>
      <c r="AA847" s="470">
        <f>IF(G847="","",IF($B847="Anulado",LARGE(P847:P849,1)-SUM(O847:O849)+AA844,AA844))</f>
        <v>13.381099999999991</v>
      </c>
      <c r="AB847" s="470">
        <f>IF($D847="","",AB844+S847)</f>
        <v>981.10000000000082</v>
      </c>
      <c r="AC847" s="472">
        <f ca="1">IF($D847="","",IF($B847=" ",IF(DAY(G847)=DAY(TODAY()),1+AC844,0+AC844),0+AC844))</f>
        <v>0</v>
      </c>
      <c r="AD847" s="103">
        <f>(((L848/(L848-1)-1)*(1-_xlfn.XLOOKUP(K848,'Fevereiro 2023 - Valor Real'!A3:A15,'Fevereiro 2023 - Valor Real'!C3:C15,0))+1))/(((L847-1)*(1-_xlfn.XLOOKUP(K847,'Fevereiro 2023 - Valor Real'!A3:A15,'Fevereiro 2023 - Valor Real'!C3:C15,0))+1)+((L848/(L848-1)-1)*(1-_xlfn.XLOOKUP(K848,'Fevereiro 2023 - Valor Real'!A3:A15,'Fevereiro 2023 - Valor Real'!C3:C15,0))+1))</f>
        <v>0.5</v>
      </c>
      <c r="AE847" s="104">
        <f>IF(L847="","",IF(L849&gt;0,(SUM(((L847-1)*(1-_xlfn.XLOOKUP(K847,'Fevereiro 2023 - Valor Real'!A3:A15,'Fevereiro 2023 - Valor Real'!C3:C15,0))+1),((L848-1)*(1-_xlfn.XLOOKUP(K848,'Fevereiro 2023 - Valor Real'!A3:A15,'Fevereiro 2023 - Valor Real'!C3:C15,0))+1),((L849-1)*(1-_xlfn.XLOOKUP(K849,'Fevereiro 2023 - Valor Real'!A3:A15,'Fevereiro 2023 - Valor Real'!C3:C15,0))+1))/((L847-1)*(1-_xlfn.XLOOKUP(K847,'Fevereiro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Real'!C3:C15,0))+1))/((L847-1)*(1-_xlfn.XLOOKUP(K847,'Fevereiro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Real'!C3:C15,0))+1))/((L848-1)*(1-_xlfn.XLOOKUP(K848,'Fevereiro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Real'!C3:C15,0))+1))/((L849-1)*(1-_xlfn.XLOOKUP(K849,'Fevereiro 2023 - Valor Real'!A3:A15,'Fevereiro 2023 - Valor Real'!C3:C15,0))+1)),IF(I847="Lay",IF(I848="Lay",((L848/(L848-1)-1)*(1-_xlfn.XLOOKUP(K848,'Fevereiro 2023 - Valor Real'!A3:A15,'Fevereiro 2023 - Valor Real'!C3:C15,0))+1)/(((L848/(L848-1)-1)*(1-_xlfn.XLOOKUP(K848,'Fevereiro 2023 - Valor Real'!A3:A15,'Fevereiro 2023 - Valor Real'!C3:C15,0))+1)+((L847/(L847-1)-1)*(1-_xlfn.XLOOKUP(K847,'Fevereiro 2023 - Valor Real'!A3:A15,'Fevereiro 2023 - Valor Real'!C3:C15,0))+1)),((L848-1)*(1-_xlfn.XLOOKUP(K848,'Fevereiro 2023 - Valor Real'!A3:A15,'Fevereiro 2023 - Valor Real'!C3:C15,0))+1)/(((L848-1)*(1-_xlfn.XLOOKUP(K848,'Fevereiro 2023 - Valor Real'!A3:A15,'Fevereiro 2023 - Valor Real'!C3:C15,0))+1)+((L847/(L847-1)-1)*(1-_xlfn.XLOOKUP(K847,'Fevereiro 2023 - Valor Real'!A3:A15,'Fevereiro 2023 - Valor Real'!C3:C15,0))+1))),IF(I848="Lay",(((L848/(L848-1)-1)*(1-_xlfn.XLOOKUP(K848,'Fevereiro 2023 - Valor Real'!A3:A15,'Fevereiro 2023 - Valor Real'!C3:C15,0))+1))/(((L847-1)*(1-_xlfn.XLOOKUP(K847,'Fevereiro 2023 - Valor Real'!A3:A15,'Fevereiro 2023 - Valor Real'!C3:C15,0))+1)+((L848/(L848-1)-1)*(1-_xlfn.XLOOKUP(K848,'Fevereiro 2023 - Valor Real'!A3:A15,'Fevereiro 2023 - Valor Real'!C3:C15,0))+1)),((L848-1)*(1-_xlfn.XLOOKUP(K848,'Fevereiro 2023 - Valor Real'!A3:A15,'Fevereiro 2023 - Valor Real'!C3:C15,0))+1)/(((L848-1)*(1-_xlfn.XLOOKUP(K848,'Fevereiro 2023 - Valor Real'!A3:A15,'Fevereiro 2023 - Valor Real'!C3:C15,0))+1)+((L847-1)*(1-_xlfn.XLOOKUP(K847,'Fevereiro 2023 - Valor Real'!A3:A15,'Fevereiro 2023 - Valor Real'!C3:C15,0))+1))))))</f>
        <v>0.44444444444444448</v>
      </c>
      <c r="AF847" s="105">
        <f t="shared" si="1708"/>
        <v>-20.25</v>
      </c>
      <c r="AG847" s="106">
        <f t="shared" si="1708"/>
        <v>0</v>
      </c>
      <c r="AH847" s="106">
        <f t="shared" si="1708"/>
        <v>0</v>
      </c>
      <c r="AI847" s="106">
        <f t="shared" si="1708"/>
        <v>0</v>
      </c>
      <c r="AJ847" s="106">
        <f t="shared" si="1708"/>
        <v>0</v>
      </c>
      <c r="AK847" s="106">
        <f t="shared" si="1708"/>
        <v>0</v>
      </c>
      <c r="AL847" s="106">
        <f t="shared" si="1708"/>
        <v>0</v>
      </c>
      <c r="AM847" s="106">
        <f t="shared" si="1708"/>
        <v>0</v>
      </c>
      <c r="AN847" s="106">
        <f t="shared" si="1708"/>
        <v>0</v>
      </c>
      <c r="AO847" s="106">
        <f t="shared" si="1708"/>
        <v>0</v>
      </c>
      <c r="AP847" s="106">
        <f t="shared" si="1708"/>
        <v>0</v>
      </c>
      <c r="AQ847" s="106">
        <f t="shared" si="1708"/>
        <v>0</v>
      </c>
      <c r="AR847" s="107">
        <f t="shared" si="1708"/>
        <v>0</v>
      </c>
      <c r="AS847" s="105">
        <f t="shared" ref="AS847:BE847" si="1714">IF(AND($B847=" ",$K847=AS$3),$O847,0)</f>
        <v>0</v>
      </c>
      <c r="AT847" s="106">
        <f t="shared" si="1714"/>
        <v>0</v>
      </c>
      <c r="AU847" s="106">
        <f t="shared" si="1714"/>
        <v>0</v>
      </c>
      <c r="AV847" s="106">
        <f t="shared" si="1714"/>
        <v>0</v>
      </c>
      <c r="AW847" s="106">
        <f t="shared" si="1714"/>
        <v>0</v>
      </c>
      <c r="AX847" s="106">
        <f t="shared" si="1714"/>
        <v>0</v>
      </c>
      <c r="AY847" s="108">
        <f t="shared" si="1714"/>
        <v>0</v>
      </c>
      <c r="AZ847" s="109">
        <f t="shared" si="1714"/>
        <v>0</v>
      </c>
      <c r="BA847" s="109">
        <f t="shared" si="1714"/>
        <v>0</v>
      </c>
      <c r="BB847" s="109">
        <f t="shared" si="1714"/>
        <v>0</v>
      </c>
      <c r="BC847" s="110">
        <f t="shared" si="1714"/>
        <v>0</v>
      </c>
      <c r="BD847" s="106">
        <f t="shared" si="1714"/>
        <v>0</v>
      </c>
      <c r="BE847" s="107">
        <f t="shared" si="1714"/>
        <v>0</v>
      </c>
      <c r="BF847" s="111">
        <f t="shared" si="1710"/>
        <v>20.25</v>
      </c>
      <c r="BG847" s="106">
        <f t="shared" si="1710"/>
        <v>0</v>
      </c>
      <c r="BH847" s="106">
        <f t="shared" si="1710"/>
        <v>0</v>
      </c>
      <c r="BI847" s="106">
        <f t="shared" si="1710"/>
        <v>0</v>
      </c>
      <c r="BJ847" s="106">
        <f t="shared" si="1710"/>
        <v>0</v>
      </c>
      <c r="BK847" s="106">
        <f t="shared" si="1710"/>
        <v>0</v>
      </c>
      <c r="BL847" s="106">
        <f t="shared" si="1710"/>
        <v>0</v>
      </c>
      <c r="BM847" s="108">
        <f t="shared" si="1710"/>
        <v>0</v>
      </c>
      <c r="BN847" s="109">
        <f t="shared" si="1710"/>
        <v>0</v>
      </c>
      <c r="BO847" s="109">
        <f t="shared" si="1710"/>
        <v>0</v>
      </c>
      <c r="BP847" s="109">
        <f t="shared" si="1710"/>
        <v>0</v>
      </c>
      <c r="BQ847" s="110">
        <f t="shared" si="1710"/>
        <v>0</v>
      </c>
      <c r="BR847" s="107">
        <f t="shared" si="1710"/>
        <v>0</v>
      </c>
      <c r="BS847" s="463">
        <f>IF($B847="LOSS",IF(AND($K847=BS$3,$C847="L"),-$O847,0)+IF(AND($K848=BS$3,$C848="L"),-$O848,0)+IF(AND($K849=BS$3,$C849="L"),-$O849,0),IF(OR(AND($K847=BS$3,OR($C847="W",$C847="1/2W")),AND($K848=BS$3,OR($C848="W",$C848="1/2W")),AND($K849=BS$3,OR($C849="W",$C849="1/2W"))),$S847,0))</f>
        <v>0</v>
      </c>
      <c r="BT847" s="462">
        <f>IF($B847="LOSS",IF(AND($K847=BT$3,$C847="L"),-$O847,0)+IF(AND($K848=BT$3,$C848="L"),-$O848,0)+IF(AND($K848=BT$3,$C849="L"),-$O849,0),IF(OR(AND($K848=BT$3,OR($C847="W",$C847="1/2W")),AND($K848=BT$3,OR($C848="W",$C848="1/2W")),AND($K848=BT$3,OR($C849="W",$C849="1/2W"))),$S847,0))</f>
        <v>0</v>
      </c>
      <c r="BU847" s="462">
        <f>IF($B847="LOSS",IF(AND($K847=BU$3,$C847="L"),-$O847,0)+IF(AND($K848=BU$3,$C848="L"),-$O848,0)+IF(AND($K848=BU$3,$C849="L"),-$O849,0),IF(OR(AND($K848=BU$3,OR($C847="W",$C847="1/2W")),AND($K848=BU$3,OR($C848="W",$C848="1/2W")),AND($K848=BU$3,OR($C849="W",$C849="1/2W"))),$S847,0))</f>
        <v>0</v>
      </c>
      <c r="BV847" s="462">
        <f t="shared" ref="BV847:CE847" si="1715">IF($B847="LOSS",IF(AND($K847=BV$3,$C847="L"),-$O847,0)+IF(AND($K848=BV$3,$C848="L"),-$O848,0)+IF(AND($K849=BV$3,$C849="L"),-$O849,0),IF(OR(AND($K847=BV$3,OR($C847="W",$C847="1/2W")),AND($K848=BV$3,OR($C848="W",$C848="1/2W")),AND($K849=BV$3,OR($C849="W",$C849="1/2W"))),$S847,0))</f>
        <v>0</v>
      </c>
      <c r="BW847" s="462">
        <f t="shared" si="1715"/>
        <v>2.25</v>
      </c>
      <c r="BX847" s="462">
        <f t="shared" si="1715"/>
        <v>0</v>
      </c>
      <c r="BY847" s="462">
        <f t="shared" si="1715"/>
        <v>0</v>
      </c>
      <c r="BZ847" s="460">
        <f t="shared" si="1715"/>
        <v>0</v>
      </c>
      <c r="CA847" s="460">
        <f t="shared" si="1715"/>
        <v>0</v>
      </c>
      <c r="CB847" s="460">
        <f t="shared" si="1715"/>
        <v>0</v>
      </c>
      <c r="CC847" s="460">
        <f t="shared" si="1715"/>
        <v>0</v>
      </c>
      <c r="CD847" s="473">
        <f t="shared" si="1715"/>
        <v>0</v>
      </c>
      <c r="CE847" s="479">
        <f t="shared" si="1715"/>
        <v>0</v>
      </c>
      <c r="CF847" s="113">
        <f t="shared" si="1669"/>
        <v>0</v>
      </c>
      <c r="CG847" s="114">
        <f t="shared" si="1670"/>
        <v>1</v>
      </c>
      <c r="CH847" s="114">
        <f t="shared" si="1671"/>
        <v>0</v>
      </c>
      <c r="CI847" s="114">
        <f t="shared" si="1672"/>
        <v>0</v>
      </c>
      <c r="CJ847" s="114">
        <f t="shared" si="1673"/>
        <v>0</v>
      </c>
      <c r="CK847" s="114">
        <f t="shared" si="1674"/>
        <v>0</v>
      </c>
      <c r="CL847" s="114">
        <f t="shared" si="1675"/>
        <v>0</v>
      </c>
      <c r="CM847" s="114">
        <f t="shared" si="1676"/>
        <v>0</v>
      </c>
      <c r="CN847" s="114">
        <f t="shared" si="1677"/>
        <v>0</v>
      </c>
      <c r="CO847" s="114">
        <f t="shared" si="1678"/>
        <v>0</v>
      </c>
      <c r="CP847" s="114">
        <f t="shared" si="1679"/>
        <v>0</v>
      </c>
      <c r="CQ847" s="114">
        <f t="shared" si="1680"/>
        <v>0</v>
      </c>
      <c r="CR847" s="114">
        <f t="shared" si="1681"/>
        <v>0</v>
      </c>
      <c r="CS847" s="114">
        <f t="shared" si="1682"/>
        <v>0</v>
      </c>
      <c r="CT847" s="115">
        <f t="shared" si="1683"/>
        <v>0</v>
      </c>
      <c r="CU847" s="116">
        <f t="shared" si="1684"/>
        <v>0</v>
      </c>
      <c r="CV847" s="116">
        <f t="shared" si="1685"/>
        <v>0</v>
      </c>
      <c r="CW847" s="116">
        <f t="shared" si="1686"/>
        <v>0</v>
      </c>
      <c r="CX847" s="116">
        <f t="shared" si="1687"/>
        <v>0</v>
      </c>
      <c r="CY847" s="116">
        <f t="shared" si="1688"/>
        <v>0</v>
      </c>
      <c r="CZ847" s="116">
        <f t="shared" si="1689"/>
        <v>0</v>
      </c>
      <c r="DA847" s="116">
        <f t="shared" si="1690"/>
        <v>0</v>
      </c>
      <c r="DB847" s="116">
        <f t="shared" si="1691"/>
        <v>0</v>
      </c>
      <c r="DC847" s="116">
        <f t="shared" si="1692"/>
        <v>0</v>
      </c>
      <c r="DD847" s="116">
        <f t="shared" si="1693"/>
        <v>0</v>
      </c>
      <c r="DE847" s="117">
        <f t="shared" si="1694"/>
        <v>0</v>
      </c>
      <c r="DF847" s="118">
        <f t="shared" si="1696"/>
        <v>48</v>
      </c>
      <c r="DG847" s="106">
        <f t="shared" si="1697"/>
        <v>64.138999999999996</v>
      </c>
      <c r="DH847" s="116">
        <f t="shared" si="1698"/>
        <v>18</v>
      </c>
      <c r="DI847" s="106">
        <f t="shared" si="1699"/>
        <v>76.899999999999991</v>
      </c>
      <c r="DJ847" s="201" t="str">
        <f>IF($D847="","",$D847)</f>
        <v>28</v>
      </c>
      <c r="DK847" s="465">
        <f>IF(AND($B847=" ",$D847&lt;&gt;""),1,0)</f>
        <v>0</v>
      </c>
    </row>
    <row r="848" spans="1:115" ht="14.5" customHeight="1" x14ac:dyDescent="0.2">
      <c r="A848" s="389"/>
      <c r="B848" s="456"/>
      <c r="C848" s="120" t="s">
        <v>54</v>
      </c>
      <c r="D848" s="374"/>
      <c r="E848" s="386"/>
      <c r="F848" s="377"/>
      <c r="G848" s="483"/>
      <c r="H848" s="476"/>
      <c r="I848" s="121" t="s">
        <v>66</v>
      </c>
      <c r="J848" s="122">
        <f>IF(OR(I847="TO",I847="TU",I847="TO1",I847="TU1",I847="TO2",I847="TU2"),J847,IF(OR(I847="AH1",I847="AH2"),IF(OR(I848="AH1",I848="AH2"),-J847,IF(OR(I848="EH1",I848="EH2"),-J847+0.5,"")),IF(OR(I847="EH1",I847="EH2"),IF(OR(I848="AH1",I848="AH2"),-J847+0.5,IF(OR(I848="EH1",I848="EH2"),-J847+1,"")),IF(AND(OR(I847="DNB1",I847="DNB2"),OR(I848="AH1",I848="AH2")),0,IF(AND(I847="Not ScoreBoth",OR(I848="TO1",I848="TO2")),0.5,"")))))</f>
        <v>0</v>
      </c>
      <c r="K848" s="123" t="s">
        <v>40</v>
      </c>
      <c r="L848" s="124">
        <v>1.8</v>
      </c>
      <c r="M848" s="125">
        <v>28.13</v>
      </c>
      <c r="N848" s="406"/>
      <c r="O848" s="126">
        <f>IF(OR(AE847="",AE848=""),"",ROUND(IF(L849&gt;0,IF(M848&gt;0,M848,IF(M847&gt;0,IF(N847=TRUE,ROUND((M847*AE848)/AE847,0),(M847*AE848)/AE847),IF(M848&gt;0,ROUND(M848,IF(N847=0,2,IF(N847=0.1,1,0))),IF(M849&gt;0,ROUND(O849*AE848/AE849,IF(N847=0,2,IF(N847=0.1,1,0))),0)))),IF(M848&gt;0,M848,ROUND((M847*AE848)/AE847,IF(N847=0,2,IF(N847=0.1,1,0))))),2))</f>
        <v>28.13</v>
      </c>
      <c r="P848" s="127">
        <f>IF(OR(L848="",O848=""),"",IF($C848="1/2W",O848/2+O848/2*L848,IF($C848="1/2L",O848/2,IF(I848="Lay",((O848*(L848/(L848-1)))-O848)*(1-_xlfn.XLOOKUP(K848,'Fevereiro 2023 - Valor Real'!A3:A15,'Fevereiro 2023 - Valor Real'!C3:C15,0))+O848,(O848*L848-O848)*(1-_xlfn.XLOOKUP(K848,'Fevereiro 2023 - Valor Real'!A3:A15,'Fevereiro 2023 - Valor Real'!C3:C15,0))+O848))))</f>
        <v>50.634</v>
      </c>
      <c r="Q848" s="128">
        <f>IF(K848="","",IF(_xlfn.XLOOKUP(K848,K$4:K847,$DJ$4:DJ847,0,,-1)=DJ848,_xlfn.XLOOKUP(K848,K$4:K847,Q$4:Q847,1,,-1)+1,1))</f>
        <v>12</v>
      </c>
      <c r="R848" s="129">
        <f>IF(K848="","",_xlfn.XLOOKUP(K848,K$4:K847,R$4:R847,0,,-1)+IF($C848=" ",1,0))</f>
        <v>0</v>
      </c>
      <c r="S848" s="403"/>
      <c r="T848" s="380"/>
      <c r="U848" s="380"/>
      <c r="V848" s="481"/>
      <c r="W848" s="380"/>
      <c r="X848" s="452"/>
      <c r="Y848" s="383"/>
      <c r="Z848" s="384"/>
      <c r="AA848" s="384"/>
      <c r="AB848" s="384"/>
      <c r="AC848" s="384"/>
      <c r="AD848" s="130">
        <f>(((L848/(L848-1)-1)*(1-_xlfn.XLOOKUP(K848,'Fevereiro 2023 - Valor Real'!A3:A15,'Fevereiro 2023 - Valor Real'!C3:C15,0))+1))</f>
        <v>2.25</v>
      </c>
      <c r="AE848" s="131">
        <f>IF(L848="","",IF(L849&gt;0,(SUM(((L847-1)*(1-_xlfn.XLOOKUP(K847,'Fevereiro 2023 - Valor Real'!A3:A15,'Fevereiro 2023 - Valor Real'!C3:C15,0))+1),((L848-1)*(1-_xlfn.XLOOKUP(K848,'Fevereiro 2023 - Valor Real'!A3:A15,'Fevereiro 2023 - Valor Real'!C3:C15,0))+1),((L849-1)*(1-_xlfn.XLOOKUP(K849,'Fevereiro 2023 - Valor Real'!A3:A15,'Fevereiro 2023 - Valor Real'!C3:C15,0))+1))/((L848-1)*(1-_xlfn.XLOOKUP(K848,'Fevereiro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Real'!C3:C15,0))+1))/((L847-1)*(1-_xlfn.XLOOKUP(K847,'Fevereiro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Real'!C3:C15,0))+1))/((L848-1)*(1-_xlfn.XLOOKUP(K848,'Fevereiro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Real'!C3:C15,0))+1))/((L849-1)*(1-_xlfn.XLOOKUP(K849,'Fevereiro 2023 - Valor Real'!A3:A15,'Fevereiro 2023 - Valor Real'!C3:C15,0))+1)),IF(I848="Lay",IF(I847="Lay",((L847/(L847-1)-1)*(1-_xlfn.XLOOKUP(K847,'Fevereiro 2023 - Valor Real'!A3:A15,'Fevereiro 2023 - Valor Real'!C3:C15,0))+1)/(((L847/(L847-1)-1)*(1-_xlfn.XLOOKUP(K847,'Fevereiro 2023 - Valor Real'!A3:A15,'Fevereiro 2023 - Valor Real'!C3:C15,0))+1)+((L848/(L848-1)-1)*(1-_xlfn.XLOOKUP(K848,'Fevereiro 2023 - Valor Real'!A3:A15,'Fevereiro 2023 - Valor Real'!C3:C15,0))+1)),((L847-1)*(1-_xlfn.XLOOKUP(K847,'Fevereiro 2023 - Valor Real'!A3:A15,'Fevereiro 2023 - Valor Real'!C3:C15,0))+1)/(((L847-1)*(1-_xlfn.XLOOKUP(K847,'Fevereiro 2023 - Valor Real'!A3:A15,'Fevereiro 2023 - Valor Real'!C3:C15,0))+1)+((L848/(L848-1)-1)*(1-_xlfn.XLOOKUP(K848,'Fevereiro 2023 - Valor Real'!A3:A15,'Fevereiro 2023 - Valor Real'!C3:C15,0))+1))),IF(I847="Lay",((L847/(L847-1)-1)*(1-_xlfn.XLOOKUP(K847,'Fevereiro 2023 - Valor Real'!A3:A15,'Fevereiro 2023 - Valor Real'!C3:C15,0))+1)/((((L847/(L847-1)-1)*(1-_xlfn.XLOOKUP(K847,'Fevereiro 2023 - Valor Real'!A3:A15,'Fevereiro 2023 - Valor Real'!C3:C15,0))+1))+((L848-1)*(1-_xlfn.XLOOKUP(K848,'Fevereiro 2023 - Valor Real'!A3:A15,'Fevereiro 2023 - Valor Real'!C3:C15,0))+1)),((L847-1)*(1-_xlfn.XLOOKUP(K847,'Fevereiro 2023 - Valor Real'!A3:A15,'Fevereiro 2023 - Valor Real'!C3:C15,0))+1)/(((L847-1)*(1-_xlfn.XLOOKUP(K847,'Fevereiro 2023 - Valor Real'!A3:A15,'Fevereiro 2023 - Valor Real'!C3:C15,0))+1)+((L848-1)*(1-_xlfn.XLOOKUP(K848,'Fevereiro 2023 - Valor Real'!A3:A15,'Fevereiro 2023 - Valor Real'!C3:C15,0))+1))))))</f>
        <v>0.55555555555555558</v>
      </c>
      <c r="AF848" s="105">
        <f t="shared" si="1708"/>
        <v>0</v>
      </c>
      <c r="AG848" s="106">
        <f t="shared" si="1708"/>
        <v>0</v>
      </c>
      <c r="AH848" s="106">
        <f t="shared" si="1708"/>
        <v>0</v>
      </c>
      <c r="AI848" s="106">
        <f t="shared" si="1708"/>
        <v>0</v>
      </c>
      <c r="AJ848" s="106">
        <f t="shared" si="1708"/>
        <v>22.5</v>
      </c>
      <c r="AK848" s="106">
        <f t="shared" si="1708"/>
        <v>0</v>
      </c>
      <c r="AL848" s="106">
        <f t="shared" si="1708"/>
        <v>0</v>
      </c>
      <c r="AM848" s="106">
        <f t="shared" si="1708"/>
        <v>0</v>
      </c>
      <c r="AN848" s="106">
        <f t="shared" si="1708"/>
        <v>0</v>
      </c>
      <c r="AO848" s="106">
        <f t="shared" si="1708"/>
        <v>0</v>
      </c>
      <c r="AP848" s="106">
        <f t="shared" si="1708"/>
        <v>0</v>
      </c>
      <c r="AQ848" s="106">
        <f t="shared" si="1708"/>
        <v>0</v>
      </c>
      <c r="AR848" s="107">
        <f t="shared" si="1708"/>
        <v>0</v>
      </c>
      <c r="AS848" s="105">
        <f>IF(AND($B847=" ",$K848=AS$3),$O848,0)</f>
        <v>0</v>
      </c>
      <c r="AT848" s="106">
        <f>IF(AND($B847=" ",K848=AT$3),$O848,0)</f>
        <v>0</v>
      </c>
      <c r="AU848" s="106">
        <f t="shared" ref="AU848:BE848" si="1716">IF(AND($B847=" ",$K848=AU$3),$O848,0)</f>
        <v>0</v>
      </c>
      <c r="AV848" s="106">
        <f t="shared" si="1716"/>
        <v>0</v>
      </c>
      <c r="AW848" s="106">
        <f t="shared" si="1716"/>
        <v>0</v>
      </c>
      <c r="AX848" s="106">
        <f t="shared" si="1716"/>
        <v>0</v>
      </c>
      <c r="AY848" s="108">
        <f t="shared" si="1716"/>
        <v>0</v>
      </c>
      <c r="AZ848" s="109">
        <f t="shared" si="1716"/>
        <v>0</v>
      </c>
      <c r="BA848" s="109">
        <f t="shared" si="1716"/>
        <v>0</v>
      </c>
      <c r="BB848" s="109">
        <f t="shared" si="1716"/>
        <v>0</v>
      </c>
      <c r="BC848" s="110">
        <f t="shared" si="1716"/>
        <v>0</v>
      </c>
      <c r="BD848" s="106">
        <f t="shared" si="1716"/>
        <v>0</v>
      </c>
      <c r="BE848" s="107">
        <f t="shared" si="1716"/>
        <v>0</v>
      </c>
      <c r="BF848" s="105">
        <f t="shared" si="1710"/>
        <v>0</v>
      </c>
      <c r="BG848" s="106">
        <f t="shared" si="1710"/>
        <v>0</v>
      </c>
      <c r="BH848" s="106">
        <f t="shared" si="1710"/>
        <v>0</v>
      </c>
      <c r="BI848" s="106">
        <f t="shared" si="1710"/>
        <v>0</v>
      </c>
      <c r="BJ848" s="106">
        <f t="shared" si="1710"/>
        <v>28.13</v>
      </c>
      <c r="BK848" s="106">
        <f t="shared" si="1710"/>
        <v>0</v>
      </c>
      <c r="BL848" s="106">
        <f t="shared" si="1710"/>
        <v>0</v>
      </c>
      <c r="BM848" s="132">
        <f t="shared" si="1710"/>
        <v>0</v>
      </c>
      <c r="BN848" s="112">
        <f t="shared" si="1710"/>
        <v>0</v>
      </c>
      <c r="BO848" s="112">
        <f t="shared" si="1710"/>
        <v>0</v>
      </c>
      <c r="BP848" s="112">
        <f t="shared" si="1710"/>
        <v>0</v>
      </c>
      <c r="BQ848" s="110">
        <f t="shared" si="1710"/>
        <v>0</v>
      </c>
      <c r="BR848" s="107">
        <f t="shared" si="1710"/>
        <v>0</v>
      </c>
      <c r="BS848" s="464"/>
      <c r="BT848" s="461"/>
      <c r="BU848" s="392"/>
      <c r="BV848" s="461"/>
      <c r="BW848" s="392"/>
      <c r="BX848" s="392"/>
      <c r="BY848" s="392"/>
      <c r="BZ848" s="461"/>
      <c r="CA848" s="392"/>
      <c r="CB848" s="392"/>
      <c r="CC848" s="392"/>
      <c r="CD848" s="401"/>
      <c r="CE848" s="409"/>
      <c r="CF848" s="133">
        <f t="shared" si="1669"/>
        <v>0</v>
      </c>
      <c r="CG848" s="134">
        <f t="shared" si="1670"/>
        <v>0</v>
      </c>
      <c r="CH848" s="134">
        <f t="shared" si="1671"/>
        <v>0</v>
      </c>
      <c r="CI848" s="134">
        <f t="shared" si="1672"/>
        <v>0</v>
      </c>
      <c r="CJ848" s="134">
        <f t="shared" si="1673"/>
        <v>0</v>
      </c>
      <c r="CK848" s="134">
        <f t="shared" si="1674"/>
        <v>0</v>
      </c>
      <c r="CL848" s="134">
        <f t="shared" si="1675"/>
        <v>0</v>
      </c>
      <c r="CM848" s="134">
        <f t="shared" si="1676"/>
        <v>0</v>
      </c>
      <c r="CN848" s="134">
        <f t="shared" si="1677"/>
        <v>1</v>
      </c>
      <c r="CO848" s="134">
        <f t="shared" si="1678"/>
        <v>0</v>
      </c>
      <c r="CP848" s="134">
        <f t="shared" si="1679"/>
        <v>0</v>
      </c>
      <c r="CQ848" s="134">
        <f t="shared" si="1680"/>
        <v>0</v>
      </c>
      <c r="CR848" s="134">
        <f t="shared" si="1681"/>
        <v>0</v>
      </c>
      <c r="CS848" s="134">
        <f t="shared" si="1682"/>
        <v>0</v>
      </c>
      <c r="CT848" s="115">
        <f t="shared" si="1683"/>
        <v>0</v>
      </c>
      <c r="CU848" s="116">
        <f t="shared" si="1684"/>
        <v>0</v>
      </c>
      <c r="CV848" s="116">
        <f t="shared" si="1685"/>
        <v>0</v>
      </c>
      <c r="CW848" s="116">
        <f t="shared" si="1686"/>
        <v>0</v>
      </c>
      <c r="CX848" s="116">
        <f t="shared" si="1687"/>
        <v>0</v>
      </c>
      <c r="CY848" s="116">
        <f t="shared" si="1688"/>
        <v>0</v>
      </c>
      <c r="CZ848" s="116">
        <f t="shared" si="1689"/>
        <v>0</v>
      </c>
      <c r="DA848" s="116">
        <f t="shared" si="1690"/>
        <v>0</v>
      </c>
      <c r="DB848" s="116">
        <f t="shared" si="1691"/>
        <v>0</v>
      </c>
      <c r="DC848" s="116">
        <f t="shared" si="1692"/>
        <v>0</v>
      </c>
      <c r="DD848" s="116">
        <f t="shared" si="1693"/>
        <v>0</v>
      </c>
      <c r="DE848" s="117">
        <f t="shared" si="1694"/>
        <v>0</v>
      </c>
      <c r="DF848" s="118">
        <f t="shared" si="1696"/>
        <v>48</v>
      </c>
      <c r="DG848" s="106">
        <f t="shared" si="1697"/>
        <v>64.138999999999996</v>
      </c>
      <c r="DH848" s="116">
        <f t="shared" si="1698"/>
        <v>18</v>
      </c>
      <c r="DI848" s="106">
        <f t="shared" si="1699"/>
        <v>76.899999999999991</v>
      </c>
      <c r="DJ848" s="201" t="str">
        <f>IF($D847="","",$D847)</f>
        <v>28</v>
      </c>
      <c r="DK848" s="466"/>
    </row>
    <row r="849" spans="1:115" ht="14.5" customHeight="1" x14ac:dyDescent="0.2">
      <c r="A849" s="390"/>
      <c r="B849" s="457"/>
      <c r="C849" s="135" t="s">
        <v>53</v>
      </c>
      <c r="D849" s="375"/>
      <c r="E849" s="387"/>
      <c r="F849" s="378"/>
      <c r="G849" s="484"/>
      <c r="H849" s="477"/>
      <c r="I849" s="136"/>
      <c r="J849" s="137"/>
      <c r="K849" s="138"/>
      <c r="L849" s="139"/>
      <c r="M849" s="140"/>
      <c r="N849" s="407"/>
      <c r="O849" s="141" t="str">
        <f>IF(OR(AE847="",AE848=""),"",IF(L849&gt;0,ROUND(IF(M849&gt;0,M849,IF(M847&gt;0,ROUND((M847*AE849)/AE847,IF(N847=0,2,IF(N847=0.1,1,0))),IF(M848&gt;0,ROUND((M848*AE849)/AE848,IF(N847=0,2,IF(N847=0.1,1,0))),IF(M849&gt;0,M849,0)))),2),""))</f>
        <v/>
      </c>
      <c r="P849" s="142" t="str">
        <f>IF(I848="Lay",O848*(L848/(L848-1))-O848,IF(I847="Lay",O847*(L847/(L847-1))-O847,IF(OR(L849="",O849=""),"",IF($C849="1/2W",O849/2+O849/2*L849,IF($C849="1/2L",O849/2,(O849*L849-O849)*(1-_xlfn.XLOOKUP(K849,'Fevereiro 2023 - Valor Real'!A3:A15,'Fevereiro 2023 - Valor Real'!C3:C15,0))+O849)))))</f>
        <v/>
      </c>
      <c r="Q849" s="221" t="str">
        <f>IF(K849="","",IF(_xlfn.XLOOKUP(K849,K$4:K848,$DJ$4:DJ848,0,,-1)=DJ849,_xlfn.XLOOKUP(K849,K$4:K848,Q$4:Q848,1,,-1)+1,1))</f>
        <v/>
      </c>
      <c r="R849" s="144" t="str">
        <f>IF(K849="","",_xlfn.XLOOKUP(K849,K$4:K848,R$4:R848,0,,-1)+IF($C849=" ",1,0))</f>
        <v/>
      </c>
      <c r="S849" s="404"/>
      <c r="T849" s="378"/>
      <c r="U849" s="378"/>
      <c r="V849" s="404"/>
      <c r="W849" s="378"/>
      <c r="X849" s="453"/>
      <c r="Y849" s="383"/>
      <c r="Z849" s="384"/>
      <c r="AA849" s="384"/>
      <c r="AB849" s="384"/>
      <c r="AC849" s="384"/>
      <c r="AD849" s="145">
        <f>((L848/(L848-1)-1))</f>
        <v>1.25</v>
      </c>
      <c r="AE849" s="146" t="str">
        <f>IF(L849="","",(SUM(((L847-1)*(1-_xlfn.XLOOKUP(K847,'Fevereiro 2023 - Valor Real'!A3:A15,'Fevereiro 2023 - Valor Real'!C3:C15,0))+1),((L848-1)*(1-_xlfn.XLOOKUP(K848,'Fevereiro 2023 - Valor Real'!A3:A15,'Fevereiro 2023 - Valor Real'!C3:C15,0))+1),((L849-1)*(1-_xlfn.XLOOKUP(K849,'Fevereiro 2023 - Valor Real'!A3:A15,'Fevereiro 2023 - Valor Real'!C3:C15,0))+1))/((L849-1)*(1-_xlfn.XLOOKUP(K849,'Fevereiro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Real'!C3:C15,0))+1))/((L847-1)*(1-_xlfn.XLOOKUP(K847,'Fevereiro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Real'!C3:C15,0))+1))/((L848-1)*(1-_xlfn.XLOOKUP(K848,'Fevereiro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Real'!C3:C15,0))+1))/((L849-1)*(1-_xlfn.XLOOKUP(K849,'Fevereiro 2023 - Valor Real'!A3:A15,'Fevereiro 2023 - Valor Real'!C3:C15,0))+1)))</f>
        <v/>
      </c>
      <c r="AF849" s="105">
        <f t="shared" si="1708"/>
        <v>0</v>
      </c>
      <c r="AG849" s="106">
        <f t="shared" si="1708"/>
        <v>0</v>
      </c>
      <c r="AH849" s="106">
        <f t="shared" si="1708"/>
        <v>0</v>
      </c>
      <c r="AI849" s="106">
        <f t="shared" si="1708"/>
        <v>0</v>
      </c>
      <c r="AJ849" s="106">
        <f t="shared" si="1708"/>
        <v>0</v>
      </c>
      <c r="AK849" s="106">
        <f t="shared" si="1708"/>
        <v>0</v>
      </c>
      <c r="AL849" s="106">
        <f t="shared" si="1708"/>
        <v>0</v>
      </c>
      <c r="AM849" s="106">
        <f t="shared" si="1708"/>
        <v>0</v>
      </c>
      <c r="AN849" s="106">
        <f t="shared" si="1708"/>
        <v>0</v>
      </c>
      <c r="AO849" s="106">
        <f t="shared" si="1708"/>
        <v>0</v>
      </c>
      <c r="AP849" s="106">
        <f t="shared" si="1708"/>
        <v>0</v>
      </c>
      <c r="AQ849" s="106">
        <f t="shared" si="1708"/>
        <v>0</v>
      </c>
      <c r="AR849" s="107">
        <f t="shared" si="1708"/>
        <v>0</v>
      </c>
      <c r="AS849" s="105">
        <f>IF(AND($B847=" ",$K849=AS$3),$O849,0)</f>
        <v>0</v>
      </c>
      <c r="AT849" s="106">
        <f>IF(AND($B847=" ",K849=AT$3),$O849,0)</f>
        <v>0</v>
      </c>
      <c r="AU849" s="106">
        <f t="shared" ref="AU849:BE849" si="1717">IF(AND($B847=" ",$K849=AU$3),$O849,0)</f>
        <v>0</v>
      </c>
      <c r="AV849" s="106">
        <f t="shared" si="1717"/>
        <v>0</v>
      </c>
      <c r="AW849" s="106">
        <f t="shared" si="1717"/>
        <v>0</v>
      </c>
      <c r="AX849" s="106">
        <f t="shared" si="1717"/>
        <v>0</v>
      </c>
      <c r="AY849" s="108">
        <f t="shared" si="1717"/>
        <v>0</v>
      </c>
      <c r="AZ849" s="109">
        <f t="shared" si="1717"/>
        <v>0</v>
      </c>
      <c r="BA849" s="109">
        <f t="shared" si="1717"/>
        <v>0</v>
      </c>
      <c r="BB849" s="109">
        <f t="shared" si="1717"/>
        <v>0</v>
      </c>
      <c r="BC849" s="110">
        <f t="shared" si="1717"/>
        <v>0</v>
      </c>
      <c r="BD849" s="106">
        <f t="shared" si="1717"/>
        <v>0</v>
      </c>
      <c r="BE849" s="107">
        <f t="shared" si="1717"/>
        <v>0</v>
      </c>
      <c r="BF849" s="105">
        <f t="shared" si="1710"/>
        <v>0</v>
      </c>
      <c r="BG849" s="106">
        <f t="shared" si="1710"/>
        <v>0</v>
      </c>
      <c r="BH849" s="106">
        <f t="shared" si="1710"/>
        <v>0</v>
      </c>
      <c r="BI849" s="106">
        <f t="shared" si="1710"/>
        <v>0</v>
      </c>
      <c r="BJ849" s="106">
        <f t="shared" si="1710"/>
        <v>0</v>
      </c>
      <c r="BK849" s="106">
        <f t="shared" si="1710"/>
        <v>0</v>
      </c>
      <c r="BL849" s="106">
        <f t="shared" si="1710"/>
        <v>0</v>
      </c>
      <c r="BM849" s="108">
        <f t="shared" si="1710"/>
        <v>0</v>
      </c>
      <c r="BN849" s="109">
        <f t="shared" si="1710"/>
        <v>0</v>
      </c>
      <c r="BO849" s="109">
        <f t="shared" si="1710"/>
        <v>0</v>
      </c>
      <c r="BP849" s="109">
        <f t="shared" si="1710"/>
        <v>0</v>
      </c>
      <c r="BQ849" s="110">
        <f t="shared" si="1710"/>
        <v>0</v>
      </c>
      <c r="BR849" s="107">
        <f t="shared" si="1710"/>
        <v>0</v>
      </c>
      <c r="BS849" s="464"/>
      <c r="BT849" s="461"/>
      <c r="BU849" s="392"/>
      <c r="BV849" s="461"/>
      <c r="BW849" s="392"/>
      <c r="BX849" s="392"/>
      <c r="BY849" s="392"/>
      <c r="BZ849" s="461"/>
      <c r="CA849" s="392"/>
      <c r="CB849" s="392"/>
      <c r="CC849" s="392"/>
      <c r="CD849" s="401"/>
      <c r="CE849" s="409"/>
      <c r="CF849" s="133">
        <f t="shared" si="1669"/>
        <v>0</v>
      </c>
      <c r="CG849" s="134">
        <f t="shared" si="1670"/>
        <v>0</v>
      </c>
      <c r="CH849" s="134">
        <f t="shared" si="1671"/>
        <v>0</v>
      </c>
      <c r="CI849" s="134">
        <f t="shared" si="1672"/>
        <v>0</v>
      </c>
      <c r="CJ849" s="134">
        <f t="shared" si="1673"/>
        <v>0</v>
      </c>
      <c r="CK849" s="134">
        <f t="shared" si="1674"/>
        <v>0</v>
      </c>
      <c r="CL849" s="134">
        <f t="shared" si="1675"/>
        <v>0</v>
      </c>
      <c r="CM849" s="134">
        <f t="shared" si="1676"/>
        <v>0</v>
      </c>
      <c r="CN849" s="134">
        <f t="shared" si="1677"/>
        <v>0</v>
      </c>
      <c r="CO849" s="134">
        <f t="shared" si="1678"/>
        <v>0</v>
      </c>
      <c r="CP849" s="134">
        <f t="shared" si="1679"/>
        <v>0</v>
      </c>
      <c r="CQ849" s="134">
        <f t="shared" si="1680"/>
        <v>0</v>
      </c>
      <c r="CR849" s="134">
        <f t="shared" si="1681"/>
        <v>0</v>
      </c>
      <c r="CS849" s="134">
        <f t="shared" si="1682"/>
        <v>0</v>
      </c>
      <c r="CT849" s="115">
        <f t="shared" si="1683"/>
        <v>0</v>
      </c>
      <c r="CU849" s="116">
        <f t="shared" si="1684"/>
        <v>0</v>
      </c>
      <c r="CV849" s="116">
        <f t="shared" si="1685"/>
        <v>0</v>
      </c>
      <c r="CW849" s="116">
        <f t="shared" si="1686"/>
        <v>0</v>
      </c>
      <c r="CX849" s="116">
        <f t="shared" si="1687"/>
        <v>0</v>
      </c>
      <c r="CY849" s="116">
        <f t="shared" si="1688"/>
        <v>0</v>
      </c>
      <c r="CZ849" s="116">
        <f t="shared" si="1689"/>
        <v>0</v>
      </c>
      <c r="DA849" s="116">
        <f t="shared" si="1690"/>
        <v>0</v>
      </c>
      <c r="DB849" s="116">
        <f t="shared" si="1691"/>
        <v>0</v>
      </c>
      <c r="DC849" s="116">
        <f t="shared" si="1692"/>
        <v>0</v>
      </c>
      <c r="DD849" s="116">
        <f t="shared" si="1693"/>
        <v>0</v>
      </c>
      <c r="DE849" s="117">
        <f t="shared" si="1694"/>
        <v>0</v>
      </c>
      <c r="DF849" s="118">
        <f t="shared" si="1696"/>
        <v>48</v>
      </c>
      <c r="DG849" s="106">
        <f t="shared" si="1697"/>
        <v>64.138999999999996</v>
      </c>
      <c r="DH849" s="116">
        <f t="shared" si="1698"/>
        <v>18</v>
      </c>
      <c r="DI849" s="106">
        <f t="shared" si="1699"/>
        <v>76.899999999999991</v>
      </c>
      <c r="DJ849" s="201" t="str">
        <f>IF($D847="","",$D847)</f>
        <v>28</v>
      </c>
      <c r="DK849" s="466"/>
    </row>
    <row r="850" spans="1:115" ht="14.5" customHeight="1" x14ac:dyDescent="0.2">
      <c r="A850" s="487">
        <f>$A847+1</f>
        <v>283</v>
      </c>
      <c r="B850" s="506" t="str">
        <f>IF(OR(C850="W",C851="W",C852="W",C850="1/2W",C851="1/2W",C852="1/2W",C850="1/2L",C851="1/2L",C852="1/2L"),"OK",IF(OR(C850="L",C851="L",C852="L"),"LOSS",IF(OR(C850="X",C851="X",C852="X"),"Anulado"," ")))</f>
        <v>OK</v>
      </c>
      <c r="C850" s="147" t="s">
        <v>54</v>
      </c>
      <c r="D850" s="494" t="str">
        <f>IF(G850="","",$D847)</f>
        <v>28</v>
      </c>
      <c r="E850" s="511" t="str">
        <f>IF(G850=""," ","– "&amp;COUNTIF(D$4:D852,$D850))</f>
        <v>– 14</v>
      </c>
      <c r="F850" s="510" t="str">
        <f ca="1">IF(G850="","",IF(OR(AND($C850&lt;&gt;" ",$C851=" "),AND($C851&lt;&gt;" ",$C850=" "),AND(L852&gt;0,OR(AND($C852&lt;&gt;" ",OR($C850=" ",$C851=" ")),AND($C852=" ",OR($C850&lt;&gt;" ",$C851&lt;&gt;" "))))),IF(SUM(F$4:F849)=0,1,LARGE(F$4:F849,1)+1),IF(MONTH(G850)=MONTH(TODAY()),IF(AND(DAY(G850)&lt;DAY(TODAY()),$B850=" "),IF(SUM(F$4:F849)=0,1,LARGE(F$4:F849,1)+1),IF($B850=" ",IF(AND(DAY(G850)=DAY(TODAY()),HOUR(G850)&lt;=HOUR(NOW())+1),IF(AND(HOUR(G850)+2&lt;=HOUR(NOW()),DAY(G850)&lt;=DAY(TODAY()),MINUTE(G850)&lt;=MINUTE(NOW())),IF(SUM(F$4:F849)=0,1,LARGE(F$4:F849,1)+1),IF(OR(MINUTE(G850)&lt;=MINUTE(NOW()),HOUR(G850)&lt;=HOUR(NOW())),"!!!","")),""),"")),"")))</f>
        <v/>
      </c>
      <c r="G850" s="517">
        <v>45014.65625</v>
      </c>
      <c r="H850" s="516" t="s">
        <v>284</v>
      </c>
      <c r="I850" s="249">
        <v>1</v>
      </c>
      <c r="J850" s="241"/>
      <c r="K850" s="224" t="s">
        <v>40</v>
      </c>
      <c r="L850" s="225">
        <v>1.48</v>
      </c>
      <c r="M850" s="226">
        <v>43</v>
      </c>
      <c r="N850" s="503">
        <v>0</v>
      </c>
      <c r="O850" s="153">
        <f>IF(OR(AE850="",AE851=""),"",ROUND(IF(L852&gt;0,IF(M850&gt;0,M850,IF(M851&gt;0,ROUND((M851*AE850)/AE851,IF(N850=0,2,IF(N850=0.1,1,0))),ROUND((M852*AE850)/AE852,IF(N850=0,2,IF(N850=0.1,1,0))))),IF(M850&gt;0,M850,ROUND((M851*AE850)/AE851,IF(N850=0,2,IF(N850=0.1,1,0))))),2))</f>
        <v>43</v>
      </c>
      <c r="P850" s="227">
        <f>IF(OR(L850="",O850=""),"",IF($C850="1/2W",O850/2+O850/2*L850,IF($C850="1/2L",O850/2,IF(I850="Lay",(O850*(L850/(L850-1))-O850)*(1-_xlfn.XLOOKUP(K850,'Fevereiro 2023 - Valor Real'!A3:A15,'Fevereiro 2023 - Valor Real'!C3:C15,0))+O850,(O850*L850-O850)*(1-_xlfn.XLOOKUP(K850,'Fevereiro 2023 - Valor Real'!A3:A15,'Fevereiro 2023 - Valor Real'!C3:C15,0))+O850))))</f>
        <v>63.64</v>
      </c>
      <c r="Q850" s="228">
        <f>IF(K850="","",IF(_xlfn.XLOOKUP(K850,K$4:K849,$DJ$4:DJ849,0,,-1)=DJ850,_xlfn.XLOOKUP(K850,K$4:K849,Q$4:Q849,1,,-1)+1,1))</f>
        <v>13</v>
      </c>
      <c r="R850" s="229">
        <f>IF(K850="","",_xlfn.XLOOKUP(K850,K$4:K849,R$4:R849,0,,-1)+IF($C850=" ",1,0))</f>
        <v>0</v>
      </c>
      <c r="S850" s="501">
        <f>IF($B850="Anulado",0,ROUND(IF(OR($B850="LOSS",$B850="OK"),IF(OR($C850="W",$C850="1/2W",$C850="1/2L"),P850-O850,IF($C850="L",-O850,0))+IF(OR($C851="W",$C851="1/2W",$C851="1/2L"),P851-O851,IF($C851="L",-O851,0))+IF(OR($C852="W",$C852="1/2W",$C852="1/2L"),P852-O852,IF($C852="L",-O852,0)),IF(AND(OR($C850="W",$C850="1/2W",$C850="1/2L"),C851="W"),P850+P851-SUM(O850:O852)+_xlfn.XLOOKUP("X",C850:C852,O850:O852,0),IF(AND(C850=TRUE,C852="W"),P850+P852-SUM(O850:O852),IF(AND(C851="W",C852="W"),P851+P852-SUM(O850:O852)+_xlfn.XLOOKUP("X",C850:C852,O850:O852,0),IF(L852&gt;0,IF(OR($C850="W",$C850="1/2W",$C850="1/2L"),P850-SUM(O850:O852)+_xlfn.XLOOKUP("X",C850:C852,O850:O852,0),IF(OR($C850="W",$C850="1/2W",$C850="1/2L"),P851-SUM(O850:O852)+_xlfn.XLOOKUP("X",C850:C852,O850:O852,0),IF(OR($C850="W",$C850="1/2W",$C850="1/2L"),P852-SUM(O850:O852)+_xlfn.XLOOKUP("X",C850:C852,O850:O852,0),IF(SUM(P850:P852)/3-SUM(O850:O852)+_xlfn.XLOOKUP("X",C850:C852,O850:O852,0)&gt;0,SUM(P850:P852)/3-SUM(O850:O852)+_xlfn.XLOOKUP("X",C850:C852,O850:O852,0),LARGE(P850:P852,1)-SUM(O850:O852))))),IF(OR($C850="W",$C850="1/2W",$C850="1/2L"),P850-SUM(O850:O851)+_xlfn.XLOOKUP("X",C850:C852,O850:O852,0),IF(OR($C850="W",$C850="1/2W",$C850="1/2L"),P851-SUM(O850:O851)+_xlfn.XLOOKUP("X",C850:C852,O850:O852,0),SUM(P850:P851)/2-SUM(O850:O851)+_xlfn.XLOOKUP("X",C850:C852,O850:O852,0)))))))),2))</f>
        <v>2.59</v>
      </c>
      <c r="T850" s="486">
        <f>IF(S850=0,0,S850/SUM(O850:O852))</f>
        <v>4.2424242424242427E-2</v>
      </c>
      <c r="U850" s="496">
        <f>IF($D850=$D847,IF(OR($B850="LOSS",$B850="OK",$B850="Anulada"),S850,0)+U847,IF(OR($B850="LOSS",$B850="OK",$B850="Anulada"),S850,0))</f>
        <v>88.68</v>
      </c>
      <c r="V850" s="496">
        <f>IF($D850="",0,IF($D850=$D847,IF($B850=" ",IF(I852="",IF(OR(AND(I850="DNB1",I851="DNB2"),AND(OR(I850="DNB1",I850="DNB2"),J851=0),AND(OR(I851="DNB1",I851="DNB2"),J850=0),AND(I850="DNB2",I851="DNB1"),AND(IF(J850=0,(J850+1)/ROUND(J850+1,0),J850/ROUND(J850,0))=1,IF(J851=0,(J851+1)/ROUND(IF(J851="",0,J851)+1,0),IF(J851="",0,J851)/ROUND(IF(J851="",1,J851),0))=1,OR(J850&lt;&gt;""),J851&lt;&gt;"")),0,IF(S850&lt;0,IF(I852="",SMALL(P850:P851,1)-SUM(O850:O851),0),SMALL(P850:P851,1)-SUM(O850:O851))),IF(S850&lt;0,IF(I852="",SMALL(P850:P852,1)-SUM(O850:O852),0),LARGE(P850:P852,1)-SUM(O850:O852))),S850)+V847,IF(I852="",IF(OR(AND(I850="DNB1",I851="DNB2"),AND(OR(I850="DNB1",I850="DNB2"),J851=0),AND(OR(I851="DNB1",I851="DNB2"),J850=0),AND(I850="DNB2",I851="DNB1"),AND(IF(J850=0,(J850+1)/ROUND(J850+1,0),J850/ROUND(J850,0))=1,IF(J851=0,(IF(J851="",0,J851)+1)/ROUND(IF(J851="",0,J851)+1,0),IF(J851="",0,J851)/ROUND(IF(J851="",0,J851)+1,0))=1,OR(J850&lt;&gt;""),J851&lt;&gt;"")),0,IF(S850&lt;0,IF(I852="",SMALL(P850:P851,1)-SUM(O850:O851),0),SMALL(P850:P852,1)-SUM(O850:O852))),IF(S850&lt;0,IF(I852="",SMALL(P850:P852,1)-SUM(O850:O852),0),LARGE(P850:P852,1)-SUM(O850:O852)))))</f>
        <v>88.647999999999996</v>
      </c>
      <c r="W850" s="496">
        <f>IF($D850=$D847,IF(S850&lt;0,IF(I852="",S850,0),S850)+W847,S850)</f>
        <v>100.8</v>
      </c>
      <c r="X850" s="505" t="str">
        <f>IF(OR(SUM(R850:R852)=0,V850=W850),ROUND(IF(W850=0,0,W850/Y850)*100,2)&amp;"%",ROUND(IF(V850=0,0,V850/Y850)*100,2)&amp;"% a "&amp;ROUND(IF(W850=0,0,W850/Y850)*100,2)&amp;"%")</f>
        <v>13,84%</v>
      </c>
      <c r="Y850" s="497">
        <f>IF($D850=$D847,Y847+SUM(O850:O852),SUM(O850:O852))</f>
        <v>728.31</v>
      </c>
      <c r="Z850" s="496">
        <f>IF($B850=" ",SUM(O850:O852),0)+Z847</f>
        <v>0</v>
      </c>
      <c r="AA850" s="496">
        <f>IF(G850="","",IF($B850="Anulado",LARGE(P850:P852,1)-SUM(O850:O852)+AA847,AA847))</f>
        <v>13.381099999999991</v>
      </c>
      <c r="AB850" s="496">
        <f>IF($D850="","",AB847+S850)</f>
        <v>983.69000000000085</v>
      </c>
      <c r="AC850" s="499">
        <f ca="1">IF($D850="","",IF($B850=" ",IF(DAY(G850)=DAY(TODAY()),1+AC847,0+AC847),0+AC847))</f>
        <v>0</v>
      </c>
      <c r="AD850" s="157">
        <f>(((L851/(L851-1)-1)*(1-_xlfn.XLOOKUP(K851,'Fevereiro 2023 - Valor Real'!A3:A15,'Fevereiro 2023 - Valor Real'!C3:C15,0))+1))/(((L850-1)*(1-_xlfn.XLOOKUP(K850,'Fevereiro 2023 - Valor Real'!A3:A15,'Fevereiro 2023 - Valor Real'!C3:C15,0))+1)+((L851/(L851-1)-1)*(1-_xlfn.XLOOKUP(K851,'Fevereiro 2023 - Valor Real'!A3:A15,'Fevereiro 2023 - Valor Real'!C3:C15,0))+1))</f>
        <v>0.43186180422264875</v>
      </c>
      <c r="AE850" s="158">
        <f>IF(L850="","",IF(L852&gt;0,(SUM(((L850-1)*(1-_xlfn.XLOOKUP(K850,'Fevereiro 2023 - Valor Real'!A3:A15,'Fevereiro 2023 - Valor Real'!C3:C15,0))+1),((L851-1)*(1-_xlfn.XLOOKUP(K851,'Fevereiro 2023 - Valor Real'!A3:A15,'Fevereiro 2023 - Valor Real'!C3:C15,0))+1),((L852-1)*(1-_xlfn.XLOOKUP(K852,'Fevereiro 2023 - Valor Real'!A3:A15,'Fevereiro 2023 - Valor Real'!C3:C15,0))+1))/((L850-1)*(1-_xlfn.XLOOKUP(K850,'Fevereiro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Real'!C3:C15,0))+1))/((L850-1)*(1-_xlfn.XLOOKUP(K850,'Fevereiro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Real'!C3:C15,0))+1))/((L851-1)*(1-_xlfn.XLOOKUP(K851,'Fevereiro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Real'!C3:C15,0))+1))/((L852-1)*(1-_xlfn.XLOOKUP(K852,'Fevereiro 2023 - Valor Real'!A3:A15,'Fevereiro 2023 - Valor Real'!C3:C15,0))+1)),IF(I850="Lay",IF(I851="Lay",((L851/(L851-1)-1)*(1-_xlfn.XLOOKUP(K851,'Fevereiro 2023 - Valor Real'!A3:A15,'Fevereiro 2023 - Valor Real'!C3:C15,0))+1)/(((L851/(L851-1)-1)*(1-_xlfn.XLOOKUP(K851,'Fevereiro 2023 - Valor Real'!A3:A15,'Fevereiro 2023 - Valor Real'!C3:C15,0))+1)+((L850/(L850-1)-1)*(1-_xlfn.XLOOKUP(K850,'Fevereiro 2023 - Valor Real'!A3:A15,'Fevereiro 2023 - Valor Real'!C3:C15,0))+1)),((L851-1)*(1-_xlfn.XLOOKUP(K851,'Fevereiro 2023 - Valor Real'!A3:A15,'Fevereiro 2023 - Valor Real'!C3:C15,0))+1)/(((L851-1)*(1-_xlfn.XLOOKUP(K851,'Fevereiro 2023 - Valor Real'!A3:A15,'Fevereiro 2023 - Valor Real'!C3:C15,0))+1)+((L850/(L850-1)-1)*(1-_xlfn.XLOOKUP(K850,'Fevereiro 2023 - Valor Real'!A3:A15,'Fevereiro 2023 - Valor Real'!C3:C15,0))+1))),IF(I851="Lay",(((L851/(L851-1)-1)*(1-_xlfn.XLOOKUP(K851,'Fevereiro 2023 - Valor Real'!A3:A15,'Fevereiro 2023 - Valor Real'!C3:C15,0))+1))/(((L850-1)*(1-_xlfn.XLOOKUP(K850,'Fevereiro 2023 - Valor Real'!A3:A15,'Fevereiro 2023 - Valor Real'!C3:C15,0))+1)+((L851/(L851-1)-1)*(1-_xlfn.XLOOKUP(K851,'Fevereiro 2023 - Valor Real'!A3:A15,'Fevereiro 2023 - Valor Real'!C3:C15,0))+1)),((L851-1)*(1-_xlfn.XLOOKUP(K851,'Fevereiro 2023 - Valor Real'!A3:A15,'Fevereiro 2023 - Valor Real'!C3:C15,0))+1)/(((L851-1)*(1-_xlfn.XLOOKUP(K851,'Fevereiro 2023 - Valor Real'!A3:A15,'Fevereiro 2023 - Valor Real'!C3:C15,0))+1)+((L850-1)*(1-_xlfn.XLOOKUP(K850,'Fevereiro 2023 - Valor Real'!A3:A15,'Fevereiro 2023 - Valor Real'!C3:C15,0))+1))))))</f>
        <v>0.68745506829618974</v>
      </c>
      <c r="AF850" s="66">
        <f t="shared" si="1708"/>
        <v>0</v>
      </c>
      <c r="AG850" s="67">
        <f t="shared" si="1708"/>
        <v>0</v>
      </c>
      <c r="AH850" s="67">
        <f t="shared" si="1708"/>
        <v>0</v>
      </c>
      <c r="AI850" s="67">
        <f t="shared" si="1708"/>
        <v>0</v>
      </c>
      <c r="AJ850" s="67">
        <f t="shared" si="1708"/>
        <v>20.64</v>
      </c>
      <c r="AK850" s="67">
        <f t="shared" si="1708"/>
        <v>0</v>
      </c>
      <c r="AL850" s="67">
        <f t="shared" si="1708"/>
        <v>0</v>
      </c>
      <c r="AM850" s="67">
        <f t="shared" si="1708"/>
        <v>0</v>
      </c>
      <c r="AN850" s="67">
        <f t="shared" si="1708"/>
        <v>0</v>
      </c>
      <c r="AO850" s="67">
        <f t="shared" si="1708"/>
        <v>0</v>
      </c>
      <c r="AP850" s="67">
        <f t="shared" si="1708"/>
        <v>0</v>
      </c>
      <c r="AQ850" s="67">
        <f t="shared" si="1708"/>
        <v>0</v>
      </c>
      <c r="AR850" s="68">
        <f t="shared" si="1708"/>
        <v>0</v>
      </c>
      <c r="AS850" s="66">
        <f t="shared" ref="AS850:BE850" si="1718">IF(AND($B850=" ",$K850=AS$3),$O850,0)</f>
        <v>0</v>
      </c>
      <c r="AT850" s="67">
        <f t="shared" si="1718"/>
        <v>0</v>
      </c>
      <c r="AU850" s="67">
        <f t="shared" si="1718"/>
        <v>0</v>
      </c>
      <c r="AV850" s="67">
        <f t="shared" si="1718"/>
        <v>0</v>
      </c>
      <c r="AW850" s="67">
        <f t="shared" si="1718"/>
        <v>0</v>
      </c>
      <c r="AX850" s="67">
        <f t="shared" si="1718"/>
        <v>0</v>
      </c>
      <c r="AY850" s="69">
        <f t="shared" si="1718"/>
        <v>0</v>
      </c>
      <c r="AZ850" s="70">
        <f t="shared" si="1718"/>
        <v>0</v>
      </c>
      <c r="BA850" s="70">
        <f t="shared" si="1718"/>
        <v>0</v>
      </c>
      <c r="BB850" s="70">
        <f t="shared" si="1718"/>
        <v>0</v>
      </c>
      <c r="BC850" s="71">
        <f t="shared" si="1718"/>
        <v>0</v>
      </c>
      <c r="BD850" s="67">
        <f t="shared" si="1718"/>
        <v>0</v>
      </c>
      <c r="BE850" s="68">
        <f t="shared" si="1718"/>
        <v>0</v>
      </c>
      <c r="BF850" s="230">
        <f t="shared" si="1710"/>
        <v>0</v>
      </c>
      <c r="BG850" s="67">
        <f t="shared" si="1710"/>
        <v>0</v>
      </c>
      <c r="BH850" s="67">
        <f t="shared" si="1710"/>
        <v>0</v>
      </c>
      <c r="BI850" s="67">
        <f t="shared" si="1710"/>
        <v>0</v>
      </c>
      <c r="BJ850" s="67">
        <f t="shared" si="1710"/>
        <v>43</v>
      </c>
      <c r="BK850" s="67">
        <f t="shared" si="1710"/>
        <v>0</v>
      </c>
      <c r="BL850" s="67">
        <f t="shared" si="1710"/>
        <v>0</v>
      </c>
      <c r="BM850" s="69">
        <f t="shared" si="1710"/>
        <v>0</v>
      </c>
      <c r="BN850" s="70">
        <f t="shared" si="1710"/>
        <v>0</v>
      </c>
      <c r="BO850" s="70">
        <f t="shared" si="1710"/>
        <v>0</v>
      </c>
      <c r="BP850" s="70">
        <f t="shared" si="1710"/>
        <v>0</v>
      </c>
      <c r="BQ850" s="71">
        <f t="shared" si="1710"/>
        <v>0</v>
      </c>
      <c r="BR850" s="68">
        <f t="shared" si="1710"/>
        <v>0</v>
      </c>
      <c r="BS850" s="490">
        <f>IF($B850="LOSS",IF(AND($K850=BS$3,$C850="L"),-$O850,0)+IF(AND($K851=BS$3,$C851="L"),-$O851,0)+IF(AND($K852=BS$3,$C852="L"),-$O852,0),IF(OR(AND($K850=BS$3,OR($C850="W",$C850="1/2W")),AND($K851=BS$3,OR($C851="W",$C851="1/2W")),AND($K852=BS$3,OR($C852="W",$C852="1/2W"))),$S850,0))</f>
        <v>0</v>
      </c>
      <c r="BT850" s="488">
        <f>IF($B850="LOSS",IF(AND($K850=BT$3,$C850="L"),-$O850,0)+IF(AND($K851=BT$3,$C851="L"),-$O851,0)+IF(AND($K851=BT$3,$C852="L"),-$O852,0),IF(OR(AND($K851=BT$3,OR($C850="W",$C850="1/2W")),AND($K851=BT$3,OR($C851="W",$C851="1/2W")),AND($K851=BT$3,OR($C852="W",$C852="1/2W"))),$S850,0))</f>
        <v>0</v>
      </c>
      <c r="BU850" s="488">
        <f>IF($B850="LOSS",IF(AND($K850=BU$3,$C850="L"),-$O850,0)+IF(AND($K851=BU$3,$C851="L"),-$O851,0)+IF(AND($K851=BU$3,$C852="L"),-$O852,0),IF(OR(AND($K851=BU$3,OR($C850="W",$C850="1/2W")),AND($K851=BU$3,OR($C851="W",$C851="1/2W")),AND($K851=BU$3,OR($C852="W",$C852="1/2W"))),$S850,0))</f>
        <v>0</v>
      </c>
      <c r="BV850" s="488">
        <f t="shared" ref="BV850:CE850" si="1719">IF($B850="LOSS",IF(AND($K850=BV$3,$C850="L"),-$O850,0)+IF(AND($K851=BV$3,$C851="L"),-$O851,0)+IF(AND($K852=BV$3,$C852="L"),-$O852,0),IF(OR(AND($K850=BV$3,OR($C850="W",$C850="1/2W")),AND($K851=BV$3,OR($C851="W",$C851="1/2W")),AND($K852=BV$3,OR($C852="W",$C852="1/2W"))),$S850,0))</f>
        <v>0</v>
      </c>
      <c r="BW850" s="488">
        <f t="shared" si="1719"/>
        <v>2.59</v>
      </c>
      <c r="BX850" s="488">
        <f t="shared" si="1719"/>
        <v>0</v>
      </c>
      <c r="BY850" s="488">
        <f t="shared" si="1719"/>
        <v>0</v>
      </c>
      <c r="BZ850" s="498">
        <f t="shared" si="1719"/>
        <v>0</v>
      </c>
      <c r="CA850" s="498">
        <f t="shared" si="1719"/>
        <v>0</v>
      </c>
      <c r="CB850" s="498">
        <f t="shared" si="1719"/>
        <v>0</v>
      </c>
      <c r="CC850" s="498">
        <f t="shared" si="1719"/>
        <v>0</v>
      </c>
      <c r="CD850" s="500">
        <f t="shared" si="1719"/>
        <v>0</v>
      </c>
      <c r="CE850" s="504">
        <f t="shared" si="1719"/>
        <v>0</v>
      </c>
      <c r="CF850" s="160">
        <f t="shared" si="1669"/>
        <v>0</v>
      </c>
      <c r="CG850" s="161">
        <f t="shared" si="1670"/>
        <v>0</v>
      </c>
      <c r="CH850" s="161">
        <f t="shared" si="1671"/>
        <v>0</v>
      </c>
      <c r="CI850" s="161">
        <f t="shared" si="1672"/>
        <v>0</v>
      </c>
      <c r="CJ850" s="161">
        <f t="shared" si="1673"/>
        <v>0</v>
      </c>
      <c r="CK850" s="161">
        <f t="shared" si="1674"/>
        <v>0</v>
      </c>
      <c r="CL850" s="161">
        <f t="shared" si="1675"/>
        <v>0</v>
      </c>
      <c r="CM850" s="161">
        <f t="shared" si="1676"/>
        <v>0</v>
      </c>
      <c r="CN850" s="161">
        <f t="shared" si="1677"/>
        <v>1</v>
      </c>
      <c r="CO850" s="161">
        <f t="shared" si="1678"/>
        <v>0</v>
      </c>
      <c r="CP850" s="161">
        <f t="shared" si="1679"/>
        <v>0</v>
      </c>
      <c r="CQ850" s="161">
        <f t="shared" si="1680"/>
        <v>0</v>
      </c>
      <c r="CR850" s="161">
        <f t="shared" si="1681"/>
        <v>0</v>
      </c>
      <c r="CS850" s="161">
        <f t="shared" si="1682"/>
        <v>0</v>
      </c>
      <c r="CT850" s="75">
        <f t="shared" si="1683"/>
        <v>0</v>
      </c>
      <c r="CU850" s="76">
        <f t="shared" si="1684"/>
        <v>0</v>
      </c>
      <c r="CV850" s="76">
        <f t="shared" si="1685"/>
        <v>0</v>
      </c>
      <c r="CW850" s="76">
        <f t="shared" si="1686"/>
        <v>0</v>
      </c>
      <c r="CX850" s="76">
        <f t="shared" si="1687"/>
        <v>0</v>
      </c>
      <c r="CY850" s="76">
        <f t="shared" si="1688"/>
        <v>0</v>
      </c>
      <c r="CZ850" s="76">
        <f t="shared" si="1689"/>
        <v>0</v>
      </c>
      <c r="DA850" s="76">
        <f t="shared" si="1690"/>
        <v>0</v>
      </c>
      <c r="DB850" s="76">
        <f t="shared" si="1691"/>
        <v>0</v>
      </c>
      <c r="DC850" s="76">
        <f t="shared" si="1692"/>
        <v>0</v>
      </c>
      <c r="DD850" s="76">
        <f t="shared" si="1693"/>
        <v>0</v>
      </c>
      <c r="DE850" s="77">
        <f t="shared" si="1694"/>
        <v>0</v>
      </c>
      <c r="DF850" s="73">
        <f t="shared" si="1696"/>
        <v>49</v>
      </c>
      <c r="DG850" s="67">
        <f t="shared" si="1697"/>
        <v>65.619</v>
      </c>
      <c r="DH850" s="76">
        <f t="shared" si="1698"/>
        <v>18</v>
      </c>
      <c r="DI850" s="67">
        <f t="shared" si="1699"/>
        <v>76.899999999999991</v>
      </c>
      <c r="DJ850" s="202" t="str">
        <f>IF($D850="","",$D850)</f>
        <v>28</v>
      </c>
      <c r="DK850" s="492">
        <f>IF(AND($B850=" ",$D850&lt;&gt;""),1,0)</f>
        <v>0</v>
      </c>
    </row>
    <row r="851" spans="1:115" ht="14.5" customHeight="1" x14ac:dyDescent="0.2">
      <c r="A851" s="389"/>
      <c r="B851" s="456"/>
      <c r="C851" s="53" t="s">
        <v>55</v>
      </c>
      <c r="D851" s="374"/>
      <c r="E851" s="386"/>
      <c r="F851" s="377"/>
      <c r="G851" s="483"/>
      <c r="H851" s="476"/>
      <c r="I851" s="55" t="s">
        <v>49</v>
      </c>
      <c r="J851" s="242" t="str">
        <f>IF(OR(I850="TO",I850="TU",I850="TO1",I850="TU1",I850="TO2",I850="TU2"),J850,IF(OR(I850="AH1",I850="AH2"),IF(OR(I851="AH1",I851="AH2"),-J850,IF(OR(I851="EH1",I851="EH2"),-J850+0.5,"")),IF(OR(I850="EH1",I850="EH2"),IF(OR(I851="AH1",I851="AH2"),-J850+0.5,IF(OR(I851="EH1",I851="EH2"),-J850+1,"")),IF(AND(OR(I850="DNB1",I850="DNB2"),OR(I851="AH1",I851="AH2")),0,IF(AND(I850="Not ScoreBoth",OR(I851="TO1",I851="TO2")),0.5,"")))))</f>
        <v/>
      </c>
      <c r="K851" s="232" t="s">
        <v>39</v>
      </c>
      <c r="L851" s="58">
        <v>9</v>
      </c>
      <c r="M851" s="59">
        <v>5.65</v>
      </c>
      <c r="N851" s="406"/>
      <c r="O851" s="60">
        <f>IF(OR(AE850="",AE851=""),"",ROUND(IF(L852&gt;0,IF(M851&gt;0,M851,IF(M850&gt;0,IF(N850=TRUE,ROUND((M850*AE851)/AE850,0),(M850*AE851)/AE850),IF(M851&gt;0,ROUND(M851,IF(N850=0,2,IF(N850=0.1,1,0))),IF(M852&gt;0,ROUND(O852*AE851/AE852,IF(N850=0,2,IF(N850=0.1,1,0))),0)))),IF(M851&gt;0,M851,ROUND((M850*AE851)/AE850,IF(N850=0,2,IF(N850=0.1,1,0))))),2))</f>
        <v>5.65</v>
      </c>
      <c r="P851" s="61">
        <f>IF(OR(L851="",O851=""),"",IF($C851="1/2W",O851/2+O851/2*L851,IF($C851="1/2L",O851/2,IF(I851="Lay",((O851*(L851/(L851-1)))-O851)*(1-_xlfn.XLOOKUP(K851,'Fevereiro 2023 - Valor Real'!A3:A15,'Fevereiro 2023 - Valor Real'!C3:C15,0))+O851,(O851*L851-O851)*(1-_xlfn.XLOOKUP(K851,'Fevereiro 2023 - Valor Real'!A3:A15,'Fevereiro 2023 - Valor Real'!C3:C15,0))+O851))))</f>
        <v>50.85</v>
      </c>
      <c r="Q851" s="233">
        <f>IF(K851="","",IF(_xlfn.XLOOKUP(K851,K$4:K850,$DJ$4:DJ850,0,,-1)=DJ851,_xlfn.XLOOKUP(K851,K$4:K850,Q$4:Q850,1,,-1)+1,1))</f>
        <v>2</v>
      </c>
      <c r="R851" s="234">
        <f>IF(K851="","",_xlfn.XLOOKUP(K851,K$4:K850,R$4:R850,0,,-1)+IF($C851=" ",1,0))</f>
        <v>0</v>
      </c>
      <c r="S851" s="403"/>
      <c r="T851" s="380"/>
      <c r="U851" s="380"/>
      <c r="V851" s="481"/>
      <c r="W851" s="380"/>
      <c r="X851" s="452"/>
      <c r="Y851" s="383"/>
      <c r="Z851" s="384"/>
      <c r="AA851" s="384"/>
      <c r="AB851" s="384"/>
      <c r="AC851" s="384"/>
      <c r="AD851" s="64">
        <f>(((L851/(L851-1)-1)*(1-_xlfn.XLOOKUP(K851,'Fevereiro 2023 - Valor Real'!A3:A15,'Fevereiro 2023 - Valor Real'!C3:C15,0))+1))</f>
        <v>1.125</v>
      </c>
      <c r="AE851" s="65">
        <f>IF(L851="","",IF(L852&gt;0,(SUM(((L850-1)*(1-_xlfn.XLOOKUP(K850,'Fevereiro 2023 - Valor Real'!A3:A15,'Fevereiro 2023 - Valor Real'!C3:C15,0))+1),((L851-1)*(1-_xlfn.XLOOKUP(K851,'Fevereiro 2023 - Valor Real'!A3:A15,'Fevereiro 2023 - Valor Real'!C3:C15,0))+1),((L852-1)*(1-_xlfn.XLOOKUP(K852,'Fevereiro 2023 - Valor Real'!A3:A15,'Fevereiro 2023 - Valor Real'!C3:C15,0))+1))/((L851-1)*(1-_xlfn.XLOOKUP(K851,'Fevereiro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Real'!C3:C15,0))+1))/((L850-1)*(1-_xlfn.XLOOKUP(K850,'Fevereiro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Real'!C3:C15,0))+1))/((L851-1)*(1-_xlfn.XLOOKUP(K851,'Fevereiro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Real'!C3:C15,0))+1))/((L852-1)*(1-_xlfn.XLOOKUP(K852,'Fevereiro 2023 - Valor Real'!A3:A15,'Fevereiro 2023 - Valor Real'!C3:C15,0))+1)),IF(I851="Lay",IF(I850="Lay",((L850/(L850-1)-1)*(1-_xlfn.XLOOKUP(K850,'Fevereiro 2023 - Valor Real'!A3:A15,'Fevereiro 2023 - Valor Real'!C3:C15,0))+1)/(((L850/(L850-1)-1)*(1-_xlfn.XLOOKUP(K850,'Fevereiro 2023 - Valor Real'!A3:A15,'Fevereiro 2023 - Valor Real'!C3:C15,0))+1)+((L851/(L851-1)-1)*(1-_xlfn.XLOOKUP(K851,'Fevereiro 2023 - Valor Real'!A3:A15,'Fevereiro 2023 - Valor Real'!C3:C15,0))+1)),((L850-1)*(1-_xlfn.XLOOKUP(K850,'Fevereiro 2023 - Valor Real'!A3:A15,'Fevereiro 2023 - Valor Real'!C3:C15,0))+1)/(((L850-1)*(1-_xlfn.XLOOKUP(K850,'Fevereiro 2023 - Valor Real'!A3:A15,'Fevereiro 2023 - Valor Real'!C3:C15,0))+1)+((L851/(L851-1)-1)*(1-_xlfn.XLOOKUP(K851,'Fevereiro 2023 - Valor Real'!A3:A15,'Fevereiro 2023 - Valor Real'!C3:C15,0))+1))),IF(I850="Lay",((L850/(L850-1)-1)*(1-_xlfn.XLOOKUP(K850,'Fevereiro 2023 - Valor Real'!A3:A15,'Fevereiro 2023 - Valor Real'!C3:C15,0))+1)/((((L850/(L850-1)-1)*(1-_xlfn.XLOOKUP(K850,'Fevereiro 2023 - Valor Real'!A3:A15,'Fevereiro 2023 - Valor Real'!C3:C15,0))+1))+((L851-1)*(1-_xlfn.XLOOKUP(K851,'Fevereiro 2023 - Valor Real'!A3:A15,'Fevereiro 2023 - Valor Real'!C3:C15,0))+1)),((L850-1)*(1-_xlfn.XLOOKUP(K850,'Fevereiro 2023 - Valor Real'!A3:A15,'Fevereiro 2023 - Valor Real'!C3:C15,0))+1)/(((L850-1)*(1-_xlfn.XLOOKUP(K850,'Fevereiro 2023 - Valor Real'!A3:A15,'Fevereiro 2023 - Valor Real'!C3:C15,0))+1)+((L851-1)*(1-_xlfn.XLOOKUP(K851,'Fevereiro 2023 - Valor Real'!A3:A15,'Fevereiro 2023 - Valor Real'!C3:C15,0))+1))))))</f>
        <v>0.11304816678648452</v>
      </c>
      <c r="AF851" s="66">
        <f t="shared" si="1708"/>
        <v>0</v>
      </c>
      <c r="AG851" s="67">
        <f t="shared" si="1708"/>
        <v>0</v>
      </c>
      <c r="AH851" s="67">
        <f t="shared" si="1708"/>
        <v>0</v>
      </c>
      <c r="AI851" s="67">
        <f t="shared" si="1708"/>
        <v>-5.65</v>
      </c>
      <c r="AJ851" s="67">
        <f t="shared" si="1708"/>
        <v>0</v>
      </c>
      <c r="AK851" s="67">
        <f t="shared" si="1708"/>
        <v>0</v>
      </c>
      <c r="AL851" s="67">
        <f t="shared" si="1708"/>
        <v>0</v>
      </c>
      <c r="AM851" s="67">
        <f t="shared" si="1708"/>
        <v>0</v>
      </c>
      <c r="AN851" s="67">
        <f t="shared" si="1708"/>
        <v>0</v>
      </c>
      <c r="AO851" s="67">
        <f t="shared" si="1708"/>
        <v>0</v>
      </c>
      <c r="AP851" s="67">
        <f t="shared" si="1708"/>
        <v>0</v>
      </c>
      <c r="AQ851" s="67">
        <f t="shared" si="1708"/>
        <v>0</v>
      </c>
      <c r="AR851" s="68">
        <f t="shared" si="1708"/>
        <v>0</v>
      </c>
      <c r="AS851" s="66">
        <f>IF(AND($B850=" ",$K851=AS$3),$O851,0)</f>
        <v>0</v>
      </c>
      <c r="AT851" s="67">
        <f>IF(AND($B850=" ",K851=AT$3),$O851,0)</f>
        <v>0</v>
      </c>
      <c r="AU851" s="67">
        <f t="shared" ref="AU851:BE851" si="1720">IF(AND($B850=" ",$K851=AU$3),$O851,0)</f>
        <v>0</v>
      </c>
      <c r="AV851" s="67">
        <f t="shared" si="1720"/>
        <v>0</v>
      </c>
      <c r="AW851" s="67">
        <f t="shared" si="1720"/>
        <v>0</v>
      </c>
      <c r="AX851" s="67">
        <f t="shared" si="1720"/>
        <v>0</v>
      </c>
      <c r="AY851" s="69">
        <f t="shared" si="1720"/>
        <v>0</v>
      </c>
      <c r="AZ851" s="70">
        <f t="shared" si="1720"/>
        <v>0</v>
      </c>
      <c r="BA851" s="70">
        <f t="shared" si="1720"/>
        <v>0</v>
      </c>
      <c r="BB851" s="70">
        <f t="shared" si="1720"/>
        <v>0</v>
      </c>
      <c r="BC851" s="71">
        <f t="shared" si="1720"/>
        <v>0</v>
      </c>
      <c r="BD851" s="67">
        <f t="shared" si="1720"/>
        <v>0</v>
      </c>
      <c r="BE851" s="68">
        <f t="shared" si="1720"/>
        <v>0</v>
      </c>
      <c r="BF851" s="66">
        <f t="shared" si="1710"/>
        <v>0</v>
      </c>
      <c r="BG851" s="67">
        <f t="shared" si="1710"/>
        <v>0</v>
      </c>
      <c r="BH851" s="67">
        <f t="shared" si="1710"/>
        <v>0</v>
      </c>
      <c r="BI851" s="67">
        <f t="shared" si="1710"/>
        <v>5.65</v>
      </c>
      <c r="BJ851" s="67">
        <f t="shared" si="1710"/>
        <v>0</v>
      </c>
      <c r="BK851" s="67">
        <f t="shared" si="1710"/>
        <v>0</v>
      </c>
      <c r="BL851" s="67">
        <f t="shared" si="1710"/>
        <v>0</v>
      </c>
      <c r="BM851" s="235">
        <f t="shared" si="1710"/>
        <v>0</v>
      </c>
      <c r="BN851" s="159">
        <f t="shared" si="1710"/>
        <v>0</v>
      </c>
      <c r="BO851" s="159">
        <f t="shared" si="1710"/>
        <v>0</v>
      </c>
      <c r="BP851" s="159">
        <f t="shared" si="1710"/>
        <v>0</v>
      </c>
      <c r="BQ851" s="71">
        <f t="shared" si="1710"/>
        <v>0</v>
      </c>
      <c r="BR851" s="68">
        <f t="shared" si="1710"/>
        <v>0</v>
      </c>
      <c r="BS851" s="464"/>
      <c r="BT851" s="461"/>
      <c r="BU851" s="392"/>
      <c r="BV851" s="461"/>
      <c r="BW851" s="392"/>
      <c r="BX851" s="392"/>
      <c r="BY851" s="392"/>
      <c r="BZ851" s="461"/>
      <c r="CA851" s="392"/>
      <c r="CB851" s="392"/>
      <c r="CC851" s="392"/>
      <c r="CD851" s="401"/>
      <c r="CE851" s="409"/>
      <c r="CF851" s="236">
        <f t="shared" si="1669"/>
        <v>0</v>
      </c>
      <c r="CG851" s="237">
        <f t="shared" si="1670"/>
        <v>0</v>
      </c>
      <c r="CH851" s="237">
        <f t="shared" si="1671"/>
        <v>0</v>
      </c>
      <c r="CI851" s="237">
        <f t="shared" si="1672"/>
        <v>0</v>
      </c>
      <c r="CJ851" s="237">
        <f t="shared" si="1673"/>
        <v>0</v>
      </c>
      <c r="CK851" s="237">
        <f t="shared" si="1674"/>
        <v>0</v>
      </c>
      <c r="CL851" s="237">
        <f t="shared" si="1675"/>
        <v>0</v>
      </c>
      <c r="CM851" s="237">
        <f t="shared" si="1676"/>
        <v>1</v>
      </c>
      <c r="CN851" s="237">
        <f t="shared" si="1677"/>
        <v>0</v>
      </c>
      <c r="CO851" s="237">
        <f t="shared" si="1678"/>
        <v>0</v>
      </c>
      <c r="CP851" s="237">
        <f t="shared" si="1679"/>
        <v>0</v>
      </c>
      <c r="CQ851" s="237">
        <f t="shared" si="1680"/>
        <v>0</v>
      </c>
      <c r="CR851" s="237">
        <f t="shared" si="1681"/>
        <v>0</v>
      </c>
      <c r="CS851" s="237">
        <f t="shared" si="1682"/>
        <v>0</v>
      </c>
      <c r="CT851" s="75">
        <f t="shared" si="1683"/>
        <v>0</v>
      </c>
      <c r="CU851" s="76">
        <f t="shared" si="1684"/>
        <v>0</v>
      </c>
      <c r="CV851" s="76">
        <f t="shared" si="1685"/>
        <v>0</v>
      </c>
      <c r="CW851" s="76">
        <f t="shared" si="1686"/>
        <v>0</v>
      </c>
      <c r="CX851" s="76">
        <f t="shared" si="1687"/>
        <v>0</v>
      </c>
      <c r="CY851" s="76">
        <f t="shared" si="1688"/>
        <v>0</v>
      </c>
      <c r="CZ851" s="76">
        <f t="shared" si="1689"/>
        <v>0</v>
      </c>
      <c r="DA851" s="76">
        <f t="shared" si="1690"/>
        <v>0</v>
      </c>
      <c r="DB851" s="76">
        <f t="shared" si="1691"/>
        <v>0</v>
      </c>
      <c r="DC851" s="76">
        <f t="shared" si="1692"/>
        <v>0</v>
      </c>
      <c r="DD851" s="76">
        <f t="shared" si="1693"/>
        <v>0</v>
      </c>
      <c r="DE851" s="77">
        <f t="shared" si="1694"/>
        <v>0</v>
      </c>
      <c r="DF851" s="73">
        <f t="shared" si="1696"/>
        <v>49</v>
      </c>
      <c r="DG851" s="67">
        <f t="shared" si="1697"/>
        <v>65.619</v>
      </c>
      <c r="DH851" s="76">
        <f t="shared" si="1698"/>
        <v>18</v>
      </c>
      <c r="DI851" s="67">
        <f t="shared" si="1699"/>
        <v>76.899999999999991</v>
      </c>
      <c r="DJ851" s="202" t="str">
        <f>IF($D850="","",$D850)</f>
        <v>28</v>
      </c>
      <c r="DK851" s="466"/>
    </row>
    <row r="852" spans="1:115" ht="14.5" customHeight="1" x14ac:dyDescent="0.2">
      <c r="A852" s="390"/>
      <c r="B852" s="457"/>
      <c r="C852" s="79" t="s">
        <v>55</v>
      </c>
      <c r="D852" s="375"/>
      <c r="E852" s="387"/>
      <c r="F852" s="378"/>
      <c r="G852" s="484"/>
      <c r="H852" s="477"/>
      <c r="I852" s="243" t="s">
        <v>61</v>
      </c>
      <c r="J852" s="83"/>
      <c r="K852" s="245" t="s">
        <v>47</v>
      </c>
      <c r="L852" s="246">
        <v>5.0999999999999996</v>
      </c>
      <c r="M852" s="85">
        <v>12.4</v>
      </c>
      <c r="N852" s="407"/>
      <c r="O852" s="187">
        <f>IF(OR(AE850="",AE851=""),"",IF(L852&gt;0,ROUND(IF(M852&gt;0,M852,IF(M850&gt;0,ROUND((M850*AE852)/AE850,IF(N850=0,2,IF(N850=0.1,1,0))),IF(M851&gt;0,ROUND((M851*AE852)/AE851,IF(N850=0,2,IF(N850=0.1,1,0))),IF(M852&gt;0,M852,0)))),2),""))</f>
        <v>12.4</v>
      </c>
      <c r="P852" s="188">
        <f>IF(I851="Lay",O851*(L851/(L851-1))-O851,IF(I850="Lay",O850*(L850/(L850-1))-O850,IF(OR(L852="",O852=""),"",IF($C852="1/2W",O852/2+O852/2*L852,IF($C852="1/2L",O852/2,(O852*L852-O852)*(1-_xlfn.XLOOKUP(K852,'Fevereiro 2023 - Valor Real'!A3:A15,'Fevereiro 2023 - Valor Real'!C3:C15,0))+O852)))))</f>
        <v>63.239999999999995</v>
      </c>
      <c r="Q852" s="233">
        <f>IF(K852="","",IF(_xlfn.XLOOKUP(K852,K$4:K851,$DJ$4:DJ851,0,,-1)=DJ852,_xlfn.XLOOKUP(K852,K$4:K851,Q$4:Q851,1,,-1)+1,1))</f>
        <v>2</v>
      </c>
      <c r="R852" s="247">
        <f>IF(K852="","",_xlfn.XLOOKUP(K852,K$4:K851,R$4:R851,0,,-1)+IF($C852=" ",1,0))</f>
        <v>0</v>
      </c>
      <c r="S852" s="404"/>
      <c r="T852" s="378"/>
      <c r="U852" s="378"/>
      <c r="V852" s="404"/>
      <c r="W852" s="378"/>
      <c r="X852" s="453"/>
      <c r="Y852" s="383"/>
      <c r="Z852" s="384"/>
      <c r="AA852" s="384"/>
      <c r="AB852" s="384"/>
      <c r="AC852" s="384"/>
      <c r="AD852" s="240">
        <f>((L851/(L851-1)-1))</f>
        <v>0.125</v>
      </c>
      <c r="AE852" s="190">
        <f>IF(L852="","",(SUM(((L850-1)*(1-_xlfn.XLOOKUP(K850,'Fevereiro 2023 - Valor Real'!A3:A15,'Fevereiro 2023 - Valor Real'!C3:C15,0))+1),((L851-1)*(1-_xlfn.XLOOKUP(K851,'Fevereiro 2023 - Valor Real'!A3:A15,'Fevereiro 2023 - Valor Real'!C3:C15,0))+1),((L852-1)*(1-_xlfn.XLOOKUP(K852,'Fevereiro 2023 - Valor Real'!A3:A15,'Fevereiro 2023 - Valor Real'!C3:C15,0))+1))/((L852-1)*(1-_xlfn.XLOOKUP(K852,'Fevereiro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Real'!C3:C15,0))+1))/((L850-1)*(1-_xlfn.XLOOKUP(K850,'Fevereiro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Real'!C3:C15,0))+1))/((L851-1)*(1-_xlfn.XLOOKUP(K851,'Fevereiro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Real'!C3:C15,0))+1))/((L852-1)*(1-_xlfn.XLOOKUP(K852,'Fevereiro 2023 - Valor Real'!A3:A15,'Fevereiro 2023 - Valor Real'!C3:C15,0))+1)))</f>
        <v>0.19949676491732565</v>
      </c>
      <c r="AF852" s="66">
        <f t="shared" si="1708"/>
        <v>0</v>
      </c>
      <c r="AG852" s="67">
        <f t="shared" si="1708"/>
        <v>0</v>
      </c>
      <c r="AH852" s="67">
        <f t="shared" si="1708"/>
        <v>0</v>
      </c>
      <c r="AI852" s="67">
        <f t="shared" si="1708"/>
        <v>0</v>
      </c>
      <c r="AJ852" s="67">
        <f t="shared" si="1708"/>
        <v>0</v>
      </c>
      <c r="AK852" s="67">
        <f t="shared" si="1708"/>
        <v>0</v>
      </c>
      <c r="AL852" s="67">
        <f t="shared" si="1708"/>
        <v>0</v>
      </c>
      <c r="AM852" s="67">
        <f t="shared" si="1708"/>
        <v>0</v>
      </c>
      <c r="AN852" s="67">
        <f t="shared" si="1708"/>
        <v>0</v>
      </c>
      <c r="AO852" s="67">
        <f t="shared" si="1708"/>
        <v>0</v>
      </c>
      <c r="AP852" s="67">
        <f t="shared" si="1708"/>
        <v>0</v>
      </c>
      <c r="AQ852" s="67">
        <f t="shared" si="1708"/>
        <v>-12.4</v>
      </c>
      <c r="AR852" s="68">
        <f t="shared" si="1708"/>
        <v>0</v>
      </c>
      <c r="AS852" s="66">
        <f>IF(AND($B850=" ",$K852=AS$3),$O852,0)</f>
        <v>0</v>
      </c>
      <c r="AT852" s="67">
        <f>IF(AND($B850=" ",K852=AT$3),$O852,0)</f>
        <v>0</v>
      </c>
      <c r="AU852" s="67">
        <f t="shared" ref="AU852:BE852" si="1721">IF(AND($B850=" ",$K852=AU$3),$O852,0)</f>
        <v>0</v>
      </c>
      <c r="AV852" s="67">
        <f t="shared" si="1721"/>
        <v>0</v>
      </c>
      <c r="AW852" s="67">
        <f t="shared" si="1721"/>
        <v>0</v>
      </c>
      <c r="AX852" s="67">
        <f t="shared" si="1721"/>
        <v>0</v>
      </c>
      <c r="AY852" s="69">
        <f t="shared" si="1721"/>
        <v>0</v>
      </c>
      <c r="AZ852" s="70">
        <f t="shared" si="1721"/>
        <v>0</v>
      </c>
      <c r="BA852" s="70">
        <f t="shared" si="1721"/>
        <v>0</v>
      </c>
      <c r="BB852" s="70">
        <f t="shared" si="1721"/>
        <v>0</v>
      </c>
      <c r="BC852" s="71">
        <f t="shared" si="1721"/>
        <v>0</v>
      </c>
      <c r="BD852" s="67">
        <f t="shared" si="1721"/>
        <v>0</v>
      </c>
      <c r="BE852" s="68">
        <f t="shared" si="1721"/>
        <v>0</v>
      </c>
      <c r="BF852" s="66">
        <f t="shared" si="1710"/>
        <v>0</v>
      </c>
      <c r="BG852" s="67">
        <f t="shared" si="1710"/>
        <v>0</v>
      </c>
      <c r="BH852" s="67">
        <f t="shared" si="1710"/>
        <v>0</v>
      </c>
      <c r="BI852" s="67">
        <f t="shared" si="1710"/>
        <v>0</v>
      </c>
      <c r="BJ852" s="67">
        <f t="shared" si="1710"/>
        <v>0</v>
      </c>
      <c r="BK852" s="67">
        <f t="shared" si="1710"/>
        <v>0</v>
      </c>
      <c r="BL852" s="67">
        <f t="shared" si="1710"/>
        <v>0</v>
      </c>
      <c r="BM852" s="69">
        <f t="shared" si="1710"/>
        <v>0</v>
      </c>
      <c r="BN852" s="70">
        <f t="shared" si="1710"/>
        <v>0</v>
      </c>
      <c r="BO852" s="70">
        <f t="shared" si="1710"/>
        <v>0</v>
      </c>
      <c r="BP852" s="70">
        <f t="shared" si="1710"/>
        <v>0</v>
      </c>
      <c r="BQ852" s="71">
        <f t="shared" si="1710"/>
        <v>12.4</v>
      </c>
      <c r="BR852" s="68">
        <f t="shared" si="1710"/>
        <v>0</v>
      </c>
      <c r="BS852" s="464"/>
      <c r="BT852" s="461"/>
      <c r="BU852" s="392"/>
      <c r="BV852" s="461"/>
      <c r="BW852" s="392"/>
      <c r="BX852" s="392"/>
      <c r="BY852" s="392"/>
      <c r="BZ852" s="461"/>
      <c r="CA852" s="392"/>
      <c r="CB852" s="392"/>
      <c r="CC852" s="392"/>
      <c r="CD852" s="401"/>
      <c r="CE852" s="409"/>
      <c r="CF852" s="236">
        <f t="shared" si="1669"/>
        <v>0</v>
      </c>
      <c r="CG852" s="237">
        <f t="shared" si="1670"/>
        <v>0</v>
      </c>
      <c r="CH852" s="237">
        <f t="shared" si="1671"/>
        <v>0</v>
      </c>
      <c r="CI852" s="237">
        <f t="shared" si="1672"/>
        <v>0</v>
      </c>
      <c r="CJ852" s="237">
        <f t="shared" si="1673"/>
        <v>0</v>
      </c>
      <c r="CK852" s="237">
        <f t="shared" si="1674"/>
        <v>0</v>
      </c>
      <c r="CL852" s="237">
        <f t="shared" si="1675"/>
        <v>0</v>
      </c>
      <c r="CM852" s="237">
        <f t="shared" si="1676"/>
        <v>0</v>
      </c>
      <c r="CN852" s="237">
        <f t="shared" si="1677"/>
        <v>0</v>
      </c>
      <c r="CO852" s="237">
        <f t="shared" si="1678"/>
        <v>0</v>
      </c>
      <c r="CP852" s="237">
        <f t="shared" si="1679"/>
        <v>0</v>
      </c>
      <c r="CQ852" s="237">
        <f t="shared" si="1680"/>
        <v>0</v>
      </c>
      <c r="CR852" s="237">
        <f t="shared" si="1681"/>
        <v>0</v>
      </c>
      <c r="CS852" s="237">
        <f t="shared" si="1682"/>
        <v>0</v>
      </c>
      <c r="CT852" s="75">
        <f t="shared" si="1683"/>
        <v>0</v>
      </c>
      <c r="CU852" s="76">
        <f t="shared" si="1684"/>
        <v>0</v>
      </c>
      <c r="CV852" s="76">
        <f t="shared" si="1685"/>
        <v>0</v>
      </c>
      <c r="CW852" s="76">
        <f t="shared" si="1686"/>
        <v>0</v>
      </c>
      <c r="CX852" s="76">
        <f t="shared" si="1687"/>
        <v>0</v>
      </c>
      <c r="CY852" s="76">
        <f t="shared" si="1688"/>
        <v>0</v>
      </c>
      <c r="CZ852" s="76">
        <f t="shared" si="1689"/>
        <v>0</v>
      </c>
      <c r="DA852" s="76">
        <f t="shared" si="1690"/>
        <v>0</v>
      </c>
      <c r="DB852" s="76">
        <f t="shared" si="1691"/>
        <v>0</v>
      </c>
      <c r="DC852" s="76">
        <f t="shared" si="1692"/>
        <v>1</v>
      </c>
      <c r="DD852" s="76">
        <f t="shared" si="1693"/>
        <v>0</v>
      </c>
      <c r="DE852" s="77">
        <f t="shared" si="1694"/>
        <v>0</v>
      </c>
      <c r="DF852" s="73">
        <f t="shared" si="1696"/>
        <v>49</v>
      </c>
      <c r="DG852" s="67">
        <f t="shared" si="1697"/>
        <v>65.619</v>
      </c>
      <c r="DH852" s="76">
        <f t="shared" si="1698"/>
        <v>18</v>
      </c>
      <c r="DI852" s="67">
        <f t="shared" si="1699"/>
        <v>76.899999999999991</v>
      </c>
      <c r="DJ852" s="202" t="str">
        <f>IF($D850="","",$D850)</f>
        <v>28</v>
      </c>
      <c r="DK852" s="466"/>
    </row>
    <row r="853" spans="1:115" ht="14.5" customHeight="1" x14ac:dyDescent="0.2">
      <c r="A853" s="459">
        <f>$A850+1</f>
        <v>284</v>
      </c>
      <c r="B853" s="507" t="str">
        <f>IF(OR(C853="W",C854="W",C855="W",C853="1/2W",C854="1/2W",C855="1/2W",C853="1/2L",C854="1/2L",C855="1/2L"),"OK",IF(OR(C853="L",C854="L",C855="L"),"LOSS",IF(OR(C853="X",C854="X",C855="X"),"Anulado"," ")))</f>
        <v>OK</v>
      </c>
      <c r="C853" s="93" t="s">
        <v>55</v>
      </c>
      <c r="D853" s="468" t="s">
        <v>285</v>
      </c>
      <c r="E853" s="485" t="str">
        <f>IF(G853=""," ","– "&amp;COUNTIF(D$4:D855,$D853))</f>
        <v>– 1</v>
      </c>
      <c r="F853" s="509" t="str">
        <f ca="1">IF(G853="","",IF(OR(AND($C853&lt;&gt;" ",$C854=" "),AND($C854&lt;&gt;" ",$C853=" "),AND(L855&gt;0,OR(AND($C855&lt;&gt;" ",OR($C853=" ",$C854=" ")),AND($C855=" ",OR($C853&lt;&gt;" ",$C854&lt;&gt;" "))))),IF(SUM(F$4:F852)=0,1,LARGE(F$4:F852,1)+1),IF(MONTH(G853)=MONTH(TODAY()),IF(AND(DAY(G853)&lt;DAY(TODAY()),$B853=" "),IF(SUM(F$4:F852)=0,1,LARGE(F$4:F852,1)+1),IF($B853=" ",IF(AND(DAY(G853)=DAY(TODAY()),HOUR(G853)&lt;=HOUR(NOW())+1),IF(AND(HOUR(G853)+2&lt;=HOUR(NOW()),DAY(G853)&lt;=DAY(TODAY()),MINUTE(G853)&lt;=MINUTE(NOW())),IF(SUM(F$4:F852)=0,1,LARGE(F$4:F852,1)+1),IF(OR(MINUTE(G853)&lt;=MINUTE(NOW()),HOUR(G853)&lt;=HOUR(NOW())),"!!!","")),""),"")),"")))</f>
        <v/>
      </c>
      <c r="G853" s="482">
        <v>45014.645833333336</v>
      </c>
      <c r="H853" s="475" t="s">
        <v>286</v>
      </c>
      <c r="I853" s="175">
        <v>2</v>
      </c>
      <c r="J853" s="176"/>
      <c r="K853" s="96" t="s">
        <v>43</v>
      </c>
      <c r="L853" s="97">
        <v>1.363</v>
      </c>
      <c r="M853" s="98">
        <v>12.5</v>
      </c>
      <c r="N853" s="478">
        <v>0</v>
      </c>
      <c r="O853" s="99">
        <f>IF(OR(AE853="",AE854=""),"",ROUND(IF(L855&gt;0,IF(M853&gt;0,M853,IF(M854&gt;0,ROUND((M854*AE853)/AE854,IF(N853=0,2,IF(N853=0.1,1,0))),ROUND((M855*AE853)/AE855,IF(N853=0,2,IF(N853=0.1,1,0))))),IF(M853&gt;0,M853,ROUND((M854*AE853)/AE854,IF(N853=0,2,IF(N853=0.1,1,0))))),2))</f>
        <v>12.5</v>
      </c>
      <c r="P853" s="100">
        <f>IF(OR(L853="",O853=""),"",IF($C853="1/2W",O853/2+O853/2*L853,IF($C853="1/2L",O853/2,IF(I853="Lay",(O853*(L853/(L853-1))-O853)*(1-_xlfn.XLOOKUP(K853,'Fevereiro 2023 - Valor Real'!A3:A15,'Fevereiro 2023 - Valor Real'!C3:C15,0))+O853,(O853*L853-O853)*(1-_xlfn.XLOOKUP(K853,'Fevereiro 2023 - Valor Real'!A3:A15,'Fevereiro 2023 - Valor Real'!C3:C15,0))+O853))))</f>
        <v>17.037500000000001</v>
      </c>
      <c r="Q853" s="101">
        <f>IF(K853="","",IF(_xlfn.XLOOKUP(K853,K$4:K852,$DJ$4:DJ852,0,,-1)=DJ853,_xlfn.XLOOKUP(K853,K$4:K852,Q$4:Q852,1,,-1)+1,1))</f>
        <v>1</v>
      </c>
      <c r="R853" s="102">
        <f>IF(K853="","",_xlfn.XLOOKUP(K853,K$4:K852,R$4:R852,0,,-1)+IF($C853=" ",1,0))</f>
        <v>0</v>
      </c>
      <c r="S853" s="474">
        <f>IF($B853="Anulado",0,ROUND(IF(OR($B853="LOSS",$B853="OK"),IF(OR($C853="W",$C853="1/2W",$C853="1/2L"),P853-O853,IF($C853="L",-O853,0))+IF(OR($C854="W",$C854="1/2W",$C854="1/2L"),P854-O854,IF($C854="L",-O854,0))+IF(OR($C855="W",$C855="1/2W",$C855="1/2L"),P855-O855,IF($C855="L",-O855,0)),IF(AND(OR($C853="W",$C853="1/2W",$C853="1/2L"),C854="W"),P853+P854-SUM(O853:O855)+_xlfn.XLOOKUP("X",C853:C855,O853:O855,0),IF(AND(C853=TRUE,C855="W"),P853+P855-SUM(O853:O855),IF(AND(C854="W",C855="W"),P854+P855-SUM(O853:O855)+_xlfn.XLOOKUP("X",C853:C855,O853:O855,0),IF(L855&gt;0,IF(OR($C853="W",$C853="1/2W",$C853="1/2L"),P853-SUM(O853:O855)+_xlfn.XLOOKUP("X",C853:C855,O853:O855,0),IF(OR($C853="W",$C853="1/2W",$C853="1/2L"),P854-SUM(O853:O855)+_xlfn.XLOOKUP("X",C853:C855,O853:O855,0),IF(OR($C853="W",$C853="1/2W",$C853="1/2L"),P855-SUM(O853:O855)+_xlfn.XLOOKUP("X",C853:C855,O853:O855,0),IF(SUM(P853:P855)/3-SUM(O853:O855)+_xlfn.XLOOKUP("X",C853:C855,O853:O855,0)&gt;0,SUM(P853:P855)/3-SUM(O853:O855)+_xlfn.XLOOKUP("X",C853:C855,O853:O855,0),LARGE(P853:P855,1)-SUM(O853:O855))))),IF(OR($C853="W",$C853="1/2W",$C853="1/2L"),P853-SUM(O853:O854)+_xlfn.XLOOKUP("X",C853:C855,O853:O855,0),IF(OR($C853="W",$C853="1/2W",$C853="1/2L"),P854-SUM(O853:O854)+_xlfn.XLOOKUP("X",C853:C855,O853:O855,0),SUM(P853:P854)/2-SUM(O853:O854)+_xlfn.XLOOKUP("X",C853:C855,O853:O855,0)))))))),2))</f>
        <v>0.56999999999999995</v>
      </c>
      <c r="T853" s="458">
        <f>IF(S853=0,0,S853/SUM(O853:O855))</f>
        <v>3.5272277227722769E-2</v>
      </c>
      <c r="U853" s="470">
        <f>IF($D853=$D850,IF(OR($B853="LOSS",$B853="OK",$B853="Anulada"),S853,0)+U850,IF(OR($B853="LOSS",$B853="OK",$B853="Anulada"),S853,0))</f>
        <v>0.56999999999999995</v>
      </c>
      <c r="V853" s="470">
        <f>IF($D853="",0,IF($D853=$D850,IF($B853=" ",IF(I855="",IF(OR(AND(I853="DNB1",I854="DNB2"),AND(OR(I853="DNB1",I853="DNB2"),J854=0),AND(OR(I854="DNB1",I854="DNB2"),J853=0),AND(I853="DNB2",I854="DNB1"),AND(IF(J853=0,(J853+1)/ROUND(J853+1,0),J853/ROUND(J853,0))=1,IF(J854=0,(J854+1)/ROUND(IF(J854="",0,J854)+1,0),IF(J854="",0,J854)/ROUND(IF(J854="",1,J854),0))=1,OR(J853&lt;&gt;""),J854&lt;&gt;"")),0,IF(S853&lt;0,IF(I855="",SMALL(P853:P854,1)-SUM(O853:O854),0),SMALL(P853:P854,1)-SUM(O853:O854))),IF(S853&lt;0,IF(I855="",SMALL(P853:P855,1)-SUM(O853:O855),0),LARGE(P853:P855,1)-SUM(O853:O855))),S853)+V850,IF(I855="",IF(OR(AND(I853="DNB1",I854="DNB2"),AND(OR(I853="DNB1",I853="DNB2"),J854=0),AND(OR(I854="DNB1",I854="DNB2"),J853=0),AND(I853="DNB2",I854="DNB1"),AND(IF(J853=0,(J853+1)/ROUND(J853+1,0),J853/ROUND(J853,0))=1,IF(J854=0,(IF(J854="",0,J854)+1)/ROUND(IF(J854="",0,J854)+1,0),IF(J854="",0,J854)/ROUND(IF(J854="",0,J854)+1,0))=1,OR(J853&lt;&gt;""),J854&lt;&gt;"")),0,IF(S853&lt;0,IF(I855="",SMALL(P853:P854,1)-SUM(O853:O854),0),SMALL(P853:P855,1)-SUM(O853:O855))),IF(S853&lt;0,IF(I855="",SMALL(P853:P855,1)-SUM(O853:O855),0),LARGE(P853:P855,1)-SUM(O853:O855)))))</f>
        <v>0.56620000000000203</v>
      </c>
      <c r="W853" s="470">
        <f>IF($D853=$D850,IF(S853&lt;0,IF(I855="",S853,0),S853)+W850,S853)</f>
        <v>0.56999999999999995</v>
      </c>
      <c r="X853" s="480" t="str">
        <f>IF(OR(SUM(R853:R855)=0,V853=W853),ROUND(IF(W853=0,0,W853/Y853)*100,2)&amp;"%",ROUND(IF(V853=0,0,V853/Y853)*100,2)&amp;"% a "&amp;ROUND(IF(W853=0,0,W853/Y853)*100,2)&amp;"%")</f>
        <v>3,53%</v>
      </c>
      <c r="Y853" s="471">
        <f>IF($D853=$D850,Y850+SUM(O853:O855),SUM(O853:O855))</f>
        <v>16.16</v>
      </c>
      <c r="Z853" s="470">
        <f>IF($B853=" ",SUM(O853:O855),0)+Z850</f>
        <v>0</v>
      </c>
      <c r="AA853" s="470">
        <f>IF(G853="","",IF($B853="Anulado",LARGE(P853:P855,1)-SUM(O853:O855)+AA850,AA850))</f>
        <v>13.381099999999991</v>
      </c>
      <c r="AB853" s="470">
        <f>IF($D853="","",AB850+S853)</f>
        <v>984.2600000000009</v>
      </c>
      <c r="AC853" s="472">
        <f ca="1">IF($D853="","",IF($B853=" ",IF(DAY(G853)=DAY(TODAY()),1+AC850,0+AC850),0+AC850))</f>
        <v>0</v>
      </c>
      <c r="AD853" s="103">
        <f>(((L854/(L854-1)-1)*(1-_xlfn.XLOOKUP(K854,'Fevereiro 2023 - Valor Real'!A3:A15,'Fevereiro 2023 - Valor Real'!C3:C15,0))+1))/(((L853-1)*(1-_xlfn.XLOOKUP(K853,'Fevereiro 2023 - Valor Real'!A3:A15,'Fevereiro 2023 - Valor Real'!C3:C15,0))+1)+((L854/(L854-1)-1)*(1-_xlfn.XLOOKUP(K854,'Fevereiro 2023 - Valor Real'!A3:A15,'Fevereiro 2023 - Valor Real'!C3:C15,0))+1))</f>
        <v>0.4843200072912946</v>
      </c>
      <c r="AE853" s="104">
        <f>IF(L853="","",IF(L855&gt;0,(SUM(((L853-1)*(1-_xlfn.XLOOKUP(K853,'Fevereiro 2023 - Valor Real'!A3:A15,'Fevereiro 2023 - Valor Real'!C3:C15,0))+1),((L854-1)*(1-_xlfn.XLOOKUP(K854,'Fevereiro 2023 - Valor Real'!A3:A15,'Fevereiro 2023 - Valor Real'!C3:C15,0))+1),((L855-1)*(1-_xlfn.XLOOKUP(K855,'Fevereiro 2023 - Valor Real'!A3:A15,'Fevereiro 2023 - Valor Real'!C3:C15,0))+1))/((L853-1)*(1-_xlfn.XLOOKUP(K853,'Fevereiro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Real'!C3:C15,0))+1))/((L853-1)*(1-_xlfn.XLOOKUP(K853,'Fevereiro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Real'!C3:C15,0))+1))/((L854-1)*(1-_xlfn.XLOOKUP(K854,'Fevereiro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Real'!C3:C15,0))+1))/((L855-1)*(1-_xlfn.XLOOKUP(K855,'Fevereiro 2023 - Valor Real'!A3:A15,'Fevereiro 2023 - Valor Real'!C3:C15,0))+1)),IF(I853="Lay",IF(I854="Lay",((L854/(L854-1)-1)*(1-_xlfn.XLOOKUP(K854,'Fevereiro 2023 - Valor Real'!A3:A15,'Fevereiro 2023 - Valor Real'!C3:C15,0))+1)/(((L854/(L854-1)-1)*(1-_xlfn.XLOOKUP(K854,'Fevereiro 2023 - Valor Real'!A3:A15,'Fevereiro 2023 - Valor Real'!C3:C15,0))+1)+((L853/(L853-1)-1)*(1-_xlfn.XLOOKUP(K853,'Fevereiro 2023 - Valor Real'!A3:A15,'Fevereiro 2023 - Valor Real'!C3:C15,0))+1)),((L854-1)*(1-_xlfn.XLOOKUP(K854,'Fevereiro 2023 - Valor Real'!A3:A15,'Fevereiro 2023 - Valor Real'!C3:C15,0))+1)/(((L854-1)*(1-_xlfn.XLOOKUP(K854,'Fevereiro 2023 - Valor Real'!A3:A15,'Fevereiro 2023 - Valor Real'!C3:C15,0))+1)+((L853/(L853-1)-1)*(1-_xlfn.XLOOKUP(K853,'Fevereiro 2023 - Valor Real'!A3:A15,'Fevereiro 2023 - Valor Real'!C3:C15,0))+1))),IF(I854="Lay",(((L854/(L854-1)-1)*(1-_xlfn.XLOOKUP(K854,'Fevereiro 2023 - Valor Real'!A3:A15,'Fevereiro 2023 - Valor Real'!C3:C15,0))+1))/(((L853-1)*(1-_xlfn.XLOOKUP(K853,'Fevereiro 2023 - Valor Real'!A3:A15,'Fevereiro 2023 - Valor Real'!C3:C15,0))+1)+((L854/(L854-1)-1)*(1-_xlfn.XLOOKUP(K854,'Fevereiro 2023 - Valor Real'!A3:A15,'Fevereiro 2023 - Valor Real'!C3:C15,0))+1)),((L854-1)*(1-_xlfn.XLOOKUP(K854,'Fevereiro 2023 - Valor Real'!A3:A15,'Fevereiro 2023 - Valor Real'!C3:C15,0))+1)/(((L854-1)*(1-_xlfn.XLOOKUP(K854,'Fevereiro 2023 - Valor Real'!A3:A15,'Fevereiro 2023 - Valor Real'!C3:C15,0))+1)+((L853-1)*(1-_xlfn.XLOOKUP(K853,'Fevereiro 2023 - Valor Real'!A3:A15,'Fevereiro 2023 - Valor Real'!C3:C15,0))+1))))))</f>
        <v>0.77026799258385314</v>
      </c>
      <c r="AF853" s="105">
        <f t="shared" si="1708"/>
        <v>0</v>
      </c>
      <c r="AG853" s="106">
        <f t="shared" si="1708"/>
        <v>0</v>
      </c>
      <c r="AH853" s="106">
        <f t="shared" si="1708"/>
        <v>0</v>
      </c>
      <c r="AI853" s="106">
        <f t="shared" si="1708"/>
        <v>0</v>
      </c>
      <c r="AJ853" s="106">
        <f t="shared" si="1708"/>
        <v>0</v>
      </c>
      <c r="AK853" s="106">
        <f t="shared" si="1708"/>
        <v>0</v>
      </c>
      <c r="AL853" s="106">
        <f t="shared" si="1708"/>
        <v>0</v>
      </c>
      <c r="AM853" s="106">
        <f t="shared" si="1708"/>
        <v>-12.5</v>
      </c>
      <c r="AN853" s="106">
        <f t="shared" si="1708"/>
        <v>0</v>
      </c>
      <c r="AO853" s="106">
        <f t="shared" si="1708"/>
        <v>0</v>
      </c>
      <c r="AP853" s="106">
        <f t="shared" si="1708"/>
        <v>0</v>
      </c>
      <c r="AQ853" s="106">
        <f t="shared" si="1708"/>
        <v>0</v>
      </c>
      <c r="AR853" s="107">
        <f t="shared" si="1708"/>
        <v>0</v>
      </c>
      <c r="AS853" s="105">
        <f t="shared" ref="AS853:BE853" si="1722">IF(AND($B853=" ",$K853=AS$3),$O853,0)</f>
        <v>0</v>
      </c>
      <c r="AT853" s="106">
        <f t="shared" si="1722"/>
        <v>0</v>
      </c>
      <c r="AU853" s="106">
        <f t="shared" si="1722"/>
        <v>0</v>
      </c>
      <c r="AV853" s="106">
        <f t="shared" si="1722"/>
        <v>0</v>
      </c>
      <c r="AW853" s="106">
        <f t="shared" si="1722"/>
        <v>0</v>
      </c>
      <c r="AX853" s="106">
        <f t="shared" si="1722"/>
        <v>0</v>
      </c>
      <c r="AY853" s="108">
        <f t="shared" si="1722"/>
        <v>0</v>
      </c>
      <c r="AZ853" s="109">
        <f t="shared" si="1722"/>
        <v>0</v>
      </c>
      <c r="BA853" s="109">
        <f t="shared" si="1722"/>
        <v>0</v>
      </c>
      <c r="BB853" s="109">
        <f t="shared" si="1722"/>
        <v>0</v>
      </c>
      <c r="BC853" s="110">
        <f t="shared" si="1722"/>
        <v>0</v>
      </c>
      <c r="BD853" s="106">
        <f t="shared" si="1722"/>
        <v>0</v>
      </c>
      <c r="BE853" s="107">
        <f t="shared" si="1722"/>
        <v>0</v>
      </c>
      <c r="BF853" s="111">
        <f t="shared" si="1710"/>
        <v>0</v>
      </c>
      <c r="BG853" s="106">
        <f t="shared" si="1710"/>
        <v>0</v>
      </c>
      <c r="BH853" s="106">
        <f t="shared" si="1710"/>
        <v>0</v>
      </c>
      <c r="BI853" s="106">
        <f t="shared" si="1710"/>
        <v>0</v>
      </c>
      <c r="BJ853" s="106">
        <f t="shared" si="1710"/>
        <v>0</v>
      </c>
      <c r="BK853" s="106">
        <f t="shared" si="1710"/>
        <v>0</v>
      </c>
      <c r="BL853" s="106">
        <f t="shared" si="1710"/>
        <v>0</v>
      </c>
      <c r="BM853" s="108">
        <f t="shared" si="1710"/>
        <v>12.5</v>
      </c>
      <c r="BN853" s="109">
        <f t="shared" si="1710"/>
        <v>0</v>
      </c>
      <c r="BO853" s="109">
        <f t="shared" si="1710"/>
        <v>0</v>
      </c>
      <c r="BP853" s="109">
        <f t="shared" si="1710"/>
        <v>0</v>
      </c>
      <c r="BQ853" s="110">
        <f t="shared" si="1710"/>
        <v>0</v>
      </c>
      <c r="BR853" s="107">
        <f t="shared" si="1710"/>
        <v>0</v>
      </c>
      <c r="BS853" s="463">
        <f>IF($B853="LOSS",IF(AND($K853=BS$3,$C853="L"),-$O853,0)+IF(AND($K854=BS$3,$C854="L"),-$O854,0)+IF(AND($K855=BS$3,$C855="L"),-$O855,0),IF(OR(AND($K853=BS$3,OR($C853="W",$C853="1/2W")),AND($K854=BS$3,OR($C854="W",$C854="1/2W")),AND($K855=BS$3,OR($C855="W",$C855="1/2W"))),$S853,0))</f>
        <v>0</v>
      </c>
      <c r="BT853" s="462">
        <f>IF($B853="LOSS",IF(AND($K853=BT$3,$C853="L"),-$O853,0)+IF(AND($K854=BT$3,$C854="L"),-$O854,0)+IF(AND($K854=BT$3,$C855="L"),-$O855,0),IF(OR(AND($K854=BT$3,OR($C853="W",$C853="1/2W")),AND($K854=BT$3,OR($C854="W",$C854="1/2W")),AND($K854=BT$3,OR($C855="W",$C855="1/2W"))),$S853,0))</f>
        <v>0</v>
      </c>
      <c r="BU853" s="462">
        <f>IF($B853="LOSS",IF(AND($K853=BU$3,$C853="L"),-$O853,0)+IF(AND($K854=BU$3,$C854="L"),-$O854,0)+IF(AND($K854=BU$3,$C855="L"),-$O855,0),IF(OR(AND($K854=BU$3,OR($C853="W",$C853="1/2W")),AND($K854=BU$3,OR($C854="W",$C854="1/2W")),AND($K854=BU$3,OR($C855="W",$C855="1/2W"))),$S853,0))</f>
        <v>0</v>
      </c>
      <c r="BV853" s="462">
        <f t="shared" ref="BV853:CE853" si="1723">IF($B853="LOSS",IF(AND($K853=BV$3,$C853="L"),-$O853,0)+IF(AND($K854=BV$3,$C854="L"),-$O854,0)+IF(AND($K855=BV$3,$C855="L"),-$O855,0),IF(OR(AND($K853=BV$3,OR($C853="W",$C853="1/2W")),AND($K854=BV$3,OR($C854="W",$C854="1/2W")),AND($K855=BV$3,OR($C855="W",$C855="1/2W"))),$S853,0))</f>
        <v>0</v>
      </c>
      <c r="BW853" s="462">
        <f t="shared" si="1723"/>
        <v>0</v>
      </c>
      <c r="BX853" s="462">
        <f t="shared" si="1723"/>
        <v>0</v>
      </c>
      <c r="BY853" s="462">
        <f t="shared" si="1723"/>
        <v>0</v>
      </c>
      <c r="BZ853" s="460">
        <f t="shared" si="1723"/>
        <v>0</v>
      </c>
      <c r="CA853" s="460">
        <f t="shared" si="1723"/>
        <v>0</v>
      </c>
      <c r="CB853" s="460">
        <f t="shared" si="1723"/>
        <v>0</v>
      </c>
      <c r="CC853" s="460">
        <f t="shared" si="1723"/>
        <v>0</v>
      </c>
      <c r="CD853" s="473">
        <f t="shared" si="1723"/>
        <v>0.56999999999999995</v>
      </c>
      <c r="CE853" s="479">
        <f t="shared" si="1723"/>
        <v>0</v>
      </c>
      <c r="CF853" s="113">
        <f t="shared" si="1669"/>
        <v>0</v>
      </c>
      <c r="CG853" s="114">
        <f t="shared" si="1670"/>
        <v>0</v>
      </c>
      <c r="CH853" s="114">
        <f t="shared" si="1671"/>
        <v>0</v>
      </c>
      <c r="CI853" s="114">
        <f t="shared" si="1672"/>
        <v>0</v>
      </c>
      <c r="CJ853" s="114">
        <f t="shared" si="1673"/>
        <v>0</v>
      </c>
      <c r="CK853" s="114">
        <f t="shared" si="1674"/>
        <v>0</v>
      </c>
      <c r="CL853" s="114">
        <f t="shared" si="1675"/>
        <v>0</v>
      </c>
      <c r="CM853" s="114">
        <f t="shared" si="1676"/>
        <v>0</v>
      </c>
      <c r="CN853" s="114">
        <f t="shared" si="1677"/>
        <v>0</v>
      </c>
      <c r="CO853" s="114">
        <f t="shared" si="1678"/>
        <v>0</v>
      </c>
      <c r="CP853" s="114">
        <f t="shared" si="1679"/>
        <v>0</v>
      </c>
      <c r="CQ853" s="114">
        <f t="shared" si="1680"/>
        <v>0</v>
      </c>
      <c r="CR853" s="114">
        <f t="shared" si="1681"/>
        <v>0</v>
      </c>
      <c r="CS853" s="114">
        <f t="shared" si="1682"/>
        <v>0</v>
      </c>
      <c r="CT853" s="115">
        <f t="shared" si="1683"/>
        <v>0</v>
      </c>
      <c r="CU853" s="116">
        <f t="shared" si="1684"/>
        <v>1</v>
      </c>
      <c r="CV853" s="116">
        <f t="shared" si="1685"/>
        <v>0</v>
      </c>
      <c r="CW853" s="116">
        <f t="shared" si="1686"/>
        <v>0</v>
      </c>
      <c r="CX853" s="116">
        <f t="shared" si="1687"/>
        <v>0</v>
      </c>
      <c r="CY853" s="116">
        <f t="shared" si="1688"/>
        <v>0</v>
      </c>
      <c r="CZ853" s="116">
        <f t="shared" si="1689"/>
        <v>0</v>
      </c>
      <c r="DA853" s="116">
        <f t="shared" si="1690"/>
        <v>0</v>
      </c>
      <c r="DB853" s="116">
        <f t="shared" si="1691"/>
        <v>0</v>
      </c>
      <c r="DC853" s="116">
        <f t="shared" si="1692"/>
        <v>0</v>
      </c>
      <c r="DD853" s="116">
        <f t="shared" si="1693"/>
        <v>0</v>
      </c>
      <c r="DE853" s="117">
        <f t="shared" si="1694"/>
        <v>0</v>
      </c>
      <c r="DF853" s="118">
        <f t="shared" si="1696"/>
        <v>49</v>
      </c>
      <c r="DG853" s="106">
        <f t="shared" si="1697"/>
        <v>65.619</v>
      </c>
      <c r="DH853" s="116">
        <f t="shared" si="1698"/>
        <v>18</v>
      </c>
      <c r="DI853" s="106">
        <f t="shared" si="1699"/>
        <v>76.899999999999991</v>
      </c>
      <c r="DJ853" s="201" t="str">
        <f>IF($D853="","",$D853)</f>
        <v>29</v>
      </c>
      <c r="DK853" s="465">
        <f>IF(AND($B853=" ",$D853&lt;&gt;""),1,0)</f>
        <v>0</v>
      </c>
    </row>
    <row r="854" spans="1:115" ht="14.5" customHeight="1" x14ac:dyDescent="0.2">
      <c r="A854" s="389"/>
      <c r="B854" s="456"/>
      <c r="C854" s="120" t="s">
        <v>54</v>
      </c>
      <c r="D854" s="374"/>
      <c r="E854" s="386"/>
      <c r="F854" s="377"/>
      <c r="G854" s="483"/>
      <c r="H854" s="476"/>
      <c r="I854" s="178">
        <v>1</v>
      </c>
      <c r="J854" s="179" t="str">
        <f>IF(OR(I853="TO",I853="TU",I853="TO1",I853="TU1",I853="TO2",I853="TU2"),J853,IF(OR(I853="AH1",I853="AH2"),IF(OR(I854="AH1",I854="AH2"),-J853,IF(OR(I854="EH1",I854="EH2"),-J853+0.5,"")),IF(OR(I853="EH1",I853="EH2"),IF(OR(I854="AH1",I854="AH2"),-J853+0.5,IF(OR(I854="EH1",I854="EH2"),-J853+1,"")),IF(AND(OR(I853="DNB1",I853="DNB2"),OR(I854="AH1",I854="AH2")),0,IF(AND(I853="Not ScoreBoth",OR(I854="TO1",I854="TO2")),0.5,"")))))</f>
        <v/>
      </c>
      <c r="K854" s="123" t="s">
        <v>47</v>
      </c>
      <c r="L854" s="124">
        <v>4.57</v>
      </c>
      <c r="M854" s="125">
        <v>3.66</v>
      </c>
      <c r="N854" s="406"/>
      <c r="O854" s="126">
        <f>IF(OR(AE853="",AE854=""),"",ROUND(IF(L855&gt;0,IF(M854&gt;0,M854,IF(M853&gt;0,IF(N853=TRUE,ROUND((M853*AE854)/AE853,0),(M853*AE854)/AE853),IF(M854&gt;0,ROUND(M854,IF(N853=0,2,IF(N853=0.1,1,0))),IF(M855&gt;0,ROUND(O855*AE854/AE855,IF(N853=0,2,IF(N853=0.1,1,0))),0)))),IF(M854&gt;0,M854,ROUND((M853*AE854)/AE853,IF(N853=0,2,IF(N853=0.1,1,0))))),2))</f>
        <v>3.66</v>
      </c>
      <c r="P854" s="127">
        <f>IF(OR(L854="",O854=""),"",IF($C854="1/2W",O854/2+O854/2*L854,IF($C854="1/2L",O854/2,IF(I854="Lay",((O854*(L854/(L854-1)))-O854)*(1-_xlfn.XLOOKUP(K854,'Fevereiro 2023 - Valor Real'!A3:A15,'Fevereiro 2023 - Valor Real'!C3:C15,0))+O854,(O854*L854-O854)*(1-_xlfn.XLOOKUP(K854,'Fevereiro 2023 - Valor Real'!A3:A15,'Fevereiro 2023 - Valor Real'!C3:C15,0))+O854))))</f>
        <v>16.726200000000002</v>
      </c>
      <c r="Q854" s="128">
        <f>IF(K854="","",IF(_xlfn.XLOOKUP(K854,K$4:K853,$DJ$4:DJ853,0,,-1)=DJ854,_xlfn.XLOOKUP(K854,K$4:K853,Q$4:Q853,1,,-1)+1,1))</f>
        <v>1</v>
      </c>
      <c r="R854" s="129">
        <f>IF(K854="","",_xlfn.XLOOKUP(K854,K$4:K853,R$4:R853,0,,-1)+IF($C854=" ",1,0))</f>
        <v>0</v>
      </c>
      <c r="S854" s="403"/>
      <c r="T854" s="380"/>
      <c r="U854" s="380"/>
      <c r="V854" s="481"/>
      <c r="W854" s="380"/>
      <c r="X854" s="452"/>
      <c r="Y854" s="383"/>
      <c r="Z854" s="384"/>
      <c r="AA854" s="384"/>
      <c r="AB854" s="384"/>
      <c r="AC854" s="384"/>
      <c r="AD854" s="130">
        <f>(((L854/(L854-1)-1)*(1-_xlfn.XLOOKUP(K854,'Fevereiro 2023 - Valor Real'!A3:A15,'Fevereiro 2023 - Valor Real'!C3:C15,0))+1))</f>
        <v>1.2801120448179271</v>
      </c>
      <c r="AE854" s="131">
        <f>IF(L854="","",IF(L855&gt;0,(SUM(((L853-1)*(1-_xlfn.XLOOKUP(K853,'Fevereiro 2023 - Valor Real'!A3:A15,'Fevereiro 2023 - Valor Real'!C3:C15,0))+1),((L854-1)*(1-_xlfn.XLOOKUP(K854,'Fevereiro 2023 - Valor Real'!A3:A15,'Fevereiro 2023 - Valor Real'!C3:C15,0))+1),((L855-1)*(1-_xlfn.XLOOKUP(K855,'Fevereiro 2023 - Valor Real'!A3:A15,'Fevereiro 2023 - Valor Real'!C3:C15,0))+1))/((L854-1)*(1-_xlfn.XLOOKUP(K854,'Fevereiro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Real'!C3:C15,0))+1))/((L853-1)*(1-_xlfn.XLOOKUP(K853,'Fevereiro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Real'!C3:C15,0))+1))/((L854-1)*(1-_xlfn.XLOOKUP(K854,'Fevereiro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Real'!C3:C15,0))+1))/((L855-1)*(1-_xlfn.XLOOKUP(K855,'Fevereiro 2023 - Valor Real'!A3:A15,'Fevereiro 2023 - Valor Real'!C3:C15,0))+1)),IF(I854="Lay",IF(I853="Lay",((L853/(L853-1)-1)*(1-_xlfn.XLOOKUP(K853,'Fevereiro 2023 - Valor Real'!A3:A15,'Fevereiro 2023 - Valor Real'!C3:C15,0))+1)/(((L853/(L853-1)-1)*(1-_xlfn.XLOOKUP(K853,'Fevereiro 2023 - Valor Real'!A3:A15,'Fevereiro 2023 - Valor Real'!C3:C15,0))+1)+((L854/(L854-1)-1)*(1-_xlfn.XLOOKUP(K854,'Fevereiro 2023 - Valor Real'!A3:A15,'Fevereiro 2023 - Valor Real'!C3:C15,0))+1)),((L853-1)*(1-_xlfn.XLOOKUP(K853,'Fevereiro 2023 - Valor Real'!A3:A15,'Fevereiro 2023 - Valor Real'!C3:C15,0))+1)/(((L853-1)*(1-_xlfn.XLOOKUP(K853,'Fevereiro 2023 - Valor Real'!A3:A15,'Fevereiro 2023 - Valor Real'!C3:C15,0))+1)+((L854/(L854-1)-1)*(1-_xlfn.XLOOKUP(K854,'Fevereiro 2023 - Valor Real'!A3:A15,'Fevereiro 2023 - Valor Real'!C3:C15,0))+1))),IF(I853="Lay",((L853/(L853-1)-1)*(1-_xlfn.XLOOKUP(K853,'Fevereiro 2023 - Valor Real'!A3:A15,'Fevereiro 2023 - Valor Real'!C3:C15,0))+1)/((((L853/(L853-1)-1)*(1-_xlfn.XLOOKUP(K853,'Fevereiro 2023 - Valor Real'!A3:A15,'Fevereiro 2023 - Valor Real'!C3:C15,0))+1))+((L854-1)*(1-_xlfn.XLOOKUP(K854,'Fevereiro 2023 - Valor Real'!A3:A15,'Fevereiro 2023 - Valor Real'!C3:C15,0))+1)),((L853-1)*(1-_xlfn.XLOOKUP(K853,'Fevereiro 2023 - Valor Real'!A3:A15,'Fevereiro 2023 - Valor Real'!C3:C15,0))+1)/(((L853-1)*(1-_xlfn.XLOOKUP(K853,'Fevereiro 2023 - Valor Real'!A3:A15,'Fevereiro 2023 - Valor Real'!C3:C15,0))+1)+((L854-1)*(1-_xlfn.XLOOKUP(K854,'Fevereiro 2023 - Valor Real'!A3:A15,'Fevereiro 2023 - Valor Real'!C3:C15,0))+1))))))</f>
        <v>0.22973200741614697</v>
      </c>
      <c r="AF854" s="105">
        <f t="shared" ref="AF854:AR863" si="1724">IF($K854=AF$3,ROUND(IF(OR($C854="W",$C854="1/2W",$C854="1/2L"),$P854-$O854,IF($C854="X",0,-$O854)),2),0)</f>
        <v>0</v>
      </c>
      <c r="AG854" s="106">
        <f t="shared" si="1724"/>
        <v>0</v>
      </c>
      <c r="AH854" s="106">
        <f t="shared" si="1724"/>
        <v>0</v>
      </c>
      <c r="AI854" s="106">
        <f t="shared" si="1724"/>
        <v>0</v>
      </c>
      <c r="AJ854" s="106">
        <f t="shared" si="1724"/>
        <v>0</v>
      </c>
      <c r="AK854" s="106">
        <f t="shared" si="1724"/>
        <v>0</v>
      </c>
      <c r="AL854" s="106">
        <f t="shared" si="1724"/>
        <v>0</v>
      </c>
      <c r="AM854" s="106">
        <f t="shared" si="1724"/>
        <v>0</v>
      </c>
      <c r="AN854" s="106">
        <f t="shared" si="1724"/>
        <v>0</v>
      </c>
      <c r="AO854" s="106">
        <f t="shared" si="1724"/>
        <v>0</v>
      </c>
      <c r="AP854" s="106">
        <f t="shared" si="1724"/>
        <v>0</v>
      </c>
      <c r="AQ854" s="106">
        <f t="shared" si="1724"/>
        <v>13.07</v>
      </c>
      <c r="AR854" s="107">
        <f t="shared" si="1724"/>
        <v>0</v>
      </c>
      <c r="AS854" s="105">
        <f>IF(AND($B853=" ",$K854=AS$3),$O854,0)</f>
        <v>0</v>
      </c>
      <c r="AT854" s="106">
        <f>IF(AND($B853=" ",K854=AT$3),$O854,0)</f>
        <v>0</v>
      </c>
      <c r="AU854" s="106">
        <f t="shared" ref="AU854:BE854" si="1725">IF(AND($B853=" ",$K854=AU$3),$O854,0)</f>
        <v>0</v>
      </c>
      <c r="AV854" s="106">
        <f t="shared" si="1725"/>
        <v>0</v>
      </c>
      <c r="AW854" s="106">
        <f t="shared" si="1725"/>
        <v>0</v>
      </c>
      <c r="AX854" s="106">
        <f t="shared" si="1725"/>
        <v>0</v>
      </c>
      <c r="AY854" s="108">
        <f t="shared" si="1725"/>
        <v>0</v>
      </c>
      <c r="AZ854" s="109">
        <f t="shared" si="1725"/>
        <v>0</v>
      </c>
      <c r="BA854" s="109">
        <f t="shared" si="1725"/>
        <v>0</v>
      </c>
      <c r="BB854" s="109">
        <f t="shared" si="1725"/>
        <v>0</v>
      </c>
      <c r="BC854" s="110">
        <f t="shared" si="1725"/>
        <v>0</v>
      </c>
      <c r="BD854" s="106">
        <f t="shared" si="1725"/>
        <v>0</v>
      </c>
      <c r="BE854" s="107">
        <f t="shared" si="1725"/>
        <v>0</v>
      </c>
      <c r="BF854" s="105">
        <f t="shared" ref="BF854:BR863" si="1726">IF($K854=BF$3,IF($C854="X",0,$O854),0)</f>
        <v>0</v>
      </c>
      <c r="BG854" s="106">
        <f t="shared" si="1726"/>
        <v>0</v>
      </c>
      <c r="BH854" s="106">
        <f t="shared" si="1726"/>
        <v>0</v>
      </c>
      <c r="BI854" s="106">
        <f t="shared" si="1726"/>
        <v>0</v>
      </c>
      <c r="BJ854" s="106">
        <f t="shared" si="1726"/>
        <v>0</v>
      </c>
      <c r="BK854" s="106">
        <f t="shared" si="1726"/>
        <v>0</v>
      </c>
      <c r="BL854" s="106">
        <f t="shared" si="1726"/>
        <v>0</v>
      </c>
      <c r="BM854" s="132">
        <f t="shared" si="1726"/>
        <v>0</v>
      </c>
      <c r="BN854" s="112">
        <f t="shared" si="1726"/>
        <v>0</v>
      </c>
      <c r="BO854" s="112">
        <f t="shared" si="1726"/>
        <v>0</v>
      </c>
      <c r="BP854" s="112">
        <f t="shared" si="1726"/>
        <v>0</v>
      </c>
      <c r="BQ854" s="110">
        <f t="shared" si="1726"/>
        <v>3.66</v>
      </c>
      <c r="BR854" s="107">
        <f t="shared" si="1726"/>
        <v>0</v>
      </c>
      <c r="BS854" s="464"/>
      <c r="BT854" s="461"/>
      <c r="BU854" s="392"/>
      <c r="BV854" s="461"/>
      <c r="BW854" s="392"/>
      <c r="BX854" s="392"/>
      <c r="BY854" s="392"/>
      <c r="BZ854" s="461"/>
      <c r="CA854" s="392"/>
      <c r="CB854" s="392"/>
      <c r="CC854" s="392"/>
      <c r="CD854" s="401"/>
      <c r="CE854" s="409"/>
      <c r="CF854" s="133">
        <f t="shared" si="1669"/>
        <v>0</v>
      </c>
      <c r="CG854" s="134">
        <f t="shared" si="1670"/>
        <v>0</v>
      </c>
      <c r="CH854" s="134">
        <f t="shared" si="1671"/>
        <v>0</v>
      </c>
      <c r="CI854" s="134">
        <f t="shared" si="1672"/>
        <v>0</v>
      </c>
      <c r="CJ854" s="134">
        <f t="shared" si="1673"/>
        <v>0</v>
      </c>
      <c r="CK854" s="134">
        <f t="shared" si="1674"/>
        <v>0</v>
      </c>
      <c r="CL854" s="134">
        <f t="shared" si="1675"/>
        <v>0</v>
      </c>
      <c r="CM854" s="134">
        <f t="shared" si="1676"/>
        <v>0</v>
      </c>
      <c r="CN854" s="134">
        <f t="shared" si="1677"/>
        <v>0</v>
      </c>
      <c r="CO854" s="134">
        <f t="shared" si="1678"/>
        <v>0</v>
      </c>
      <c r="CP854" s="134">
        <f t="shared" si="1679"/>
        <v>0</v>
      </c>
      <c r="CQ854" s="134">
        <f t="shared" si="1680"/>
        <v>0</v>
      </c>
      <c r="CR854" s="134">
        <f t="shared" si="1681"/>
        <v>0</v>
      </c>
      <c r="CS854" s="134">
        <f t="shared" si="1682"/>
        <v>0</v>
      </c>
      <c r="CT854" s="115">
        <f t="shared" si="1683"/>
        <v>0</v>
      </c>
      <c r="CU854" s="116">
        <f t="shared" si="1684"/>
        <v>0</v>
      </c>
      <c r="CV854" s="116">
        <f t="shared" si="1685"/>
        <v>0</v>
      </c>
      <c r="CW854" s="116">
        <f t="shared" si="1686"/>
        <v>0</v>
      </c>
      <c r="CX854" s="116">
        <f t="shared" si="1687"/>
        <v>0</v>
      </c>
      <c r="CY854" s="116">
        <f t="shared" si="1688"/>
        <v>0</v>
      </c>
      <c r="CZ854" s="116">
        <f t="shared" si="1689"/>
        <v>0</v>
      </c>
      <c r="DA854" s="116">
        <f t="shared" si="1690"/>
        <v>0</v>
      </c>
      <c r="DB854" s="116">
        <f t="shared" si="1691"/>
        <v>1</v>
      </c>
      <c r="DC854" s="116">
        <f t="shared" si="1692"/>
        <v>0</v>
      </c>
      <c r="DD854" s="116">
        <f t="shared" si="1693"/>
        <v>0</v>
      </c>
      <c r="DE854" s="117">
        <f t="shared" si="1694"/>
        <v>0</v>
      </c>
      <c r="DF854" s="118">
        <f t="shared" si="1696"/>
        <v>49</v>
      </c>
      <c r="DG854" s="106">
        <f t="shared" si="1697"/>
        <v>65.619</v>
      </c>
      <c r="DH854" s="116">
        <f t="shared" si="1698"/>
        <v>19</v>
      </c>
      <c r="DI854" s="106">
        <f t="shared" si="1699"/>
        <v>81.47</v>
      </c>
      <c r="DJ854" s="201" t="str">
        <f>IF($D853="","",$D853)</f>
        <v>29</v>
      </c>
      <c r="DK854" s="466"/>
    </row>
    <row r="855" spans="1:115" ht="14.5" customHeight="1" x14ac:dyDescent="0.2">
      <c r="A855" s="390"/>
      <c r="B855" s="457"/>
      <c r="C855" s="135" t="s">
        <v>53</v>
      </c>
      <c r="D855" s="375"/>
      <c r="E855" s="387"/>
      <c r="F855" s="378"/>
      <c r="G855" s="484"/>
      <c r="H855" s="477"/>
      <c r="I855" s="136"/>
      <c r="J855" s="137"/>
      <c r="K855" s="138"/>
      <c r="L855" s="139"/>
      <c r="M855" s="140"/>
      <c r="N855" s="407"/>
      <c r="O855" s="141" t="str">
        <f>IF(OR(AE853="",AE854=""),"",IF(L855&gt;0,ROUND(IF(M855&gt;0,M855,IF(M853&gt;0,ROUND((M853*AE855)/AE853,IF(N853=0,2,IF(N853=0.1,1,0))),IF(M854&gt;0,ROUND((M854*AE855)/AE854,IF(N853=0,2,IF(N853=0.1,1,0))),IF(M855&gt;0,M855,0)))),2),""))</f>
        <v/>
      </c>
      <c r="P855" s="142" t="str">
        <f>IF(I854="Lay",O854*(L854/(L854-1))-O854,IF(I853="Lay",O853*(L853/(L853-1))-O853,IF(OR(L855="",O855=""),"",IF($C855="1/2W",O855/2+O855/2*L855,IF($C855="1/2L",O855/2,(O855*L855-O855)*(1-_xlfn.XLOOKUP(K855,'Fevereiro 2023 - Valor Real'!A3:A15,'Fevereiro 2023 - Valor Real'!C3:C15,0))+O855)))))</f>
        <v/>
      </c>
      <c r="Q855" s="221" t="str">
        <f>IF(K855="","",IF(_xlfn.XLOOKUP(K855,K$4:K854,$DJ$4:DJ854,0,,-1)=DJ855,_xlfn.XLOOKUP(K855,K$4:K854,Q$4:Q854,1,,-1)+1,1))</f>
        <v/>
      </c>
      <c r="R855" s="144" t="str">
        <f>IF(K855="","",_xlfn.XLOOKUP(K855,K$4:K854,R$4:R854,0,,-1)+IF($C855=" ",1,0))</f>
        <v/>
      </c>
      <c r="S855" s="404"/>
      <c r="T855" s="378"/>
      <c r="U855" s="378"/>
      <c r="V855" s="404"/>
      <c r="W855" s="378"/>
      <c r="X855" s="453"/>
      <c r="Y855" s="383"/>
      <c r="Z855" s="384"/>
      <c r="AA855" s="384"/>
      <c r="AB855" s="384"/>
      <c r="AC855" s="384"/>
      <c r="AD855" s="145">
        <f>((L854/(L854-1)-1))</f>
        <v>0.28011204481792706</v>
      </c>
      <c r="AE855" s="146" t="str">
        <f>IF(L855="","",(SUM(((L853-1)*(1-_xlfn.XLOOKUP(K853,'Fevereiro 2023 - Valor Real'!A3:A15,'Fevereiro 2023 - Valor Real'!C3:C15,0))+1),((L854-1)*(1-_xlfn.XLOOKUP(K854,'Fevereiro 2023 - Valor Real'!A3:A15,'Fevereiro 2023 - Valor Real'!C3:C15,0))+1),((L855-1)*(1-_xlfn.XLOOKUP(K855,'Fevereiro 2023 - Valor Real'!A3:A15,'Fevereiro 2023 - Valor Real'!C3:C15,0))+1))/((L855-1)*(1-_xlfn.XLOOKUP(K855,'Fevereiro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Real'!C3:C15,0))+1))/((L853-1)*(1-_xlfn.XLOOKUP(K853,'Fevereiro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Real'!C3:C15,0))+1))/((L854-1)*(1-_xlfn.XLOOKUP(K854,'Fevereiro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Real'!C3:C15,0))+1))/((L855-1)*(1-_xlfn.XLOOKUP(K855,'Fevereiro 2023 - Valor Real'!A3:A15,'Fevereiro 2023 - Valor Real'!C3:C15,0))+1)))</f>
        <v/>
      </c>
      <c r="AF855" s="105">
        <f t="shared" si="1724"/>
        <v>0</v>
      </c>
      <c r="AG855" s="106">
        <f t="shared" si="1724"/>
        <v>0</v>
      </c>
      <c r="AH855" s="106">
        <f t="shared" si="1724"/>
        <v>0</v>
      </c>
      <c r="AI855" s="106">
        <f t="shared" si="1724"/>
        <v>0</v>
      </c>
      <c r="AJ855" s="106">
        <f t="shared" si="1724"/>
        <v>0</v>
      </c>
      <c r="AK855" s="106">
        <f t="shared" si="1724"/>
        <v>0</v>
      </c>
      <c r="AL855" s="106">
        <f t="shared" si="1724"/>
        <v>0</v>
      </c>
      <c r="AM855" s="106">
        <f t="shared" si="1724"/>
        <v>0</v>
      </c>
      <c r="AN855" s="106">
        <f t="shared" si="1724"/>
        <v>0</v>
      </c>
      <c r="AO855" s="106">
        <f t="shared" si="1724"/>
        <v>0</v>
      </c>
      <c r="AP855" s="106">
        <f t="shared" si="1724"/>
        <v>0</v>
      </c>
      <c r="AQ855" s="106">
        <f t="shared" si="1724"/>
        <v>0</v>
      </c>
      <c r="AR855" s="107">
        <f t="shared" si="1724"/>
        <v>0</v>
      </c>
      <c r="AS855" s="105">
        <f>IF(AND($B853=" ",$K855=AS$3),$O855,0)</f>
        <v>0</v>
      </c>
      <c r="AT855" s="106">
        <f>IF(AND($B853=" ",K855=AT$3),$O855,0)</f>
        <v>0</v>
      </c>
      <c r="AU855" s="106">
        <f t="shared" ref="AU855:BE855" si="1727">IF(AND($B853=" ",$K855=AU$3),$O855,0)</f>
        <v>0</v>
      </c>
      <c r="AV855" s="106">
        <f t="shared" si="1727"/>
        <v>0</v>
      </c>
      <c r="AW855" s="106">
        <f t="shared" si="1727"/>
        <v>0</v>
      </c>
      <c r="AX855" s="106">
        <f t="shared" si="1727"/>
        <v>0</v>
      </c>
      <c r="AY855" s="108">
        <f t="shared" si="1727"/>
        <v>0</v>
      </c>
      <c r="AZ855" s="109">
        <f t="shared" si="1727"/>
        <v>0</v>
      </c>
      <c r="BA855" s="109">
        <f t="shared" si="1727"/>
        <v>0</v>
      </c>
      <c r="BB855" s="109">
        <f t="shared" si="1727"/>
        <v>0</v>
      </c>
      <c r="BC855" s="110">
        <f t="shared" si="1727"/>
        <v>0</v>
      </c>
      <c r="BD855" s="106">
        <f t="shared" si="1727"/>
        <v>0</v>
      </c>
      <c r="BE855" s="107">
        <f t="shared" si="1727"/>
        <v>0</v>
      </c>
      <c r="BF855" s="105">
        <f t="shared" si="1726"/>
        <v>0</v>
      </c>
      <c r="BG855" s="106">
        <f t="shared" si="1726"/>
        <v>0</v>
      </c>
      <c r="BH855" s="106">
        <f t="shared" si="1726"/>
        <v>0</v>
      </c>
      <c r="BI855" s="106">
        <f t="shared" si="1726"/>
        <v>0</v>
      </c>
      <c r="BJ855" s="106">
        <f t="shared" si="1726"/>
        <v>0</v>
      </c>
      <c r="BK855" s="106">
        <f t="shared" si="1726"/>
        <v>0</v>
      </c>
      <c r="BL855" s="106">
        <f t="shared" si="1726"/>
        <v>0</v>
      </c>
      <c r="BM855" s="108">
        <f t="shared" si="1726"/>
        <v>0</v>
      </c>
      <c r="BN855" s="109">
        <f t="shared" si="1726"/>
        <v>0</v>
      </c>
      <c r="BO855" s="109">
        <f t="shared" si="1726"/>
        <v>0</v>
      </c>
      <c r="BP855" s="109">
        <f t="shared" si="1726"/>
        <v>0</v>
      </c>
      <c r="BQ855" s="110">
        <f t="shared" si="1726"/>
        <v>0</v>
      </c>
      <c r="BR855" s="107">
        <f t="shared" si="1726"/>
        <v>0</v>
      </c>
      <c r="BS855" s="464"/>
      <c r="BT855" s="461"/>
      <c r="BU855" s="392"/>
      <c r="BV855" s="461"/>
      <c r="BW855" s="392"/>
      <c r="BX855" s="392"/>
      <c r="BY855" s="392"/>
      <c r="BZ855" s="461"/>
      <c r="CA855" s="392"/>
      <c r="CB855" s="392"/>
      <c r="CC855" s="392"/>
      <c r="CD855" s="401"/>
      <c r="CE855" s="409"/>
      <c r="CF855" s="133">
        <f t="shared" si="1669"/>
        <v>0</v>
      </c>
      <c r="CG855" s="134">
        <f t="shared" si="1670"/>
        <v>0</v>
      </c>
      <c r="CH855" s="134">
        <f t="shared" si="1671"/>
        <v>0</v>
      </c>
      <c r="CI855" s="134">
        <f t="shared" si="1672"/>
        <v>0</v>
      </c>
      <c r="CJ855" s="134">
        <f t="shared" si="1673"/>
        <v>0</v>
      </c>
      <c r="CK855" s="134">
        <f t="shared" si="1674"/>
        <v>0</v>
      </c>
      <c r="CL855" s="134">
        <f t="shared" si="1675"/>
        <v>0</v>
      </c>
      <c r="CM855" s="134">
        <f t="shared" si="1676"/>
        <v>0</v>
      </c>
      <c r="CN855" s="134">
        <f t="shared" si="1677"/>
        <v>0</v>
      </c>
      <c r="CO855" s="134">
        <f t="shared" si="1678"/>
        <v>0</v>
      </c>
      <c r="CP855" s="134">
        <f t="shared" si="1679"/>
        <v>0</v>
      </c>
      <c r="CQ855" s="134">
        <f t="shared" si="1680"/>
        <v>0</v>
      </c>
      <c r="CR855" s="134">
        <f t="shared" si="1681"/>
        <v>0</v>
      </c>
      <c r="CS855" s="134">
        <f t="shared" si="1682"/>
        <v>0</v>
      </c>
      <c r="CT855" s="115">
        <f t="shared" si="1683"/>
        <v>0</v>
      </c>
      <c r="CU855" s="116">
        <f t="shared" si="1684"/>
        <v>0</v>
      </c>
      <c r="CV855" s="116">
        <f t="shared" si="1685"/>
        <v>0</v>
      </c>
      <c r="CW855" s="116">
        <f t="shared" si="1686"/>
        <v>0</v>
      </c>
      <c r="CX855" s="116">
        <f t="shared" si="1687"/>
        <v>0</v>
      </c>
      <c r="CY855" s="116">
        <f t="shared" si="1688"/>
        <v>0</v>
      </c>
      <c r="CZ855" s="116">
        <f t="shared" si="1689"/>
        <v>0</v>
      </c>
      <c r="DA855" s="116">
        <f t="shared" si="1690"/>
        <v>0</v>
      </c>
      <c r="DB855" s="116">
        <f t="shared" si="1691"/>
        <v>0</v>
      </c>
      <c r="DC855" s="116">
        <f t="shared" si="1692"/>
        <v>0</v>
      </c>
      <c r="DD855" s="116">
        <f t="shared" si="1693"/>
        <v>0</v>
      </c>
      <c r="DE855" s="117">
        <f t="shared" si="1694"/>
        <v>0</v>
      </c>
      <c r="DF855" s="118">
        <f t="shared" si="1696"/>
        <v>49</v>
      </c>
      <c r="DG855" s="106">
        <f t="shared" si="1697"/>
        <v>65.619</v>
      </c>
      <c r="DH855" s="116">
        <f t="shared" si="1698"/>
        <v>19</v>
      </c>
      <c r="DI855" s="106">
        <f t="shared" si="1699"/>
        <v>81.47</v>
      </c>
      <c r="DJ855" s="201" t="str">
        <f>IF($D853="","",$D853)</f>
        <v>29</v>
      </c>
      <c r="DK855" s="466"/>
    </row>
    <row r="856" spans="1:115" ht="14.5" customHeight="1" x14ac:dyDescent="0.2">
      <c r="A856" s="487">
        <f>$A853+1</f>
        <v>285</v>
      </c>
      <c r="B856" s="506" t="str">
        <f>IF(OR(C856="W",C857="W",C858="W",C856="1/2W",C857="1/2W",C858="1/2W",C856="1/2L",C857="1/2L",C858="1/2L"),"OK",IF(OR(C856="L",C857="L",C858="L"),"LOSS",IF(OR(C856="X",C857="X",C858="X"),"Anulado"," ")))</f>
        <v>OK</v>
      </c>
      <c r="C856" s="147" t="s">
        <v>55</v>
      </c>
      <c r="D856" s="494" t="str">
        <f>IF(G856="","",$D853)</f>
        <v>29</v>
      </c>
      <c r="E856" s="511" t="str">
        <f>IF(G856=""," ","– "&amp;COUNTIF(D$4:D858,$D856))</f>
        <v>– 2</v>
      </c>
      <c r="F856" s="510" t="str">
        <f ca="1">IF(G856="","",IF(OR(AND($C856&lt;&gt;" ",$C857=" "),AND($C857&lt;&gt;" ",$C856=" "),AND(L858&gt;0,OR(AND($C858&lt;&gt;" ",OR($C856=" ",$C857=" ")),AND($C858=" ",OR($C856&lt;&gt;" ",$C857&lt;&gt;" "))))),IF(SUM(F$4:F855)=0,1,LARGE(F$4:F855,1)+1),IF(MONTH(G856)=MONTH(TODAY()),IF(AND(DAY(G856)&lt;DAY(TODAY()),$B856=" "),IF(SUM(F$4:F855)=0,1,LARGE(F$4:F855,1)+1),IF($B856=" ",IF(AND(DAY(G856)=DAY(TODAY()),HOUR(G856)&lt;=HOUR(NOW())+1),IF(AND(HOUR(G856)+2&lt;=HOUR(NOW()),DAY(G856)&lt;=DAY(TODAY()),MINUTE(G856)&lt;=MINUTE(NOW())),IF(SUM(F$4:F855)=0,1,LARGE(F$4:F855,1)+1),IF(OR(MINUTE(G856)&lt;=MINUTE(NOW()),HOUR(G856)&lt;=HOUR(NOW())),"!!!","")),""),"")),"")))</f>
        <v/>
      </c>
      <c r="G856" s="517">
        <v>45014.65625</v>
      </c>
      <c r="H856" s="516" t="s">
        <v>287</v>
      </c>
      <c r="I856" s="249">
        <v>2</v>
      </c>
      <c r="J856" s="241"/>
      <c r="K856" s="224" t="s">
        <v>47</v>
      </c>
      <c r="L856" s="225">
        <v>5.0999999999999996</v>
      </c>
      <c r="M856" s="226">
        <v>6.63</v>
      </c>
      <c r="N856" s="503">
        <v>0</v>
      </c>
      <c r="O856" s="153">
        <f>IF(OR(AE856="",AE857=""),"",ROUND(IF(L858&gt;0,IF(M856&gt;0,M856,IF(M857&gt;0,ROUND((M857*AE856)/AE857,IF(N856=0,2,IF(N856=0.1,1,0))),ROUND((M858*AE856)/AE858,IF(N856=0,2,IF(N856=0.1,1,0))))),IF(M856&gt;0,M856,ROUND((M857*AE856)/AE857,IF(N856=0,2,IF(N856=0.1,1,0))))),2))</f>
        <v>6.63</v>
      </c>
      <c r="P856" s="227">
        <f>IF(OR(L856="",O856=""),"",IF($C856="1/2W",O856/2+O856/2*L856,IF($C856="1/2L",O856/2,IF(I856="Lay",(O856*(L856/(L856-1))-O856)*(1-_xlfn.XLOOKUP(K856,'Fevereiro 2023 - Valor Real'!A3:A15,'Fevereiro 2023 - Valor Real'!C3:C15,0))+O856,(O856*L856-O856)*(1-_xlfn.XLOOKUP(K856,'Fevereiro 2023 - Valor Real'!A3:A15,'Fevereiro 2023 - Valor Real'!C3:C15,0))+O856))))</f>
        <v>33.812999999999995</v>
      </c>
      <c r="Q856" s="228">
        <f>IF(K856="","",IF(_xlfn.XLOOKUP(K856,K$4:K855,$DJ$4:DJ855,0,,-1)=DJ856,_xlfn.XLOOKUP(K856,K$4:K855,Q$4:Q855,1,,-1)+1,1))</f>
        <v>2</v>
      </c>
      <c r="R856" s="229">
        <f>IF(K856="","",_xlfn.XLOOKUP(K856,K$4:K855,R$4:R855,0,,-1)+IF($C856=" ",1,0))</f>
        <v>0</v>
      </c>
      <c r="S856" s="501">
        <f>IF($B856="Anulado",0,ROUND(IF(OR($B856="LOSS",$B856="OK"),IF(OR($C856="W",$C856="1/2W",$C856="1/2L"),P856-O856,IF($C856="L",-O856,0))+IF(OR($C857="W",$C857="1/2W",$C857="1/2L"),P857-O857,IF($C857="L",-O857,0))+IF(OR($C858="W",$C858="1/2W",$C858="1/2L"),P858-O858,IF($C858="L",-O858,0)),IF(AND(OR($C856="W",$C856="1/2W",$C856="1/2L"),C857="W"),P856+P857-SUM(O856:O858)+_xlfn.XLOOKUP("X",C856:C858,O856:O858,0),IF(AND(C856=TRUE,C858="W"),P856+P858-SUM(O856:O858),IF(AND(C857="W",C858="W"),P857+P858-SUM(O856:O858)+_xlfn.XLOOKUP("X",C856:C858,O856:O858,0),IF(L858&gt;0,IF(OR($C856="W",$C856="1/2W",$C856="1/2L"),P856-SUM(O856:O858)+_xlfn.XLOOKUP("X",C856:C858,O856:O858,0),IF(OR($C856="W",$C856="1/2W",$C856="1/2L"),P857-SUM(O856:O858)+_xlfn.XLOOKUP("X",C856:C858,O856:O858,0),IF(OR($C856="W",$C856="1/2W",$C856="1/2L"),P858-SUM(O856:O858)+_xlfn.XLOOKUP("X",C856:C858,O856:O858,0),IF(SUM(P856:P858)/3-SUM(O856:O858)+_xlfn.XLOOKUP("X",C856:C858,O856:O858,0)&gt;0,SUM(P856:P858)/3-SUM(O856:O858)+_xlfn.XLOOKUP("X",C856:C858,O856:O858,0),LARGE(P856:P858,1)-SUM(O856:O858))))),IF(OR($C856="W",$C856="1/2W",$C856="1/2L"),P856-SUM(O856:O857)+_xlfn.XLOOKUP("X",C856:C858,O856:O858,0),IF(OR($C856="W",$C856="1/2W",$C856="1/2L"),P857-SUM(O856:O857)+_xlfn.XLOOKUP("X",C856:C858,O856:O858,0),SUM(P856:P857)/2-SUM(O856:O857)+_xlfn.XLOOKUP("X",C856:C858,O856:O858,0)))))))),2))</f>
        <v>1.71</v>
      </c>
      <c r="T856" s="486">
        <f>IF(S856=0,0,S856/SUM(O856:O858))</f>
        <v>5.0847457627118647E-2</v>
      </c>
      <c r="U856" s="496">
        <f>IF($D856=$D853,IF(OR($B856="LOSS",$B856="OK",$B856="Anulada"),S856,0)+U853,IF(OR($B856="LOSS",$B856="OK",$B856="Anulada"),S856,0))</f>
        <v>2.2799999999999998</v>
      </c>
      <c r="V856" s="496">
        <f>IF($D856="",0,IF($D856=$D853,IF($B856=" ",IF(I858="",IF(OR(AND(I856="DNB1",I857="DNB2"),AND(OR(I856="DNB1",I856="DNB2"),J857=0),AND(OR(I857="DNB1",I857="DNB2"),J856=0),AND(I856="DNB2",I857="DNB1"),AND(IF(J856=0,(J856+1)/ROUND(J856+1,0),J856/ROUND(J856,0))=1,IF(J857=0,(J857+1)/ROUND(IF(J857="",0,J857)+1,0),IF(J857="",0,J857)/ROUND(IF(J857="",1,J857),0))=1,OR(J856&lt;&gt;""),J857&lt;&gt;"")),0,IF(S856&lt;0,IF(I858="",SMALL(P856:P857,1)-SUM(O856:O857),0),SMALL(P856:P857,1)-SUM(O856:O857))),IF(S856&lt;0,IF(I858="",SMALL(P856:P858,1)-SUM(O856:O858),0),LARGE(P856:P858,1)-SUM(O856:O858))),S856)+V853,IF(I858="",IF(OR(AND(I856="DNB1",I857="DNB2"),AND(OR(I856="DNB1",I856="DNB2"),J857=0),AND(OR(I857="DNB1",I857="DNB2"),J856=0),AND(I856="DNB2",I857="DNB1"),AND(IF(J856=0,(J856+1)/ROUND(J856+1,0),J856/ROUND(J856,0))=1,IF(J857=0,(IF(J857="",0,J857)+1)/ROUND(IF(J857="",0,J857)+1,0),IF(J857="",0,J857)/ROUND(IF(J857="",0,J857)+1,0))=1,OR(J856&lt;&gt;""),J857&lt;&gt;"")),0,IF(S856&lt;0,IF(I858="",SMALL(P856:P857,1)-SUM(O856:O857),0),SMALL(P856:P858,1)-SUM(O856:O858))),IF(S856&lt;0,IF(I858="",SMALL(P856:P858,1)-SUM(O856:O858),0),LARGE(P856:P858,1)-SUM(O856:O858)))))</f>
        <v>2.276200000000002</v>
      </c>
      <c r="W856" s="496">
        <f>IF($D856=$D853,IF(S856&lt;0,IF(I858="",S856,0),S856)+W853,S856)</f>
        <v>2.2799999999999998</v>
      </c>
      <c r="X856" s="505" t="str">
        <f>IF(OR(SUM(R856:R858)=0,V856=W856),ROUND(IF(W856=0,0,W856/Y856)*100,2)&amp;"%",ROUND(IF(V856=0,0,V856/Y856)*100,2)&amp;"% a "&amp;ROUND(IF(W856=0,0,W856/Y856)*100,2)&amp;"%")</f>
        <v>4,58%</v>
      </c>
      <c r="Y856" s="497">
        <f>IF($D856=$D853,Y853+SUM(O856:O858),SUM(O856:O858))</f>
        <v>49.789999999999992</v>
      </c>
      <c r="Z856" s="496">
        <f>IF($B856=" ",SUM(O856:O858),0)+Z853</f>
        <v>0</v>
      </c>
      <c r="AA856" s="496">
        <f>IF(G856="","",IF($B856="Anulado",LARGE(P856:P858,1)-SUM(O856:O858)+AA853,AA853))</f>
        <v>13.381099999999991</v>
      </c>
      <c r="AB856" s="496">
        <f>IF($D856="","",AB853+S856)</f>
        <v>985.97000000000094</v>
      </c>
      <c r="AC856" s="499">
        <f ca="1">IF($D856="","",IF($B856=" ",IF(DAY(G856)=DAY(TODAY()),1+AC853,0+AC853),0+AC853))</f>
        <v>0</v>
      </c>
      <c r="AD856" s="157">
        <f>(((L857/(L857-1)-1)*(1-_xlfn.XLOOKUP(K857,'Fevereiro 2023 - Valor Real'!A3:A15,'Fevereiro 2023 - Valor Real'!C3:C15,0))+1))/(((L856-1)*(1-_xlfn.XLOOKUP(K856,'Fevereiro 2023 - Valor Real'!A3:A15,'Fevereiro 2023 - Valor Real'!C3:C15,0))+1)+((L857/(L857-1)-1)*(1-_xlfn.XLOOKUP(K857,'Fevereiro 2023 - Valor Real'!A3:A15,'Fevereiro 2023 - Valor Real'!C3:C15,0))+1))</f>
        <v>0.47978843974310537</v>
      </c>
      <c r="AE856" s="158">
        <f>IF(L856="","",IF(L858&gt;0,(SUM(((L856-1)*(1-_xlfn.XLOOKUP(K856,'Fevereiro 2023 - Valor Real'!A3:A15,'Fevereiro 2023 - Valor Real'!C3:C15,0))+1),((L857-1)*(1-_xlfn.XLOOKUP(K857,'Fevereiro 2023 - Valor Real'!A3:A15,'Fevereiro 2023 - Valor Real'!C3:C15,0))+1),((L858-1)*(1-_xlfn.XLOOKUP(K858,'Fevereiro 2023 - Valor Real'!A3:A15,'Fevereiro 2023 - Valor Real'!C3:C15,0))+1))/((L856-1)*(1-_xlfn.XLOOKUP(K856,'Fevereiro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Real'!C3:C15,0))+1))/((L856-1)*(1-_xlfn.XLOOKUP(K856,'Fevereiro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Real'!C3:C15,0))+1))/((L857-1)*(1-_xlfn.XLOOKUP(K857,'Fevereiro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Real'!C3:C15,0))+1))/((L858-1)*(1-_xlfn.XLOOKUP(K858,'Fevereiro 2023 - Valor Real'!A3:A15,'Fevereiro 2023 - Valor Real'!C3:C15,0))+1)),IF(I856="Lay",IF(I857="Lay",((L857/(L857-1)-1)*(1-_xlfn.XLOOKUP(K857,'Fevereiro 2023 - Valor Real'!A3:A15,'Fevereiro 2023 - Valor Real'!C3:C15,0))+1)/(((L857/(L857-1)-1)*(1-_xlfn.XLOOKUP(K857,'Fevereiro 2023 - Valor Real'!A3:A15,'Fevereiro 2023 - Valor Real'!C3:C15,0))+1)+((L856/(L856-1)-1)*(1-_xlfn.XLOOKUP(K856,'Fevereiro 2023 - Valor Real'!A3:A15,'Fevereiro 2023 - Valor Real'!C3:C15,0))+1)),((L857-1)*(1-_xlfn.XLOOKUP(K857,'Fevereiro 2023 - Valor Real'!A3:A15,'Fevereiro 2023 - Valor Real'!C3:C15,0))+1)/(((L857-1)*(1-_xlfn.XLOOKUP(K857,'Fevereiro 2023 - Valor Real'!A3:A15,'Fevereiro 2023 - Valor Real'!C3:C15,0))+1)+((L856/(L856-1)-1)*(1-_xlfn.XLOOKUP(K856,'Fevereiro 2023 - Valor Real'!A3:A15,'Fevereiro 2023 - Valor Real'!C3:C15,0))+1))),IF(I857="Lay",(((L857/(L857-1)-1)*(1-_xlfn.XLOOKUP(K857,'Fevereiro 2023 - Valor Real'!A3:A15,'Fevereiro 2023 - Valor Real'!C3:C15,0))+1))/(((L856-1)*(1-_xlfn.XLOOKUP(K856,'Fevereiro 2023 - Valor Real'!A3:A15,'Fevereiro 2023 - Valor Real'!C3:C15,0))+1)+((L857/(L857-1)-1)*(1-_xlfn.XLOOKUP(K857,'Fevereiro 2023 - Valor Real'!A3:A15,'Fevereiro 2023 - Valor Real'!C3:C15,0))+1)),((L857-1)*(1-_xlfn.XLOOKUP(K857,'Fevereiro 2023 - Valor Real'!A3:A15,'Fevereiro 2023 - Valor Real'!C3:C15,0))+1)/(((L857-1)*(1-_xlfn.XLOOKUP(K857,'Fevereiro 2023 - Valor Real'!A3:A15,'Fevereiro 2023 - Valor Real'!C3:C15,0))+1)+((L856-1)*(1-_xlfn.XLOOKUP(K856,'Fevereiro 2023 - Valor Real'!A3:A15,'Fevereiro 2023 - Valor Real'!C3:C15,0))+1))))))</f>
        <v>0.11817964614011042</v>
      </c>
      <c r="AF856" s="66">
        <f t="shared" si="1724"/>
        <v>0</v>
      </c>
      <c r="AG856" s="67">
        <f t="shared" si="1724"/>
        <v>0</v>
      </c>
      <c r="AH856" s="67">
        <f t="shared" si="1724"/>
        <v>0</v>
      </c>
      <c r="AI856" s="67">
        <f t="shared" si="1724"/>
        <v>0</v>
      </c>
      <c r="AJ856" s="67">
        <f t="shared" si="1724"/>
        <v>0</v>
      </c>
      <c r="AK856" s="67">
        <f t="shared" si="1724"/>
        <v>0</v>
      </c>
      <c r="AL856" s="67">
        <f t="shared" si="1724"/>
        <v>0</v>
      </c>
      <c r="AM856" s="67">
        <f t="shared" si="1724"/>
        <v>0</v>
      </c>
      <c r="AN856" s="67">
        <f t="shared" si="1724"/>
        <v>0</v>
      </c>
      <c r="AO856" s="67">
        <f t="shared" si="1724"/>
        <v>0</v>
      </c>
      <c r="AP856" s="67">
        <f t="shared" si="1724"/>
        <v>0</v>
      </c>
      <c r="AQ856" s="67">
        <f t="shared" si="1724"/>
        <v>-6.63</v>
      </c>
      <c r="AR856" s="68">
        <f t="shared" si="1724"/>
        <v>0</v>
      </c>
      <c r="AS856" s="66">
        <f t="shared" ref="AS856:BE856" si="1728">IF(AND($B856=" ",$K856=AS$3),$O856,0)</f>
        <v>0</v>
      </c>
      <c r="AT856" s="67">
        <f t="shared" si="1728"/>
        <v>0</v>
      </c>
      <c r="AU856" s="67">
        <f t="shared" si="1728"/>
        <v>0</v>
      </c>
      <c r="AV856" s="67">
        <f t="shared" si="1728"/>
        <v>0</v>
      </c>
      <c r="AW856" s="67">
        <f t="shared" si="1728"/>
        <v>0</v>
      </c>
      <c r="AX856" s="67">
        <f t="shared" si="1728"/>
        <v>0</v>
      </c>
      <c r="AY856" s="69">
        <f t="shared" si="1728"/>
        <v>0</v>
      </c>
      <c r="AZ856" s="70">
        <f t="shared" si="1728"/>
        <v>0</v>
      </c>
      <c r="BA856" s="70">
        <f t="shared" si="1728"/>
        <v>0</v>
      </c>
      <c r="BB856" s="70">
        <f t="shared" si="1728"/>
        <v>0</v>
      </c>
      <c r="BC856" s="71">
        <f t="shared" si="1728"/>
        <v>0</v>
      </c>
      <c r="BD856" s="67">
        <f t="shared" si="1728"/>
        <v>0</v>
      </c>
      <c r="BE856" s="68">
        <f t="shared" si="1728"/>
        <v>0</v>
      </c>
      <c r="BF856" s="230">
        <f t="shared" si="1726"/>
        <v>0</v>
      </c>
      <c r="BG856" s="67">
        <f t="shared" si="1726"/>
        <v>0</v>
      </c>
      <c r="BH856" s="67">
        <f t="shared" si="1726"/>
        <v>0</v>
      </c>
      <c r="BI856" s="67">
        <f t="shared" si="1726"/>
        <v>0</v>
      </c>
      <c r="BJ856" s="67">
        <f t="shared" si="1726"/>
        <v>0</v>
      </c>
      <c r="BK856" s="67">
        <f t="shared" si="1726"/>
        <v>0</v>
      </c>
      <c r="BL856" s="67">
        <f t="shared" si="1726"/>
        <v>0</v>
      </c>
      <c r="BM856" s="69">
        <f t="shared" si="1726"/>
        <v>0</v>
      </c>
      <c r="BN856" s="70">
        <f t="shared" si="1726"/>
        <v>0</v>
      </c>
      <c r="BO856" s="70">
        <f t="shared" si="1726"/>
        <v>0</v>
      </c>
      <c r="BP856" s="70">
        <f t="shared" si="1726"/>
        <v>0</v>
      </c>
      <c r="BQ856" s="71">
        <f t="shared" si="1726"/>
        <v>6.63</v>
      </c>
      <c r="BR856" s="68">
        <f t="shared" si="1726"/>
        <v>0</v>
      </c>
      <c r="BS856" s="490">
        <f>IF($B856="LOSS",IF(AND($K856=BS$3,$C856="L"),-$O856,0)+IF(AND($K857=BS$3,$C857="L"),-$O857,0)+IF(AND($K858=BS$3,$C858="L"),-$O858,0),IF(OR(AND($K856=BS$3,OR($C856="W",$C856="1/2W")),AND($K857=BS$3,OR($C857="W",$C857="1/2W")),AND($K858=BS$3,OR($C858="W",$C858="1/2W"))),$S856,0))</f>
        <v>0</v>
      </c>
      <c r="BT856" s="488">
        <f>IF($B856="LOSS",IF(AND($K856=BT$3,$C856="L"),-$O856,0)+IF(AND($K857=BT$3,$C857="L"),-$O857,0)+IF(AND($K857=BT$3,$C858="L"),-$O858,0),IF(OR(AND($K857=BT$3,OR($C856="W",$C856="1/2W")),AND($K857=BT$3,OR($C857="W",$C857="1/2W")),AND($K857=BT$3,OR($C858="W",$C858="1/2W"))),$S856,0))</f>
        <v>0</v>
      </c>
      <c r="BU856" s="488">
        <f>IF($B856="LOSS",IF(AND($K856=BU$3,$C856="L"),-$O856,0)+IF(AND($K857=BU$3,$C857="L"),-$O857,0)+IF(AND($K857=BU$3,$C858="L"),-$O858,0),IF(OR(AND($K857=BU$3,OR($C856="W",$C856="1/2W")),AND($K857=BU$3,OR($C857="W",$C857="1/2W")),AND($K857=BU$3,OR($C858="W",$C858="1/2W"))),$S856,0))</f>
        <v>0</v>
      </c>
      <c r="BV856" s="488">
        <f t="shared" ref="BV856:CE856" si="1729">IF($B856="LOSS",IF(AND($K856=BV$3,$C856="L"),-$O856,0)+IF(AND($K857=BV$3,$C857="L"),-$O857,0)+IF(AND($K858=BV$3,$C858="L"),-$O858,0),IF(OR(AND($K856=BV$3,OR($C856="W",$C856="1/2W")),AND($K857=BV$3,OR($C857="W",$C857="1/2W")),AND($K858=BV$3,OR($C858="W",$C858="1/2W"))),$S856,0))</f>
        <v>0</v>
      </c>
      <c r="BW856" s="488">
        <f t="shared" si="1729"/>
        <v>1.71</v>
      </c>
      <c r="BX856" s="488">
        <f t="shared" si="1729"/>
        <v>0</v>
      </c>
      <c r="BY856" s="488">
        <f t="shared" si="1729"/>
        <v>0</v>
      </c>
      <c r="BZ856" s="498">
        <f t="shared" si="1729"/>
        <v>0</v>
      </c>
      <c r="CA856" s="498">
        <f t="shared" si="1729"/>
        <v>0</v>
      </c>
      <c r="CB856" s="498">
        <f t="shared" si="1729"/>
        <v>0</v>
      </c>
      <c r="CC856" s="498">
        <f t="shared" si="1729"/>
        <v>0</v>
      </c>
      <c r="CD856" s="500">
        <f t="shared" si="1729"/>
        <v>0</v>
      </c>
      <c r="CE856" s="504">
        <f t="shared" si="1729"/>
        <v>0</v>
      </c>
      <c r="CF856" s="160">
        <f t="shared" si="1669"/>
        <v>0</v>
      </c>
      <c r="CG856" s="161">
        <f t="shared" si="1670"/>
        <v>0</v>
      </c>
      <c r="CH856" s="161">
        <f t="shared" si="1671"/>
        <v>0</v>
      </c>
      <c r="CI856" s="161">
        <f t="shared" si="1672"/>
        <v>0</v>
      </c>
      <c r="CJ856" s="161">
        <f t="shared" si="1673"/>
        <v>0</v>
      </c>
      <c r="CK856" s="161">
        <f t="shared" si="1674"/>
        <v>0</v>
      </c>
      <c r="CL856" s="161">
        <f t="shared" si="1675"/>
        <v>0</v>
      </c>
      <c r="CM856" s="161">
        <f t="shared" si="1676"/>
        <v>0</v>
      </c>
      <c r="CN856" s="161">
        <f t="shared" si="1677"/>
        <v>0</v>
      </c>
      <c r="CO856" s="161">
        <f t="shared" si="1678"/>
        <v>0</v>
      </c>
      <c r="CP856" s="161">
        <f t="shared" si="1679"/>
        <v>0</v>
      </c>
      <c r="CQ856" s="161">
        <f t="shared" si="1680"/>
        <v>0</v>
      </c>
      <c r="CR856" s="161">
        <f t="shared" si="1681"/>
        <v>0</v>
      </c>
      <c r="CS856" s="161">
        <f t="shared" si="1682"/>
        <v>0</v>
      </c>
      <c r="CT856" s="75">
        <f t="shared" si="1683"/>
        <v>0</v>
      </c>
      <c r="CU856" s="76">
        <f t="shared" si="1684"/>
        <v>0</v>
      </c>
      <c r="CV856" s="76">
        <f t="shared" si="1685"/>
        <v>0</v>
      </c>
      <c r="CW856" s="76">
        <f t="shared" si="1686"/>
        <v>0</v>
      </c>
      <c r="CX856" s="76">
        <f t="shared" si="1687"/>
        <v>0</v>
      </c>
      <c r="CY856" s="76">
        <f t="shared" si="1688"/>
        <v>0</v>
      </c>
      <c r="CZ856" s="76">
        <f t="shared" si="1689"/>
        <v>0</v>
      </c>
      <c r="DA856" s="76">
        <f t="shared" si="1690"/>
        <v>0</v>
      </c>
      <c r="DB856" s="76">
        <f t="shared" si="1691"/>
        <v>0</v>
      </c>
      <c r="DC856" s="76">
        <f t="shared" si="1692"/>
        <v>1</v>
      </c>
      <c r="DD856" s="76">
        <f t="shared" si="1693"/>
        <v>0</v>
      </c>
      <c r="DE856" s="77">
        <f t="shared" si="1694"/>
        <v>0</v>
      </c>
      <c r="DF856" s="73">
        <f t="shared" si="1696"/>
        <v>49</v>
      </c>
      <c r="DG856" s="67">
        <f t="shared" si="1697"/>
        <v>65.619</v>
      </c>
      <c r="DH856" s="76">
        <f t="shared" si="1698"/>
        <v>19</v>
      </c>
      <c r="DI856" s="67">
        <f t="shared" si="1699"/>
        <v>81.47</v>
      </c>
      <c r="DJ856" s="202" t="str">
        <f>IF($D856="","",$D856)</f>
        <v>29</v>
      </c>
      <c r="DK856" s="492">
        <f>IF(AND($B856=" ",$D856&lt;&gt;""),1,0)</f>
        <v>0</v>
      </c>
    </row>
    <row r="857" spans="1:115" ht="14.5" customHeight="1" x14ac:dyDescent="0.2">
      <c r="A857" s="389"/>
      <c r="B857" s="456"/>
      <c r="C857" s="53" t="s">
        <v>54</v>
      </c>
      <c r="D857" s="374"/>
      <c r="E857" s="386"/>
      <c r="F857" s="377"/>
      <c r="G857" s="483"/>
      <c r="H857" s="476"/>
      <c r="I857" s="55" t="s">
        <v>59</v>
      </c>
      <c r="J857" s="242" t="str">
        <f>IF(OR(I856="TO",I856="TU",I856="TO1",I856="TU1",I856="TO2",I856="TU2"),J856,IF(OR(I856="AH1",I856="AH2"),IF(OR(I857="AH1",I857="AH2"),-J856,IF(OR(I857="EH1",I857="EH2"),-J856+0.5,"")),IF(OR(I856="EH1",I856="EH2"),IF(OR(I857="AH1",I857="AH2"),-J856+0.5,IF(OR(I857="EH1",I857="EH2"),-J856+1,"")),IF(AND(OR(I856="DNB1",I856="DNB2"),OR(I857="AH1",I857="AH2")),0,IF(AND(I856="Not ScoreBoth",OR(I857="TO1",I857="TO2")),0.5,"")))))</f>
        <v/>
      </c>
      <c r="K857" s="232" t="s">
        <v>40</v>
      </c>
      <c r="L857" s="58">
        <v>1.27</v>
      </c>
      <c r="M857" s="59">
        <v>22</v>
      </c>
      <c r="N857" s="406"/>
      <c r="O857" s="60">
        <f>IF(OR(AE856="",AE857=""),"",ROUND(IF(L858&gt;0,IF(M857&gt;0,M857,IF(M856&gt;0,IF(N856=TRUE,ROUND((M856*AE857)/AE856,0),(M856*AE857)/AE856),IF(M857&gt;0,ROUND(M857,IF(N856=0,2,IF(N856=0.1,1,0))),IF(M858&gt;0,ROUND(O858*AE857/AE858,IF(N856=0,2,IF(N856=0.1,1,0))),0)))),IF(M857&gt;0,M857,ROUND((M856*AE857)/AE856,IF(N856=0,2,IF(N856=0.1,1,0))))),2))</f>
        <v>22</v>
      </c>
      <c r="P857" s="61">
        <f>IF(OR(L857="",O857=""),"",IF($C857="1/2W",O857/2+O857/2*L857,IF($C857="1/2L",O857/2,IF(I857="Lay",((O857*(L857/(L857-1)))-O857)*(1-_xlfn.XLOOKUP(K857,'Fevereiro 2023 - Valor Real'!A3:A15,'Fevereiro 2023 - Valor Real'!C3:C15,0))+O857,(O857*L857-O857)*(1-_xlfn.XLOOKUP(K857,'Fevereiro 2023 - Valor Real'!A3:A15,'Fevereiro 2023 - Valor Real'!C3:C15,0))+O857))))</f>
        <v>27.94</v>
      </c>
      <c r="Q857" s="233">
        <f>IF(K857="","",IF(_xlfn.XLOOKUP(K857,K$4:K856,$DJ$4:DJ856,0,,-1)=DJ857,_xlfn.XLOOKUP(K857,K$4:K856,Q$4:Q856,1,,-1)+1,1))</f>
        <v>1</v>
      </c>
      <c r="R857" s="234">
        <f>IF(K857="","",_xlfn.XLOOKUP(K857,K$4:K856,R$4:R856,0,,-1)+IF($C857=" ",1,0))</f>
        <v>0</v>
      </c>
      <c r="S857" s="403"/>
      <c r="T857" s="380"/>
      <c r="U857" s="380"/>
      <c r="V857" s="481"/>
      <c r="W857" s="380"/>
      <c r="X857" s="452"/>
      <c r="Y857" s="383"/>
      <c r="Z857" s="384"/>
      <c r="AA857" s="384"/>
      <c r="AB857" s="384"/>
      <c r="AC857" s="384"/>
      <c r="AD857" s="64">
        <f>(((L857/(L857-1)-1)*(1-_xlfn.XLOOKUP(K857,'Fevereiro 2023 - Valor Real'!A3:A15,'Fevereiro 2023 - Valor Real'!C3:C15,0))+1))</f>
        <v>4.7037037037037033</v>
      </c>
      <c r="AE857" s="65">
        <f>IF(L857="","",IF(L858&gt;0,(SUM(((L856-1)*(1-_xlfn.XLOOKUP(K856,'Fevereiro 2023 - Valor Real'!A3:A15,'Fevereiro 2023 - Valor Real'!C3:C15,0))+1),((L857-1)*(1-_xlfn.XLOOKUP(K857,'Fevereiro 2023 - Valor Real'!A3:A15,'Fevereiro 2023 - Valor Real'!C3:C15,0))+1),((L858-1)*(1-_xlfn.XLOOKUP(K858,'Fevereiro 2023 - Valor Real'!A3:A15,'Fevereiro 2023 - Valor Real'!C3:C15,0))+1))/((L857-1)*(1-_xlfn.XLOOKUP(K857,'Fevereiro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Real'!C3:C15,0))+1))/((L856-1)*(1-_xlfn.XLOOKUP(K856,'Fevereiro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Real'!C3:C15,0))+1))/((L857-1)*(1-_xlfn.XLOOKUP(K857,'Fevereiro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Real'!C3:C15,0))+1))/((L858-1)*(1-_xlfn.XLOOKUP(K858,'Fevereiro 2023 - Valor Real'!A3:A15,'Fevereiro 2023 - Valor Real'!C3:C15,0))+1)),IF(I857="Lay",IF(I856="Lay",((L856/(L856-1)-1)*(1-_xlfn.XLOOKUP(K856,'Fevereiro 2023 - Valor Real'!A3:A15,'Fevereiro 2023 - Valor Real'!C3:C15,0))+1)/(((L856/(L856-1)-1)*(1-_xlfn.XLOOKUP(K856,'Fevereiro 2023 - Valor Real'!A3:A15,'Fevereiro 2023 - Valor Real'!C3:C15,0))+1)+((L857/(L857-1)-1)*(1-_xlfn.XLOOKUP(K857,'Fevereiro 2023 - Valor Real'!A3:A15,'Fevereiro 2023 - Valor Real'!C3:C15,0))+1)),((L856-1)*(1-_xlfn.XLOOKUP(K856,'Fevereiro 2023 - Valor Real'!A3:A15,'Fevereiro 2023 - Valor Real'!C3:C15,0))+1)/(((L856-1)*(1-_xlfn.XLOOKUP(K856,'Fevereiro 2023 - Valor Real'!A3:A15,'Fevereiro 2023 - Valor Real'!C3:C15,0))+1)+((L857/(L857-1)-1)*(1-_xlfn.XLOOKUP(K857,'Fevereiro 2023 - Valor Real'!A3:A15,'Fevereiro 2023 - Valor Real'!C3:C15,0))+1))),IF(I856="Lay",((L856/(L856-1)-1)*(1-_xlfn.XLOOKUP(K856,'Fevereiro 2023 - Valor Real'!A3:A15,'Fevereiro 2023 - Valor Real'!C3:C15,0))+1)/((((L856/(L856-1)-1)*(1-_xlfn.XLOOKUP(K856,'Fevereiro 2023 - Valor Real'!A3:A15,'Fevereiro 2023 - Valor Real'!C3:C15,0))+1))+((L857-1)*(1-_xlfn.XLOOKUP(K857,'Fevereiro 2023 - Valor Real'!A3:A15,'Fevereiro 2023 - Valor Real'!C3:C15,0))+1)),((L856-1)*(1-_xlfn.XLOOKUP(K856,'Fevereiro 2023 - Valor Real'!A3:A15,'Fevereiro 2023 - Valor Real'!C3:C15,0))+1)/(((L856-1)*(1-_xlfn.XLOOKUP(K856,'Fevereiro 2023 - Valor Real'!A3:A15,'Fevereiro 2023 - Valor Real'!C3:C15,0))+1)+((L857-1)*(1-_xlfn.XLOOKUP(K857,'Fevereiro 2023 - Valor Real'!A3:A15,'Fevereiro 2023 - Valor Real'!C3:C15,0))+1))))))</f>
        <v>0.47457968135004963</v>
      </c>
      <c r="AF857" s="66">
        <f t="shared" si="1724"/>
        <v>0</v>
      </c>
      <c r="AG857" s="67">
        <f t="shared" si="1724"/>
        <v>0</v>
      </c>
      <c r="AH857" s="67">
        <f t="shared" si="1724"/>
        <v>0</v>
      </c>
      <c r="AI857" s="67">
        <f t="shared" si="1724"/>
        <v>0</v>
      </c>
      <c r="AJ857" s="67">
        <f t="shared" si="1724"/>
        <v>5.94</v>
      </c>
      <c r="AK857" s="67">
        <f t="shared" si="1724"/>
        <v>0</v>
      </c>
      <c r="AL857" s="67">
        <f t="shared" si="1724"/>
        <v>0</v>
      </c>
      <c r="AM857" s="67">
        <f t="shared" si="1724"/>
        <v>0</v>
      </c>
      <c r="AN857" s="67">
        <f t="shared" si="1724"/>
        <v>0</v>
      </c>
      <c r="AO857" s="67">
        <f t="shared" si="1724"/>
        <v>0</v>
      </c>
      <c r="AP857" s="67">
        <f t="shared" si="1724"/>
        <v>0</v>
      </c>
      <c r="AQ857" s="67">
        <f t="shared" si="1724"/>
        <v>0</v>
      </c>
      <c r="AR857" s="68">
        <f t="shared" si="1724"/>
        <v>0</v>
      </c>
      <c r="AS857" s="66">
        <f>IF(AND($B856=" ",$K857=AS$3),$O857,0)</f>
        <v>0</v>
      </c>
      <c r="AT857" s="67">
        <f>IF(AND($B856=" ",K857=AT$3),$O857,0)</f>
        <v>0</v>
      </c>
      <c r="AU857" s="67">
        <f t="shared" ref="AU857:BE857" si="1730">IF(AND($B856=" ",$K857=AU$3),$O857,0)</f>
        <v>0</v>
      </c>
      <c r="AV857" s="67">
        <f t="shared" si="1730"/>
        <v>0</v>
      </c>
      <c r="AW857" s="67">
        <f t="shared" si="1730"/>
        <v>0</v>
      </c>
      <c r="AX857" s="67">
        <f t="shared" si="1730"/>
        <v>0</v>
      </c>
      <c r="AY857" s="69">
        <f t="shared" si="1730"/>
        <v>0</v>
      </c>
      <c r="AZ857" s="70">
        <f t="shared" si="1730"/>
        <v>0</v>
      </c>
      <c r="BA857" s="70">
        <f t="shared" si="1730"/>
        <v>0</v>
      </c>
      <c r="BB857" s="70">
        <f t="shared" si="1730"/>
        <v>0</v>
      </c>
      <c r="BC857" s="71">
        <f t="shared" si="1730"/>
        <v>0</v>
      </c>
      <c r="BD857" s="67">
        <f t="shared" si="1730"/>
        <v>0</v>
      </c>
      <c r="BE857" s="68">
        <f t="shared" si="1730"/>
        <v>0</v>
      </c>
      <c r="BF857" s="66">
        <f t="shared" si="1726"/>
        <v>0</v>
      </c>
      <c r="BG857" s="67">
        <f t="shared" si="1726"/>
        <v>0</v>
      </c>
      <c r="BH857" s="67">
        <f t="shared" si="1726"/>
        <v>0</v>
      </c>
      <c r="BI857" s="67">
        <f t="shared" si="1726"/>
        <v>0</v>
      </c>
      <c r="BJ857" s="67">
        <f t="shared" si="1726"/>
        <v>22</v>
      </c>
      <c r="BK857" s="67">
        <f t="shared" si="1726"/>
        <v>0</v>
      </c>
      <c r="BL857" s="67">
        <f t="shared" si="1726"/>
        <v>0</v>
      </c>
      <c r="BM857" s="235">
        <f t="shared" si="1726"/>
        <v>0</v>
      </c>
      <c r="BN857" s="159">
        <f t="shared" si="1726"/>
        <v>0</v>
      </c>
      <c r="BO857" s="159">
        <f t="shared" si="1726"/>
        <v>0</v>
      </c>
      <c r="BP857" s="159">
        <f t="shared" si="1726"/>
        <v>0</v>
      </c>
      <c r="BQ857" s="71">
        <f t="shared" si="1726"/>
        <v>0</v>
      </c>
      <c r="BR857" s="68">
        <f t="shared" si="1726"/>
        <v>0</v>
      </c>
      <c r="BS857" s="464"/>
      <c r="BT857" s="461"/>
      <c r="BU857" s="392"/>
      <c r="BV857" s="461"/>
      <c r="BW857" s="392"/>
      <c r="BX857" s="392"/>
      <c r="BY857" s="392"/>
      <c r="BZ857" s="461"/>
      <c r="CA857" s="392"/>
      <c r="CB857" s="392"/>
      <c r="CC857" s="392"/>
      <c r="CD857" s="401"/>
      <c r="CE857" s="409"/>
      <c r="CF857" s="236">
        <f t="shared" si="1669"/>
        <v>0</v>
      </c>
      <c r="CG857" s="237">
        <f t="shared" si="1670"/>
        <v>0</v>
      </c>
      <c r="CH857" s="237">
        <f t="shared" si="1671"/>
        <v>0</v>
      </c>
      <c r="CI857" s="237">
        <f t="shared" si="1672"/>
        <v>0</v>
      </c>
      <c r="CJ857" s="237">
        <f t="shared" si="1673"/>
        <v>0</v>
      </c>
      <c r="CK857" s="237">
        <f t="shared" si="1674"/>
        <v>0</v>
      </c>
      <c r="CL857" s="237">
        <f t="shared" si="1675"/>
        <v>0</v>
      </c>
      <c r="CM857" s="237">
        <f t="shared" si="1676"/>
        <v>0</v>
      </c>
      <c r="CN857" s="237">
        <f t="shared" si="1677"/>
        <v>1</v>
      </c>
      <c r="CO857" s="237">
        <f t="shared" si="1678"/>
        <v>0</v>
      </c>
      <c r="CP857" s="237">
        <f t="shared" si="1679"/>
        <v>0</v>
      </c>
      <c r="CQ857" s="237">
        <f t="shared" si="1680"/>
        <v>0</v>
      </c>
      <c r="CR857" s="237">
        <f t="shared" si="1681"/>
        <v>0</v>
      </c>
      <c r="CS857" s="237">
        <f t="shared" si="1682"/>
        <v>0</v>
      </c>
      <c r="CT857" s="75">
        <f t="shared" si="1683"/>
        <v>0</v>
      </c>
      <c r="CU857" s="76">
        <f t="shared" si="1684"/>
        <v>0</v>
      </c>
      <c r="CV857" s="76">
        <f t="shared" si="1685"/>
        <v>0</v>
      </c>
      <c r="CW857" s="76">
        <f t="shared" si="1686"/>
        <v>0</v>
      </c>
      <c r="CX857" s="76">
        <f t="shared" si="1687"/>
        <v>0</v>
      </c>
      <c r="CY857" s="76">
        <f t="shared" si="1688"/>
        <v>0</v>
      </c>
      <c r="CZ857" s="76">
        <f t="shared" si="1689"/>
        <v>0</v>
      </c>
      <c r="DA857" s="76">
        <f t="shared" si="1690"/>
        <v>0</v>
      </c>
      <c r="DB857" s="76">
        <f t="shared" si="1691"/>
        <v>0</v>
      </c>
      <c r="DC857" s="76">
        <f t="shared" si="1692"/>
        <v>0</v>
      </c>
      <c r="DD857" s="76">
        <f t="shared" si="1693"/>
        <v>0</v>
      </c>
      <c r="DE857" s="77">
        <f t="shared" si="1694"/>
        <v>0</v>
      </c>
      <c r="DF857" s="73">
        <f t="shared" si="1696"/>
        <v>50</v>
      </c>
      <c r="DG857" s="67">
        <f t="shared" si="1697"/>
        <v>66.888999999999996</v>
      </c>
      <c r="DH857" s="76">
        <f t="shared" si="1698"/>
        <v>19</v>
      </c>
      <c r="DI857" s="67">
        <f t="shared" si="1699"/>
        <v>81.47</v>
      </c>
      <c r="DJ857" s="202" t="str">
        <f>IF($D856="","",$D856)</f>
        <v>29</v>
      </c>
      <c r="DK857" s="466"/>
    </row>
    <row r="858" spans="1:115" ht="14.5" customHeight="1" x14ac:dyDescent="0.2">
      <c r="A858" s="390"/>
      <c r="B858" s="457"/>
      <c r="C858" s="79" t="s">
        <v>54</v>
      </c>
      <c r="D858" s="375"/>
      <c r="E858" s="387"/>
      <c r="F858" s="378"/>
      <c r="G858" s="484"/>
      <c r="H858" s="477"/>
      <c r="I858" s="250">
        <v>1</v>
      </c>
      <c r="J858" s="83"/>
      <c r="K858" s="245" t="s">
        <v>40</v>
      </c>
      <c r="L858" s="246">
        <v>1.48</v>
      </c>
      <c r="M858" s="85">
        <v>5</v>
      </c>
      <c r="N858" s="407"/>
      <c r="O858" s="187">
        <f>IF(OR(AE856="",AE857=""),"",IF(L858&gt;0,ROUND(IF(M858&gt;0,M858,IF(M856&gt;0,ROUND((M856*AE858)/AE856,IF(N856=0,2,IF(N856=0.1,1,0))),IF(M857&gt;0,ROUND((M857*AE858)/AE857,IF(N856=0,2,IF(N856=0.1,1,0))),IF(M858&gt;0,M858,0)))),2),""))</f>
        <v>5</v>
      </c>
      <c r="P858" s="188">
        <f>IF(I857="Lay",O857*(L857/(L857-1))-O857,IF(I856="Lay",O856*(L856/(L856-1))-O856,IF(OR(L858="",O858=""),"",IF($C858="1/2W",O858/2+O858/2*L858,IF($C858="1/2L",O858/2,(O858*L858-O858)*(1-_xlfn.XLOOKUP(K858,'Fevereiro 2023 - Valor Real'!A3:A15,'Fevereiro 2023 - Valor Real'!C3:C15,0))+O858)))))</f>
        <v>7.4</v>
      </c>
      <c r="Q858" s="233">
        <f>IF(K858="","",IF(_xlfn.XLOOKUP(K858,K$4:K857,$DJ$4:DJ857,0,,-1)=DJ858,_xlfn.XLOOKUP(K858,K$4:K857,Q$4:Q857,1,,-1)+1,1))</f>
        <v>2</v>
      </c>
      <c r="R858" s="247">
        <f>IF(K858="","",_xlfn.XLOOKUP(K858,K$4:K857,R$4:R857,0,,-1)+IF($C858=" ",1,0))</f>
        <v>0</v>
      </c>
      <c r="S858" s="404"/>
      <c r="T858" s="378"/>
      <c r="U858" s="378"/>
      <c r="V858" s="404"/>
      <c r="W858" s="378"/>
      <c r="X858" s="453"/>
      <c r="Y858" s="383"/>
      <c r="Z858" s="384"/>
      <c r="AA858" s="384"/>
      <c r="AB858" s="384"/>
      <c r="AC858" s="384"/>
      <c r="AD858" s="240">
        <f>((L857/(L857-1)-1))</f>
        <v>3.7037037037037033</v>
      </c>
      <c r="AE858" s="190">
        <f>IF(L858="","",(SUM(((L856-1)*(1-_xlfn.XLOOKUP(K856,'Fevereiro 2023 - Valor Real'!A3:A15,'Fevereiro 2023 - Valor Real'!C3:C15,0))+1),((L857-1)*(1-_xlfn.XLOOKUP(K857,'Fevereiro 2023 - Valor Real'!A3:A15,'Fevereiro 2023 - Valor Real'!C3:C15,0))+1),((L858-1)*(1-_xlfn.XLOOKUP(K858,'Fevereiro 2023 - Valor Real'!A3:A15,'Fevereiro 2023 - Valor Real'!C3:C15,0))+1))/((L858-1)*(1-_xlfn.XLOOKUP(K858,'Fevereiro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Real'!C3:C15,0))+1))/((L856-1)*(1-_xlfn.XLOOKUP(K856,'Fevereiro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Real'!C3:C15,0))+1))/((L857-1)*(1-_xlfn.XLOOKUP(K857,'Fevereiro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Real'!C3:C15,0))+1))/((L858-1)*(1-_xlfn.XLOOKUP(K858,'Fevereiro 2023 - Valor Real'!A3:A15,'Fevereiro 2023 - Valor Real'!C3:C15,0))+1)))</f>
        <v>0.40724067250983986</v>
      </c>
      <c r="AF858" s="66">
        <f t="shared" si="1724"/>
        <v>0</v>
      </c>
      <c r="AG858" s="67">
        <f t="shared" si="1724"/>
        <v>0</v>
      </c>
      <c r="AH858" s="67">
        <f t="shared" si="1724"/>
        <v>0</v>
      </c>
      <c r="AI858" s="67">
        <f t="shared" si="1724"/>
        <v>0</v>
      </c>
      <c r="AJ858" s="67">
        <f t="shared" si="1724"/>
        <v>2.4</v>
      </c>
      <c r="AK858" s="67">
        <f t="shared" si="1724"/>
        <v>0</v>
      </c>
      <c r="AL858" s="67">
        <f t="shared" si="1724"/>
        <v>0</v>
      </c>
      <c r="AM858" s="67">
        <f t="shared" si="1724"/>
        <v>0</v>
      </c>
      <c r="AN858" s="67">
        <f t="shared" si="1724"/>
        <v>0</v>
      </c>
      <c r="AO858" s="67">
        <f t="shared" si="1724"/>
        <v>0</v>
      </c>
      <c r="AP858" s="67">
        <f t="shared" si="1724"/>
        <v>0</v>
      </c>
      <c r="AQ858" s="67">
        <f t="shared" si="1724"/>
        <v>0</v>
      </c>
      <c r="AR858" s="68">
        <f t="shared" si="1724"/>
        <v>0</v>
      </c>
      <c r="AS858" s="66">
        <f>IF(AND($B856=" ",$K858=AS$3),$O858,0)</f>
        <v>0</v>
      </c>
      <c r="AT858" s="67">
        <f>IF(AND($B856=" ",K858=AT$3),$O858,0)</f>
        <v>0</v>
      </c>
      <c r="AU858" s="67">
        <f t="shared" ref="AU858:BE858" si="1731">IF(AND($B856=" ",$K858=AU$3),$O858,0)</f>
        <v>0</v>
      </c>
      <c r="AV858" s="67">
        <f t="shared" si="1731"/>
        <v>0</v>
      </c>
      <c r="AW858" s="67">
        <f t="shared" si="1731"/>
        <v>0</v>
      </c>
      <c r="AX858" s="67">
        <f t="shared" si="1731"/>
        <v>0</v>
      </c>
      <c r="AY858" s="69">
        <f t="shared" si="1731"/>
        <v>0</v>
      </c>
      <c r="AZ858" s="70">
        <f t="shared" si="1731"/>
        <v>0</v>
      </c>
      <c r="BA858" s="70">
        <f t="shared" si="1731"/>
        <v>0</v>
      </c>
      <c r="BB858" s="70">
        <f t="shared" si="1731"/>
        <v>0</v>
      </c>
      <c r="BC858" s="71">
        <f t="shared" si="1731"/>
        <v>0</v>
      </c>
      <c r="BD858" s="67">
        <f t="shared" si="1731"/>
        <v>0</v>
      </c>
      <c r="BE858" s="68">
        <f t="shared" si="1731"/>
        <v>0</v>
      </c>
      <c r="BF858" s="66">
        <f t="shared" si="1726"/>
        <v>0</v>
      </c>
      <c r="BG858" s="67">
        <f t="shared" si="1726"/>
        <v>0</v>
      </c>
      <c r="BH858" s="67">
        <f t="shared" si="1726"/>
        <v>0</v>
      </c>
      <c r="BI858" s="67">
        <f t="shared" si="1726"/>
        <v>0</v>
      </c>
      <c r="BJ858" s="67">
        <f t="shared" si="1726"/>
        <v>5</v>
      </c>
      <c r="BK858" s="67">
        <f t="shared" si="1726"/>
        <v>0</v>
      </c>
      <c r="BL858" s="67">
        <f t="shared" si="1726"/>
        <v>0</v>
      </c>
      <c r="BM858" s="69">
        <f t="shared" si="1726"/>
        <v>0</v>
      </c>
      <c r="BN858" s="70">
        <f t="shared" si="1726"/>
        <v>0</v>
      </c>
      <c r="BO858" s="70">
        <f t="shared" si="1726"/>
        <v>0</v>
      </c>
      <c r="BP858" s="70">
        <f t="shared" si="1726"/>
        <v>0</v>
      </c>
      <c r="BQ858" s="71">
        <f t="shared" si="1726"/>
        <v>0</v>
      </c>
      <c r="BR858" s="68">
        <f t="shared" si="1726"/>
        <v>0</v>
      </c>
      <c r="BS858" s="464"/>
      <c r="BT858" s="461"/>
      <c r="BU858" s="392"/>
      <c r="BV858" s="461"/>
      <c r="BW858" s="392"/>
      <c r="BX858" s="392"/>
      <c r="BY858" s="392"/>
      <c r="BZ858" s="461"/>
      <c r="CA858" s="392"/>
      <c r="CB858" s="392"/>
      <c r="CC858" s="392"/>
      <c r="CD858" s="401"/>
      <c r="CE858" s="409"/>
      <c r="CF858" s="236">
        <f t="shared" si="1669"/>
        <v>0</v>
      </c>
      <c r="CG858" s="237">
        <f t="shared" si="1670"/>
        <v>0</v>
      </c>
      <c r="CH858" s="237">
        <f t="shared" si="1671"/>
        <v>0</v>
      </c>
      <c r="CI858" s="237">
        <f t="shared" si="1672"/>
        <v>0</v>
      </c>
      <c r="CJ858" s="237">
        <f t="shared" si="1673"/>
        <v>0</v>
      </c>
      <c r="CK858" s="237">
        <f t="shared" si="1674"/>
        <v>0</v>
      </c>
      <c r="CL858" s="237">
        <f t="shared" si="1675"/>
        <v>0</v>
      </c>
      <c r="CM858" s="237">
        <f t="shared" si="1676"/>
        <v>0</v>
      </c>
      <c r="CN858" s="237">
        <f t="shared" si="1677"/>
        <v>1</v>
      </c>
      <c r="CO858" s="237">
        <f t="shared" si="1678"/>
        <v>0</v>
      </c>
      <c r="CP858" s="237">
        <f t="shared" si="1679"/>
        <v>0</v>
      </c>
      <c r="CQ858" s="237">
        <f t="shared" si="1680"/>
        <v>0</v>
      </c>
      <c r="CR858" s="237">
        <f t="shared" si="1681"/>
        <v>0</v>
      </c>
      <c r="CS858" s="237">
        <f t="shared" si="1682"/>
        <v>0</v>
      </c>
      <c r="CT858" s="75">
        <f t="shared" si="1683"/>
        <v>0</v>
      </c>
      <c r="CU858" s="76">
        <f t="shared" si="1684"/>
        <v>0</v>
      </c>
      <c r="CV858" s="76">
        <f t="shared" si="1685"/>
        <v>0</v>
      </c>
      <c r="CW858" s="76">
        <f t="shared" si="1686"/>
        <v>0</v>
      </c>
      <c r="CX858" s="76">
        <f t="shared" si="1687"/>
        <v>0</v>
      </c>
      <c r="CY858" s="76">
        <f t="shared" si="1688"/>
        <v>0</v>
      </c>
      <c r="CZ858" s="76">
        <f t="shared" si="1689"/>
        <v>0</v>
      </c>
      <c r="DA858" s="76">
        <f t="shared" si="1690"/>
        <v>0</v>
      </c>
      <c r="DB858" s="76">
        <f t="shared" si="1691"/>
        <v>0</v>
      </c>
      <c r="DC858" s="76">
        <f t="shared" si="1692"/>
        <v>0</v>
      </c>
      <c r="DD858" s="76">
        <f t="shared" si="1693"/>
        <v>0</v>
      </c>
      <c r="DE858" s="77">
        <f t="shared" si="1694"/>
        <v>0</v>
      </c>
      <c r="DF858" s="73">
        <f t="shared" si="1696"/>
        <v>51</v>
      </c>
      <c r="DG858" s="67">
        <f t="shared" si="1697"/>
        <v>68.369</v>
      </c>
      <c r="DH858" s="76">
        <f t="shared" si="1698"/>
        <v>19</v>
      </c>
      <c r="DI858" s="67">
        <f t="shared" si="1699"/>
        <v>81.47</v>
      </c>
      <c r="DJ858" s="202" t="str">
        <f>IF($D856="","",$D856)</f>
        <v>29</v>
      </c>
      <c r="DK858" s="466"/>
    </row>
    <row r="859" spans="1:115" ht="14.5" customHeight="1" x14ac:dyDescent="0.2">
      <c r="A859" s="459">
        <f>$A856+1</f>
        <v>286</v>
      </c>
      <c r="B859" s="507" t="str">
        <f>IF(OR(C859="W",C860="W",C861="W",C859="1/2W",C860="1/2W",C861="1/2W",C859="1/2L",C860="1/2L",C861="1/2L"),"OK",IF(OR(C859="L",C860="L",C861="L"),"LOSS",IF(OR(C859="X",C860="X",C861="X"),"Anulado"," ")))</f>
        <v>OK</v>
      </c>
      <c r="C859" s="93" t="s">
        <v>55</v>
      </c>
      <c r="D859" s="468" t="str">
        <f>IF(G859="","",$D856)</f>
        <v>29</v>
      </c>
      <c r="E859" s="485" t="str">
        <f>IF(G859=""," ","– "&amp;COUNTIF(D$4:D861,$D859))</f>
        <v>– 3</v>
      </c>
      <c r="F859" s="509" t="str">
        <f ca="1">IF(G859="","",IF(OR(AND($C859&lt;&gt;" ",$C860=" "),AND($C860&lt;&gt;" ",$C859=" "),AND(L861&gt;0,OR(AND($C861&lt;&gt;" ",OR($C859=" ",$C860=" ")),AND($C861=" ",OR($C859&lt;&gt;" ",$C860&lt;&gt;" "))))),IF(SUM(F$4:F858)=0,1,LARGE(F$4:F858,1)+1),IF(MONTH(G859)=MONTH(TODAY()),IF(AND(DAY(G859)&lt;DAY(TODAY()),$B859=" "),IF(SUM(F$4:F858)=0,1,LARGE(F$4:F858,1)+1),IF($B859=" ",IF(AND(DAY(G859)=DAY(TODAY()),HOUR(G859)&lt;=HOUR(NOW())+1),IF(AND(HOUR(G859)+2&lt;=HOUR(NOW()),DAY(G859)&lt;=DAY(TODAY()),MINUTE(G859)&lt;=MINUTE(NOW())),IF(SUM(F$4:F858)=0,1,LARGE(F$4:F858,1)+1),IF(OR(MINUTE(G859)&lt;=MINUTE(NOW()),HOUR(G859)&lt;=HOUR(NOW())),"!!!","")),""),"")),"")))</f>
        <v/>
      </c>
      <c r="G859" s="482">
        <v>45014.333333333336</v>
      </c>
      <c r="H859" s="475" t="s">
        <v>288</v>
      </c>
      <c r="I859" s="94" t="s">
        <v>76</v>
      </c>
      <c r="J859" s="95">
        <v>0.5</v>
      </c>
      <c r="K859" s="96" t="s">
        <v>43</v>
      </c>
      <c r="L859" s="97">
        <v>2.19</v>
      </c>
      <c r="M859" s="98">
        <v>9.27</v>
      </c>
      <c r="N859" s="478">
        <v>0</v>
      </c>
      <c r="O859" s="99">
        <f>IF(OR(AE859="",AE860=""),"",ROUND(IF(L861&gt;0,IF(M859&gt;0,M859,IF(M860&gt;0,ROUND((M860*AE859)/AE860,IF(N859=0,2,IF(N859=0.1,1,0))),ROUND((M861*AE859)/AE861,IF(N859=0,2,IF(N859=0.1,1,0))))),IF(M859&gt;0,M859,ROUND((M860*AE859)/AE860,IF(N859=0,2,IF(N859=0.1,1,0))))),2))</f>
        <v>9.27</v>
      </c>
      <c r="P859" s="100">
        <f>IF(OR(L859="",O859=""),"",IF($C859="1/2W",O859/2+O859/2*L859,IF($C859="1/2L",O859/2,IF(I859="Lay",(O859*(L859/(L859-1))-O859)*(1-_xlfn.XLOOKUP(K859,'Fevereiro 2023 - Valor Real'!A3:A15,'Fevereiro 2023 - Valor Real'!C3:C15,0))+O859,(O859*L859-O859)*(1-_xlfn.XLOOKUP(K859,'Fevereiro 2023 - Valor Real'!A3:A15,'Fevereiro 2023 - Valor Real'!C3:C15,0))+O859))))</f>
        <v>20.301299999999998</v>
      </c>
      <c r="Q859" s="101">
        <f>IF(K859="","",IF(_xlfn.XLOOKUP(K859,K$4:K858,$DJ$4:DJ858,0,,-1)=DJ859,_xlfn.XLOOKUP(K859,K$4:K858,Q$4:Q858,1,,-1)+1,1))</f>
        <v>2</v>
      </c>
      <c r="R859" s="102">
        <f>IF(K859="","",_xlfn.XLOOKUP(K859,K$4:K858,R$4:R858,0,,-1)+IF($C859=" ",1,0))</f>
        <v>0</v>
      </c>
      <c r="S859" s="474">
        <f>IF($B859="Anulado",0,ROUND(IF(OR($B859="LOSS",$B859="OK"),IF(OR($C859="W",$C859="1/2W",$C859="1/2L"),P859-O859,IF($C859="L",-O859,0))+IF(OR($C860="W",$C860="1/2W",$C860="1/2L"),P860-O860,IF($C860="L",-O860,0))+IF(OR($C861="W",$C861="1/2W",$C861="1/2L"),P861-O861,IF($C861="L",-O861,0)),IF(AND(OR($C859="W",$C859="1/2W",$C859="1/2L"),C860="W"),P859+P860-SUM(O859:O861)+_xlfn.XLOOKUP("X",C859:C861,O859:O861,0),IF(AND(C859=TRUE,C861="W"),P859+P861-SUM(O859:O861),IF(AND(C860="W",C861="W"),P860+P861-SUM(O859:O861)+_xlfn.XLOOKUP("X",C859:C861,O859:O861,0),IF(L861&gt;0,IF(OR($C859="W",$C859="1/2W",$C859="1/2L"),P859-SUM(O859:O861)+_xlfn.XLOOKUP("X",C859:C861,O859:O861,0),IF(OR($C859="W",$C859="1/2W",$C859="1/2L"),P860-SUM(O859:O861)+_xlfn.XLOOKUP("X",C859:C861,O859:O861,0),IF(OR($C859="W",$C859="1/2W",$C859="1/2L"),P861-SUM(O859:O861)+_xlfn.XLOOKUP("X",C859:C861,O859:O861,0),IF(SUM(P859:P861)/3-SUM(O859:O861)+_xlfn.XLOOKUP("X",C859:C861,O859:O861,0)&gt;0,SUM(P859:P861)/3-SUM(O859:O861)+_xlfn.XLOOKUP("X",C859:C861,O859:O861,0),LARGE(P859:P861,1)-SUM(O859:O861))))),IF(OR($C859="W",$C859="1/2W",$C859="1/2L"),P859-SUM(O859:O860)+_xlfn.XLOOKUP("X",C859:C861,O859:O861,0),IF(OR($C859="W",$C859="1/2W",$C859="1/2L"),P860-SUM(O859:O860)+_xlfn.XLOOKUP("X",C859:C861,O859:O861,0),SUM(P859:P860)/2-SUM(O859:O860)+_xlfn.XLOOKUP("X",C859:C861,O859:O861,0)))))))),2))</f>
        <v>1.98</v>
      </c>
      <c r="T859" s="458">
        <f>IF(S859=0,0,S859/SUM(O859:O861))</f>
        <v>0.10796074154852781</v>
      </c>
      <c r="U859" s="470">
        <f>IF($D859=$D856,IF(OR($B859="LOSS",$B859="OK",$B859="Anulada"),S859,0)+U856,IF(OR($B859="LOSS",$B859="OK",$B859="Anulada"),S859,0))</f>
        <v>4.26</v>
      </c>
      <c r="V859" s="470">
        <f>IF($D859="",0,IF($D859=$D856,IF($B859=" ",IF(I861="",IF(OR(AND(I859="DNB1",I860="DNB2"),AND(OR(I859="DNB1",I859="DNB2"),J860=0),AND(OR(I860="DNB1",I860="DNB2"),J859=0),AND(I859="DNB2",I860="DNB1"),AND(IF(J859=0,(J859+1)/ROUND(J859+1,0),J859/ROUND(J859,0))=1,IF(J860=0,(J860+1)/ROUND(IF(J860="",0,J860)+1,0),IF(J860="",0,J860)/ROUND(IF(J860="",1,J860),0))=1,OR(J859&lt;&gt;""),J860&lt;&gt;"")),0,IF(S859&lt;0,IF(I861="",SMALL(P859:P860,1)-SUM(O859:O860),0),SMALL(P859:P860,1)-SUM(O859:O860))),IF(S859&lt;0,IF(I861="",SMALL(P859:P861,1)-SUM(O859:O861),0),LARGE(P859:P861,1)-SUM(O859:O861))),S859)+V856,IF(I861="",IF(OR(AND(I859="DNB1",I860="DNB2"),AND(OR(I859="DNB1",I859="DNB2"),J860=0),AND(OR(I860="DNB1",I860="DNB2"),J859=0),AND(I859="DNB2",I860="DNB1"),AND(IF(J859=0,(J859+1)/ROUND(J859+1,0),J859/ROUND(J859,0))=1,IF(J860=0,(IF(J860="",0,J860)+1)/ROUND(IF(J860="",0,J860)+1,0),IF(J860="",0,J860)/ROUND(IF(J860="",0,J860)+1,0))=1,OR(J859&lt;&gt;""),J860&lt;&gt;"")),0,IF(S859&lt;0,IF(I861="",SMALL(P859:P860,1)-SUM(O859:O860),0),SMALL(P859:P861,1)-SUM(O859:O861))),IF(S859&lt;0,IF(I861="",SMALL(P859:P861,1)-SUM(O859:O861),0),LARGE(P859:P861,1)-SUM(O859:O861)))))</f>
        <v>4.2562000000000015</v>
      </c>
      <c r="W859" s="470">
        <f>IF($D859=$D856,IF(S859&lt;0,IF(I861="",S859,0),S859)+W856,S859)</f>
        <v>4.26</v>
      </c>
      <c r="X859" s="480" t="str">
        <f>IF(OR(SUM(R859:R861)=0,V859=W859),ROUND(IF(W859=0,0,W859/Y859)*100,2)&amp;"%",ROUND(IF(V859=0,0,V859/Y859)*100,2)&amp;"% a "&amp;ROUND(IF(W859=0,0,W859/Y859)*100,2)&amp;"%")</f>
        <v>6,25%</v>
      </c>
      <c r="Y859" s="471">
        <f>IF($D859=$D856,Y856+SUM(O859:O861),SUM(O859:O861))</f>
        <v>68.13</v>
      </c>
      <c r="Z859" s="470">
        <f>IF($B859=" ",SUM(O859:O861),0)+Z856</f>
        <v>0</v>
      </c>
      <c r="AA859" s="470">
        <f>IF(G859="","",IF($B859="Anulado",LARGE(P859:P861,1)-SUM(O859:O861)+AA856,AA856))</f>
        <v>13.381099999999991</v>
      </c>
      <c r="AB859" s="470">
        <f>IF($D859="","",AB856+S859)</f>
        <v>987.95000000000095</v>
      </c>
      <c r="AC859" s="472">
        <f ca="1">IF($D859="","",IF($B859=" ",IF(DAY(G859)=DAY(TODAY()),1+AC856,0+AC856),0+AC856))</f>
        <v>0</v>
      </c>
      <c r="AD859" s="103">
        <f>(((L860/(L860-1)-1)*(1-_xlfn.XLOOKUP(K860,'Fevereiro 2023 - Valor Real'!A3:A15,'Fevereiro 2023 - Valor Real'!C3:C15,0))+1))/(((L859-1)*(1-_xlfn.XLOOKUP(K859,'Fevereiro 2023 - Valor Real'!A3:A15,'Fevereiro 2023 - Valor Real'!C3:C15,0))+1)+((L860/(L860-1)-1)*(1-_xlfn.XLOOKUP(K860,'Fevereiro 2023 - Valor Real'!A3:A15,'Fevereiro 2023 - Valor Real'!C3:C15,0))+1))</f>
        <v>0.45201388328355802</v>
      </c>
      <c r="AE859" s="104">
        <f>IF(L859="","",IF(L861&gt;0,(SUM(((L859-1)*(1-_xlfn.XLOOKUP(K859,'Fevereiro 2023 - Valor Real'!A3:A15,'Fevereiro 2023 - Valor Real'!C3:C15,0))+1),((L860-1)*(1-_xlfn.XLOOKUP(K860,'Fevereiro 2023 - Valor Real'!A3:A15,'Fevereiro 2023 - Valor Real'!C3:C15,0))+1),((L861-1)*(1-_xlfn.XLOOKUP(K861,'Fevereiro 2023 - Valor Real'!A3:A15,'Fevereiro 2023 - Valor Real'!C3:C15,0))+1))/((L859-1)*(1-_xlfn.XLOOKUP(K859,'Fevereiro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Real'!C3:C15,0))+1))/((L859-1)*(1-_xlfn.XLOOKUP(K859,'Fevereiro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Real'!C3:C15,0))+1))/((L860-1)*(1-_xlfn.XLOOKUP(K860,'Fevereiro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Real'!C3:C15,0))+1))/((L861-1)*(1-_xlfn.XLOOKUP(K861,'Fevereiro 2023 - Valor Real'!A3:A15,'Fevereiro 2023 - Valor Real'!C3:C15,0))+1)),IF(I859="Lay",IF(I860="Lay",((L860/(L860-1)-1)*(1-_xlfn.XLOOKUP(K860,'Fevereiro 2023 - Valor Real'!A3:A15,'Fevereiro 2023 - Valor Real'!C3:C15,0))+1)/(((L860/(L860-1)-1)*(1-_xlfn.XLOOKUP(K860,'Fevereiro 2023 - Valor Real'!A3:A15,'Fevereiro 2023 - Valor Real'!C3:C15,0))+1)+((L859/(L859-1)-1)*(1-_xlfn.XLOOKUP(K859,'Fevereiro 2023 - Valor Real'!A3:A15,'Fevereiro 2023 - Valor Real'!C3:C15,0))+1)),((L860-1)*(1-_xlfn.XLOOKUP(K860,'Fevereiro 2023 - Valor Real'!A3:A15,'Fevereiro 2023 - Valor Real'!C3:C15,0))+1)/(((L860-1)*(1-_xlfn.XLOOKUP(K860,'Fevereiro 2023 - Valor Real'!A3:A15,'Fevereiro 2023 - Valor Real'!C3:C15,0))+1)+((L859/(L859-1)-1)*(1-_xlfn.XLOOKUP(K859,'Fevereiro 2023 - Valor Real'!A3:A15,'Fevereiro 2023 - Valor Real'!C3:C15,0))+1))),IF(I860="Lay",(((L860/(L860-1)-1)*(1-_xlfn.XLOOKUP(K860,'Fevereiro 2023 - Valor Real'!A3:A15,'Fevereiro 2023 - Valor Real'!C3:C15,0))+1))/(((L859-1)*(1-_xlfn.XLOOKUP(K859,'Fevereiro 2023 - Valor Real'!A3:A15,'Fevereiro 2023 - Valor Real'!C3:C15,0))+1)+((L860/(L860-1)-1)*(1-_xlfn.XLOOKUP(K860,'Fevereiro 2023 - Valor Real'!A3:A15,'Fevereiro 2023 - Valor Real'!C3:C15,0))+1)),((L860-1)*(1-_xlfn.XLOOKUP(K860,'Fevereiro 2023 - Valor Real'!A3:A15,'Fevereiro 2023 - Valor Real'!C3:C15,0))+1)/(((L860-1)*(1-_xlfn.XLOOKUP(K860,'Fevereiro 2023 - Valor Real'!A3:A15,'Fevereiro 2023 - Valor Real'!C3:C15,0))+1)+((L859-1)*(1-_xlfn.XLOOKUP(K859,'Fevereiro 2023 - Valor Real'!A3:A15,'Fevereiro 2023 - Valor Real'!C3:C15,0))+1))))))</f>
        <v>0.50564334085778784</v>
      </c>
      <c r="AF859" s="105">
        <f t="shared" si="1724"/>
        <v>0</v>
      </c>
      <c r="AG859" s="106">
        <f t="shared" si="1724"/>
        <v>0</v>
      </c>
      <c r="AH859" s="106">
        <f t="shared" si="1724"/>
        <v>0</v>
      </c>
      <c r="AI859" s="106">
        <f t="shared" si="1724"/>
        <v>0</v>
      </c>
      <c r="AJ859" s="106">
        <f t="shared" si="1724"/>
        <v>0</v>
      </c>
      <c r="AK859" s="106">
        <f t="shared" si="1724"/>
        <v>0</v>
      </c>
      <c r="AL859" s="106">
        <f t="shared" si="1724"/>
        <v>0</v>
      </c>
      <c r="AM859" s="106">
        <f t="shared" si="1724"/>
        <v>-9.27</v>
      </c>
      <c r="AN859" s="106">
        <f t="shared" si="1724"/>
        <v>0</v>
      </c>
      <c r="AO859" s="106">
        <f t="shared" si="1724"/>
        <v>0</v>
      </c>
      <c r="AP859" s="106">
        <f t="shared" si="1724"/>
        <v>0</v>
      </c>
      <c r="AQ859" s="106">
        <f t="shared" si="1724"/>
        <v>0</v>
      </c>
      <c r="AR859" s="107">
        <f t="shared" si="1724"/>
        <v>0</v>
      </c>
      <c r="AS859" s="105">
        <f t="shared" ref="AS859:BE859" si="1732">IF(AND($B859=" ",$K859=AS$3),$O859,0)</f>
        <v>0</v>
      </c>
      <c r="AT859" s="106">
        <f t="shared" si="1732"/>
        <v>0</v>
      </c>
      <c r="AU859" s="106">
        <f t="shared" si="1732"/>
        <v>0</v>
      </c>
      <c r="AV859" s="106">
        <f t="shared" si="1732"/>
        <v>0</v>
      </c>
      <c r="AW859" s="106">
        <f t="shared" si="1732"/>
        <v>0</v>
      </c>
      <c r="AX859" s="106">
        <f t="shared" si="1732"/>
        <v>0</v>
      </c>
      <c r="AY859" s="108">
        <f t="shared" si="1732"/>
        <v>0</v>
      </c>
      <c r="AZ859" s="109">
        <f t="shared" si="1732"/>
        <v>0</v>
      </c>
      <c r="BA859" s="109">
        <f t="shared" si="1732"/>
        <v>0</v>
      </c>
      <c r="BB859" s="109">
        <f t="shared" si="1732"/>
        <v>0</v>
      </c>
      <c r="BC859" s="110">
        <f t="shared" si="1732"/>
        <v>0</v>
      </c>
      <c r="BD859" s="106">
        <f t="shared" si="1732"/>
        <v>0</v>
      </c>
      <c r="BE859" s="107">
        <f t="shared" si="1732"/>
        <v>0</v>
      </c>
      <c r="BF859" s="111">
        <f t="shared" si="1726"/>
        <v>0</v>
      </c>
      <c r="BG859" s="106">
        <f t="shared" si="1726"/>
        <v>0</v>
      </c>
      <c r="BH859" s="106">
        <f t="shared" si="1726"/>
        <v>0</v>
      </c>
      <c r="BI859" s="106">
        <f t="shared" si="1726"/>
        <v>0</v>
      </c>
      <c r="BJ859" s="106">
        <f t="shared" si="1726"/>
        <v>0</v>
      </c>
      <c r="BK859" s="106">
        <f t="shared" si="1726"/>
        <v>0</v>
      </c>
      <c r="BL859" s="106">
        <f t="shared" si="1726"/>
        <v>0</v>
      </c>
      <c r="BM859" s="108">
        <f t="shared" si="1726"/>
        <v>9.27</v>
      </c>
      <c r="BN859" s="109">
        <f t="shared" si="1726"/>
        <v>0</v>
      </c>
      <c r="BO859" s="109">
        <f t="shared" si="1726"/>
        <v>0</v>
      </c>
      <c r="BP859" s="109">
        <f t="shared" si="1726"/>
        <v>0</v>
      </c>
      <c r="BQ859" s="110">
        <f t="shared" si="1726"/>
        <v>0</v>
      </c>
      <c r="BR859" s="107">
        <f t="shared" si="1726"/>
        <v>0</v>
      </c>
      <c r="BS859" s="463">
        <f>IF($B859="LOSS",IF(AND($K859=BS$3,$C859="L"),-$O859,0)+IF(AND($K860=BS$3,$C860="L"),-$O860,0)+IF(AND($K861=BS$3,$C861="L"),-$O861,0),IF(OR(AND($K859=BS$3,OR($C859="W",$C859="1/2W")),AND($K860=BS$3,OR($C860="W",$C860="1/2W")),AND($K861=BS$3,OR($C861="W",$C861="1/2W"))),$S859,0))</f>
        <v>0</v>
      </c>
      <c r="BT859" s="462">
        <f>IF($B859="LOSS",IF(AND($K859=BT$3,$C859="L"),-$O859,0)+IF(AND($K860=BT$3,$C860="L"),-$O860,0)+IF(AND($K860=BT$3,$C861="L"),-$O861,0),IF(OR(AND($K860=BT$3,OR($C859="W",$C859="1/2W")),AND($K860=BT$3,OR($C860="W",$C860="1/2W")),AND($K860=BT$3,OR($C861="W",$C861="1/2W"))),$S859,0))</f>
        <v>0</v>
      </c>
      <c r="BU859" s="462">
        <f>IF($B859="LOSS",IF(AND($K859=BU$3,$C859="L"),-$O859,0)+IF(AND($K860=BU$3,$C860="L"),-$O860,0)+IF(AND($K860=BU$3,$C861="L"),-$O861,0),IF(OR(AND($K860=BU$3,OR($C859="W",$C859="1/2W")),AND($K860=BU$3,OR($C860="W",$C860="1/2W")),AND($K860=BU$3,OR($C861="W",$C861="1/2W"))),$S859,0))</f>
        <v>0</v>
      </c>
      <c r="BV859" s="462">
        <f t="shared" ref="BV859:CE859" si="1733">IF($B859="LOSS",IF(AND($K859=BV$3,$C859="L"),-$O859,0)+IF(AND($K860=BV$3,$C860="L"),-$O860,0)+IF(AND($K861=BV$3,$C861="L"),-$O861,0),IF(OR(AND($K859=BV$3,OR($C859="W",$C859="1/2W")),AND($K860=BV$3,OR($C860="W",$C860="1/2W")),AND($K861=BV$3,OR($C861="W",$C861="1/2W"))),$S859,0))</f>
        <v>0</v>
      </c>
      <c r="BW859" s="462">
        <f t="shared" si="1733"/>
        <v>1.98</v>
      </c>
      <c r="BX859" s="462">
        <f t="shared" si="1733"/>
        <v>0</v>
      </c>
      <c r="BY859" s="462">
        <f t="shared" si="1733"/>
        <v>0</v>
      </c>
      <c r="BZ859" s="460">
        <f t="shared" si="1733"/>
        <v>0</v>
      </c>
      <c r="CA859" s="460">
        <f t="shared" si="1733"/>
        <v>0</v>
      </c>
      <c r="CB859" s="460">
        <f t="shared" si="1733"/>
        <v>0</v>
      </c>
      <c r="CC859" s="460">
        <f t="shared" si="1733"/>
        <v>0</v>
      </c>
      <c r="CD859" s="473">
        <f t="shared" si="1733"/>
        <v>0</v>
      </c>
      <c r="CE859" s="479">
        <f t="shared" si="1733"/>
        <v>0</v>
      </c>
      <c r="CF859" s="113">
        <f t="shared" si="1669"/>
        <v>0</v>
      </c>
      <c r="CG859" s="114">
        <f t="shared" si="1670"/>
        <v>0</v>
      </c>
      <c r="CH859" s="114">
        <f t="shared" si="1671"/>
        <v>0</v>
      </c>
      <c r="CI859" s="114">
        <f t="shared" si="1672"/>
        <v>0</v>
      </c>
      <c r="CJ859" s="114">
        <f t="shared" si="1673"/>
        <v>0</v>
      </c>
      <c r="CK859" s="114">
        <f t="shared" si="1674"/>
        <v>0</v>
      </c>
      <c r="CL859" s="114">
        <f t="shared" si="1675"/>
        <v>0</v>
      </c>
      <c r="CM859" s="114">
        <f t="shared" si="1676"/>
        <v>0</v>
      </c>
      <c r="CN859" s="114">
        <f t="shared" si="1677"/>
        <v>0</v>
      </c>
      <c r="CO859" s="114">
        <f t="shared" si="1678"/>
        <v>0</v>
      </c>
      <c r="CP859" s="114">
        <f t="shared" si="1679"/>
        <v>0</v>
      </c>
      <c r="CQ859" s="114">
        <f t="shared" si="1680"/>
        <v>0</v>
      </c>
      <c r="CR859" s="114">
        <f t="shared" si="1681"/>
        <v>0</v>
      </c>
      <c r="CS859" s="114">
        <f t="shared" si="1682"/>
        <v>0</v>
      </c>
      <c r="CT859" s="115">
        <f t="shared" si="1683"/>
        <v>0</v>
      </c>
      <c r="CU859" s="116">
        <f t="shared" si="1684"/>
        <v>1</v>
      </c>
      <c r="CV859" s="116">
        <f t="shared" si="1685"/>
        <v>0</v>
      </c>
      <c r="CW859" s="116">
        <f t="shared" si="1686"/>
        <v>0</v>
      </c>
      <c r="CX859" s="116">
        <f t="shared" si="1687"/>
        <v>0</v>
      </c>
      <c r="CY859" s="116">
        <f t="shared" si="1688"/>
        <v>0</v>
      </c>
      <c r="CZ859" s="116">
        <f t="shared" si="1689"/>
        <v>0</v>
      </c>
      <c r="DA859" s="116">
        <f t="shared" si="1690"/>
        <v>0</v>
      </c>
      <c r="DB859" s="116">
        <f t="shared" si="1691"/>
        <v>0</v>
      </c>
      <c r="DC859" s="116">
        <f t="shared" si="1692"/>
        <v>0</v>
      </c>
      <c r="DD859" s="116">
        <f t="shared" si="1693"/>
        <v>0</v>
      </c>
      <c r="DE859" s="117">
        <f t="shared" si="1694"/>
        <v>0</v>
      </c>
      <c r="DF859" s="118">
        <f t="shared" si="1696"/>
        <v>51</v>
      </c>
      <c r="DG859" s="106">
        <f t="shared" si="1697"/>
        <v>68.369</v>
      </c>
      <c r="DH859" s="116">
        <f t="shared" si="1698"/>
        <v>19</v>
      </c>
      <c r="DI859" s="106">
        <f t="shared" si="1699"/>
        <v>81.47</v>
      </c>
      <c r="DJ859" s="201" t="str">
        <f>IF($D859="","",$D859)</f>
        <v>29</v>
      </c>
      <c r="DK859" s="465">
        <f>IF(AND($B859=" ",$D859&lt;&gt;""),1,0)</f>
        <v>0</v>
      </c>
    </row>
    <row r="860" spans="1:115" ht="14.5" customHeight="1" x14ac:dyDescent="0.2">
      <c r="A860" s="389"/>
      <c r="B860" s="456"/>
      <c r="C860" s="120" t="s">
        <v>54</v>
      </c>
      <c r="D860" s="374"/>
      <c r="E860" s="386"/>
      <c r="F860" s="377"/>
      <c r="G860" s="483"/>
      <c r="H860" s="476"/>
      <c r="I860" s="178">
        <v>1</v>
      </c>
      <c r="J860" s="179" t="str">
        <f>IF(OR(I859="TO",I859="TU",I859="TO1",I859="TU1",I859="TO2",I859="TU2"),J859,IF(OR(I859="AH1",I859="AH2"),IF(OR(I860="AH1",I860="AH2"),-J859,IF(OR(I860="EH1",I860="EH2"),-J859+0.5,"")),IF(OR(I859="EH1",I859="EH2"),IF(OR(I860="AH1",I860="AH2"),-J859+0.5,IF(OR(I860="EH1",I860="EH2"),-J859+1,"")),IF(AND(OR(I859="DNB1",I859="DNB2"),OR(I860="AH1",I860="AH2")),0,IF(AND(I859="Not ScoreBoth",OR(I860="TO1",I860="TO2")),0.5,"")))))</f>
        <v/>
      </c>
      <c r="K860" s="123" t="s">
        <v>40</v>
      </c>
      <c r="L860" s="124">
        <v>2.2400000000000002</v>
      </c>
      <c r="M860" s="125">
        <v>9.07</v>
      </c>
      <c r="N860" s="406"/>
      <c r="O860" s="126">
        <f>IF(OR(AE859="",AE860=""),"",ROUND(IF(L861&gt;0,IF(M860&gt;0,M860,IF(M859&gt;0,IF(N859=TRUE,ROUND((M859*AE860)/AE859,0),(M859*AE860)/AE859),IF(M860&gt;0,ROUND(M860,IF(N859=0,2,IF(N859=0.1,1,0))),IF(M861&gt;0,ROUND(O861*AE860/AE861,IF(N859=0,2,IF(N859=0.1,1,0))),0)))),IF(M860&gt;0,M860,ROUND((M859*AE860)/AE859,IF(N859=0,2,IF(N859=0.1,1,0))))),2))</f>
        <v>9.07</v>
      </c>
      <c r="P860" s="127">
        <f>IF(OR(L860="",O860=""),"",IF($C860="1/2W",O860/2+O860/2*L860,IF($C860="1/2L",O860/2,IF(I860="Lay",((O860*(L860/(L860-1)))-O860)*(1-_xlfn.XLOOKUP(K860,'Fevereiro 2023 - Valor Real'!A3:A15,'Fevereiro 2023 - Valor Real'!C3:C15,0))+O860,(O860*L860-O860)*(1-_xlfn.XLOOKUP(K860,'Fevereiro 2023 - Valor Real'!A3:A15,'Fevereiro 2023 - Valor Real'!C3:C15,0))+O860))))</f>
        <v>20.316800000000004</v>
      </c>
      <c r="Q860" s="128">
        <f>IF(K860="","",IF(_xlfn.XLOOKUP(K860,K$4:K859,$DJ$4:DJ859,0,,-1)=DJ860,_xlfn.XLOOKUP(K860,K$4:K859,Q$4:Q859,1,,-1)+1,1))</f>
        <v>3</v>
      </c>
      <c r="R860" s="129">
        <f>IF(K860="","",_xlfn.XLOOKUP(K860,K$4:K859,R$4:R859,0,,-1)+IF($C860=" ",1,0))</f>
        <v>0</v>
      </c>
      <c r="S860" s="403"/>
      <c r="T860" s="380"/>
      <c r="U860" s="380"/>
      <c r="V860" s="481"/>
      <c r="W860" s="380"/>
      <c r="X860" s="452"/>
      <c r="Y860" s="383"/>
      <c r="Z860" s="384"/>
      <c r="AA860" s="384"/>
      <c r="AB860" s="384"/>
      <c r="AC860" s="384"/>
      <c r="AD860" s="130">
        <f>(((L860/(L860-1)-1)*(1-_xlfn.XLOOKUP(K860,'Fevereiro 2023 - Valor Real'!A3:A15,'Fevereiro 2023 - Valor Real'!C3:C15,0))+1))</f>
        <v>1.8064516129032258</v>
      </c>
      <c r="AE860" s="131">
        <f>IF(L860="","",IF(L861&gt;0,(SUM(((L859-1)*(1-_xlfn.XLOOKUP(K859,'Fevereiro 2023 - Valor Real'!A3:A15,'Fevereiro 2023 - Valor Real'!C3:C15,0))+1),((L860-1)*(1-_xlfn.XLOOKUP(K860,'Fevereiro 2023 - Valor Real'!A3:A15,'Fevereiro 2023 - Valor Real'!C3:C15,0))+1),((L861-1)*(1-_xlfn.XLOOKUP(K861,'Fevereiro 2023 - Valor Real'!A3:A15,'Fevereiro 2023 - Valor Real'!C3:C15,0))+1))/((L860-1)*(1-_xlfn.XLOOKUP(K860,'Fevereiro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Real'!C3:C15,0))+1))/((L859-1)*(1-_xlfn.XLOOKUP(K859,'Fevereiro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Real'!C3:C15,0))+1))/((L860-1)*(1-_xlfn.XLOOKUP(K860,'Fevereiro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Real'!C3:C15,0))+1))/((L861-1)*(1-_xlfn.XLOOKUP(K861,'Fevereiro 2023 - Valor Real'!A3:A15,'Fevereiro 2023 - Valor Real'!C3:C15,0))+1)),IF(I860="Lay",IF(I859="Lay",((L859/(L859-1)-1)*(1-_xlfn.XLOOKUP(K859,'Fevereiro 2023 - Valor Real'!A3:A15,'Fevereiro 2023 - Valor Real'!C3:C15,0))+1)/(((L859/(L859-1)-1)*(1-_xlfn.XLOOKUP(K859,'Fevereiro 2023 - Valor Real'!A3:A15,'Fevereiro 2023 - Valor Real'!C3:C15,0))+1)+((L860/(L860-1)-1)*(1-_xlfn.XLOOKUP(K860,'Fevereiro 2023 - Valor Real'!A3:A15,'Fevereiro 2023 - Valor Real'!C3:C15,0))+1)),((L859-1)*(1-_xlfn.XLOOKUP(K859,'Fevereiro 2023 - Valor Real'!A3:A15,'Fevereiro 2023 - Valor Real'!C3:C15,0))+1)/(((L859-1)*(1-_xlfn.XLOOKUP(K859,'Fevereiro 2023 - Valor Real'!A3:A15,'Fevereiro 2023 - Valor Real'!C3:C15,0))+1)+((L860/(L860-1)-1)*(1-_xlfn.XLOOKUP(K860,'Fevereiro 2023 - Valor Real'!A3:A15,'Fevereiro 2023 - Valor Real'!C3:C15,0))+1))),IF(I859="Lay",((L859/(L859-1)-1)*(1-_xlfn.XLOOKUP(K859,'Fevereiro 2023 - Valor Real'!A3:A15,'Fevereiro 2023 - Valor Real'!C3:C15,0))+1)/((((L859/(L859-1)-1)*(1-_xlfn.XLOOKUP(K859,'Fevereiro 2023 - Valor Real'!A3:A15,'Fevereiro 2023 - Valor Real'!C3:C15,0))+1))+((L860-1)*(1-_xlfn.XLOOKUP(K860,'Fevereiro 2023 - Valor Real'!A3:A15,'Fevereiro 2023 - Valor Real'!C3:C15,0))+1)),((L859-1)*(1-_xlfn.XLOOKUP(K859,'Fevereiro 2023 - Valor Real'!A3:A15,'Fevereiro 2023 - Valor Real'!C3:C15,0))+1)/(((L859-1)*(1-_xlfn.XLOOKUP(K859,'Fevereiro 2023 - Valor Real'!A3:A15,'Fevereiro 2023 - Valor Real'!C3:C15,0))+1)+((L860-1)*(1-_xlfn.XLOOKUP(K860,'Fevereiro 2023 - Valor Real'!A3:A15,'Fevereiro 2023 - Valor Real'!C3:C15,0))+1))))))</f>
        <v>0.49435665914221222</v>
      </c>
      <c r="AF860" s="105">
        <f t="shared" si="1724"/>
        <v>0</v>
      </c>
      <c r="AG860" s="106">
        <f t="shared" si="1724"/>
        <v>0</v>
      </c>
      <c r="AH860" s="106">
        <f t="shared" si="1724"/>
        <v>0</v>
      </c>
      <c r="AI860" s="106">
        <f t="shared" si="1724"/>
        <v>0</v>
      </c>
      <c r="AJ860" s="106">
        <f t="shared" si="1724"/>
        <v>11.25</v>
      </c>
      <c r="AK860" s="106">
        <f t="shared" si="1724"/>
        <v>0</v>
      </c>
      <c r="AL860" s="106">
        <f t="shared" si="1724"/>
        <v>0</v>
      </c>
      <c r="AM860" s="106">
        <f t="shared" si="1724"/>
        <v>0</v>
      </c>
      <c r="AN860" s="106">
        <f t="shared" si="1724"/>
        <v>0</v>
      </c>
      <c r="AO860" s="106">
        <f t="shared" si="1724"/>
        <v>0</v>
      </c>
      <c r="AP860" s="106">
        <f t="shared" si="1724"/>
        <v>0</v>
      </c>
      <c r="AQ860" s="106">
        <f t="shared" si="1724"/>
        <v>0</v>
      </c>
      <c r="AR860" s="107">
        <f t="shared" si="1724"/>
        <v>0</v>
      </c>
      <c r="AS860" s="105">
        <f>IF(AND($B859=" ",$K860=AS$3),$O860,0)</f>
        <v>0</v>
      </c>
      <c r="AT860" s="106">
        <f>IF(AND($B859=" ",K860=AT$3),$O860,0)</f>
        <v>0</v>
      </c>
      <c r="AU860" s="106">
        <f t="shared" ref="AU860:BE860" si="1734">IF(AND($B859=" ",$K860=AU$3),$O860,0)</f>
        <v>0</v>
      </c>
      <c r="AV860" s="106">
        <f t="shared" si="1734"/>
        <v>0</v>
      </c>
      <c r="AW860" s="106">
        <f t="shared" si="1734"/>
        <v>0</v>
      </c>
      <c r="AX860" s="106">
        <f t="shared" si="1734"/>
        <v>0</v>
      </c>
      <c r="AY860" s="108">
        <f t="shared" si="1734"/>
        <v>0</v>
      </c>
      <c r="AZ860" s="109">
        <f t="shared" si="1734"/>
        <v>0</v>
      </c>
      <c r="BA860" s="109">
        <f t="shared" si="1734"/>
        <v>0</v>
      </c>
      <c r="BB860" s="109">
        <f t="shared" si="1734"/>
        <v>0</v>
      </c>
      <c r="BC860" s="110">
        <f t="shared" si="1734"/>
        <v>0</v>
      </c>
      <c r="BD860" s="106">
        <f t="shared" si="1734"/>
        <v>0</v>
      </c>
      <c r="BE860" s="107">
        <f t="shared" si="1734"/>
        <v>0</v>
      </c>
      <c r="BF860" s="105">
        <f t="shared" si="1726"/>
        <v>0</v>
      </c>
      <c r="BG860" s="106">
        <f t="shared" si="1726"/>
        <v>0</v>
      </c>
      <c r="BH860" s="106">
        <f t="shared" si="1726"/>
        <v>0</v>
      </c>
      <c r="BI860" s="106">
        <f t="shared" si="1726"/>
        <v>0</v>
      </c>
      <c r="BJ860" s="106">
        <f t="shared" si="1726"/>
        <v>9.07</v>
      </c>
      <c r="BK860" s="106">
        <f t="shared" si="1726"/>
        <v>0</v>
      </c>
      <c r="BL860" s="106">
        <f t="shared" si="1726"/>
        <v>0</v>
      </c>
      <c r="BM860" s="132">
        <f t="shared" si="1726"/>
        <v>0</v>
      </c>
      <c r="BN860" s="112">
        <f t="shared" si="1726"/>
        <v>0</v>
      </c>
      <c r="BO860" s="112">
        <f t="shared" si="1726"/>
        <v>0</v>
      </c>
      <c r="BP860" s="112">
        <f t="shared" si="1726"/>
        <v>0</v>
      </c>
      <c r="BQ860" s="110">
        <f t="shared" si="1726"/>
        <v>0</v>
      </c>
      <c r="BR860" s="107">
        <f t="shared" si="1726"/>
        <v>0</v>
      </c>
      <c r="BS860" s="464"/>
      <c r="BT860" s="461"/>
      <c r="BU860" s="392"/>
      <c r="BV860" s="461"/>
      <c r="BW860" s="392"/>
      <c r="BX860" s="392"/>
      <c r="BY860" s="392"/>
      <c r="BZ860" s="461"/>
      <c r="CA860" s="392"/>
      <c r="CB860" s="392"/>
      <c r="CC860" s="392"/>
      <c r="CD860" s="401"/>
      <c r="CE860" s="409"/>
      <c r="CF860" s="133">
        <f t="shared" si="1669"/>
        <v>0</v>
      </c>
      <c r="CG860" s="134">
        <f t="shared" si="1670"/>
        <v>0</v>
      </c>
      <c r="CH860" s="134">
        <f t="shared" si="1671"/>
        <v>0</v>
      </c>
      <c r="CI860" s="134">
        <f t="shared" si="1672"/>
        <v>0</v>
      </c>
      <c r="CJ860" s="134">
        <f t="shared" si="1673"/>
        <v>0</v>
      </c>
      <c r="CK860" s="134">
        <f t="shared" si="1674"/>
        <v>0</v>
      </c>
      <c r="CL860" s="134">
        <f t="shared" si="1675"/>
        <v>0</v>
      </c>
      <c r="CM860" s="134">
        <f t="shared" si="1676"/>
        <v>0</v>
      </c>
      <c r="CN860" s="134">
        <f t="shared" si="1677"/>
        <v>1</v>
      </c>
      <c r="CO860" s="134">
        <f t="shared" si="1678"/>
        <v>0</v>
      </c>
      <c r="CP860" s="134">
        <f t="shared" si="1679"/>
        <v>0</v>
      </c>
      <c r="CQ860" s="134">
        <f t="shared" si="1680"/>
        <v>0</v>
      </c>
      <c r="CR860" s="134">
        <f t="shared" si="1681"/>
        <v>0</v>
      </c>
      <c r="CS860" s="134">
        <f t="shared" si="1682"/>
        <v>0</v>
      </c>
      <c r="CT860" s="115">
        <f t="shared" si="1683"/>
        <v>0</v>
      </c>
      <c r="CU860" s="116">
        <f t="shared" si="1684"/>
        <v>0</v>
      </c>
      <c r="CV860" s="116">
        <f t="shared" si="1685"/>
        <v>0</v>
      </c>
      <c r="CW860" s="116">
        <f t="shared" si="1686"/>
        <v>0</v>
      </c>
      <c r="CX860" s="116">
        <f t="shared" si="1687"/>
        <v>0</v>
      </c>
      <c r="CY860" s="116">
        <f t="shared" si="1688"/>
        <v>0</v>
      </c>
      <c r="CZ860" s="116">
        <f t="shared" si="1689"/>
        <v>0</v>
      </c>
      <c r="DA860" s="116">
        <f t="shared" si="1690"/>
        <v>0</v>
      </c>
      <c r="DB860" s="116">
        <f t="shared" si="1691"/>
        <v>0</v>
      </c>
      <c r="DC860" s="116">
        <f t="shared" si="1692"/>
        <v>0</v>
      </c>
      <c r="DD860" s="116">
        <f t="shared" si="1693"/>
        <v>0</v>
      </c>
      <c r="DE860" s="117">
        <f t="shared" si="1694"/>
        <v>0</v>
      </c>
      <c r="DF860" s="118">
        <f t="shared" si="1696"/>
        <v>51</v>
      </c>
      <c r="DG860" s="106">
        <f t="shared" si="1697"/>
        <v>68.369</v>
      </c>
      <c r="DH860" s="116">
        <f t="shared" si="1698"/>
        <v>19</v>
      </c>
      <c r="DI860" s="106">
        <f t="shared" si="1699"/>
        <v>81.47</v>
      </c>
      <c r="DJ860" s="201" t="str">
        <f>IF($D859="","",$D859)</f>
        <v>29</v>
      </c>
      <c r="DK860" s="466"/>
    </row>
    <row r="861" spans="1:115" ht="14.5" customHeight="1" x14ac:dyDescent="0.2">
      <c r="A861" s="390"/>
      <c r="B861" s="457"/>
      <c r="C861" s="135" t="s">
        <v>53</v>
      </c>
      <c r="D861" s="375"/>
      <c r="E861" s="387"/>
      <c r="F861" s="378"/>
      <c r="G861" s="484"/>
      <c r="H861" s="477"/>
      <c r="I861" s="136"/>
      <c r="J861" s="137"/>
      <c r="K861" s="138"/>
      <c r="L861" s="139"/>
      <c r="M861" s="140"/>
      <c r="N861" s="407"/>
      <c r="O861" s="141" t="str">
        <f>IF(OR(AE859="",AE860=""),"",IF(L861&gt;0,ROUND(IF(M861&gt;0,M861,IF(M859&gt;0,ROUND((M859*AE861)/AE859,IF(N859=0,2,IF(N859=0.1,1,0))),IF(M860&gt;0,ROUND((M860*AE861)/AE860,IF(N859=0,2,IF(N859=0.1,1,0))),IF(M861&gt;0,M861,0)))),2),""))</f>
        <v/>
      </c>
      <c r="P861" s="142" t="str">
        <f>IF(I860="Lay",O860*(L860/(L860-1))-O860,IF(I859="Lay",O859*(L859/(L859-1))-O859,IF(OR(L861="",O861=""),"",IF($C861="1/2W",O861/2+O861/2*L861,IF($C861="1/2L",O861/2,(O861*L861-O861)*(1-_xlfn.XLOOKUP(K861,'Fevereiro 2023 - Valor Real'!A3:A15,'Fevereiro 2023 - Valor Real'!C3:C15,0))+O861)))))</f>
        <v/>
      </c>
      <c r="Q861" s="221" t="str">
        <f>IF(K861="","",IF(_xlfn.XLOOKUP(K861,K$4:K860,$DJ$4:DJ860,0,,-1)=DJ861,_xlfn.XLOOKUP(K861,K$4:K860,Q$4:Q860,1,,-1)+1,1))</f>
        <v/>
      </c>
      <c r="R861" s="144" t="str">
        <f>IF(K861="","",_xlfn.XLOOKUP(K861,K$4:K860,R$4:R860,0,,-1)+IF($C861=" ",1,0))</f>
        <v/>
      </c>
      <c r="S861" s="404"/>
      <c r="T861" s="378"/>
      <c r="U861" s="378"/>
      <c r="V861" s="404"/>
      <c r="W861" s="378"/>
      <c r="X861" s="453"/>
      <c r="Y861" s="383"/>
      <c r="Z861" s="384"/>
      <c r="AA861" s="384"/>
      <c r="AB861" s="384"/>
      <c r="AC861" s="384"/>
      <c r="AD861" s="145">
        <f>((L860/(L860-1)-1))</f>
        <v>0.80645161290322576</v>
      </c>
      <c r="AE861" s="146" t="str">
        <f>IF(L861="","",(SUM(((L859-1)*(1-_xlfn.XLOOKUP(K859,'Fevereiro 2023 - Valor Real'!A3:A15,'Fevereiro 2023 - Valor Real'!C3:C15,0))+1),((L860-1)*(1-_xlfn.XLOOKUP(K860,'Fevereiro 2023 - Valor Real'!A3:A15,'Fevereiro 2023 - Valor Real'!C3:C15,0))+1),((L861-1)*(1-_xlfn.XLOOKUP(K861,'Fevereiro 2023 - Valor Real'!A3:A15,'Fevereiro 2023 - Valor Real'!C3:C15,0))+1))/((L861-1)*(1-_xlfn.XLOOKUP(K861,'Fevereiro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Real'!C3:C15,0))+1))/((L859-1)*(1-_xlfn.XLOOKUP(K859,'Fevereiro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Real'!C3:C15,0))+1))/((L860-1)*(1-_xlfn.XLOOKUP(K860,'Fevereiro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Real'!C3:C15,0))+1))/((L861-1)*(1-_xlfn.XLOOKUP(K861,'Fevereiro 2023 - Valor Real'!A3:A15,'Fevereiro 2023 - Valor Real'!C3:C15,0))+1)))</f>
        <v/>
      </c>
      <c r="AF861" s="105">
        <f t="shared" si="1724"/>
        <v>0</v>
      </c>
      <c r="AG861" s="106">
        <f t="shared" si="1724"/>
        <v>0</v>
      </c>
      <c r="AH861" s="106">
        <f t="shared" si="1724"/>
        <v>0</v>
      </c>
      <c r="AI861" s="106">
        <f t="shared" si="1724"/>
        <v>0</v>
      </c>
      <c r="AJ861" s="106">
        <f t="shared" si="1724"/>
        <v>0</v>
      </c>
      <c r="AK861" s="106">
        <f t="shared" si="1724"/>
        <v>0</v>
      </c>
      <c r="AL861" s="106">
        <f t="shared" si="1724"/>
        <v>0</v>
      </c>
      <c r="AM861" s="106">
        <f t="shared" si="1724"/>
        <v>0</v>
      </c>
      <c r="AN861" s="106">
        <f t="shared" si="1724"/>
        <v>0</v>
      </c>
      <c r="AO861" s="106">
        <f t="shared" si="1724"/>
        <v>0</v>
      </c>
      <c r="AP861" s="106">
        <f t="shared" si="1724"/>
        <v>0</v>
      </c>
      <c r="AQ861" s="106">
        <f t="shared" si="1724"/>
        <v>0</v>
      </c>
      <c r="AR861" s="107">
        <f t="shared" si="1724"/>
        <v>0</v>
      </c>
      <c r="AS861" s="105">
        <f>IF(AND($B859=" ",$K861=AS$3),$O861,0)</f>
        <v>0</v>
      </c>
      <c r="AT861" s="106">
        <f>IF(AND($B859=" ",K861=AT$3),$O861,0)</f>
        <v>0</v>
      </c>
      <c r="AU861" s="106">
        <f t="shared" ref="AU861:BE861" si="1735">IF(AND($B859=" ",$K861=AU$3),$O861,0)</f>
        <v>0</v>
      </c>
      <c r="AV861" s="106">
        <f t="shared" si="1735"/>
        <v>0</v>
      </c>
      <c r="AW861" s="106">
        <f t="shared" si="1735"/>
        <v>0</v>
      </c>
      <c r="AX861" s="106">
        <f t="shared" si="1735"/>
        <v>0</v>
      </c>
      <c r="AY861" s="108">
        <f t="shared" si="1735"/>
        <v>0</v>
      </c>
      <c r="AZ861" s="109">
        <f t="shared" si="1735"/>
        <v>0</v>
      </c>
      <c r="BA861" s="109">
        <f t="shared" si="1735"/>
        <v>0</v>
      </c>
      <c r="BB861" s="109">
        <f t="shared" si="1735"/>
        <v>0</v>
      </c>
      <c r="BC861" s="110">
        <f t="shared" si="1735"/>
        <v>0</v>
      </c>
      <c r="BD861" s="106">
        <f t="shared" si="1735"/>
        <v>0</v>
      </c>
      <c r="BE861" s="107">
        <f t="shared" si="1735"/>
        <v>0</v>
      </c>
      <c r="BF861" s="105">
        <f t="shared" si="1726"/>
        <v>0</v>
      </c>
      <c r="BG861" s="106">
        <f t="shared" si="1726"/>
        <v>0</v>
      </c>
      <c r="BH861" s="106">
        <f t="shared" si="1726"/>
        <v>0</v>
      </c>
      <c r="BI861" s="106">
        <f t="shared" si="1726"/>
        <v>0</v>
      </c>
      <c r="BJ861" s="106">
        <f t="shared" si="1726"/>
        <v>0</v>
      </c>
      <c r="BK861" s="106">
        <f t="shared" si="1726"/>
        <v>0</v>
      </c>
      <c r="BL861" s="106">
        <f t="shared" si="1726"/>
        <v>0</v>
      </c>
      <c r="BM861" s="108">
        <f t="shared" si="1726"/>
        <v>0</v>
      </c>
      <c r="BN861" s="109">
        <f t="shared" si="1726"/>
        <v>0</v>
      </c>
      <c r="BO861" s="109">
        <f t="shared" si="1726"/>
        <v>0</v>
      </c>
      <c r="BP861" s="109">
        <f t="shared" si="1726"/>
        <v>0</v>
      </c>
      <c r="BQ861" s="110">
        <f t="shared" si="1726"/>
        <v>0</v>
      </c>
      <c r="BR861" s="107">
        <f t="shared" si="1726"/>
        <v>0</v>
      </c>
      <c r="BS861" s="464"/>
      <c r="BT861" s="461"/>
      <c r="BU861" s="392"/>
      <c r="BV861" s="461"/>
      <c r="BW861" s="392"/>
      <c r="BX861" s="392"/>
      <c r="BY861" s="392"/>
      <c r="BZ861" s="461"/>
      <c r="CA861" s="392"/>
      <c r="CB861" s="392"/>
      <c r="CC861" s="392"/>
      <c r="CD861" s="401"/>
      <c r="CE861" s="409"/>
      <c r="CF861" s="133">
        <f t="shared" si="1669"/>
        <v>0</v>
      </c>
      <c r="CG861" s="134">
        <f t="shared" si="1670"/>
        <v>0</v>
      </c>
      <c r="CH861" s="134">
        <f t="shared" si="1671"/>
        <v>0</v>
      </c>
      <c r="CI861" s="134">
        <f t="shared" si="1672"/>
        <v>0</v>
      </c>
      <c r="CJ861" s="134">
        <f t="shared" si="1673"/>
        <v>0</v>
      </c>
      <c r="CK861" s="134">
        <f t="shared" si="1674"/>
        <v>0</v>
      </c>
      <c r="CL861" s="134">
        <f t="shared" si="1675"/>
        <v>0</v>
      </c>
      <c r="CM861" s="134">
        <f t="shared" si="1676"/>
        <v>0</v>
      </c>
      <c r="CN861" s="134">
        <f t="shared" si="1677"/>
        <v>0</v>
      </c>
      <c r="CO861" s="134">
        <f t="shared" si="1678"/>
        <v>0</v>
      </c>
      <c r="CP861" s="134">
        <f t="shared" si="1679"/>
        <v>0</v>
      </c>
      <c r="CQ861" s="134">
        <f t="shared" si="1680"/>
        <v>0</v>
      </c>
      <c r="CR861" s="134">
        <f t="shared" si="1681"/>
        <v>0</v>
      </c>
      <c r="CS861" s="134">
        <f t="shared" si="1682"/>
        <v>0</v>
      </c>
      <c r="CT861" s="115">
        <f t="shared" si="1683"/>
        <v>0</v>
      </c>
      <c r="CU861" s="116">
        <f t="shared" si="1684"/>
        <v>0</v>
      </c>
      <c r="CV861" s="116">
        <f t="shared" si="1685"/>
        <v>0</v>
      </c>
      <c r="CW861" s="116">
        <f t="shared" si="1686"/>
        <v>0</v>
      </c>
      <c r="CX861" s="116">
        <f t="shared" si="1687"/>
        <v>0</v>
      </c>
      <c r="CY861" s="116">
        <f t="shared" si="1688"/>
        <v>0</v>
      </c>
      <c r="CZ861" s="116">
        <f t="shared" si="1689"/>
        <v>0</v>
      </c>
      <c r="DA861" s="116">
        <f t="shared" si="1690"/>
        <v>0</v>
      </c>
      <c r="DB861" s="116">
        <f t="shared" si="1691"/>
        <v>0</v>
      </c>
      <c r="DC861" s="116">
        <f t="shared" si="1692"/>
        <v>0</v>
      </c>
      <c r="DD861" s="116">
        <f t="shared" si="1693"/>
        <v>0</v>
      </c>
      <c r="DE861" s="117">
        <f t="shared" si="1694"/>
        <v>0</v>
      </c>
      <c r="DF861" s="118">
        <f t="shared" si="1696"/>
        <v>51</v>
      </c>
      <c r="DG861" s="106">
        <f t="shared" si="1697"/>
        <v>68.369</v>
      </c>
      <c r="DH861" s="116">
        <f t="shared" si="1698"/>
        <v>19</v>
      </c>
      <c r="DI861" s="106">
        <f t="shared" si="1699"/>
        <v>81.47</v>
      </c>
      <c r="DJ861" s="201" t="str">
        <f>IF($D859="","",$D859)</f>
        <v>29</v>
      </c>
      <c r="DK861" s="466"/>
    </row>
    <row r="862" spans="1:115" ht="14.5" customHeight="1" x14ac:dyDescent="0.2">
      <c r="A862" s="487">
        <f>$A859+1</f>
        <v>287</v>
      </c>
      <c r="B862" s="506" t="str">
        <f>IF(OR(C862="W",C863="W",C864="W",C862="1/2W",C863="1/2W",C864="1/2W",C862="1/2L",C863="1/2L",C864="1/2L"),"OK",IF(OR(C862="L",C863="L",C864="L"),"LOSS",IF(OR(C862="X",C863="X",C864="X"),"Anulado"," ")))</f>
        <v>OK</v>
      </c>
      <c r="C862" s="147" t="s">
        <v>55</v>
      </c>
      <c r="D862" s="494" t="str">
        <f>IF(G862="","",$D859)</f>
        <v>29</v>
      </c>
      <c r="E862" s="511" t="str">
        <f>IF(G862=""," ","– "&amp;COUNTIF(D$4:D864,$D862))</f>
        <v>– 4</v>
      </c>
      <c r="F862" s="510" t="str">
        <f ca="1">IF(G862="","",IF(OR(AND($C862&lt;&gt;" ",$C863=" "),AND($C863&lt;&gt;" ",$C862=" "),AND(L864&gt;0,OR(AND($C864&lt;&gt;" ",OR($C862=" ",$C863=" ")),AND($C864=" ",OR($C862&lt;&gt;" ",$C863&lt;&gt;" "))))),IF(SUM(F$4:F861)=0,1,LARGE(F$4:F861,1)+1),IF(MONTH(G862)=MONTH(TODAY()),IF(AND(DAY(G862)&lt;DAY(TODAY()),$B862=" "),IF(SUM(F$4:F861)=0,1,LARGE(F$4:F861,1)+1),IF($B862=" ",IF(AND(DAY(G862)=DAY(TODAY()),HOUR(G862)&lt;=HOUR(NOW())+1),IF(AND(HOUR(G862)+2&lt;=HOUR(NOW()),DAY(G862)&lt;=DAY(TODAY()),MINUTE(G862)&lt;=MINUTE(NOW())),IF(SUM(F$4:F861)=0,1,LARGE(F$4:F861,1)+1),IF(OR(MINUTE(G862)&lt;=MINUTE(NOW()),HOUR(G862)&lt;=HOUR(NOW())),"!!!","")),""),"")),"")))</f>
        <v/>
      </c>
      <c r="G862" s="517">
        <f>IF(H862="","",_xlfn.XLOOKUP(H862,$H$4:H861,$G$4:G861,""))</f>
        <v>45014.333333333336</v>
      </c>
      <c r="H862" s="516" t="s">
        <v>288</v>
      </c>
      <c r="I862" s="222" t="s">
        <v>64</v>
      </c>
      <c r="J862" s="241"/>
      <c r="K862" s="224" t="s">
        <v>37</v>
      </c>
      <c r="L862" s="225">
        <v>2.1</v>
      </c>
      <c r="M862" s="226"/>
      <c r="N862" s="503">
        <v>0</v>
      </c>
      <c r="O862" s="153">
        <f>IF(OR(AE862="",AE863=""),"",ROUND(IF(L864&gt;0,IF(M862&gt;0,M862,IF(M863&gt;0,ROUND((M863*AE862)/AE863,IF(N862=0,2,IF(N862=0.1,1,0))),ROUND((M864*AE862)/AE864,IF(N862=0,2,IF(N862=0.1,1,0))))),IF(M862&gt;0,M862,ROUND((M863*AE862)/AE863,IF(N862=0,2,IF(N862=0.1,1,0))))),2))</f>
        <v>9.75</v>
      </c>
      <c r="P862" s="227">
        <f>IF(OR(L862="",O862=""),"",IF($C862="1/2W",O862/2+O862/2*L862,IF($C862="1/2L",O862/2,IF(I862="Lay",(O862*(L862/(L862-1))-O862)*(1-_xlfn.XLOOKUP(K862,'Fevereiro 2023 - Valor Real'!A3:A15,'Fevereiro 2023 - Valor Real'!C3:C15,0))+O862,(O862*L862-O862)*(1-_xlfn.XLOOKUP(K862,'Fevereiro 2023 - Valor Real'!A3:A15,'Fevereiro 2023 - Valor Real'!C3:C15,0))+O862))))</f>
        <v>20.475000000000001</v>
      </c>
      <c r="Q862" s="228">
        <f>IF(K862="","",IF(_xlfn.XLOOKUP(K862,K$4:K861,$DJ$4:DJ861,0,,-1)=DJ862,_xlfn.XLOOKUP(K862,K$4:K861,Q$4:Q861,1,,-1)+1,1))</f>
        <v>1</v>
      </c>
      <c r="R862" s="229">
        <f>IF(K862="","",_xlfn.XLOOKUP(K862,K$4:K861,R$4:R861,0,,-1)+IF($C862=" ",1,0))</f>
        <v>0</v>
      </c>
      <c r="S862" s="501">
        <f>IF($B862="Anulado",0,ROUND(IF(OR($B862="LOSS",$B862="OK"),IF(OR($C862="W",$C862="1/2W",$C862="1/2L"),P862-O862,IF($C862="L",-O862,0))+IF(OR($C863="W",$C863="1/2W",$C863="1/2L"),P863-O863,IF($C863="L",-O863,0))+IF(OR($C864="W",$C864="1/2W",$C864="1/2L"),P864-O864,IF($C864="L",-O864,0)),IF(AND(OR($C862="W",$C862="1/2W",$C862="1/2L"),C863="W"),P862+P863-SUM(O862:O864)+_xlfn.XLOOKUP("X",C862:C864,O862:O864,0),IF(AND(C862=TRUE,C864="W"),P862+P864-SUM(O862:O864),IF(AND(C863="W",C864="W"),P863+P864-SUM(O862:O864)+_xlfn.XLOOKUP("X",C862:C864,O862:O864,0),IF(L864&gt;0,IF(OR($C862="W",$C862="1/2W",$C862="1/2L"),P862-SUM(O862:O864)+_xlfn.XLOOKUP("X",C862:C864,O862:O864,0),IF(OR($C862="W",$C862="1/2W",$C862="1/2L"),P863-SUM(O862:O864)+_xlfn.XLOOKUP("X",C862:C864,O862:O864,0),IF(OR($C862="W",$C862="1/2W",$C862="1/2L"),P864-SUM(O862:O864)+_xlfn.XLOOKUP("X",C862:C864,O862:O864,0),IF(SUM(P862:P864)/3-SUM(O862:O864)+_xlfn.XLOOKUP("X",C862:C864,O862:O864,0)&gt;0,SUM(P862:P864)/3-SUM(O862:O864)+_xlfn.XLOOKUP("X",C862:C864,O862:O864,0),LARGE(P862:P864,1)-SUM(O862:O864))))),IF(OR($C862="W",$C862="1/2W",$C862="1/2L"),P862-SUM(O862:O863)+_xlfn.XLOOKUP("X",C862:C864,O862:O864,0),IF(OR($C862="W",$C862="1/2W",$C862="1/2L"),P863-SUM(O862:O863)+_xlfn.XLOOKUP("X",C862:C864,O862:O864,0),SUM(P862:P863)/2-SUM(O862:O863)+_xlfn.XLOOKUP("X",C862:C864,O862:O864,0)))))))),2))</f>
        <v>1.5</v>
      </c>
      <c r="T862" s="486">
        <f>IF(S862=0,0,S862/SUM(O862:O864))</f>
        <v>7.9072219293621515E-2</v>
      </c>
      <c r="U862" s="496">
        <f>IF($D862=$D859,IF(OR($B862="LOSS",$B862="OK",$B862="Anulada"),S862,0)+U859,IF(OR($B862="LOSS",$B862="OK",$B862="Anulada"),S862,0))</f>
        <v>5.76</v>
      </c>
      <c r="V862" s="496">
        <f>IF($D862="",0,IF($D862=$D859,IF($B862=" ",IF(I864="",IF(OR(AND(I862="DNB1",I863="DNB2"),AND(OR(I862="DNB1",I862="DNB2"),J863=0),AND(OR(I863="DNB1",I863="DNB2"),J862=0),AND(I862="DNB2",I863="DNB1"),AND(IF(J862=0,(J862+1)/ROUND(J862+1,0),J862/ROUND(J862,0))=1,IF(J863=0,(J863+1)/ROUND(IF(J863="",0,J863)+1,0),IF(J863="",0,J863)/ROUND(IF(J863="",1,J863),0))=1,OR(J862&lt;&gt;""),J863&lt;&gt;"")),0,IF(S862&lt;0,IF(I864="",SMALL(P862:P863,1)-SUM(O862:O863),0),SMALL(P862:P863,1)-SUM(O862:O863))),IF(S862&lt;0,IF(I864="",SMALL(P862:P864,1)-SUM(O862:O864),0),LARGE(P862:P864,1)-SUM(O862:O864))),S862)+V859,IF(I864="",IF(OR(AND(I862="DNB1",I863="DNB2"),AND(OR(I862="DNB1",I862="DNB2"),J863=0),AND(OR(I863="DNB1",I863="DNB2"),J862=0),AND(I862="DNB2",I863="DNB1"),AND(IF(J862=0,(J862+1)/ROUND(J862+1,0),J862/ROUND(J862,0))=1,IF(J863=0,(IF(J863="",0,J863)+1)/ROUND(IF(J863="",0,J863)+1,0),IF(J863="",0,J863)/ROUND(IF(J863="",0,J863)+1,0))=1,OR(J862&lt;&gt;""),J863&lt;&gt;"")),0,IF(S862&lt;0,IF(I864="",SMALL(P862:P863,1)-SUM(O862:O863),0),SMALL(P862:P864,1)-SUM(O862:O864))),IF(S862&lt;0,IF(I864="",SMALL(P862:P864,1)-SUM(O862:O864),0),LARGE(P862:P864,1)-SUM(O862:O864)))))</f>
        <v>5.7562000000000015</v>
      </c>
      <c r="W862" s="496">
        <f>IF($D862=$D859,IF(S862&lt;0,IF(I864="",S862,0),S862)+W859,S862)</f>
        <v>5.76</v>
      </c>
      <c r="X862" s="505" t="str">
        <f>IF(OR(SUM(R862:R864)=0,V862=W862),ROUND(IF(W862=0,0,W862/Y862)*100,2)&amp;"%",ROUND(IF(V862=0,0,V862/Y862)*100,2)&amp;"% a "&amp;ROUND(IF(W862=0,0,W862/Y862)*100,2)&amp;"%")</f>
        <v>6,61%</v>
      </c>
      <c r="Y862" s="497">
        <f>IF($D862=$D859,Y859+SUM(O862:O864),SUM(O862:O864))</f>
        <v>87.1</v>
      </c>
      <c r="Z862" s="496">
        <f>IF($B862=" ",SUM(O862:O864),0)+Z859</f>
        <v>0</v>
      </c>
      <c r="AA862" s="496">
        <f>IF(G862="","",IF($B862="Anulado",LARGE(P862:P864,1)-SUM(O862:O864)+AA859,AA859))</f>
        <v>13.381099999999991</v>
      </c>
      <c r="AB862" s="496">
        <f>IF($D862="","",AB859+S862)</f>
        <v>989.45000000000095</v>
      </c>
      <c r="AC862" s="499">
        <f ca="1">IF($D862="","",IF($B862=" ",IF(DAY(G862)=DAY(TODAY()),1+AC859,0+AC859),0+AC859))</f>
        <v>0</v>
      </c>
      <c r="AD862" s="157">
        <f>(((L863/(L863-1)-1)*(1-_xlfn.XLOOKUP(K863,'Fevereiro 2023 - Valor Real'!A3:A15,'Fevereiro 2023 - Valor Real'!C3:C15,0))+1))/(((L862-1)*(1-_xlfn.XLOOKUP(K862,'Fevereiro 2023 - Valor Real'!A3:A15,'Fevereiro 2023 - Valor Real'!C3:C15,0))+1)+((L863/(L863-1)-1)*(1-_xlfn.XLOOKUP(K863,'Fevereiro 2023 - Valor Real'!A3:A15,'Fevereiro 2023 - Valor Real'!C3:C15,0))+1))</f>
        <v>0.46424090338770385</v>
      </c>
      <c r="AE862" s="158">
        <f>IF(L862="","",IF(L864&gt;0,(SUM(((L862-1)*(1-_xlfn.XLOOKUP(K862,'Fevereiro 2023 - Valor Real'!A3:A15,'Fevereiro 2023 - Valor Real'!C3:C15,0))+1),((L863-1)*(1-_xlfn.XLOOKUP(K863,'Fevereiro 2023 - Valor Real'!A3:A15,'Fevereiro 2023 - Valor Real'!C3:C15,0))+1),((L864-1)*(1-_xlfn.XLOOKUP(K864,'Fevereiro 2023 - Valor Real'!A3:A15,'Fevereiro 2023 - Valor Real'!C3:C15,0))+1))/((L862-1)*(1-_xlfn.XLOOKUP(K862,'Fevereiro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Real'!C3:C15,0))+1))/((L862-1)*(1-_xlfn.XLOOKUP(K862,'Fevereiro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Real'!C3:C15,0))+1))/((L863-1)*(1-_xlfn.XLOOKUP(K863,'Fevereiro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Real'!C3:C15,0))+1))/((L864-1)*(1-_xlfn.XLOOKUP(K864,'Fevereiro 2023 - Valor Real'!A3:A15,'Fevereiro 2023 - Valor Real'!C3:C15,0))+1)),IF(I862="Lay",IF(I863="Lay",((L863/(L863-1)-1)*(1-_xlfn.XLOOKUP(K863,'Fevereiro 2023 - Valor Real'!A3:A15,'Fevereiro 2023 - Valor Real'!C3:C15,0))+1)/(((L863/(L863-1)-1)*(1-_xlfn.XLOOKUP(K863,'Fevereiro 2023 - Valor Real'!A3:A15,'Fevereiro 2023 - Valor Real'!C3:C15,0))+1)+((L862/(L862-1)-1)*(1-_xlfn.XLOOKUP(K862,'Fevereiro 2023 - Valor Real'!A3:A15,'Fevereiro 2023 - Valor Real'!C3:C15,0))+1)),((L863-1)*(1-_xlfn.XLOOKUP(K863,'Fevereiro 2023 - Valor Real'!A3:A15,'Fevereiro 2023 - Valor Real'!C3:C15,0))+1)/(((L863-1)*(1-_xlfn.XLOOKUP(K863,'Fevereiro 2023 - Valor Real'!A3:A15,'Fevereiro 2023 - Valor Real'!C3:C15,0))+1)+((L862/(L862-1)-1)*(1-_xlfn.XLOOKUP(K862,'Fevereiro 2023 - Valor Real'!A3:A15,'Fevereiro 2023 - Valor Real'!C3:C15,0))+1))),IF(I863="Lay",(((L863/(L863-1)-1)*(1-_xlfn.XLOOKUP(K863,'Fevereiro 2023 - Valor Real'!A3:A15,'Fevereiro 2023 - Valor Real'!C3:C15,0))+1))/(((L862-1)*(1-_xlfn.XLOOKUP(K862,'Fevereiro 2023 - Valor Real'!A3:A15,'Fevereiro 2023 - Valor Real'!C3:C15,0))+1)+((L863/(L863-1)-1)*(1-_xlfn.XLOOKUP(K863,'Fevereiro 2023 - Valor Real'!A3:A15,'Fevereiro 2023 - Valor Real'!C3:C15,0))+1)),((L863-1)*(1-_xlfn.XLOOKUP(K863,'Fevereiro 2023 - Valor Real'!A3:A15,'Fevereiro 2023 - Valor Real'!C3:C15,0))+1)/(((L863-1)*(1-_xlfn.XLOOKUP(K863,'Fevereiro 2023 - Valor Real'!A3:A15,'Fevereiro 2023 - Valor Real'!C3:C15,0))+1)+((L862-1)*(1-_xlfn.XLOOKUP(K862,'Fevereiro 2023 - Valor Real'!A3:A15,'Fevereiro 2023 - Valor Real'!C3:C15,0))+1))))))</f>
        <v>0.51388888888888895</v>
      </c>
      <c r="AF862" s="66">
        <f t="shared" si="1724"/>
        <v>0</v>
      </c>
      <c r="AG862" s="67">
        <f t="shared" si="1724"/>
        <v>-9.75</v>
      </c>
      <c r="AH862" s="67">
        <f t="shared" si="1724"/>
        <v>0</v>
      </c>
      <c r="AI862" s="67">
        <f t="shared" si="1724"/>
        <v>0</v>
      </c>
      <c r="AJ862" s="67">
        <f t="shared" si="1724"/>
        <v>0</v>
      </c>
      <c r="AK862" s="67">
        <f t="shared" si="1724"/>
        <v>0</v>
      </c>
      <c r="AL862" s="67">
        <f t="shared" si="1724"/>
        <v>0</v>
      </c>
      <c r="AM862" s="67">
        <f t="shared" si="1724"/>
        <v>0</v>
      </c>
      <c r="AN862" s="67">
        <f t="shared" si="1724"/>
        <v>0</v>
      </c>
      <c r="AO862" s="67">
        <f t="shared" si="1724"/>
        <v>0</v>
      </c>
      <c r="AP862" s="67">
        <f t="shared" si="1724"/>
        <v>0</v>
      </c>
      <c r="AQ862" s="67">
        <f t="shared" si="1724"/>
        <v>0</v>
      </c>
      <c r="AR862" s="68">
        <f t="shared" si="1724"/>
        <v>0</v>
      </c>
      <c r="AS862" s="66">
        <f t="shared" ref="AS862:BE862" si="1736">IF(AND($B862=" ",$K862=AS$3),$O862,0)</f>
        <v>0</v>
      </c>
      <c r="AT862" s="67">
        <f t="shared" si="1736"/>
        <v>0</v>
      </c>
      <c r="AU862" s="67">
        <f t="shared" si="1736"/>
        <v>0</v>
      </c>
      <c r="AV862" s="67">
        <f t="shared" si="1736"/>
        <v>0</v>
      </c>
      <c r="AW862" s="67">
        <f t="shared" si="1736"/>
        <v>0</v>
      </c>
      <c r="AX862" s="67">
        <f t="shared" si="1736"/>
        <v>0</v>
      </c>
      <c r="AY862" s="69">
        <f t="shared" si="1736"/>
        <v>0</v>
      </c>
      <c r="AZ862" s="70">
        <f t="shared" si="1736"/>
        <v>0</v>
      </c>
      <c r="BA862" s="70">
        <f t="shared" si="1736"/>
        <v>0</v>
      </c>
      <c r="BB862" s="70">
        <f t="shared" si="1736"/>
        <v>0</v>
      </c>
      <c r="BC862" s="71">
        <f t="shared" si="1736"/>
        <v>0</v>
      </c>
      <c r="BD862" s="67">
        <f t="shared" si="1736"/>
        <v>0</v>
      </c>
      <c r="BE862" s="68">
        <f t="shared" si="1736"/>
        <v>0</v>
      </c>
      <c r="BF862" s="230">
        <f t="shared" si="1726"/>
        <v>0</v>
      </c>
      <c r="BG862" s="67">
        <f t="shared" si="1726"/>
        <v>9.75</v>
      </c>
      <c r="BH862" s="67">
        <f t="shared" si="1726"/>
        <v>0</v>
      </c>
      <c r="BI862" s="67">
        <f t="shared" si="1726"/>
        <v>0</v>
      </c>
      <c r="BJ862" s="67">
        <f t="shared" si="1726"/>
        <v>0</v>
      </c>
      <c r="BK862" s="67">
        <f t="shared" si="1726"/>
        <v>0</v>
      </c>
      <c r="BL862" s="67">
        <f t="shared" si="1726"/>
        <v>0</v>
      </c>
      <c r="BM862" s="69">
        <f t="shared" si="1726"/>
        <v>0</v>
      </c>
      <c r="BN862" s="70">
        <f t="shared" si="1726"/>
        <v>0</v>
      </c>
      <c r="BO862" s="70">
        <f t="shared" si="1726"/>
        <v>0</v>
      </c>
      <c r="BP862" s="70">
        <f t="shared" si="1726"/>
        <v>0</v>
      </c>
      <c r="BQ862" s="71">
        <f t="shared" si="1726"/>
        <v>0</v>
      </c>
      <c r="BR862" s="68">
        <f t="shared" si="1726"/>
        <v>0</v>
      </c>
      <c r="BS862" s="490">
        <f>IF($B862="LOSS",IF(AND($K862=BS$3,$C862="L"),-$O862,0)+IF(AND($K863=BS$3,$C863="L"),-$O863,0)+IF(AND($K864=BS$3,$C864="L"),-$O864,0),IF(OR(AND($K862=BS$3,OR($C862="W",$C862="1/2W")),AND($K863=BS$3,OR($C863="W",$C863="1/2W")),AND($K864=BS$3,OR($C864="W",$C864="1/2W"))),$S862,0))</f>
        <v>0</v>
      </c>
      <c r="BT862" s="488">
        <f>IF($B862="LOSS",IF(AND($K862=BT$3,$C862="L"),-$O862,0)+IF(AND($K863=BT$3,$C863="L"),-$O863,0)+IF(AND($K863=BT$3,$C864="L"),-$O864,0),IF(OR(AND($K863=BT$3,OR($C862="W",$C862="1/2W")),AND($K863=BT$3,OR($C863="W",$C863="1/2W")),AND($K863=BT$3,OR($C864="W",$C864="1/2W"))),$S862,0))</f>
        <v>0</v>
      </c>
      <c r="BU862" s="488">
        <f>IF($B862="LOSS",IF(AND($K862=BU$3,$C862="L"),-$O862,0)+IF(AND($K863=BU$3,$C863="L"),-$O863,0)+IF(AND($K863=BU$3,$C864="L"),-$O864,0),IF(OR(AND($K863=BU$3,OR($C862="W",$C862="1/2W")),AND($K863=BU$3,OR($C863="W",$C863="1/2W")),AND($K863=BU$3,OR($C864="W",$C864="1/2W"))),$S862,0))</f>
        <v>0</v>
      </c>
      <c r="BV862" s="488">
        <f t="shared" ref="BV862:CE862" si="1737">IF($B862="LOSS",IF(AND($K862=BV$3,$C862="L"),-$O862,0)+IF(AND($K863=BV$3,$C863="L"),-$O863,0)+IF(AND($K864=BV$3,$C864="L"),-$O864,0),IF(OR(AND($K862=BV$3,OR($C862="W",$C862="1/2W")),AND($K863=BV$3,OR($C863="W",$C863="1/2W")),AND($K864=BV$3,OR($C864="W",$C864="1/2W"))),$S862,0))</f>
        <v>0</v>
      </c>
      <c r="BW862" s="488">
        <f t="shared" si="1737"/>
        <v>1.5</v>
      </c>
      <c r="BX862" s="488">
        <f t="shared" si="1737"/>
        <v>0</v>
      </c>
      <c r="BY862" s="488">
        <f t="shared" si="1737"/>
        <v>0</v>
      </c>
      <c r="BZ862" s="498">
        <f t="shared" si="1737"/>
        <v>0</v>
      </c>
      <c r="CA862" s="498">
        <f t="shared" si="1737"/>
        <v>0</v>
      </c>
      <c r="CB862" s="498">
        <f t="shared" si="1737"/>
        <v>0</v>
      </c>
      <c r="CC862" s="498">
        <f t="shared" si="1737"/>
        <v>0</v>
      </c>
      <c r="CD862" s="500">
        <f t="shared" si="1737"/>
        <v>0</v>
      </c>
      <c r="CE862" s="504">
        <f t="shared" si="1737"/>
        <v>0</v>
      </c>
      <c r="CF862" s="160">
        <f t="shared" si="1669"/>
        <v>0</v>
      </c>
      <c r="CG862" s="161">
        <f t="shared" si="1670"/>
        <v>0</v>
      </c>
      <c r="CH862" s="161">
        <f t="shared" si="1671"/>
        <v>0</v>
      </c>
      <c r="CI862" s="161">
        <f t="shared" si="1672"/>
        <v>1</v>
      </c>
      <c r="CJ862" s="161">
        <f t="shared" si="1673"/>
        <v>0</v>
      </c>
      <c r="CK862" s="161">
        <f t="shared" si="1674"/>
        <v>0</v>
      </c>
      <c r="CL862" s="161">
        <f t="shared" si="1675"/>
        <v>0</v>
      </c>
      <c r="CM862" s="161">
        <f t="shared" si="1676"/>
        <v>0</v>
      </c>
      <c r="CN862" s="161">
        <f t="shared" si="1677"/>
        <v>0</v>
      </c>
      <c r="CO862" s="161">
        <f t="shared" si="1678"/>
        <v>0</v>
      </c>
      <c r="CP862" s="161">
        <f t="shared" si="1679"/>
        <v>0</v>
      </c>
      <c r="CQ862" s="161">
        <f t="shared" si="1680"/>
        <v>0</v>
      </c>
      <c r="CR862" s="161">
        <f t="shared" si="1681"/>
        <v>0</v>
      </c>
      <c r="CS862" s="161">
        <f t="shared" si="1682"/>
        <v>0</v>
      </c>
      <c r="CT862" s="75">
        <f t="shared" si="1683"/>
        <v>0</v>
      </c>
      <c r="CU862" s="76">
        <f t="shared" si="1684"/>
        <v>0</v>
      </c>
      <c r="CV862" s="76">
        <f t="shared" si="1685"/>
        <v>0</v>
      </c>
      <c r="CW862" s="76">
        <f t="shared" si="1686"/>
        <v>0</v>
      </c>
      <c r="CX862" s="76">
        <f t="shared" si="1687"/>
        <v>0</v>
      </c>
      <c r="CY862" s="76">
        <f t="shared" si="1688"/>
        <v>0</v>
      </c>
      <c r="CZ862" s="76">
        <f t="shared" si="1689"/>
        <v>0</v>
      </c>
      <c r="DA862" s="76">
        <f t="shared" si="1690"/>
        <v>0</v>
      </c>
      <c r="DB862" s="76">
        <f t="shared" si="1691"/>
        <v>0</v>
      </c>
      <c r="DC862" s="76">
        <f t="shared" si="1692"/>
        <v>0</v>
      </c>
      <c r="DD862" s="76">
        <f t="shared" si="1693"/>
        <v>0</v>
      </c>
      <c r="DE862" s="77">
        <f t="shared" si="1694"/>
        <v>0</v>
      </c>
      <c r="DF862" s="73">
        <f t="shared" si="1696"/>
        <v>51</v>
      </c>
      <c r="DG862" s="67">
        <f t="shared" si="1697"/>
        <v>68.369</v>
      </c>
      <c r="DH862" s="76">
        <f t="shared" si="1698"/>
        <v>19</v>
      </c>
      <c r="DI862" s="67">
        <f t="shared" si="1699"/>
        <v>81.47</v>
      </c>
      <c r="DJ862" s="202" t="str">
        <f>IF($D862="","",$D862)</f>
        <v>29</v>
      </c>
      <c r="DK862" s="492">
        <f>IF(AND($B862=" ",$D862&lt;&gt;""),1,0)</f>
        <v>0</v>
      </c>
    </row>
    <row r="863" spans="1:115" ht="14.5" customHeight="1" x14ac:dyDescent="0.2">
      <c r="A863" s="389"/>
      <c r="B863" s="456"/>
      <c r="C863" s="53" t="s">
        <v>54</v>
      </c>
      <c r="D863" s="374"/>
      <c r="E863" s="386"/>
      <c r="F863" s="377"/>
      <c r="G863" s="483"/>
      <c r="H863" s="476"/>
      <c r="I863" s="55" t="s">
        <v>66</v>
      </c>
      <c r="J863" s="231">
        <v>-0.5</v>
      </c>
      <c r="K863" s="232" t="s">
        <v>40</v>
      </c>
      <c r="L863" s="58">
        <v>2.2200000000000002</v>
      </c>
      <c r="M863" s="59">
        <v>9.2200000000000006</v>
      </c>
      <c r="N863" s="406"/>
      <c r="O863" s="60">
        <f>IF(OR(AE862="",AE863=""),"",ROUND(IF(L864&gt;0,IF(M863&gt;0,M863,IF(M862&gt;0,IF(N862=TRUE,ROUND((M862*AE863)/AE862,0),(M862*AE863)/AE862),IF(M863&gt;0,ROUND(M863,IF(N862=0,2,IF(N862=0.1,1,0))),IF(M864&gt;0,ROUND(O864*AE863/AE864,IF(N862=0,2,IF(N862=0.1,1,0))),0)))),IF(M863&gt;0,M863,ROUND((M862*AE863)/AE862,IF(N862=0,2,IF(N862=0.1,1,0))))),2))</f>
        <v>9.2200000000000006</v>
      </c>
      <c r="P863" s="61">
        <f>IF(OR(L863="",O863=""),"",IF($C863="1/2W",O863/2+O863/2*L863,IF($C863="1/2L",O863/2,IF(I863="Lay",((O863*(L863/(L863-1)))-O863)*(1-_xlfn.XLOOKUP(K863,'Fevereiro 2023 - Valor Real'!A3:A15,'Fevereiro 2023 - Valor Real'!C3:C15,0))+O863,(O863*L863-O863)*(1-_xlfn.XLOOKUP(K863,'Fevereiro 2023 - Valor Real'!A3:A15,'Fevereiro 2023 - Valor Real'!C3:C15,0))+O863))))</f>
        <v>20.468400000000003</v>
      </c>
      <c r="Q863" s="233">
        <f>IF(K863="","",IF(_xlfn.XLOOKUP(K863,K$4:K862,$DJ$4:DJ862,0,,-1)=DJ863,_xlfn.XLOOKUP(K863,K$4:K862,Q$4:Q862,1,,-1)+1,1))</f>
        <v>4</v>
      </c>
      <c r="R863" s="234">
        <f>IF(K863="","",_xlfn.XLOOKUP(K863,K$4:K862,R$4:R862,0,,-1)+IF($C863=" ",1,0))</f>
        <v>0</v>
      </c>
      <c r="S863" s="403"/>
      <c r="T863" s="380"/>
      <c r="U863" s="380"/>
      <c r="V863" s="481"/>
      <c r="W863" s="380"/>
      <c r="X863" s="452"/>
      <c r="Y863" s="383"/>
      <c r="Z863" s="384"/>
      <c r="AA863" s="384"/>
      <c r="AB863" s="384"/>
      <c r="AC863" s="384"/>
      <c r="AD863" s="64">
        <f>(((L863/(L863-1)-1)*(1-_xlfn.XLOOKUP(K863,'Fevereiro 2023 - Valor Real'!A3:A15,'Fevereiro 2023 - Valor Real'!C3:C15,0))+1))</f>
        <v>1.8196721311475408</v>
      </c>
      <c r="AE863" s="65">
        <f>IF(L863="","",IF(L864&gt;0,(SUM(((L862-1)*(1-_xlfn.XLOOKUP(K862,'Fevereiro 2023 - Valor Real'!A3:A15,'Fevereiro 2023 - Valor Real'!C3:C15,0))+1),((L863-1)*(1-_xlfn.XLOOKUP(K863,'Fevereiro 2023 - Valor Real'!A3:A15,'Fevereiro 2023 - Valor Real'!C3:C15,0))+1),((L864-1)*(1-_xlfn.XLOOKUP(K864,'Fevereiro 2023 - Valor Real'!A3:A15,'Fevereiro 2023 - Valor Real'!C3:C15,0))+1))/((L863-1)*(1-_xlfn.XLOOKUP(K863,'Fevereiro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Real'!C3:C15,0))+1))/((L862-1)*(1-_xlfn.XLOOKUP(K862,'Fevereiro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Real'!C3:C15,0))+1))/((L863-1)*(1-_xlfn.XLOOKUP(K863,'Fevereiro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Real'!C3:C15,0))+1))/((L864-1)*(1-_xlfn.XLOOKUP(K864,'Fevereiro 2023 - Valor Real'!A3:A15,'Fevereiro 2023 - Valor Real'!C3:C15,0))+1)),IF(I863="Lay",IF(I862="Lay",((L862/(L862-1)-1)*(1-_xlfn.XLOOKUP(K862,'Fevereiro 2023 - Valor Real'!A3:A15,'Fevereiro 2023 - Valor Real'!C3:C15,0))+1)/(((L862/(L862-1)-1)*(1-_xlfn.XLOOKUP(K862,'Fevereiro 2023 - Valor Real'!A3:A15,'Fevereiro 2023 - Valor Real'!C3:C15,0))+1)+((L863/(L863-1)-1)*(1-_xlfn.XLOOKUP(K863,'Fevereiro 2023 - Valor Real'!A3:A15,'Fevereiro 2023 - Valor Real'!C3:C15,0))+1)),((L862-1)*(1-_xlfn.XLOOKUP(K862,'Fevereiro 2023 - Valor Real'!A3:A15,'Fevereiro 2023 - Valor Real'!C3:C15,0))+1)/(((L862-1)*(1-_xlfn.XLOOKUP(K862,'Fevereiro 2023 - Valor Real'!A3:A15,'Fevereiro 2023 - Valor Real'!C3:C15,0))+1)+((L863/(L863-1)-1)*(1-_xlfn.XLOOKUP(K863,'Fevereiro 2023 - Valor Real'!A3:A15,'Fevereiro 2023 - Valor Real'!C3:C15,0))+1))),IF(I862="Lay",((L862/(L862-1)-1)*(1-_xlfn.XLOOKUP(K862,'Fevereiro 2023 - Valor Real'!A3:A15,'Fevereiro 2023 - Valor Real'!C3:C15,0))+1)/((((L862/(L862-1)-1)*(1-_xlfn.XLOOKUP(K862,'Fevereiro 2023 - Valor Real'!A3:A15,'Fevereiro 2023 - Valor Real'!C3:C15,0))+1))+((L863-1)*(1-_xlfn.XLOOKUP(K863,'Fevereiro 2023 - Valor Real'!A3:A15,'Fevereiro 2023 - Valor Real'!C3:C15,0))+1)),((L862-1)*(1-_xlfn.XLOOKUP(K862,'Fevereiro 2023 - Valor Real'!A3:A15,'Fevereiro 2023 - Valor Real'!C3:C15,0))+1)/(((L862-1)*(1-_xlfn.XLOOKUP(K862,'Fevereiro 2023 - Valor Real'!A3:A15,'Fevereiro 2023 - Valor Real'!C3:C15,0))+1)+((L863-1)*(1-_xlfn.XLOOKUP(K863,'Fevereiro 2023 - Valor Real'!A3:A15,'Fevereiro 2023 - Valor Real'!C3:C15,0))+1))))))</f>
        <v>0.4861111111111111</v>
      </c>
      <c r="AF863" s="66">
        <f t="shared" si="1724"/>
        <v>0</v>
      </c>
      <c r="AG863" s="67">
        <f t="shared" si="1724"/>
        <v>0</v>
      </c>
      <c r="AH863" s="67">
        <f t="shared" si="1724"/>
        <v>0</v>
      </c>
      <c r="AI863" s="67">
        <f t="shared" si="1724"/>
        <v>0</v>
      </c>
      <c r="AJ863" s="67">
        <f t="shared" si="1724"/>
        <v>11.25</v>
      </c>
      <c r="AK863" s="67">
        <f t="shared" si="1724"/>
        <v>0</v>
      </c>
      <c r="AL863" s="67">
        <f t="shared" si="1724"/>
        <v>0</v>
      </c>
      <c r="AM863" s="67">
        <f t="shared" si="1724"/>
        <v>0</v>
      </c>
      <c r="AN863" s="67">
        <f t="shared" si="1724"/>
        <v>0</v>
      </c>
      <c r="AO863" s="67">
        <f t="shared" si="1724"/>
        <v>0</v>
      </c>
      <c r="AP863" s="67">
        <f t="shared" si="1724"/>
        <v>0</v>
      </c>
      <c r="AQ863" s="67">
        <f t="shared" si="1724"/>
        <v>0</v>
      </c>
      <c r="AR863" s="68">
        <f t="shared" si="1724"/>
        <v>0</v>
      </c>
      <c r="AS863" s="66">
        <f>IF(AND($B862=" ",$K863=AS$3),$O863,0)</f>
        <v>0</v>
      </c>
      <c r="AT863" s="67">
        <f>IF(AND($B862=" ",K863=AT$3),$O863,0)</f>
        <v>0</v>
      </c>
      <c r="AU863" s="67">
        <f t="shared" ref="AU863:BE863" si="1738">IF(AND($B862=" ",$K863=AU$3),$O863,0)</f>
        <v>0</v>
      </c>
      <c r="AV863" s="67">
        <f t="shared" si="1738"/>
        <v>0</v>
      </c>
      <c r="AW863" s="67">
        <f t="shared" si="1738"/>
        <v>0</v>
      </c>
      <c r="AX863" s="67">
        <f t="shared" si="1738"/>
        <v>0</v>
      </c>
      <c r="AY863" s="69">
        <f t="shared" si="1738"/>
        <v>0</v>
      </c>
      <c r="AZ863" s="70">
        <f t="shared" si="1738"/>
        <v>0</v>
      </c>
      <c r="BA863" s="70">
        <f t="shared" si="1738"/>
        <v>0</v>
      </c>
      <c r="BB863" s="70">
        <f t="shared" si="1738"/>
        <v>0</v>
      </c>
      <c r="BC863" s="71">
        <f t="shared" si="1738"/>
        <v>0</v>
      </c>
      <c r="BD863" s="67">
        <f t="shared" si="1738"/>
        <v>0</v>
      </c>
      <c r="BE863" s="68">
        <f t="shared" si="1738"/>
        <v>0</v>
      </c>
      <c r="BF863" s="66">
        <f t="shared" si="1726"/>
        <v>0</v>
      </c>
      <c r="BG863" s="67">
        <f t="shared" si="1726"/>
        <v>0</v>
      </c>
      <c r="BH863" s="67">
        <f t="shared" si="1726"/>
        <v>0</v>
      </c>
      <c r="BI863" s="67">
        <f t="shared" si="1726"/>
        <v>0</v>
      </c>
      <c r="BJ863" s="67">
        <f t="shared" si="1726"/>
        <v>9.2200000000000006</v>
      </c>
      <c r="BK863" s="67">
        <f t="shared" si="1726"/>
        <v>0</v>
      </c>
      <c r="BL863" s="67">
        <f t="shared" si="1726"/>
        <v>0</v>
      </c>
      <c r="BM863" s="235">
        <f t="shared" si="1726"/>
        <v>0</v>
      </c>
      <c r="BN863" s="159">
        <f t="shared" si="1726"/>
        <v>0</v>
      </c>
      <c r="BO863" s="159">
        <f t="shared" si="1726"/>
        <v>0</v>
      </c>
      <c r="BP863" s="159">
        <f t="shared" si="1726"/>
        <v>0</v>
      </c>
      <c r="BQ863" s="71">
        <f t="shared" si="1726"/>
        <v>0</v>
      </c>
      <c r="BR863" s="68">
        <f t="shared" si="1726"/>
        <v>0</v>
      </c>
      <c r="BS863" s="464"/>
      <c r="BT863" s="461"/>
      <c r="BU863" s="392"/>
      <c r="BV863" s="461"/>
      <c r="BW863" s="392"/>
      <c r="BX863" s="392"/>
      <c r="BY863" s="392"/>
      <c r="BZ863" s="461"/>
      <c r="CA863" s="392"/>
      <c r="CB863" s="392"/>
      <c r="CC863" s="392"/>
      <c r="CD863" s="401"/>
      <c r="CE863" s="409"/>
      <c r="CF863" s="236">
        <f t="shared" si="1669"/>
        <v>0</v>
      </c>
      <c r="CG863" s="237">
        <f t="shared" si="1670"/>
        <v>0</v>
      </c>
      <c r="CH863" s="237">
        <f t="shared" si="1671"/>
        <v>0</v>
      </c>
      <c r="CI863" s="237">
        <f t="shared" si="1672"/>
        <v>0</v>
      </c>
      <c r="CJ863" s="237">
        <f t="shared" si="1673"/>
        <v>0</v>
      </c>
      <c r="CK863" s="237">
        <f t="shared" si="1674"/>
        <v>0</v>
      </c>
      <c r="CL863" s="237">
        <f t="shared" si="1675"/>
        <v>0</v>
      </c>
      <c r="CM863" s="237">
        <f t="shared" si="1676"/>
        <v>0</v>
      </c>
      <c r="CN863" s="237">
        <f t="shared" si="1677"/>
        <v>1</v>
      </c>
      <c r="CO863" s="237">
        <f t="shared" si="1678"/>
        <v>0</v>
      </c>
      <c r="CP863" s="237">
        <f t="shared" si="1679"/>
        <v>0</v>
      </c>
      <c r="CQ863" s="237">
        <f t="shared" si="1680"/>
        <v>0</v>
      </c>
      <c r="CR863" s="237">
        <f t="shared" si="1681"/>
        <v>0</v>
      </c>
      <c r="CS863" s="237">
        <f t="shared" si="1682"/>
        <v>0</v>
      </c>
      <c r="CT863" s="75">
        <f t="shared" si="1683"/>
        <v>0</v>
      </c>
      <c r="CU863" s="76">
        <f t="shared" si="1684"/>
        <v>0</v>
      </c>
      <c r="CV863" s="76">
        <f t="shared" si="1685"/>
        <v>0</v>
      </c>
      <c r="CW863" s="76">
        <f t="shared" si="1686"/>
        <v>0</v>
      </c>
      <c r="CX863" s="76">
        <f t="shared" si="1687"/>
        <v>0</v>
      </c>
      <c r="CY863" s="76">
        <f t="shared" si="1688"/>
        <v>0</v>
      </c>
      <c r="CZ863" s="76">
        <f t="shared" si="1689"/>
        <v>0</v>
      </c>
      <c r="DA863" s="76">
        <f t="shared" si="1690"/>
        <v>0</v>
      </c>
      <c r="DB863" s="76">
        <f t="shared" si="1691"/>
        <v>0</v>
      </c>
      <c r="DC863" s="76">
        <f t="shared" si="1692"/>
        <v>0</v>
      </c>
      <c r="DD863" s="76">
        <f t="shared" si="1693"/>
        <v>0</v>
      </c>
      <c r="DE863" s="77">
        <f t="shared" si="1694"/>
        <v>0</v>
      </c>
      <c r="DF863" s="73">
        <f t="shared" si="1696"/>
        <v>51</v>
      </c>
      <c r="DG863" s="67">
        <f t="shared" si="1697"/>
        <v>68.369</v>
      </c>
      <c r="DH863" s="76">
        <f t="shared" si="1698"/>
        <v>19</v>
      </c>
      <c r="DI863" s="67">
        <f t="shared" si="1699"/>
        <v>81.47</v>
      </c>
      <c r="DJ863" s="202" t="str">
        <f>IF($D862="","",$D862)</f>
        <v>29</v>
      </c>
      <c r="DK863" s="466"/>
    </row>
    <row r="864" spans="1:115" ht="14.5" customHeight="1" x14ac:dyDescent="0.2">
      <c r="A864" s="390"/>
      <c r="B864" s="457"/>
      <c r="C864" s="79" t="s">
        <v>53</v>
      </c>
      <c r="D864" s="375"/>
      <c r="E864" s="387"/>
      <c r="F864" s="378"/>
      <c r="G864" s="484"/>
      <c r="H864" s="477"/>
      <c r="I864" s="82"/>
      <c r="J864" s="83"/>
      <c r="K864" s="90"/>
      <c r="L864" s="84"/>
      <c r="M864" s="85"/>
      <c r="N864" s="407"/>
      <c r="O864" s="86" t="str">
        <f>IF(OR(AE862="",AE863=""),"",IF(L864&gt;0,ROUND(IF(M864&gt;0,M864,IF(M862&gt;0,ROUND((M862*AE864)/AE862,IF(N862=0,2,IF(N862=0.1,1,0))),IF(M863&gt;0,ROUND((M863*AE864)/AE863,IF(N862=0,2,IF(N862=0.1,1,0))),IF(M864&gt;0,M864,0)))),2),""))</f>
        <v/>
      </c>
      <c r="P864" s="87" t="str">
        <f>IF(I863="Lay",O863*(L863/(L863-1))-O863,IF(I862="Lay",O862*(L862/(L862-1))-O862,IF(OR(L864="",O864=""),"",IF($C864="1/2W",O864/2+O864/2*L864,IF($C864="1/2L",O864/2,(O864*L864-O864)*(1-_xlfn.XLOOKUP(K864,'Fevereiro 2023 - Valor Real'!A3:A15,'Fevereiro 2023 - Valor Real'!C3:C15,0))+O864)))))</f>
        <v/>
      </c>
      <c r="Q864" s="238" t="str">
        <f>IF(K864="","",IF(_xlfn.XLOOKUP(K864,K$4:K863,$DJ$4:DJ863,0,,-1)=DJ864,_xlfn.XLOOKUP(K864,K$4:K863,Q$4:Q863,1,,-1)+1,1))</f>
        <v/>
      </c>
      <c r="R864" s="239" t="str">
        <f>IF(K864="","",_xlfn.XLOOKUP(K864,K$4:K863,R$4:R863,0,,-1)+IF($C864=" ",1,0))</f>
        <v/>
      </c>
      <c r="S864" s="404"/>
      <c r="T864" s="378"/>
      <c r="U864" s="378"/>
      <c r="V864" s="404"/>
      <c r="W864" s="378"/>
      <c r="X864" s="453"/>
      <c r="Y864" s="383"/>
      <c r="Z864" s="384"/>
      <c r="AA864" s="384"/>
      <c r="AB864" s="384"/>
      <c r="AC864" s="384"/>
      <c r="AD864" s="240">
        <f>((L863/(L863-1)-1))</f>
        <v>0.81967213114754078</v>
      </c>
      <c r="AE864" s="91" t="str">
        <f>IF(L864="","",(SUM(((L862-1)*(1-_xlfn.XLOOKUP(K862,'Fevereiro 2023 - Valor Real'!A3:A15,'Fevereiro 2023 - Valor Real'!C3:C15,0))+1),((L863-1)*(1-_xlfn.XLOOKUP(K863,'Fevereiro 2023 - Valor Real'!A3:A15,'Fevereiro 2023 - Valor Real'!C3:C15,0))+1),((L864-1)*(1-_xlfn.XLOOKUP(K864,'Fevereiro 2023 - Valor Real'!A3:A15,'Fevereiro 2023 - Valor Real'!C3:C15,0))+1))/((L864-1)*(1-_xlfn.XLOOKUP(K864,'Fevereiro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Real'!C3:C15,0))+1))/((L862-1)*(1-_xlfn.XLOOKUP(K862,'Fevereiro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Real'!C3:C15,0))+1))/((L863-1)*(1-_xlfn.XLOOKUP(K863,'Fevereiro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Real'!C3:C15,0))+1))/((L864-1)*(1-_xlfn.XLOOKUP(K864,'Fevereiro 2023 - Valor Real'!A3:A15,'Fevereiro 2023 - Valor Real'!C3:C15,0))+1)))</f>
        <v/>
      </c>
      <c r="AF864" s="66">
        <f t="shared" ref="AF864:AR873" si="1739">IF($K864=AF$3,ROUND(IF(OR($C864="W",$C864="1/2W",$C864="1/2L"),$P864-$O864,IF($C864="X",0,-$O864)),2),0)</f>
        <v>0</v>
      </c>
      <c r="AG864" s="67">
        <f t="shared" si="1739"/>
        <v>0</v>
      </c>
      <c r="AH864" s="67">
        <f t="shared" si="1739"/>
        <v>0</v>
      </c>
      <c r="AI864" s="67">
        <f t="shared" si="1739"/>
        <v>0</v>
      </c>
      <c r="AJ864" s="67">
        <f t="shared" si="1739"/>
        <v>0</v>
      </c>
      <c r="AK864" s="67">
        <f t="shared" si="1739"/>
        <v>0</v>
      </c>
      <c r="AL864" s="67">
        <f t="shared" si="1739"/>
        <v>0</v>
      </c>
      <c r="AM864" s="67">
        <f t="shared" si="1739"/>
        <v>0</v>
      </c>
      <c r="AN864" s="67">
        <f t="shared" si="1739"/>
        <v>0</v>
      </c>
      <c r="AO864" s="67">
        <f t="shared" si="1739"/>
        <v>0</v>
      </c>
      <c r="AP864" s="67">
        <f t="shared" si="1739"/>
        <v>0</v>
      </c>
      <c r="AQ864" s="67">
        <f t="shared" si="1739"/>
        <v>0</v>
      </c>
      <c r="AR864" s="68">
        <f t="shared" si="1739"/>
        <v>0</v>
      </c>
      <c r="AS864" s="66">
        <f>IF(AND($B862=" ",$K864=AS$3),$O864,0)</f>
        <v>0</v>
      </c>
      <c r="AT864" s="67">
        <f>IF(AND($B862=" ",K864=AT$3),$O864,0)</f>
        <v>0</v>
      </c>
      <c r="AU864" s="67">
        <f t="shared" ref="AU864:BE864" si="1740">IF(AND($B862=" ",$K864=AU$3),$O864,0)</f>
        <v>0</v>
      </c>
      <c r="AV864" s="67">
        <f t="shared" si="1740"/>
        <v>0</v>
      </c>
      <c r="AW864" s="67">
        <f t="shared" si="1740"/>
        <v>0</v>
      </c>
      <c r="AX864" s="67">
        <f t="shared" si="1740"/>
        <v>0</v>
      </c>
      <c r="AY864" s="69">
        <f t="shared" si="1740"/>
        <v>0</v>
      </c>
      <c r="AZ864" s="70">
        <f t="shared" si="1740"/>
        <v>0</v>
      </c>
      <c r="BA864" s="70">
        <f t="shared" si="1740"/>
        <v>0</v>
      </c>
      <c r="BB864" s="70">
        <f t="shared" si="1740"/>
        <v>0</v>
      </c>
      <c r="BC864" s="71">
        <f t="shared" si="1740"/>
        <v>0</v>
      </c>
      <c r="BD864" s="67">
        <f t="shared" si="1740"/>
        <v>0</v>
      </c>
      <c r="BE864" s="68">
        <f t="shared" si="1740"/>
        <v>0</v>
      </c>
      <c r="BF864" s="66">
        <f t="shared" ref="BF864:BR873" si="1741">IF($K864=BF$3,IF($C864="X",0,$O864),0)</f>
        <v>0</v>
      </c>
      <c r="BG864" s="67">
        <f t="shared" si="1741"/>
        <v>0</v>
      </c>
      <c r="BH864" s="67">
        <f t="shared" si="1741"/>
        <v>0</v>
      </c>
      <c r="BI864" s="67">
        <f t="shared" si="1741"/>
        <v>0</v>
      </c>
      <c r="BJ864" s="67">
        <f t="shared" si="1741"/>
        <v>0</v>
      </c>
      <c r="BK864" s="67">
        <f t="shared" si="1741"/>
        <v>0</v>
      </c>
      <c r="BL864" s="67">
        <f t="shared" si="1741"/>
        <v>0</v>
      </c>
      <c r="BM864" s="69">
        <f t="shared" si="1741"/>
        <v>0</v>
      </c>
      <c r="BN864" s="70">
        <f t="shared" si="1741"/>
        <v>0</v>
      </c>
      <c r="BO864" s="70">
        <f t="shared" si="1741"/>
        <v>0</v>
      </c>
      <c r="BP864" s="70">
        <f t="shared" si="1741"/>
        <v>0</v>
      </c>
      <c r="BQ864" s="71">
        <f t="shared" si="1741"/>
        <v>0</v>
      </c>
      <c r="BR864" s="68">
        <f t="shared" si="1741"/>
        <v>0</v>
      </c>
      <c r="BS864" s="464"/>
      <c r="BT864" s="461"/>
      <c r="BU864" s="392"/>
      <c r="BV864" s="461"/>
      <c r="BW864" s="392"/>
      <c r="BX864" s="392"/>
      <c r="BY864" s="392"/>
      <c r="BZ864" s="461"/>
      <c r="CA864" s="392"/>
      <c r="CB864" s="392"/>
      <c r="CC864" s="392"/>
      <c r="CD864" s="401"/>
      <c r="CE864" s="409"/>
      <c r="CF864" s="236">
        <f t="shared" si="1669"/>
        <v>0</v>
      </c>
      <c r="CG864" s="237">
        <f t="shared" si="1670"/>
        <v>0</v>
      </c>
      <c r="CH864" s="237">
        <f t="shared" si="1671"/>
        <v>0</v>
      </c>
      <c r="CI864" s="237">
        <f t="shared" si="1672"/>
        <v>0</v>
      </c>
      <c r="CJ864" s="237">
        <f t="shared" si="1673"/>
        <v>0</v>
      </c>
      <c r="CK864" s="237">
        <f t="shared" si="1674"/>
        <v>0</v>
      </c>
      <c r="CL864" s="237">
        <f t="shared" si="1675"/>
        <v>0</v>
      </c>
      <c r="CM864" s="237">
        <f t="shared" si="1676"/>
        <v>0</v>
      </c>
      <c r="CN864" s="237">
        <f t="shared" si="1677"/>
        <v>0</v>
      </c>
      <c r="CO864" s="237">
        <f t="shared" si="1678"/>
        <v>0</v>
      </c>
      <c r="CP864" s="237">
        <f t="shared" si="1679"/>
        <v>0</v>
      </c>
      <c r="CQ864" s="237">
        <f t="shared" si="1680"/>
        <v>0</v>
      </c>
      <c r="CR864" s="237">
        <f t="shared" si="1681"/>
        <v>0</v>
      </c>
      <c r="CS864" s="237">
        <f t="shared" si="1682"/>
        <v>0</v>
      </c>
      <c r="CT864" s="75">
        <f t="shared" si="1683"/>
        <v>0</v>
      </c>
      <c r="CU864" s="76">
        <f t="shared" si="1684"/>
        <v>0</v>
      </c>
      <c r="CV864" s="76">
        <f t="shared" si="1685"/>
        <v>0</v>
      </c>
      <c r="CW864" s="76">
        <f t="shared" si="1686"/>
        <v>0</v>
      </c>
      <c r="CX864" s="76">
        <f t="shared" si="1687"/>
        <v>0</v>
      </c>
      <c r="CY864" s="76">
        <f t="shared" si="1688"/>
        <v>0</v>
      </c>
      <c r="CZ864" s="76">
        <f t="shared" si="1689"/>
        <v>0</v>
      </c>
      <c r="DA864" s="76">
        <f t="shared" si="1690"/>
        <v>0</v>
      </c>
      <c r="DB864" s="76">
        <f t="shared" si="1691"/>
        <v>0</v>
      </c>
      <c r="DC864" s="76">
        <f t="shared" si="1692"/>
        <v>0</v>
      </c>
      <c r="DD864" s="76">
        <f t="shared" si="1693"/>
        <v>0</v>
      </c>
      <c r="DE864" s="77">
        <f t="shared" si="1694"/>
        <v>0</v>
      </c>
      <c r="DF864" s="73">
        <f t="shared" si="1696"/>
        <v>51</v>
      </c>
      <c r="DG864" s="67">
        <f t="shared" si="1697"/>
        <v>68.369</v>
      </c>
      <c r="DH864" s="76">
        <f t="shared" si="1698"/>
        <v>19</v>
      </c>
      <c r="DI864" s="67">
        <f t="shared" si="1699"/>
        <v>81.47</v>
      </c>
      <c r="DJ864" s="202" t="str">
        <f>IF($D862="","",$D862)</f>
        <v>29</v>
      </c>
      <c r="DK864" s="466"/>
    </row>
    <row r="865" spans="1:115" ht="14.5" customHeight="1" x14ac:dyDescent="0.2">
      <c r="A865" s="459">
        <f>$A862+1</f>
        <v>288</v>
      </c>
      <c r="B865" s="507" t="str">
        <f>IF(OR(C865="W",C866="W",C867="W",C865="1/2W",C866="1/2W",C867="1/2W",C865="1/2L",C866="1/2L",C867="1/2L"),"OK",IF(OR(C865="L",C866="L",C867="L"),"LOSS",IF(OR(C865="X",C866="X",C867="X"),"Anulado"," ")))</f>
        <v>OK</v>
      </c>
      <c r="C865" s="93" t="s">
        <v>55</v>
      </c>
      <c r="D865" s="468" t="str">
        <f>IF(G865="","",$D862)</f>
        <v>29</v>
      </c>
      <c r="E865" s="485" t="str">
        <f>IF(G865=""," ","– "&amp;COUNTIF(D$4:D867,$D865))</f>
        <v>– 5</v>
      </c>
      <c r="F865" s="509" t="str">
        <f ca="1">IF(G865="","",IF(OR(AND($C865&lt;&gt;" ",$C866=" "),AND($C866&lt;&gt;" ",$C865=" "),AND(L867&gt;0,OR(AND($C867&lt;&gt;" ",OR($C865=" ",$C866=" ")),AND($C867=" ",OR($C865&lt;&gt;" ",$C866&lt;&gt;" "))))),IF(SUM(F$4:F864)=0,1,LARGE(F$4:F864,1)+1),IF(MONTH(G865)=MONTH(TODAY()),IF(AND(DAY(G865)&lt;DAY(TODAY()),$B865=" "),IF(SUM(F$4:F864)=0,1,LARGE(F$4:F864,1)+1),IF($B865=" ",IF(AND(DAY(G865)=DAY(TODAY()),HOUR(G865)&lt;=HOUR(NOW())+1),IF(AND(HOUR(G865)+2&lt;=HOUR(NOW()),DAY(G865)&lt;=DAY(TODAY()),MINUTE(G865)&lt;=MINUTE(NOW())),IF(SUM(F$4:F864)=0,1,LARGE(F$4:F864,1)+1),IF(OR(MINUTE(G865)&lt;=MINUTE(NOW()),HOUR(G865)&lt;=HOUR(NOW())),"!!!","")),""),"")),"")))</f>
        <v/>
      </c>
      <c r="G865" s="482">
        <v>45014.666666666664</v>
      </c>
      <c r="H865" s="475" t="s">
        <v>289</v>
      </c>
      <c r="I865" s="175">
        <v>2</v>
      </c>
      <c r="J865" s="176"/>
      <c r="K865" s="96" t="s">
        <v>37</v>
      </c>
      <c r="L865" s="97">
        <v>5.5</v>
      </c>
      <c r="M865" s="98">
        <v>9.67</v>
      </c>
      <c r="N865" s="478">
        <v>0</v>
      </c>
      <c r="O865" s="99">
        <f>IF(OR(AE865="",AE866=""),"",ROUND(IF(L867&gt;0,IF(M865&gt;0,M865,IF(M866&gt;0,ROUND((M866*AE865)/AE866,IF(N865=0,2,IF(N865=0.1,1,0))),ROUND((M867*AE865)/AE867,IF(N865=0,2,IF(N865=0.1,1,0))))),IF(M865&gt;0,M865,ROUND((M866*AE865)/AE866,IF(N865=0,2,IF(N865=0.1,1,0))))),2))</f>
        <v>9.67</v>
      </c>
      <c r="P865" s="100">
        <f>IF(OR(L865="",O865=""),"",IF($C865="1/2W",O865/2+O865/2*L865,IF($C865="1/2L",O865/2,IF(I865="Lay",(O865*(L865/(L865-1))-O865)*(1-_xlfn.XLOOKUP(K865,'Fevereiro 2023 - Valor Real'!A3:A15,'Fevereiro 2023 - Valor Real'!C3:C15,0))+O865,(O865*L865-O865)*(1-_xlfn.XLOOKUP(K865,'Fevereiro 2023 - Valor Real'!A3:A15,'Fevereiro 2023 - Valor Real'!C3:C15,0))+O865))))</f>
        <v>53.185000000000002</v>
      </c>
      <c r="Q865" s="101">
        <f>IF(K865="","",IF(_xlfn.XLOOKUP(K865,K$4:K864,$DJ$4:DJ864,0,,-1)=DJ865,_xlfn.XLOOKUP(K865,K$4:K864,Q$4:Q864,1,,-1)+1,1))</f>
        <v>2</v>
      </c>
      <c r="R865" s="102">
        <f>IF(K865="","",_xlfn.XLOOKUP(K865,K$4:K864,R$4:R864,0,,-1)+IF($C865=" ",1,0))</f>
        <v>0</v>
      </c>
      <c r="S865" s="474">
        <f>IF($B865="Anulado",0,ROUND(IF(OR($B865="LOSS",$B865="OK"),IF(OR($C865="W",$C865="1/2W",$C865="1/2L"),P865-O865,IF($C865="L",-O865,0))+IF(OR($C866="W",$C866="1/2W",$C866="1/2L"),P866-O866,IF($C866="L",-O866,0))+IF(OR($C867="W",$C867="1/2W",$C867="1/2L"),P867-O867,IF($C867="L",-O867,0)),IF(AND(OR($C865="W",$C865="1/2W",$C865="1/2L"),C866="W"),P865+P866-SUM(O865:O867)+_xlfn.XLOOKUP("X",C865:C867,O865:O867,0),IF(AND(C865=TRUE,C867="W"),P865+P867-SUM(O865:O867),IF(AND(C866="W",C867="W"),P866+P867-SUM(O865:O867)+_xlfn.XLOOKUP("X",C865:C867,O865:O867,0),IF(L867&gt;0,IF(OR($C865="W",$C865="1/2W",$C865="1/2L"),P865-SUM(O865:O867)+_xlfn.XLOOKUP("X",C865:C867,O865:O867,0),IF(OR($C865="W",$C865="1/2W",$C865="1/2L"),P866-SUM(O865:O867)+_xlfn.XLOOKUP("X",C865:C867,O865:O867,0),IF(OR($C865="W",$C865="1/2W",$C865="1/2L"),P867-SUM(O865:O867)+_xlfn.XLOOKUP("X",C865:C867,O865:O867,0),IF(SUM(P865:P867)/3-SUM(O865:O867)+_xlfn.XLOOKUP("X",C865:C867,O865:O867,0)&gt;0,SUM(P865:P867)/3-SUM(O865:O867)+_xlfn.XLOOKUP("X",C865:C867,O865:O867,0),LARGE(P865:P867,1)-SUM(O865:O867))))),IF(OR($C865="W",$C865="1/2W",$C865="1/2L"),P865-SUM(O865:O866)+_xlfn.XLOOKUP("X",C865:C867,O865:O867,0),IF(OR($C865="W",$C865="1/2W",$C865="1/2L"),P866-SUM(O865:O866)+_xlfn.XLOOKUP("X",C865:C867,O865:O867,0),SUM(P865:P866)/2-SUM(O865:O866)+_xlfn.XLOOKUP("X",C865:C867,O865:O867,0)))))))),2))</f>
        <v>3.13</v>
      </c>
      <c r="T865" s="458">
        <f>IF(S865=0,0,S865/SUM(O865:O867))</f>
        <v>6.2226640159045728E-2</v>
      </c>
      <c r="U865" s="470">
        <f>IF($D865=$D862,IF(OR($B865="LOSS",$B865="OK",$B865="Anulada"),S865,0)+U862,IF(OR($B865="LOSS",$B865="OK",$B865="Anulada"),S865,0))</f>
        <v>8.89</v>
      </c>
      <c r="V865" s="470">
        <f>IF($D865="",0,IF($D865=$D862,IF($B865=" ",IF(I867="",IF(OR(AND(I865="DNB1",I866="DNB2"),AND(OR(I865="DNB1",I865="DNB2"),J866=0),AND(OR(I866="DNB1",I866="DNB2"),J865=0),AND(I865="DNB2",I866="DNB1"),AND(IF(J865=0,(J865+1)/ROUND(J865+1,0),J865/ROUND(J865,0))=1,IF(J866=0,(J866+1)/ROUND(IF(J866="",0,J866)+1,0),IF(J866="",0,J866)/ROUND(IF(J866="",1,J866),0))=1,OR(J865&lt;&gt;""),J866&lt;&gt;"")),0,IF(S865&lt;0,IF(I867="",SMALL(P865:P866,1)-SUM(O865:O866),0),SMALL(P865:P866,1)-SUM(O865:O866))),IF(S865&lt;0,IF(I867="",SMALL(P865:P867,1)-SUM(O865:O867),0),LARGE(P865:P867,1)-SUM(O865:O867))),S865)+V862,IF(I867="",IF(OR(AND(I865="DNB1",I866="DNB2"),AND(OR(I865="DNB1",I865="DNB2"),J866=0),AND(OR(I866="DNB1",I866="DNB2"),J865=0),AND(I865="DNB2",I866="DNB1"),AND(IF(J865=0,(J865+1)/ROUND(J865+1,0),J865/ROUND(J865,0))=1,IF(J866=0,(IF(J866="",0,J866)+1)/ROUND(IF(J866="",0,J866)+1,0),IF(J866="",0,J866)/ROUND(IF(J866="",0,J866)+1,0))=1,OR(J865&lt;&gt;""),J866&lt;&gt;"")),0,IF(S865&lt;0,IF(I867="",SMALL(P865:P866,1)-SUM(O865:O866),0),SMALL(P865:P867,1)-SUM(O865:O867))),IF(S865&lt;0,IF(I867="",SMALL(P865:P867,1)-SUM(O865:O867),0),LARGE(P865:P867,1)-SUM(O865:O867)))))</f>
        <v>8.8862000000000023</v>
      </c>
      <c r="W865" s="470">
        <f>IF($D865=$D862,IF(S865&lt;0,IF(I867="",S865,0),S865)+W862,S865)</f>
        <v>8.89</v>
      </c>
      <c r="X865" s="480" t="str">
        <f>IF(OR(SUM(R865:R867)=0,V865=W865),ROUND(IF(W865=0,0,W865/Y865)*100,2)&amp;"%",ROUND(IF(V865=0,0,V865/Y865)*100,2)&amp;"% a "&amp;ROUND(IF(W865=0,0,W865/Y865)*100,2)&amp;"%")</f>
        <v>6,47%</v>
      </c>
      <c r="Y865" s="471">
        <f>IF($D865=$D862,Y862+SUM(O865:O867),SUM(O865:O867))</f>
        <v>137.39999999999998</v>
      </c>
      <c r="Z865" s="470">
        <f>IF($B865=" ",SUM(O865:O867),0)+Z862</f>
        <v>0</v>
      </c>
      <c r="AA865" s="470">
        <f>IF(G865="","",IF($B865="Anulado",LARGE(P865:P867,1)-SUM(O865:O867)+AA862,AA862))</f>
        <v>13.381099999999991</v>
      </c>
      <c r="AB865" s="470">
        <f>IF($D865="","",AB862+S865)</f>
        <v>992.58000000000095</v>
      </c>
      <c r="AC865" s="472">
        <f ca="1">IF($D865="","",IF($B865=" ",IF(DAY(G865)=DAY(TODAY()),1+AC862,0+AC862),0+AC862))</f>
        <v>0</v>
      </c>
      <c r="AD865" s="103">
        <f>(((L866/(L866-1)-1)*(1-_xlfn.XLOOKUP(K866,'Fevereiro 2023 - Valor Real'!A3:A15,'Fevereiro 2023 - Valor Real'!C3:C15,0))+1))/(((L865-1)*(1-_xlfn.XLOOKUP(K865,'Fevereiro 2023 - Valor Real'!A3:A15,'Fevereiro 2023 - Valor Real'!C3:C15,0))+1)+((L866/(L866-1)-1)*(1-_xlfn.XLOOKUP(K866,'Fevereiro 2023 - Valor Real'!A3:A15,'Fevereiro 2023 - Valor Real'!C3:C15,0))+1))</f>
        <v>0.18947368421052632</v>
      </c>
      <c r="AE865" s="104">
        <f>IF(L865="","",IF(L867&gt;0,(SUM(((L865-1)*(1-_xlfn.XLOOKUP(K865,'Fevereiro 2023 - Valor Real'!A3:A15,'Fevereiro 2023 - Valor Real'!C3:C15,0))+1),((L866-1)*(1-_xlfn.XLOOKUP(K866,'Fevereiro 2023 - Valor Real'!A3:A15,'Fevereiro 2023 - Valor Real'!C3:C15,0))+1),((L867-1)*(1-_xlfn.XLOOKUP(K867,'Fevereiro 2023 - Valor Real'!A3:A15,'Fevereiro 2023 - Valor Real'!C3:C15,0))+1))/((L865-1)*(1-_xlfn.XLOOKUP(K865,'Fevereiro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Real'!C3:C15,0))+1))/((L865-1)*(1-_xlfn.XLOOKUP(K865,'Fevereiro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Real'!C3:C15,0))+1))/((L866-1)*(1-_xlfn.XLOOKUP(K866,'Fevereiro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Real'!C3:C15,0))+1))/((L867-1)*(1-_xlfn.XLOOKUP(K867,'Fevereiro 2023 - Valor Real'!A3:A15,'Fevereiro 2023 - Valor Real'!C3:C15,0))+1)),IF(I865="Lay",IF(I866="Lay",((L866/(L866-1)-1)*(1-_xlfn.XLOOKUP(K866,'Fevereiro 2023 - Valor Real'!A3:A15,'Fevereiro 2023 - Valor Real'!C3:C15,0))+1)/(((L866/(L866-1)-1)*(1-_xlfn.XLOOKUP(K866,'Fevereiro 2023 - Valor Real'!A3:A15,'Fevereiro 2023 - Valor Real'!C3:C15,0))+1)+((L865/(L865-1)-1)*(1-_xlfn.XLOOKUP(K865,'Fevereiro 2023 - Valor Real'!A3:A15,'Fevereiro 2023 - Valor Real'!C3:C15,0))+1)),((L866-1)*(1-_xlfn.XLOOKUP(K866,'Fevereiro 2023 - Valor Real'!A3:A15,'Fevereiro 2023 - Valor Real'!C3:C15,0))+1)/(((L866-1)*(1-_xlfn.XLOOKUP(K866,'Fevereiro 2023 - Valor Real'!A3:A15,'Fevereiro 2023 - Valor Real'!C3:C15,0))+1)+((L865/(L865-1)-1)*(1-_xlfn.XLOOKUP(K865,'Fevereiro 2023 - Valor Real'!A3:A15,'Fevereiro 2023 - Valor Real'!C3:C15,0))+1))),IF(I866="Lay",(((L866/(L866-1)-1)*(1-_xlfn.XLOOKUP(K866,'Fevereiro 2023 - Valor Real'!A3:A15,'Fevereiro 2023 - Valor Real'!C3:C15,0))+1))/(((L865-1)*(1-_xlfn.XLOOKUP(K865,'Fevereiro 2023 - Valor Real'!A3:A15,'Fevereiro 2023 - Valor Real'!C3:C15,0))+1)+((L866/(L866-1)-1)*(1-_xlfn.XLOOKUP(K866,'Fevereiro 2023 - Valor Real'!A3:A15,'Fevereiro 2023 - Valor Real'!C3:C15,0))+1)),((L866-1)*(1-_xlfn.XLOOKUP(K866,'Fevereiro 2023 - Valor Real'!A3:A15,'Fevereiro 2023 - Valor Real'!C3:C15,0))+1)/(((L866-1)*(1-_xlfn.XLOOKUP(K866,'Fevereiro 2023 - Valor Real'!A3:A15,'Fevereiro 2023 - Valor Real'!C3:C15,0))+1)+((L865-1)*(1-_xlfn.XLOOKUP(K865,'Fevereiro 2023 - Valor Real'!A3:A15,'Fevereiro 2023 - Valor Real'!C3:C15,0))+1))))))</f>
        <v>0.16580760398060732</v>
      </c>
      <c r="AF865" s="105">
        <f t="shared" si="1739"/>
        <v>0</v>
      </c>
      <c r="AG865" s="106">
        <f t="shared" si="1739"/>
        <v>-9.67</v>
      </c>
      <c r="AH865" s="106">
        <f t="shared" si="1739"/>
        <v>0</v>
      </c>
      <c r="AI865" s="106">
        <f t="shared" si="1739"/>
        <v>0</v>
      </c>
      <c r="AJ865" s="106">
        <f t="shared" si="1739"/>
        <v>0</v>
      </c>
      <c r="AK865" s="106">
        <f t="shared" si="1739"/>
        <v>0</v>
      </c>
      <c r="AL865" s="106">
        <f t="shared" si="1739"/>
        <v>0</v>
      </c>
      <c r="AM865" s="106">
        <f t="shared" si="1739"/>
        <v>0</v>
      </c>
      <c r="AN865" s="106">
        <f t="shared" si="1739"/>
        <v>0</v>
      </c>
      <c r="AO865" s="106">
        <f t="shared" si="1739"/>
        <v>0</v>
      </c>
      <c r="AP865" s="106">
        <f t="shared" si="1739"/>
        <v>0</v>
      </c>
      <c r="AQ865" s="106">
        <f t="shared" si="1739"/>
        <v>0</v>
      </c>
      <c r="AR865" s="107">
        <f t="shared" si="1739"/>
        <v>0</v>
      </c>
      <c r="AS865" s="105">
        <f t="shared" ref="AS865:BE865" si="1742">IF(AND($B865=" ",$K865=AS$3),$O865,0)</f>
        <v>0</v>
      </c>
      <c r="AT865" s="106">
        <f t="shared" si="1742"/>
        <v>0</v>
      </c>
      <c r="AU865" s="106">
        <f t="shared" si="1742"/>
        <v>0</v>
      </c>
      <c r="AV865" s="106">
        <f t="shared" si="1742"/>
        <v>0</v>
      </c>
      <c r="AW865" s="106">
        <f t="shared" si="1742"/>
        <v>0</v>
      </c>
      <c r="AX865" s="106">
        <f t="shared" si="1742"/>
        <v>0</v>
      </c>
      <c r="AY865" s="108">
        <f t="shared" si="1742"/>
        <v>0</v>
      </c>
      <c r="AZ865" s="109">
        <f t="shared" si="1742"/>
        <v>0</v>
      </c>
      <c r="BA865" s="109">
        <f t="shared" si="1742"/>
        <v>0</v>
      </c>
      <c r="BB865" s="109">
        <f t="shared" si="1742"/>
        <v>0</v>
      </c>
      <c r="BC865" s="110">
        <f t="shared" si="1742"/>
        <v>0</v>
      </c>
      <c r="BD865" s="106">
        <f t="shared" si="1742"/>
        <v>0</v>
      </c>
      <c r="BE865" s="107">
        <f t="shared" si="1742"/>
        <v>0</v>
      </c>
      <c r="BF865" s="111">
        <f t="shared" si="1741"/>
        <v>0</v>
      </c>
      <c r="BG865" s="106">
        <f t="shared" si="1741"/>
        <v>9.67</v>
      </c>
      <c r="BH865" s="106">
        <f t="shared" si="1741"/>
        <v>0</v>
      </c>
      <c r="BI865" s="106">
        <f t="shared" si="1741"/>
        <v>0</v>
      </c>
      <c r="BJ865" s="106">
        <f t="shared" si="1741"/>
        <v>0</v>
      </c>
      <c r="BK865" s="106">
        <f t="shared" si="1741"/>
        <v>0</v>
      </c>
      <c r="BL865" s="106">
        <f t="shared" si="1741"/>
        <v>0</v>
      </c>
      <c r="BM865" s="108">
        <f t="shared" si="1741"/>
        <v>0</v>
      </c>
      <c r="BN865" s="109">
        <f t="shared" si="1741"/>
        <v>0</v>
      </c>
      <c r="BO865" s="109">
        <f t="shared" si="1741"/>
        <v>0</v>
      </c>
      <c r="BP865" s="109">
        <f t="shared" si="1741"/>
        <v>0</v>
      </c>
      <c r="BQ865" s="110">
        <f t="shared" si="1741"/>
        <v>0</v>
      </c>
      <c r="BR865" s="107">
        <f t="shared" si="1741"/>
        <v>0</v>
      </c>
      <c r="BS865" s="463">
        <f>IF($B865="LOSS",IF(AND($K865=BS$3,$C865="L"),-$O865,0)+IF(AND($K866=BS$3,$C866="L"),-$O866,0)+IF(AND($K867=BS$3,$C867="L"),-$O867,0),IF(OR(AND($K865=BS$3,OR($C865="W",$C865="1/2W")),AND($K866=BS$3,OR($C866="W",$C866="1/2W")),AND($K867=BS$3,OR($C867="W",$C867="1/2W"))),$S865,0))</f>
        <v>3.13</v>
      </c>
      <c r="BT865" s="462">
        <f>IF($B865="LOSS",IF(AND($K865=BT$3,$C865="L"),-$O865,0)+IF(AND($K866=BT$3,$C866="L"),-$O866,0)+IF(AND($K866=BT$3,$C867="L"),-$O867,0),IF(OR(AND($K866=BT$3,OR($C865="W",$C865="1/2W")),AND($K866=BT$3,OR($C866="W",$C866="1/2W")),AND($K866=BT$3,OR($C867="W",$C867="1/2W"))),$S865,0))</f>
        <v>3.13</v>
      </c>
      <c r="BU865" s="462">
        <f>IF($B865="LOSS",IF(AND($K865=BU$3,$C865="L"),-$O865,0)+IF(AND($K866=BU$3,$C866="L"),-$O866,0)+IF(AND($K866=BU$3,$C867="L"),-$O867,0),IF(OR(AND($K866=BU$3,OR($C865="W",$C865="1/2W")),AND($K866=BU$3,OR($C866="W",$C866="1/2W")),AND($K866=BU$3,OR($C867="W",$C867="1/2W"))),$S865,0))</f>
        <v>0</v>
      </c>
      <c r="BV865" s="462">
        <f t="shared" ref="BV865:CE865" si="1743">IF($B865="LOSS",IF(AND($K865=BV$3,$C865="L"),-$O865,0)+IF(AND($K866=BV$3,$C866="L"),-$O866,0)+IF(AND($K867=BV$3,$C867="L"),-$O867,0),IF(OR(AND($K865=BV$3,OR($C865="W",$C865="1/2W")),AND($K866=BV$3,OR($C866="W",$C866="1/2W")),AND($K867=BV$3,OR($C867="W",$C867="1/2W"))),$S865,0))</f>
        <v>0</v>
      </c>
      <c r="BW865" s="462">
        <f t="shared" si="1743"/>
        <v>0</v>
      </c>
      <c r="BX865" s="462">
        <f t="shared" si="1743"/>
        <v>0</v>
      </c>
      <c r="BY865" s="462">
        <f t="shared" si="1743"/>
        <v>0</v>
      </c>
      <c r="BZ865" s="460">
        <f t="shared" si="1743"/>
        <v>0</v>
      </c>
      <c r="CA865" s="460">
        <f t="shared" si="1743"/>
        <v>0</v>
      </c>
      <c r="CB865" s="460">
        <f t="shared" si="1743"/>
        <v>0</v>
      </c>
      <c r="CC865" s="460">
        <f t="shared" si="1743"/>
        <v>0</v>
      </c>
      <c r="CD865" s="473">
        <f t="shared" si="1743"/>
        <v>0</v>
      </c>
      <c r="CE865" s="479">
        <f t="shared" si="1743"/>
        <v>0</v>
      </c>
      <c r="CF865" s="113">
        <f t="shared" si="1669"/>
        <v>0</v>
      </c>
      <c r="CG865" s="114">
        <f t="shared" si="1670"/>
        <v>0</v>
      </c>
      <c r="CH865" s="114">
        <f t="shared" si="1671"/>
        <v>0</v>
      </c>
      <c r="CI865" s="114">
        <f t="shared" si="1672"/>
        <v>1</v>
      </c>
      <c r="CJ865" s="114">
        <f t="shared" si="1673"/>
        <v>0</v>
      </c>
      <c r="CK865" s="114">
        <f t="shared" si="1674"/>
        <v>0</v>
      </c>
      <c r="CL865" s="114">
        <f t="shared" si="1675"/>
        <v>0</v>
      </c>
      <c r="CM865" s="114">
        <f t="shared" si="1676"/>
        <v>0</v>
      </c>
      <c r="CN865" s="114">
        <f t="shared" si="1677"/>
        <v>0</v>
      </c>
      <c r="CO865" s="114">
        <f t="shared" si="1678"/>
        <v>0</v>
      </c>
      <c r="CP865" s="114">
        <f t="shared" si="1679"/>
        <v>0</v>
      </c>
      <c r="CQ865" s="114">
        <f t="shared" si="1680"/>
        <v>0</v>
      </c>
      <c r="CR865" s="114">
        <f t="shared" si="1681"/>
        <v>0</v>
      </c>
      <c r="CS865" s="114">
        <f t="shared" si="1682"/>
        <v>0</v>
      </c>
      <c r="CT865" s="115">
        <f t="shared" si="1683"/>
        <v>0</v>
      </c>
      <c r="CU865" s="116">
        <f t="shared" si="1684"/>
        <v>0</v>
      </c>
      <c r="CV865" s="116">
        <f t="shared" si="1685"/>
        <v>0</v>
      </c>
      <c r="CW865" s="116">
        <f t="shared" si="1686"/>
        <v>0</v>
      </c>
      <c r="CX865" s="116">
        <f t="shared" si="1687"/>
        <v>0</v>
      </c>
      <c r="CY865" s="116">
        <f t="shared" si="1688"/>
        <v>0</v>
      </c>
      <c r="CZ865" s="116">
        <f t="shared" si="1689"/>
        <v>0</v>
      </c>
      <c r="DA865" s="116">
        <f t="shared" si="1690"/>
        <v>0</v>
      </c>
      <c r="DB865" s="116">
        <f t="shared" si="1691"/>
        <v>0</v>
      </c>
      <c r="DC865" s="116">
        <f t="shared" si="1692"/>
        <v>0</v>
      </c>
      <c r="DD865" s="116">
        <f t="shared" si="1693"/>
        <v>0</v>
      </c>
      <c r="DE865" s="117">
        <f t="shared" si="1694"/>
        <v>0</v>
      </c>
      <c r="DF865" s="118">
        <f t="shared" si="1696"/>
        <v>51</v>
      </c>
      <c r="DG865" s="106">
        <f t="shared" si="1697"/>
        <v>68.369</v>
      </c>
      <c r="DH865" s="116">
        <f t="shared" si="1698"/>
        <v>19</v>
      </c>
      <c r="DI865" s="106">
        <f t="shared" si="1699"/>
        <v>81.47</v>
      </c>
      <c r="DJ865" s="201" t="str">
        <f>IF($D865="","",$D865)</f>
        <v>29</v>
      </c>
      <c r="DK865" s="465">
        <f>IF(AND($B865=" ",$D865&lt;&gt;""),1,0)</f>
        <v>0</v>
      </c>
    </row>
    <row r="866" spans="1:115" ht="14.5" customHeight="1" x14ac:dyDescent="0.2">
      <c r="A866" s="389"/>
      <c r="B866" s="456"/>
      <c r="C866" s="120" t="s">
        <v>55</v>
      </c>
      <c r="D866" s="374"/>
      <c r="E866" s="386"/>
      <c r="F866" s="377"/>
      <c r="G866" s="483"/>
      <c r="H866" s="476"/>
      <c r="I866" s="121" t="s">
        <v>49</v>
      </c>
      <c r="J866" s="179" t="str">
        <f>IF(OR(I865="TO",I865="TU",I865="TO1",I865="TU1",I865="TO2",I865="TU2"),J865,IF(OR(I865="AH1",I865="AH2"),IF(OR(I866="AH1",I866="AH2"),-J865,IF(OR(I866="EH1",I866="EH2"),-J865+0.5,"")),IF(OR(I865="EH1",I865="EH2"),IF(OR(I866="AH1",I866="AH2"),-J865+0.5,IF(OR(I866="EH1",I866="EH2"),-J865+1,"")),IF(AND(OR(I865="DNB1",I865="DNB2"),OR(I866="AH1",I866="AH2")),0,IF(AND(I865="Not ScoreBoth",OR(I866="TO1",I866="TO2")),0.5,"")))))</f>
        <v/>
      </c>
      <c r="K866" s="123" t="s">
        <v>37</v>
      </c>
      <c r="L866" s="124">
        <v>4.5</v>
      </c>
      <c r="M866" s="125">
        <v>3.63</v>
      </c>
      <c r="N866" s="406"/>
      <c r="O866" s="126">
        <f>IF(OR(AE865="",AE866=""),"",ROUND(IF(L867&gt;0,IF(M866&gt;0,M866,IF(M865&gt;0,IF(N865=TRUE,ROUND((M865*AE866)/AE865,0),(M865*AE866)/AE865),IF(M866&gt;0,ROUND(M866,IF(N865=0,2,IF(N865=0.1,1,0))),IF(M867&gt;0,ROUND(O867*AE866/AE867,IF(N865=0,2,IF(N865=0.1,1,0))),0)))),IF(M866&gt;0,M866,ROUND((M865*AE866)/AE865,IF(N865=0,2,IF(N865=0.1,1,0))))),2))</f>
        <v>3.63</v>
      </c>
      <c r="P866" s="127">
        <f>IF(OR(L866="",O866=""),"",IF($C866="1/2W",O866/2+O866/2*L866,IF($C866="1/2L",O866/2,IF(I866="Lay",((O866*(L866/(L866-1)))-O866)*(1-_xlfn.XLOOKUP(K866,'Fevereiro 2023 - Valor Real'!A3:A15,'Fevereiro 2023 - Valor Real'!C3:C15,0))+O866,(O866*L866-O866)*(1-_xlfn.XLOOKUP(K866,'Fevereiro 2023 - Valor Real'!A3:A15,'Fevereiro 2023 - Valor Real'!C3:C15,0))+O866))))</f>
        <v>16.335000000000001</v>
      </c>
      <c r="Q866" s="128">
        <f>IF(K866="","",IF(_xlfn.XLOOKUP(K866,K$4:K865,$DJ$4:DJ865,0,,-1)=DJ866,_xlfn.XLOOKUP(K866,K$4:K865,Q$4:Q865,1,,-1)+1,1))</f>
        <v>3</v>
      </c>
      <c r="R866" s="129">
        <f>IF(K866="","",_xlfn.XLOOKUP(K866,K$4:K865,R$4:R865,0,,-1)+IF($C866=" ",1,0))</f>
        <v>0</v>
      </c>
      <c r="S866" s="403"/>
      <c r="T866" s="380"/>
      <c r="U866" s="380"/>
      <c r="V866" s="481"/>
      <c r="W866" s="380"/>
      <c r="X866" s="452"/>
      <c r="Y866" s="383"/>
      <c r="Z866" s="384"/>
      <c r="AA866" s="384"/>
      <c r="AB866" s="384"/>
      <c r="AC866" s="384"/>
      <c r="AD866" s="130">
        <f>(((L866/(L866-1)-1)*(1-_xlfn.XLOOKUP(K866,'Fevereiro 2023 - Valor Real'!A3:A15,'Fevereiro 2023 - Valor Real'!C3:C15,0))+1))</f>
        <v>1.2857142857142858</v>
      </c>
      <c r="AE866" s="131">
        <f>IF(L866="","",IF(L867&gt;0,(SUM(((L865-1)*(1-_xlfn.XLOOKUP(K865,'Fevereiro 2023 - Valor Real'!A3:A15,'Fevereiro 2023 - Valor Real'!C3:C15,0))+1),((L866-1)*(1-_xlfn.XLOOKUP(K866,'Fevereiro 2023 - Valor Real'!A3:A15,'Fevereiro 2023 - Valor Real'!C3:C15,0))+1),((L867-1)*(1-_xlfn.XLOOKUP(K867,'Fevereiro 2023 - Valor Real'!A3:A15,'Fevereiro 2023 - Valor Real'!C3:C15,0))+1))/((L866-1)*(1-_xlfn.XLOOKUP(K866,'Fevereiro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Real'!C3:C15,0))+1))/((L865-1)*(1-_xlfn.XLOOKUP(K865,'Fevereiro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Real'!C3:C15,0))+1))/((L866-1)*(1-_xlfn.XLOOKUP(K866,'Fevereiro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Real'!C3:C15,0))+1))/((L867-1)*(1-_xlfn.XLOOKUP(K867,'Fevereiro 2023 - Valor Real'!A3:A15,'Fevereiro 2023 - Valor Real'!C3:C15,0))+1)),IF(I866="Lay",IF(I865="Lay",((L865/(L865-1)-1)*(1-_xlfn.XLOOKUP(K865,'Fevereiro 2023 - Valor Real'!A3:A15,'Fevereiro 2023 - Valor Real'!C3:C15,0))+1)/(((L865/(L865-1)-1)*(1-_xlfn.XLOOKUP(K865,'Fevereiro 2023 - Valor Real'!A3:A15,'Fevereiro 2023 - Valor Real'!C3:C15,0))+1)+((L866/(L866-1)-1)*(1-_xlfn.XLOOKUP(K866,'Fevereiro 2023 - Valor Real'!A3:A15,'Fevereiro 2023 - Valor Real'!C3:C15,0))+1)),((L865-1)*(1-_xlfn.XLOOKUP(K865,'Fevereiro 2023 - Valor Real'!A3:A15,'Fevereiro 2023 - Valor Real'!C3:C15,0))+1)/(((L865-1)*(1-_xlfn.XLOOKUP(K865,'Fevereiro 2023 - Valor Real'!A3:A15,'Fevereiro 2023 - Valor Real'!C3:C15,0))+1)+((L866/(L866-1)-1)*(1-_xlfn.XLOOKUP(K866,'Fevereiro 2023 - Valor Real'!A3:A15,'Fevereiro 2023 - Valor Real'!C3:C15,0))+1))),IF(I865="Lay",((L865/(L865-1)-1)*(1-_xlfn.XLOOKUP(K865,'Fevereiro 2023 - Valor Real'!A3:A15,'Fevereiro 2023 - Valor Real'!C3:C15,0))+1)/((((L865/(L865-1)-1)*(1-_xlfn.XLOOKUP(K865,'Fevereiro 2023 - Valor Real'!A3:A15,'Fevereiro 2023 - Valor Real'!C3:C15,0))+1))+((L866-1)*(1-_xlfn.XLOOKUP(K866,'Fevereiro 2023 - Valor Real'!A3:A15,'Fevereiro 2023 - Valor Real'!C3:C15,0))+1)),((L865-1)*(1-_xlfn.XLOOKUP(K865,'Fevereiro 2023 - Valor Real'!A3:A15,'Fevereiro 2023 - Valor Real'!C3:C15,0))+1)/(((L865-1)*(1-_xlfn.XLOOKUP(K865,'Fevereiro 2023 - Valor Real'!A3:A15,'Fevereiro 2023 - Valor Real'!C3:C15,0))+1)+((L866-1)*(1-_xlfn.XLOOKUP(K866,'Fevereiro 2023 - Valor Real'!A3:A15,'Fevereiro 2023 - Valor Real'!C3:C15,0))+1))))))</f>
        <v>0.20265373819852003</v>
      </c>
      <c r="AF866" s="105">
        <f t="shared" si="1739"/>
        <v>0</v>
      </c>
      <c r="AG866" s="106">
        <f t="shared" si="1739"/>
        <v>-3.63</v>
      </c>
      <c r="AH866" s="106">
        <f t="shared" si="1739"/>
        <v>0</v>
      </c>
      <c r="AI866" s="106">
        <f t="shared" si="1739"/>
        <v>0</v>
      </c>
      <c r="AJ866" s="106">
        <f t="shared" si="1739"/>
        <v>0</v>
      </c>
      <c r="AK866" s="106">
        <f t="shared" si="1739"/>
        <v>0</v>
      </c>
      <c r="AL866" s="106">
        <f t="shared" si="1739"/>
        <v>0</v>
      </c>
      <c r="AM866" s="106">
        <f t="shared" si="1739"/>
        <v>0</v>
      </c>
      <c r="AN866" s="106">
        <f t="shared" si="1739"/>
        <v>0</v>
      </c>
      <c r="AO866" s="106">
        <f t="shared" si="1739"/>
        <v>0</v>
      </c>
      <c r="AP866" s="106">
        <f t="shared" si="1739"/>
        <v>0</v>
      </c>
      <c r="AQ866" s="106">
        <f t="shared" si="1739"/>
        <v>0</v>
      </c>
      <c r="AR866" s="107">
        <f t="shared" si="1739"/>
        <v>0</v>
      </c>
      <c r="AS866" s="105">
        <f>IF(AND($B865=" ",$K866=AS$3),$O866,0)</f>
        <v>0</v>
      </c>
      <c r="AT866" s="106">
        <f>IF(AND($B865=" ",K866=AT$3),$O866,0)</f>
        <v>0</v>
      </c>
      <c r="AU866" s="106">
        <f t="shared" ref="AU866:BE866" si="1744">IF(AND($B865=" ",$K866=AU$3),$O866,0)</f>
        <v>0</v>
      </c>
      <c r="AV866" s="106">
        <f t="shared" si="1744"/>
        <v>0</v>
      </c>
      <c r="AW866" s="106">
        <f t="shared" si="1744"/>
        <v>0</v>
      </c>
      <c r="AX866" s="106">
        <f t="shared" si="1744"/>
        <v>0</v>
      </c>
      <c r="AY866" s="108">
        <f t="shared" si="1744"/>
        <v>0</v>
      </c>
      <c r="AZ866" s="109">
        <f t="shared" si="1744"/>
        <v>0</v>
      </c>
      <c r="BA866" s="109">
        <f t="shared" si="1744"/>
        <v>0</v>
      </c>
      <c r="BB866" s="109">
        <f t="shared" si="1744"/>
        <v>0</v>
      </c>
      <c r="BC866" s="110">
        <f t="shared" si="1744"/>
        <v>0</v>
      </c>
      <c r="BD866" s="106">
        <f t="shared" si="1744"/>
        <v>0</v>
      </c>
      <c r="BE866" s="107">
        <f t="shared" si="1744"/>
        <v>0</v>
      </c>
      <c r="BF866" s="105">
        <f t="shared" si="1741"/>
        <v>0</v>
      </c>
      <c r="BG866" s="106">
        <f t="shared" si="1741"/>
        <v>3.63</v>
      </c>
      <c r="BH866" s="106">
        <f t="shared" si="1741"/>
        <v>0</v>
      </c>
      <c r="BI866" s="106">
        <f t="shared" si="1741"/>
        <v>0</v>
      </c>
      <c r="BJ866" s="106">
        <f t="shared" si="1741"/>
        <v>0</v>
      </c>
      <c r="BK866" s="106">
        <f t="shared" si="1741"/>
        <v>0</v>
      </c>
      <c r="BL866" s="106">
        <f t="shared" si="1741"/>
        <v>0</v>
      </c>
      <c r="BM866" s="132">
        <f t="shared" si="1741"/>
        <v>0</v>
      </c>
      <c r="BN866" s="112">
        <f t="shared" si="1741"/>
        <v>0</v>
      </c>
      <c r="BO866" s="112">
        <f t="shared" si="1741"/>
        <v>0</v>
      </c>
      <c r="BP866" s="112">
        <f t="shared" si="1741"/>
        <v>0</v>
      </c>
      <c r="BQ866" s="110">
        <f t="shared" si="1741"/>
        <v>0</v>
      </c>
      <c r="BR866" s="107">
        <f t="shared" si="1741"/>
        <v>0</v>
      </c>
      <c r="BS866" s="464"/>
      <c r="BT866" s="461"/>
      <c r="BU866" s="392"/>
      <c r="BV866" s="461"/>
      <c r="BW866" s="392"/>
      <c r="BX866" s="392"/>
      <c r="BY866" s="392"/>
      <c r="BZ866" s="461"/>
      <c r="CA866" s="392"/>
      <c r="CB866" s="392"/>
      <c r="CC866" s="392"/>
      <c r="CD866" s="401"/>
      <c r="CE866" s="409"/>
      <c r="CF866" s="133">
        <f t="shared" si="1669"/>
        <v>0</v>
      </c>
      <c r="CG866" s="134">
        <f t="shared" si="1670"/>
        <v>0</v>
      </c>
      <c r="CH866" s="134">
        <f t="shared" si="1671"/>
        <v>0</v>
      </c>
      <c r="CI866" s="134">
        <f t="shared" si="1672"/>
        <v>1</v>
      </c>
      <c r="CJ866" s="134">
        <f t="shared" si="1673"/>
        <v>0</v>
      </c>
      <c r="CK866" s="134">
        <f t="shared" si="1674"/>
        <v>0</v>
      </c>
      <c r="CL866" s="134">
        <f t="shared" si="1675"/>
        <v>0</v>
      </c>
      <c r="CM866" s="134">
        <f t="shared" si="1676"/>
        <v>0</v>
      </c>
      <c r="CN866" s="134">
        <f t="shared" si="1677"/>
        <v>0</v>
      </c>
      <c r="CO866" s="134">
        <f t="shared" si="1678"/>
        <v>0</v>
      </c>
      <c r="CP866" s="134">
        <f t="shared" si="1679"/>
        <v>0</v>
      </c>
      <c r="CQ866" s="134">
        <f t="shared" si="1680"/>
        <v>0</v>
      </c>
      <c r="CR866" s="134">
        <f t="shared" si="1681"/>
        <v>0</v>
      </c>
      <c r="CS866" s="134">
        <f t="shared" si="1682"/>
        <v>0</v>
      </c>
      <c r="CT866" s="115">
        <f t="shared" si="1683"/>
        <v>0</v>
      </c>
      <c r="CU866" s="116">
        <f t="shared" si="1684"/>
        <v>0</v>
      </c>
      <c r="CV866" s="116">
        <f t="shared" si="1685"/>
        <v>0</v>
      </c>
      <c r="CW866" s="116">
        <f t="shared" si="1686"/>
        <v>0</v>
      </c>
      <c r="CX866" s="116">
        <f t="shared" si="1687"/>
        <v>0</v>
      </c>
      <c r="CY866" s="116">
        <f t="shared" si="1688"/>
        <v>0</v>
      </c>
      <c r="CZ866" s="116">
        <f t="shared" si="1689"/>
        <v>0</v>
      </c>
      <c r="DA866" s="116">
        <f t="shared" si="1690"/>
        <v>0</v>
      </c>
      <c r="DB866" s="116">
        <f t="shared" si="1691"/>
        <v>0</v>
      </c>
      <c r="DC866" s="116">
        <f t="shared" si="1692"/>
        <v>0</v>
      </c>
      <c r="DD866" s="116">
        <f t="shared" si="1693"/>
        <v>0</v>
      </c>
      <c r="DE866" s="117">
        <f t="shared" si="1694"/>
        <v>0</v>
      </c>
      <c r="DF866" s="118">
        <f t="shared" si="1696"/>
        <v>51</v>
      </c>
      <c r="DG866" s="106">
        <f t="shared" si="1697"/>
        <v>68.369</v>
      </c>
      <c r="DH866" s="116">
        <f t="shared" si="1698"/>
        <v>19</v>
      </c>
      <c r="DI866" s="106">
        <f t="shared" si="1699"/>
        <v>81.47</v>
      </c>
      <c r="DJ866" s="201" t="str">
        <f>IF($D865="","",$D865)</f>
        <v>29</v>
      </c>
      <c r="DK866" s="466"/>
    </row>
    <row r="867" spans="1:115" ht="14.5" customHeight="1" x14ac:dyDescent="0.2">
      <c r="A867" s="390"/>
      <c r="B867" s="457"/>
      <c r="C867" s="135" t="s">
        <v>54</v>
      </c>
      <c r="D867" s="375"/>
      <c r="E867" s="387"/>
      <c r="F867" s="378"/>
      <c r="G867" s="484"/>
      <c r="H867" s="477"/>
      <c r="I867" s="203" t="s">
        <v>63</v>
      </c>
      <c r="J867" s="137"/>
      <c r="K867" s="193" t="s">
        <v>36</v>
      </c>
      <c r="L867" s="194">
        <v>1.444</v>
      </c>
      <c r="M867" s="140">
        <v>37</v>
      </c>
      <c r="N867" s="407"/>
      <c r="O867" s="195">
        <f>IF(OR(AE865="",AE866=""),"",IF(L867&gt;0,ROUND(IF(M867&gt;0,M867,IF(M865&gt;0,ROUND((M865*AE867)/AE865,IF(N865=0,2,IF(N865=0.1,1,0))),IF(M866&gt;0,ROUND((M866*AE867)/AE866,IF(N865=0,2,IF(N865=0.1,1,0))),IF(M867&gt;0,M867,0)))),2),""))</f>
        <v>37</v>
      </c>
      <c r="P867" s="196">
        <f>IF(I866="Lay",O866*(L866/(L866-1))-O866,IF(I865="Lay",O865*(L865/(L865-1))-O865,IF(OR(L867="",O867=""),"",IF($C867="1/2W",O867/2+O867/2*L867,IF($C867="1/2L",O867/2,(O867*L867-O867)*(1-_xlfn.XLOOKUP(K867,'Fevereiro 2023 - Valor Real'!A3:A15,'Fevereiro 2023 - Valor Real'!C3:C15,0))+O867)))))</f>
        <v>53.427999999999997</v>
      </c>
      <c r="Q867" s="128">
        <f>IF(K867="","",IF(_xlfn.XLOOKUP(K867,K$4:K866,$DJ$4:DJ866,0,,-1)=DJ867,_xlfn.XLOOKUP(K867,K$4:K866,Q$4:Q866,1,,-1)+1,1))</f>
        <v>1</v>
      </c>
      <c r="R867" s="198">
        <f>IF(K867="","",_xlfn.XLOOKUP(K867,K$4:K866,R$4:R866,0,,-1)+IF($C867=" ",1,0))</f>
        <v>0</v>
      </c>
      <c r="S867" s="404"/>
      <c r="T867" s="378"/>
      <c r="U867" s="378"/>
      <c r="V867" s="404"/>
      <c r="W867" s="378"/>
      <c r="X867" s="453"/>
      <c r="Y867" s="383"/>
      <c r="Z867" s="384"/>
      <c r="AA867" s="384"/>
      <c r="AB867" s="384"/>
      <c r="AC867" s="384"/>
      <c r="AD867" s="145">
        <f>((L866/(L866-1)-1))</f>
        <v>0.28571428571428581</v>
      </c>
      <c r="AE867" s="199">
        <f>IF(L867="","",(SUM(((L865-1)*(1-_xlfn.XLOOKUP(K865,'Fevereiro 2023 - Valor Real'!A3:A15,'Fevereiro 2023 - Valor Real'!C3:C15,0))+1),((L866-1)*(1-_xlfn.XLOOKUP(K866,'Fevereiro 2023 - Valor Real'!A3:A15,'Fevereiro 2023 - Valor Real'!C3:C15,0))+1),((L867-1)*(1-_xlfn.XLOOKUP(K867,'Fevereiro 2023 - Valor Real'!A3:A15,'Fevereiro 2023 - Valor Real'!C3:C15,0))+1))/((L867-1)*(1-_xlfn.XLOOKUP(K867,'Fevereiro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Real'!C3:C15,0))+1))/((L865-1)*(1-_xlfn.XLOOKUP(K865,'Fevereiro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Real'!C3:C15,0))+1))/((L866-1)*(1-_xlfn.XLOOKUP(K866,'Fevereiro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Real'!C3:C15,0))+1))/((L867-1)*(1-_xlfn.XLOOKUP(K867,'Fevereiro 2023 - Valor Real'!A3:A15,'Fevereiro 2023 - Valor Real'!C3:C15,0))+1)))</f>
        <v>0.63153865782087271</v>
      </c>
      <c r="AF867" s="105">
        <f t="shared" si="1739"/>
        <v>16.43</v>
      </c>
      <c r="AG867" s="106">
        <f t="shared" si="1739"/>
        <v>0</v>
      </c>
      <c r="AH867" s="106">
        <f t="shared" si="1739"/>
        <v>0</v>
      </c>
      <c r="AI867" s="106">
        <f t="shared" si="1739"/>
        <v>0</v>
      </c>
      <c r="AJ867" s="106">
        <f t="shared" si="1739"/>
        <v>0</v>
      </c>
      <c r="AK867" s="106">
        <f t="shared" si="1739"/>
        <v>0</v>
      </c>
      <c r="AL867" s="106">
        <f t="shared" si="1739"/>
        <v>0</v>
      </c>
      <c r="AM867" s="106">
        <f t="shared" si="1739"/>
        <v>0</v>
      </c>
      <c r="AN867" s="106">
        <f t="shared" si="1739"/>
        <v>0</v>
      </c>
      <c r="AO867" s="106">
        <f t="shared" si="1739"/>
        <v>0</v>
      </c>
      <c r="AP867" s="106">
        <f t="shared" si="1739"/>
        <v>0</v>
      </c>
      <c r="AQ867" s="106">
        <f t="shared" si="1739"/>
        <v>0</v>
      </c>
      <c r="AR867" s="107">
        <f t="shared" si="1739"/>
        <v>0</v>
      </c>
      <c r="AS867" s="105">
        <f>IF(AND($B865=" ",$K867=AS$3),$O867,0)</f>
        <v>0</v>
      </c>
      <c r="AT867" s="106">
        <f>IF(AND($B865=" ",K867=AT$3),$O867,0)</f>
        <v>0</v>
      </c>
      <c r="AU867" s="106">
        <f t="shared" ref="AU867:BE867" si="1745">IF(AND($B865=" ",$K867=AU$3),$O867,0)</f>
        <v>0</v>
      </c>
      <c r="AV867" s="106">
        <f t="shared" si="1745"/>
        <v>0</v>
      </c>
      <c r="AW867" s="106">
        <f t="shared" si="1745"/>
        <v>0</v>
      </c>
      <c r="AX867" s="106">
        <f t="shared" si="1745"/>
        <v>0</v>
      </c>
      <c r="AY867" s="108">
        <f t="shared" si="1745"/>
        <v>0</v>
      </c>
      <c r="AZ867" s="109">
        <f t="shared" si="1745"/>
        <v>0</v>
      </c>
      <c r="BA867" s="109">
        <f t="shared" si="1745"/>
        <v>0</v>
      </c>
      <c r="BB867" s="109">
        <f t="shared" si="1745"/>
        <v>0</v>
      </c>
      <c r="BC867" s="110">
        <f t="shared" si="1745"/>
        <v>0</v>
      </c>
      <c r="BD867" s="106">
        <f t="shared" si="1745"/>
        <v>0</v>
      </c>
      <c r="BE867" s="107">
        <f t="shared" si="1745"/>
        <v>0</v>
      </c>
      <c r="BF867" s="105">
        <f t="shared" si="1741"/>
        <v>37</v>
      </c>
      <c r="BG867" s="106">
        <f t="shared" si="1741"/>
        <v>0</v>
      </c>
      <c r="BH867" s="106">
        <f t="shared" si="1741"/>
        <v>0</v>
      </c>
      <c r="BI867" s="106">
        <f t="shared" si="1741"/>
        <v>0</v>
      </c>
      <c r="BJ867" s="106">
        <f t="shared" si="1741"/>
        <v>0</v>
      </c>
      <c r="BK867" s="106">
        <f t="shared" si="1741"/>
        <v>0</v>
      </c>
      <c r="BL867" s="106">
        <f t="shared" si="1741"/>
        <v>0</v>
      </c>
      <c r="BM867" s="108">
        <f t="shared" si="1741"/>
        <v>0</v>
      </c>
      <c r="BN867" s="109">
        <f t="shared" si="1741"/>
        <v>0</v>
      </c>
      <c r="BO867" s="109">
        <f t="shared" si="1741"/>
        <v>0</v>
      </c>
      <c r="BP867" s="109">
        <f t="shared" si="1741"/>
        <v>0</v>
      </c>
      <c r="BQ867" s="110">
        <f t="shared" si="1741"/>
        <v>0</v>
      </c>
      <c r="BR867" s="107">
        <f t="shared" si="1741"/>
        <v>0</v>
      </c>
      <c r="BS867" s="464"/>
      <c r="BT867" s="461"/>
      <c r="BU867" s="392"/>
      <c r="BV867" s="461"/>
      <c r="BW867" s="392"/>
      <c r="BX867" s="392"/>
      <c r="BY867" s="392"/>
      <c r="BZ867" s="461"/>
      <c r="CA867" s="392"/>
      <c r="CB867" s="392"/>
      <c r="CC867" s="392"/>
      <c r="CD867" s="401"/>
      <c r="CE867" s="409"/>
      <c r="CF867" s="133">
        <f t="shared" si="1669"/>
        <v>1</v>
      </c>
      <c r="CG867" s="134">
        <f t="shared" si="1670"/>
        <v>0</v>
      </c>
      <c r="CH867" s="134">
        <f t="shared" si="1671"/>
        <v>0</v>
      </c>
      <c r="CI867" s="134">
        <f t="shared" si="1672"/>
        <v>0</v>
      </c>
      <c r="CJ867" s="134">
        <f t="shared" si="1673"/>
        <v>0</v>
      </c>
      <c r="CK867" s="134">
        <f t="shared" si="1674"/>
        <v>0</v>
      </c>
      <c r="CL867" s="134">
        <f t="shared" si="1675"/>
        <v>0</v>
      </c>
      <c r="CM867" s="134">
        <f t="shared" si="1676"/>
        <v>0</v>
      </c>
      <c r="CN867" s="134">
        <f t="shared" si="1677"/>
        <v>0</v>
      </c>
      <c r="CO867" s="134">
        <f t="shared" si="1678"/>
        <v>0</v>
      </c>
      <c r="CP867" s="134">
        <f t="shared" si="1679"/>
        <v>0</v>
      </c>
      <c r="CQ867" s="134">
        <f t="shared" si="1680"/>
        <v>0</v>
      </c>
      <c r="CR867" s="134">
        <f t="shared" si="1681"/>
        <v>0</v>
      </c>
      <c r="CS867" s="134">
        <f t="shared" si="1682"/>
        <v>0</v>
      </c>
      <c r="CT867" s="115">
        <f t="shared" si="1683"/>
        <v>0</v>
      </c>
      <c r="CU867" s="116">
        <f t="shared" si="1684"/>
        <v>0</v>
      </c>
      <c r="CV867" s="116">
        <f t="shared" si="1685"/>
        <v>0</v>
      </c>
      <c r="CW867" s="116">
        <f t="shared" si="1686"/>
        <v>0</v>
      </c>
      <c r="CX867" s="116">
        <f t="shared" si="1687"/>
        <v>0</v>
      </c>
      <c r="CY867" s="116">
        <f t="shared" si="1688"/>
        <v>0</v>
      </c>
      <c r="CZ867" s="116">
        <f t="shared" si="1689"/>
        <v>0</v>
      </c>
      <c r="DA867" s="116">
        <f t="shared" si="1690"/>
        <v>0</v>
      </c>
      <c r="DB867" s="116">
        <f t="shared" si="1691"/>
        <v>0</v>
      </c>
      <c r="DC867" s="116">
        <f t="shared" si="1692"/>
        <v>0</v>
      </c>
      <c r="DD867" s="116">
        <f t="shared" si="1693"/>
        <v>0</v>
      </c>
      <c r="DE867" s="117">
        <f t="shared" si="1694"/>
        <v>0</v>
      </c>
      <c r="DF867" s="118">
        <f t="shared" si="1696"/>
        <v>52</v>
      </c>
      <c r="DG867" s="106">
        <f t="shared" si="1697"/>
        <v>69.813000000000002</v>
      </c>
      <c r="DH867" s="116">
        <f t="shared" si="1698"/>
        <v>19</v>
      </c>
      <c r="DI867" s="106">
        <f t="shared" si="1699"/>
        <v>81.47</v>
      </c>
      <c r="DJ867" s="201" t="str">
        <f>IF($D865="","",$D865)</f>
        <v>29</v>
      </c>
      <c r="DK867" s="466"/>
    </row>
    <row r="868" spans="1:115" ht="14.5" customHeight="1" x14ac:dyDescent="0.2">
      <c r="A868" s="487">
        <f>$A865+1</f>
        <v>289</v>
      </c>
      <c r="B868" s="506" t="str">
        <f>IF(OR(C868="W",C869="W",C870="W",C868="1/2W",C869="1/2W",C870="1/2W",C868="1/2L",C869="1/2L",C870="1/2L"),"OK",IF(OR(C868="L",C869="L",C870="L"),"LOSS",IF(OR(C868="X",C869="X",C870="X"),"Anulado"," ")))</f>
        <v>OK</v>
      </c>
      <c r="C868" s="147" t="s">
        <v>55</v>
      </c>
      <c r="D868" s="494" t="str">
        <f>IF(G868="","",$D865)</f>
        <v>29</v>
      </c>
      <c r="E868" s="511" t="str">
        <f>IF(G868=""," ","– "&amp;COUNTIF(D$4:D870,$D868))</f>
        <v>– 6</v>
      </c>
      <c r="F868" s="510" t="str">
        <f ca="1">IF(G868="","",IF(OR(AND($C868&lt;&gt;" ",$C869=" "),AND($C869&lt;&gt;" ",$C868=" "),AND(L870&gt;0,OR(AND($C870&lt;&gt;" ",OR($C868=" ",$C869=" ")),AND($C870=" ",OR($C868&lt;&gt;" ",$C869&lt;&gt;" "))))),IF(SUM(F$4:F867)=0,1,LARGE(F$4:F867,1)+1),IF(MONTH(G868)=MONTH(TODAY()),IF(AND(DAY(G868)&lt;DAY(TODAY()),$B868=" "),IF(SUM(F$4:F867)=0,1,LARGE(F$4:F867,1)+1),IF($B868=" ",IF(AND(DAY(G868)=DAY(TODAY()),HOUR(G868)&lt;=HOUR(NOW())+1),IF(AND(HOUR(G868)+2&lt;=HOUR(NOW()),DAY(G868)&lt;=DAY(TODAY()),MINUTE(G868)&lt;=MINUTE(NOW())),IF(SUM(F$4:F867)=0,1,LARGE(F$4:F867,1)+1),IF(OR(MINUTE(G868)&lt;=MINUTE(NOW()),HOUR(G868)&lt;=HOUR(NOW())),"!!!","")),""),"")),"")))</f>
        <v/>
      </c>
      <c r="G868" s="517">
        <v>45014.520833333336</v>
      </c>
      <c r="H868" s="516" t="s">
        <v>290</v>
      </c>
      <c r="I868" s="222" t="s">
        <v>71</v>
      </c>
      <c r="J868" s="241"/>
      <c r="K868" s="224" t="s">
        <v>40</v>
      </c>
      <c r="L868" s="225">
        <v>2.5499999999999998</v>
      </c>
      <c r="M868" s="226">
        <v>7.26</v>
      </c>
      <c r="N868" s="503">
        <v>0.1</v>
      </c>
      <c r="O868" s="153">
        <f>IF(OR(AE868="",AE869=""),"",ROUND(IF(L870&gt;0,IF(M868&gt;0,M868,IF(M869&gt;0,ROUND((M869*AE868)/AE869,IF(N868=0,2,IF(N868=0.1,1,0))),ROUND((M870*AE868)/AE870,IF(N868=0,2,IF(N868=0.1,1,0))))),IF(M868&gt;0,M868,ROUND((M869*AE868)/AE869,IF(N868=0,2,IF(N868=0.1,1,0))))),2))</f>
        <v>7.26</v>
      </c>
      <c r="P868" s="227">
        <f>IF(OR(L868="",O868=""),"",IF($C868="1/2W",O868/2+O868/2*L868,IF($C868="1/2L",O868/2,IF(I868="Lay",(O868*(L868/(L868-1))-O868)*(1-_xlfn.XLOOKUP(K868,'Fevereiro 2023 - Valor Real'!A3:A15,'Fevereiro 2023 - Valor Real'!C3:C15,0))+O868,(O868*L868-O868)*(1-_xlfn.XLOOKUP(K868,'Fevereiro 2023 - Valor Real'!A3:A15,'Fevereiro 2023 - Valor Real'!C3:C15,0))+O868))))</f>
        <v>18.512999999999998</v>
      </c>
      <c r="Q868" s="228">
        <f>IF(K868="","",IF(_xlfn.XLOOKUP(K868,K$4:K867,$DJ$4:DJ867,0,,-1)=DJ868,_xlfn.XLOOKUP(K868,K$4:K867,Q$4:Q867,1,,-1)+1,1))</f>
        <v>5</v>
      </c>
      <c r="R868" s="229">
        <f>IF(K868="","",_xlfn.XLOOKUP(K868,K$4:K867,R$4:R867,0,,-1)+IF($C868=" ",1,0))</f>
        <v>0</v>
      </c>
      <c r="S868" s="501">
        <f>IF($B868="Anulado",0,ROUND(IF(OR($B868="LOSS",$B868="OK"),IF(OR($C868="W",$C868="1/2W",$C868="1/2L"),P868-O868,IF($C868="L",-O868,0))+IF(OR($C869="W",$C869="1/2W",$C869="1/2L"),P869-O869,IF($C869="L",-O869,0))+IF(OR($C870="W",$C870="1/2W",$C870="1/2L"),P870-O870,IF($C870="L",-O870,0)),IF(AND(OR($C868="W",$C868="1/2W",$C868="1/2L"),C869="W"),P868+P869-SUM(O868:O870)+_xlfn.XLOOKUP("X",C868:C870,O868:O870,0),IF(AND(C868=TRUE,C870="W"),P868+P870-SUM(O868:O870),IF(AND(C869="W",C870="W"),P869+P870-SUM(O868:O870)+_xlfn.XLOOKUP("X",C868:C870,O868:O870,0),IF(L870&gt;0,IF(OR($C868="W",$C868="1/2W",$C868="1/2L"),P868-SUM(O868:O870)+_xlfn.XLOOKUP("X",C868:C870,O868:O870,0),IF(OR($C868="W",$C868="1/2W",$C868="1/2L"),P869-SUM(O868:O870)+_xlfn.XLOOKUP("X",C868:C870,O868:O870,0),IF(OR($C868="W",$C868="1/2W",$C868="1/2L"),P870-SUM(O868:O870)+_xlfn.XLOOKUP("X",C868:C870,O868:O870,0),IF(SUM(P868:P870)/3-SUM(O868:O870)+_xlfn.XLOOKUP("X",C868:C870,O868:O870,0)&gt;0,SUM(P868:P870)/3-SUM(O868:O870)+_xlfn.XLOOKUP("X",C868:C870,O868:O870,0),LARGE(P868:P870,1)-SUM(O868:O870))))),IF(OR($C868="W",$C868="1/2W",$C868="1/2L"),P868-SUM(O868:O869)+_xlfn.XLOOKUP("X",C868:C870,O868:O870,0),IF(OR($C868="W",$C868="1/2W",$C868="1/2L"),P869-SUM(O868:O869)+_xlfn.XLOOKUP("X",C868:C870,O868:O870,0),SUM(P868:P869)/2-SUM(O868:O869)+_xlfn.XLOOKUP("X",C868:C870,O868:O870,0)))))))),2))</f>
        <v>0.83</v>
      </c>
      <c r="T868" s="486">
        <f>IF(S868=0,0,S868/SUM(O868:O870))</f>
        <v>4.6734234234234236E-2</v>
      </c>
      <c r="U868" s="496">
        <f>IF($D868=$D865,IF(OR($B868="LOSS",$B868="OK",$B868="Anulada"),S868,0)+U865,IF(OR($B868="LOSS",$B868="OK",$B868="Anulada"),S868,0))</f>
        <v>9.7200000000000006</v>
      </c>
      <c r="V868" s="496">
        <f>IF($D868="",0,IF($D868=$D865,IF($B868=" ",IF(I870="",IF(OR(AND(I868="DNB1",I869="DNB2"),AND(OR(I868="DNB1",I868="DNB2"),J869=0),AND(OR(I869="DNB1",I869="DNB2"),J868=0),AND(I868="DNB2",I869="DNB1"),AND(IF(J868=0,(J868+1)/ROUND(J868+1,0),J868/ROUND(J868,0))=1,IF(J869=0,(J869+1)/ROUND(IF(J869="",0,J869)+1,0),IF(J869="",0,J869)/ROUND(IF(J869="",1,J869),0))=1,OR(J868&lt;&gt;""),J869&lt;&gt;"")),0,IF(S868&lt;0,IF(I870="",SMALL(P868:P869,1)-SUM(O868:O869),0),SMALL(P868:P869,1)-SUM(O868:O869))),IF(S868&lt;0,IF(I870="",SMALL(P868:P870,1)-SUM(O868:O870),0),LARGE(P868:P870,1)-SUM(O868:O870))),S868)+V865,IF(I870="",IF(OR(AND(I868="DNB1",I869="DNB2"),AND(OR(I868="DNB1",I868="DNB2"),J869=0),AND(OR(I869="DNB1",I869="DNB2"),J868=0),AND(I868="DNB2",I869="DNB1"),AND(IF(J868=0,(J868+1)/ROUND(J868+1,0),J868/ROUND(J868,0))=1,IF(J869=0,(IF(J869="",0,J869)+1)/ROUND(IF(J869="",0,J869)+1,0),IF(J869="",0,J869)/ROUND(IF(J869="",0,J869)+1,0))=1,OR(J868&lt;&gt;""),J869&lt;&gt;"")),0,IF(S868&lt;0,IF(I870="",SMALL(P868:P869,1)-SUM(O868:O869),0),SMALL(P868:P870,1)-SUM(O868:O870))),IF(S868&lt;0,IF(I870="",SMALL(P868:P870,1)-SUM(O868:O870),0),LARGE(P868:P870,1)-SUM(O868:O870)))))</f>
        <v>9.7162000000000024</v>
      </c>
      <c r="W868" s="496">
        <f>IF($D868=$D865,IF(S868&lt;0,IF(I870="",S868,0),S868)+W865,S868)</f>
        <v>9.7200000000000006</v>
      </c>
      <c r="X868" s="505" t="str">
        <f>IF(OR(SUM(R868:R870)=0,V868=W868),ROUND(IF(W868=0,0,W868/Y868)*100,2)&amp;"%",ROUND(IF(V868=0,0,V868/Y868)*100,2)&amp;"% a "&amp;ROUND(IF(W868=0,0,W868/Y868)*100,2)&amp;"%")</f>
        <v>6,26%</v>
      </c>
      <c r="Y868" s="497">
        <f>IF($D868=$D865,Y865+SUM(O868:O870),SUM(O868:O870))</f>
        <v>155.15999999999997</v>
      </c>
      <c r="Z868" s="496">
        <f>IF($B868=" ",SUM(O868:O870),0)+Z865</f>
        <v>0</v>
      </c>
      <c r="AA868" s="496">
        <f>IF(G868="","",IF($B868="Anulado",LARGE(P868:P870,1)-SUM(O868:O870)+AA865,AA865))</f>
        <v>13.381099999999991</v>
      </c>
      <c r="AB868" s="496">
        <f>IF($D868="","",AB865+S868)</f>
        <v>993.41000000000099</v>
      </c>
      <c r="AC868" s="499">
        <f ca="1">IF($D868="","",IF($B868=" ",IF(DAY(G868)=DAY(TODAY()),1+AC865,0+AC865),0+AC865))</f>
        <v>0</v>
      </c>
      <c r="AD868" s="157">
        <f>(((L869/(L869-1)-1)*(1-_xlfn.XLOOKUP(K869,'Fevereiro 2023 - Valor Real'!A3:A15,'Fevereiro 2023 - Valor Real'!C3:C15,0))+1))/(((L868-1)*(1-_xlfn.XLOOKUP(K868,'Fevereiro 2023 - Valor Real'!A3:A15,'Fevereiro 2023 - Valor Real'!C3:C15,0))+1)+((L869/(L869-1)-1)*(1-_xlfn.XLOOKUP(K869,'Fevereiro 2023 - Valor Real'!A3:A15,'Fevereiro 2023 - Valor Real'!C3:C15,0))+1))</f>
        <v>0.47408597830453997</v>
      </c>
      <c r="AE868" s="158">
        <f>IF(L868="","",IF(L870&gt;0,(SUM(((L868-1)*(1-_xlfn.XLOOKUP(K868,'Fevereiro 2023 - Valor Real'!A3:A15,'Fevereiro 2023 - Valor Real'!C3:C15,0))+1),((L869-1)*(1-_xlfn.XLOOKUP(K869,'Fevereiro 2023 - Valor Real'!A3:A15,'Fevereiro 2023 - Valor Real'!C3:C15,0))+1),((L870-1)*(1-_xlfn.XLOOKUP(K870,'Fevereiro 2023 - Valor Real'!A3:A15,'Fevereiro 2023 - Valor Real'!C3:C15,0))+1))/((L868-1)*(1-_xlfn.XLOOKUP(K868,'Fevereiro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Real'!C3:C15,0))+1))/((L868-1)*(1-_xlfn.XLOOKUP(K868,'Fevereiro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Real'!C3:C15,0))+1))/((L869-1)*(1-_xlfn.XLOOKUP(K869,'Fevereiro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Real'!C3:C15,0))+1))/((L870-1)*(1-_xlfn.XLOOKUP(K870,'Fevereiro 2023 - Valor Real'!A3:A15,'Fevereiro 2023 - Valor Real'!C3:C15,0))+1)),IF(I868="Lay",IF(I869="Lay",((L869/(L869-1)-1)*(1-_xlfn.XLOOKUP(K869,'Fevereiro 2023 - Valor Real'!A3:A15,'Fevereiro 2023 - Valor Real'!C3:C15,0))+1)/(((L869/(L869-1)-1)*(1-_xlfn.XLOOKUP(K869,'Fevereiro 2023 - Valor Real'!A3:A15,'Fevereiro 2023 - Valor Real'!C3:C15,0))+1)+((L868/(L868-1)-1)*(1-_xlfn.XLOOKUP(K868,'Fevereiro 2023 - Valor Real'!A3:A15,'Fevereiro 2023 - Valor Real'!C3:C15,0))+1)),((L869-1)*(1-_xlfn.XLOOKUP(K869,'Fevereiro 2023 - Valor Real'!A3:A15,'Fevereiro 2023 - Valor Real'!C3:C15,0))+1)/(((L869-1)*(1-_xlfn.XLOOKUP(K869,'Fevereiro 2023 - Valor Real'!A3:A15,'Fevereiro 2023 - Valor Real'!C3:C15,0))+1)+((L868/(L868-1)-1)*(1-_xlfn.XLOOKUP(K868,'Fevereiro 2023 - Valor Real'!A3:A15,'Fevereiro 2023 - Valor Real'!C3:C15,0))+1))),IF(I869="Lay",(((L869/(L869-1)-1)*(1-_xlfn.XLOOKUP(K869,'Fevereiro 2023 - Valor Real'!A3:A15,'Fevereiro 2023 - Valor Real'!C3:C15,0))+1))/(((L868-1)*(1-_xlfn.XLOOKUP(K868,'Fevereiro 2023 - Valor Real'!A3:A15,'Fevereiro 2023 - Valor Real'!C3:C15,0))+1)+((L869/(L869-1)-1)*(1-_xlfn.XLOOKUP(K869,'Fevereiro 2023 - Valor Real'!A3:A15,'Fevereiro 2023 - Valor Real'!C3:C15,0))+1)),((L869-1)*(1-_xlfn.XLOOKUP(K869,'Fevereiro 2023 - Valor Real'!A3:A15,'Fevereiro 2023 - Valor Real'!C3:C15,0))+1)/(((L869-1)*(1-_xlfn.XLOOKUP(K869,'Fevereiro 2023 - Valor Real'!A3:A15,'Fevereiro 2023 - Valor Real'!C3:C15,0))+1)+((L868-1)*(1-_xlfn.XLOOKUP(K868,'Fevereiro 2023 - Valor Real'!A3:A15,'Fevereiro 2023 - Valor Real'!C3:C15,0))+1))))))</f>
        <v>0.40972222222222221</v>
      </c>
      <c r="AF868" s="66">
        <f t="shared" si="1739"/>
        <v>0</v>
      </c>
      <c r="AG868" s="67">
        <f t="shared" si="1739"/>
        <v>0</v>
      </c>
      <c r="AH868" s="67">
        <f t="shared" si="1739"/>
        <v>0</v>
      </c>
      <c r="AI868" s="67">
        <f t="shared" si="1739"/>
        <v>0</v>
      </c>
      <c r="AJ868" s="67">
        <f t="shared" si="1739"/>
        <v>-7.26</v>
      </c>
      <c r="AK868" s="67">
        <f t="shared" si="1739"/>
        <v>0</v>
      </c>
      <c r="AL868" s="67">
        <f t="shared" si="1739"/>
        <v>0</v>
      </c>
      <c r="AM868" s="67">
        <f t="shared" si="1739"/>
        <v>0</v>
      </c>
      <c r="AN868" s="67">
        <f t="shared" si="1739"/>
        <v>0</v>
      </c>
      <c r="AO868" s="67">
        <f t="shared" si="1739"/>
        <v>0</v>
      </c>
      <c r="AP868" s="67">
        <f t="shared" si="1739"/>
        <v>0</v>
      </c>
      <c r="AQ868" s="67">
        <f t="shared" si="1739"/>
        <v>0</v>
      </c>
      <c r="AR868" s="68">
        <f t="shared" si="1739"/>
        <v>0</v>
      </c>
      <c r="AS868" s="66">
        <f t="shared" ref="AS868:BE868" si="1746">IF(AND($B868=" ",$K868=AS$3),$O868,0)</f>
        <v>0</v>
      </c>
      <c r="AT868" s="67">
        <f t="shared" si="1746"/>
        <v>0</v>
      </c>
      <c r="AU868" s="67">
        <f t="shared" si="1746"/>
        <v>0</v>
      </c>
      <c r="AV868" s="67">
        <f t="shared" si="1746"/>
        <v>0</v>
      </c>
      <c r="AW868" s="67">
        <f t="shared" si="1746"/>
        <v>0</v>
      </c>
      <c r="AX868" s="67">
        <f t="shared" si="1746"/>
        <v>0</v>
      </c>
      <c r="AY868" s="69">
        <f t="shared" si="1746"/>
        <v>0</v>
      </c>
      <c r="AZ868" s="70">
        <f t="shared" si="1746"/>
        <v>0</v>
      </c>
      <c r="BA868" s="70">
        <f t="shared" si="1746"/>
        <v>0</v>
      </c>
      <c r="BB868" s="70">
        <f t="shared" si="1746"/>
        <v>0</v>
      </c>
      <c r="BC868" s="71">
        <f t="shared" si="1746"/>
        <v>0</v>
      </c>
      <c r="BD868" s="67">
        <f t="shared" si="1746"/>
        <v>0</v>
      </c>
      <c r="BE868" s="68">
        <f t="shared" si="1746"/>
        <v>0</v>
      </c>
      <c r="BF868" s="230">
        <f t="shared" si="1741"/>
        <v>0</v>
      </c>
      <c r="BG868" s="67">
        <f t="shared" si="1741"/>
        <v>0</v>
      </c>
      <c r="BH868" s="67">
        <f t="shared" si="1741"/>
        <v>0</v>
      </c>
      <c r="BI868" s="67">
        <f t="shared" si="1741"/>
        <v>0</v>
      </c>
      <c r="BJ868" s="67">
        <f t="shared" si="1741"/>
        <v>7.26</v>
      </c>
      <c r="BK868" s="67">
        <f t="shared" si="1741"/>
        <v>0</v>
      </c>
      <c r="BL868" s="67">
        <f t="shared" si="1741"/>
        <v>0</v>
      </c>
      <c r="BM868" s="69">
        <f t="shared" si="1741"/>
        <v>0</v>
      </c>
      <c r="BN868" s="70">
        <f t="shared" si="1741"/>
        <v>0</v>
      </c>
      <c r="BO868" s="70">
        <f t="shared" si="1741"/>
        <v>0</v>
      </c>
      <c r="BP868" s="70">
        <f t="shared" si="1741"/>
        <v>0</v>
      </c>
      <c r="BQ868" s="71">
        <f t="shared" si="1741"/>
        <v>0</v>
      </c>
      <c r="BR868" s="68">
        <f t="shared" si="1741"/>
        <v>0</v>
      </c>
      <c r="BS868" s="490">
        <f>IF($B868="LOSS",IF(AND($K868=BS$3,$C868="L"),-$O868,0)+IF(AND($K869=BS$3,$C869="L"),-$O869,0)+IF(AND($K870=BS$3,$C870="L"),-$O870,0),IF(OR(AND($K868=BS$3,OR($C868="W",$C868="1/2W")),AND($K869=BS$3,OR($C869="W",$C869="1/2W")),AND($K870=BS$3,OR($C870="W",$C870="1/2W"))),$S868,0))</f>
        <v>0</v>
      </c>
      <c r="BT868" s="488">
        <f>IF($B868="LOSS",IF(AND($K868=BT$3,$C868="L"),-$O868,0)+IF(AND($K869=BT$3,$C869="L"),-$O869,0)+IF(AND($K869=BT$3,$C870="L"),-$O870,0),IF(OR(AND($K869=BT$3,OR($C868="W",$C868="1/2W")),AND($K869=BT$3,OR($C869="W",$C869="1/2W")),AND($K869=BT$3,OR($C870="W",$C870="1/2W"))),$S868,0))</f>
        <v>0</v>
      </c>
      <c r="BU868" s="488">
        <f>IF($B868="LOSS",IF(AND($K868=BU$3,$C868="L"),-$O868,0)+IF(AND($K869=BU$3,$C869="L"),-$O869,0)+IF(AND($K869=BU$3,$C870="L"),-$O870,0),IF(OR(AND($K869=BU$3,OR($C868="W",$C868="1/2W")),AND($K869=BU$3,OR($C869="W",$C869="1/2W")),AND($K869=BU$3,OR($C870="W",$C870="1/2W"))),$S868,0))</f>
        <v>0</v>
      </c>
      <c r="BV868" s="488">
        <f t="shared" ref="BV868:CE868" si="1747">IF($B868="LOSS",IF(AND($K868=BV$3,$C868="L"),-$O868,0)+IF(AND($K869=BV$3,$C869="L"),-$O869,0)+IF(AND($K870=BV$3,$C870="L"),-$O870,0),IF(OR(AND($K868=BV$3,OR($C868="W",$C868="1/2W")),AND($K869=BV$3,OR($C869="W",$C869="1/2W")),AND($K870=BV$3,OR($C870="W",$C870="1/2W"))),$S868,0))</f>
        <v>0</v>
      </c>
      <c r="BW868" s="488">
        <f t="shared" si="1747"/>
        <v>0</v>
      </c>
      <c r="BX868" s="488">
        <f t="shared" si="1747"/>
        <v>0</v>
      </c>
      <c r="BY868" s="488">
        <f t="shared" si="1747"/>
        <v>0</v>
      </c>
      <c r="BZ868" s="498">
        <f t="shared" si="1747"/>
        <v>0</v>
      </c>
      <c r="CA868" s="498">
        <f t="shared" si="1747"/>
        <v>0</v>
      </c>
      <c r="CB868" s="498">
        <f t="shared" si="1747"/>
        <v>0</v>
      </c>
      <c r="CC868" s="498">
        <f t="shared" si="1747"/>
        <v>0</v>
      </c>
      <c r="CD868" s="500">
        <f t="shared" si="1747"/>
        <v>0.83</v>
      </c>
      <c r="CE868" s="504">
        <f t="shared" si="1747"/>
        <v>0</v>
      </c>
      <c r="CF868" s="160">
        <f t="shared" si="1669"/>
        <v>0</v>
      </c>
      <c r="CG868" s="161">
        <f t="shared" si="1670"/>
        <v>0</v>
      </c>
      <c r="CH868" s="161">
        <f t="shared" si="1671"/>
        <v>0</v>
      </c>
      <c r="CI868" s="161">
        <f t="shared" si="1672"/>
        <v>0</v>
      </c>
      <c r="CJ868" s="161">
        <f t="shared" si="1673"/>
        <v>0</v>
      </c>
      <c r="CK868" s="161">
        <f t="shared" si="1674"/>
        <v>0</v>
      </c>
      <c r="CL868" s="161">
        <f t="shared" si="1675"/>
        <v>0</v>
      </c>
      <c r="CM868" s="161">
        <f t="shared" si="1676"/>
        <v>0</v>
      </c>
      <c r="CN868" s="161">
        <f t="shared" si="1677"/>
        <v>0</v>
      </c>
      <c r="CO868" s="161">
        <f t="shared" si="1678"/>
        <v>1</v>
      </c>
      <c r="CP868" s="161">
        <f t="shared" si="1679"/>
        <v>0</v>
      </c>
      <c r="CQ868" s="161">
        <f t="shared" si="1680"/>
        <v>0</v>
      </c>
      <c r="CR868" s="161">
        <f t="shared" si="1681"/>
        <v>0</v>
      </c>
      <c r="CS868" s="161">
        <f t="shared" si="1682"/>
        <v>0</v>
      </c>
      <c r="CT868" s="75">
        <f t="shared" si="1683"/>
        <v>0</v>
      </c>
      <c r="CU868" s="76">
        <f t="shared" si="1684"/>
        <v>0</v>
      </c>
      <c r="CV868" s="76">
        <f t="shared" si="1685"/>
        <v>0</v>
      </c>
      <c r="CW868" s="76">
        <f t="shared" si="1686"/>
        <v>0</v>
      </c>
      <c r="CX868" s="76">
        <f t="shared" si="1687"/>
        <v>0</v>
      </c>
      <c r="CY868" s="76">
        <f t="shared" si="1688"/>
        <v>0</v>
      </c>
      <c r="CZ868" s="76">
        <f t="shared" si="1689"/>
        <v>0</v>
      </c>
      <c r="DA868" s="76">
        <f t="shared" si="1690"/>
        <v>0</v>
      </c>
      <c r="DB868" s="76">
        <f t="shared" si="1691"/>
        <v>0</v>
      </c>
      <c r="DC868" s="76">
        <f t="shared" si="1692"/>
        <v>0</v>
      </c>
      <c r="DD868" s="76">
        <f t="shared" si="1693"/>
        <v>0</v>
      </c>
      <c r="DE868" s="77">
        <f t="shared" si="1694"/>
        <v>0</v>
      </c>
      <c r="DF868" s="73">
        <f t="shared" si="1696"/>
        <v>52</v>
      </c>
      <c r="DG868" s="67">
        <f t="shared" si="1697"/>
        <v>69.813000000000002</v>
      </c>
      <c r="DH868" s="76">
        <f t="shared" si="1698"/>
        <v>19</v>
      </c>
      <c r="DI868" s="67">
        <f t="shared" si="1699"/>
        <v>81.47</v>
      </c>
      <c r="DJ868" s="202" t="str">
        <f>IF($D868="","",$D868)</f>
        <v>29</v>
      </c>
      <c r="DK868" s="492">
        <f>IF(AND($B868=" ",$D868&lt;&gt;""),1,0)</f>
        <v>0</v>
      </c>
    </row>
    <row r="869" spans="1:115" ht="14.5" customHeight="1" x14ac:dyDescent="0.2">
      <c r="A869" s="389"/>
      <c r="B869" s="456"/>
      <c r="C869" s="53" t="s">
        <v>54</v>
      </c>
      <c r="D869" s="374"/>
      <c r="E869" s="386"/>
      <c r="F869" s="377"/>
      <c r="G869" s="483"/>
      <c r="H869" s="476"/>
      <c r="I869" s="55" t="s">
        <v>72</v>
      </c>
      <c r="J869" s="242" t="str">
        <f>IF(OR(I868="TO",I868="TU",I868="TO1",I868="TU1",I868="TO2",I868="TU2"),J868,IF(OR(I868="AH1",I868="AH2"),IF(OR(I869="AH1",I869="AH2"),-J868,IF(OR(I869="EH1",I869="EH2"),-J868+0.5,"")),IF(OR(I868="EH1",I868="EH2"),IF(OR(I869="AH1",I869="AH2"),-J868+0.5,IF(OR(I869="EH1",I869="EH2"),-J868+1,"")),IF(AND(OR(I868="DNB1",I868="DNB2"),OR(I869="AH1",I869="AH2")),0,IF(AND(I868="Not ScoreBoth",OR(I869="TO1",I869="TO2")),0.5,"")))))</f>
        <v/>
      </c>
      <c r="K869" s="232" t="s">
        <v>47</v>
      </c>
      <c r="L869" s="58">
        <v>1.77</v>
      </c>
      <c r="M869" s="59"/>
      <c r="N869" s="406"/>
      <c r="O869" s="60">
        <f>IF(OR(AE868="",AE869=""),"",ROUND(IF(L870&gt;0,IF(M869&gt;0,M869,IF(M868&gt;0,IF(N868=TRUE,ROUND((M868*AE869)/AE868,0),(M868*AE869)/AE868),IF(M869&gt;0,ROUND(M869,IF(N868=0,2,IF(N868=0.1,1,0))),IF(M870&gt;0,ROUND(O870*AE869/AE870,IF(N868=0,2,IF(N868=0.1,1,0))),0)))),IF(M869&gt;0,M869,ROUND((M868*AE869)/AE868,IF(N868=0,2,IF(N868=0.1,1,0))))),2))</f>
        <v>10.5</v>
      </c>
      <c r="P869" s="61">
        <f>IF(OR(L869="",O869=""),"",IF($C869="1/2W",O869/2+O869/2*L869,IF($C869="1/2L",O869/2,IF(I869="Lay",((O869*(L869/(L869-1)))-O869)*(1-_xlfn.XLOOKUP(K869,'Fevereiro 2023 - Valor Real'!A3:A15,'Fevereiro 2023 - Valor Real'!C3:C15,0))+O869,(O869*L869-O869)*(1-_xlfn.XLOOKUP(K869,'Fevereiro 2023 - Valor Real'!A3:A15,'Fevereiro 2023 - Valor Real'!C3:C15,0))+O869))))</f>
        <v>18.585000000000001</v>
      </c>
      <c r="Q869" s="233">
        <f>IF(K869="","",IF(_xlfn.XLOOKUP(K869,K$4:K868,$DJ$4:DJ868,0,,-1)=DJ869,_xlfn.XLOOKUP(K869,K$4:K868,Q$4:Q868,1,,-1)+1,1))</f>
        <v>3</v>
      </c>
      <c r="R869" s="234">
        <f>IF(K869="","",_xlfn.XLOOKUP(K869,K$4:K868,R$4:R868,0,,-1)+IF($C869=" ",1,0))</f>
        <v>0</v>
      </c>
      <c r="S869" s="403"/>
      <c r="T869" s="380"/>
      <c r="U869" s="380"/>
      <c r="V869" s="481"/>
      <c r="W869" s="380"/>
      <c r="X869" s="452"/>
      <c r="Y869" s="383"/>
      <c r="Z869" s="384"/>
      <c r="AA869" s="384"/>
      <c r="AB869" s="384"/>
      <c r="AC869" s="384"/>
      <c r="AD869" s="64">
        <f>(((L869/(L869-1)-1)*(1-_xlfn.XLOOKUP(K869,'Fevereiro 2023 - Valor Real'!A3:A15,'Fevereiro 2023 - Valor Real'!C3:C15,0))+1))</f>
        <v>2.2987012987012987</v>
      </c>
      <c r="AE869" s="65">
        <f>IF(L869="","",IF(L870&gt;0,(SUM(((L868-1)*(1-_xlfn.XLOOKUP(K868,'Fevereiro 2023 - Valor Real'!A3:A15,'Fevereiro 2023 - Valor Real'!C3:C15,0))+1),((L869-1)*(1-_xlfn.XLOOKUP(K869,'Fevereiro 2023 - Valor Real'!A3:A15,'Fevereiro 2023 - Valor Real'!C3:C15,0))+1),((L870-1)*(1-_xlfn.XLOOKUP(K870,'Fevereiro 2023 - Valor Real'!A3:A15,'Fevereiro 2023 - Valor Real'!C3:C15,0))+1))/((L869-1)*(1-_xlfn.XLOOKUP(K869,'Fevereiro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Real'!C3:C15,0))+1))/((L868-1)*(1-_xlfn.XLOOKUP(K868,'Fevereiro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Real'!C3:C15,0))+1))/((L869-1)*(1-_xlfn.XLOOKUP(K869,'Fevereiro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Real'!C3:C15,0))+1))/((L870-1)*(1-_xlfn.XLOOKUP(K870,'Fevereiro 2023 - Valor Real'!A3:A15,'Fevereiro 2023 - Valor Real'!C3:C15,0))+1)),IF(I869="Lay",IF(I868="Lay",((L868/(L868-1)-1)*(1-_xlfn.XLOOKUP(K868,'Fevereiro 2023 - Valor Real'!A3:A15,'Fevereiro 2023 - Valor Real'!C3:C15,0))+1)/(((L868/(L868-1)-1)*(1-_xlfn.XLOOKUP(K868,'Fevereiro 2023 - Valor Real'!A3:A15,'Fevereiro 2023 - Valor Real'!C3:C15,0))+1)+((L869/(L869-1)-1)*(1-_xlfn.XLOOKUP(K869,'Fevereiro 2023 - Valor Real'!A3:A15,'Fevereiro 2023 - Valor Real'!C3:C15,0))+1)),((L868-1)*(1-_xlfn.XLOOKUP(K868,'Fevereiro 2023 - Valor Real'!A3:A15,'Fevereiro 2023 - Valor Real'!C3:C15,0))+1)/(((L868-1)*(1-_xlfn.XLOOKUP(K868,'Fevereiro 2023 - Valor Real'!A3:A15,'Fevereiro 2023 - Valor Real'!C3:C15,0))+1)+((L869/(L869-1)-1)*(1-_xlfn.XLOOKUP(K869,'Fevereiro 2023 - Valor Real'!A3:A15,'Fevereiro 2023 - Valor Real'!C3:C15,0))+1))),IF(I868="Lay",((L868/(L868-1)-1)*(1-_xlfn.XLOOKUP(K868,'Fevereiro 2023 - Valor Real'!A3:A15,'Fevereiro 2023 - Valor Real'!C3:C15,0))+1)/((((L868/(L868-1)-1)*(1-_xlfn.XLOOKUP(K868,'Fevereiro 2023 - Valor Real'!A3:A15,'Fevereiro 2023 - Valor Real'!C3:C15,0))+1))+((L869-1)*(1-_xlfn.XLOOKUP(K869,'Fevereiro 2023 - Valor Real'!A3:A15,'Fevereiro 2023 - Valor Real'!C3:C15,0))+1)),((L868-1)*(1-_xlfn.XLOOKUP(K868,'Fevereiro 2023 - Valor Real'!A3:A15,'Fevereiro 2023 - Valor Real'!C3:C15,0))+1)/(((L868-1)*(1-_xlfn.XLOOKUP(K868,'Fevereiro 2023 - Valor Real'!A3:A15,'Fevereiro 2023 - Valor Real'!C3:C15,0))+1)+((L869-1)*(1-_xlfn.XLOOKUP(K869,'Fevereiro 2023 - Valor Real'!A3:A15,'Fevereiro 2023 - Valor Real'!C3:C15,0))+1))))))</f>
        <v>0.59027777777777768</v>
      </c>
      <c r="AF869" s="66">
        <f t="shared" si="1739"/>
        <v>0</v>
      </c>
      <c r="AG869" s="67">
        <f t="shared" si="1739"/>
        <v>0</v>
      </c>
      <c r="AH869" s="67">
        <f t="shared" si="1739"/>
        <v>0</v>
      </c>
      <c r="AI869" s="67">
        <f t="shared" si="1739"/>
        <v>0</v>
      </c>
      <c r="AJ869" s="67">
        <f t="shared" si="1739"/>
        <v>0</v>
      </c>
      <c r="AK869" s="67">
        <f t="shared" si="1739"/>
        <v>0</v>
      </c>
      <c r="AL869" s="67">
        <f t="shared" si="1739"/>
        <v>0</v>
      </c>
      <c r="AM869" s="67">
        <f t="shared" si="1739"/>
        <v>0</v>
      </c>
      <c r="AN869" s="67">
        <f t="shared" si="1739"/>
        <v>0</v>
      </c>
      <c r="AO869" s="67">
        <f t="shared" si="1739"/>
        <v>0</v>
      </c>
      <c r="AP869" s="67">
        <f t="shared" si="1739"/>
        <v>0</v>
      </c>
      <c r="AQ869" s="67">
        <f t="shared" si="1739"/>
        <v>8.09</v>
      </c>
      <c r="AR869" s="68">
        <f t="shared" si="1739"/>
        <v>0</v>
      </c>
      <c r="AS869" s="66">
        <f>IF(AND($B868=" ",$K869=AS$3),$O869,0)</f>
        <v>0</v>
      </c>
      <c r="AT869" s="67">
        <f>IF(AND($B868=" ",K869=AT$3),$O869,0)</f>
        <v>0</v>
      </c>
      <c r="AU869" s="67">
        <f t="shared" ref="AU869:BE869" si="1748">IF(AND($B868=" ",$K869=AU$3),$O869,0)</f>
        <v>0</v>
      </c>
      <c r="AV869" s="67">
        <f t="shared" si="1748"/>
        <v>0</v>
      </c>
      <c r="AW869" s="67">
        <f t="shared" si="1748"/>
        <v>0</v>
      </c>
      <c r="AX869" s="67">
        <f t="shared" si="1748"/>
        <v>0</v>
      </c>
      <c r="AY869" s="69">
        <f t="shared" si="1748"/>
        <v>0</v>
      </c>
      <c r="AZ869" s="70">
        <f t="shared" si="1748"/>
        <v>0</v>
      </c>
      <c r="BA869" s="70">
        <f t="shared" si="1748"/>
        <v>0</v>
      </c>
      <c r="BB869" s="70">
        <f t="shared" si="1748"/>
        <v>0</v>
      </c>
      <c r="BC869" s="71">
        <f t="shared" si="1748"/>
        <v>0</v>
      </c>
      <c r="BD869" s="67">
        <f t="shared" si="1748"/>
        <v>0</v>
      </c>
      <c r="BE869" s="68">
        <f t="shared" si="1748"/>
        <v>0</v>
      </c>
      <c r="BF869" s="66">
        <f t="shared" si="1741"/>
        <v>0</v>
      </c>
      <c r="BG869" s="67">
        <f t="shared" si="1741"/>
        <v>0</v>
      </c>
      <c r="BH869" s="67">
        <f t="shared" si="1741"/>
        <v>0</v>
      </c>
      <c r="BI869" s="67">
        <f t="shared" si="1741"/>
        <v>0</v>
      </c>
      <c r="BJ869" s="67">
        <f t="shared" si="1741"/>
        <v>0</v>
      </c>
      <c r="BK869" s="67">
        <f t="shared" si="1741"/>
        <v>0</v>
      </c>
      <c r="BL869" s="67">
        <f t="shared" si="1741"/>
        <v>0</v>
      </c>
      <c r="BM869" s="235">
        <f t="shared" si="1741"/>
        <v>0</v>
      </c>
      <c r="BN869" s="159">
        <f t="shared" si="1741"/>
        <v>0</v>
      </c>
      <c r="BO869" s="159">
        <f t="shared" si="1741"/>
        <v>0</v>
      </c>
      <c r="BP869" s="159">
        <f t="shared" si="1741"/>
        <v>0</v>
      </c>
      <c r="BQ869" s="71">
        <f t="shared" si="1741"/>
        <v>10.5</v>
      </c>
      <c r="BR869" s="68">
        <f t="shared" si="1741"/>
        <v>0</v>
      </c>
      <c r="BS869" s="464"/>
      <c r="BT869" s="461"/>
      <c r="BU869" s="392"/>
      <c r="BV869" s="461"/>
      <c r="BW869" s="392"/>
      <c r="BX869" s="392"/>
      <c r="BY869" s="392"/>
      <c r="BZ869" s="461"/>
      <c r="CA869" s="392"/>
      <c r="CB869" s="392"/>
      <c r="CC869" s="392"/>
      <c r="CD869" s="401"/>
      <c r="CE869" s="409"/>
      <c r="CF869" s="236">
        <f t="shared" si="1669"/>
        <v>0</v>
      </c>
      <c r="CG869" s="237">
        <f t="shared" si="1670"/>
        <v>0</v>
      </c>
      <c r="CH869" s="237">
        <f t="shared" si="1671"/>
        <v>0</v>
      </c>
      <c r="CI869" s="237">
        <f t="shared" si="1672"/>
        <v>0</v>
      </c>
      <c r="CJ869" s="237">
        <f t="shared" si="1673"/>
        <v>0</v>
      </c>
      <c r="CK869" s="237">
        <f t="shared" si="1674"/>
        <v>0</v>
      </c>
      <c r="CL869" s="237">
        <f t="shared" si="1675"/>
        <v>0</v>
      </c>
      <c r="CM869" s="237">
        <f t="shared" si="1676"/>
        <v>0</v>
      </c>
      <c r="CN869" s="237">
        <f t="shared" si="1677"/>
        <v>0</v>
      </c>
      <c r="CO869" s="237">
        <f t="shared" si="1678"/>
        <v>0</v>
      </c>
      <c r="CP869" s="237">
        <f t="shared" si="1679"/>
        <v>0</v>
      </c>
      <c r="CQ869" s="237">
        <f t="shared" si="1680"/>
        <v>0</v>
      </c>
      <c r="CR869" s="237">
        <f t="shared" si="1681"/>
        <v>0</v>
      </c>
      <c r="CS869" s="237">
        <f t="shared" si="1682"/>
        <v>0</v>
      </c>
      <c r="CT869" s="75">
        <f t="shared" si="1683"/>
        <v>0</v>
      </c>
      <c r="CU869" s="76">
        <f t="shared" si="1684"/>
        <v>0</v>
      </c>
      <c r="CV869" s="76">
        <f t="shared" si="1685"/>
        <v>0</v>
      </c>
      <c r="CW869" s="76">
        <f t="shared" si="1686"/>
        <v>0</v>
      </c>
      <c r="CX869" s="76">
        <f t="shared" si="1687"/>
        <v>0</v>
      </c>
      <c r="CY869" s="76">
        <f t="shared" si="1688"/>
        <v>0</v>
      </c>
      <c r="CZ869" s="76">
        <f t="shared" si="1689"/>
        <v>0</v>
      </c>
      <c r="DA869" s="76">
        <f t="shared" si="1690"/>
        <v>0</v>
      </c>
      <c r="DB869" s="76">
        <f t="shared" si="1691"/>
        <v>1</v>
      </c>
      <c r="DC869" s="76">
        <f t="shared" si="1692"/>
        <v>0</v>
      </c>
      <c r="DD869" s="76">
        <f t="shared" si="1693"/>
        <v>0</v>
      </c>
      <c r="DE869" s="77">
        <f t="shared" si="1694"/>
        <v>0</v>
      </c>
      <c r="DF869" s="73">
        <f t="shared" si="1696"/>
        <v>52</v>
      </c>
      <c r="DG869" s="67">
        <f t="shared" si="1697"/>
        <v>69.813000000000002</v>
      </c>
      <c r="DH869" s="76">
        <f t="shared" si="1698"/>
        <v>19</v>
      </c>
      <c r="DI869" s="67">
        <f t="shared" si="1699"/>
        <v>81.47</v>
      </c>
      <c r="DJ869" s="202" t="str">
        <f>IF($D868="","",$D868)</f>
        <v>29</v>
      </c>
      <c r="DK869" s="466"/>
    </row>
    <row r="870" spans="1:115" ht="14.5" customHeight="1" x14ac:dyDescent="0.2">
      <c r="A870" s="390"/>
      <c r="B870" s="457"/>
      <c r="C870" s="79" t="s">
        <v>53</v>
      </c>
      <c r="D870" s="375"/>
      <c r="E870" s="387"/>
      <c r="F870" s="378"/>
      <c r="G870" s="484"/>
      <c r="H870" s="477"/>
      <c r="I870" s="82"/>
      <c r="J870" s="83"/>
      <c r="K870" s="90"/>
      <c r="L870" s="84"/>
      <c r="M870" s="85"/>
      <c r="N870" s="407"/>
      <c r="O870" s="86" t="str">
        <f>IF(OR(AE868="",AE869=""),"",IF(L870&gt;0,ROUND(IF(M870&gt;0,M870,IF(M868&gt;0,ROUND((M868*AE870)/AE868,IF(N868=0,2,IF(N868=0.1,1,0))),IF(M869&gt;0,ROUND((M869*AE870)/AE869,IF(N868=0,2,IF(N868=0.1,1,0))),IF(M870&gt;0,M870,0)))),2),""))</f>
        <v/>
      </c>
      <c r="P870" s="87" t="str">
        <f>IF(I869="Lay",O869*(L869/(L869-1))-O869,IF(I868="Lay",O868*(L868/(L868-1))-O868,IF(OR(L870="",O870=""),"",IF($C870="1/2W",O870/2+O870/2*L870,IF($C870="1/2L",O870/2,(O870*L870-O870)*(1-_xlfn.XLOOKUP(K870,'Fevereiro 2023 - Valor Real'!A3:A15,'Fevereiro 2023 - Valor Real'!C3:C15,0))+O870)))))</f>
        <v/>
      </c>
      <c r="Q870" s="238" t="str">
        <f>IF(K870="","",IF(_xlfn.XLOOKUP(K870,K$4:K869,$DJ$4:DJ869,0,,-1)=DJ870,_xlfn.XLOOKUP(K870,K$4:K869,Q$4:Q869,1,,-1)+1,1))</f>
        <v/>
      </c>
      <c r="R870" s="239" t="str">
        <f>IF(K870="","",_xlfn.XLOOKUP(K870,K$4:K869,R$4:R869,0,,-1)+IF($C870=" ",1,0))</f>
        <v/>
      </c>
      <c r="S870" s="404"/>
      <c r="T870" s="378"/>
      <c r="U870" s="378"/>
      <c r="V870" s="404"/>
      <c r="W870" s="378"/>
      <c r="X870" s="453"/>
      <c r="Y870" s="383"/>
      <c r="Z870" s="384"/>
      <c r="AA870" s="384"/>
      <c r="AB870" s="384"/>
      <c r="AC870" s="384"/>
      <c r="AD870" s="240">
        <f>((L869/(L869-1)-1))</f>
        <v>1.2987012987012987</v>
      </c>
      <c r="AE870" s="91" t="str">
        <f>IF(L870="","",(SUM(((L868-1)*(1-_xlfn.XLOOKUP(K868,'Fevereiro 2023 - Valor Real'!A3:A15,'Fevereiro 2023 - Valor Real'!C3:C15,0))+1),((L869-1)*(1-_xlfn.XLOOKUP(K869,'Fevereiro 2023 - Valor Real'!A3:A15,'Fevereiro 2023 - Valor Real'!C3:C15,0))+1),((L870-1)*(1-_xlfn.XLOOKUP(K870,'Fevereiro 2023 - Valor Real'!A3:A15,'Fevereiro 2023 - Valor Real'!C3:C15,0))+1))/((L870-1)*(1-_xlfn.XLOOKUP(K870,'Fevereiro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Real'!C3:C15,0))+1))/((L868-1)*(1-_xlfn.XLOOKUP(K868,'Fevereiro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Real'!C3:C15,0))+1))/((L869-1)*(1-_xlfn.XLOOKUP(K869,'Fevereiro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Real'!C3:C15,0))+1))/((L870-1)*(1-_xlfn.XLOOKUP(K870,'Fevereiro 2023 - Valor Real'!A3:A15,'Fevereiro 2023 - Valor Real'!C3:C15,0))+1)))</f>
        <v/>
      </c>
      <c r="AF870" s="66">
        <f t="shared" si="1739"/>
        <v>0</v>
      </c>
      <c r="AG870" s="67">
        <f t="shared" si="1739"/>
        <v>0</v>
      </c>
      <c r="AH870" s="67">
        <f t="shared" si="1739"/>
        <v>0</v>
      </c>
      <c r="AI870" s="67">
        <f t="shared" si="1739"/>
        <v>0</v>
      </c>
      <c r="AJ870" s="67">
        <f t="shared" si="1739"/>
        <v>0</v>
      </c>
      <c r="AK870" s="67">
        <f t="shared" si="1739"/>
        <v>0</v>
      </c>
      <c r="AL870" s="67">
        <f t="shared" si="1739"/>
        <v>0</v>
      </c>
      <c r="AM870" s="67">
        <f t="shared" si="1739"/>
        <v>0</v>
      </c>
      <c r="AN870" s="67">
        <f t="shared" si="1739"/>
        <v>0</v>
      </c>
      <c r="AO870" s="67">
        <f t="shared" si="1739"/>
        <v>0</v>
      </c>
      <c r="AP870" s="67">
        <f t="shared" si="1739"/>
        <v>0</v>
      </c>
      <c r="AQ870" s="67">
        <f t="shared" si="1739"/>
        <v>0</v>
      </c>
      <c r="AR870" s="68">
        <f t="shared" si="1739"/>
        <v>0</v>
      </c>
      <c r="AS870" s="66">
        <f>IF(AND($B868=" ",$K870=AS$3),$O870,0)</f>
        <v>0</v>
      </c>
      <c r="AT870" s="67">
        <f>IF(AND($B868=" ",K870=AT$3),$O870,0)</f>
        <v>0</v>
      </c>
      <c r="AU870" s="67">
        <f t="shared" ref="AU870:BE870" si="1749">IF(AND($B868=" ",$K870=AU$3),$O870,0)</f>
        <v>0</v>
      </c>
      <c r="AV870" s="67">
        <f t="shared" si="1749"/>
        <v>0</v>
      </c>
      <c r="AW870" s="67">
        <f t="shared" si="1749"/>
        <v>0</v>
      </c>
      <c r="AX870" s="67">
        <f t="shared" si="1749"/>
        <v>0</v>
      </c>
      <c r="AY870" s="69">
        <f t="shared" si="1749"/>
        <v>0</v>
      </c>
      <c r="AZ870" s="70">
        <f t="shared" si="1749"/>
        <v>0</v>
      </c>
      <c r="BA870" s="70">
        <f t="shared" si="1749"/>
        <v>0</v>
      </c>
      <c r="BB870" s="70">
        <f t="shared" si="1749"/>
        <v>0</v>
      </c>
      <c r="BC870" s="71">
        <f t="shared" si="1749"/>
        <v>0</v>
      </c>
      <c r="BD870" s="67">
        <f t="shared" si="1749"/>
        <v>0</v>
      </c>
      <c r="BE870" s="68">
        <f t="shared" si="1749"/>
        <v>0</v>
      </c>
      <c r="BF870" s="66">
        <f t="shared" si="1741"/>
        <v>0</v>
      </c>
      <c r="BG870" s="67">
        <f t="shared" si="1741"/>
        <v>0</v>
      </c>
      <c r="BH870" s="67">
        <f t="shared" si="1741"/>
        <v>0</v>
      </c>
      <c r="BI870" s="67">
        <f t="shared" si="1741"/>
        <v>0</v>
      </c>
      <c r="BJ870" s="67">
        <f t="shared" si="1741"/>
        <v>0</v>
      </c>
      <c r="BK870" s="67">
        <f t="shared" si="1741"/>
        <v>0</v>
      </c>
      <c r="BL870" s="67">
        <f t="shared" si="1741"/>
        <v>0</v>
      </c>
      <c r="BM870" s="69">
        <f t="shared" si="1741"/>
        <v>0</v>
      </c>
      <c r="BN870" s="70">
        <f t="shared" si="1741"/>
        <v>0</v>
      </c>
      <c r="BO870" s="70">
        <f t="shared" si="1741"/>
        <v>0</v>
      </c>
      <c r="BP870" s="70">
        <f t="shared" si="1741"/>
        <v>0</v>
      </c>
      <c r="BQ870" s="71">
        <f t="shared" si="1741"/>
        <v>0</v>
      </c>
      <c r="BR870" s="68">
        <f t="shared" si="1741"/>
        <v>0</v>
      </c>
      <c r="BS870" s="464"/>
      <c r="BT870" s="461"/>
      <c r="BU870" s="392"/>
      <c r="BV870" s="461"/>
      <c r="BW870" s="392"/>
      <c r="BX870" s="392"/>
      <c r="BY870" s="392"/>
      <c r="BZ870" s="461"/>
      <c r="CA870" s="392"/>
      <c r="CB870" s="392"/>
      <c r="CC870" s="392"/>
      <c r="CD870" s="401"/>
      <c r="CE870" s="409"/>
      <c r="CF870" s="236">
        <f t="shared" si="1669"/>
        <v>0</v>
      </c>
      <c r="CG870" s="237">
        <f t="shared" si="1670"/>
        <v>0</v>
      </c>
      <c r="CH870" s="237">
        <f t="shared" si="1671"/>
        <v>0</v>
      </c>
      <c r="CI870" s="237">
        <f t="shared" si="1672"/>
        <v>0</v>
      </c>
      <c r="CJ870" s="237">
        <f t="shared" si="1673"/>
        <v>0</v>
      </c>
      <c r="CK870" s="237">
        <f t="shared" si="1674"/>
        <v>0</v>
      </c>
      <c r="CL870" s="237">
        <f t="shared" si="1675"/>
        <v>0</v>
      </c>
      <c r="CM870" s="237">
        <f t="shared" si="1676"/>
        <v>0</v>
      </c>
      <c r="CN870" s="237">
        <f t="shared" si="1677"/>
        <v>0</v>
      </c>
      <c r="CO870" s="237">
        <f t="shared" si="1678"/>
        <v>0</v>
      </c>
      <c r="CP870" s="237">
        <f t="shared" si="1679"/>
        <v>0</v>
      </c>
      <c r="CQ870" s="237">
        <f t="shared" si="1680"/>
        <v>0</v>
      </c>
      <c r="CR870" s="237">
        <f t="shared" si="1681"/>
        <v>0</v>
      </c>
      <c r="CS870" s="237">
        <f t="shared" si="1682"/>
        <v>0</v>
      </c>
      <c r="CT870" s="75">
        <f t="shared" si="1683"/>
        <v>0</v>
      </c>
      <c r="CU870" s="76">
        <f t="shared" si="1684"/>
        <v>0</v>
      </c>
      <c r="CV870" s="76">
        <f t="shared" si="1685"/>
        <v>0</v>
      </c>
      <c r="CW870" s="76">
        <f t="shared" si="1686"/>
        <v>0</v>
      </c>
      <c r="CX870" s="76">
        <f t="shared" si="1687"/>
        <v>0</v>
      </c>
      <c r="CY870" s="76">
        <f t="shared" si="1688"/>
        <v>0</v>
      </c>
      <c r="CZ870" s="76">
        <f t="shared" si="1689"/>
        <v>0</v>
      </c>
      <c r="DA870" s="76">
        <f t="shared" si="1690"/>
        <v>0</v>
      </c>
      <c r="DB870" s="76">
        <f t="shared" si="1691"/>
        <v>0</v>
      </c>
      <c r="DC870" s="76">
        <f t="shared" si="1692"/>
        <v>0</v>
      </c>
      <c r="DD870" s="76">
        <f t="shared" si="1693"/>
        <v>0</v>
      </c>
      <c r="DE870" s="77">
        <f t="shared" si="1694"/>
        <v>0</v>
      </c>
      <c r="DF870" s="73">
        <f t="shared" si="1696"/>
        <v>52</v>
      </c>
      <c r="DG870" s="67">
        <f t="shared" si="1697"/>
        <v>69.813000000000002</v>
      </c>
      <c r="DH870" s="76">
        <f t="shared" si="1698"/>
        <v>19</v>
      </c>
      <c r="DI870" s="67">
        <f t="shared" si="1699"/>
        <v>81.47</v>
      </c>
      <c r="DJ870" s="202" t="str">
        <f>IF($D868="","",$D868)</f>
        <v>29</v>
      </c>
      <c r="DK870" s="466"/>
    </row>
    <row r="871" spans="1:115" ht="14.5" customHeight="1" x14ac:dyDescent="0.2">
      <c r="A871" s="459">
        <f>$A868+1</f>
        <v>290</v>
      </c>
      <c r="B871" s="507" t="str">
        <f>IF(OR(C871="W",C872="W",C873="W",C871="1/2W",C872="1/2W",C873="1/2W",C871="1/2L",C872="1/2L",C873="1/2L"),"OK",IF(OR(C871="L",C872="L",C873="L"),"LOSS",IF(OR(C871="X",C872="X",C873="X"),"Anulado"," ")))</f>
        <v>OK</v>
      </c>
      <c r="C871" s="93" t="s">
        <v>55</v>
      </c>
      <c r="D871" s="468" t="str">
        <f>IF(G871="","",$D868)</f>
        <v>29</v>
      </c>
      <c r="E871" s="485" t="str">
        <f>IF(G871=""," ","– "&amp;COUNTIF(D$4:D873,$D871))</f>
        <v>– 7</v>
      </c>
      <c r="F871" s="509" t="str">
        <f ca="1">IF(G871="","",IF(OR(AND($C871&lt;&gt;" ",$C872=" "),AND($C872&lt;&gt;" ",$C871=" "),AND(L873&gt;0,OR(AND($C873&lt;&gt;" ",OR($C871=" ",$C872=" ")),AND($C873=" ",OR($C871&lt;&gt;" ",$C872&lt;&gt;" "))))),IF(SUM(F$4:F870)=0,1,LARGE(F$4:F870,1)+1),IF(MONTH(G871)=MONTH(TODAY()),IF(AND(DAY(G871)&lt;DAY(TODAY()),$B871=" "),IF(SUM(F$4:F870)=0,1,LARGE(F$4:F870,1)+1),IF($B871=" ",IF(AND(DAY(G871)=DAY(TODAY()),HOUR(G871)&lt;=HOUR(NOW())+1),IF(AND(HOUR(G871)+2&lt;=HOUR(NOW()),DAY(G871)&lt;=DAY(TODAY()),MINUTE(G871)&lt;=MINUTE(NOW())),IF(SUM(F$4:F870)=0,1,LARGE(F$4:F870,1)+1),IF(OR(MINUTE(G871)&lt;=MINUTE(NOW()),HOUR(G871)&lt;=HOUR(NOW())),"!!!","")),""),"")),"")))</f>
        <v/>
      </c>
      <c r="G871" s="482">
        <v>45018.5</v>
      </c>
      <c r="H871" s="475" t="s">
        <v>291</v>
      </c>
      <c r="I871" s="94" t="s">
        <v>66</v>
      </c>
      <c r="J871" s="95">
        <v>0.5</v>
      </c>
      <c r="K871" s="96" t="s">
        <v>36</v>
      </c>
      <c r="L871" s="97">
        <v>1.825</v>
      </c>
      <c r="M871" s="98"/>
      <c r="N871" s="478">
        <v>1</v>
      </c>
      <c r="O871" s="99">
        <f>IF(OR(AE871="",AE872=""),"",ROUND(IF(L873&gt;0,IF(M871&gt;0,M871,IF(M872&gt;0,ROUND((M872*AE871)/AE872,IF(N871=0,2,IF(N871=0.1,1,0))),ROUND((M873*AE871)/AE873,IF(N871=0,2,IF(N871=0.1,1,0))))),IF(M871&gt;0,M871,ROUND((M872*AE871)/AE872,IF(N871=0,2,IF(N871=0.1,1,0))))),2))</f>
        <v>26</v>
      </c>
      <c r="P871" s="100">
        <f>IF(OR(L871="",O871=""),"",IF($C871="1/2W",O871/2+O871/2*L871,IF($C871="1/2L",O871/2,IF(I871="Lay",(O871*(L871/(L871-1))-O871)*(1-_xlfn.XLOOKUP(K871,'Fevereiro 2023 - Valor Real'!A3:A15,'Fevereiro 2023 - Valor Real'!C3:C15,0))+O871,(O871*L871-O871)*(1-_xlfn.XLOOKUP(K871,'Fevereiro 2023 - Valor Real'!A3:A15,'Fevereiro 2023 - Valor Real'!C3:C15,0))+O871))))</f>
        <v>47.449999999999996</v>
      </c>
      <c r="Q871" s="101">
        <f>IF(K871="","",IF(_xlfn.XLOOKUP(K871,K$4:K870,$DJ$4:DJ870,0,,-1)=DJ871,_xlfn.XLOOKUP(K871,K$4:K870,Q$4:Q870,1,,-1)+1,1))</f>
        <v>2</v>
      </c>
      <c r="R871" s="102">
        <f>IF(K871="","",_xlfn.XLOOKUP(K871,K$4:K870,R$4:R870,0,,-1)+IF($C871=" ",1,0))</f>
        <v>0</v>
      </c>
      <c r="S871" s="474">
        <f>IF($B871="Anulado",0,ROUND(IF(OR($B871="LOSS",$B871="OK"),IF(OR($C871="W",$C871="1/2W",$C871="1/2L"),P871-O871,IF($C871="L",-O871,0))+IF(OR($C872="W",$C872="1/2W",$C872="1/2L"),P872-O872,IF($C872="L",-O872,0))+IF(OR($C873="W",$C873="1/2W",$C873="1/2L"),P873-O873,IF($C873="L",-O873,0)),IF(AND(OR($C871="W",$C871="1/2W",$C871="1/2L"),C872="W"),P871+P872-SUM(O871:O873)+_xlfn.XLOOKUP("X",C871:C873,O871:O873,0),IF(AND(C871=TRUE,C873="W"),P871+P873-SUM(O871:O873),IF(AND(C872="W",C873="W"),P872+P873-SUM(O871:O873)+_xlfn.XLOOKUP("X",C871:C873,O871:O873,0),IF(L873&gt;0,IF(OR($C871="W",$C871="1/2W",$C871="1/2L"),P871-SUM(O871:O873)+_xlfn.XLOOKUP("X",C871:C873,O871:O873,0),IF(OR($C871="W",$C871="1/2W",$C871="1/2L"),P872-SUM(O871:O873)+_xlfn.XLOOKUP("X",C871:C873,O871:O873,0),IF(OR($C871="W",$C871="1/2W",$C871="1/2L"),P873-SUM(O871:O873)+_xlfn.XLOOKUP("X",C871:C873,O871:O873,0),IF(SUM(P871:P873)/3-SUM(O871:O873)+_xlfn.XLOOKUP("X",C871:C873,O871:O873,0)&gt;0,SUM(P871:P873)/3-SUM(O871:O873)+_xlfn.XLOOKUP("X",C871:C873,O871:O873,0),LARGE(P871:P873,1)-SUM(O871:O873))))),IF(OR($C871="W",$C871="1/2W",$C871="1/2L"),P871-SUM(O871:O872)+_xlfn.XLOOKUP("X",C871:C873,O871:O873,0),IF(OR($C871="W",$C871="1/2W",$C871="1/2L"),P872-SUM(O871:O872)+_xlfn.XLOOKUP("X",C871:C873,O871:O873,0),SUM(P871:P872)/2-SUM(O871:O872)+_xlfn.XLOOKUP("X",C871:C873,O871:O873,0)))))))),2))</f>
        <v>2.99</v>
      </c>
      <c r="T871" s="458">
        <f>IF(S871=0,0,S871/SUM(O871:O873))</f>
        <v>6.776971894832276E-2</v>
      </c>
      <c r="U871" s="470">
        <f>IF($D871=$D868,IF(OR($B871="LOSS",$B871="OK",$B871="Anulada"),S871,0)+U868,IF(OR($B871="LOSS",$B871="OK",$B871="Anulada"),S871,0))</f>
        <v>12.71</v>
      </c>
      <c r="V871" s="470">
        <f>IF($D871="",0,IF($D871=$D868,IF($B871=" ",IF(I873="",IF(OR(AND(I871="DNB1",I872="DNB2"),AND(OR(I871="DNB1",I871="DNB2"),J872=0),AND(OR(I872="DNB1",I872="DNB2"),J871=0),AND(I871="DNB2",I872="DNB1"),AND(IF(J871=0,(J871+1)/ROUND(J871+1,0),J871/ROUND(J871,0))=1,IF(J872=0,(J872+1)/ROUND(IF(J872="",0,J872)+1,0),IF(J872="",0,J872)/ROUND(IF(J872="",1,J872),0))=1,OR(J871&lt;&gt;""),J872&lt;&gt;"")),0,IF(S871&lt;0,IF(I873="",SMALL(P871:P872,1)-SUM(O871:O872),0),SMALL(P871:P872,1)-SUM(O871:O872))),IF(S871&lt;0,IF(I873="",SMALL(P871:P873,1)-SUM(O871:O873),0),LARGE(P871:P873,1)-SUM(O871:O873))),S871)+V868,IF(I873="",IF(OR(AND(I871="DNB1",I872="DNB2"),AND(OR(I871="DNB1",I871="DNB2"),J872=0),AND(OR(I872="DNB1",I872="DNB2"),J871=0),AND(I871="DNB2",I872="DNB1"),AND(IF(J871=0,(J871+1)/ROUND(J871+1,0),J871/ROUND(J871,0))=1,IF(J872=0,(IF(J872="",0,J872)+1)/ROUND(IF(J872="",0,J872)+1,0),IF(J872="",0,J872)/ROUND(IF(J872="",0,J872)+1,0))=1,OR(J871&lt;&gt;""),J872&lt;&gt;"")),0,IF(S871&lt;0,IF(I873="",SMALL(P871:P872,1)-SUM(O871:O872),0),SMALL(P871:P873,1)-SUM(O871:O873))),IF(S871&lt;0,IF(I873="",SMALL(P871:P873,1)-SUM(O871:O873),0),LARGE(P871:P873,1)-SUM(O871:O873)))))</f>
        <v>12.706200000000003</v>
      </c>
      <c r="W871" s="470">
        <f>IF($D871=$D868,IF(S871&lt;0,IF(I873="",S871,0),S871)+W868,S871)</f>
        <v>12.71</v>
      </c>
      <c r="X871" s="480" t="str">
        <f>IF(OR(SUM(R871:R873)=0,V871=W871),ROUND(IF(W871=0,0,W871/Y871)*100,2)&amp;"%",ROUND(IF(V871=0,0,V871/Y871)*100,2)&amp;"% a "&amp;ROUND(IF(W871=0,0,W871/Y871)*100,2)&amp;"%")</f>
        <v>6,38%</v>
      </c>
      <c r="Y871" s="471">
        <f>IF($D871=$D868,Y868+SUM(O871:O873),SUM(O871:O873))</f>
        <v>199.27999999999997</v>
      </c>
      <c r="Z871" s="470">
        <f>IF($B871=" ",SUM(O871:O873),0)+Z868</f>
        <v>0</v>
      </c>
      <c r="AA871" s="470">
        <f>IF(G871="","",IF($B871="Anulado",LARGE(P871:P873,1)-SUM(O871:O873)+AA868,AA868))</f>
        <v>13.381099999999991</v>
      </c>
      <c r="AB871" s="470">
        <f>IF($D871="","",AB868+S871)</f>
        <v>996.400000000001</v>
      </c>
      <c r="AC871" s="472">
        <f ca="1">IF($D871="","",IF($B871=" ",IF(DAY(G871)=DAY(TODAY()),1+AC868,0+AC868),0+AC868))</f>
        <v>0</v>
      </c>
      <c r="AD871" s="103">
        <f>(((L872/(L872-1)-1)*(1-_xlfn.XLOOKUP(K872,'Fevereiro 2023 - Valor Real'!A3:A15,'Fevereiro 2023 - Valor Real'!C3:C15,0))+1))/(((L871-1)*(1-_xlfn.XLOOKUP(K871,'Fevereiro 2023 - Valor Real'!A3:A15,'Fevereiro 2023 - Valor Real'!C3:C15,0))+1)+((L872/(L872-1)-1)*(1-_xlfn.XLOOKUP(K872,'Fevereiro 2023 - Valor Real'!A3:A15,'Fevereiro 2023 - Valor Real'!C3:C15,0))+1))</f>
        <v>0.47101449275362317</v>
      </c>
      <c r="AE871" s="104">
        <f>IF(L871="","",IF(L873&gt;0,(SUM(((L871-1)*(1-_xlfn.XLOOKUP(K871,'Fevereiro 2023 - Valor Real'!A3:A15,'Fevereiro 2023 - Valor Real'!C3:C15,0))+1),((L872-1)*(1-_xlfn.XLOOKUP(K872,'Fevereiro 2023 - Valor Real'!A3:A15,'Fevereiro 2023 - Valor Real'!C3:C15,0))+1),((L873-1)*(1-_xlfn.XLOOKUP(K873,'Fevereiro 2023 - Valor Real'!A3:A15,'Fevereiro 2023 - Valor Real'!C3:C15,0))+1))/((L871-1)*(1-_xlfn.XLOOKUP(K871,'Fevereiro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Real'!C3:C15,0))+1))/((L871-1)*(1-_xlfn.XLOOKUP(K871,'Fevereiro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Real'!C3:C15,0))+1))/((L872-1)*(1-_xlfn.XLOOKUP(K872,'Fevereiro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Real'!C3:C15,0))+1))/((L873-1)*(1-_xlfn.XLOOKUP(K873,'Fevereiro 2023 - Valor Real'!A3:A15,'Fevereiro 2023 - Valor Real'!C3:C15,0))+1)),IF(I871="Lay",IF(I872="Lay",((L872/(L872-1)-1)*(1-_xlfn.XLOOKUP(K872,'Fevereiro 2023 - Valor Real'!A3:A15,'Fevereiro 2023 - Valor Real'!C3:C15,0))+1)/(((L872/(L872-1)-1)*(1-_xlfn.XLOOKUP(K872,'Fevereiro 2023 - Valor Real'!A3:A15,'Fevereiro 2023 - Valor Real'!C3:C15,0))+1)+((L871/(L871-1)-1)*(1-_xlfn.XLOOKUP(K871,'Fevereiro 2023 - Valor Real'!A3:A15,'Fevereiro 2023 - Valor Real'!C3:C15,0))+1)),((L872-1)*(1-_xlfn.XLOOKUP(K872,'Fevereiro 2023 - Valor Real'!A3:A15,'Fevereiro 2023 - Valor Real'!C3:C15,0))+1)/(((L872-1)*(1-_xlfn.XLOOKUP(K872,'Fevereiro 2023 - Valor Real'!A3:A15,'Fevereiro 2023 - Valor Real'!C3:C15,0))+1)+((L871/(L871-1)-1)*(1-_xlfn.XLOOKUP(K871,'Fevereiro 2023 - Valor Real'!A3:A15,'Fevereiro 2023 - Valor Real'!C3:C15,0))+1))),IF(I872="Lay",(((L872/(L872-1)-1)*(1-_xlfn.XLOOKUP(K872,'Fevereiro 2023 - Valor Real'!A3:A15,'Fevereiro 2023 - Valor Real'!C3:C15,0))+1))/(((L871-1)*(1-_xlfn.XLOOKUP(K871,'Fevereiro 2023 - Valor Real'!A3:A15,'Fevereiro 2023 - Valor Real'!C3:C15,0))+1)+((L872/(L872-1)-1)*(1-_xlfn.XLOOKUP(K872,'Fevereiro 2023 - Valor Real'!A3:A15,'Fevereiro 2023 - Valor Real'!C3:C15,0))+1)),((L872-1)*(1-_xlfn.XLOOKUP(K872,'Fevereiro 2023 - Valor Real'!A3:A15,'Fevereiro 2023 - Valor Real'!C3:C15,0))+1)/(((L872-1)*(1-_xlfn.XLOOKUP(K872,'Fevereiro 2023 - Valor Real'!A3:A15,'Fevereiro 2023 - Valor Real'!C3:C15,0))+1)+((L871-1)*(1-_xlfn.XLOOKUP(K871,'Fevereiro 2023 - Valor Real'!A3:A15,'Fevereiro 2023 - Valor Real'!C3:C15,0))+1))))))</f>
        <v>0.58757062146892658</v>
      </c>
      <c r="AF871" s="105">
        <f t="shared" si="1739"/>
        <v>-26</v>
      </c>
      <c r="AG871" s="106">
        <f t="shared" si="1739"/>
        <v>0</v>
      </c>
      <c r="AH871" s="106">
        <f t="shared" si="1739"/>
        <v>0</v>
      </c>
      <c r="AI871" s="106">
        <f t="shared" si="1739"/>
        <v>0</v>
      </c>
      <c r="AJ871" s="106">
        <f t="shared" si="1739"/>
        <v>0</v>
      </c>
      <c r="AK871" s="106">
        <f t="shared" si="1739"/>
        <v>0</v>
      </c>
      <c r="AL871" s="106">
        <f t="shared" si="1739"/>
        <v>0</v>
      </c>
      <c r="AM871" s="106">
        <f t="shared" si="1739"/>
        <v>0</v>
      </c>
      <c r="AN871" s="106">
        <f t="shared" si="1739"/>
        <v>0</v>
      </c>
      <c r="AO871" s="106">
        <f t="shared" si="1739"/>
        <v>0</v>
      </c>
      <c r="AP871" s="106">
        <f t="shared" si="1739"/>
        <v>0</v>
      </c>
      <c r="AQ871" s="106">
        <f t="shared" si="1739"/>
        <v>0</v>
      </c>
      <c r="AR871" s="107">
        <f t="shared" si="1739"/>
        <v>0</v>
      </c>
      <c r="AS871" s="105">
        <f t="shared" ref="AS871:BE871" si="1750">IF(AND($B871=" ",$K871=AS$3),$O871,0)</f>
        <v>0</v>
      </c>
      <c r="AT871" s="106">
        <f t="shared" si="1750"/>
        <v>0</v>
      </c>
      <c r="AU871" s="106">
        <f t="shared" si="1750"/>
        <v>0</v>
      </c>
      <c r="AV871" s="106">
        <f t="shared" si="1750"/>
        <v>0</v>
      </c>
      <c r="AW871" s="106">
        <f t="shared" si="1750"/>
        <v>0</v>
      </c>
      <c r="AX871" s="106">
        <f t="shared" si="1750"/>
        <v>0</v>
      </c>
      <c r="AY871" s="108">
        <f t="shared" si="1750"/>
        <v>0</v>
      </c>
      <c r="AZ871" s="109">
        <f t="shared" si="1750"/>
        <v>0</v>
      </c>
      <c r="BA871" s="109">
        <f t="shared" si="1750"/>
        <v>0</v>
      </c>
      <c r="BB871" s="109">
        <f t="shared" si="1750"/>
        <v>0</v>
      </c>
      <c r="BC871" s="110">
        <f t="shared" si="1750"/>
        <v>0</v>
      </c>
      <c r="BD871" s="106">
        <f t="shared" si="1750"/>
        <v>0</v>
      </c>
      <c r="BE871" s="107">
        <f t="shared" si="1750"/>
        <v>0</v>
      </c>
      <c r="BF871" s="111">
        <f t="shared" si="1741"/>
        <v>26</v>
      </c>
      <c r="BG871" s="106">
        <f t="shared" si="1741"/>
        <v>0</v>
      </c>
      <c r="BH871" s="106">
        <f t="shared" si="1741"/>
        <v>0</v>
      </c>
      <c r="BI871" s="106">
        <f t="shared" si="1741"/>
        <v>0</v>
      </c>
      <c r="BJ871" s="106">
        <f t="shared" si="1741"/>
        <v>0</v>
      </c>
      <c r="BK871" s="106">
        <f t="shared" si="1741"/>
        <v>0</v>
      </c>
      <c r="BL871" s="106">
        <f t="shared" si="1741"/>
        <v>0</v>
      </c>
      <c r="BM871" s="108">
        <f t="shared" si="1741"/>
        <v>0</v>
      </c>
      <c r="BN871" s="109">
        <f t="shared" si="1741"/>
        <v>0</v>
      </c>
      <c r="BO871" s="109">
        <f t="shared" si="1741"/>
        <v>0</v>
      </c>
      <c r="BP871" s="109">
        <f t="shared" si="1741"/>
        <v>0</v>
      </c>
      <c r="BQ871" s="110">
        <f t="shared" si="1741"/>
        <v>0</v>
      </c>
      <c r="BR871" s="107">
        <f t="shared" si="1741"/>
        <v>0</v>
      </c>
      <c r="BS871" s="463">
        <f>IF($B871="LOSS",IF(AND($K871=BS$3,$C871="L"),-$O871,0)+IF(AND($K872=BS$3,$C872="L"),-$O872,0)+IF(AND($K873=BS$3,$C873="L"),-$O873,0),IF(OR(AND($K871=BS$3,OR($C871="W",$C871="1/2W")),AND($K872=BS$3,OR($C872="W",$C872="1/2W")),AND($K873=BS$3,OR($C873="W",$C873="1/2W"))),$S871,0))</f>
        <v>0</v>
      </c>
      <c r="BT871" s="462">
        <f>IF($B871="LOSS",IF(AND($K871=BT$3,$C871="L"),-$O871,0)+IF(AND($K872=BT$3,$C872="L"),-$O872,0)+IF(AND($K872=BT$3,$C873="L"),-$O873,0),IF(OR(AND($K872=BT$3,OR($C871="W",$C871="1/2W")),AND($K872=BT$3,OR($C872="W",$C872="1/2W")),AND($K872=BT$3,OR($C873="W",$C873="1/2W"))),$S871,0))</f>
        <v>2.99</v>
      </c>
      <c r="BU871" s="462">
        <f>IF($B871="LOSS",IF(AND($K871=BU$3,$C871="L"),-$O871,0)+IF(AND($K872=BU$3,$C872="L"),-$O872,0)+IF(AND($K872=BU$3,$C873="L"),-$O873,0),IF(OR(AND($K872=BU$3,OR($C871="W",$C871="1/2W")),AND($K872=BU$3,OR($C872="W",$C872="1/2W")),AND($K872=BU$3,OR($C873="W",$C873="1/2W"))),$S871,0))</f>
        <v>0</v>
      </c>
      <c r="BV871" s="462">
        <f t="shared" ref="BV871:CE871" si="1751">IF($B871="LOSS",IF(AND($K871=BV$3,$C871="L"),-$O871,0)+IF(AND($K872=BV$3,$C872="L"),-$O872,0)+IF(AND($K873=BV$3,$C873="L"),-$O873,0),IF(OR(AND($K871=BV$3,OR($C871="W",$C871="1/2W")),AND($K872=BV$3,OR($C872="W",$C872="1/2W")),AND($K873=BV$3,OR($C873="W",$C873="1/2W"))),$S871,0))</f>
        <v>0</v>
      </c>
      <c r="BW871" s="462">
        <f t="shared" si="1751"/>
        <v>0</v>
      </c>
      <c r="BX871" s="462">
        <f t="shared" si="1751"/>
        <v>0</v>
      </c>
      <c r="BY871" s="462">
        <f t="shared" si="1751"/>
        <v>0</v>
      </c>
      <c r="BZ871" s="460">
        <f t="shared" si="1751"/>
        <v>0</v>
      </c>
      <c r="CA871" s="460">
        <f t="shared" si="1751"/>
        <v>0</v>
      </c>
      <c r="CB871" s="460">
        <f t="shared" si="1751"/>
        <v>0</v>
      </c>
      <c r="CC871" s="460">
        <f t="shared" si="1751"/>
        <v>0</v>
      </c>
      <c r="CD871" s="473">
        <f t="shared" si="1751"/>
        <v>0</v>
      </c>
      <c r="CE871" s="479">
        <f t="shared" si="1751"/>
        <v>0</v>
      </c>
      <c r="CF871" s="113">
        <f t="shared" si="1669"/>
        <v>0</v>
      </c>
      <c r="CG871" s="114">
        <f t="shared" si="1670"/>
        <v>1</v>
      </c>
      <c r="CH871" s="114">
        <f t="shared" si="1671"/>
        <v>0</v>
      </c>
      <c r="CI871" s="114">
        <f t="shared" si="1672"/>
        <v>0</v>
      </c>
      <c r="CJ871" s="114">
        <f t="shared" si="1673"/>
        <v>0</v>
      </c>
      <c r="CK871" s="114">
        <f t="shared" si="1674"/>
        <v>0</v>
      </c>
      <c r="CL871" s="114">
        <f t="shared" si="1675"/>
        <v>0</v>
      </c>
      <c r="CM871" s="114">
        <f t="shared" si="1676"/>
        <v>0</v>
      </c>
      <c r="CN871" s="114">
        <f t="shared" si="1677"/>
        <v>0</v>
      </c>
      <c r="CO871" s="114">
        <f t="shared" si="1678"/>
        <v>0</v>
      </c>
      <c r="CP871" s="114">
        <f t="shared" si="1679"/>
        <v>0</v>
      </c>
      <c r="CQ871" s="114">
        <f t="shared" si="1680"/>
        <v>0</v>
      </c>
      <c r="CR871" s="114">
        <f t="shared" si="1681"/>
        <v>0</v>
      </c>
      <c r="CS871" s="114">
        <f t="shared" si="1682"/>
        <v>0</v>
      </c>
      <c r="CT871" s="115">
        <f t="shared" si="1683"/>
        <v>0</v>
      </c>
      <c r="CU871" s="116">
        <f t="shared" si="1684"/>
        <v>0</v>
      </c>
      <c r="CV871" s="116">
        <f t="shared" si="1685"/>
        <v>0</v>
      </c>
      <c r="CW871" s="116">
        <f t="shared" si="1686"/>
        <v>0</v>
      </c>
      <c r="CX871" s="116">
        <f t="shared" si="1687"/>
        <v>0</v>
      </c>
      <c r="CY871" s="116">
        <f t="shared" si="1688"/>
        <v>0</v>
      </c>
      <c r="CZ871" s="116">
        <f t="shared" si="1689"/>
        <v>0</v>
      </c>
      <c r="DA871" s="116">
        <f t="shared" si="1690"/>
        <v>0</v>
      </c>
      <c r="DB871" s="116">
        <f t="shared" si="1691"/>
        <v>0</v>
      </c>
      <c r="DC871" s="116">
        <f t="shared" si="1692"/>
        <v>0</v>
      </c>
      <c r="DD871" s="116">
        <f t="shared" si="1693"/>
        <v>0</v>
      </c>
      <c r="DE871" s="117">
        <f t="shared" si="1694"/>
        <v>0</v>
      </c>
      <c r="DF871" s="118">
        <f t="shared" si="1696"/>
        <v>52</v>
      </c>
      <c r="DG871" s="106">
        <f t="shared" si="1697"/>
        <v>69.813000000000002</v>
      </c>
      <c r="DH871" s="116">
        <f t="shared" si="1698"/>
        <v>19</v>
      </c>
      <c r="DI871" s="106">
        <f t="shared" si="1699"/>
        <v>81.47</v>
      </c>
      <c r="DJ871" s="201" t="str">
        <f>IF($D871="","",$D871)</f>
        <v>29</v>
      </c>
      <c r="DK871" s="465">
        <f>IF(AND($B871=" ",$D871&lt;&gt;""),1,0)</f>
        <v>0</v>
      </c>
    </row>
    <row r="872" spans="1:115" ht="14.5" customHeight="1" x14ac:dyDescent="0.2">
      <c r="A872" s="389"/>
      <c r="B872" s="456"/>
      <c r="C872" s="120" t="s">
        <v>54</v>
      </c>
      <c r="D872" s="374"/>
      <c r="E872" s="386"/>
      <c r="F872" s="377"/>
      <c r="G872" s="483"/>
      <c r="H872" s="476"/>
      <c r="I872" s="178">
        <v>2</v>
      </c>
      <c r="J872" s="179" t="str">
        <f>IF(OR(I871="TO",I871="TU",I871="TO1",I871="TU1",I871="TO2",I871="TU2"),J871,IF(OR(I871="AH1",I871="AH2"),IF(OR(I872="AH1",I872="AH2"),-J871,IF(OR(I872="EH1",I872="EH2"),-J871+0.5,"")),IF(OR(I871="EH1",I871="EH2"),IF(OR(I872="AH1",I872="AH2"),-J871+0.5,IF(OR(I872="EH1",I872="EH2"),-J871+1,"")),IF(AND(OR(I871="DNB1",I871="DNB2"),OR(I872="AH1",I872="AH2")),0,IF(AND(I871="Not ScoreBoth",OR(I872="TO1",I872="TO2")),0.5,"")))))</f>
        <v/>
      </c>
      <c r="K872" s="123" t="s">
        <v>37</v>
      </c>
      <c r="L872" s="124">
        <v>2.6</v>
      </c>
      <c r="M872" s="125">
        <v>18.12</v>
      </c>
      <c r="N872" s="406"/>
      <c r="O872" s="126">
        <f>IF(OR(AE871="",AE872=""),"",ROUND(IF(L873&gt;0,IF(M872&gt;0,M872,IF(M871&gt;0,IF(N871=TRUE,ROUND((M871*AE872)/AE871,0),(M871*AE872)/AE871),IF(M872&gt;0,ROUND(M872,IF(N871=0,2,IF(N871=0.1,1,0))),IF(M873&gt;0,ROUND(O873*AE872/AE873,IF(N871=0,2,IF(N871=0.1,1,0))),0)))),IF(M872&gt;0,M872,ROUND((M871*AE872)/AE871,IF(N871=0,2,IF(N871=0.1,1,0))))),2))</f>
        <v>18.12</v>
      </c>
      <c r="P872" s="127">
        <f>IF(OR(L872="",O872=""),"",IF($C872="1/2W",O872/2+O872/2*L872,IF($C872="1/2L",O872/2,IF(I872="Lay",((O872*(L872/(L872-1)))-O872)*(1-_xlfn.XLOOKUP(K872,'Fevereiro 2023 - Valor Real'!A3:A15,'Fevereiro 2023 - Valor Real'!C3:C15,0))+O872,(O872*L872-O872)*(1-_xlfn.XLOOKUP(K872,'Fevereiro 2023 - Valor Real'!A3:A15,'Fevereiro 2023 - Valor Real'!C3:C15,0))+O872))))</f>
        <v>47.112000000000002</v>
      </c>
      <c r="Q872" s="128">
        <f>IF(K872="","",IF(_xlfn.XLOOKUP(K872,K$4:K871,$DJ$4:DJ871,0,,-1)=DJ872,_xlfn.XLOOKUP(K872,K$4:K871,Q$4:Q871,1,,-1)+1,1))</f>
        <v>4</v>
      </c>
      <c r="R872" s="129">
        <f>IF(K872="","",_xlfn.XLOOKUP(K872,K$4:K871,R$4:R871,0,,-1)+IF($C872=" ",1,0))</f>
        <v>0</v>
      </c>
      <c r="S872" s="403"/>
      <c r="T872" s="380"/>
      <c r="U872" s="380"/>
      <c r="V872" s="481"/>
      <c r="W872" s="380"/>
      <c r="X872" s="452"/>
      <c r="Y872" s="383"/>
      <c r="Z872" s="384"/>
      <c r="AA872" s="384"/>
      <c r="AB872" s="384"/>
      <c r="AC872" s="384"/>
      <c r="AD872" s="130">
        <f>(((L872/(L872-1)-1)*(1-_xlfn.XLOOKUP(K872,'Fevereiro 2023 - Valor Real'!A3:A15,'Fevereiro 2023 - Valor Real'!C3:C15,0))+1))</f>
        <v>1.625</v>
      </c>
      <c r="AE872" s="131">
        <f>IF(L872="","",IF(L873&gt;0,(SUM(((L871-1)*(1-_xlfn.XLOOKUP(K871,'Fevereiro 2023 - Valor Real'!A3:A15,'Fevereiro 2023 - Valor Real'!C3:C15,0))+1),((L872-1)*(1-_xlfn.XLOOKUP(K872,'Fevereiro 2023 - Valor Real'!A3:A15,'Fevereiro 2023 - Valor Real'!C3:C15,0))+1),((L873-1)*(1-_xlfn.XLOOKUP(K873,'Fevereiro 2023 - Valor Real'!A3:A15,'Fevereiro 2023 - Valor Real'!C3:C15,0))+1))/((L872-1)*(1-_xlfn.XLOOKUP(K872,'Fevereiro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Real'!C3:C15,0))+1))/((L871-1)*(1-_xlfn.XLOOKUP(K871,'Fevereiro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Real'!C3:C15,0))+1))/((L872-1)*(1-_xlfn.XLOOKUP(K872,'Fevereiro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Real'!C3:C15,0))+1))/((L873-1)*(1-_xlfn.XLOOKUP(K873,'Fevereiro 2023 - Valor Real'!A3:A15,'Fevereiro 2023 - Valor Real'!C3:C15,0))+1)),IF(I872="Lay",IF(I871="Lay",((L871/(L871-1)-1)*(1-_xlfn.XLOOKUP(K871,'Fevereiro 2023 - Valor Real'!A3:A15,'Fevereiro 2023 - Valor Real'!C3:C15,0))+1)/(((L871/(L871-1)-1)*(1-_xlfn.XLOOKUP(K871,'Fevereiro 2023 - Valor Real'!A3:A15,'Fevereiro 2023 - Valor Real'!C3:C15,0))+1)+((L872/(L872-1)-1)*(1-_xlfn.XLOOKUP(K872,'Fevereiro 2023 - Valor Real'!A3:A15,'Fevereiro 2023 - Valor Real'!C3:C15,0))+1)),((L871-1)*(1-_xlfn.XLOOKUP(K871,'Fevereiro 2023 - Valor Real'!A3:A15,'Fevereiro 2023 - Valor Real'!C3:C15,0))+1)/(((L871-1)*(1-_xlfn.XLOOKUP(K871,'Fevereiro 2023 - Valor Real'!A3:A15,'Fevereiro 2023 - Valor Real'!C3:C15,0))+1)+((L872/(L872-1)-1)*(1-_xlfn.XLOOKUP(K872,'Fevereiro 2023 - Valor Real'!A3:A15,'Fevereiro 2023 - Valor Real'!C3:C15,0))+1))),IF(I871="Lay",((L871/(L871-1)-1)*(1-_xlfn.XLOOKUP(K871,'Fevereiro 2023 - Valor Real'!A3:A15,'Fevereiro 2023 - Valor Real'!C3:C15,0))+1)/((((L871/(L871-1)-1)*(1-_xlfn.XLOOKUP(K871,'Fevereiro 2023 - Valor Real'!A3:A15,'Fevereiro 2023 - Valor Real'!C3:C15,0))+1))+((L872-1)*(1-_xlfn.XLOOKUP(K872,'Fevereiro 2023 - Valor Real'!A3:A15,'Fevereiro 2023 - Valor Real'!C3:C15,0))+1)),((L871-1)*(1-_xlfn.XLOOKUP(K871,'Fevereiro 2023 - Valor Real'!A3:A15,'Fevereiro 2023 - Valor Real'!C3:C15,0))+1)/(((L871-1)*(1-_xlfn.XLOOKUP(K871,'Fevereiro 2023 - Valor Real'!A3:A15,'Fevereiro 2023 - Valor Real'!C3:C15,0))+1)+((L872-1)*(1-_xlfn.XLOOKUP(K872,'Fevereiro 2023 - Valor Real'!A3:A15,'Fevereiro 2023 - Valor Real'!C3:C15,0))+1))))))</f>
        <v>0.41242937853107348</v>
      </c>
      <c r="AF872" s="105">
        <f t="shared" si="1739"/>
        <v>0</v>
      </c>
      <c r="AG872" s="106">
        <f t="shared" si="1739"/>
        <v>28.99</v>
      </c>
      <c r="AH872" s="106">
        <f t="shared" si="1739"/>
        <v>0</v>
      </c>
      <c r="AI872" s="106">
        <f t="shared" si="1739"/>
        <v>0</v>
      </c>
      <c r="AJ872" s="106">
        <f t="shared" si="1739"/>
        <v>0</v>
      </c>
      <c r="AK872" s="106">
        <f t="shared" si="1739"/>
        <v>0</v>
      </c>
      <c r="AL872" s="106">
        <f t="shared" si="1739"/>
        <v>0</v>
      </c>
      <c r="AM872" s="106">
        <f t="shared" si="1739"/>
        <v>0</v>
      </c>
      <c r="AN872" s="106">
        <f t="shared" si="1739"/>
        <v>0</v>
      </c>
      <c r="AO872" s="106">
        <f t="shared" si="1739"/>
        <v>0</v>
      </c>
      <c r="AP872" s="106">
        <f t="shared" si="1739"/>
        <v>0</v>
      </c>
      <c r="AQ872" s="106">
        <f t="shared" si="1739"/>
        <v>0</v>
      </c>
      <c r="AR872" s="107">
        <f t="shared" si="1739"/>
        <v>0</v>
      </c>
      <c r="AS872" s="105">
        <f>IF(AND($B871=" ",$K872=AS$3),$O872,0)</f>
        <v>0</v>
      </c>
      <c r="AT872" s="106">
        <f>IF(AND($B871=" ",K872=AT$3),$O872,0)</f>
        <v>0</v>
      </c>
      <c r="AU872" s="106">
        <f t="shared" ref="AU872:BE872" si="1752">IF(AND($B871=" ",$K872=AU$3),$O872,0)</f>
        <v>0</v>
      </c>
      <c r="AV872" s="106">
        <f t="shared" si="1752"/>
        <v>0</v>
      </c>
      <c r="AW872" s="106">
        <f t="shared" si="1752"/>
        <v>0</v>
      </c>
      <c r="AX872" s="106">
        <f t="shared" si="1752"/>
        <v>0</v>
      </c>
      <c r="AY872" s="108">
        <f t="shared" si="1752"/>
        <v>0</v>
      </c>
      <c r="AZ872" s="109">
        <f t="shared" si="1752"/>
        <v>0</v>
      </c>
      <c r="BA872" s="109">
        <f t="shared" si="1752"/>
        <v>0</v>
      </c>
      <c r="BB872" s="109">
        <f t="shared" si="1752"/>
        <v>0</v>
      </c>
      <c r="BC872" s="110">
        <f t="shared" si="1752"/>
        <v>0</v>
      </c>
      <c r="BD872" s="106">
        <f t="shared" si="1752"/>
        <v>0</v>
      </c>
      <c r="BE872" s="107">
        <f t="shared" si="1752"/>
        <v>0</v>
      </c>
      <c r="BF872" s="105">
        <f t="shared" si="1741"/>
        <v>0</v>
      </c>
      <c r="BG872" s="106">
        <f t="shared" si="1741"/>
        <v>18.12</v>
      </c>
      <c r="BH872" s="106">
        <f t="shared" si="1741"/>
        <v>0</v>
      </c>
      <c r="BI872" s="106">
        <f t="shared" si="1741"/>
        <v>0</v>
      </c>
      <c r="BJ872" s="106">
        <f t="shared" si="1741"/>
        <v>0</v>
      </c>
      <c r="BK872" s="106">
        <f t="shared" si="1741"/>
        <v>0</v>
      </c>
      <c r="BL872" s="106">
        <f t="shared" si="1741"/>
        <v>0</v>
      </c>
      <c r="BM872" s="132">
        <f t="shared" si="1741"/>
        <v>0</v>
      </c>
      <c r="BN872" s="112">
        <f t="shared" si="1741"/>
        <v>0</v>
      </c>
      <c r="BO872" s="112">
        <f t="shared" si="1741"/>
        <v>0</v>
      </c>
      <c r="BP872" s="112">
        <f t="shared" si="1741"/>
        <v>0</v>
      </c>
      <c r="BQ872" s="110">
        <f t="shared" si="1741"/>
        <v>0</v>
      </c>
      <c r="BR872" s="107">
        <f t="shared" si="1741"/>
        <v>0</v>
      </c>
      <c r="BS872" s="464"/>
      <c r="BT872" s="461"/>
      <c r="BU872" s="392"/>
      <c r="BV872" s="461"/>
      <c r="BW872" s="392"/>
      <c r="BX872" s="392"/>
      <c r="BY872" s="392"/>
      <c r="BZ872" s="461"/>
      <c r="CA872" s="392"/>
      <c r="CB872" s="392"/>
      <c r="CC872" s="392"/>
      <c r="CD872" s="401"/>
      <c r="CE872" s="409"/>
      <c r="CF872" s="133">
        <f t="shared" si="1669"/>
        <v>0</v>
      </c>
      <c r="CG872" s="134">
        <f t="shared" si="1670"/>
        <v>0</v>
      </c>
      <c r="CH872" s="134">
        <f t="shared" si="1671"/>
        <v>1</v>
      </c>
      <c r="CI872" s="134">
        <f t="shared" si="1672"/>
        <v>0</v>
      </c>
      <c r="CJ872" s="134">
        <f t="shared" si="1673"/>
        <v>0</v>
      </c>
      <c r="CK872" s="134">
        <f t="shared" si="1674"/>
        <v>0</v>
      </c>
      <c r="CL872" s="134">
        <f t="shared" si="1675"/>
        <v>0</v>
      </c>
      <c r="CM872" s="134">
        <f t="shared" si="1676"/>
        <v>0</v>
      </c>
      <c r="CN872" s="134">
        <f t="shared" si="1677"/>
        <v>0</v>
      </c>
      <c r="CO872" s="134">
        <f t="shared" si="1678"/>
        <v>0</v>
      </c>
      <c r="CP872" s="134">
        <f t="shared" si="1679"/>
        <v>0</v>
      </c>
      <c r="CQ872" s="134">
        <f t="shared" si="1680"/>
        <v>0</v>
      </c>
      <c r="CR872" s="134">
        <f t="shared" si="1681"/>
        <v>0</v>
      </c>
      <c r="CS872" s="134">
        <f t="shared" si="1682"/>
        <v>0</v>
      </c>
      <c r="CT872" s="115">
        <f t="shared" si="1683"/>
        <v>0</v>
      </c>
      <c r="CU872" s="116">
        <f t="shared" si="1684"/>
        <v>0</v>
      </c>
      <c r="CV872" s="116">
        <f t="shared" si="1685"/>
        <v>0</v>
      </c>
      <c r="CW872" s="116">
        <f t="shared" si="1686"/>
        <v>0</v>
      </c>
      <c r="CX872" s="116">
        <f t="shared" si="1687"/>
        <v>0</v>
      </c>
      <c r="CY872" s="116">
        <f t="shared" si="1688"/>
        <v>0</v>
      </c>
      <c r="CZ872" s="116">
        <f t="shared" si="1689"/>
        <v>0</v>
      </c>
      <c r="DA872" s="116">
        <f t="shared" si="1690"/>
        <v>0</v>
      </c>
      <c r="DB872" s="116">
        <f t="shared" si="1691"/>
        <v>0</v>
      </c>
      <c r="DC872" s="116">
        <f t="shared" si="1692"/>
        <v>0</v>
      </c>
      <c r="DD872" s="116">
        <f t="shared" si="1693"/>
        <v>0</v>
      </c>
      <c r="DE872" s="117">
        <f t="shared" si="1694"/>
        <v>0</v>
      </c>
      <c r="DF872" s="118">
        <f t="shared" si="1696"/>
        <v>52</v>
      </c>
      <c r="DG872" s="106">
        <f t="shared" si="1697"/>
        <v>69.813000000000002</v>
      </c>
      <c r="DH872" s="116">
        <f t="shared" si="1698"/>
        <v>19</v>
      </c>
      <c r="DI872" s="106">
        <f t="shared" si="1699"/>
        <v>81.47</v>
      </c>
      <c r="DJ872" s="201" t="str">
        <f>IF($D871="","",$D871)</f>
        <v>29</v>
      </c>
      <c r="DK872" s="466"/>
    </row>
    <row r="873" spans="1:115" ht="14.5" customHeight="1" x14ac:dyDescent="0.2">
      <c r="A873" s="390"/>
      <c r="B873" s="457"/>
      <c r="C873" s="135" t="s">
        <v>53</v>
      </c>
      <c r="D873" s="375"/>
      <c r="E873" s="387"/>
      <c r="F873" s="378"/>
      <c r="G873" s="484"/>
      <c r="H873" s="477"/>
      <c r="I873" s="136"/>
      <c r="J873" s="137"/>
      <c r="K873" s="138"/>
      <c r="L873" s="139"/>
      <c r="M873" s="140"/>
      <c r="N873" s="407"/>
      <c r="O873" s="141" t="str">
        <f>IF(OR(AE871="",AE872=""),"",IF(L873&gt;0,ROUND(IF(M873&gt;0,M873,IF(M871&gt;0,ROUND((M871*AE873)/AE871,IF(N871=0,2,IF(N871=0.1,1,0))),IF(M872&gt;0,ROUND((M872*AE873)/AE872,IF(N871=0,2,IF(N871=0.1,1,0))),IF(M873&gt;0,M873,0)))),2),""))</f>
        <v/>
      </c>
      <c r="P873" s="142" t="str">
        <f>IF(I872="Lay",O872*(L872/(L872-1))-O872,IF(I871="Lay",O871*(L871/(L871-1))-O871,IF(OR(L873="",O873=""),"",IF($C873="1/2W",O873/2+O873/2*L873,IF($C873="1/2L",O873/2,(O873*L873-O873)*(1-_xlfn.XLOOKUP(K873,'Fevereiro 2023 - Valor Real'!A3:A15,'Fevereiro 2023 - Valor Real'!C3:C15,0))+O873)))))</f>
        <v/>
      </c>
      <c r="Q873" s="221" t="str">
        <f>IF(K873="","",IF(_xlfn.XLOOKUP(K873,K$4:K872,$DJ$4:DJ872,0,,-1)=DJ873,_xlfn.XLOOKUP(K873,K$4:K872,Q$4:Q872,1,,-1)+1,1))</f>
        <v/>
      </c>
      <c r="R873" s="144" t="str">
        <f>IF(K873="","",_xlfn.XLOOKUP(K873,K$4:K872,R$4:R872,0,,-1)+IF($C873=" ",1,0))</f>
        <v/>
      </c>
      <c r="S873" s="404"/>
      <c r="T873" s="378"/>
      <c r="U873" s="378"/>
      <c r="V873" s="404"/>
      <c r="W873" s="378"/>
      <c r="X873" s="453"/>
      <c r="Y873" s="383"/>
      <c r="Z873" s="384"/>
      <c r="AA873" s="384"/>
      <c r="AB873" s="384"/>
      <c r="AC873" s="384"/>
      <c r="AD873" s="145">
        <f>((L872/(L872-1)-1))</f>
        <v>0.625</v>
      </c>
      <c r="AE873" s="146" t="str">
        <f>IF(L873="","",(SUM(((L871-1)*(1-_xlfn.XLOOKUP(K871,'Fevereiro 2023 - Valor Real'!A3:A15,'Fevereiro 2023 - Valor Real'!C3:C15,0))+1),((L872-1)*(1-_xlfn.XLOOKUP(K872,'Fevereiro 2023 - Valor Real'!A3:A15,'Fevereiro 2023 - Valor Real'!C3:C15,0))+1),((L873-1)*(1-_xlfn.XLOOKUP(K873,'Fevereiro 2023 - Valor Real'!A3:A15,'Fevereiro 2023 - Valor Real'!C3:C15,0))+1))/((L873-1)*(1-_xlfn.XLOOKUP(K873,'Fevereiro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Real'!C3:C15,0))+1))/((L871-1)*(1-_xlfn.XLOOKUP(K871,'Fevereiro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Real'!C3:C15,0))+1))/((L872-1)*(1-_xlfn.XLOOKUP(K872,'Fevereiro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Real'!C3:C15,0))+1))/((L873-1)*(1-_xlfn.XLOOKUP(K873,'Fevereiro 2023 - Valor Real'!A3:A15,'Fevereiro 2023 - Valor Real'!C3:C15,0))+1)))</f>
        <v/>
      </c>
      <c r="AF873" s="105">
        <f t="shared" si="1739"/>
        <v>0</v>
      </c>
      <c r="AG873" s="106">
        <f t="shared" si="1739"/>
        <v>0</v>
      </c>
      <c r="AH873" s="106">
        <f t="shared" si="1739"/>
        <v>0</v>
      </c>
      <c r="AI873" s="106">
        <f t="shared" si="1739"/>
        <v>0</v>
      </c>
      <c r="AJ873" s="106">
        <f t="shared" si="1739"/>
        <v>0</v>
      </c>
      <c r="AK873" s="106">
        <f t="shared" si="1739"/>
        <v>0</v>
      </c>
      <c r="AL873" s="106">
        <f t="shared" si="1739"/>
        <v>0</v>
      </c>
      <c r="AM873" s="106">
        <f t="shared" si="1739"/>
        <v>0</v>
      </c>
      <c r="AN873" s="106">
        <f t="shared" si="1739"/>
        <v>0</v>
      </c>
      <c r="AO873" s="106">
        <f t="shared" si="1739"/>
        <v>0</v>
      </c>
      <c r="AP873" s="106">
        <f t="shared" si="1739"/>
        <v>0</v>
      </c>
      <c r="AQ873" s="106">
        <f t="shared" si="1739"/>
        <v>0</v>
      </c>
      <c r="AR873" s="107">
        <f t="shared" si="1739"/>
        <v>0</v>
      </c>
      <c r="AS873" s="105">
        <f>IF(AND($B871=" ",$K873=AS$3),$O873,0)</f>
        <v>0</v>
      </c>
      <c r="AT873" s="106">
        <f>IF(AND($B871=" ",K873=AT$3),$O873,0)</f>
        <v>0</v>
      </c>
      <c r="AU873" s="106">
        <f t="shared" ref="AU873:BE873" si="1753">IF(AND($B871=" ",$K873=AU$3),$O873,0)</f>
        <v>0</v>
      </c>
      <c r="AV873" s="106">
        <f t="shared" si="1753"/>
        <v>0</v>
      </c>
      <c r="AW873" s="106">
        <f t="shared" si="1753"/>
        <v>0</v>
      </c>
      <c r="AX873" s="106">
        <f t="shared" si="1753"/>
        <v>0</v>
      </c>
      <c r="AY873" s="108">
        <f t="shared" si="1753"/>
        <v>0</v>
      </c>
      <c r="AZ873" s="109">
        <f t="shared" si="1753"/>
        <v>0</v>
      </c>
      <c r="BA873" s="109">
        <f t="shared" si="1753"/>
        <v>0</v>
      </c>
      <c r="BB873" s="109">
        <f t="shared" si="1753"/>
        <v>0</v>
      </c>
      <c r="BC873" s="110">
        <f t="shared" si="1753"/>
        <v>0</v>
      </c>
      <c r="BD873" s="106">
        <f t="shared" si="1753"/>
        <v>0</v>
      </c>
      <c r="BE873" s="107">
        <f t="shared" si="1753"/>
        <v>0</v>
      </c>
      <c r="BF873" s="105">
        <f t="shared" si="1741"/>
        <v>0</v>
      </c>
      <c r="BG873" s="106">
        <f t="shared" si="1741"/>
        <v>0</v>
      </c>
      <c r="BH873" s="106">
        <f t="shared" si="1741"/>
        <v>0</v>
      </c>
      <c r="BI873" s="106">
        <f t="shared" si="1741"/>
        <v>0</v>
      </c>
      <c r="BJ873" s="106">
        <f t="shared" si="1741"/>
        <v>0</v>
      </c>
      <c r="BK873" s="106">
        <f t="shared" si="1741"/>
        <v>0</v>
      </c>
      <c r="BL873" s="106">
        <f t="shared" si="1741"/>
        <v>0</v>
      </c>
      <c r="BM873" s="108">
        <f t="shared" si="1741"/>
        <v>0</v>
      </c>
      <c r="BN873" s="109">
        <f t="shared" si="1741"/>
        <v>0</v>
      </c>
      <c r="BO873" s="109">
        <f t="shared" si="1741"/>
        <v>0</v>
      </c>
      <c r="BP873" s="109">
        <f t="shared" si="1741"/>
        <v>0</v>
      </c>
      <c r="BQ873" s="110">
        <f t="shared" si="1741"/>
        <v>0</v>
      </c>
      <c r="BR873" s="107">
        <f t="shared" si="1741"/>
        <v>0</v>
      </c>
      <c r="BS873" s="464"/>
      <c r="BT873" s="461"/>
      <c r="BU873" s="392"/>
      <c r="BV873" s="461"/>
      <c r="BW873" s="392"/>
      <c r="BX873" s="392"/>
      <c r="BY873" s="392"/>
      <c r="BZ873" s="461"/>
      <c r="CA873" s="392"/>
      <c r="CB873" s="392"/>
      <c r="CC873" s="392"/>
      <c r="CD873" s="401"/>
      <c r="CE873" s="409"/>
      <c r="CF873" s="133">
        <f t="shared" si="1669"/>
        <v>0</v>
      </c>
      <c r="CG873" s="134">
        <f t="shared" si="1670"/>
        <v>0</v>
      </c>
      <c r="CH873" s="134">
        <f t="shared" si="1671"/>
        <v>0</v>
      </c>
      <c r="CI873" s="134">
        <f t="shared" si="1672"/>
        <v>0</v>
      </c>
      <c r="CJ873" s="134">
        <f t="shared" si="1673"/>
        <v>0</v>
      </c>
      <c r="CK873" s="134">
        <f t="shared" si="1674"/>
        <v>0</v>
      </c>
      <c r="CL873" s="134">
        <f t="shared" si="1675"/>
        <v>0</v>
      </c>
      <c r="CM873" s="134">
        <f t="shared" si="1676"/>
        <v>0</v>
      </c>
      <c r="CN873" s="134">
        <f t="shared" si="1677"/>
        <v>0</v>
      </c>
      <c r="CO873" s="134">
        <f t="shared" si="1678"/>
        <v>0</v>
      </c>
      <c r="CP873" s="134">
        <f t="shared" si="1679"/>
        <v>0</v>
      </c>
      <c r="CQ873" s="134">
        <f t="shared" si="1680"/>
        <v>0</v>
      </c>
      <c r="CR873" s="134">
        <f t="shared" si="1681"/>
        <v>0</v>
      </c>
      <c r="CS873" s="134">
        <f t="shared" si="1682"/>
        <v>0</v>
      </c>
      <c r="CT873" s="115">
        <f t="shared" si="1683"/>
        <v>0</v>
      </c>
      <c r="CU873" s="116">
        <f t="shared" si="1684"/>
        <v>0</v>
      </c>
      <c r="CV873" s="116">
        <f t="shared" si="1685"/>
        <v>0</v>
      </c>
      <c r="CW873" s="116">
        <f t="shared" si="1686"/>
        <v>0</v>
      </c>
      <c r="CX873" s="116">
        <f t="shared" si="1687"/>
        <v>0</v>
      </c>
      <c r="CY873" s="116">
        <f t="shared" si="1688"/>
        <v>0</v>
      </c>
      <c r="CZ873" s="116">
        <f t="shared" si="1689"/>
        <v>0</v>
      </c>
      <c r="DA873" s="116">
        <f t="shared" si="1690"/>
        <v>0</v>
      </c>
      <c r="DB873" s="116">
        <f t="shared" si="1691"/>
        <v>0</v>
      </c>
      <c r="DC873" s="116">
        <f t="shared" si="1692"/>
        <v>0</v>
      </c>
      <c r="DD873" s="116">
        <f t="shared" si="1693"/>
        <v>0</v>
      </c>
      <c r="DE873" s="117">
        <f t="shared" si="1694"/>
        <v>0</v>
      </c>
      <c r="DF873" s="118">
        <f t="shared" si="1696"/>
        <v>52</v>
      </c>
      <c r="DG873" s="106">
        <f t="shared" si="1697"/>
        <v>69.813000000000002</v>
      </c>
      <c r="DH873" s="116">
        <f t="shared" si="1698"/>
        <v>19</v>
      </c>
      <c r="DI873" s="106">
        <f t="shared" si="1699"/>
        <v>81.47</v>
      </c>
      <c r="DJ873" s="201" t="str">
        <f>IF($D871="","",$D871)</f>
        <v>29</v>
      </c>
      <c r="DK873" s="466"/>
    </row>
    <row r="874" spans="1:115" ht="14.5" customHeight="1" x14ac:dyDescent="0.2">
      <c r="A874" s="487">
        <f>$A871+1</f>
        <v>291</v>
      </c>
      <c r="B874" s="506" t="str">
        <f>IF(OR(C874="W",C875="W",C876="W",C874="1/2W",C875="1/2W",C876="1/2W",C874="1/2L",C875="1/2L",C876="1/2L"),"OK",IF(OR(C874="L",C875="L",C876="L"),"LOSS",IF(OR(C874="X",C875="X",C876="X"),"Anulado"," ")))</f>
        <v>OK</v>
      </c>
      <c r="C874" s="147" t="s">
        <v>55</v>
      </c>
      <c r="D874" s="494" t="str">
        <f>IF(G874="","",$D871)</f>
        <v>29</v>
      </c>
      <c r="E874" s="511" t="str">
        <f>IF(G874=""," ","– "&amp;COUNTIF(D$4:D876,$D874))</f>
        <v>– 8</v>
      </c>
      <c r="F874" s="510" t="str">
        <f ca="1">IF(G874="","",IF(OR(AND($C874&lt;&gt;" ",$C875=" "),AND($C875&lt;&gt;" ",$C874=" "),AND(L876&gt;0,OR(AND($C876&lt;&gt;" ",OR($C874=" ",$C875=" ")),AND($C876=" ",OR($C874&lt;&gt;" ",$C875&lt;&gt;" "))))),IF(SUM(F$4:F873)=0,1,LARGE(F$4:F873,1)+1),IF(MONTH(G874)=MONTH(TODAY()),IF(AND(DAY(G874)&lt;DAY(TODAY()),$B874=" "),IF(SUM(F$4:F873)=0,1,LARGE(F$4:F873,1)+1),IF($B874=" ",IF(AND(DAY(G874)=DAY(TODAY()),HOUR(G874)&lt;=HOUR(NOW())+1),IF(AND(HOUR(G874)+2&lt;=HOUR(NOW()),DAY(G874)&lt;=DAY(TODAY()),MINUTE(G874)&lt;=MINUTE(NOW())),IF(SUM(F$4:F873)=0,1,LARGE(F$4:F873,1)+1),IF(OR(MINUTE(G874)&lt;=MINUTE(NOW()),HOUR(G874)&lt;=HOUR(NOW())),"!!!","")),""),"")),"")))</f>
        <v/>
      </c>
      <c r="G874" s="517">
        <v>45014.409722222219</v>
      </c>
      <c r="H874" s="516" t="s">
        <v>292</v>
      </c>
      <c r="I874" s="222" t="s">
        <v>51</v>
      </c>
      <c r="J874" s="223">
        <v>1.5</v>
      </c>
      <c r="K874" s="224" t="s">
        <v>36</v>
      </c>
      <c r="L874" s="225">
        <v>2.25</v>
      </c>
      <c r="M874" s="226"/>
      <c r="N874" s="503">
        <v>0</v>
      </c>
      <c r="O874" s="153">
        <f>IF(OR(AE874="",AE875=""),"",ROUND(IF(L876&gt;0,IF(M874&gt;0,M874,IF(M875&gt;0,ROUND((M875*AE874)/AE875,IF(N874=0,2,IF(N874=0.1,1,0))),ROUND((M876*AE874)/AE876,IF(N874=0,2,IF(N874=0.1,1,0))))),IF(M874&gt;0,M874,ROUND((M875*AE874)/AE875,IF(N874=0,2,IF(N874=0.1,1,0))))),2))</f>
        <v>10</v>
      </c>
      <c r="P874" s="227">
        <f>IF(OR(L874="",O874=""),"",IF($C874="1/2W",O874/2+O874/2*L874,IF($C874="1/2L",O874/2,IF(I874="Lay",(O874*(L874/(L874-1))-O874)*(1-_xlfn.XLOOKUP(K874,'Fevereiro 2023 - Valor Real'!A3:A15,'Fevereiro 2023 - Valor Real'!C3:C15,0))+O874,(O874*L874-O874)*(1-_xlfn.XLOOKUP(K874,'Fevereiro 2023 - Valor Real'!A3:A15,'Fevereiro 2023 - Valor Real'!C3:C15,0))+O874))))</f>
        <v>22.5</v>
      </c>
      <c r="Q874" s="228">
        <f>IF(K874="","",IF(_xlfn.XLOOKUP(K874,K$4:K873,$DJ$4:DJ873,0,,-1)=DJ874,_xlfn.XLOOKUP(K874,K$4:K873,Q$4:Q873,1,,-1)+1,1))</f>
        <v>3</v>
      </c>
      <c r="R874" s="229">
        <f>IF(K874="","",_xlfn.XLOOKUP(K874,K$4:K873,R$4:R873,0,,-1)+IF($C874=" ",1,0))</f>
        <v>0</v>
      </c>
      <c r="S874" s="501">
        <f>IF($B874="Anulado",0,ROUND(IF(OR($B874="LOSS",$B874="OK"),IF(OR($C874="W",$C874="1/2W",$C874="1/2L"),P874-O874,IF($C874="L",-O874,0))+IF(OR($C875="W",$C875="1/2W",$C875="1/2L"),P875-O875,IF($C875="L",-O875,0))+IF(OR($C876="W",$C876="1/2W",$C876="1/2L"),P876-O876,IF($C876="L",-O876,0)),IF(AND(OR($C874="W",$C874="1/2W",$C874="1/2L"),C875="W"),P874+P875-SUM(O874:O876)+_xlfn.XLOOKUP("X",C874:C876,O874:O876,0),IF(AND(C874=TRUE,C876="W"),P874+P876-SUM(O874:O876),IF(AND(C875="W",C876="W"),P875+P876-SUM(O874:O876)+_xlfn.XLOOKUP("X",C874:C876,O874:O876,0),IF(L876&gt;0,IF(OR($C874="W",$C874="1/2W",$C874="1/2L"),P874-SUM(O874:O876)+_xlfn.XLOOKUP("X",C874:C876,O874:O876,0),IF(OR($C874="W",$C874="1/2W",$C874="1/2L"),P875-SUM(O874:O876)+_xlfn.XLOOKUP("X",C874:C876,O874:O876,0),IF(OR($C874="W",$C874="1/2W",$C874="1/2L"),P876-SUM(O874:O876)+_xlfn.XLOOKUP("X",C874:C876,O874:O876,0),IF(SUM(P874:P876)/3-SUM(O874:O876)+_xlfn.XLOOKUP("X",C874:C876,O874:O876,0)&gt;0,SUM(P874:P876)/3-SUM(O874:O876)+_xlfn.XLOOKUP("X",C874:C876,O874:O876,0),LARGE(P874:P876,1)-SUM(O874:O876))))),IF(OR($C874="W",$C874="1/2W",$C874="1/2L"),P874-SUM(O874:O875)+_xlfn.XLOOKUP("X",C874:C876,O874:O876,0),IF(OR($C874="W",$C874="1/2W",$C874="1/2L"),P875-SUM(O874:O875)+_xlfn.XLOOKUP("X",C874:C876,O874:O876,0),SUM(P874:P875)/2-SUM(O874:O875)+_xlfn.XLOOKUP("X",C874:C876,O874:O876,0)))))))),2))</f>
        <v>1.25</v>
      </c>
      <c r="T874" s="486">
        <f>IF(S874=0,0,S874/SUM(O874:O876))</f>
        <v>5.8823529411764705E-2</v>
      </c>
      <c r="U874" s="496">
        <f>IF($D874=$D871,IF(OR($B874="LOSS",$B874="OK",$B874="Anulada"),S874,0)+U871,IF(OR($B874="LOSS",$B874="OK",$B874="Anulada"),S874,0))</f>
        <v>13.96</v>
      </c>
      <c r="V874" s="496">
        <f>IF($D874="",0,IF($D874=$D871,IF($B874=" ",IF(I876="",IF(OR(AND(I874="DNB1",I875="DNB2"),AND(OR(I874="DNB1",I874="DNB2"),J875=0),AND(OR(I875="DNB1",I875="DNB2"),J874=0),AND(I874="DNB2",I875="DNB1"),AND(IF(J874=0,(J874+1)/ROUND(J874+1,0),J874/ROUND(J874,0))=1,IF(J875=0,(J875+1)/ROUND(IF(J875="",0,J875)+1,0),IF(J875="",0,J875)/ROUND(IF(J875="",1,J875),0))=1,OR(J874&lt;&gt;""),J875&lt;&gt;"")),0,IF(S874&lt;0,IF(I876="",SMALL(P874:P875,1)-SUM(O874:O875),0),SMALL(P874:P875,1)-SUM(O874:O875))),IF(S874&lt;0,IF(I876="",SMALL(P874:P876,1)-SUM(O874:O876),0),LARGE(P874:P876,1)-SUM(O874:O876))),S874)+V871,IF(I876="",IF(OR(AND(I874="DNB1",I875="DNB2"),AND(OR(I874="DNB1",I874="DNB2"),J875=0),AND(OR(I875="DNB1",I875="DNB2"),J874=0),AND(I874="DNB2",I875="DNB1"),AND(IF(J874=0,(J874+1)/ROUND(J874+1,0),J874/ROUND(J874,0))=1,IF(J875=0,(IF(J875="",0,J875)+1)/ROUND(IF(J875="",0,J875)+1,0),IF(J875="",0,J875)/ROUND(IF(J875="",0,J875)+1,0))=1,OR(J874&lt;&gt;""),J875&lt;&gt;"")),0,IF(S874&lt;0,IF(I876="",SMALL(P874:P875,1)-SUM(O874:O875),0),SMALL(P874:P876,1)-SUM(O874:O876))),IF(S874&lt;0,IF(I876="",SMALL(P874:P876,1)-SUM(O874:O876),0),LARGE(P874:P876,1)-SUM(O874:O876)))))</f>
        <v>13.956200000000003</v>
      </c>
      <c r="W874" s="496">
        <f>IF($D874=$D871,IF(S874&lt;0,IF(I876="",S874,0),S874)+W871,S874)</f>
        <v>13.96</v>
      </c>
      <c r="X874" s="505" t="str">
        <f>IF(OR(SUM(R874:R876)=0,V874=W874),ROUND(IF(W874=0,0,W874/Y874)*100,2)&amp;"%",ROUND(IF(V874=0,0,V874/Y874)*100,2)&amp;"% a "&amp;ROUND(IF(W874=0,0,W874/Y874)*100,2)&amp;"%")</f>
        <v>6,33%</v>
      </c>
      <c r="Y874" s="497">
        <f>IF($D874=$D871,Y871+SUM(O874:O876),SUM(O874:O876))</f>
        <v>220.52999999999997</v>
      </c>
      <c r="Z874" s="496">
        <f>IF($B874=" ",SUM(O874:O876),0)+Z871</f>
        <v>0</v>
      </c>
      <c r="AA874" s="496">
        <f>IF(G874="","",IF($B874="Anulado",LARGE(P874:P876,1)-SUM(O874:O876)+AA871,AA871))</f>
        <v>13.381099999999991</v>
      </c>
      <c r="AB874" s="496">
        <f>IF($D874="","",AB871+S874)</f>
        <v>997.650000000001</v>
      </c>
      <c r="AC874" s="499">
        <f ca="1">IF($D874="","",IF($B874=" ",IF(DAY(G874)=DAY(TODAY()),1+AC871,0+AC871),0+AC871))</f>
        <v>0</v>
      </c>
      <c r="AD874" s="157">
        <f>(((L875/(L875-1)-1)*(1-_xlfn.XLOOKUP(K875,'Fevereiro 2023 - Valor Real'!A3:A15,'Fevereiro 2023 - Valor Real'!C3:C15,0))+1))/(((L874-1)*(1-_xlfn.XLOOKUP(K874,'Fevereiro 2023 - Valor Real'!A3:A15,'Fevereiro 2023 - Valor Real'!C3:C15,0))+1)+((L875/(L875-1)-1)*(1-_xlfn.XLOOKUP(K875,'Fevereiro 2023 - Valor Real'!A3:A15,'Fevereiro 2023 - Valor Real'!C3:C15,0))+1))</f>
        <v>0.47058823529411764</v>
      </c>
      <c r="AE874" s="158">
        <f>IF(L874="","",IF(L876&gt;0,(SUM(((L874-1)*(1-_xlfn.XLOOKUP(K874,'Fevereiro 2023 - Valor Real'!A3:A15,'Fevereiro 2023 - Valor Real'!C3:C15,0))+1),((L875-1)*(1-_xlfn.XLOOKUP(K875,'Fevereiro 2023 - Valor Real'!A3:A15,'Fevereiro 2023 - Valor Real'!C3:C15,0))+1),((L876-1)*(1-_xlfn.XLOOKUP(K876,'Fevereiro 2023 - Valor Real'!A3:A15,'Fevereiro 2023 - Valor Real'!C3:C15,0))+1))/((L874-1)*(1-_xlfn.XLOOKUP(K874,'Fevereiro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Real'!C3:C15,0))+1))/((L874-1)*(1-_xlfn.XLOOKUP(K874,'Fevereiro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Real'!C3:C15,0))+1))/((L875-1)*(1-_xlfn.XLOOKUP(K875,'Fevereiro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Real'!C3:C15,0))+1))/((L876-1)*(1-_xlfn.XLOOKUP(K876,'Fevereiro 2023 - Valor Real'!A3:A15,'Fevereiro 2023 - Valor Real'!C3:C15,0))+1)),IF(I874="Lay",IF(I875="Lay",((L875/(L875-1)-1)*(1-_xlfn.XLOOKUP(K875,'Fevereiro 2023 - Valor Real'!A3:A15,'Fevereiro 2023 - Valor Real'!C3:C15,0))+1)/(((L875/(L875-1)-1)*(1-_xlfn.XLOOKUP(K875,'Fevereiro 2023 - Valor Real'!A3:A15,'Fevereiro 2023 - Valor Real'!C3:C15,0))+1)+((L874/(L874-1)-1)*(1-_xlfn.XLOOKUP(K874,'Fevereiro 2023 - Valor Real'!A3:A15,'Fevereiro 2023 - Valor Real'!C3:C15,0))+1)),((L875-1)*(1-_xlfn.XLOOKUP(K875,'Fevereiro 2023 - Valor Real'!A3:A15,'Fevereiro 2023 - Valor Real'!C3:C15,0))+1)/(((L875-1)*(1-_xlfn.XLOOKUP(K875,'Fevereiro 2023 - Valor Real'!A3:A15,'Fevereiro 2023 - Valor Real'!C3:C15,0))+1)+((L874/(L874-1)-1)*(1-_xlfn.XLOOKUP(K874,'Fevereiro 2023 - Valor Real'!A3:A15,'Fevereiro 2023 - Valor Real'!C3:C15,0))+1))),IF(I875="Lay",(((L875/(L875-1)-1)*(1-_xlfn.XLOOKUP(K875,'Fevereiro 2023 - Valor Real'!A3:A15,'Fevereiro 2023 - Valor Real'!C3:C15,0))+1))/(((L874-1)*(1-_xlfn.XLOOKUP(K874,'Fevereiro 2023 - Valor Real'!A3:A15,'Fevereiro 2023 - Valor Real'!C3:C15,0))+1)+((L875/(L875-1)-1)*(1-_xlfn.XLOOKUP(K875,'Fevereiro 2023 - Valor Real'!A3:A15,'Fevereiro 2023 - Valor Real'!C3:C15,0))+1)),((L875-1)*(1-_xlfn.XLOOKUP(K875,'Fevereiro 2023 - Valor Real'!A3:A15,'Fevereiro 2023 - Valor Real'!C3:C15,0))+1)/(((L875-1)*(1-_xlfn.XLOOKUP(K875,'Fevereiro 2023 - Valor Real'!A3:A15,'Fevereiro 2023 - Valor Real'!C3:C15,0))+1)+((L874-1)*(1-_xlfn.XLOOKUP(K874,'Fevereiro 2023 - Valor Real'!A3:A15,'Fevereiro 2023 - Valor Real'!C3:C15,0))+1))))))</f>
        <v>0.47058823529411764</v>
      </c>
      <c r="AF874" s="66">
        <f t="shared" ref="AF874:AR883" si="1754">IF($K874=AF$3,ROUND(IF(OR($C874="W",$C874="1/2W",$C874="1/2L"),$P874-$O874,IF($C874="X",0,-$O874)),2),0)</f>
        <v>-10</v>
      </c>
      <c r="AG874" s="67">
        <f t="shared" si="1754"/>
        <v>0</v>
      </c>
      <c r="AH874" s="67">
        <f t="shared" si="1754"/>
        <v>0</v>
      </c>
      <c r="AI874" s="67">
        <f t="shared" si="1754"/>
        <v>0</v>
      </c>
      <c r="AJ874" s="67">
        <f t="shared" si="1754"/>
        <v>0</v>
      </c>
      <c r="AK874" s="67">
        <f t="shared" si="1754"/>
        <v>0</v>
      </c>
      <c r="AL874" s="67">
        <f t="shared" si="1754"/>
        <v>0</v>
      </c>
      <c r="AM874" s="67">
        <f t="shared" si="1754"/>
        <v>0</v>
      </c>
      <c r="AN874" s="67">
        <f t="shared" si="1754"/>
        <v>0</v>
      </c>
      <c r="AO874" s="67">
        <f t="shared" si="1754"/>
        <v>0</v>
      </c>
      <c r="AP874" s="67">
        <f t="shared" si="1754"/>
        <v>0</v>
      </c>
      <c r="AQ874" s="67">
        <f t="shared" si="1754"/>
        <v>0</v>
      </c>
      <c r="AR874" s="68">
        <f t="shared" si="1754"/>
        <v>0</v>
      </c>
      <c r="AS874" s="66">
        <f t="shared" ref="AS874:BE874" si="1755">IF(AND($B874=" ",$K874=AS$3),$O874,0)</f>
        <v>0</v>
      </c>
      <c r="AT874" s="67">
        <f t="shared" si="1755"/>
        <v>0</v>
      </c>
      <c r="AU874" s="67">
        <f t="shared" si="1755"/>
        <v>0</v>
      </c>
      <c r="AV874" s="67">
        <f t="shared" si="1755"/>
        <v>0</v>
      </c>
      <c r="AW874" s="67">
        <f t="shared" si="1755"/>
        <v>0</v>
      </c>
      <c r="AX874" s="67">
        <f t="shared" si="1755"/>
        <v>0</v>
      </c>
      <c r="AY874" s="69">
        <f t="shared" si="1755"/>
        <v>0</v>
      </c>
      <c r="AZ874" s="70">
        <f t="shared" si="1755"/>
        <v>0</v>
      </c>
      <c r="BA874" s="70">
        <f t="shared" si="1755"/>
        <v>0</v>
      </c>
      <c r="BB874" s="70">
        <f t="shared" si="1755"/>
        <v>0</v>
      </c>
      <c r="BC874" s="71">
        <f t="shared" si="1755"/>
        <v>0</v>
      </c>
      <c r="BD874" s="67">
        <f t="shared" si="1755"/>
        <v>0</v>
      </c>
      <c r="BE874" s="68">
        <f t="shared" si="1755"/>
        <v>0</v>
      </c>
      <c r="BF874" s="230">
        <f t="shared" ref="BF874:BR883" si="1756">IF($K874=BF$3,IF($C874="X",0,$O874),0)</f>
        <v>10</v>
      </c>
      <c r="BG874" s="67">
        <f t="shared" si="1756"/>
        <v>0</v>
      </c>
      <c r="BH874" s="67">
        <f t="shared" si="1756"/>
        <v>0</v>
      </c>
      <c r="BI874" s="67">
        <f t="shared" si="1756"/>
        <v>0</v>
      </c>
      <c r="BJ874" s="67">
        <f t="shared" si="1756"/>
        <v>0</v>
      </c>
      <c r="BK874" s="67">
        <f t="shared" si="1756"/>
        <v>0</v>
      </c>
      <c r="BL874" s="67">
        <f t="shared" si="1756"/>
        <v>0</v>
      </c>
      <c r="BM874" s="69">
        <f t="shared" si="1756"/>
        <v>0</v>
      </c>
      <c r="BN874" s="70">
        <f t="shared" si="1756"/>
        <v>0</v>
      </c>
      <c r="BO874" s="70">
        <f t="shared" si="1756"/>
        <v>0</v>
      </c>
      <c r="BP874" s="70">
        <f t="shared" si="1756"/>
        <v>0</v>
      </c>
      <c r="BQ874" s="71">
        <f t="shared" si="1756"/>
        <v>0</v>
      </c>
      <c r="BR874" s="68">
        <f t="shared" si="1756"/>
        <v>0</v>
      </c>
      <c r="BS874" s="490">
        <f>IF($B874="LOSS",IF(AND($K874=BS$3,$C874="L"),-$O874,0)+IF(AND($K875=BS$3,$C875="L"),-$O875,0)+IF(AND($K876=BS$3,$C876="L"),-$O876,0),IF(OR(AND($K874=BS$3,OR($C874="W",$C874="1/2W")),AND($K875=BS$3,OR($C875="W",$C875="1/2W")),AND($K876=BS$3,OR($C876="W",$C876="1/2W"))),$S874,0))</f>
        <v>0</v>
      </c>
      <c r="BT874" s="488">
        <f>IF($B874="LOSS",IF(AND($K874=BT$3,$C874="L"),-$O874,0)+IF(AND($K875=BT$3,$C875="L"),-$O875,0)+IF(AND($K875=BT$3,$C876="L"),-$O876,0),IF(OR(AND($K875=BT$3,OR($C874="W",$C874="1/2W")),AND($K875=BT$3,OR($C875="W",$C875="1/2W")),AND($K875=BT$3,OR($C876="W",$C876="1/2W"))),$S874,0))</f>
        <v>0</v>
      </c>
      <c r="BU874" s="488">
        <f>IF($B874="LOSS",IF(AND($K874=BU$3,$C874="L"),-$O874,0)+IF(AND($K875=BU$3,$C875="L"),-$O875,0)+IF(AND($K875=BU$3,$C876="L"),-$O876,0),IF(OR(AND($K875=BU$3,OR($C874="W",$C874="1/2W")),AND($K875=BU$3,OR($C875="W",$C875="1/2W")),AND($K875=BU$3,OR($C876="W",$C876="1/2W"))),$S874,0))</f>
        <v>0</v>
      </c>
      <c r="BV874" s="488">
        <f t="shared" ref="BV874:CE874" si="1757">IF($B874="LOSS",IF(AND($K874=BV$3,$C874="L"),-$O874,0)+IF(AND($K875=BV$3,$C875="L"),-$O875,0)+IF(AND($K876=BV$3,$C876="L"),-$O876,0),IF(OR(AND($K874=BV$3,OR($C874="W",$C874="1/2W")),AND($K875=BV$3,OR($C875="W",$C875="1/2W")),AND($K876=BV$3,OR($C876="W",$C876="1/2W"))),$S874,0))</f>
        <v>0</v>
      </c>
      <c r="BW874" s="488">
        <f t="shared" si="1757"/>
        <v>1.25</v>
      </c>
      <c r="BX874" s="488">
        <f t="shared" si="1757"/>
        <v>0</v>
      </c>
      <c r="BY874" s="488">
        <f t="shared" si="1757"/>
        <v>0</v>
      </c>
      <c r="BZ874" s="498">
        <f t="shared" si="1757"/>
        <v>0</v>
      </c>
      <c r="CA874" s="498">
        <f t="shared" si="1757"/>
        <v>0</v>
      </c>
      <c r="CB874" s="498">
        <f t="shared" si="1757"/>
        <v>0</v>
      </c>
      <c r="CC874" s="498">
        <f t="shared" si="1757"/>
        <v>0</v>
      </c>
      <c r="CD874" s="500">
        <f t="shared" si="1757"/>
        <v>0</v>
      </c>
      <c r="CE874" s="504">
        <f t="shared" si="1757"/>
        <v>0</v>
      </c>
      <c r="CF874" s="160">
        <f t="shared" si="1669"/>
        <v>0</v>
      </c>
      <c r="CG874" s="161">
        <f t="shared" si="1670"/>
        <v>1</v>
      </c>
      <c r="CH874" s="161">
        <f t="shared" si="1671"/>
        <v>0</v>
      </c>
      <c r="CI874" s="161">
        <f t="shared" si="1672"/>
        <v>0</v>
      </c>
      <c r="CJ874" s="161">
        <f t="shared" si="1673"/>
        <v>0</v>
      </c>
      <c r="CK874" s="161">
        <f t="shared" si="1674"/>
        <v>0</v>
      </c>
      <c r="CL874" s="161">
        <f t="shared" si="1675"/>
        <v>0</v>
      </c>
      <c r="CM874" s="161">
        <f t="shared" si="1676"/>
        <v>0</v>
      </c>
      <c r="CN874" s="161">
        <f t="shared" si="1677"/>
        <v>0</v>
      </c>
      <c r="CO874" s="161">
        <f t="shared" si="1678"/>
        <v>0</v>
      </c>
      <c r="CP874" s="161">
        <f t="shared" si="1679"/>
        <v>0</v>
      </c>
      <c r="CQ874" s="161">
        <f t="shared" si="1680"/>
        <v>0</v>
      </c>
      <c r="CR874" s="161">
        <f t="shared" si="1681"/>
        <v>0</v>
      </c>
      <c r="CS874" s="161">
        <f t="shared" si="1682"/>
        <v>0</v>
      </c>
      <c r="CT874" s="75">
        <f t="shared" si="1683"/>
        <v>0</v>
      </c>
      <c r="CU874" s="76">
        <f t="shared" si="1684"/>
        <v>0</v>
      </c>
      <c r="CV874" s="76">
        <f t="shared" si="1685"/>
        <v>0</v>
      </c>
      <c r="CW874" s="76">
        <f t="shared" si="1686"/>
        <v>0</v>
      </c>
      <c r="CX874" s="76">
        <f t="shared" si="1687"/>
        <v>0</v>
      </c>
      <c r="CY874" s="76">
        <f t="shared" si="1688"/>
        <v>0</v>
      </c>
      <c r="CZ874" s="76">
        <f t="shared" si="1689"/>
        <v>0</v>
      </c>
      <c r="DA874" s="76">
        <f t="shared" si="1690"/>
        <v>0</v>
      </c>
      <c r="DB874" s="76">
        <f t="shared" si="1691"/>
        <v>0</v>
      </c>
      <c r="DC874" s="76">
        <f t="shared" si="1692"/>
        <v>0</v>
      </c>
      <c r="DD874" s="76">
        <f t="shared" si="1693"/>
        <v>0</v>
      </c>
      <c r="DE874" s="77">
        <f t="shared" si="1694"/>
        <v>0</v>
      </c>
      <c r="DF874" s="73">
        <f t="shared" si="1696"/>
        <v>52</v>
      </c>
      <c r="DG874" s="67">
        <f t="shared" si="1697"/>
        <v>69.813000000000002</v>
      </c>
      <c r="DH874" s="76">
        <f t="shared" si="1698"/>
        <v>19</v>
      </c>
      <c r="DI874" s="67">
        <f t="shared" si="1699"/>
        <v>81.47</v>
      </c>
      <c r="DJ874" s="202" t="str">
        <f>IF($D874="","",$D874)</f>
        <v>29</v>
      </c>
      <c r="DK874" s="492">
        <f>IF(AND($B874=" ",$D874&lt;&gt;""),1,0)</f>
        <v>0</v>
      </c>
    </row>
    <row r="875" spans="1:115" ht="14.5" customHeight="1" x14ac:dyDescent="0.2">
      <c r="A875" s="389"/>
      <c r="B875" s="456"/>
      <c r="C875" s="53" t="s">
        <v>54</v>
      </c>
      <c r="D875" s="374"/>
      <c r="E875" s="386"/>
      <c r="F875" s="377"/>
      <c r="G875" s="483"/>
      <c r="H875" s="476"/>
      <c r="I875" s="55" t="s">
        <v>52</v>
      </c>
      <c r="J875" s="231">
        <f>IF(OR(I874="TO",I874="TU",I874="TO1",I874="TU1",I874="TO2",I874="TU2"),J874,IF(OR(I874="AH1",I874="AH2"),IF(OR(I875="AH1",I875="AH2"),-J874,IF(OR(I875="EH1",I875="EH2"),-J874+0.5,"")),IF(OR(I874="EH1",I874="EH2"),IF(OR(I875="AH1",I875="AH2"),-J874+0.5,IF(OR(I875="EH1",I875="EH2"),-J874+1,"")),IF(AND(OR(I874="DNB1",I874="DNB2"),OR(I875="AH1",I875="AH2")),0,IF(AND(I874="Not ScoreBoth",OR(I875="TO1",I875="TO2")),0.5,"")))))</f>
        <v>1.5</v>
      </c>
      <c r="K875" s="232" t="s">
        <v>40</v>
      </c>
      <c r="L875" s="58">
        <v>2</v>
      </c>
      <c r="M875" s="59">
        <v>11.25</v>
      </c>
      <c r="N875" s="406"/>
      <c r="O875" s="60">
        <f>IF(OR(AE874="",AE875=""),"",ROUND(IF(L876&gt;0,IF(M875&gt;0,M875,IF(M874&gt;0,IF(N874=TRUE,ROUND((M874*AE875)/AE874,0),(M874*AE875)/AE874),IF(M875&gt;0,ROUND(M875,IF(N874=0,2,IF(N874=0.1,1,0))),IF(M876&gt;0,ROUND(O876*AE875/AE876,IF(N874=0,2,IF(N874=0.1,1,0))),0)))),IF(M875&gt;0,M875,ROUND((M874*AE875)/AE874,IF(N874=0,2,IF(N874=0.1,1,0))))),2))</f>
        <v>11.25</v>
      </c>
      <c r="P875" s="61">
        <f>IF(OR(L875="",O875=""),"",IF($C875="1/2W",O875/2+O875/2*L875,IF($C875="1/2L",O875/2,IF(I875="Lay",((O875*(L875/(L875-1)))-O875)*(1-_xlfn.XLOOKUP(K875,'Fevereiro 2023 - Valor Real'!A3:A15,'Fevereiro 2023 - Valor Real'!C3:C15,0))+O875,(O875*L875-O875)*(1-_xlfn.XLOOKUP(K875,'Fevereiro 2023 - Valor Real'!A3:A15,'Fevereiro 2023 - Valor Real'!C3:C15,0))+O875))))</f>
        <v>22.5</v>
      </c>
      <c r="Q875" s="233">
        <f>IF(K875="","",IF(_xlfn.XLOOKUP(K875,K$4:K874,$DJ$4:DJ874,0,,-1)=DJ875,_xlfn.XLOOKUP(K875,K$4:K874,Q$4:Q874,1,,-1)+1,1))</f>
        <v>6</v>
      </c>
      <c r="R875" s="234">
        <f>IF(K875="","",_xlfn.XLOOKUP(K875,K$4:K874,R$4:R874,0,,-1)+IF($C875=" ",1,0))</f>
        <v>0</v>
      </c>
      <c r="S875" s="403"/>
      <c r="T875" s="380"/>
      <c r="U875" s="380"/>
      <c r="V875" s="481"/>
      <c r="W875" s="380"/>
      <c r="X875" s="452"/>
      <c r="Y875" s="383"/>
      <c r="Z875" s="384"/>
      <c r="AA875" s="384"/>
      <c r="AB875" s="384"/>
      <c r="AC875" s="384"/>
      <c r="AD875" s="64">
        <f>(((L875/(L875-1)-1)*(1-_xlfn.XLOOKUP(K875,'Fevereiro 2023 - Valor Real'!A3:A15,'Fevereiro 2023 - Valor Real'!C3:C15,0))+1))</f>
        <v>2</v>
      </c>
      <c r="AE875" s="65">
        <f>IF(L875="","",IF(L876&gt;0,(SUM(((L874-1)*(1-_xlfn.XLOOKUP(K874,'Fevereiro 2023 - Valor Real'!A3:A15,'Fevereiro 2023 - Valor Real'!C3:C15,0))+1),((L875-1)*(1-_xlfn.XLOOKUP(K875,'Fevereiro 2023 - Valor Real'!A3:A15,'Fevereiro 2023 - Valor Real'!C3:C15,0))+1),((L876-1)*(1-_xlfn.XLOOKUP(K876,'Fevereiro 2023 - Valor Real'!A3:A15,'Fevereiro 2023 - Valor Real'!C3:C15,0))+1))/((L875-1)*(1-_xlfn.XLOOKUP(K875,'Fevereiro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Real'!C3:C15,0))+1))/((L874-1)*(1-_xlfn.XLOOKUP(K874,'Fevereiro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Real'!C3:C15,0))+1))/((L875-1)*(1-_xlfn.XLOOKUP(K875,'Fevereiro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Real'!C3:C15,0))+1))/((L876-1)*(1-_xlfn.XLOOKUP(K876,'Fevereiro 2023 - Valor Real'!A3:A15,'Fevereiro 2023 - Valor Real'!C3:C15,0))+1)),IF(I875="Lay",IF(I874="Lay",((L874/(L874-1)-1)*(1-_xlfn.XLOOKUP(K874,'Fevereiro 2023 - Valor Real'!A3:A15,'Fevereiro 2023 - Valor Real'!C3:C15,0))+1)/(((L874/(L874-1)-1)*(1-_xlfn.XLOOKUP(K874,'Fevereiro 2023 - Valor Real'!A3:A15,'Fevereiro 2023 - Valor Real'!C3:C15,0))+1)+((L875/(L875-1)-1)*(1-_xlfn.XLOOKUP(K875,'Fevereiro 2023 - Valor Real'!A3:A15,'Fevereiro 2023 - Valor Real'!C3:C15,0))+1)),((L874-1)*(1-_xlfn.XLOOKUP(K874,'Fevereiro 2023 - Valor Real'!A3:A15,'Fevereiro 2023 - Valor Real'!C3:C15,0))+1)/(((L874-1)*(1-_xlfn.XLOOKUP(K874,'Fevereiro 2023 - Valor Real'!A3:A15,'Fevereiro 2023 - Valor Real'!C3:C15,0))+1)+((L875/(L875-1)-1)*(1-_xlfn.XLOOKUP(K875,'Fevereiro 2023 - Valor Real'!A3:A15,'Fevereiro 2023 - Valor Real'!C3:C15,0))+1))),IF(I874="Lay",((L874/(L874-1)-1)*(1-_xlfn.XLOOKUP(K874,'Fevereiro 2023 - Valor Real'!A3:A15,'Fevereiro 2023 - Valor Real'!C3:C15,0))+1)/((((L874/(L874-1)-1)*(1-_xlfn.XLOOKUP(K874,'Fevereiro 2023 - Valor Real'!A3:A15,'Fevereiro 2023 - Valor Real'!C3:C15,0))+1))+((L875-1)*(1-_xlfn.XLOOKUP(K875,'Fevereiro 2023 - Valor Real'!A3:A15,'Fevereiro 2023 - Valor Real'!C3:C15,0))+1)),((L874-1)*(1-_xlfn.XLOOKUP(K874,'Fevereiro 2023 - Valor Real'!A3:A15,'Fevereiro 2023 - Valor Real'!C3:C15,0))+1)/(((L874-1)*(1-_xlfn.XLOOKUP(K874,'Fevereiro 2023 - Valor Real'!A3:A15,'Fevereiro 2023 - Valor Real'!C3:C15,0))+1)+((L875-1)*(1-_xlfn.XLOOKUP(K875,'Fevereiro 2023 - Valor Real'!A3:A15,'Fevereiro 2023 - Valor Real'!C3:C15,0))+1))))))</f>
        <v>0.52941176470588236</v>
      </c>
      <c r="AF875" s="66">
        <f t="shared" si="1754"/>
        <v>0</v>
      </c>
      <c r="AG875" s="67">
        <f t="shared" si="1754"/>
        <v>0</v>
      </c>
      <c r="AH875" s="67">
        <f t="shared" si="1754"/>
        <v>0</v>
      </c>
      <c r="AI875" s="67">
        <f t="shared" si="1754"/>
        <v>0</v>
      </c>
      <c r="AJ875" s="67">
        <f t="shared" si="1754"/>
        <v>11.25</v>
      </c>
      <c r="AK875" s="67">
        <f t="shared" si="1754"/>
        <v>0</v>
      </c>
      <c r="AL875" s="67">
        <f t="shared" si="1754"/>
        <v>0</v>
      </c>
      <c r="AM875" s="67">
        <f t="shared" si="1754"/>
        <v>0</v>
      </c>
      <c r="AN875" s="67">
        <f t="shared" si="1754"/>
        <v>0</v>
      </c>
      <c r="AO875" s="67">
        <f t="shared" si="1754"/>
        <v>0</v>
      </c>
      <c r="AP875" s="67">
        <f t="shared" si="1754"/>
        <v>0</v>
      </c>
      <c r="AQ875" s="67">
        <f t="shared" si="1754"/>
        <v>0</v>
      </c>
      <c r="AR875" s="68">
        <f t="shared" si="1754"/>
        <v>0</v>
      </c>
      <c r="AS875" s="66">
        <f>IF(AND($B874=" ",$K875=AS$3),$O875,0)</f>
        <v>0</v>
      </c>
      <c r="AT875" s="67">
        <f>IF(AND($B874=" ",K875=AT$3),$O875,0)</f>
        <v>0</v>
      </c>
      <c r="AU875" s="67">
        <f t="shared" ref="AU875:BE875" si="1758">IF(AND($B874=" ",$K875=AU$3),$O875,0)</f>
        <v>0</v>
      </c>
      <c r="AV875" s="67">
        <f t="shared" si="1758"/>
        <v>0</v>
      </c>
      <c r="AW875" s="67">
        <f t="shared" si="1758"/>
        <v>0</v>
      </c>
      <c r="AX875" s="67">
        <f t="shared" si="1758"/>
        <v>0</v>
      </c>
      <c r="AY875" s="69">
        <f t="shared" si="1758"/>
        <v>0</v>
      </c>
      <c r="AZ875" s="70">
        <f t="shared" si="1758"/>
        <v>0</v>
      </c>
      <c r="BA875" s="70">
        <f t="shared" si="1758"/>
        <v>0</v>
      </c>
      <c r="BB875" s="70">
        <f t="shared" si="1758"/>
        <v>0</v>
      </c>
      <c r="BC875" s="71">
        <f t="shared" si="1758"/>
        <v>0</v>
      </c>
      <c r="BD875" s="67">
        <f t="shared" si="1758"/>
        <v>0</v>
      </c>
      <c r="BE875" s="68">
        <f t="shared" si="1758"/>
        <v>0</v>
      </c>
      <c r="BF875" s="66">
        <f t="shared" si="1756"/>
        <v>0</v>
      </c>
      <c r="BG875" s="67">
        <f t="shared" si="1756"/>
        <v>0</v>
      </c>
      <c r="BH875" s="67">
        <f t="shared" si="1756"/>
        <v>0</v>
      </c>
      <c r="BI875" s="67">
        <f t="shared" si="1756"/>
        <v>0</v>
      </c>
      <c r="BJ875" s="67">
        <f t="shared" si="1756"/>
        <v>11.25</v>
      </c>
      <c r="BK875" s="67">
        <f t="shared" si="1756"/>
        <v>0</v>
      </c>
      <c r="BL875" s="67">
        <f t="shared" si="1756"/>
        <v>0</v>
      </c>
      <c r="BM875" s="235">
        <f t="shared" si="1756"/>
        <v>0</v>
      </c>
      <c r="BN875" s="159">
        <f t="shared" si="1756"/>
        <v>0</v>
      </c>
      <c r="BO875" s="159">
        <f t="shared" si="1756"/>
        <v>0</v>
      </c>
      <c r="BP875" s="159">
        <f t="shared" si="1756"/>
        <v>0</v>
      </c>
      <c r="BQ875" s="71">
        <f t="shared" si="1756"/>
        <v>0</v>
      </c>
      <c r="BR875" s="68">
        <f t="shared" si="1756"/>
        <v>0</v>
      </c>
      <c r="BS875" s="464"/>
      <c r="BT875" s="461"/>
      <c r="BU875" s="392"/>
      <c r="BV875" s="461"/>
      <c r="BW875" s="392"/>
      <c r="BX875" s="392"/>
      <c r="BY875" s="392"/>
      <c r="BZ875" s="461"/>
      <c r="CA875" s="392"/>
      <c r="CB875" s="392"/>
      <c r="CC875" s="392"/>
      <c r="CD875" s="401"/>
      <c r="CE875" s="409"/>
      <c r="CF875" s="236">
        <f t="shared" si="1669"/>
        <v>0</v>
      </c>
      <c r="CG875" s="237">
        <f t="shared" si="1670"/>
        <v>0</v>
      </c>
      <c r="CH875" s="237">
        <f t="shared" si="1671"/>
        <v>0</v>
      </c>
      <c r="CI875" s="237">
        <f t="shared" si="1672"/>
        <v>0</v>
      </c>
      <c r="CJ875" s="237">
        <f t="shared" si="1673"/>
        <v>0</v>
      </c>
      <c r="CK875" s="237">
        <f t="shared" si="1674"/>
        <v>0</v>
      </c>
      <c r="CL875" s="237">
        <f t="shared" si="1675"/>
        <v>0</v>
      </c>
      <c r="CM875" s="237">
        <f t="shared" si="1676"/>
        <v>0</v>
      </c>
      <c r="CN875" s="237">
        <f t="shared" si="1677"/>
        <v>1</v>
      </c>
      <c r="CO875" s="237">
        <f t="shared" si="1678"/>
        <v>0</v>
      </c>
      <c r="CP875" s="237">
        <f t="shared" si="1679"/>
        <v>0</v>
      </c>
      <c r="CQ875" s="237">
        <f t="shared" si="1680"/>
        <v>0</v>
      </c>
      <c r="CR875" s="237">
        <f t="shared" si="1681"/>
        <v>0</v>
      </c>
      <c r="CS875" s="237">
        <f t="shared" si="1682"/>
        <v>0</v>
      </c>
      <c r="CT875" s="75">
        <f t="shared" si="1683"/>
        <v>0</v>
      </c>
      <c r="CU875" s="76">
        <f t="shared" si="1684"/>
        <v>0</v>
      </c>
      <c r="CV875" s="76">
        <f t="shared" si="1685"/>
        <v>0</v>
      </c>
      <c r="CW875" s="76">
        <f t="shared" si="1686"/>
        <v>0</v>
      </c>
      <c r="CX875" s="76">
        <f t="shared" si="1687"/>
        <v>0</v>
      </c>
      <c r="CY875" s="76">
        <f t="shared" si="1688"/>
        <v>0</v>
      </c>
      <c r="CZ875" s="76">
        <f t="shared" si="1689"/>
        <v>0</v>
      </c>
      <c r="DA875" s="76">
        <f t="shared" si="1690"/>
        <v>0</v>
      </c>
      <c r="DB875" s="76">
        <f t="shared" si="1691"/>
        <v>0</v>
      </c>
      <c r="DC875" s="76">
        <f t="shared" si="1692"/>
        <v>0</v>
      </c>
      <c r="DD875" s="76">
        <f t="shared" si="1693"/>
        <v>0</v>
      </c>
      <c r="DE875" s="77">
        <f t="shared" si="1694"/>
        <v>0</v>
      </c>
      <c r="DF875" s="73">
        <f t="shared" si="1696"/>
        <v>52</v>
      </c>
      <c r="DG875" s="67">
        <f t="shared" si="1697"/>
        <v>69.813000000000002</v>
      </c>
      <c r="DH875" s="76">
        <f t="shared" si="1698"/>
        <v>19</v>
      </c>
      <c r="DI875" s="67">
        <f t="shared" si="1699"/>
        <v>81.47</v>
      </c>
      <c r="DJ875" s="202" t="str">
        <f>IF($D874="","",$D874)</f>
        <v>29</v>
      </c>
      <c r="DK875" s="466"/>
    </row>
    <row r="876" spans="1:115" ht="14.5" customHeight="1" x14ac:dyDescent="0.2">
      <c r="A876" s="390"/>
      <c r="B876" s="457"/>
      <c r="C876" s="79" t="s">
        <v>53</v>
      </c>
      <c r="D876" s="375"/>
      <c r="E876" s="387"/>
      <c r="F876" s="378"/>
      <c r="G876" s="484"/>
      <c r="H876" s="477"/>
      <c r="I876" s="82"/>
      <c r="J876" s="83"/>
      <c r="K876" s="90"/>
      <c r="L876" s="84"/>
      <c r="M876" s="85"/>
      <c r="N876" s="407"/>
      <c r="O876" s="86" t="str">
        <f>IF(OR(AE874="",AE875=""),"",IF(L876&gt;0,ROUND(IF(M876&gt;0,M876,IF(M874&gt;0,ROUND((M874*AE876)/AE874,IF(N874=0,2,IF(N874=0.1,1,0))),IF(M875&gt;0,ROUND((M875*AE876)/AE875,IF(N874=0,2,IF(N874=0.1,1,0))),IF(M876&gt;0,M876,0)))),2),""))</f>
        <v/>
      </c>
      <c r="P876" s="87" t="str">
        <f>IF(I875="Lay",O875*(L875/(L875-1))-O875,IF(I874="Lay",O874*(L874/(L874-1))-O874,IF(OR(L876="",O876=""),"",IF($C876="1/2W",O876/2+O876/2*L876,IF($C876="1/2L",O876/2,(O876*L876-O876)*(1-_xlfn.XLOOKUP(K876,'Fevereiro 2023 - Valor Real'!A3:A15,'Fevereiro 2023 - Valor Real'!C3:C15,0))+O876)))))</f>
        <v/>
      </c>
      <c r="Q876" s="238" t="str">
        <f>IF(K876="","",IF(_xlfn.XLOOKUP(K876,K$4:K875,$DJ$4:DJ875,0,,-1)=DJ876,_xlfn.XLOOKUP(K876,K$4:K875,Q$4:Q875,1,,-1)+1,1))</f>
        <v/>
      </c>
      <c r="R876" s="239" t="str">
        <f>IF(K876="","",_xlfn.XLOOKUP(K876,K$4:K875,R$4:R875,0,,-1)+IF($C876=" ",1,0))</f>
        <v/>
      </c>
      <c r="S876" s="404"/>
      <c r="T876" s="378"/>
      <c r="U876" s="378"/>
      <c r="V876" s="404"/>
      <c r="W876" s="378"/>
      <c r="X876" s="453"/>
      <c r="Y876" s="383"/>
      <c r="Z876" s="384"/>
      <c r="AA876" s="384"/>
      <c r="AB876" s="384"/>
      <c r="AC876" s="384"/>
      <c r="AD876" s="240">
        <f>((L875/(L875-1)-1))</f>
        <v>1</v>
      </c>
      <c r="AE876" s="91" t="str">
        <f>IF(L876="","",(SUM(((L874-1)*(1-_xlfn.XLOOKUP(K874,'Fevereiro 2023 - Valor Real'!A3:A15,'Fevereiro 2023 - Valor Real'!C3:C15,0))+1),((L875-1)*(1-_xlfn.XLOOKUP(K875,'Fevereiro 2023 - Valor Real'!A3:A15,'Fevereiro 2023 - Valor Real'!C3:C15,0))+1),((L876-1)*(1-_xlfn.XLOOKUP(K876,'Fevereiro 2023 - Valor Real'!A3:A15,'Fevereiro 2023 - Valor Real'!C3:C15,0))+1))/((L876-1)*(1-_xlfn.XLOOKUP(K876,'Fevereiro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Real'!C3:C15,0))+1))/((L874-1)*(1-_xlfn.XLOOKUP(K874,'Fevereiro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Real'!C3:C15,0))+1))/((L875-1)*(1-_xlfn.XLOOKUP(K875,'Fevereiro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Real'!C3:C15,0))+1))/((L876-1)*(1-_xlfn.XLOOKUP(K876,'Fevereiro 2023 - Valor Real'!A3:A15,'Fevereiro 2023 - Valor Real'!C3:C15,0))+1)))</f>
        <v/>
      </c>
      <c r="AF876" s="66">
        <f t="shared" si="1754"/>
        <v>0</v>
      </c>
      <c r="AG876" s="67">
        <f t="shared" si="1754"/>
        <v>0</v>
      </c>
      <c r="AH876" s="67">
        <f t="shared" si="1754"/>
        <v>0</v>
      </c>
      <c r="AI876" s="67">
        <f t="shared" si="1754"/>
        <v>0</v>
      </c>
      <c r="AJ876" s="67">
        <f t="shared" si="1754"/>
        <v>0</v>
      </c>
      <c r="AK876" s="67">
        <f t="shared" si="1754"/>
        <v>0</v>
      </c>
      <c r="AL876" s="67">
        <f t="shared" si="1754"/>
        <v>0</v>
      </c>
      <c r="AM876" s="67">
        <f t="shared" si="1754"/>
        <v>0</v>
      </c>
      <c r="AN876" s="67">
        <f t="shared" si="1754"/>
        <v>0</v>
      </c>
      <c r="AO876" s="67">
        <f t="shared" si="1754"/>
        <v>0</v>
      </c>
      <c r="AP876" s="67">
        <f t="shared" si="1754"/>
        <v>0</v>
      </c>
      <c r="AQ876" s="67">
        <f t="shared" si="1754"/>
        <v>0</v>
      </c>
      <c r="AR876" s="68">
        <f t="shared" si="1754"/>
        <v>0</v>
      </c>
      <c r="AS876" s="66">
        <f>IF(AND($B874=" ",$K876=AS$3),$O876,0)</f>
        <v>0</v>
      </c>
      <c r="AT876" s="67">
        <f>IF(AND($B874=" ",K876=AT$3),$O876,0)</f>
        <v>0</v>
      </c>
      <c r="AU876" s="67">
        <f t="shared" ref="AU876:BE876" si="1759">IF(AND($B874=" ",$K876=AU$3),$O876,0)</f>
        <v>0</v>
      </c>
      <c r="AV876" s="67">
        <f t="shared" si="1759"/>
        <v>0</v>
      </c>
      <c r="AW876" s="67">
        <f t="shared" si="1759"/>
        <v>0</v>
      </c>
      <c r="AX876" s="67">
        <f t="shared" si="1759"/>
        <v>0</v>
      </c>
      <c r="AY876" s="69">
        <f t="shared" si="1759"/>
        <v>0</v>
      </c>
      <c r="AZ876" s="70">
        <f t="shared" si="1759"/>
        <v>0</v>
      </c>
      <c r="BA876" s="70">
        <f t="shared" si="1759"/>
        <v>0</v>
      </c>
      <c r="BB876" s="70">
        <f t="shared" si="1759"/>
        <v>0</v>
      </c>
      <c r="BC876" s="71">
        <f t="shared" si="1759"/>
        <v>0</v>
      </c>
      <c r="BD876" s="67">
        <f t="shared" si="1759"/>
        <v>0</v>
      </c>
      <c r="BE876" s="68">
        <f t="shared" si="1759"/>
        <v>0</v>
      </c>
      <c r="BF876" s="66">
        <f t="shared" si="1756"/>
        <v>0</v>
      </c>
      <c r="BG876" s="67">
        <f t="shared" si="1756"/>
        <v>0</v>
      </c>
      <c r="BH876" s="67">
        <f t="shared" si="1756"/>
        <v>0</v>
      </c>
      <c r="BI876" s="67">
        <f t="shared" si="1756"/>
        <v>0</v>
      </c>
      <c r="BJ876" s="67">
        <f t="shared" si="1756"/>
        <v>0</v>
      </c>
      <c r="BK876" s="67">
        <f t="shared" si="1756"/>
        <v>0</v>
      </c>
      <c r="BL876" s="67">
        <f t="shared" si="1756"/>
        <v>0</v>
      </c>
      <c r="BM876" s="69">
        <f t="shared" si="1756"/>
        <v>0</v>
      </c>
      <c r="BN876" s="70">
        <f t="shared" si="1756"/>
        <v>0</v>
      </c>
      <c r="BO876" s="70">
        <f t="shared" si="1756"/>
        <v>0</v>
      </c>
      <c r="BP876" s="70">
        <f t="shared" si="1756"/>
        <v>0</v>
      </c>
      <c r="BQ876" s="71">
        <f t="shared" si="1756"/>
        <v>0</v>
      </c>
      <c r="BR876" s="68">
        <f t="shared" si="1756"/>
        <v>0</v>
      </c>
      <c r="BS876" s="464"/>
      <c r="BT876" s="461"/>
      <c r="BU876" s="392"/>
      <c r="BV876" s="461"/>
      <c r="BW876" s="392"/>
      <c r="BX876" s="392"/>
      <c r="BY876" s="392"/>
      <c r="BZ876" s="461"/>
      <c r="CA876" s="392"/>
      <c r="CB876" s="392"/>
      <c r="CC876" s="392"/>
      <c r="CD876" s="401"/>
      <c r="CE876" s="409"/>
      <c r="CF876" s="236">
        <f t="shared" si="1669"/>
        <v>0</v>
      </c>
      <c r="CG876" s="237">
        <f t="shared" si="1670"/>
        <v>0</v>
      </c>
      <c r="CH876" s="237">
        <f t="shared" si="1671"/>
        <v>0</v>
      </c>
      <c r="CI876" s="237">
        <f t="shared" si="1672"/>
        <v>0</v>
      </c>
      <c r="CJ876" s="237">
        <f t="shared" si="1673"/>
        <v>0</v>
      </c>
      <c r="CK876" s="237">
        <f t="shared" si="1674"/>
        <v>0</v>
      </c>
      <c r="CL876" s="237">
        <f t="shared" si="1675"/>
        <v>0</v>
      </c>
      <c r="CM876" s="237">
        <f t="shared" si="1676"/>
        <v>0</v>
      </c>
      <c r="CN876" s="237">
        <f t="shared" si="1677"/>
        <v>0</v>
      </c>
      <c r="CO876" s="237">
        <f t="shared" si="1678"/>
        <v>0</v>
      </c>
      <c r="CP876" s="237">
        <f t="shared" si="1679"/>
        <v>0</v>
      </c>
      <c r="CQ876" s="237">
        <f t="shared" si="1680"/>
        <v>0</v>
      </c>
      <c r="CR876" s="237">
        <f t="shared" si="1681"/>
        <v>0</v>
      </c>
      <c r="CS876" s="237">
        <f t="shared" si="1682"/>
        <v>0</v>
      </c>
      <c r="CT876" s="75">
        <f t="shared" si="1683"/>
        <v>0</v>
      </c>
      <c r="CU876" s="76">
        <f t="shared" si="1684"/>
        <v>0</v>
      </c>
      <c r="CV876" s="76">
        <f t="shared" si="1685"/>
        <v>0</v>
      </c>
      <c r="CW876" s="76">
        <f t="shared" si="1686"/>
        <v>0</v>
      </c>
      <c r="CX876" s="76">
        <f t="shared" si="1687"/>
        <v>0</v>
      </c>
      <c r="CY876" s="76">
        <f t="shared" si="1688"/>
        <v>0</v>
      </c>
      <c r="CZ876" s="76">
        <f t="shared" si="1689"/>
        <v>0</v>
      </c>
      <c r="DA876" s="76">
        <f t="shared" si="1690"/>
        <v>0</v>
      </c>
      <c r="DB876" s="76">
        <f t="shared" si="1691"/>
        <v>0</v>
      </c>
      <c r="DC876" s="76">
        <f t="shared" si="1692"/>
        <v>0</v>
      </c>
      <c r="DD876" s="76">
        <f t="shared" si="1693"/>
        <v>0</v>
      </c>
      <c r="DE876" s="77">
        <f t="shared" si="1694"/>
        <v>0</v>
      </c>
      <c r="DF876" s="73">
        <f t="shared" si="1696"/>
        <v>52</v>
      </c>
      <c r="DG876" s="67">
        <f t="shared" si="1697"/>
        <v>69.813000000000002</v>
      </c>
      <c r="DH876" s="76">
        <f t="shared" si="1698"/>
        <v>19</v>
      </c>
      <c r="DI876" s="67">
        <f t="shared" si="1699"/>
        <v>81.47</v>
      </c>
      <c r="DJ876" s="202" t="str">
        <f>IF($D874="","",$D874)</f>
        <v>29</v>
      </c>
      <c r="DK876" s="466"/>
    </row>
    <row r="877" spans="1:115" ht="14.5" customHeight="1" x14ac:dyDescent="0.2">
      <c r="A877" s="459">
        <f>$A874+1</f>
        <v>292</v>
      </c>
      <c r="B877" s="507" t="str">
        <f>IF(OR(C877="W",C878="W",C879="W",C877="1/2W",C878="1/2W",C879="1/2W",C877="1/2L",C878="1/2L",C879="1/2L"),"OK",IF(OR(C877="L",C878="L",C879="L"),"LOSS",IF(OR(C877="X",C878="X",C879="X"),"Anulado"," ")))</f>
        <v>OK</v>
      </c>
      <c r="C877" s="93" t="s">
        <v>55</v>
      </c>
      <c r="D877" s="468" t="str">
        <f>IF(G877="","",$D874)</f>
        <v>29</v>
      </c>
      <c r="E877" s="485" t="str">
        <f>IF(G877=""," ","– "&amp;COUNTIF(D$4:D879,$D877))</f>
        <v>– 9</v>
      </c>
      <c r="F877" s="509" t="str">
        <f ca="1">IF(G877="","",IF(OR(AND($C877&lt;&gt;" ",$C878=" "),AND($C878&lt;&gt;" ",$C877=" "),AND(L879&gt;0,OR(AND($C879&lt;&gt;" ",OR($C877=" ",$C878=" ")),AND($C879=" ",OR($C877&lt;&gt;" ",$C878&lt;&gt;" "))))),IF(SUM(F$4:F876)=0,1,LARGE(F$4:F876,1)+1),IF(MONTH(G877)=MONTH(TODAY()),IF(AND(DAY(G877)&lt;DAY(TODAY()),$B877=" "),IF(SUM(F$4:F876)=0,1,LARGE(F$4:F876,1)+1),IF($B877=" ",IF(AND(DAY(G877)=DAY(TODAY()),HOUR(G877)&lt;=HOUR(NOW())+1),IF(AND(HOUR(G877)+2&lt;=HOUR(NOW()),DAY(G877)&lt;=DAY(TODAY()),MINUTE(G877)&lt;=MINUTE(NOW())),IF(SUM(F$4:F876)=0,1,LARGE(F$4:F876,1)+1),IF(OR(MINUTE(G877)&lt;=MINUTE(NOW()),HOUR(G877)&lt;=HOUR(NOW())),"!!!","")),""),"")),"")))</f>
        <v/>
      </c>
      <c r="G877" s="482">
        <f>IF(H877="","",_xlfn.XLOOKUP(H877,$H$4:H876,$G$4:G876,""))</f>
        <v>45014.409722222219</v>
      </c>
      <c r="H877" s="475" t="s">
        <v>292</v>
      </c>
      <c r="I877" s="94" t="s">
        <v>51</v>
      </c>
      <c r="J877" s="95">
        <v>1.5</v>
      </c>
      <c r="K877" s="96" t="s">
        <v>36</v>
      </c>
      <c r="L877" s="97">
        <v>2.25</v>
      </c>
      <c r="M877" s="98"/>
      <c r="N877" s="478">
        <v>0</v>
      </c>
      <c r="O877" s="99">
        <f>IF(OR(AE877="",AE878=""),"",ROUND(IF(L879&gt;0,IF(M877&gt;0,M877,IF(M878&gt;0,ROUND((M878*AE877)/AE878,IF(N877=0,2,IF(N877=0.1,1,0))),ROUND((M879*AE877)/AE879,IF(N877=0,2,IF(N877=0.1,1,0))))),IF(M877&gt;0,M877,ROUND((M878*AE877)/AE878,IF(N877=0,2,IF(N877=0.1,1,0))))),2))</f>
        <v>10</v>
      </c>
      <c r="P877" s="100">
        <f>IF(OR(L877="",O877=""),"",IF($C877="1/2W",O877/2+O877/2*L877,IF($C877="1/2L",O877/2,IF(I877="Lay",(O877*(L877/(L877-1))-O877)*(1-_xlfn.XLOOKUP(K877,'Fevereiro 2023 - Valor Real'!A3:A15,'Fevereiro 2023 - Valor Real'!C3:C15,0))+O877,(O877*L877-O877)*(1-_xlfn.XLOOKUP(K877,'Fevereiro 2023 - Valor Real'!A3:A15,'Fevereiro 2023 - Valor Real'!C3:C15,0))+O877))))</f>
        <v>22.5</v>
      </c>
      <c r="Q877" s="101">
        <f>IF(K877="","",IF(_xlfn.XLOOKUP(K877,K$4:K876,$DJ$4:DJ876,0,,-1)=DJ877,_xlfn.XLOOKUP(K877,K$4:K876,Q$4:Q876,1,,-1)+1,1))</f>
        <v>4</v>
      </c>
      <c r="R877" s="102">
        <f>IF(K877="","",_xlfn.XLOOKUP(K877,K$4:K876,R$4:R876,0,,-1)+IF($C877=" ",1,0))</f>
        <v>0</v>
      </c>
      <c r="S877" s="474">
        <f>IF($B877="Anulado",0,ROUND(IF(OR($B877="LOSS",$B877="OK"),IF(OR($C877="W",$C877="1/2W",$C877="1/2L"),P877-O877,IF($C877="L",-O877,0))+IF(OR($C878="W",$C878="1/2W",$C878="1/2L"),P878-O878,IF($C878="L",-O878,0))+IF(OR($C879="W",$C879="1/2W",$C879="1/2L"),P879-O879,IF($C879="L",-O879,0)),IF(AND(OR($C877="W",$C877="1/2W",$C877="1/2L"),C878="W"),P877+P878-SUM(O877:O879)+_xlfn.XLOOKUP("X",C877:C879,O877:O879,0),IF(AND(C877=TRUE,C879="W"),P877+P879-SUM(O877:O879),IF(AND(C878="W",C879="W"),P878+P879-SUM(O877:O879)+_xlfn.XLOOKUP("X",C877:C879,O877:O879,0),IF(L879&gt;0,IF(OR($C877="W",$C877="1/2W",$C877="1/2L"),P877-SUM(O877:O879)+_xlfn.XLOOKUP("X",C877:C879,O877:O879,0),IF(OR($C877="W",$C877="1/2W",$C877="1/2L"),P878-SUM(O877:O879)+_xlfn.XLOOKUP("X",C877:C879,O877:O879,0),IF(OR($C877="W",$C877="1/2W",$C877="1/2L"),P879-SUM(O877:O879)+_xlfn.XLOOKUP("X",C877:C879,O877:O879,0),IF(SUM(P877:P879)/3-SUM(O877:O879)+_xlfn.XLOOKUP("X",C877:C879,O877:O879,0)&gt;0,SUM(P877:P879)/3-SUM(O877:O879)+_xlfn.XLOOKUP("X",C877:C879,O877:O879,0),LARGE(P877:P879,1)-SUM(O877:O879))))),IF(OR($C877="W",$C877="1/2W",$C877="1/2L"),P877-SUM(O877:O878)+_xlfn.XLOOKUP("X",C877:C879,O877:O879,0),IF(OR($C877="W",$C877="1/2W",$C877="1/2L"),P878-SUM(O877:O878)+_xlfn.XLOOKUP("X",C877:C879,O877:O879,0),SUM(P877:P878)/2-SUM(O877:O878)+_xlfn.XLOOKUP("X",C877:C879,O877:O879,0)))))))),2))</f>
        <v>1.25</v>
      </c>
      <c r="T877" s="458">
        <f>IF(S877=0,0,S877/SUM(O877:O879))</f>
        <v>5.8823529411764705E-2</v>
      </c>
      <c r="U877" s="470">
        <f>IF($D877=$D874,IF(OR($B877="LOSS",$B877="OK",$B877="Anulada"),S877,0)+U874,IF(OR($B877="LOSS",$B877="OK",$B877="Anulada"),S877,0))</f>
        <v>15.21</v>
      </c>
      <c r="V877" s="470">
        <f>IF($D877="",0,IF($D877=$D874,IF($B877=" ",IF(I879="",IF(OR(AND(I877="DNB1",I878="DNB2"),AND(OR(I877="DNB1",I877="DNB2"),J878=0),AND(OR(I878="DNB1",I878="DNB2"),J877=0),AND(I877="DNB2",I878="DNB1"),AND(IF(J877=0,(J877+1)/ROUND(J877+1,0),J877/ROUND(J877,0))=1,IF(J878=0,(J878+1)/ROUND(IF(J878="",0,J878)+1,0),IF(J878="",0,J878)/ROUND(IF(J878="",1,J878),0))=1,OR(J877&lt;&gt;""),J878&lt;&gt;"")),0,IF(S877&lt;0,IF(I879="",SMALL(P877:P878,1)-SUM(O877:O878),0),SMALL(P877:P878,1)-SUM(O877:O878))),IF(S877&lt;0,IF(I879="",SMALL(P877:P879,1)-SUM(O877:O879),0),LARGE(P877:P879,1)-SUM(O877:O879))),S877)+V874,IF(I879="",IF(OR(AND(I877="DNB1",I878="DNB2"),AND(OR(I877="DNB1",I877="DNB2"),J878=0),AND(OR(I878="DNB1",I878="DNB2"),J877=0),AND(I877="DNB2",I878="DNB1"),AND(IF(J877=0,(J877+1)/ROUND(J877+1,0),J877/ROUND(J877,0))=1,IF(J878=0,(IF(J878="",0,J878)+1)/ROUND(IF(J878="",0,J878)+1,0),IF(J878="",0,J878)/ROUND(IF(J878="",0,J878)+1,0))=1,OR(J877&lt;&gt;""),J878&lt;&gt;"")),0,IF(S877&lt;0,IF(I879="",SMALL(P877:P878,1)-SUM(O877:O878),0),SMALL(P877:P879,1)-SUM(O877:O879))),IF(S877&lt;0,IF(I879="",SMALL(P877:P879,1)-SUM(O877:O879),0),LARGE(P877:P879,1)-SUM(O877:O879)))))</f>
        <v>15.206200000000003</v>
      </c>
      <c r="W877" s="470">
        <f>IF($D877=$D874,IF(S877&lt;0,IF(I879="",S877,0),S877)+W874,S877)</f>
        <v>15.21</v>
      </c>
      <c r="X877" s="480" t="str">
        <f>IF(OR(SUM(R877:R879)=0,V877=W877),ROUND(IF(W877=0,0,W877/Y877)*100,2)&amp;"%",ROUND(IF(V877=0,0,V877/Y877)*100,2)&amp;"% a "&amp;ROUND(IF(W877=0,0,W877/Y877)*100,2)&amp;"%")</f>
        <v>6,29%</v>
      </c>
      <c r="Y877" s="471">
        <f>IF($D877=$D874,Y874+SUM(O877:O879),SUM(O877:O879))</f>
        <v>241.77999999999997</v>
      </c>
      <c r="Z877" s="470">
        <f>IF($B877=" ",SUM(O877:O879),0)+Z874</f>
        <v>0</v>
      </c>
      <c r="AA877" s="470">
        <f>IF(G877="","",IF($B877="Anulado",LARGE(P877:P879,1)-SUM(O877:O879)+AA874,AA874))</f>
        <v>13.381099999999991</v>
      </c>
      <c r="AB877" s="470">
        <f>IF($D877="","",AB874+S877)</f>
        <v>998.900000000001</v>
      </c>
      <c r="AC877" s="472">
        <f ca="1">IF($D877="","",IF($B877=" ",IF(DAY(G877)=DAY(TODAY()),1+AC874,0+AC874),0+AC874))</f>
        <v>0</v>
      </c>
      <c r="AD877" s="103">
        <f>(((L878/(L878-1)-1)*(1-_xlfn.XLOOKUP(K878,'Fevereiro 2023 - Valor Real'!A3:A15,'Fevereiro 2023 - Valor Real'!C3:C15,0))+1))/(((L877-1)*(1-_xlfn.XLOOKUP(K877,'Fevereiro 2023 - Valor Real'!A3:A15,'Fevereiro 2023 - Valor Real'!C3:C15,0))+1)+((L878/(L878-1)-1)*(1-_xlfn.XLOOKUP(K878,'Fevereiro 2023 - Valor Real'!A3:A15,'Fevereiro 2023 - Valor Real'!C3:C15,0))+1))</f>
        <v>0.47058823529411764</v>
      </c>
      <c r="AE877" s="104">
        <f>IF(L877="","",IF(L879&gt;0,(SUM(((L877-1)*(1-_xlfn.XLOOKUP(K877,'Fevereiro 2023 - Valor Real'!A3:A15,'Fevereiro 2023 - Valor Real'!C3:C15,0))+1),((L878-1)*(1-_xlfn.XLOOKUP(K878,'Fevereiro 2023 - Valor Real'!A3:A15,'Fevereiro 2023 - Valor Real'!C3:C15,0))+1),((L879-1)*(1-_xlfn.XLOOKUP(K879,'Fevereiro 2023 - Valor Real'!A3:A15,'Fevereiro 2023 - Valor Real'!C3:C15,0))+1))/((L877-1)*(1-_xlfn.XLOOKUP(K877,'Fevereiro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Real'!C3:C15,0))+1))/((L877-1)*(1-_xlfn.XLOOKUP(K877,'Fevereiro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Real'!C3:C15,0))+1))/((L878-1)*(1-_xlfn.XLOOKUP(K878,'Fevereiro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Real'!C3:C15,0))+1))/((L879-1)*(1-_xlfn.XLOOKUP(K879,'Fevereiro 2023 - Valor Real'!A3:A15,'Fevereiro 2023 - Valor Real'!C3:C15,0))+1)),IF(I877="Lay",IF(I878="Lay",((L878/(L878-1)-1)*(1-_xlfn.XLOOKUP(K878,'Fevereiro 2023 - Valor Real'!A3:A15,'Fevereiro 2023 - Valor Real'!C3:C15,0))+1)/(((L878/(L878-1)-1)*(1-_xlfn.XLOOKUP(K878,'Fevereiro 2023 - Valor Real'!A3:A15,'Fevereiro 2023 - Valor Real'!C3:C15,0))+1)+((L877/(L877-1)-1)*(1-_xlfn.XLOOKUP(K877,'Fevereiro 2023 - Valor Real'!A3:A15,'Fevereiro 2023 - Valor Real'!C3:C15,0))+1)),((L878-1)*(1-_xlfn.XLOOKUP(K878,'Fevereiro 2023 - Valor Real'!A3:A15,'Fevereiro 2023 - Valor Real'!C3:C15,0))+1)/(((L878-1)*(1-_xlfn.XLOOKUP(K878,'Fevereiro 2023 - Valor Real'!A3:A15,'Fevereiro 2023 - Valor Real'!C3:C15,0))+1)+((L877/(L877-1)-1)*(1-_xlfn.XLOOKUP(K877,'Fevereiro 2023 - Valor Real'!A3:A15,'Fevereiro 2023 - Valor Real'!C3:C15,0))+1))),IF(I878="Lay",(((L878/(L878-1)-1)*(1-_xlfn.XLOOKUP(K878,'Fevereiro 2023 - Valor Real'!A3:A15,'Fevereiro 2023 - Valor Real'!C3:C15,0))+1))/(((L877-1)*(1-_xlfn.XLOOKUP(K877,'Fevereiro 2023 - Valor Real'!A3:A15,'Fevereiro 2023 - Valor Real'!C3:C15,0))+1)+((L878/(L878-1)-1)*(1-_xlfn.XLOOKUP(K878,'Fevereiro 2023 - Valor Real'!A3:A15,'Fevereiro 2023 - Valor Real'!C3:C15,0))+1)),((L878-1)*(1-_xlfn.XLOOKUP(K878,'Fevereiro 2023 - Valor Real'!A3:A15,'Fevereiro 2023 - Valor Real'!C3:C15,0))+1)/(((L878-1)*(1-_xlfn.XLOOKUP(K878,'Fevereiro 2023 - Valor Real'!A3:A15,'Fevereiro 2023 - Valor Real'!C3:C15,0))+1)+((L877-1)*(1-_xlfn.XLOOKUP(K877,'Fevereiro 2023 - Valor Real'!A3:A15,'Fevereiro 2023 - Valor Real'!C3:C15,0))+1))))))</f>
        <v>0.47058823529411764</v>
      </c>
      <c r="AF877" s="105">
        <f t="shared" si="1754"/>
        <v>-10</v>
      </c>
      <c r="AG877" s="106">
        <f t="shared" si="1754"/>
        <v>0</v>
      </c>
      <c r="AH877" s="106">
        <f t="shared" si="1754"/>
        <v>0</v>
      </c>
      <c r="AI877" s="106">
        <f t="shared" si="1754"/>
        <v>0</v>
      </c>
      <c r="AJ877" s="106">
        <f t="shared" si="1754"/>
        <v>0</v>
      </c>
      <c r="AK877" s="106">
        <f t="shared" si="1754"/>
        <v>0</v>
      </c>
      <c r="AL877" s="106">
        <f t="shared" si="1754"/>
        <v>0</v>
      </c>
      <c r="AM877" s="106">
        <f t="shared" si="1754"/>
        <v>0</v>
      </c>
      <c r="AN877" s="106">
        <f t="shared" si="1754"/>
        <v>0</v>
      </c>
      <c r="AO877" s="106">
        <f t="shared" si="1754"/>
        <v>0</v>
      </c>
      <c r="AP877" s="106">
        <f t="shared" si="1754"/>
        <v>0</v>
      </c>
      <c r="AQ877" s="106">
        <f t="shared" si="1754"/>
        <v>0</v>
      </c>
      <c r="AR877" s="107">
        <f t="shared" si="1754"/>
        <v>0</v>
      </c>
      <c r="AS877" s="105">
        <f t="shared" ref="AS877:BE877" si="1760">IF(AND($B877=" ",$K877=AS$3),$O877,0)</f>
        <v>0</v>
      </c>
      <c r="AT877" s="106">
        <f t="shared" si="1760"/>
        <v>0</v>
      </c>
      <c r="AU877" s="106">
        <f t="shared" si="1760"/>
        <v>0</v>
      </c>
      <c r="AV877" s="106">
        <f t="shared" si="1760"/>
        <v>0</v>
      </c>
      <c r="AW877" s="106">
        <f t="shared" si="1760"/>
        <v>0</v>
      </c>
      <c r="AX877" s="106">
        <f t="shared" si="1760"/>
        <v>0</v>
      </c>
      <c r="AY877" s="108">
        <f t="shared" si="1760"/>
        <v>0</v>
      </c>
      <c r="AZ877" s="109">
        <f t="shared" si="1760"/>
        <v>0</v>
      </c>
      <c r="BA877" s="109">
        <f t="shared" si="1760"/>
        <v>0</v>
      </c>
      <c r="BB877" s="109">
        <f t="shared" si="1760"/>
        <v>0</v>
      </c>
      <c r="BC877" s="110">
        <f t="shared" si="1760"/>
        <v>0</v>
      </c>
      <c r="BD877" s="106">
        <f t="shared" si="1760"/>
        <v>0</v>
      </c>
      <c r="BE877" s="107">
        <f t="shared" si="1760"/>
        <v>0</v>
      </c>
      <c r="BF877" s="111">
        <f t="shared" si="1756"/>
        <v>10</v>
      </c>
      <c r="BG877" s="106">
        <f t="shared" si="1756"/>
        <v>0</v>
      </c>
      <c r="BH877" s="106">
        <f t="shared" si="1756"/>
        <v>0</v>
      </c>
      <c r="BI877" s="106">
        <f t="shared" si="1756"/>
        <v>0</v>
      </c>
      <c r="BJ877" s="106">
        <f t="shared" si="1756"/>
        <v>0</v>
      </c>
      <c r="BK877" s="106">
        <f t="shared" si="1756"/>
        <v>0</v>
      </c>
      <c r="BL877" s="106">
        <f t="shared" si="1756"/>
        <v>0</v>
      </c>
      <c r="BM877" s="108">
        <f t="shared" si="1756"/>
        <v>0</v>
      </c>
      <c r="BN877" s="109">
        <f t="shared" si="1756"/>
        <v>0</v>
      </c>
      <c r="BO877" s="109">
        <f t="shared" si="1756"/>
        <v>0</v>
      </c>
      <c r="BP877" s="109">
        <f t="shared" si="1756"/>
        <v>0</v>
      </c>
      <c r="BQ877" s="110">
        <f t="shared" si="1756"/>
        <v>0</v>
      </c>
      <c r="BR877" s="107">
        <f t="shared" si="1756"/>
        <v>0</v>
      </c>
      <c r="BS877" s="463">
        <f>IF($B877="LOSS",IF(AND($K877=BS$3,$C877="L"),-$O877,0)+IF(AND($K878=BS$3,$C878="L"),-$O878,0)+IF(AND($K879=BS$3,$C879="L"),-$O879,0),IF(OR(AND($K877=BS$3,OR($C877="W",$C877="1/2W")),AND($K878=BS$3,OR($C878="W",$C878="1/2W")),AND($K879=BS$3,OR($C879="W",$C879="1/2W"))),$S877,0))</f>
        <v>0</v>
      </c>
      <c r="BT877" s="462">
        <f>IF($B877="LOSS",IF(AND($K877=BT$3,$C877="L"),-$O877,0)+IF(AND($K878=BT$3,$C878="L"),-$O878,0)+IF(AND($K878=BT$3,$C879="L"),-$O879,0),IF(OR(AND($K878=BT$3,OR($C877="W",$C877="1/2W")),AND($K878=BT$3,OR($C878="W",$C878="1/2W")),AND($K878=BT$3,OR($C879="W",$C879="1/2W"))),$S877,0))</f>
        <v>0</v>
      </c>
      <c r="BU877" s="462">
        <f>IF($B877="LOSS",IF(AND($K877=BU$3,$C877="L"),-$O877,0)+IF(AND($K878=BU$3,$C878="L"),-$O878,0)+IF(AND($K878=BU$3,$C879="L"),-$O879,0),IF(OR(AND($K878=BU$3,OR($C877="W",$C877="1/2W")),AND($K878=BU$3,OR($C878="W",$C878="1/2W")),AND($K878=BU$3,OR($C879="W",$C879="1/2W"))),$S877,0))</f>
        <v>0</v>
      </c>
      <c r="BV877" s="462">
        <f t="shared" ref="BV877:CE877" si="1761">IF($B877="LOSS",IF(AND($K877=BV$3,$C877="L"),-$O877,0)+IF(AND($K878=BV$3,$C878="L"),-$O878,0)+IF(AND($K879=BV$3,$C879="L"),-$O879,0),IF(OR(AND($K877=BV$3,OR($C877="W",$C877="1/2W")),AND($K878=BV$3,OR($C878="W",$C878="1/2W")),AND($K879=BV$3,OR($C879="W",$C879="1/2W"))),$S877,0))</f>
        <v>0</v>
      </c>
      <c r="BW877" s="462">
        <f t="shared" si="1761"/>
        <v>1.25</v>
      </c>
      <c r="BX877" s="462">
        <f t="shared" si="1761"/>
        <v>0</v>
      </c>
      <c r="BY877" s="462">
        <f t="shared" si="1761"/>
        <v>0</v>
      </c>
      <c r="BZ877" s="460">
        <f t="shared" si="1761"/>
        <v>0</v>
      </c>
      <c r="CA877" s="460">
        <f t="shared" si="1761"/>
        <v>0</v>
      </c>
      <c r="CB877" s="460">
        <f t="shared" si="1761"/>
        <v>0</v>
      </c>
      <c r="CC877" s="460">
        <f t="shared" si="1761"/>
        <v>0</v>
      </c>
      <c r="CD877" s="473">
        <f t="shared" si="1761"/>
        <v>0</v>
      </c>
      <c r="CE877" s="479">
        <f t="shared" si="1761"/>
        <v>0</v>
      </c>
      <c r="CF877" s="113">
        <f t="shared" si="1669"/>
        <v>0</v>
      </c>
      <c r="CG877" s="114">
        <f t="shared" si="1670"/>
        <v>1</v>
      </c>
      <c r="CH877" s="114">
        <f t="shared" si="1671"/>
        <v>0</v>
      </c>
      <c r="CI877" s="114">
        <f t="shared" si="1672"/>
        <v>0</v>
      </c>
      <c r="CJ877" s="114">
        <f t="shared" si="1673"/>
        <v>0</v>
      </c>
      <c r="CK877" s="114">
        <f t="shared" si="1674"/>
        <v>0</v>
      </c>
      <c r="CL877" s="114">
        <f t="shared" si="1675"/>
        <v>0</v>
      </c>
      <c r="CM877" s="114">
        <f t="shared" si="1676"/>
        <v>0</v>
      </c>
      <c r="CN877" s="114">
        <f t="shared" si="1677"/>
        <v>0</v>
      </c>
      <c r="CO877" s="114">
        <f t="shared" si="1678"/>
        <v>0</v>
      </c>
      <c r="CP877" s="114">
        <f t="shared" si="1679"/>
        <v>0</v>
      </c>
      <c r="CQ877" s="114">
        <f t="shared" si="1680"/>
        <v>0</v>
      </c>
      <c r="CR877" s="114">
        <f t="shared" si="1681"/>
        <v>0</v>
      </c>
      <c r="CS877" s="114">
        <f t="shared" si="1682"/>
        <v>0</v>
      </c>
      <c r="CT877" s="115">
        <f t="shared" si="1683"/>
        <v>0</v>
      </c>
      <c r="CU877" s="116">
        <f t="shared" si="1684"/>
        <v>0</v>
      </c>
      <c r="CV877" s="116">
        <f t="shared" si="1685"/>
        <v>0</v>
      </c>
      <c r="CW877" s="116">
        <f t="shared" si="1686"/>
        <v>0</v>
      </c>
      <c r="CX877" s="116">
        <f t="shared" si="1687"/>
        <v>0</v>
      </c>
      <c r="CY877" s="116">
        <f t="shared" si="1688"/>
        <v>0</v>
      </c>
      <c r="CZ877" s="116">
        <f t="shared" si="1689"/>
        <v>0</v>
      </c>
      <c r="DA877" s="116">
        <f t="shared" si="1690"/>
        <v>0</v>
      </c>
      <c r="DB877" s="116">
        <f t="shared" si="1691"/>
        <v>0</v>
      </c>
      <c r="DC877" s="116">
        <f t="shared" si="1692"/>
        <v>0</v>
      </c>
      <c r="DD877" s="116">
        <f t="shared" si="1693"/>
        <v>0</v>
      </c>
      <c r="DE877" s="117">
        <f t="shared" si="1694"/>
        <v>0</v>
      </c>
      <c r="DF877" s="118">
        <f t="shared" si="1696"/>
        <v>52</v>
      </c>
      <c r="DG877" s="106">
        <f t="shared" si="1697"/>
        <v>69.813000000000002</v>
      </c>
      <c r="DH877" s="116">
        <f t="shared" si="1698"/>
        <v>19</v>
      </c>
      <c r="DI877" s="106">
        <f t="shared" si="1699"/>
        <v>81.47</v>
      </c>
      <c r="DJ877" s="201" t="str">
        <f>IF($D877="","",$D877)</f>
        <v>29</v>
      </c>
      <c r="DK877" s="465">
        <f>IF(AND($B877=" ",$D877&lt;&gt;""),1,0)</f>
        <v>0</v>
      </c>
    </row>
    <row r="878" spans="1:115" ht="14.5" customHeight="1" x14ac:dyDescent="0.2">
      <c r="A878" s="389"/>
      <c r="B878" s="456"/>
      <c r="C878" s="120" t="s">
        <v>54</v>
      </c>
      <c r="D878" s="374"/>
      <c r="E878" s="386"/>
      <c r="F878" s="377"/>
      <c r="G878" s="483"/>
      <c r="H878" s="476"/>
      <c r="I878" s="121" t="s">
        <v>52</v>
      </c>
      <c r="J878" s="122">
        <f>IF(OR(I877="TO",I877="TU",I877="TO1",I877="TU1",I877="TO2",I877="TU2"),J877,IF(OR(I877="AH1",I877="AH2"),IF(OR(I878="AH1",I878="AH2"),-J877,IF(OR(I878="EH1",I878="EH2"),-J877+0.5,"")),IF(OR(I877="EH1",I877="EH2"),IF(OR(I878="AH1",I878="AH2"),-J877+0.5,IF(OR(I878="EH1",I878="EH2"),-J877+1,"")),IF(AND(OR(I877="DNB1",I877="DNB2"),OR(I878="AH1",I878="AH2")),0,IF(AND(I877="Not ScoreBoth",OR(I878="TO1",I878="TO2")),0.5,"")))))</f>
        <v>1.5</v>
      </c>
      <c r="K878" s="123" t="s">
        <v>40</v>
      </c>
      <c r="L878" s="124">
        <v>2</v>
      </c>
      <c r="M878" s="125">
        <v>11.25</v>
      </c>
      <c r="N878" s="406"/>
      <c r="O878" s="126">
        <f>IF(OR(AE877="",AE878=""),"",ROUND(IF(L879&gt;0,IF(M878&gt;0,M878,IF(M877&gt;0,IF(N877=TRUE,ROUND((M877*AE878)/AE877,0),(M877*AE878)/AE877),IF(M878&gt;0,ROUND(M878,IF(N877=0,2,IF(N877=0.1,1,0))),IF(M879&gt;0,ROUND(O879*AE878/AE879,IF(N877=0,2,IF(N877=0.1,1,0))),0)))),IF(M878&gt;0,M878,ROUND((M877*AE878)/AE877,IF(N877=0,2,IF(N877=0.1,1,0))))),2))</f>
        <v>11.25</v>
      </c>
      <c r="P878" s="127">
        <f>IF(OR(L878="",O878=""),"",IF($C878="1/2W",O878/2+O878/2*L878,IF($C878="1/2L",O878/2,IF(I878="Lay",((O878*(L878/(L878-1)))-O878)*(1-_xlfn.XLOOKUP(K878,'Fevereiro 2023 - Valor Real'!A3:A15,'Fevereiro 2023 - Valor Real'!C3:C15,0))+O878,(O878*L878-O878)*(1-_xlfn.XLOOKUP(K878,'Fevereiro 2023 - Valor Real'!A3:A15,'Fevereiro 2023 - Valor Real'!C3:C15,0))+O878))))</f>
        <v>22.5</v>
      </c>
      <c r="Q878" s="128">
        <f>IF(K878="","",IF(_xlfn.XLOOKUP(K878,K$4:K877,$DJ$4:DJ877,0,,-1)=DJ878,_xlfn.XLOOKUP(K878,K$4:K877,Q$4:Q877,1,,-1)+1,1))</f>
        <v>7</v>
      </c>
      <c r="R878" s="129">
        <f>IF(K878="","",_xlfn.XLOOKUP(K878,K$4:K877,R$4:R877,0,,-1)+IF($C878=" ",1,0))</f>
        <v>0</v>
      </c>
      <c r="S878" s="403"/>
      <c r="T878" s="380"/>
      <c r="U878" s="380"/>
      <c r="V878" s="481"/>
      <c r="W878" s="380"/>
      <c r="X878" s="452"/>
      <c r="Y878" s="383"/>
      <c r="Z878" s="384"/>
      <c r="AA878" s="384"/>
      <c r="AB878" s="384"/>
      <c r="AC878" s="384"/>
      <c r="AD878" s="130">
        <f>(((L878/(L878-1)-1)*(1-_xlfn.XLOOKUP(K878,'Fevereiro 2023 - Valor Real'!A3:A15,'Fevereiro 2023 - Valor Real'!C3:C15,0))+1))</f>
        <v>2</v>
      </c>
      <c r="AE878" s="131">
        <f>IF(L878="","",IF(L879&gt;0,(SUM(((L877-1)*(1-_xlfn.XLOOKUP(K877,'Fevereiro 2023 - Valor Real'!A3:A15,'Fevereiro 2023 - Valor Real'!C3:C15,0))+1),((L878-1)*(1-_xlfn.XLOOKUP(K878,'Fevereiro 2023 - Valor Real'!A3:A15,'Fevereiro 2023 - Valor Real'!C3:C15,0))+1),((L879-1)*(1-_xlfn.XLOOKUP(K879,'Fevereiro 2023 - Valor Real'!A3:A15,'Fevereiro 2023 - Valor Real'!C3:C15,0))+1))/((L878-1)*(1-_xlfn.XLOOKUP(K878,'Fevereiro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Real'!C3:C15,0))+1))/((L877-1)*(1-_xlfn.XLOOKUP(K877,'Fevereiro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Real'!C3:C15,0))+1))/((L878-1)*(1-_xlfn.XLOOKUP(K878,'Fevereiro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Real'!C3:C15,0))+1))/((L879-1)*(1-_xlfn.XLOOKUP(K879,'Fevereiro 2023 - Valor Real'!A3:A15,'Fevereiro 2023 - Valor Real'!C3:C15,0))+1)),IF(I878="Lay",IF(I877="Lay",((L877/(L877-1)-1)*(1-_xlfn.XLOOKUP(K877,'Fevereiro 2023 - Valor Real'!A3:A15,'Fevereiro 2023 - Valor Real'!C3:C15,0))+1)/(((L877/(L877-1)-1)*(1-_xlfn.XLOOKUP(K877,'Fevereiro 2023 - Valor Real'!A3:A15,'Fevereiro 2023 - Valor Real'!C3:C15,0))+1)+((L878/(L878-1)-1)*(1-_xlfn.XLOOKUP(K878,'Fevereiro 2023 - Valor Real'!A3:A15,'Fevereiro 2023 - Valor Real'!C3:C15,0))+1)),((L877-1)*(1-_xlfn.XLOOKUP(K877,'Fevereiro 2023 - Valor Real'!A3:A15,'Fevereiro 2023 - Valor Real'!C3:C15,0))+1)/(((L877-1)*(1-_xlfn.XLOOKUP(K877,'Fevereiro 2023 - Valor Real'!A3:A15,'Fevereiro 2023 - Valor Real'!C3:C15,0))+1)+((L878/(L878-1)-1)*(1-_xlfn.XLOOKUP(K878,'Fevereiro 2023 - Valor Real'!A3:A15,'Fevereiro 2023 - Valor Real'!C3:C15,0))+1))),IF(I877="Lay",((L877/(L877-1)-1)*(1-_xlfn.XLOOKUP(K877,'Fevereiro 2023 - Valor Real'!A3:A15,'Fevereiro 2023 - Valor Real'!C3:C15,0))+1)/((((L877/(L877-1)-1)*(1-_xlfn.XLOOKUP(K877,'Fevereiro 2023 - Valor Real'!A3:A15,'Fevereiro 2023 - Valor Real'!C3:C15,0))+1))+((L878-1)*(1-_xlfn.XLOOKUP(K878,'Fevereiro 2023 - Valor Real'!A3:A15,'Fevereiro 2023 - Valor Real'!C3:C15,0))+1)),((L877-1)*(1-_xlfn.XLOOKUP(K877,'Fevereiro 2023 - Valor Real'!A3:A15,'Fevereiro 2023 - Valor Real'!C3:C15,0))+1)/(((L877-1)*(1-_xlfn.XLOOKUP(K877,'Fevereiro 2023 - Valor Real'!A3:A15,'Fevereiro 2023 - Valor Real'!C3:C15,0))+1)+((L878-1)*(1-_xlfn.XLOOKUP(K878,'Fevereiro 2023 - Valor Real'!A3:A15,'Fevereiro 2023 - Valor Real'!C3:C15,0))+1))))))</f>
        <v>0.52941176470588236</v>
      </c>
      <c r="AF878" s="105">
        <f t="shared" si="1754"/>
        <v>0</v>
      </c>
      <c r="AG878" s="106">
        <f t="shared" si="1754"/>
        <v>0</v>
      </c>
      <c r="AH878" s="106">
        <f t="shared" si="1754"/>
        <v>0</v>
      </c>
      <c r="AI878" s="106">
        <f t="shared" si="1754"/>
        <v>0</v>
      </c>
      <c r="AJ878" s="106">
        <f t="shared" si="1754"/>
        <v>11.25</v>
      </c>
      <c r="AK878" s="106">
        <f t="shared" si="1754"/>
        <v>0</v>
      </c>
      <c r="AL878" s="106">
        <f t="shared" si="1754"/>
        <v>0</v>
      </c>
      <c r="AM878" s="106">
        <f t="shared" si="1754"/>
        <v>0</v>
      </c>
      <c r="AN878" s="106">
        <f t="shared" si="1754"/>
        <v>0</v>
      </c>
      <c r="AO878" s="106">
        <f t="shared" si="1754"/>
        <v>0</v>
      </c>
      <c r="AP878" s="106">
        <f t="shared" si="1754"/>
        <v>0</v>
      </c>
      <c r="AQ878" s="106">
        <f t="shared" si="1754"/>
        <v>0</v>
      </c>
      <c r="AR878" s="107">
        <f t="shared" si="1754"/>
        <v>0</v>
      </c>
      <c r="AS878" s="105">
        <f>IF(AND($B877=" ",$K878=AS$3),$O878,0)</f>
        <v>0</v>
      </c>
      <c r="AT878" s="106">
        <f>IF(AND($B877=" ",K878=AT$3),$O878,0)</f>
        <v>0</v>
      </c>
      <c r="AU878" s="106">
        <f t="shared" ref="AU878:BE878" si="1762">IF(AND($B877=" ",$K878=AU$3),$O878,0)</f>
        <v>0</v>
      </c>
      <c r="AV878" s="106">
        <f t="shared" si="1762"/>
        <v>0</v>
      </c>
      <c r="AW878" s="106">
        <f t="shared" si="1762"/>
        <v>0</v>
      </c>
      <c r="AX878" s="106">
        <f t="shared" si="1762"/>
        <v>0</v>
      </c>
      <c r="AY878" s="108">
        <f t="shared" si="1762"/>
        <v>0</v>
      </c>
      <c r="AZ878" s="109">
        <f t="shared" si="1762"/>
        <v>0</v>
      </c>
      <c r="BA878" s="109">
        <f t="shared" si="1762"/>
        <v>0</v>
      </c>
      <c r="BB878" s="109">
        <f t="shared" si="1762"/>
        <v>0</v>
      </c>
      <c r="BC878" s="110">
        <f t="shared" si="1762"/>
        <v>0</v>
      </c>
      <c r="BD878" s="106">
        <f t="shared" si="1762"/>
        <v>0</v>
      </c>
      <c r="BE878" s="107">
        <f t="shared" si="1762"/>
        <v>0</v>
      </c>
      <c r="BF878" s="105">
        <f t="shared" si="1756"/>
        <v>0</v>
      </c>
      <c r="BG878" s="106">
        <f t="shared" si="1756"/>
        <v>0</v>
      </c>
      <c r="BH878" s="106">
        <f t="shared" si="1756"/>
        <v>0</v>
      </c>
      <c r="BI878" s="106">
        <f t="shared" si="1756"/>
        <v>0</v>
      </c>
      <c r="BJ878" s="106">
        <f t="shared" si="1756"/>
        <v>11.25</v>
      </c>
      <c r="BK878" s="106">
        <f t="shared" si="1756"/>
        <v>0</v>
      </c>
      <c r="BL878" s="106">
        <f t="shared" si="1756"/>
        <v>0</v>
      </c>
      <c r="BM878" s="132">
        <f t="shared" si="1756"/>
        <v>0</v>
      </c>
      <c r="BN878" s="112">
        <f t="shared" si="1756"/>
        <v>0</v>
      </c>
      <c r="BO878" s="112">
        <f t="shared" si="1756"/>
        <v>0</v>
      </c>
      <c r="BP878" s="112">
        <f t="shared" si="1756"/>
        <v>0</v>
      </c>
      <c r="BQ878" s="110">
        <f t="shared" si="1756"/>
        <v>0</v>
      </c>
      <c r="BR878" s="107">
        <f t="shared" si="1756"/>
        <v>0</v>
      </c>
      <c r="BS878" s="464"/>
      <c r="BT878" s="461"/>
      <c r="BU878" s="392"/>
      <c r="BV878" s="461"/>
      <c r="BW878" s="392"/>
      <c r="BX878" s="392"/>
      <c r="BY878" s="392"/>
      <c r="BZ878" s="461"/>
      <c r="CA878" s="392"/>
      <c r="CB878" s="392"/>
      <c r="CC878" s="392"/>
      <c r="CD878" s="401"/>
      <c r="CE878" s="409"/>
      <c r="CF878" s="133">
        <f t="shared" si="1669"/>
        <v>0</v>
      </c>
      <c r="CG878" s="134">
        <f t="shared" si="1670"/>
        <v>0</v>
      </c>
      <c r="CH878" s="134">
        <f t="shared" si="1671"/>
        <v>0</v>
      </c>
      <c r="CI878" s="134">
        <f t="shared" si="1672"/>
        <v>0</v>
      </c>
      <c r="CJ878" s="134">
        <f t="shared" si="1673"/>
        <v>0</v>
      </c>
      <c r="CK878" s="134">
        <f t="shared" si="1674"/>
        <v>0</v>
      </c>
      <c r="CL878" s="134">
        <f t="shared" si="1675"/>
        <v>0</v>
      </c>
      <c r="CM878" s="134">
        <f t="shared" si="1676"/>
        <v>0</v>
      </c>
      <c r="CN878" s="134">
        <f t="shared" si="1677"/>
        <v>1</v>
      </c>
      <c r="CO878" s="134">
        <f t="shared" si="1678"/>
        <v>0</v>
      </c>
      <c r="CP878" s="134">
        <f t="shared" si="1679"/>
        <v>0</v>
      </c>
      <c r="CQ878" s="134">
        <f t="shared" si="1680"/>
        <v>0</v>
      </c>
      <c r="CR878" s="134">
        <f t="shared" si="1681"/>
        <v>0</v>
      </c>
      <c r="CS878" s="134">
        <f t="shared" si="1682"/>
        <v>0</v>
      </c>
      <c r="CT878" s="115">
        <f t="shared" si="1683"/>
        <v>0</v>
      </c>
      <c r="CU878" s="116">
        <f t="shared" si="1684"/>
        <v>0</v>
      </c>
      <c r="CV878" s="116">
        <f t="shared" si="1685"/>
        <v>0</v>
      </c>
      <c r="CW878" s="116">
        <f t="shared" si="1686"/>
        <v>0</v>
      </c>
      <c r="CX878" s="116">
        <f t="shared" si="1687"/>
        <v>0</v>
      </c>
      <c r="CY878" s="116">
        <f t="shared" si="1688"/>
        <v>0</v>
      </c>
      <c r="CZ878" s="116">
        <f t="shared" si="1689"/>
        <v>0</v>
      </c>
      <c r="DA878" s="116">
        <f t="shared" si="1690"/>
        <v>0</v>
      </c>
      <c r="DB878" s="116">
        <f t="shared" si="1691"/>
        <v>0</v>
      </c>
      <c r="DC878" s="116">
        <f t="shared" si="1692"/>
        <v>0</v>
      </c>
      <c r="DD878" s="116">
        <f t="shared" si="1693"/>
        <v>0</v>
      </c>
      <c r="DE878" s="117">
        <f t="shared" si="1694"/>
        <v>0</v>
      </c>
      <c r="DF878" s="118">
        <f t="shared" si="1696"/>
        <v>52</v>
      </c>
      <c r="DG878" s="106">
        <f t="shared" si="1697"/>
        <v>69.813000000000002</v>
      </c>
      <c r="DH878" s="116">
        <f t="shared" si="1698"/>
        <v>19</v>
      </c>
      <c r="DI878" s="106">
        <f t="shared" si="1699"/>
        <v>81.47</v>
      </c>
      <c r="DJ878" s="201" t="str">
        <f>IF($D877="","",$D877)</f>
        <v>29</v>
      </c>
      <c r="DK878" s="466"/>
    </row>
    <row r="879" spans="1:115" ht="14.5" customHeight="1" x14ac:dyDescent="0.2">
      <c r="A879" s="390"/>
      <c r="B879" s="457"/>
      <c r="C879" s="135" t="s">
        <v>53</v>
      </c>
      <c r="D879" s="375"/>
      <c r="E879" s="387"/>
      <c r="F879" s="378"/>
      <c r="G879" s="484"/>
      <c r="H879" s="477"/>
      <c r="I879" s="136"/>
      <c r="J879" s="137"/>
      <c r="K879" s="138"/>
      <c r="L879" s="139"/>
      <c r="M879" s="140"/>
      <c r="N879" s="407"/>
      <c r="O879" s="141" t="str">
        <f>IF(OR(AE877="",AE878=""),"",IF(L879&gt;0,ROUND(IF(M879&gt;0,M879,IF(M877&gt;0,ROUND((M877*AE879)/AE877,IF(N877=0,2,IF(N877=0.1,1,0))),IF(M878&gt;0,ROUND((M878*AE879)/AE878,IF(N877=0,2,IF(N877=0.1,1,0))),IF(M879&gt;0,M879,0)))),2),""))</f>
        <v/>
      </c>
      <c r="P879" s="142" t="str">
        <f>IF(I878="Lay",O878*(L878/(L878-1))-O878,IF(I877="Lay",O877*(L877/(L877-1))-O877,IF(OR(L879="",O879=""),"",IF($C879="1/2W",O879/2+O879/2*L879,IF($C879="1/2L",O879/2,(O879*L879-O879)*(1-_xlfn.XLOOKUP(K879,'Fevereiro 2023 - Valor Real'!A3:A15,'Fevereiro 2023 - Valor Real'!C3:C15,0))+O879)))))</f>
        <v/>
      </c>
      <c r="Q879" s="221" t="str">
        <f>IF(K879="","",IF(_xlfn.XLOOKUP(K879,K$4:K878,$DJ$4:DJ878,0,,-1)=DJ879,_xlfn.XLOOKUP(K879,K$4:K878,Q$4:Q878,1,,-1)+1,1))</f>
        <v/>
      </c>
      <c r="R879" s="144" t="str">
        <f>IF(K879="","",_xlfn.XLOOKUP(K879,K$4:K878,R$4:R878,0,,-1)+IF($C879=" ",1,0))</f>
        <v/>
      </c>
      <c r="S879" s="404"/>
      <c r="T879" s="378"/>
      <c r="U879" s="378"/>
      <c r="V879" s="404"/>
      <c r="W879" s="378"/>
      <c r="X879" s="453"/>
      <c r="Y879" s="383"/>
      <c r="Z879" s="384"/>
      <c r="AA879" s="384"/>
      <c r="AB879" s="384"/>
      <c r="AC879" s="384"/>
      <c r="AD879" s="145">
        <f>((L878/(L878-1)-1))</f>
        <v>1</v>
      </c>
      <c r="AE879" s="146" t="str">
        <f>IF(L879="","",(SUM(((L877-1)*(1-_xlfn.XLOOKUP(K877,'Fevereiro 2023 - Valor Real'!A3:A15,'Fevereiro 2023 - Valor Real'!C3:C15,0))+1),((L878-1)*(1-_xlfn.XLOOKUP(K878,'Fevereiro 2023 - Valor Real'!A3:A15,'Fevereiro 2023 - Valor Real'!C3:C15,0))+1),((L879-1)*(1-_xlfn.XLOOKUP(K879,'Fevereiro 2023 - Valor Real'!A3:A15,'Fevereiro 2023 - Valor Real'!C3:C15,0))+1))/((L879-1)*(1-_xlfn.XLOOKUP(K879,'Fevereiro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Real'!C3:C15,0))+1))/((L877-1)*(1-_xlfn.XLOOKUP(K877,'Fevereiro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Real'!C3:C15,0))+1))/((L878-1)*(1-_xlfn.XLOOKUP(K878,'Fevereiro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Real'!C3:C15,0))+1))/((L879-1)*(1-_xlfn.XLOOKUP(K879,'Fevereiro 2023 - Valor Real'!A3:A15,'Fevereiro 2023 - Valor Real'!C3:C15,0))+1)))</f>
        <v/>
      </c>
      <c r="AF879" s="105">
        <f t="shared" si="1754"/>
        <v>0</v>
      </c>
      <c r="AG879" s="106">
        <f t="shared" si="1754"/>
        <v>0</v>
      </c>
      <c r="AH879" s="106">
        <f t="shared" si="1754"/>
        <v>0</v>
      </c>
      <c r="AI879" s="106">
        <f t="shared" si="1754"/>
        <v>0</v>
      </c>
      <c r="AJ879" s="106">
        <f t="shared" si="1754"/>
        <v>0</v>
      </c>
      <c r="AK879" s="106">
        <f t="shared" si="1754"/>
        <v>0</v>
      </c>
      <c r="AL879" s="106">
        <f t="shared" si="1754"/>
        <v>0</v>
      </c>
      <c r="AM879" s="106">
        <f t="shared" si="1754"/>
        <v>0</v>
      </c>
      <c r="AN879" s="106">
        <f t="shared" si="1754"/>
        <v>0</v>
      </c>
      <c r="AO879" s="106">
        <f t="shared" si="1754"/>
        <v>0</v>
      </c>
      <c r="AP879" s="106">
        <f t="shared" si="1754"/>
        <v>0</v>
      </c>
      <c r="AQ879" s="106">
        <f t="shared" si="1754"/>
        <v>0</v>
      </c>
      <c r="AR879" s="107">
        <f t="shared" si="1754"/>
        <v>0</v>
      </c>
      <c r="AS879" s="105">
        <f>IF(AND($B877=" ",$K879=AS$3),$O879,0)</f>
        <v>0</v>
      </c>
      <c r="AT879" s="106">
        <f>IF(AND($B877=" ",K879=AT$3),$O879,0)</f>
        <v>0</v>
      </c>
      <c r="AU879" s="106">
        <f t="shared" ref="AU879:BE879" si="1763">IF(AND($B877=" ",$K879=AU$3),$O879,0)</f>
        <v>0</v>
      </c>
      <c r="AV879" s="106">
        <f t="shared" si="1763"/>
        <v>0</v>
      </c>
      <c r="AW879" s="106">
        <f t="shared" si="1763"/>
        <v>0</v>
      </c>
      <c r="AX879" s="106">
        <f t="shared" si="1763"/>
        <v>0</v>
      </c>
      <c r="AY879" s="108">
        <f t="shared" si="1763"/>
        <v>0</v>
      </c>
      <c r="AZ879" s="109">
        <f t="shared" si="1763"/>
        <v>0</v>
      </c>
      <c r="BA879" s="109">
        <f t="shared" si="1763"/>
        <v>0</v>
      </c>
      <c r="BB879" s="109">
        <f t="shared" si="1763"/>
        <v>0</v>
      </c>
      <c r="BC879" s="110">
        <f t="shared" si="1763"/>
        <v>0</v>
      </c>
      <c r="BD879" s="106">
        <f t="shared" si="1763"/>
        <v>0</v>
      </c>
      <c r="BE879" s="107">
        <f t="shared" si="1763"/>
        <v>0</v>
      </c>
      <c r="BF879" s="105">
        <f t="shared" si="1756"/>
        <v>0</v>
      </c>
      <c r="BG879" s="106">
        <f t="shared" si="1756"/>
        <v>0</v>
      </c>
      <c r="BH879" s="106">
        <f t="shared" si="1756"/>
        <v>0</v>
      </c>
      <c r="BI879" s="106">
        <f t="shared" si="1756"/>
        <v>0</v>
      </c>
      <c r="BJ879" s="106">
        <f t="shared" si="1756"/>
        <v>0</v>
      </c>
      <c r="BK879" s="106">
        <f t="shared" si="1756"/>
        <v>0</v>
      </c>
      <c r="BL879" s="106">
        <f t="shared" si="1756"/>
        <v>0</v>
      </c>
      <c r="BM879" s="108">
        <f t="shared" si="1756"/>
        <v>0</v>
      </c>
      <c r="BN879" s="109">
        <f t="shared" si="1756"/>
        <v>0</v>
      </c>
      <c r="BO879" s="109">
        <f t="shared" si="1756"/>
        <v>0</v>
      </c>
      <c r="BP879" s="109">
        <f t="shared" si="1756"/>
        <v>0</v>
      </c>
      <c r="BQ879" s="110">
        <f t="shared" si="1756"/>
        <v>0</v>
      </c>
      <c r="BR879" s="107">
        <f t="shared" si="1756"/>
        <v>0</v>
      </c>
      <c r="BS879" s="464"/>
      <c r="BT879" s="461"/>
      <c r="BU879" s="392"/>
      <c r="BV879" s="461"/>
      <c r="BW879" s="392"/>
      <c r="BX879" s="392"/>
      <c r="BY879" s="392"/>
      <c r="BZ879" s="461"/>
      <c r="CA879" s="392"/>
      <c r="CB879" s="392"/>
      <c r="CC879" s="392"/>
      <c r="CD879" s="401"/>
      <c r="CE879" s="409"/>
      <c r="CF879" s="133">
        <f t="shared" si="1669"/>
        <v>0</v>
      </c>
      <c r="CG879" s="134">
        <f t="shared" si="1670"/>
        <v>0</v>
      </c>
      <c r="CH879" s="134">
        <f t="shared" si="1671"/>
        <v>0</v>
      </c>
      <c r="CI879" s="134">
        <f t="shared" si="1672"/>
        <v>0</v>
      </c>
      <c r="CJ879" s="134">
        <f t="shared" si="1673"/>
        <v>0</v>
      </c>
      <c r="CK879" s="134">
        <f t="shared" si="1674"/>
        <v>0</v>
      </c>
      <c r="CL879" s="134">
        <f t="shared" si="1675"/>
        <v>0</v>
      </c>
      <c r="CM879" s="134">
        <f t="shared" si="1676"/>
        <v>0</v>
      </c>
      <c r="CN879" s="134">
        <f t="shared" si="1677"/>
        <v>0</v>
      </c>
      <c r="CO879" s="134">
        <f t="shared" si="1678"/>
        <v>0</v>
      </c>
      <c r="CP879" s="134">
        <f t="shared" si="1679"/>
        <v>0</v>
      </c>
      <c r="CQ879" s="134">
        <f t="shared" si="1680"/>
        <v>0</v>
      </c>
      <c r="CR879" s="134">
        <f t="shared" si="1681"/>
        <v>0</v>
      </c>
      <c r="CS879" s="134">
        <f t="shared" si="1682"/>
        <v>0</v>
      </c>
      <c r="CT879" s="115">
        <f t="shared" si="1683"/>
        <v>0</v>
      </c>
      <c r="CU879" s="116">
        <f t="shared" si="1684"/>
        <v>0</v>
      </c>
      <c r="CV879" s="116">
        <f t="shared" si="1685"/>
        <v>0</v>
      </c>
      <c r="CW879" s="116">
        <f t="shared" si="1686"/>
        <v>0</v>
      </c>
      <c r="CX879" s="116">
        <f t="shared" si="1687"/>
        <v>0</v>
      </c>
      <c r="CY879" s="116">
        <f t="shared" si="1688"/>
        <v>0</v>
      </c>
      <c r="CZ879" s="116">
        <f t="shared" si="1689"/>
        <v>0</v>
      </c>
      <c r="DA879" s="116">
        <f t="shared" si="1690"/>
        <v>0</v>
      </c>
      <c r="DB879" s="116">
        <f t="shared" si="1691"/>
        <v>0</v>
      </c>
      <c r="DC879" s="116">
        <f t="shared" si="1692"/>
        <v>0</v>
      </c>
      <c r="DD879" s="116">
        <f t="shared" si="1693"/>
        <v>0</v>
      </c>
      <c r="DE879" s="117">
        <f t="shared" si="1694"/>
        <v>0</v>
      </c>
      <c r="DF879" s="118">
        <f t="shared" si="1696"/>
        <v>52</v>
      </c>
      <c r="DG879" s="106">
        <f t="shared" si="1697"/>
        <v>69.813000000000002</v>
      </c>
      <c r="DH879" s="116">
        <f t="shared" si="1698"/>
        <v>19</v>
      </c>
      <c r="DI879" s="106">
        <f t="shared" si="1699"/>
        <v>81.47</v>
      </c>
      <c r="DJ879" s="201" t="str">
        <f>IF($D877="","",$D877)</f>
        <v>29</v>
      </c>
      <c r="DK879" s="466"/>
    </row>
    <row r="880" spans="1:115" ht="14.5" customHeight="1" x14ac:dyDescent="0.2">
      <c r="A880" s="487">
        <f>$A877+1</f>
        <v>293</v>
      </c>
      <c r="B880" s="506" t="str">
        <f>IF(OR(C880="W",C881="W",C882="W",C880="1/2W",C881="1/2W",C882="1/2W",C880="1/2L",C881="1/2L",C882="1/2L"),"OK",IF(OR(C880="L",C881="L",C882="L"),"LOSS",IF(OR(C880="X",C881="X",C882="X"),"Anulado"," ")))</f>
        <v>OK</v>
      </c>
      <c r="C880" s="147" t="s">
        <v>54</v>
      </c>
      <c r="D880" s="494" t="str">
        <f>IF(G880="","",$D877)</f>
        <v>29</v>
      </c>
      <c r="E880" s="511" t="str">
        <f>IF(G880=""," ","– "&amp;COUNTIF(D$4:D882,$D880))</f>
        <v>– 10</v>
      </c>
      <c r="F880" s="510" t="str">
        <f ca="1">IF(G880="","",IF(OR(AND($C880&lt;&gt;" ",$C881=" "),AND($C881&lt;&gt;" ",$C880=" "),AND(L882&gt;0,OR(AND($C882&lt;&gt;" ",OR($C880=" ",$C881=" ")),AND($C882=" ",OR($C880&lt;&gt;" ",$C881&lt;&gt;" "))))),IF(SUM(F$4:F879)=0,1,LARGE(F$4:F879,1)+1),IF(MONTH(G880)=MONTH(TODAY()),IF(AND(DAY(G880)&lt;DAY(TODAY()),$B880=" "),IF(SUM(F$4:F879)=0,1,LARGE(F$4:F879,1)+1),IF($B880=" ",IF(AND(DAY(G880)=DAY(TODAY()),HOUR(G880)&lt;=HOUR(NOW())+1),IF(AND(HOUR(G880)+2&lt;=HOUR(NOW()),DAY(G880)&lt;=DAY(TODAY()),MINUTE(G880)&lt;=MINUTE(NOW())),IF(SUM(F$4:F879)=0,1,LARGE(F$4:F879,1)+1),IF(OR(MINUTE(G880)&lt;=MINUTE(NOW()),HOUR(G880)&lt;=HOUR(NOW())),"!!!","")),""),"")),"")))</f>
        <v/>
      </c>
      <c r="G880" s="517">
        <v>45017.3125</v>
      </c>
      <c r="H880" s="516" t="s">
        <v>293</v>
      </c>
      <c r="I880" s="222" t="s">
        <v>63</v>
      </c>
      <c r="J880" s="241"/>
      <c r="K880" s="224" t="s">
        <v>37</v>
      </c>
      <c r="L880" s="225">
        <v>1.38</v>
      </c>
      <c r="M880" s="226">
        <v>25.13</v>
      </c>
      <c r="N880" s="503">
        <v>0</v>
      </c>
      <c r="O880" s="153">
        <f>IF(OR(AE880="",AE881=""),"",ROUND(IF(L882&gt;0,IF(M880&gt;0,M880,IF(M881&gt;0,ROUND((M881*AE880)/AE881,IF(N880=0,2,IF(N880=0.1,1,0))),ROUND((M882*AE880)/AE882,IF(N880=0,2,IF(N880=0.1,1,0))))),IF(M880&gt;0,M880,ROUND((M881*AE880)/AE881,IF(N880=0,2,IF(N880=0.1,1,0))))),2))</f>
        <v>25.13</v>
      </c>
      <c r="P880" s="227">
        <f>IF(OR(L880="",O880=""),"",IF($C880="1/2W",O880/2+O880/2*L880,IF($C880="1/2L",O880/2,IF(I880="Lay",(O880*(L880/(L880-1))-O880)*(1-_xlfn.XLOOKUP(K880,'Fevereiro 2023 - Valor Real'!A3:A15,'Fevereiro 2023 - Valor Real'!C3:C15,0))+O880,(O880*L880-O880)*(1-_xlfn.XLOOKUP(K880,'Fevereiro 2023 - Valor Real'!A3:A15,'Fevereiro 2023 - Valor Real'!C3:C15,0))+O880))))</f>
        <v>34.679399999999994</v>
      </c>
      <c r="Q880" s="228">
        <f>IF(K880="","",IF(_xlfn.XLOOKUP(K880,K$4:K879,$DJ$4:DJ879,0,,-1)=DJ880,_xlfn.XLOOKUP(K880,K$4:K879,Q$4:Q879,1,,-1)+1,1))</f>
        <v>5</v>
      </c>
      <c r="R880" s="229">
        <f>IF(K880="","",_xlfn.XLOOKUP(K880,K$4:K879,R$4:R879,0,,-1)+IF($C880=" ",1,0))</f>
        <v>0</v>
      </c>
      <c r="S880" s="501">
        <f>IF($B880="Anulado",0,ROUND(IF(OR($B880="LOSS",$B880="OK"),IF(OR($C880="W",$C880="1/2W",$C880="1/2L"),P880-O880,IF($C880="L",-O880,0))+IF(OR($C881="W",$C881="1/2W",$C881="1/2L"),P881-O881,IF($C881="L",-O881,0))+IF(OR($C882="W",$C882="1/2W",$C882="1/2L"),P882-O882,IF($C882="L",-O882,0)),IF(AND(OR($C880="W",$C880="1/2W",$C880="1/2L"),C881="W"),P880+P881-SUM(O880:O882)+_xlfn.XLOOKUP("X",C880:C882,O880:O882,0),IF(AND(C880=TRUE,C882="W"),P880+P882-SUM(O880:O882),IF(AND(C881="W",C882="W"),P881+P882-SUM(O880:O882)+_xlfn.XLOOKUP("X",C880:C882,O880:O882,0),IF(L882&gt;0,IF(OR($C880="W",$C880="1/2W",$C880="1/2L"),P880-SUM(O880:O882)+_xlfn.XLOOKUP("X",C880:C882,O880:O882,0),IF(OR($C880="W",$C880="1/2W",$C880="1/2L"),P881-SUM(O880:O882)+_xlfn.XLOOKUP("X",C880:C882,O880:O882,0),IF(OR($C880="W",$C880="1/2W",$C880="1/2L"),P882-SUM(O880:O882)+_xlfn.XLOOKUP("X",C880:C882,O880:O882,0),IF(SUM(P880:P882)/3-SUM(O880:O882)+_xlfn.XLOOKUP("X",C880:C882,O880:O882,0)&gt;0,SUM(P880:P882)/3-SUM(O880:O882)+_xlfn.XLOOKUP("X",C880:C882,O880:O882,0),LARGE(P880:P882,1)-SUM(O880:O882))))),IF(OR($C880="W",$C880="1/2W",$C880="1/2L"),P880-SUM(O880:O881)+_xlfn.XLOOKUP("X",C880:C882,O880:O882,0),IF(OR($C880="W",$C880="1/2W",$C880="1/2L"),P881-SUM(O880:O881)+_xlfn.XLOOKUP("X",C880:C882,O880:O882,0),SUM(P880:P881)/2-SUM(O880:O881)+_xlfn.XLOOKUP("X",C880:C882,O880:O882,0)))))))),2))</f>
        <v>1.55</v>
      </c>
      <c r="T880" s="486">
        <f>IF(S880=0,0,S880/SUM(O880:O882))</f>
        <v>4.6785390884394817E-2</v>
      </c>
      <c r="U880" s="496">
        <f>IF($D880=$D877,IF(OR($B880="LOSS",$B880="OK",$B880="Anulada"),S880,0)+U877,IF(OR($B880="LOSS",$B880="OK",$B880="Anulada"),S880,0))</f>
        <v>16.760000000000002</v>
      </c>
      <c r="V880" s="496">
        <f>IF($D880="",0,IF($D880=$D877,IF($B880=" ",IF(I882="",IF(OR(AND(I880="DNB1",I881="DNB2"),AND(OR(I880="DNB1",I880="DNB2"),J881=0),AND(OR(I881="DNB1",I881="DNB2"),J880=0),AND(I880="DNB2",I881="DNB1"),AND(IF(J880=0,(J880+1)/ROUND(J880+1,0),J880/ROUND(J880,0))=1,IF(J881=0,(J881+1)/ROUND(IF(J881="",0,J881)+1,0),IF(J881="",0,J881)/ROUND(IF(J881="",1,J881),0))=1,OR(J880&lt;&gt;""),J881&lt;&gt;"")),0,IF(S880&lt;0,IF(I882="",SMALL(P880:P881,1)-SUM(O880:O881),0),SMALL(P880:P881,1)-SUM(O880:O881))),IF(S880&lt;0,IF(I882="",SMALL(P880:P882,1)-SUM(O880:O882),0),LARGE(P880:P882,1)-SUM(O880:O882))),S880)+V877,IF(I882="",IF(OR(AND(I880="DNB1",I881="DNB2"),AND(OR(I880="DNB1",I880="DNB2"),J881=0),AND(OR(I881="DNB1",I881="DNB2"),J880=0),AND(I880="DNB2",I881="DNB1"),AND(IF(J880=0,(J880+1)/ROUND(J880+1,0),J880/ROUND(J880,0))=1,IF(J881=0,(IF(J881="",0,J881)+1)/ROUND(IF(J881="",0,J881)+1,0),IF(J881="",0,J881)/ROUND(IF(J881="",0,J881)+1,0))=1,OR(J880&lt;&gt;""),J881&lt;&gt;"")),0,IF(S880&lt;0,IF(I882="",SMALL(P880:P881,1)-SUM(O880:O881),0),SMALL(P880:P882,1)-SUM(O880:O882))),IF(S880&lt;0,IF(I882="",SMALL(P880:P882,1)-SUM(O880:O882),0),LARGE(P880:P882,1)-SUM(O880:O882)))))</f>
        <v>16.756200000000003</v>
      </c>
      <c r="W880" s="496">
        <f>IF($D880=$D877,IF(S880&lt;0,IF(I882="",S880,0),S880)+W877,S880)</f>
        <v>16.760000000000002</v>
      </c>
      <c r="X880" s="505" t="str">
        <f>IF(OR(SUM(R880:R882)=0,V880=W880),ROUND(IF(W880=0,0,W880/Y880)*100,2)&amp;"%",ROUND(IF(V880=0,0,V880/Y880)*100,2)&amp;"% a "&amp;ROUND(IF(W880=0,0,W880/Y880)*100,2)&amp;"%")</f>
        <v>6,1%</v>
      </c>
      <c r="Y880" s="497">
        <f>IF($D880=$D877,Y877+SUM(O880:O882),SUM(O880:O882))</f>
        <v>274.90999999999997</v>
      </c>
      <c r="Z880" s="496">
        <f>IF($B880=" ",SUM(O880:O882),0)+Z877</f>
        <v>0</v>
      </c>
      <c r="AA880" s="496">
        <f>IF(G880="","",IF($B880="Anulado",LARGE(P880:P882,1)-SUM(O880:O882)+AA877,AA877))</f>
        <v>13.381099999999991</v>
      </c>
      <c r="AB880" s="496">
        <f>IF($D880="","",AB877+S880)</f>
        <v>1000.450000000001</v>
      </c>
      <c r="AC880" s="499">
        <f ca="1">IF($D880="","",IF($B880=" ",IF(DAY(G880)=DAY(TODAY()),1+AC877,0+AC877),0+AC877))</f>
        <v>0</v>
      </c>
      <c r="AD880" s="157">
        <f>(((L881/(L881-1)-1)*(1-_xlfn.XLOOKUP(K881,'Fevereiro 2023 - Valor Real'!A3:A15,'Fevereiro 2023 - Valor Real'!C3:C15,0))+1))/(((L880-1)*(1-_xlfn.XLOOKUP(K880,'Fevereiro 2023 - Valor Real'!A3:A15,'Fevereiro 2023 - Valor Real'!C3:C15,0))+1)+((L881/(L881-1)-1)*(1-_xlfn.XLOOKUP(K881,'Fevereiro 2023 - Valor Real'!A3:A15,'Fevereiro 2023 - Valor Real'!C3:C15,0))+1))</f>
        <v>0.48508039146760051</v>
      </c>
      <c r="AE880" s="158">
        <f>IF(L880="","",IF(L882&gt;0,(SUM(((L880-1)*(1-_xlfn.XLOOKUP(K880,'Fevereiro 2023 - Valor Real'!A3:A15,'Fevereiro 2023 - Valor Real'!C3:C15,0))+1),((L881-1)*(1-_xlfn.XLOOKUP(K881,'Fevereiro 2023 - Valor Real'!A3:A15,'Fevereiro 2023 - Valor Real'!C3:C15,0))+1),((L882-1)*(1-_xlfn.XLOOKUP(K882,'Fevereiro 2023 - Valor Real'!A3:A15,'Fevereiro 2023 - Valor Real'!C3:C15,0))+1))/((L880-1)*(1-_xlfn.XLOOKUP(K880,'Fevereiro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Real'!C3:C15,0))+1))/((L880-1)*(1-_xlfn.XLOOKUP(K880,'Fevereiro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Real'!C3:C15,0))+1))/((L881-1)*(1-_xlfn.XLOOKUP(K881,'Fevereiro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Real'!C3:C15,0))+1))/((L882-1)*(1-_xlfn.XLOOKUP(K882,'Fevereiro 2023 - Valor Real'!A3:A15,'Fevereiro 2023 - Valor Real'!C3:C15,0))+1)),IF(I880="Lay",IF(I881="Lay",((L881/(L881-1)-1)*(1-_xlfn.XLOOKUP(K881,'Fevereiro 2023 - Valor Real'!A3:A15,'Fevereiro 2023 - Valor Real'!C3:C15,0))+1)/(((L881/(L881-1)-1)*(1-_xlfn.XLOOKUP(K881,'Fevereiro 2023 - Valor Real'!A3:A15,'Fevereiro 2023 - Valor Real'!C3:C15,0))+1)+((L880/(L880-1)-1)*(1-_xlfn.XLOOKUP(K880,'Fevereiro 2023 - Valor Real'!A3:A15,'Fevereiro 2023 - Valor Real'!C3:C15,0))+1)),((L881-1)*(1-_xlfn.XLOOKUP(K881,'Fevereiro 2023 - Valor Real'!A3:A15,'Fevereiro 2023 - Valor Real'!C3:C15,0))+1)/(((L881-1)*(1-_xlfn.XLOOKUP(K881,'Fevereiro 2023 - Valor Real'!A3:A15,'Fevereiro 2023 - Valor Real'!C3:C15,0))+1)+((L880/(L880-1)-1)*(1-_xlfn.XLOOKUP(K880,'Fevereiro 2023 - Valor Real'!A3:A15,'Fevereiro 2023 - Valor Real'!C3:C15,0))+1))),IF(I881="Lay",(((L881/(L881-1)-1)*(1-_xlfn.XLOOKUP(K881,'Fevereiro 2023 - Valor Real'!A3:A15,'Fevereiro 2023 - Valor Real'!C3:C15,0))+1))/(((L880-1)*(1-_xlfn.XLOOKUP(K880,'Fevereiro 2023 - Valor Real'!A3:A15,'Fevereiro 2023 - Valor Real'!C3:C15,0))+1)+((L881/(L881-1)-1)*(1-_xlfn.XLOOKUP(K881,'Fevereiro 2023 - Valor Real'!A3:A15,'Fevereiro 2023 - Valor Real'!C3:C15,0))+1)),((L881-1)*(1-_xlfn.XLOOKUP(K881,'Fevereiro 2023 - Valor Real'!A3:A15,'Fevereiro 2023 - Valor Real'!C3:C15,0))+1)/(((L881-1)*(1-_xlfn.XLOOKUP(K881,'Fevereiro 2023 - Valor Real'!A3:A15,'Fevereiro 2023 - Valor Real'!C3:C15,0))+1)+((L880-1)*(1-_xlfn.XLOOKUP(K880,'Fevereiro 2023 - Valor Real'!A3:A15,'Fevereiro 2023 - Valor Real'!C3:C15,0))+1))))))</f>
        <v>0.75844565027131106</v>
      </c>
      <c r="AF880" s="66">
        <f t="shared" si="1754"/>
        <v>0</v>
      </c>
      <c r="AG880" s="67">
        <f t="shared" si="1754"/>
        <v>9.5500000000000007</v>
      </c>
      <c r="AH880" s="67">
        <f t="shared" si="1754"/>
        <v>0</v>
      </c>
      <c r="AI880" s="67">
        <f t="shared" si="1754"/>
        <v>0</v>
      </c>
      <c r="AJ880" s="67">
        <f t="shared" si="1754"/>
        <v>0</v>
      </c>
      <c r="AK880" s="67">
        <f t="shared" si="1754"/>
        <v>0</v>
      </c>
      <c r="AL880" s="67">
        <f t="shared" si="1754"/>
        <v>0</v>
      </c>
      <c r="AM880" s="67">
        <f t="shared" si="1754"/>
        <v>0</v>
      </c>
      <c r="AN880" s="67">
        <f t="shared" si="1754"/>
        <v>0</v>
      </c>
      <c r="AO880" s="67">
        <f t="shared" si="1754"/>
        <v>0</v>
      </c>
      <c r="AP880" s="67">
        <f t="shared" si="1754"/>
        <v>0</v>
      </c>
      <c r="AQ880" s="67">
        <f t="shared" si="1754"/>
        <v>0</v>
      </c>
      <c r="AR880" s="68">
        <f t="shared" si="1754"/>
        <v>0</v>
      </c>
      <c r="AS880" s="66">
        <f t="shared" ref="AS880:BE880" si="1764">IF(AND($B880=" ",$K880=AS$3),$O880,0)</f>
        <v>0</v>
      </c>
      <c r="AT880" s="67">
        <f t="shared" si="1764"/>
        <v>0</v>
      </c>
      <c r="AU880" s="67">
        <f t="shared" si="1764"/>
        <v>0</v>
      </c>
      <c r="AV880" s="67">
        <f t="shared" si="1764"/>
        <v>0</v>
      </c>
      <c r="AW880" s="67">
        <f t="shared" si="1764"/>
        <v>0</v>
      </c>
      <c r="AX880" s="67">
        <f t="shared" si="1764"/>
        <v>0</v>
      </c>
      <c r="AY880" s="69">
        <f t="shared" si="1764"/>
        <v>0</v>
      </c>
      <c r="AZ880" s="70">
        <f t="shared" si="1764"/>
        <v>0</v>
      </c>
      <c r="BA880" s="70">
        <f t="shared" si="1764"/>
        <v>0</v>
      </c>
      <c r="BB880" s="70">
        <f t="shared" si="1764"/>
        <v>0</v>
      </c>
      <c r="BC880" s="71">
        <f t="shared" si="1764"/>
        <v>0</v>
      </c>
      <c r="BD880" s="67">
        <f t="shared" si="1764"/>
        <v>0</v>
      </c>
      <c r="BE880" s="68">
        <f t="shared" si="1764"/>
        <v>0</v>
      </c>
      <c r="BF880" s="230">
        <f t="shared" si="1756"/>
        <v>0</v>
      </c>
      <c r="BG880" s="67">
        <f t="shared" si="1756"/>
        <v>25.13</v>
      </c>
      <c r="BH880" s="67">
        <f t="shared" si="1756"/>
        <v>0</v>
      </c>
      <c r="BI880" s="67">
        <f t="shared" si="1756"/>
        <v>0</v>
      </c>
      <c r="BJ880" s="67">
        <f t="shared" si="1756"/>
        <v>0</v>
      </c>
      <c r="BK880" s="67">
        <f t="shared" si="1756"/>
        <v>0</v>
      </c>
      <c r="BL880" s="67">
        <f t="shared" si="1756"/>
        <v>0</v>
      </c>
      <c r="BM880" s="69">
        <f t="shared" si="1756"/>
        <v>0</v>
      </c>
      <c r="BN880" s="70">
        <f t="shared" si="1756"/>
        <v>0</v>
      </c>
      <c r="BO880" s="70">
        <f t="shared" si="1756"/>
        <v>0</v>
      </c>
      <c r="BP880" s="70">
        <f t="shared" si="1756"/>
        <v>0</v>
      </c>
      <c r="BQ880" s="71">
        <f t="shared" si="1756"/>
        <v>0</v>
      </c>
      <c r="BR880" s="68">
        <f t="shared" si="1756"/>
        <v>0</v>
      </c>
      <c r="BS880" s="490">
        <f>IF($B880="LOSS",IF(AND($K880=BS$3,$C880="L"),-$O880,0)+IF(AND($K881=BS$3,$C881="L"),-$O881,0)+IF(AND($K882=BS$3,$C882="L"),-$O882,0),IF(OR(AND($K880=BS$3,OR($C880="W",$C880="1/2W")),AND($K881=BS$3,OR($C881="W",$C881="1/2W")),AND($K882=BS$3,OR($C882="W",$C882="1/2W"))),$S880,0))</f>
        <v>0</v>
      </c>
      <c r="BT880" s="488">
        <f>IF($B880="LOSS",IF(AND($K880=BT$3,$C880="L"),-$O880,0)+IF(AND($K881=BT$3,$C881="L"),-$O881,0)+IF(AND($K881=BT$3,$C882="L"),-$O882,0),IF(OR(AND($K881=BT$3,OR($C880="W",$C880="1/2W")),AND($K881=BT$3,OR($C881="W",$C881="1/2W")),AND($K881=BT$3,OR($C882="W",$C882="1/2W"))),$S880,0))</f>
        <v>0</v>
      </c>
      <c r="BU880" s="488">
        <f>IF($B880="LOSS",IF(AND($K880=BU$3,$C880="L"),-$O880,0)+IF(AND($K881=BU$3,$C881="L"),-$O881,0)+IF(AND($K881=BU$3,$C882="L"),-$O882,0),IF(OR(AND($K881=BU$3,OR($C880="W",$C880="1/2W")),AND($K881=BU$3,OR($C881="W",$C881="1/2W")),AND($K881=BU$3,OR($C882="W",$C882="1/2W"))),$S880,0))</f>
        <v>0</v>
      </c>
      <c r="BV880" s="488">
        <f t="shared" ref="BV880:CE880" si="1765">IF($B880="LOSS",IF(AND($K880=BV$3,$C880="L"),-$O880,0)+IF(AND($K881=BV$3,$C881="L"),-$O881,0)+IF(AND($K882=BV$3,$C882="L"),-$O882,0),IF(OR(AND($K880=BV$3,OR($C880="W",$C880="1/2W")),AND($K881=BV$3,OR($C881="W",$C881="1/2W")),AND($K882=BV$3,OR($C882="W",$C882="1/2W"))),$S880,0))</f>
        <v>0</v>
      </c>
      <c r="BW880" s="488">
        <f t="shared" si="1765"/>
        <v>0</v>
      </c>
      <c r="BX880" s="488">
        <f t="shared" si="1765"/>
        <v>0</v>
      </c>
      <c r="BY880" s="488">
        <f t="shared" si="1765"/>
        <v>0</v>
      </c>
      <c r="BZ880" s="498">
        <f t="shared" si="1765"/>
        <v>0</v>
      </c>
      <c r="CA880" s="498">
        <f t="shared" si="1765"/>
        <v>0</v>
      </c>
      <c r="CB880" s="498">
        <f t="shared" si="1765"/>
        <v>0</v>
      </c>
      <c r="CC880" s="498">
        <f t="shared" si="1765"/>
        <v>0</v>
      </c>
      <c r="CD880" s="500">
        <f t="shared" si="1765"/>
        <v>0</v>
      </c>
      <c r="CE880" s="504">
        <f t="shared" si="1765"/>
        <v>0</v>
      </c>
      <c r="CF880" s="160">
        <f t="shared" si="1669"/>
        <v>0</v>
      </c>
      <c r="CG880" s="161">
        <f t="shared" si="1670"/>
        <v>0</v>
      </c>
      <c r="CH880" s="161">
        <f t="shared" si="1671"/>
        <v>1</v>
      </c>
      <c r="CI880" s="161">
        <f t="shared" si="1672"/>
        <v>0</v>
      </c>
      <c r="CJ880" s="161">
        <f t="shared" si="1673"/>
        <v>0</v>
      </c>
      <c r="CK880" s="161">
        <f t="shared" si="1674"/>
        <v>0</v>
      </c>
      <c r="CL880" s="161">
        <f t="shared" si="1675"/>
        <v>0</v>
      </c>
      <c r="CM880" s="161">
        <f t="shared" si="1676"/>
        <v>0</v>
      </c>
      <c r="CN880" s="161">
        <f t="shared" si="1677"/>
        <v>0</v>
      </c>
      <c r="CO880" s="161">
        <f t="shared" si="1678"/>
        <v>0</v>
      </c>
      <c r="CP880" s="161">
        <f t="shared" si="1679"/>
        <v>0</v>
      </c>
      <c r="CQ880" s="161">
        <f t="shared" si="1680"/>
        <v>0</v>
      </c>
      <c r="CR880" s="161">
        <f t="shared" si="1681"/>
        <v>0</v>
      </c>
      <c r="CS880" s="161">
        <f t="shared" si="1682"/>
        <v>0</v>
      </c>
      <c r="CT880" s="75">
        <f t="shared" si="1683"/>
        <v>0</v>
      </c>
      <c r="CU880" s="76">
        <f t="shared" si="1684"/>
        <v>0</v>
      </c>
      <c r="CV880" s="76">
        <f t="shared" si="1685"/>
        <v>0</v>
      </c>
      <c r="CW880" s="76">
        <f t="shared" si="1686"/>
        <v>0</v>
      </c>
      <c r="CX880" s="76">
        <f t="shared" si="1687"/>
        <v>0</v>
      </c>
      <c r="CY880" s="76">
        <f t="shared" si="1688"/>
        <v>0</v>
      </c>
      <c r="CZ880" s="76">
        <f t="shared" si="1689"/>
        <v>0</v>
      </c>
      <c r="DA880" s="76">
        <f t="shared" si="1690"/>
        <v>0</v>
      </c>
      <c r="DB880" s="76">
        <f t="shared" si="1691"/>
        <v>0</v>
      </c>
      <c r="DC880" s="76">
        <f t="shared" si="1692"/>
        <v>0</v>
      </c>
      <c r="DD880" s="76">
        <f t="shared" si="1693"/>
        <v>0</v>
      </c>
      <c r="DE880" s="77">
        <f t="shared" si="1694"/>
        <v>0</v>
      </c>
      <c r="DF880" s="73">
        <f t="shared" si="1696"/>
        <v>53</v>
      </c>
      <c r="DG880" s="67">
        <f t="shared" si="1697"/>
        <v>71.192999999999998</v>
      </c>
      <c r="DH880" s="76">
        <f t="shared" si="1698"/>
        <v>19</v>
      </c>
      <c r="DI880" s="67">
        <f t="shared" si="1699"/>
        <v>81.47</v>
      </c>
      <c r="DJ880" s="202" t="str">
        <f>IF($D880="","",$D880)</f>
        <v>29</v>
      </c>
      <c r="DK880" s="492">
        <f>IF(AND($B880=" ",$D880&lt;&gt;""),1,0)</f>
        <v>0</v>
      </c>
    </row>
    <row r="881" spans="1:115" ht="14.5" customHeight="1" x14ac:dyDescent="0.2">
      <c r="A881" s="389"/>
      <c r="B881" s="456"/>
      <c r="C881" s="53" t="s">
        <v>55</v>
      </c>
      <c r="D881" s="374"/>
      <c r="E881" s="386"/>
      <c r="F881" s="377"/>
      <c r="G881" s="483"/>
      <c r="H881" s="476"/>
      <c r="I881" s="55" t="s">
        <v>61</v>
      </c>
      <c r="J881" s="242" t="str">
        <f>IF(OR(I880="TO",I880="TU",I880="TO1",I880="TU1",I880="TO2",I880="TU2"),J880,IF(OR(I880="AH1",I880="AH2"),IF(OR(I881="AH1",I881="AH2"),-J880,IF(OR(I881="EH1",I881="EH2"),-J880+0.5,"")),IF(OR(I880="EH1",I880="EH2"),IF(OR(I881="AH1",I881="AH2"),-J880+0.5,IF(OR(I881="EH1",I881="EH2"),-J880+1,"")),IF(AND(OR(I880="DNB1",I880="DNB2"),OR(I881="AH1",I881="AH2")),0,IF(AND(I880="Not ScoreBoth",OR(I881="TO1",I881="TO2")),0.5,"")))))</f>
        <v/>
      </c>
      <c r="K881" s="232" t="s">
        <v>36</v>
      </c>
      <c r="L881" s="58">
        <v>4.3330000000000002</v>
      </c>
      <c r="M881" s="59"/>
      <c r="N881" s="406"/>
      <c r="O881" s="60">
        <f>IF(OR(AE880="",AE881=""),"",ROUND(IF(L882&gt;0,IF(M881&gt;0,M881,IF(M880&gt;0,IF(N880=TRUE,ROUND((M880*AE881)/AE880,0),(M880*AE881)/AE880),IF(M881&gt;0,ROUND(M881,IF(N880=0,2,IF(N880=0.1,1,0))),IF(M882&gt;0,ROUND(O882*AE881/AE882,IF(N880=0,2,IF(N880=0.1,1,0))),0)))),IF(M881&gt;0,M881,ROUND((M880*AE881)/AE880,IF(N880=0,2,IF(N880=0.1,1,0))))),2))</f>
        <v>8</v>
      </c>
      <c r="P881" s="61">
        <f>IF(OR(L881="",O881=""),"",IF($C881="1/2W",O881/2+O881/2*L881,IF($C881="1/2L",O881/2,IF(I881="Lay",((O881*(L881/(L881-1)))-O881)*(1-_xlfn.XLOOKUP(K881,'Fevereiro 2023 - Valor Real'!A3:A15,'Fevereiro 2023 - Valor Real'!C3:C15,0))+O881,(O881*L881-O881)*(1-_xlfn.XLOOKUP(K881,'Fevereiro 2023 - Valor Real'!A3:A15,'Fevereiro 2023 - Valor Real'!C3:C15,0))+O881))))</f>
        <v>34.664000000000001</v>
      </c>
      <c r="Q881" s="233">
        <f>IF(K881="","",IF(_xlfn.XLOOKUP(K881,K$4:K880,$DJ$4:DJ880,0,,-1)=DJ881,_xlfn.XLOOKUP(K881,K$4:K880,Q$4:Q880,1,,-1)+1,1))</f>
        <v>5</v>
      </c>
      <c r="R881" s="234">
        <f>IF(K881="","",_xlfn.XLOOKUP(K881,K$4:K880,R$4:R880,0,,-1)+IF($C881=" ",1,0))</f>
        <v>0</v>
      </c>
      <c r="S881" s="403"/>
      <c r="T881" s="380"/>
      <c r="U881" s="380"/>
      <c r="V881" s="481"/>
      <c r="W881" s="380"/>
      <c r="X881" s="452"/>
      <c r="Y881" s="383"/>
      <c r="Z881" s="384"/>
      <c r="AA881" s="384"/>
      <c r="AB881" s="384"/>
      <c r="AC881" s="384"/>
      <c r="AD881" s="64">
        <f>(((L881/(L881-1)-1)*(1-_xlfn.XLOOKUP(K881,'Fevereiro 2023 - Valor Real'!A3:A15,'Fevereiro 2023 - Valor Real'!C3:C15,0))+1))</f>
        <v>1.3000300030003</v>
      </c>
      <c r="AE881" s="65">
        <f>IF(L881="","",IF(L882&gt;0,(SUM(((L880-1)*(1-_xlfn.XLOOKUP(K880,'Fevereiro 2023 - Valor Real'!A3:A15,'Fevereiro 2023 - Valor Real'!C3:C15,0))+1),((L881-1)*(1-_xlfn.XLOOKUP(K881,'Fevereiro 2023 - Valor Real'!A3:A15,'Fevereiro 2023 - Valor Real'!C3:C15,0))+1),((L882-1)*(1-_xlfn.XLOOKUP(K882,'Fevereiro 2023 - Valor Real'!A3:A15,'Fevereiro 2023 - Valor Real'!C3:C15,0))+1))/((L881-1)*(1-_xlfn.XLOOKUP(K881,'Fevereiro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Real'!C3:C15,0))+1))/((L880-1)*(1-_xlfn.XLOOKUP(K880,'Fevereiro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Real'!C3:C15,0))+1))/((L881-1)*(1-_xlfn.XLOOKUP(K881,'Fevereiro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Real'!C3:C15,0))+1))/((L882-1)*(1-_xlfn.XLOOKUP(K882,'Fevereiro 2023 - Valor Real'!A3:A15,'Fevereiro 2023 - Valor Real'!C3:C15,0))+1)),IF(I881="Lay",IF(I880="Lay",((L880/(L880-1)-1)*(1-_xlfn.XLOOKUP(K880,'Fevereiro 2023 - Valor Real'!A3:A15,'Fevereiro 2023 - Valor Real'!C3:C15,0))+1)/(((L880/(L880-1)-1)*(1-_xlfn.XLOOKUP(K880,'Fevereiro 2023 - Valor Real'!A3:A15,'Fevereiro 2023 - Valor Real'!C3:C15,0))+1)+((L881/(L881-1)-1)*(1-_xlfn.XLOOKUP(K881,'Fevereiro 2023 - Valor Real'!A3:A15,'Fevereiro 2023 - Valor Real'!C3:C15,0))+1)),((L880-1)*(1-_xlfn.XLOOKUP(K880,'Fevereiro 2023 - Valor Real'!A3:A15,'Fevereiro 2023 - Valor Real'!C3:C15,0))+1)/(((L880-1)*(1-_xlfn.XLOOKUP(K880,'Fevereiro 2023 - Valor Real'!A3:A15,'Fevereiro 2023 - Valor Real'!C3:C15,0))+1)+((L881/(L881-1)-1)*(1-_xlfn.XLOOKUP(K881,'Fevereiro 2023 - Valor Real'!A3:A15,'Fevereiro 2023 - Valor Real'!C3:C15,0))+1))),IF(I880="Lay",((L880/(L880-1)-1)*(1-_xlfn.XLOOKUP(K880,'Fevereiro 2023 - Valor Real'!A3:A15,'Fevereiro 2023 - Valor Real'!C3:C15,0))+1)/((((L880/(L880-1)-1)*(1-_xlfn.XLOOKUP(K880,'Fevereiro 2023 - Valor Real'!A3:A15,'Fevereiro 2023 - Valor Real'!C3:C15,0))+1))+((L881-1)*(1-_xlfn.XLOOKUP(K881,'Fevereiro 2023 - Valor Real'!A3:A15,'Fevereiro 2023 - Valor Real'!C3:C15,0))+1)),((L880-1)*(1-_xlfn.XLOOKUP(K880,'Fevereiro 2023 - Valor Real'!A3:A15,'Fevereiro 2023 - Valor Real'!C3:C15,0))+1)/(((L880-1)*(1-_xlfn.XLOOKUP(K880,'Fevereiro 2023 - Valor Real'!A3:A15,'Fevereiro 2023 - Valor Real'!C3:C15,0))+1)+((L881-1)*(1-_xlfn.XLOOKUP(K881,'Fevereiro 2023 - Valor Real'!A3:A15,'Fevereiro 2023 - Valor Real'!C3:C15,0))+1))))))</f>
        <v>0.24155434972868894</v>
      </c>
      <c r="AF881" s="66">
        <f t="shared" si="1754"/>
        <v>-8</v>
      </c>
      <c r="AG881" s="67">
        <f t="shared" si="1754"/>
        <v>0</v>
      </c>
      <c r="AH881" s="67">
        <f t="shared" si="1754"/>
        <v>0</v>
      </c>
      <c r="AI881" s="67">
        <f t="shared" si="1754"/>
        <v>0</v>
      </c>
      <c r="AJ881" s="67">
        <f t="shared" si="1754"/>
        <v>0</v>
      </c>
      <c r="AK881" s="67">
        <f t="shared" si="1754"/>
        <v>0</v>
      </c>
      <c r="AL881" s="67">
        <f t="shared" si="1754"/>
        <v>0</v>
      </c>
      <c r="AM881" s="67">
        <f t="shared" si="1754"/>
        <v>0</v>
      </c>
      <c r="AN881" s="67">
        <f t="shared" si="1754"/>
        <v>0</v>
      </c>
      <c r="AO881" s="67">
        <f t="shared" si="1754"/>
        <v>0</v>
      </c>
      <c r="AP881" s="67">
        <f t="shared" si="1754"/>
        <v>0</v>
      </c>
      <c r="AQ881" s="67">
        <f t="shared" si="1754"/>
        <v>0</v>
      </c>
      <c r="AR881" s="68">
        <f t="shared" si="1754"/>
        <v>0</v>
      </c>
      <c r="AS881" s="66">
        <f>IF(AND($B880=" ",$K881=AS$3),$O881,0)</f>
        <v>0</v>
      </c>
      <c r="AT881" s="67">
        <f>IF(AND($B880=" ",K881=AT$3),$O881,0)</f>
        <v>0</v>
      </c>
      <c r="AU881" s="67">
        <f t="shared" ref="AU881:BE881" si="1766">IF(AND($B880=" ",$K881=AU$3),$O881,0)</f>
        <v>0</v>
      </c>
      <c r="AV881" s="67">
        <f t="shared" si="1766"/>
        <v>0</v>
      </c>
      <c r="AW881" s="67">
        <f t="shared" si="1766"/>
        <v>0</v>
      </c>
      <c r="AX881" s="67">
        <f t="shared" si="1766"/>
        <v>0</v>
      </c>
      <c r="AY881" s="69">
        <f t="shared" si="1766"/>
        <v>0</v>
      </c>
      <c r="AZ881" s="70">
        <f t="shared" si="1766"/>
        <v>0</v>
      </c>
      <c r="BA881" s="70">
        <f t="shared" si="1766"/>
        <v>0</v>
      </c>
      <c r="BB881" s="70">
        <f t="shared" si="1766"/>
        <v>0</v>
      </c>
      <c r="BC881" s="71">
        <f t="shared" si="1766"/>
        <v>0</v>
      </c>
      <c r="BD881" s="67">
        <f t="shared" si="1766"/>
        <v>0</v>
      </c>
      <c r="BE881" s="68">
        <f t="shared" si="1766"/>
        <v>0</v>
      </c>
      <c r="BF881" s="66">
        <f t="shared" si="1756"/>
        <v>8</v>
      </c>
      <c r="BG881" s="67">
        <f t="shared" si="1756"/>
        <v>0</v>
      </c>
      <c r="BH881" s="67">
        <f t="shared" si="1756"/>
        <v>0</v>
      </c>
      <c r="BI881" s="67">
        <f t="shared" si="1756"/>
        <v>0</v>
      </c>
      <c r="BJ881" s="67">
        <f t="shared" si="1756"/>
        <v>0</v>
      </c>
      <c r="BK881" s="67">
        <f t="shared" si="1756"/>
        <v>0</v>
      </c>
      <c r="BL881" s="67">
        <f t="shared" si="1756"/>
        <v>0</v>
      </c>
      <c r="BM881" s="235">
        <f t="shared" si="1756"/>
        <v>0</v>
      </c>
      <c r="BN881" s="159">
        <f t="shared" si="1756"/>
        <v>0</v>
      </c>
      <c r="BO881" s="159">
        <f t="shared" si="1756"/>
        <v>0</v>
      </c>
      <c r="BP881" s="159">
        <f t="shared" si="1756"/>
        <v>0</v>
      </c>
      <c r="BQ881" s="71">
        <f t="shared" si="1756"/>
        <v>0</v>
      </c>
      <c r="BR881" s="68">
        <f t="shared" si="1756"/>
        <v>0</v>
      </c>
      <c r="BS881" s="464"/>
      <c r="BT881" s="461"/>
      <c r="BU881" s="392"/>
      <c r="BV881" s="461"/>
      <c r="BW881" s="392"/>
      <c r="BX881" s="392"/>
      <c r="BY881" s="392"/>
      <c r="BZ881" s="461"/>
      <c r="CA881" s="392"/>
      <c r="CB881" s="392"/>
      <c r="CC881" s="392"/>
      <c r="CD881" s="401"/>
      <c r="CE881" s="409"/>
      <c r="CF881" s="236">
        <f t="shared" si="1669"/>
        <v>0</v>
      </c>
      <c r="CG881" s="237">
        <f t="shared" si="1670"/>
        <v>1</v>
      </c>
      <c r="CH881" s="237">
        <f t="shared" si="1671"/>
        <v>0</v>
      </c>
      <c r="CI881" s="237">
        <f t="shared" si="1672"/>
        <v>0</v>
      </c>
      <c r="CJ881" s="237">
        <f t="shared" si="1673"/>
        <v>0</v>
      </c>
      <c r="CK881" s="237">
        <f t="shared" si="1674"/>
        <v>0</v>
      </c>
      <c r="CL881" s="237">
        <f t="shared" si="1675"/>
        <v>0</v>
      </c>
      <c r="CM881" s="237">
        <f t="shared" si="1676"/>
        <v>0</v>
      </c>
      <c r="CN881" s="237">
        <f t="shared" si="1677"/>
        <v>0</v>
      </c>
      <c r="CO881" s="237">
        <f t="shared" si="1678"/>
        <v>0</v>
      </c>
      <c r="CP881" s="237">
        <f t="shared" si="1679"/>
        <v>0</v>
      </c>
      <c r="CQ881" s="237">
        <f t="shared" si="1680"/>
        <v>0</v>
      </c>
      <c r="CR881" s="237">
        <f t="shared" si="1681"/>
        <v>0</v>
      </c>
      <c r="CS881" s="237">
        <f t="shared" si="1682"/>
        <v>0</v>
      </c>
      <c r="CT881" s="75">
        <f t="shared" si="1683"/>
        <v>0</v>
      </c>
      <c r="CU881" s="76">
        <f t="shared" si="1684"/>
        <v>0</v>
      </c>
      <c r="CV881" s="76">
        <f t="shared" si="1685"/>
        <v>0</v>
      </c>
      <c r="CW881" s="76">
        <f t="shared" si="1686"/>
        <v>0</v>
      </c>
      <c r="CX881" s="76">
        <f t="shared" si="1687"/>
        <v>0</v>
      </c>
      <c r="CY881" s="76">
        <f t="shared" si="1688"/>
        <v>0</v>
      </c>
      <c r="CZ881" s="76">
        <f t="shared" si="1689"/>
        <v>0</v>
      </c>
      <c r="DA881" s="76">
        <f t="shared" si="1690"/>
        <v>0</v>
      </c>
      <c r="DB881" s="76">
        <f t="shared" si="1691"/>
        <v>0</v>
      </c>
      <c r="DC881" s="76">
        <f t="shared" si="1692"/>
        <v>0</v>
      </c>
      <c r="DD881" s="76">
        <f t="shared" si="1693"/>
        <v>0</v>
      </c>
      <c r="DE881" s="77">
        <f t="shared" si="1694"/>
        <v>0</v>
      </c>
      <c r="DF881" s="73">
        <f t="shared" si="1696"/>
        <v>53</v>
      </c>
      <c r="DG881" s="67">
        <f t="shared" si="1697"/>
        <v>71.192999999999998</v>
      </c>
      <c r="DH881" s="76">
        <f t="shared" si="1698"/>
        <v>19</v>
      </c>
      <c r="DI881" s="67">
        <f t="shared" si="1699"/>
        <v>81.47</v>
      </c>
      <c r="DJ881" s="202" t="str">
        <f>IF($D880="","",$D880)</f>
        <v>29</v>
      </c>
      <c r="DK881" s="466"/>
    </row>
    <row r="882" spans="1:115" ht="14.5" customHeight="1" x14ac:dyDescent="0.2">
      <c r="A882" s="390"/>
      <c r="B882" s="457"/>
      <c r="C882" s="79" t="s">
        <v>53</v>
      </c>
      <c r="D882" s="375"/>
      <c r="E882" s="387"/>
      <c r="F882" s="378"/>
      <c r="G882" s="484"/>
      <c r="H882" s="477"/>
      <c r="I882" s="82"/>
      <c r="J882" s="83"/>
      <c r="K882" s="90"/>
      <c r="L882" s="84"/>
      <c r="M882" s="85"/>
      <c r="N882" s="407"/>
      <c r="O882" s="86" t="str">
        <f>IF(OR(AE880="",AE881=""),"",IF(L882&gt;0,ROUND(IF(M882&gt;0,M882,IF(M880&gt;0,ROUND((M880*AE882)/AE880,IF(N880=0,2,IF(N880=0.1,1,0))),IF(M881&gt;0,ROUND((M881*AE882)/AE881,IF(N880=0,2,IF(N880=0.1,1,0))),IF(M882&gt;0,M882,0)))),2),""))</f>
        <v/>
      </c>
      <c r="P882" s="87" t="str">
        <f>IF(I881="Lay",O881*(L881/(L881-1))-O881,IF(I880="Lay",O880*(L880/(L880-1))-O880,IF(OR(L882="",O882=""),"",IF($C882="1/2W",O882/2+O882/2*L882,IF($C882="1/2L",O882/2,(O882*L882-O882)*(1-_xlfn.XLOOKUP(K882,'Fevereiro 2023 - Valor Real'!A3:A15,'Fevereiro 2023 - Valor Real'!C3:C15,0))+O882)))))</f>
        <v/>
      </c>
      <c r="Q882" s="238" t="str">
        <f>IF(K882="","",IF(_xlfn.XLOOKUP(K882,K$4:K881,$DJ$4:DJ881,0,,-1)=DJ882,_xlfn.XLOOKUP(K882,K$4:K881,Q$4:Q881,1,,-1)+1,1))</f>
        <v/>
      </c>
      <c r="R882" s="239" t="str">
        <f>IF(K882="","",_xlfn.XLOOKUP(K882,K$4:K881,R$4:R881,0,,-1)+IF($C882=" ",1,0))</f>
        <v/>
      </c>
      <c r="S882" s="404"/>
      <c r="T882" s="378"/>
      <c r="U882" s="378"/>
      <c r="V882" s="404"/>
      <c r="W882" s="378"/>
      <c r="X882" s="453"/>
      <c r="Y882" s="383"/>
      <c r="Z882" s="384"/>
      <c r="AA882" s="384"/>
      <c r="AB882" s="384"/>
      <c r="AC882" s="384"/>
      <c r="AD882" s="240">
        <f>((L881/(L881-1)-1))</f>
        <v>0.30003000300030003</v>
      </c>
      <c r="AE882" s="91" t="str">
        <f>IF(L882="","",(SUM(((L880-1)*(1-_xlfn.XLOOKUP(K880,'Fevereiro 2023 - Valor Real'!A3:A15,'Fevereiro 2023 - Valor Real'!C3:C15,0))+1),((L881-1)*(1-_xlfn.XLOOKUP(K881,'Fevereiro 2023 - Valor Real'!A3:A15,'Fevereiro 2023 - Valor Real'!C3:C15,0))+1),((L882-1)*(1-_xlfn.XLOOKUP(K882,'Fevereiro 2023 - Valor Real'!A3:A15,'Fevereiro 2023 - Valor Real'!C3:C15,0))+1))/((L882-1)*(1-_xlfn.XLOOKUP(K882,'Fevereiro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Real'!C3:C15,0))+1))/((L880-1)*(1-_xlfn.XLOOKUP(K880,'Fevereiro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Real'!C3:C15,0))+1))/((L881-1)*(1-_xlfn.XLOOKUP(K881,'Fevereiro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Real'!C3:C15,0))+1))/((L882-1)*(1-_xlfn.XLOOKUP(K882,'Fevereiro 2023 - Valor Real'!A3:A15,'Fevereiro 2023 - Valor Real'!C3:C15,0))+1)))</f>
        <v/>
      </c>
      <c r="AF882" s="66">
        <f t="shared" si="1754"/>
        <v>0</v>
      </c>
      <c r="AG882" s="67">
        <f t="shared" si="1754"/>
        <v>0</v>
      </c>
      <c r="AH882" s="67">
        <f t="shared" si="1754"/>
        <v>0</v>
      </c>
      <c r="AI882" s="67">
        <f t="shared" si="1754"/>
        <v>0</v>
      </c>
      <c r="AJ882" s="67">
        <f t="shared" si="1754"/>
        <v>0</v>
      </c>
      <c r="AK882" s="67">
        <f t="shared" si="1754"/>
        <v>0</v>
      </c>
      <c r="AL882" s="67">
        <f t="shared" si="1754"/>
        <v>0</v>
      </c>
      <c r="AM882" s="67">
        <f t="shared" si="1754"/>
        <v>0</v>
      </c>
      <c r="AN882" s="67">
        <f t="shared" si="1754"/>
        <v>0</v>
      </c>
      <c r="AO882" s="67">
        <f t="shared" si="1754"/>
        <v>0</v>
      </c>
      <c r="AP882" s="67">
        <f t="shared" si="1754"/>
        <v>0</v>
      </c>
      <c r="AQ882" s="67">
        <f t="shared" si="1754"/>
        <v>0</v>
      </c>
      <c r="AR882" s="68">
        <f t="shared" si="1754"/>
        <v>0</v>
      </c>
      <c r="AS882" s="66">
        <f>IF(AND($B880=" ",$K882=AS$3),$O882,0)</f>
        <v>0</v>
      </c>
      <c r="AT882" s="67">
        <f>IF(AND($B880=" ",K882=AT$3),$O882,0)</f>
        <v>0</v>
      </c>
      <c r="AU882" s="67">
        <f t="shared" ref="AU882:BE882" si="1767">IF(AND($B880=" ",$K882=AU$3),$O882,0)</f>
        <v>0</v>
      </c>
      <c r="AV882" s="67">
        <f t="shared" si="1767"/>
        <v>0</v>
      </c>
      <c r="AW882" s="67">
        <f t="shared" si="1767"/>
        <v>0</v>
      </c>
      <c r="AX882" s="67">
        <f t="shared" si="1767"/>
        <v>0</v>
      </c>
      <c r="AY882" s="69">
        <f t="shared" si="1767"/>
        <v>0</v>
      </c>
      <c r="AZ882" s="70">
        <f t="shared" si="1767"/>
        <v>0</v>
      </c>
      <c r="BA882" s="70">
        <f t="shared" si="1767"/>
        <v>0</v>
      </c>
      <c r="BB882" s="70">
        <f t="shared" si="1767"/>
        <v>0</v>
      </c>
      <c r="BC882" s="71">
        <f t="shared" si="1767"/>
        <v>0</v>
      </c>
      <c r="BD882" s="67">
        <f t="shared" si="1767"/>
        <v>0</v>
      </c>
      <c r="BE882" s="68">
        <f t="shared" si="1767"/>
        <v>0</v>
      </c>
      <c r="BF882" s="66">
        <f t="shared" si="1756"/>
        <v>0</v>
      </c>
      <c r="BG882" s="67">
        <f t="shared" si="1756"/>
        <v>0</v>
      </c>
      <c r="BH882" s="67">
        <f t="shared" si="1756"/>
        <v>0</v>
      </c>
      <c r="BI882" s="67">
        <f t="shared" si="1756"/>
        <v>0</v>
      </c>
      <c r="BJ882" s="67">
        <f t="shared" si="1756"/>
        <v>0</v>
      </c>
      <c r="BK882" s="67">
        <f t="shared" si="1756"/>
        <v>0</v>
      </c>
      <c r="BL882" s="67">
        <f t="shared" si="1756"/>
        <v>0</v>
      </c>
      <c r="BM882" s="69">
        <f t="shared" si="1756"/>
        <v>0</v>
      </c>
      <c r="BN882" s="70">
        <f t="shared" si="1756"/>
        <v>0</v>
      </c>
      <c r="BO882" s="70">
        <f t="shared" si="1756"/>
        <v>0</v>
      </c>
      <c r="BP882" s="70">
        <f t="shared" si="1756"/>
        <v>0</v>
      </c>
      <c r="BQ882" s="71">
        <f t="shared" si="1756"/>
        <v>0</v>
      </c>
      <c r="BR882" s="68">
        <f t="shared" si="1756"/>
        <v>0</v>
      </c>
      <c r="BS882" s="464"/>
      <c r="BT882" s="461"/>
      <c r="BU882" s="392"/>
      <c r="BV882" s="461"/>
      <c r="BW882" s="392"/>
      <c r="BX882" s="392"/>
      <c r="BY882" s="392"/>
      <c r="BZ882" s="461"/>
      <c r="CA882" s="392"/>
      <c r="CB882" s="392"/>
      <c r="CC882" s="392"/>
      <c r="CD882" s="401"/>
      <c r="CE882" s="409"/>
      <c r="CF882" s="236">
        <f t="shared" si="1669"/>
        <v>0</v>
      </c>
      <c r="CG882" s="237">
        <f t="shared" si="1670"/>
        <v>0</v>
      </c>
      <c r="CH882" s="237">
        <f t="shared" si="1671"/>
        <v>0</v>
      </c>
      <c r="CI882" s="237">
        <f t="shared" si="1672"/>
        <v>0</v>
      </c>
      <c r="CJ882" s="237">
        <f t="shared" si="1673"/>
        <v>0</v>
      </c>
      <c r="CK882" s="237">
        <f t="shared" si="1674"/>
        <v>0</v>
      </c>
      <c r="CL882" s="237">
        <f t="shared" si="1675"/>
        <v>0</v>
      </c>
      <c r="CM882" s="237">
        <f t="shared" si="1676"/>
        <v>0</v>
      </c>
      <c r="CN882" s="237">
        <f t="shared" si="1677"/>
        <v>0</v>
      </c>
      <c r="CO882" s="237">
        <f t="shared" si="1678"/>
        <v>0</v>
      </c>
      <c r="CP882" s="237">
        <f t="shared" si="1679"/>
        <v>0</v>
      </c>
      <c r="CQ882" s="237">
        <f t="shared" si="1680"/>
        <v>0</v>
      </c>
      <c r="CR882" s="237">
        <f t="shared" si="1681"/>
        <v>0</v>
      </c>
      <c r="CS882" s="237">
        <f t="shared" si="1682"/>
        <v>0</v>
      </c>
      <c r="CT882" s="75">
        <f t="shared" si="1683"/>
        <v>0</v>
      </c>
      <c r="CU882" s="76">
        <f t="shared" si="1684"/>
        <v>0</v>
      </c>
      <c r="CV882" s="76">
        <f t="shared" si="1685"/>
        <v>0</v>
      </c>
      <c r="CW882" s="76">
        <f t="shared" si="1686"/>
        <v>0</v>
      </c>
      <c r="CX882" s="76">
        <f t="shared" si="1687"/>
        <v>0</v>
      </c>
      <c r="CY882" s="76">
        <f t="shared" si="1688"/>
        <v>0</v>
      </c>
      <c r="CZ882" s="76">
        <f t="shared" si="1689"/>
        <v>0</v>
      </c>
      <c r="DA882" s="76">
        <f t="shared" si="1690"/>
        <v>0</v>
      </c>
      <c r="DB882" s="76">
        <f t="shared" si="1691"/>
        <v>0</v>
      </c>
      <c r="DC882" s="76">
        <f t="shared" si="1692"/>
        <v>0</v>
      </c>
      <c r="DD882" s="76">
        <f t="shared" si="1693"/>
        <v>0</v>
      </c>
      <c r="DE882" s="77">
        <f t="shared" si="1694"/>
        <v>0</v>
      </c>
      <c r="DF882" s="73">
        <f t="shared" si="1696"/>
        <v>53</v>
      </c>
      <c r="DG882" s="67">
        <f t="shared" si="1697"/>
        <v>71.192999999999998</v>
      </c>
      <c r="DH882" s="76">
        <f t="shared" si="1698"/>
        <v>19</v>
      </c>
      <c r="DI882" s="67">
        <f t="shared" si="1699"/>
        <v>81.47</v>
      </c>
      <c r="DJ882" s="202" t="str">
        <f>IF($D880="","",$D880)</f>
        <v>29</v>
      </c>
      <c r="DK882" s="466"/>
    </row>
    <row r="883" spans="1:115" ht="14.5" customHeight="1" x14ac:dyDescent="0.2">
      <c r="A883" s="459">
        <f>$A880+1</f>
        <v>294</v>
      </c>
      <c r="B883" s="507" t="str">
        <f>IF(OR(C883="W",C884="W",C885="W",C883="1/2W",C884="1/2W",C885="1/2W",C883="1/2L",C884="1/2L",C885="1/2L"),"OK",IF(OR(C883="L",C884="L",C885="L"),"LOSS",IF(OR(C883="X",C884="X",C885="X"),"Anulado"," ")))</f>
        <v>Anulado</v>
      </c>
      <c r="C883" s="93" t="s">
        <v>49</v>
      </c>
      <c r="D883" s="468" t="str">
        <f>IF(G883="","",$D880)</f>
        <v>29</v>
      </c>
      <c r="E883" s="485" t="str">
        <f>IF(G883=""," ","– "&amp;COUNTIF(D$4:D885,$D883))</f>
        <v>– 11</v>
      </c>
      <c r="F883" s="509" t="str">
        <f ca="1">IF(G883="","",IF(OR(AND($C883&lt;&gt;" ",$C884=" "),AND($C884&lt;&gt;" ",$C883=" "),AND(L885&gt;0,OR(AND($C885&lt;&gt;" ",OR($C883=" ",$C884=" ")),AND($C885=" ",OR($C883&lt;&gt;" ",$C884&lt;&gt;" "))))),IF(SUM(F$4:F882)=0,1,LARGE(F$4:F882,1)+1),IF(MONTH(G883)=MONTH(TODAY()),IF(AND(DAY(G883)&lt;DAY(TODAY()),$B883=" "),IF(SUM(F$4:F882)=0,1,LARGE(F$4:F882,1)+1),IF($B883=" ",IF(AND(DAY(G883)=DAY(TODAY()),HOUR(G883)&lt;=HOUR(NOW())+1),IF(AND(HOUR(G883)+2&lt;=HOUR(NOW()),DAY(G883)&lt;=DAY(TODAY()),MINUTE(G883)&lt;=MINUTE(NOW())),IF(SUM(F$4:F882)=0,1,LARGE(F$4:F882,1)+1),IF(OR(MINUTE(G883)&lt;=MINUTE(NOW()),HOUR(G883)&lt;=HOUR(NOW())),"!!!","")),""),"")),"")))</f>
        <v/>
      </c>
      <c r="G883" s="482">
        <v>45018.520833333336</v>
      </c>
      <c r="H883" s="475" t="s">
        <v>294</v>
      </c>
      <c r="I883" s="94" t="s">
        <v>51</v>
      </c>
      <c r="J883" s="95">
        <v>1</v>
      </c>
      <c r="K883" s="96" t="s">
        <v>40</v>
      </c>
      <c r="L883" s="97">
        <v>5</v>
      </c>
      <c r="M883" s="98">
        <v>2.81</v>
      </c>
      <c r="N883" s="478">
        <v>1</v>
      </c>
      <c r="O883" s="99">
        <f>IF(OR(AE883="",AE884=""),"",ROUND(IF(L885&gt;0,IF(M883&gt;0,M883,IF(M884&gt;0,ROUND((M884*AE883)/AE884,IF(N883=0,2,IF(N883=0.1,1,0))),ROUND((M885*AE883)/AE885,IF(N883=0,2,IF(N883=0.1,1,0))))),IF(M883&gt;0,M883,ROUND((M884*AE883)/AE884,IF(N883=0,2,IF(N883=0.1,1,0))))),2))</f>
        <v>2.81</v>
      </c>
      <c r="P883" s="100">
        <f>IF(OR(L883="",O883=""),"",IF($C883="1/2W",O883/2+O883/2*L883,IF($C883="1/2L",O883/2,IF(I883="Lay",(O883*(L883/(L883-1))-O883)*(1-_xlfn.XLOOKUP(K883,'Fevereiro 2023 - Valor Real'!A3:A15,'Fevereiro 2023 - Valor Real'!C3:C15,0))+O883,(O883*L883-O883)*(1-_xlfn.XLOOKUP(K883,'Fevereiro 2023 - Valor Real'!A3:A15,'Fevereiro 2023 - Valor Real'!C3:C15,0))+O883))))</f>
        <v>14.05</v>
      </c>
      <c r="Q883" s="101">
        <f>IF(K883="","",IF(_xlfn.XLOOKUP(K883,K$4:K882,$DJ$4:DJ882,0,,-1)=DJ883,_xlfn.XLOOKUP(K883,K$4:K882,Q$4:Q882,1,,-1)+1,1))</f>
        <v>8</v>
      </c>
      <c r="R883" s="102">
        <f>IF(K883="","",_xlfn.XLOOKUP(K883,K$4:K882,R$4:R882,0,,-1)+IF($C883=" ",1,0))</f>
        <v>0</v>
      </c>
      <c r="S883" s="474">
        <f>IF($B883="Anulado",0,ROUND(IF(OR($B883="LOSS",$B883="OK"),IF(OR($C883="W",$C883="1/2W",$C883="1/2L"),P883-O883,IF($C883="L",-O883,0))+IF(OR($C884="W",$C884="1/2W",$C884="1/2L"),P884-O884,IF($C884="L",-O884,0))+IF(OR($C885="W",$C885="1/2W",$C885="1/2L"),P885-O885,IF($C885="L",-O885,0)),IF(AND(OR($C883="W",$C883="1/2W",$C883="1/2L"),C884="W"),P883+P884-SUM(O883:O885)+_xlfn.XLOOKUP("X",C883:C885,O883:O885,0),IF(AND(C883=TRUE,C885="W"),P883+P885-SUM(O883:O885),IF(AND(C884="W",C885="W"),P884+P885-SUM(O883:O885)+_xlfn.XLOOKUP("X",C883:C885,O883:O885,0),IF(L885&gt;0,IF(OR($C883="W",$C883="1/2W",$C883="1/2L"),P883-SUM(O883:O885)+_xlfn.XLOOKUP("X",C883:C885,O883:O885,0),IF(OR($C883="W",$C883="1/2W",$C883="1/2L"),P884-SUM(O883:O885)+_xlfn.XLOOKUP("X",C883:C885,O883:O885,0),IF(OR($C883="W",$C883="1/2W",$C883="1/2L"),P885-SUM(O883:O885)+_xlfn.XLOOKUP("X",C883:C885,O883:O885,0),IF(SUM(P883:P885)/3-SUM(O883:O885)+_xlfn.XLOOKUP("X",C883:C885,O883:O885,0)&gt;0,SUM(P883:P885)/3-SUM(O883:O885)+_xlfn.XLOOKUP("X",C883:C885,O883:O885,0),LARGE(P883:P885,1)-SUM(O883:O885))))),IF(OR($C883="W",$C883="1/2W",$C883="1/2L"),P883-SUM(O883:O884)+_xlfn.XLOOKUP("X",C883:C885,O883:O885,0),IF(OR($C883="W",$C883="1/2W",$C883="1/2L"),P884-SUM(O883:O884)+_xlfn.XLOOKUP("X",C883:C885,O883:O885,0),SUM(P883:P884)/2-SUM(O883:O884)+_xlfn.XLOOKUP("X",C883:C885,O883:O885,0)))))))),2))</f>
        <v>0</v>
      </c>
      <c r="T883" s="458">
        <f>IF(S883=0,0,S883/SUM(O883:O885))</f>
        <v>0</v>
      </c>
      <c r="U883" s="470">
        <f>IF($D883=$D880,IF(OR($B883="LOSS",$B883="OK",$B883="Anulada"),S883,0)+U880,IF(OR($B883="LOSS",$B883="OK",$B883="Anulada"),S883,0))</f>
        <v>16.760000000000002</v>
      </c>
      <c r="V883" s="470">
        <f>IF($D883="",0,IF($D883=$D880,IF($B883=" ",IF(I885="",IF(OR(AND(I883="DNB1",I884="DNB2"),AND(OR(I883="DNB1",I883="DNB2"),J884=0),AND(OR(I884="DNB1",I884="DNB2"),J883=0),AND(I883="DNB2",I884="DNB1"),AND(IF(J883=0,(J883+1)/ROUND(J883+1,0),J883/ROUND(J883,0))=1,IF(J884=0,(J884+1)/ROUND(IF(J884="",0,J884)+1,0),IF(J884="",0,J884)/ROUND(IF(J884="",1,J884),0))=1,OR(J883&lt;&gt;""),J884&lt;&gt;"")),0,IF(S883&lt;0,IF(I885="",SMALL(P883:P884,1)-SUM(O883:O884),0),SMALL(P883:P884,1)-SUM(O883:O884))),IF(S883&lt;0,IF(I885="",SMALL(P883:P885,1)-SUM(O883:O885),0),LARGE(P883:P885,1)-SUM(O883:O885))),S883)+V880,IF(I885="",IF(OR(AND(I883="DNB1",I884="DNB2"),AND(OR(I883="DNB1",I883="DNB2"),J884=0),AND(OR(I884="DNB1",I884="DNB2"),J883=0),AND(I883="DNB2",I884="DNB1"),AND(IF(J883=0,(J883+1)/ROUND(J883+1,0),J883/ROUND(J883,0))=1,IF(J884=0,(IF(J884="",0,J884)+1)/ROUND(IF(J884="",0,J884)+1,0),IF(J884="",0,J884)/ROUND(IF(J884="",0,J884)+1,0))=1,OR(J883&lt;&gt;""),J884&lt;&gt;"")),0,IF(S883&lt;0,IF(I885="",SMALL(P883:P884,1)-SUM(O883:O884),0),SMALL(P883:P885,1)-SUM(O883:O885))),IF(S883&lt;0,IF(I885="",SMALL(P883:P885,1)-SUM(O883:O885),0),LARGE(P883:P885,1)-SUM(O883:O885)))))</f>
        <v>16.756200000000003</v>
      </c>
      <c r="W883" s="470">
        <f>IF($D883=$D880,IF(S883&lt;0,IF(I885="",S883,0),S883)+W880,S883)</f>
        <v>16.760000000000002</v>
      </c>
      <c r="X883" s="480" t="str">
        <f>IF(OR(SUM(R883:R885)=0,V883=W883),ROUND(IF(W883=0,0,W883/Y883)*100,2)&amp;"%",ROUND(IF(V883=0,0,V883/Y883)*100,2)&amp;"% a "&amp;ROUND(IF(W883=0,0,W883/Y883)*100,2)&amp;"%")</f>
        <v>5,83%</v>
      </c>
      <c r="Y883" s="471">
        <f>IF($D883=$D880,Y880+SUM(O883:O885),SUM(O883:O885))</f>
        <v>287.71999999999997</v>
      </c>
      <c r="Z883" s="470">
        <f>IF($B883=" ",SUM(O883:O885),0)+Z880</f>
        <v>0</v>
      </c>
      <c r="AA883" s="470">
        <f>IF(G883="","",IF($B883="Anulado",LARGE(P883:P885,1)-SUM(O883:O885)+AA880,AA880))</f>
        <v>14.77109999999999</v>
      </c>
      <c r="AB883" s="470">
        <f>IF($D883="","",AB880+S883)</f>
        <v>1000.450000000001</v>
      </c>
      <c r="AC883" s="472">
        <f ca="1">IF($D883="","",IF($B883=" ",IF(DAY(G883)=DAY(TODAY()),1+AC880,0+AC880),0+AC880))</f>
        <v>0</v>
      </c>
      <c r="AD883" s="103">
        <f>(((L884/(L884-1)-1)*(1-_xlfn.XLOOKUP(K884,'Fevereiro 2023 - Valor Real'!A3:A15,'Fevereiro 2023 - Valor Real'!C3:C15,0))+1))/(((L883-1)*(1-_xlfn.XLOOKUP(K883,'Fevereiro 2023 - Valor Real'!A3:A15,'Fevereiro 2023 - Valor Real'!C3:C15,0))+1)+((L884/(L884-1)-1)*(1-_xlfn.XLOOKUP(K884,'Fevereiro 2023 - Valor Real'!A3:A15,'Fevereiro 2023 - Valor Real'!C3:C15,0))+1))</f>
        <v>0.40340909090909094</v>
      </c>
      <c r="AE883" s="104">
        <f>IF(L883="","",IF(L885&gt;0,(SUM(((L883-1)*(1-_xlfn.XLOOKUP(K883,'Fevereiro 2023 - Valor Real'!A3:A15,'Fevereiro 2023 - Valor Real'!C3:C15,0))+1),((L884-1)*(1-_xlfn.XLOOKUP(K884,'Fevereiro 2023 - Valor Real'!A3:A15,'Fevereiro 2023 - Valor Real'!C3:C15,0))+1),((L885-1)*(1-_xlfn.XLOOKUP(K885,'Fevereiro 2023 - Valor Real'!A3:A15,'Fevereiro 2023 - Valor Real'!C3:C15,0))+1))/((L883-1)*(1-_xlfn.XLOOKUP(K883,'Fevereiro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Real'!C3:C15,0))+1))/((L883-1)*(1-_xlfn.XLOOKUP(K883,'Fevereiro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Real'!C3:C15,0))+1))/((L884-1)*(1-_xlfn.XLOOKUP(K884,'Fevereiro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Real'!C3:C15,0))+1))/((L885-1)*(1-_xlfn.XLOOKUP(K885,'Fevereiro 2023 - Valor Real'!A3:A15,'Fevereiro 2023 - Valor Real'!C3:C15,0))+1)),IF(I883="Lay",IF(I884="Lay",((L884/(L884-1)-1)*(1-_xlfn.XLOOKUP(K884,'Fevereiro 2023 - Valor Real'!A3:A15,'Fevereiro 2023 - Valor Real'!C3:C15,0))+1)/(((L884/(L884-1)-1)*(1-_xlfn.XLOOKUP(K884,'Fevereiro 2023 - Valor Real'!A3:A15,'Fevereiro 2023 - Valor Real'!C3:C15,0))+1)+((L883/(L883-1)-1)*(1-_xlfn.XLOOKUP(K883,'Fevereiro 2023 - Valor Real'!A3:A15,'Fevereiro 2023 - Valor Real'!C3:C15,0))+1)),((L884-1)*(1-_xlfn.XLOOKUP(K884,'Fevereiro 2023 - Valor Real'!A3:A15,'Fevereiro 2023 - Valor Real'!C3:C15,0))+1)/(((L884-1)*(1-_xlfn.XLOOKUP(K884,'Fevereiro 2023 - Valor Real'!A3:A15,'Fevereiro 2023 - Valor Real'!C3:C15,0))+1)+((L883/(L883-1)-1)*(1-_xlfn.XLOOKUP(K883,'Fevereiro 2023 - Valor Real'!A3:A15,'Fevereiro 2023 - Valor Real'!C3:C15,0))+1))),IF(I884="Lay",(((L884/(L884-1)-1)*(1-_xlfn.XLOOKUP(K884,'Fevereiro 2023 - Valor Real'!A3:A15,'Fevereiro 2023 - Valor Real'!C3:C15,0))+1))/(((L883-1)*(1-_xlfn.XLOOKUP(K883,'Fevereiro 2023 - Valor Real'!A3:A15,'Fevereiro 2023 - Valor Real'!C3:C15,0))+1)+((L884/(L884-1)-1)*(1-_xlfn.XLOOKUP(K884,'Fevereiro 2023 - Valor Real'!A3:A15,'Fevereiro 2023 - Valor Real'!C3:C15,0))+1)),((L884-1)*(1-_xlfn.XLOOKUP(K884,'Fevereiro 2023 - Valor Real'!A3:A15,'Fevereiro 2023 - Valor Real'!C3:C15,0))+1)/(((L884-1)*(1-_xlfn.XLOOKUP(K884,'Fevereiro 2023 - Valor Real'!A3:A15,'Fevereiro 2023 - Valor Real'!C3:C15,0))+1)+((L883-1)*(1-_xlfn.XLOOKUP(K883,'Fevereiro 2023 - Valor Real'!A3:A15,'Fevereiro 2023 - Valor Real'!C3:C15,0))+1))))))</f>
        <v>0.22118380062305296</v>
      </c>
      <c r="AF883" s="105">
        <f t="shared" si="1754"/>
        <v>0</v>
      </c>
      <c r="AG883" s="106">
        <f t="shared" si="1754"/>
        <v>0</v>
      </c>
      <c r="AH883" s="106">
        <f t="shared" si="1754"/>
        <v>0</v>
      </c>
      <c r="AI883" s="106">
        <f t="shared" si="1754"/>
        <v>0</v>
      </c>
      <c r="AJ883" s="106">
        <f t="shared" si="1754"/>
        <v>0</v>
      </c>
      <c r="AK883" s="106">
        <f t="shared" si="1754"/>
        <v>0</v>
      </c>
      <c r="AL883" s="106">
        <f t="shared" si="1754"/>
        <v>0</v>
      </c>
      <c r="AM883" s="106">
        <f t="shared" si="1754"/>
        <v>0</v>
      </c>
      <c r="AN883" s="106">
        <f t="shared" si="1754"/>
        <v>0</v>
      </c>
      <c r="AO883" s="106">
        <f t="shared" si="1754"/>
        <v>0</v>
      </c>
      <c r="AP883" s="106">
        <f t="shared" si="1754"/>
        <v>0</v>
      </c>
      <c r="AQ883" s="106">
        <f t="shared" si="1754"/>
        <v>0</v>
      </c>
      <c r="AR883" s="107">
        <f t="shared" si="1754"/>
        <v>0</v>
      </c>
      <c r="AS883" s="105">
        <f t="shared" ref="AS883:BE883" si="1768">IF(AND($B883=" ",$K883=AS$3),$O883,0)</f>
        <v>0</v>
      </c>
      <c r="AT883" s="106">
        <f t="shared" si="1768"/>
        <v>0</v>
      </c>
      <c r="AU883" s="106">
        <f t="shared" si="1768"/>
        <v>0</v>
      </c>
      <c r="AV883" s="106">
        <f t="shared" si="1768"/>
        <v>0</v>
      </c>
      <c r="AW883" s="106">
        <f t="shared" si="1768"/>
        <v>0</v>
      </c>
      <c r="AX883" s="106">
        <f t="shared" si="1768"/>
        <v>0</v>
      </c>
      <c r="AY883" s="108">
        <f t="shared" si="1768"/>
        <v>0</v>
      </c>
      <c r="AZ883" s="109">
        <f t="shared" si="1768"/>
        <v>0</v>
      </c>
      <c r="BA883" s="109">
        <f t="shared" si="1768"/>
        <v>0</v>
      </c>
      <c r="BB883" s="109">
        <f t="shared" si="1768"/>
        <v>0</v>
      </c>
      <c r="BC883" s="110">
        <f t="shared" si="1768"/>
        <v>0</v>
      </c>
      <c r="BD883" s="106">
        <f t="shared" si="1768"/>
        <v>0</v>
      </c>
      <c r="BE883" s="107">
        <f t="shared" si="1768"/>
        <v>0</v>
      </c>
      <c r="BF883" s="111">
        <f t="shared" si="1756"/>
        <v>0</v>
      </c>
      <c r="BG883" s="106">
        <f t="shared" si="1756"/>
        <v>0</v>
      </c>
      <c r="BH883" s="106">
        <f t="shared" si="1756"/>
        <v>0</v>
      </c>
      <c r="BI883" s="106">
        <f t="shared" si="1756"/>
        <v>0</v>
      </c>
      <c r="BJ883" s="106">
        <f t="shared" si="1756"/>
        <v>0</v>
      </c>
      <c r="BK883" s="106">
        <f t="shared" si="1756"/>
        <v>0</v>
      </c>
      <c r="BL883" s="106">
        <f t="shared" si="1756"/>
        <v>0</v>
      </c>
      <c r="BM883" s="108">
        <f t="shared" si="1756"/>
        <v>0</v>
      </c>
      <c r="BN883" s="109">
        <f t="shared" si="1756"/>
        <v>0</v>
      </c>
      <c r="BO883" s="109">
        <f t="shared" si="1756"/>
        <v>0</v>
      </c>
      <c r="BP883" s="109">
        <f t="shared" si="1756"/>
        <v>0</v>
      </c>
      <c r="BQ883" s="110">
        <f t="shared" si="1756"/>
        <v>0</v>
      </c>
      <c r="BR883" s="107">
        <f t="shared" si="1756"/>
        <v>0</v>
      </c>
      <c r="BS883" s="463">
        <f>IF($B883="LOSS",IF(AND($K883=BS$3,$C883="L"),-$O883,0)+IF(AND($K884=BS$3,$C884="L"),-$O884,0)+IF(AND($K885=BS$3,$C885="L"),-$O885,0),IF(OR(AND($K883=BS$3,OR($C883="W",$C883="1/2W")),AND($K884=BS$3,OR($C884="W",$C884="1/2W")),AND($K885=BS$3,OR($C885="W",$C885="1/2W"))),$S883,0))</f>
        <v>0</v>
      </c>
      <c r="BT883" s="462">
        <f>IF($B883="LOSS",IF(AND($K883=BT$3,$C883="L"),-$O883,0)+IF(AND($K884=BT$3,$C884="L"),-$O884,0)+IF(AND($K884=BT$3,$C885="L"),-$O885,0),IF(OR(AND($K884=BT$3,OR($C883="W",$C883="1/2W")),AND($K884=BT$3,OR($C884="W",$C884="1/2W")),AND($K884=BT$3,OR($C885="W",$C885="1/2W"))),$S883,0))</f>
        <v>0</v>
      </c>
      <c r="BU883" s="462">
        <f>IF($B883="LOSS",IF(AND($K883=BU$3,$C883="L"),-$O883,0)+IF(AND($K884=BU$3,$C884="L"),-$O884,0)+IF(AND($K884=BU$3,$C885="L"),-$O885,0),IF(OR(AND($K884=BU$3,OR($C883="W",$C883="1/2W")),AND($K884=BU$3,OR($C884="W",$C884="1/2W")),AND($K884=BU$3,OR($C885="W",$C885="1/2W"))),$S883,0))</f>
        <v>0</v>
      </c>
      <c r="BV883" s="462">
        <f t="shared" ref="BV883:CE883" si="1769">IF($B883="LOSS",IF(AND($K883=BV$3,$C883="L"),-$O883,0)+IF(AND($K884=BV$3,$C884="L"),-$O884,0)+IF(AND($K885=BV$3,$C885="L"),-$O885,0),IF(OR(AND($K883=BV$3,OR($C883="W",$C883="1/2W")),AND($K884=BV$3,OR($C884="W",$C884="1/2W")),AND($K885=BV$3,OR($C885="W",$C885="1/2W"))),$S883,0))</f>
        <v>0</v>
      </c>
      <c r="BW883" s="462">
        <f t="shared" si="1769"/>
        <v>0</v>
      </c>
      <c r="BX883" s="462">
        <f t="shared" si="1769"/>
        <v>0</v>
      </c>
      <c r="BY883" s="462">
        <f t="shared" si="1769"/>
        <v>0</v>
      </c>
      <c r="BZ883" s="460">
        <f t="shared" si="1769"/>
        <v>0</v>
      </c>
      <c r="CA883" s="460">
        <f t="shared" si="1769"/>
        <v>0</v>
      </c>
      <c r="CB883" s="460">
        <f t="shared" si="1769"/>
        <v>0</v>
      </c>
      <c r="CC883" s="460">
        <f t="shared" si="1769"/>
        <v>0</v>
      </c>
      <c r="CD883" s="473">
        <f t="shared" si="1769"/>
        <v>0</v>
      </c>
      <c r="CE883" s="479">
        <f t="shared" si="1769"/>
        <v>0</v>
      </c>
      <c r="CF883" s="113">
        <f t="shared" si="1669"/>
        <v>0</v>
      </c>
      <c r="CG883" s="114">
        <f t="shared" si="1670"/>
        <v>0</v>
      </c>
      <c r="CH883" s="114">
        <f t="shared" si="1671"/>
        <v>0</v>
      </c>
      <c r="CI883" s="114">
        <f t="shared" si="1672"/>
        <v>0</v>
      </c>
      <c r="CJ883" s="114">
        <f t="shared" si="1673"/>
        <v>0</v>
      </c>
      <c r="CK883" s="114">
        <f t="shared" si="1674"/>
        <v>0</v>
      </c>
      <c r="CL883" s="114">
        <f t="shared" si="1675"/>
        <v>0</v>
      </c>
      <c r="CM883" s="114">
        <f t="shared" si="1676"/>
        <v>0</v>
      </c>
      <c r="CN883" s="114">
        <f t="shared" si="1677"/>
        <v>0</v>
      </c>
      <c r="CO883" s="114">
        <f t="shared" si="1678"/>
        <v>0</v>
      </c>
      <c r="CP883" s="114">
        <f t="shared" si="1679"/>
        <v>0</v>
      </c>
      <c r="CQ883" s="114">
        <f t="shared" si="1680"/>
        <v>0</v>
      </c>
      <c r="CR883" s="114">
        <f t="shared" si="1681"/>
        <v>0</v>
      </c>
      <c r="CS883" s="114">
        <f t="shared" si="1682"/>
        <v>0</v>
      </c>
      <c r="CT883" s="115">
        <f t="shared" si="1683"/>
        <v>0</v>
      </c>
      <c r="CU883" s="116">
        <f t="shared" si="1684"/>
        <v>0</v>
      </c>
      <c r="CV883" s="116">
        <f t="shared" si="1685"/>
        <v>0</v>
      </c>
      <c r="CW883" s="116">
        <f t="shared" si="1686"/>
        <v>0</v>
      </c>
      <c r="CX883" s="116">
        <f t="shared" si="1687"/>
        <v>0</v>
      </c>
      <c r="CY883" s="116">
        <f t="shared" si="1688"/>
        <v>0</v>
      </c>
      <c r="CZ883" s="116">
        <f t="shared" si="1689"/>
        <v>0</v>
      </c>
      <c r="DA883" s="116">
        <f t="shared" si="1690"/>
        <v>0</v>
      </c>
      <c r="DB883" s="116">
        <f t="shared" si="1691"/>
        <v>0</v>
      </c>
      <c r="DC883" s="116">
        <f t="shared" si="1692"/>
        <v>0</v>
      </c>
      <c r="DD883" s="116">
        <f t="shared" si="1693"/>
        <v>0</v>
      </c>
      <c r="DE883" s="117">
        <f t="shared" si="1694"/>
        <v>0</v>
      </c>
      <c r="DF883" s="118">
        <f t="shared" si="1696"/>
        <v>53</v>
      </c>
      <c r="DG883" s="106">
        <f t="shared" si="1697"/>
        <v>71.192999999999998</v>
      </c>
      <c r="DH883" s="116">
        <f t="shared" si="1698"/>
        <v>19</v>
      </c>
      <c r="DI883" s="106">
        <f t="shared" si="1699"/>
        <v>81.47</v>
      </c>
      <c r="DJ883" s="201" t="str">
        <f>IF($D883="","",$D883)</f>
        <v>29</v>
      </c>
      <c r="DK883" s="465">
        <f>IF(AND($B883=" ",$D883&lt;&gt;""),1,0)</f>
        <v>0</v>
      </c>
    </row>
    <row r="884" spans="1:115" ht="14.5" customHeight="1" x14ac:dyDescent="0.2">
      <c r="A884" s="389"/>
      <c r="B884" s="456"/>
      <c r="C884" s="120" t="s">
        <v>49</v>
      </c>
      <c r="D884" s="374"/>
      <c r="E884" s="386"/>
      <c r="F884" s="377"/>
      <c r="G884" s="483"/>
      <c r="H884" s="476"/>
      <c r="I884" s="121" t="s">
        <v>52</v>
      </c>
      <c r="J884" s="122">
        <f>IF(OR(I883="TO",I883="TU",I883="TO1",I883="TU1",I883="TO2",I883="TU2"),J883,IF(OR(I883="AH1",I883="AH2"),IF(OR(I884="AH1",I884="AH2"),-J883,IF(OR(I884="EH1",I884="EH2"),-J883+0.5,"")),IF(OR(I883="EH1",I883="EH2"),IF(OR(I884="AH1",I884="AH2"),-J883+0.5,IF(OR(I884="EH1",I884="EH2"),-J883+1,"")),IF(AND(OR(I883="DNB1",I883="DNB2"),OR(I884="AH1",I884="AH2")),0,IF(AND(I883="Not ScoreBoth",OR(I884="TO1",I884="TO2")),0.5,"")))))</f>
        <v>1</v>
      </c>
      <c r="K884" s="123" t="s">
        <v>47</v>
      </c>
      <c r="L884" s="124">
        <v>1.42</v>
      </c>
      <c r="M884" s="125"/>
      <c r="N884" s="406"/>
      <c r="O884" s="126">
        <f>IF(OR(AE883="",AE884=""),"",ROUND(IF(L885&gt;0,IF(M884&gt;0,M884,IF(M883&gt;0,IF(N883=TRUE,ROUND((M883*AE884)/AE883,0),(M883*AE884)/AE883),IF(M884&gt;0,ROUND(M884,IF(N883=0,2,IF(N883=0.1,1,0))),IF(M885&gt;0,ROUND(O885*AE884/AE885,IF(N883=0,2,IF(N883=0.1,1,0))),0)))),IF(M884&gt;0,M884,ROUND((M883*AE884)/AE883,IF(N883=0,2,IF(N883=0.1,1,0))))),2))</f>
        <v>10</v>
      </c>
      <c r="P884" s="127">
        <f>IF(OR(L884="",O884=""),"",IF($C884="1/2W",O884/2+O884/2*L884,IF($C884="1/2L",O884/2,IF(I884="Lay",((O884*(L884/(L884-1)))-O884)*(1-_xlfn.XLOOKUP(K884,'Fevereiro 2023 - Valor Real'!A3:A15,'Fevereiro 2023 - Valor Real'!C3:C15,0))+O884,(O884*L884-O884)*(1-_xlfn.XLOOKUP(K884,'Fevereiro 2023 - Valor Real'!A3:A15,'Fevereiro 2023 - Valor Real'!C3:C15,0))+O884))))</f>
        <v>14.2</v>
      </c>
      <c r="Q884" s="128">
        <f>IF(K884="","",IF(_xlfn.XLOOKUP(K884,K$4:K883,$DJ$4:DJ883,0,,-1)=DJ884,_xlfn.XLOOKUP(K884,K$4:K883,Q$4:Q883,1,,-1)+1,1))</f>
        <v>4</v>
      </c>
      <c r="R884" s="129">
        <f>IF(K884="","",_xlfn.XLOOKUP(K884,K$4:K883,R$4:R883,0,,-1)+IF($C884=" ",1,0))</f>
        <v>0</v>
      </c>
      <c r="S884" s="403"/>
      <c r="T884" s="380"/>
      <c r="U884" s="380"/>
      <c r="V884" s="481"/>
      <c r="W884" s="380"/>
      <c r="X884" s="452"/>
      <c r="Y884" s="383"/>
      <c r="Z884" s="384"/>
      <c r="AA884" s="384"/>
      <c r="AB884" s="384"/>
      <c r="AC884" s="384"/>
      <c r="AD884" s="130">
        <f>(((L884/(L884-1)-1)*(1-_xlfn.XLOOKUP(K884,'Fevereiro 2023 - Valor Real'!A3:A15,'Fevereiro 2023 - Valor Real'!C3:C15,0))+1))</f>
        <v>3.3809523809523814</v>
      </c>
      <c r="AE884" s="131">
        <f>IF(L884="","",IF(L885&gt;0,(SUM(((L883-1)*(1-_xlfn.XLOOKUP(K883,'Fevereiro 2023 - Valor Real'!A3:A15,'Fevereiro 2023 - Valor Real'!C3:C15,0))+1),((L884-1)*(1-_xlfn.XLOOKUP(K884,'Fevereiro 2023 - Valor Real'!A3:A15,'Fevereiro 2023 - Valor Real'!C3:C15,0))+1),((L885-1)*(1-_xlfn.XLOOKUP(K885,'Fevereiro 2023 - Valor Real'!A3:A15,'Fevereiro 2023 - Valor Real'!C3:C15,0))+1))/((L884-1)*(1-_xlfn.XLOOKUP(K884,'Fevereiro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Real'!C3:C15,0))+1))/((L883-1)*(1-_xlfn.XLOOKUP(K883,'Fevereiro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Real'!C3:C15,0))+1))/((L884-1)*(1-_xlfn.XLOOKUP(K884,'Fevereiro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Real'!C3:C15,0))+1))/((L885-1)*(1-_xlfn.XLOOKUP(K885,'Fevereiro 2023 - Valor Real'!A3:A15,'Fevereiro 2023 - Valor Real'!C3:C15,0))+1)),IF(I884="Lay",IF(I883="Lay",((L883/(L883-1)-1)*(1-_xlfn.XLOOKUP(K883,'Fevereiro 2023 - Valor Real'!A3:A15,'Fevereiro 2023 - Valor Real'!C3:C15,0))+1)/(((L883/(L883-1)-1)*(1-_xlfn.XLOOKUP(K883,'Fevereiro 2023 - Valor Real'!A3:A15,'Fevereiro 2023 - Valor Real'!C3:C15,0))+1)+((L884/(L884-1)-1)*(1-_xlfn.XLOOKUP(K884,'Fevereiro 2023 - Valor Real'!A3:A15,'Fevereiro 2023 - Valor Real'!C3:C15,0))+1)),((L883-1)*(1-_xlfn.XLOOKUP(K883,'Fevereiro 2023 - Valor Real'!A3:A15,'Fevereiro 2023 - Valor Real'!C3:C15,0))+1)/(((L883-1)*(1-_xlfn.XLOOKUP(K883,'Fevereiro 2023 - Valor Real'!A3:A15,'Fevereiro 2023 - Valor Real'!C3:C15,0))+1)+((L884/(L884-1)-1)*(1-_xlfn.XLOOKUP(K884,'Fevereiro 2023 - Valor Real'!A3:A15,'Fevereiro 2023 - Valor Real'!C3:C15,0))+1))),IF(I883="Lay",((L883/(L883-1)-1)*(1-_xlfn.XLOOKUP(K883,'Fevereiro 2023 - Valor Real'!A3:A15,'Fevereiro 2023 - Valor Real'!C3:C15,0))+1)/((((L883/(L883-1)-1)*(1-_xlfn.XLOOKUP(K883,'Fevereiro 2023 - Valor Real'!A3:A15,'Fevereiro 2023 - Valor Real'!C3:C15,0))+1))+((L884-1)*(1-_xlfn.XLOOKUP(K884,'Fevereiro 2023 - Valor Real'!A3:A15,'Fevereiro 2023 - Valor Real'!C3:C15,0))+1)),((L883-1)*(1-_xlfn.XLOOKUP(K883,'Fevereiro 2023 - Valor Real'!A3:A15,'Fevereiro 2023 - Valor Real'!C3:C15,0))+1)/(((L883-1)*(1-_xlfn.XLOOKUP(K883,'Fevereiro 2023 - Valor Real'!A3:A15,'Fevereiro 2023 - Valor Real'!C3:C15,0))+1)+((L884-1)*(1-_xlfn.XLOOKUP(K884,'Fevereiro 2023 - Valor Real'!A3:A15,'Fevereiro 2023 - Valor Real'!C3:C15,0))+1))))))</f>
        <v>0.77881619937694702</v>
      </c>
      <c r="AF884" s="105">
        <f t="shared" ref="AF884:AR893" si="1770">IF($K884=AF$3,ROUND(IF(OR($C884="W",$C884="1/2W",$C884="1/2L"),$P884-$O884,IF($C884="X",0,-$O884)),2),0)</f>
        <v>0</v>
      </c>
      <c r="AG884" s="106">
        <f t="shared" si="1770"/>
        <v>0</v>
      </c>
      <c r="AH884" s="106">
        <f t="shared" si="1770"/>
        <v>0</v>
      </c>
      <c r="AI884" s="106">
        <f t="shared" si="1770"/>
        <v>0</v>
      </c>
      <c r="AJ884" s="106">
        <f t="shared" si="1770"/>
        <v>0</v>
      </c>
      <c r="AK884" s="106">
        <f t="shared" si="1770"/>
        <v>0</v>
      </c>
      <c r="AL884" s="106">
        <f t="shared" si="1770"/>
        <v>0</v>
      </c>
      <c r="AM884" s="106">
        <f t="shared" si="1770"/>
        <v>0</v>
      </c>
      <c r="AN884" s="106">
        <f t="shared" si="1770"/>
        <v>0</v>
      </c>
      <c r="AO884" s="106">
        <f t="shared" si="1770"/>
        <v>0</v>
      </c>
      <c r="AP884" s="106">
        <f t="shared" si="1770"/>
        <v>0</v>
      </c>
      <c r="AQ884" s="106">
        <f t="shared" si="1770"/>
        <v>0</v>
      </c>
      <c r="AR884" s="107">
        <f t="shared" si="1770"/>
        <v>0</v>
      </c>
      <c r="AS884" s="105">
        <f>IF(AND($B883=" ",$K884=AS$3),$O884,0)</f>
        <v>0</v>
      </c>
      <c r="AT884" s="106">
        <f>IF(AND($B883=" ",K884=AT$3),$O884,0)</f>
        <v>0</v>
      </c>
      <c r="AU884" s="106">
        <f t="shared" ref="AU884:BE884" si="1771">IF(AND($B883=" ",$K884=AU$3),$O884,0)</f>
        <v>0</v>
      </c>
      <c r="AV884" s="106">
        <f t="shared" si="1771"/>
        <v>0</v>
      </c>
      <c r="AW884" s="106">
        <f t="shared" si="1771"/>
        <v>0</v>
      </c>
      <c r="AX884" s="106">
        <f t="shared" si="1771"/>
        <v>0</v>
      </c>
      <c r="AY884" s="108">
        <f t="shared" si="1771"/>
        <v>0</v>
      </c>
      <c r="AZ884" s="109">
        <f t="shared" si="1771"/>
        <v>0</v>
      </c>
      <c r="BA884" s="109">
        <f t="shared" si="1771"/>
        <v>0</v>
      </c>
      <c r="BB884" s="109">
        <f t="shared" si="1771"/>
        <v>0</v>
      </c>
      <c r="BC884" s="110">
        <f t="shared" si="1771"/>
        <v>0</v>
      </c>
      <c r="BD884" s="106">
        <f t="shared" si="1771"/>
        <v>0</v>
      </c>
      <c r="BE884" s="107">
        <f t="shared" si="1771"/>
        <v>0</v>
      </c>
      <c r="BF884" s="105">
        <f t="shared" ref="BF884:BR893" si="1772">IF($K884=BF$3,IF($C884="X",0,$O884),0)</f>
        <v>0</v>
      </c>
      <c r="BG884" s="106">
        <f t="shared" si="1772"/>
        <v>0</v>
      </c>
      <c r="BH884" s="106">
        <f t="shared" si="1772"/>
        <v>0</v>
      </c>
      <c r="BI884" s="106">
        <f t="shared" si="1772"/>
        <v>0</v>
      </c>
      <c r="BJ884" s="106">
        <f t="shared" si="1772"/>
        <v>0</v>
      </c>
      <c r="BK884" s="106">
        <f t="shared" si="1772"/>
        <v>0</v>
      </c>
      <c r="BL884" s="106">
        <f t="shared" si="1772"/>
        <v>0</v>
      </c>
      <c r="BM884" s="132">
        <f t="shared" si="1772"/>
        <v>0</v>
      </c>
      <c r="BN884" s="112">
        <f t="shared" si="1772"/>
        <v>0</v>
      </c>
      <c r="BO884" s="112">
        <f t="shared" si="1772"/>
        <v>0</v>
      </c>
      <c r="BP884" s="112">
        <f t="shared" si="1772"/>
        <v>0</v>
      </c>
      <c r="BQ884" s="110">
        <f t="shared" si="1772"/>
        <v>0</v>
      </c>
      <c r="BR884" s="107">
        <f t="shared" si="1772"/>
        <v>0</v>
      </c>
      <c r="BS884" s="464"/>
      <c r="BT884" s="461"/>
      <c r="BU884" s="392"/>
      <c r="BV884" s="461"/>
      <c r="BW884" s="392"/>
      <c r="BX884" s="392"/>
      <c r="BY884" s="392"/>
      <c r="BZ884" s="461"/>
      <c r="CA884" s="392"/>
      <c r="CB884" s="392"/>
      <c r="CC884" s="392"/>
      <c r="CD884" s="401"/>
      <c r="CE884" s="409"/>
      <c r="CF884" s="133">
        <f t="shared" si="1669"/>
        <v>0</v>
      </c>
      <c r="CG884" s="134">
        <f t="shared" si="1670"/>
        <v>0</v>
      </c>
      <c r="CH884" s="134">
        <f t="shared" si="1671"/>
        <v>0</v>
      </c>
      <c r="CI884" s="134">
        <f t="shared" si="1672"/>
        <v>0</v>
      </c>
      <c r="CJ884" s="134">
        <f t="shared" si="1673"/>
        <v>0</v>
      </c>
      <c r="CK884" s="134">
        <f t="shared" si="1674"/>
        <v>0</v>
      </c>
      <c r="CL884" s="134">
        <f t="shared" si="1675"/>
        <v>0</v>
      </c>
      <c r="CM884" s="134">
        <f t="shared" si="1676"/>
        <v>0</v>
      </c>
      <c r="CN884" s="134">
        <f t="shared" si="1677"/>
        <v>0</v>
      </c>
      <c r="CO884" s="134">
        <f t="shared" si="1678"/>
        <v>0</v>
      </c>
      <c r="CP884" s="134">
        <f t="shared" si="1679"/>
        <v>0</v>
      </c>
      <c r="CQ884" s="134">
        <f t="shared" si="1680"/>
        <v>0</v>
      </c>
      <c r="CR884" s="134">
        <f t="shared" si="1681"/>
        <v>0</v>
      </c>
      <c r="CS884" s="134">
        <f t="shared" si="1682"/>
        <v>0</v>
      </c>
      <c r="CT884" s="115">
        <f t="shared" si="1683"/>
        <v>0</v>
      </c>
      <c r="CU884" s="116">
        <f t="shared" si="1684"/>
        <v>0</v>
      </c>
      <c r="CV884" s="116">
        <f t="shared" si="1685"/>
        <v>0</v>
      </c>
      <c r="CW884" s="116">
        <f t="shared" si="1686"/>
        <v>0</v>
      </c>
      <c r="CX884" s="116">
        <f t="shared" si="1687"/>
        <v>0</v>
      </c>
      <c r="CY884" s="116">
        <f t="shared" si="1688"/>
        <v>0</v>
      </c>
      <c r="CZ884" s="116">
        <f t="shared" si="1689"/>
        <v>0</v>
      </c>
      <c r="DA884" s="116">
        <f t="shared" si="1690"/>
        <v>0</v>
      </c>
      <c r="DB884" s="116">
        <f t="shared" si="1691"/>
        <v>0</v>
      </c>
      <c r="DC884" s="116">
        <f t="shared" si="1692"/>
        <v>0</v>
      </c>
      <c r="DD884" s="116">
        <f t="shared" si="1693"/>
        <v>0</v>
      </c>
      <c r="DE884" s="117">
        <f t="shared" si="1694"/>
        <v>0</v>
      </c>
      <c r="DF884" s="118">
        <f t="shared" si="1696"/>
        <v>53</v>
      </c>
      <c r="DG884" s="106">
        <f t="shared" si="1697"/>
        <v>71.192999999999998</v>
      </c>
      <c r="DH884" s="116">
        <f t="shared" si="1698"/>
        <v>19</v>
      </c>
      <c r="DI884" s="106">
        <f t="shared" si="1699"/>
        <v>81.47</v>
      </c>
      <c r="DJ884" s="201" t="str">
        <f>IF($D883="","",$D883)</f>
        <v>29</v>
      </c>
      <c r="DK884" s="466"/>
    </row>
    <row r="885" spans="1:115" ht="14.5" customHeight="1" x14ac:dyDescent="0.2">
      <c r="A885" s="390"/>
      <c r="B885" s="457"/>
      <c r="C885" s="135" t="s">
        <v>53</v>
      </c>
      <c r="D885" s="375"/>
      <c r="E885" s="387"/>
      <c r="F885" s="378"/>
      <c r="G885" s="484"/>
      <c r="H885" s="477"/>
      <c r="I885" s="136"/>
      <c r="J885" s="137"/>
      <c r="K885" s="138"/>
      <c r="L885" s="139"/>
      <c r="M885" s="140"/>
      <c r="N885" s="407"/>
      <c r="O885" s="141" t="str">
        <f>IF(OR(AE883="",AE884=""),"",IF(L885&gt;0,ROUND(IF(M885&gt;0,M885,IF(M883&gt;0,ROUND((M883*AE885)/AE883,IF(N883=0,2,IF(N883=0.1,1,0))),IF(M884&gt;0,ROUND((M884*AE885)/AE884,IF(N883=0,2,IF(N883=0.1,1,0))),IF(M885&gt;0,M885,0)))),2),""))</f>
        <v/>
      </c>
      <c r="P885" s="142" t="str">
        <f>IF(I884="Lay",O884*(L884/(L884-1))-O884,IF(I883="Lay",O883*(L883/(L883-1))-O883,IF(OR(L885="",O885=""),"",IF($C885="1/2W",O885/2+O885/2*L885,IF($C885="1/2L",O885/2,(O885*L885-O885)*(1-_xlfn.XLOOKUP(K885,'Fevereiro 2023 - Valor Real'!A3:A15,'Fevereiro 2023 - Valor Real'!C3:C15,0))+O885)))))</f>
        <v/>
      </c>
      <c r="Q885" s="221" t="str">
        <f>IF(K885="","",IF(_xlfn.XLOOKUP(K885,K$4:K884,$DJ$4:DJ884,0,,-1)=DJ885,_xlfn.XLOOKUP(K885,K$4:K884,Q$4:Q884,1,,-1)+1,1))</f>
        <v/>
      </c>
      <c r="R885" s="144" t="str">
        <f>IF(K885="","",_xlfn.XLOOKUP(K885,K$4:K884,R$4:R884,0,,-1)+IF($C885=" ",1,0))</f>
        <v/>
      </c>
      <c r="S885" s="404"/>
      <c r="T885" s="378"/>
      <c r="U885" s="378"/>
      <c r="V885" s="404"/>
      <c r="W885" s="378"/>
      <c r="X885" s="453"/>
      <c r="Y885" s="383"/>
      <c r="Z885" s="384"/>
      <c r="AA885" s="384"/>
      <c r="AB885" s="384"/>
      <c r="AC885" s="384"/>
      <c r="AD885" s="145">
        <f>((L884/(L884-1)-1))</f>
        <v>2.3809523809523814</v>
      </c>
      <c r="AE885" s="146" t="str">
        <f>IF(L885="","",(SUM(((L883-1)*(1-_xlfn.XLOOKUP(K883,'Fevereiro 2023 - Valor Real'!A3:A15,'Fevereiro 2023 - Valor Real'!C3:C15,0))+1),((L884-1)*(1-_xlfn.XLOOKUP(K884,'Fevereiro 2023 - Valor Real'!A3:A15,'Fevereiro 2023 - Valor Real'!C3:C15,0))+1),((L885-1)*(1-_xlfn.XLOOKUP(K885,'Fevereiro 2023 - Valor Real'!A3:A15,'Fevereiro 2023 - Valor Real'!C3:C15,0))+1))/((L885-1)*(1-_xlfn.XLOOKUP(K885,'Fevereiro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Real'!C3:C15,0))+1))/((L883-1)*(1-_xlfn.XLOOKUP(K883,'Fevereiro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Real'!C3:C15,0))+1))/((L884-1)*(1-_xlfn.XLOOKUP(K884,'Fevereiro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Real'!C3:C15,0))+1))/((L885-1)*(1-_xlfn.XLOOKUP(K885,'Fevereiro 2023 - Valor Real'!A3:A15,'Fevereiro 2023 - Valor Real'!C3:C15,0))+1)))</f>
        <v/>
      </c>
      <c r="AF885" s="105">
        <f t="shared" si="1770"/>
        <v>0</v>
      </c>
      <c r="AG885" s="106">
        <f t="shared" si="1770"/>
        <v>0</v>
      </c>
      <c r="AH885" s="106">
        <f t="shared" si="1770"/>
        <v>0</v>
      </c>
      <c r="AI885" s="106">
        <f t="shared" si="1770"/>
        <v>0</v>
      </c>
      <c r="AJ885" s="106">
        <f t="shared" si="1770"/>
        <v>0</v>
      </c>
      <c r="AK885" s="106">
        <f t="shared" si="1770"/>
        <v>0</v>
      </c>
      <c r="AL885" s="106">
        <f t="shared" si="1770"/>
        <v>0</v>
      </c>
      <c r="AM885" s="106">
        <f t="shared" si="1770"/>
        <v>0</v>
      </c>
      <c r="AN885" s="106">
        <f t="shared" si="1770"/>
        <v>0</v>
      </c>
      <c r="AO885" s="106">
        <f t="shared" si="1770"/>
        <v>0</v>
      </c>
      <c r="AP885" s="106">
        <f t="shared" si="1770"/>
        <v>0</v>
      </c>
      <c r="AQ885" s="106">
        <f t="shared" si="1770"/>
        <v>0</v>
      </c>
      <c r="AR885" s="107">
        <f t="shared" si="1770"/>
        <v>0</v>
      </c>
      <c r="AS885" s="105">
        <f>IF(AND($B883=" ",$K885=AS$3),$O885,0)</f>
        <v>0</v>
      </c>
      <c r="AT885" s="106">
        <f>IF(AND($B883=" ",K885=AT$3),$O885,0)</f>
        <v>0</v>
      </c>
      <c r="AU885" s="106">
        <f t="shared" ref="AU885:BE885" si="1773">IF(AND($B883=" ",$K885=AU$3),$O885,0)</f>
        <v>0</v>
      </c>
      <c r="AV885" s="106">
        <f t="shared" si="1773"/>
        <v>0</v>
      </c>
      <c r="AW885" s="106">
        <f t="shared" si="1773"/>
        <v>0</v>
      </c>
      <c r="AX885" s="106">
        <f t="shared" si="1773"/>
        <v>0</v>
      </c>
      <c r="AY885" s="108">
        <f t="shared" si="1773"/>
        <v>0</v>
      </c>
      <c r="AZ885" s="109">
        <f t="shared" si="1773"/>
        <v>0</v>
      </c>
      <c r="BA885" s="109">
        <f t="shared" si="1773"/>
        <v>0</v>
      </c>
      <c r="BB885" s="109">
        <f t="shared" si="1773"/>
        <v>0</v>
      </c>
      <c r="BC885" s="110">
        <f t="shared" si="1773"/>
        <v>0</v>
      </c>
      <c r="BD885" s="106">
        <f t="shared" si="1773"/>
        <v>0</v>
      </c>
      <c r="BE885" s="107">
        <f t="shared" si="1773"/>
        <v>0</v>
      </c>
      <c r="BF885" s="105">
        <f t="shared" si="1772"/>
        <v>0</v>
      </c>
      <c r="BG885" s="106">
        <f t="shared" si="1772"/>
        <v>0</v>
      </c>
      <c r="BH885" s="106">
        <f t="shared" si="1772"/>
        <v>0</v>
      </c>
      <c r="BI885" s="106">
        <f t="shared" si="1772"/>
        <v>0</v>
      </c>
      <c r="BJ885" s="106">
        <f t="shared" si="1772"/>
        <v>0</v>
      </c>
      <c r="BK885" s="106">
        <f t="shared" si="1772"/>
        <v>0</v>
      </c>
      <c r="BL885" s="106">
        <f t="shared" si="1772"/>
        <v>0</v>
      </c>
      <c r="BM885" s="108">
        <f t="shared" si="1772"/>
        <v>0</v>
      </c>
      <c r="BN885" s="109">
        <f t="shared" si="1772"/>
        <v>0</v>
      </c>
      <c r="BO885" s="109">
        <f t="shared" si="1772"/>
        <v>0</v>
      </c>
      <c r="BP885" s="109">
        <f t="shared" si="1772"/>
        <v>0</v>
      </c>
      <c r="BQ885" s="110">
        <f t="shared" si="1772"/>
        <v>0</v>
      </c>
      <c r="BR885" s="107">
        <f t="shared" si="1772"/>
        <v>0</v>
      </c>
      <c r="BS885" s="464"/>
      <c r="BT885" s="461"/>
      <c r="BU885" s="392"/>
      <c r="BV885" s="461"/>
      <c r="BW885" s="392"/>
      <c r="BX885" s="392"/>
      <c r="BY885" s="392"/>
      <c r="BZ885" s="461"/>
      <c r="CA885" s="392"/>
      <c r="CB885" s="392"/>
      <c r="CC885" s="392"/>
      <c r="CD885" s="401"/>
      <c r="CE885" s="409"/>
      <c r="CF885" s="133">
        <f t="shared" si="1669"/>
        <v>0</v>
      </c>
      <c r="CG885" s="134">
        <f t="shared" si="1670"/>
        <v>0</v>
      </c>
      <c r="CH885" s="134">
        <f t="shared" si="1671"/>
        <v>0</v>
      </c>
      <c r="CI885" s="134">
        <f t="shared" si="1672"/>
        <v>0</v>
      </c>
      <c r="CJ885" s="134">
        <f t="shared" si="1673"/>
        <v>0</v>
      </c>
      <c r="CK885" s="134">
        <f t="shared" si="1674"/>
        <v>0</v>
      </c>
      <c r="CL885" s="134">
        <f t="shared" si="1675"/>
        <v>0</v>
      </c>
      <c r="CM885" s="134">
        <f t="shared" si="1676"/>
        <v>0</v>
      </c>
      <c r="CN885" s="134">
        <f t="shared" si="1677"/>
        <v>0</v>
      </c>
      <c r="CO885" s="134">
        <f t="shared" si="1678"/>
        <v>0</v>
      </c>
      <c r="CP885" s="134">
        <f t="shared" si="1679"/>
        <v>0</v>
      </c>
      <c r="CQ885" s="134">
        <f t="shared" si="1680"/>
        <v>0</v>
      </c>
      <c r="CR885" s="134">
        <f t="shared" si="1681"/>
        <v>0</v>
      </c>
      <c r="CS885" s="134">
        <f t="shared" si="1682"/>
        <v>0</v>
      </c>
      <c r="CT885" s="115">
        <f t="shared" si="1683"/>
        <v>0</v>
      </c>
      <c r="CU885" s="116">
        <f t="shared" si="1684"/>
        <v>0</v>
      </c>
      <c r="CV885" s="116">
        <f t="shared" si="1685"/>
        <v>0</v>
      </c>
      <c r="CW885" s="116">
        <f t="shared" si="1686"/>
        <v>0</v>
      </c>
      <c r="CX885" s="116">
        <f t="shared" si="1687"/>
        <v>0</v>
      </c>
      <c r="CY885" s="116">
        <f t="shared" si="1688"/>
        <v>0</v>
      </c>
      <c r="CZ885" s="116">
        <f t="shared" si="1689"/>
        <v>0</v>
      </c>
      <c r="DA885" s="116">
        <f t="shared" si="1690"/>
        <v>0</v>
      </c>
      <c r="DB885" s="116">
        <f t="shared" si="1691"/>
        <v>0</v>
      </c>
      <c r="DC885" s="116">
        <f t="shared" si="1692"/>
        <v>0</v>
      </c>
      <c r="DD885" s="116">
        <f t="shared" si="1693"/>
        <v>0</v>
      </c>
      <c r="DE885" s="117">
        <f t="shared" si="1694"/>
        <v>0</v>
      </c>
      <c r="DF885" s="118">
        <f t="shared" si="1696"/>
        <v>53</v>
      </c>
      <c r="DG885" s="106">
        <f t="shared" si="1697"/>
        <v>71.192999999999998</v>
      </c>
      <c r="DH885" s="116">
        <f t="shared" si="1698"/>
        <v>19</v>
      </c>
      <c r="DI885" s="106">
        <f t="shared" si="1699"/>
        <v>81.47</v>
      </c>
      <c r="DJ885" s="201" t="str">
        <f>IF($D883="","",$D883)</f>
        <v>29</v>
      </c>
      <c r="DK885" s="466"/>
    </row>
    <row r="886" spans="1:115" ht="14.5" customHeight="1" x14ac:dyDescent="0.2">
      <c r="A886" s="487">
        <f>$A883+1</f>
        <v>295</v>
      </c>
      <c r="B886" s="506" t="str">
        <f>IF(OR(C886="W",C887="W",C888="W",C886="1/2W",C887="1/2W",C888="1/2W",C886="1/2L",C887="1/2L",C888="1/2L"),"OK",IF(OR(C886="L",C887="L",C888="L"),"LOSS",IF(OR(C886="X",C887="X",C888="X"),"Anulado"," ")))</f>
        <v>OK</v>
      </c>
      <c r="C886" s="147" t="s">
        <v>55</v>
      </c>
      <c r="D886" s="494" t="s">
        <v>295</v>
      </c>
      <c r="E886" s="511" t="str">
        <f>IF(G886=""," ","– "&amp;COUNTIF(D$4:D888,$D886))</f>
        <v>– 1</v>
      </c>
      <c r="F886" s="510" t="str">
        <f ca="1">IF(G886="","",IF(OR(AND($C886&lt;&gt;" ",$C887=" "),AND($C887&lt;&gt;" ",$C886=" "),AND(L888&gt;0,OR(AND($C888&lt;&gt;" ",OR($C886=" ",$C887=" ")),AND($C888=" ",OR($C886&lt;&gt;" ",$C887&lt;&gt;" "))))),IF(SUM(F$4:F885)=0,1,LARGE(F$4:F885,1)+1),IF(MONTH(G886)=MONTH(TODAY()),IF(AND(DAY(G886)&lt;DAY(TODAY()),$B886=" "),IF(SUM(F$4:F885)=0,1,LARGE(F$4:F885,1)+1),IF($B886=" ",IF(AND(DAY(G886)=DAY(TODAY()),HOUR(G886)&lt;=HOUR(NOW())+1),IF(AND(HOUR(G886)+2&lt;=HOUR(NOW()),DAY(G886)&lt;=DAY(TODAY()),MINUTE(G886)&lt;=MINUTE(NOW())),IF(SUM(F$4:F885)=0,1,LARGE(F$4:F885,1)+1),IF(OR(MINUTE(G886)&lt;=MINUTE(NOW()),HOUR(G886)&lt;=HOUR(NOW())),"!!!","")),""),"")),"")))</f>
        <v/>
      </c>
      <c r="G886" s="517">
        <v>45015.572916666664</v>
      </c>
      <c r="H886" s="516" t="s">
        <v>296</v>
      </c>
      <c r="I886" s="222" t="s">
        <v>61</v>
      </c>
      <c r="J886" s="241"/>
      <c r="K886" s="224" t="s">
        <v>47</v>
      </c>
      <c r="L886" s="225">
        <v>5.55</v>
      </c>
      <c r="M886" s="226">
        <v>10.47</v>
      </c>
      <c r="N886" s="503">
        <v>0</v>
      </c>
      <c r="O886" s="153">
        <f>IF(OR(AE886="",AE887=""),"",ROUND(IF(L888&gt;0,IF(M886&gt;0,M886,IF(M887&gt;0,ROUND((M887*AE886)/AE887,IF(N886=0,2,IF(N886=0.1,1,0))),ROUND((M888*AE886)/AE888,IF(N886=0,2,IF(N886=0.1,1,0))))),IF(M886&gt;0,M886,ROUND((M887*AE886)/AE887,IF(N886=0,2,IF(N886=0.1,1,0))))),2))</f>
        <v>10.47</v>
      </c>
      <c r="P886" s="227">
        <f>IF(OR(L886="",O886=""),"",IF($C886="1/2W",O886/2+O886/2*L886,IF($C886="1/2L",O886/2,IF(I886="Lay",(O886*(L886/(L886-1))-O886)*(1-_xlfn.XLOOKUP(K886,'Fevereiro 2023 - Valor Real'!A3:A15,'Fevereiro 2023 - Valor Real'!C3:C15,0))+O886,(O886*L886-O886)*(1-_xlfn.XLOOKUP(K886,'Fevereiro 2023 - Valor Real'!A3:A15,'Fevereiro 2023 - Valor Real'!C3:C15,0))+O886))))</f>
        <v>58.108499999999999</v>
      </c>
      <c r="Q886" s="228">
        <f>IF(K886="","",IF(_xlfn.XLOOKUP(K886,K$4:K885,$DJ$4:DJ885,0,,-1)=DJ886,_xlfn.XLOOKUP(K886,K$4:K885,Q$4:Q885,1,,-1)+1,1))</f>
        <v>1</v>
      </c>
      <c r="R886" s="229">
        <f>IF(K886="","",_xlfn.XLOOKUP(K886,K$4:K885,R$4:R885,0,,-1)+IF($C886=" ",1,0))</f>
        <v>0</v>
      </c>
      <c r="S886" s="501">
        <f>IF($B886="Anulado",0,ROUND(IF(OR($B886="LOSS",$B886="OK"),IF(OR($C886="W",$C886="1/2W",$C886="1/2L"),P886-O886,IF($C886="L",-O886,0))+IF(OR($C887="W",$C887="1/2W",$C887="1/2L"),P887-O887,IF($C887="L",-O887,0))+IF(OR($C888="W",$C888="1/2W",$C888="1/2L"),P888-O888,IF($C888="L",-O888,0)),IF(AND(OR($C886="W",$C886="1/2W",$C886="1/2L"),C887="W"),P886+P887-SUM(O886:O888)+_xlfn.XLOOKUP("X",C886:C888,O886:O888,0),IF(AND(C886=TRUE,C888="W"),P886+P888-SUM(O886:O888),IF(AND(C887="W",C888="W"),P887+P888-SUM(O886:O888)+_xlfn.XLOOKUP("X",C886:C888,O886:O888,0),IF(L888&gt;0,IF(OR($C886="W",$C886="1/2W",$C886="1/2L"),P886-SUM(O886:O888)+_xlfn.XLOOKUP("X",C886:C888,O886:O888,0),IF(OR($C886="W",$C886="1/2W",$C886="1/2L"),P887-SUM(O886:O888)+_xlfn.XLOOKUP("X",C886:C888,O886:O888,0),IF(OR($C886="W",$C886="1/2W",$C886="1/2L"),P888-SUM(O886:O888)+_xlfn.XLOOKUP("X",C886:C888,O886:O888,0),IF(SUM(P886:P888)/3-SUM(O886:O888)+_xlfn.XLOOKUP("X",C886:C888,O886:O888,0)&gt;0,SUM(P886:P888)/3-SUM(O886:O888)+_xlfn.XLOOKUP("X",C886:C888,O886:O888,0),LARGE(P886:P888,1)-SUM(O886:O888))))),IF(OR($C886="W",$C886="1/2W",$C886="1/2L"),P886-SUM(O886:O887)+_xlfn.XLOOKUP("X",C886:C888,O886:O888,0),IF(OR($C886="W",$C886="1/2W",$C886="1/2L"),P887-SUM(O886:O887)+_xlfn.XLOOKUP("X",C886:C888,O886:O888,0),SUM(P886:P887)/2-SUM(O886:O887)+_xlfn.XLOOKUP("X",C886:C888,O886:O888,0)))))))),2))</f>
        <v>3.49</v>
      </c>
      <c r="T886" s="486">
        <f>IF(S886=0,0,S886/SUM(O886:O888))</f>
        <v>6.3489175914134985E-2</v>
      </c>
      <c r="U886" s="496">
        <f>IF($D886=$D883,IF(OR($B886="LOSS",$B886="OK",$B886="Anulada"),S886,0)+U883,IF(OR($B886="LOSS",$B886="OK",$B886="Anulada"),S886,0))</f>
        <v>3.49</v>
      </c>
      <c r="V886" s="496">
        <f>IF($D886="",0,IF($D886=$D883,IF($B886=" ",IF(I888="",IF(OR(AND(I886="DNB1",I887="DNB2"),AND(OR(I886="DNB1",I886="DNB2"),J887=0),AND(OR(I887="DNB1",I887="DNB2"),J886=0),AND(I886="DNB2",I887="DNB1"),AND(IF(J886=0,(J886+1)/ROUND(J886+1,0),J886/ROUND(J886,0))=1,IF(J887=0,(J887+1)/ROUND(IF(J887="",0,J887)+1,0),IF(J887="",0,J887)/ROUND(IF(J887="",1,J887),0))=1,OR(J886&lt;&gt;""),J887&lt;&gt;"")),0,IF(S886&lt;0,IF(I888="",SMALL(P886:P887,1)-SUM(O886:O887),0),SMALL(P886:P887,1)-SUM(O886:O887))),IF(S886&lt;0,IF(I888="",SMALL(P886:P888,1)-SUM(O886:O888),0),LARGE(P886:P888,1)-SUM(O886:O888))),S886)+V883,IF(I888="",IF(OR(AND(I886="DNB1",I887="DNB2"),AND(OR(I886="DNB1",I886="DNB2"),J887=0),AND(OR(I887="DNB1",I887="DNB2"),J886=0),AND(I886="DNB2",I887="DNB1"),AND(IF(J886=0,(J886+1)/ROUND(J886+1,0),J886/ROUND(J886,0))=1,IF(J887=0,(IF(J887="",0,J887)+1)/ROUND(IF(J887="",0,J887)+1,0),IF(J887="",0,J887)/ROUND(IF(J887="",0,J887)+1,0))=1,OR(J886&lt;&gt;""),J887&lt;&gt;"")),0,IF(S886&lt;0,IF(I888="",SMALL(P886:P887,1)-SUM(O886:O887),0),SMALL(P886:P888,1)-SUM(O886:O888))),IF(S886&lt;0,IF(I888="",SMALL(P886:P888,1)-SUM(O886:O888),0),LARGE(P886:P888,1)-SUM(O886:O888)))))</f>
        <v>3.490000000000002</v>
      </c>
      <c r="W886" s="496">
        <f>IF($D886=$D883,IF(S886&lt;0,IF(I888="",S886,0),S886)+W883,S886)</f>
        <v>3.49</v>
      </c>
      <c r="X886" s="505" t="str">
        <f>IF(OR(SUM(R886:R888)=0,V886=W886),ROUND(IF(W886=0,0,W886/Y886)*100,2)&amp;"%",ROUND(IF(V886=0,0,V886/Y886)*100,2)&amp;"% a "&amp;ROUND(IF(W886=0,0,W886/Y886)*100,2)&amp;"%")</f>
        <v>6,35%</v>
      </c>
      <c r="Y886" s="497">
        <f>IF($D886=$D883,Y883+SUM(O886:O888),SUM(O886:O888))</f>
        <v>54.97</v>
      </c>
      <c r="Z886" s="496">
        <f>IF($B886=" ",SUM(O886:O888),0)+Z883</f>
        <v>0</v>
      </c>
      <c r="AA886" s="496">
        <f>IF(G886="","",IF($B886="Anulado",LARGE(P886:P888,1)-SUM(O886:O888)+AA883,AA883))</f>
        <v>14.77109999999999</v>
      </c>
      <c r="AB886" s="496">
        <f>IF($D886="","",AB883+S886)</f>
        <v>1003.940000000001</v>
      </c>
      <c r="AC886" s="499">
        <f ca="1">IF($D886="","",IF($B886=" ",IF(DAY(G886)=DAY(TODAY()),1+AC883,0+AC883),0+AC883))</f>
        <v>0</v>
      </c>
      <c r="AD886" s="157">
        <f>(((L887/(L887-1)-1)*(1-_xlfn.XLOOKUP(K887,'Fevereiro 2023 - Valor Real'!A3:A15,'Fevereiro 2023 - Valor Real'!C3:C15,0))+1))/(((L886-1)*(1-_xlfn.XLOOKUP(K886,'Fevereiro 2023 - Valor Real'!A3:A15,'Fevereiro 2023 - Valor Real'!C3:C15,0))+1)+((L887/(L887-1)-1)*(1-_xlfn.XLOOKUP(K887,'Fevereiro 2023 - Valor Real'!A3:A15,'Fevereiro 2023 - Valor Real'!C3:C15,0))+1))</f>
        <v>0.16762240846934273</v>
      </c>
      <c r="AE886" s="158">
        <f>IF(L886="","",IF(L888&gt;0,(SUM(((L886-1)*(1-_xlfn.XLOOKUP(K886,'Fevereiro 2023 - Valor Real'!A3:A15,'Fevereiro 2023 - Valor Real'!C3:C15,0))+1),((L887-1)*(1-_xlfn.XLOOKUP(K887,'Fevereiro 2023 - Valor Real'!A3:A15,'Fevereiro 2023 - Valor Real'!C3:C15,0))+1),((L888-1)*(1-_xlfn.XLOOKUP(K888,'Fevereiro 2023 - Valor Real'!A3:A15,'Fevereiro 2023 - Valor Real'!C3:C15,0))+1))/((L886-1)*(1-_xlfn.XLOOKUP(K886,'Fevereiro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Real'!C3:C15,0))+1))/((L886-1)*(1-_xlfn.XLOOKUP(K886,'Fevereiro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Real'!C3:C15,0))+1))/((L887-1)*(1-_xlfn.XLOOKUP(K887,'Fevereiro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Real'!C3:C15,0))+1))/((L888-1)*(1-_xlfn.XLOOKUP(K888,'Fevereiro 2023 - Valor Real'!A3:A15,'Fevereiro 2023 - Valor Real'!C3:C15,0))+1)),IF(I886="Lay",IF(I887="Lay",((L887/(L887-1)-1)*(1-_xlfn.XLOOKUP(K887,'Fevereiro 2023 - Valor Real'!A3:A15,'Fevereiro 2023 - Valor Real'!C3:C15,0))+1)/(((L887/(L887-1)-1)*(1-_xlfn.XLOOKUP(K887,'Fevereiro 2023 - Valor Real'!A3:A15,'Fevereiro 2023 - Valor Real'!C3:C15,0))+1)+((L886/(L886-1)-1)*(1-_xlfn.XLOOKUP(K886,'Fevereiro 2023 - Valor Real'!A3:A15,'Fevereiro 2023 - Valor Real'!C3:C15,0))+1)),((L887-1)*(1-_xlfn.XLOOKUP(K887,'Fevereiro 2023 - Valor Real'!A3:A15,'Fevereiro 2023 - Valor Real'!C3:C15,0))+1)/(((L887-1)*(1-_xlfn.XLOOKUP(K887,'Fevereiro 2023 - Valor Real'!A3:A15,'Fevereiro 2023 - Valor Real'!C3:C15,0))+1)+((L886/(L886-1)-1)*(1-_xlfn.XLOOKUP(K886,'Fevereiro 2023 - Valor Real'!A3:A15,'Fevereiro 2023 - Valor Real'!C3:C15,0))+1))),IF(I887="Lay",(((L887/(L887-1)-1)*(1-_xlfn.XLOOKUP(K887,'Fevereiro 2023 - Valor Real'!A3:A15,'Fevereiro 2023 - Valor Real'!C3:C15,0))+1))/(((L886-1)*(1-_xlfn.XLOOKUP(K886,'Fevereiro 2023 - Valor Real'!A3:A15,'Fevereiro 2023 - Valor Real'!C3:C15,0))+1)+((L887/(L887-1)-1)*(1-_xlfn.XLOOKUP(K887,'Fevereiro 2023 - Valor Real'!A3:A15,'Fevereiro 2023 - Valor Real'!C3:C15,0))+1)),((L887-1)*(1-_xlfn.XLOOKUP(K887,'Fevereiro 2023 - Valor Real'!A3:A15,'Fevereiro 2023 - Valor Real'!C3:C15,0))+1)/(((L887-1)*(1-_xlfn.XLOOKUP(K887,'Fevereiro 2023 - Valor Real'!A3:A15,'Fevereiro 2023 - Valor Real'!C3:C15,0))+1)+((L886-1)*(1-_xlfn.XLOOKUP(K886,'Fevereiro 2023 - Valor Real'!A3:A15,'Fevereiro 2023 - Valor Real'!C3:C15,0))+1))))))</f>
        <v>0.18746916625555007</v>
      </c>
      <c r="AF886" s="66">
        <f t="shared" si="1770"/>
        <v>0</v>
      </c>
      <c r="AG886" s="67">
        <f t="shared" si="1770"/>
        <v>0</v>
      </c>
      <c r="AH886" s="67">
        <f t="shared" si="1770"/>
        <v>0</v>
      </c>
      <c r="AI886" s="67">
        <f t="shared" si="1770"/>
        <v>0</v>
      </c>
      <c r="AJ886" s="67">
        <f t="shared" si="1770"/>
        <v>0</v>
      </c>
      <c r="AK886" s="67">
        <f t="shared" si="1770"/>
        <v>0</v>
      </c>
      <c r="AL886" s="67">
        <f t="shared" si="1770"/>
        <v>0</v>
      </c>
      <c r="AM886" s="67">
        <f t="shared" si="1770"/>
        <v>0</v>
      </c>
      <c r="AN886" s="67">
        <f t="shared" si="1770"/>
        <v>0</v>
      </c>
      <c r="AO886" s="67">
        <f t="shared" si="1770"/>
        <v>0</v>
      </c>
      <c r="AP886" s="67">
        <f t="shared" si="1770"/>
        <v>0</v>
      </c>
      <c r="AQ886" s="67">
        <f t="shared" si="1770"/>
        <v>-10.47</v>
      </c>
      <c r="AR886" s="68">
        <f t="shared" si="1770"/>
        <v>0</v>
      </c>
      <c r="AS886" s="66">
        <f t="shared" ref="AS886:BE886" si="1774">IF(AND($B886=" ",$K886=AS$3),$O886,0)</f>
        <v>0</v>
      </c>
      <c r="AT886" s="67">
        <f t="shared" si="1774"/>
        <v>0</v>
      </c>
      <c r="AU886" s="67">
        <f t="shared" si="1774"/>
        <v>0</v>
      </c>
      <c r="AV886" s="67">
        <f t="shared" si="1774"/>
        <v>0</v>
      </c>
      <c r="AW886" s="67">
        <f t="shared" si="1774"/>
        <v>0</v>
      </c>
      <c r="AX886" s="67">
        <f t="shared" si="1774"/>
        <v>0</v>
      </c>
      <c r="AY886" s="69">
        <f t="shared" si="1774"/>
        <v>0</v>
      </c>
      <c r="AZ886" s="70">
        <f t="shared" si="1774"/>
        <v>0</v>
      </c>
      <c r="BA886" s="70">
        <f t="shared" si="1774"/>
        <v>0</v>
      </c>
      <c r="BB886" s="70">
        <f t="shared" si="1774"/>
        <v>0</v>
      </c>
      <c r="BC886" s="71">
        <f t="shared" si="1774"/>
        <v>0</v>
      </c>
      <c r="BD886" s="67">
        <f t="shared" si="1774"/>
        <v>0</v>
      </c>
      <c r="BE886" s="68">
        <f t="shared" si="1774"/>
        <v>0</v>
      </c>
      <c r="BF886" s="230">
        <f t="shared" si="1772"/>
        <v>0</v>
      </c>
      <c r="BG886" s="67">
        <f t="shared" si="1772"/>
        <v>0</v>
      </c>
      <c r="BH886" s="67">
        <f t="shared" si="1772"/>
        <v>0</v>
      </c>
      <c r="BI886" s="67">
        <f t="shared" si="1772"/>
        <v>0</v>
      </c>
      <c r="BJ886" s="67">
        <f t="shared" si="1772"/>
        <v>0</v>
      </c>
      <c r="BK886" s="67">
        <f t="shared" si="1772"/>
        <v>0</v>
      </c>
      <c r="BL886" s="67">
        <f t="shared" si="1772"/>
        <v>0</v>
      </c>
      <c r="BM886" s="69">
        <f t="shared" si="1772"/>
        <v>0</v>
      </c>
      <c r="BN886" s="70">
        <f t="shared" si="1772"/>
        <v>0</v>
      </c>
      <c r="BO886" s="70">
        <f t="shared" si="1772"/>
        <v>0</v>
      </c>
      <c r="BP886" s="70">
        <f t="shared" si="1772"/>
        <v>0</v>
      </c>
      <c r="BQ886" s="71">
        <f t="shared" si="1772"/>
        <v>10.47</v>
      </c>
      <c r="BR886" s="68">
        <f t="shared" si="1772"/>
        <v>0</v>
      </c>
      <c r="BS886" s="490">
        <f>IF($B886="LOSS",IF(AND($K886=BS$3,$C886="L"),-$O886,0)+IF(AND($K887=BS$3,$C887="L"),-$O887,0)+IF(AND($K888=BS$3,$C888="L"),-$O888,0),IF(OR(AND($K886=BS$3,OR($C886="W",$C886="1/2W")),AND($K887=BS$3,OR($C887="W",$C887="1/2W")),AND($K888=BS$3,OR($C888="W",$C888="1/2W"))),$S886,0))</f>
        <v>0</v>
      </c>
      <c r="BT886" s="488">
        <f>IF($B886="LOSS",IF(AND($K886=BT$3,$C886="L"),-$O886,0)+IF(AND($K887=BT$3,$C887="L"),-$O887,0)+IF(AND($K887=BT$3,$C888="L"),-$O888,0),IF(OR(AND($K887=BT$3,OR($C886="W",$C886="1/2W")),AND($K887=BT$3,OR($C887="W",$C887="1/2W")),AND($K887=BT$3,OR($C888="W",$C888="1/2W"))),$S886,0))</f>
        <v>0</v>
      </c>
      <c r="BU886" s="488">
        <f>IF($B886="LOSS",IF(AND($K886=BU$3,$C886="L"),-$O886,0)+IF(AND($K887=BU$3,$C887="L"),-$O887,0)+IF(AND($K887=BU$3,$C888="L"),-$O888,0),IF(OR(AND($K887=BU$3,OR($C886="W",$C886="1/2W")),AND($K887=BU$3,OR($C887="W",$C887="1/2W")),AND($K887=BU$3,OR($C888="W",$C888="1/2W"))),$S886,0))</f>
        <v>0</v>
      </c>
      <c r="BV886" s="488">
        <f t="shared" ref="BV886:CE886" si="1775">IF($B886="LOSS",IF(AND($K886=BV$3,$C886="L"),-$O886,0)+IF(AND($K887=BV$3,$C887="L"),-$O887,0)+IF(AND($K888=BV$3,$C888="L"),-$O888,0),IF(OR(AND($K886=BV$3,OR($C886="W",$C886="1/2W")),AND($K887=BV$3,OR($C887="W",$C887="1/2W")),AND($K888=BV$3,OR($C888="W",$C888="1/2W"))),$S886,0))</f>
        <v>0</v>
      </c>
      <c r="BW886" s="488">
        <f t="shared" si="1775"/>
        <v>3.49</v>
      </c>
      <c r="BX886" s="488">
        <f t="shared" si="1775"/>
        <v>0</v>
      </c>
      <c r="BY886" s="488">
        <f t="shared" si="1775"/>
        <v>0</v>
      </c>
      <c r="BZ886" s="498">
        <f t="shared" si="1775"/>
        <v>0</v>
      </c>
      <c r="CA886" s="498">
        <f t="shared" si="1775"/>
        <v>0</v>
      </c>
      <c r="CB886" s="498">
        <f t="shared" si="1775"/>
        <v>0</v>
      </c>
      <c r="CC886" s="498">
        <f t="shared" si="1775"/>
        <v>0</v>
      </c>
      <c r="CD886" s="500">
        <f t="shared" si="1775"/>
        <v>0</v>
      </c>
      <c r="CE886" s="504">
        <f t="shared" si="1775"/>
        <v>0</v>
      </c>
      <c r="CF886" s="160">
        <f t="shared" si="1669"/>
        <v>0</v>
      </c>
      <c r="CG886" s="161">
        <f t="shared" si="1670"/>
        <v>0</v>
      </c>
      <c r="CH886" s="161">
        <f t="shared" si="1671"/>
        <v>0</v>
      </c>
      <c r="CI886" s="161">
        <f t="shared" si="1672"/>
        <v>0</v>
      </c>
      <c r="CJ886" s="161">
        <f t="shared" si="1673"/>
        <v>0</v>
      </c>
      <c r="CK886" s="161">
        <f t="shared" si="1674"/>
        <v>0</v>
      </c>
      <c r="CL886" s="161">
        <f t="shared" si="1675"/>
        <v>0</v>
      </c>
      <c r="CM886" s="161">
        <f t="shared" si="1676"/>
        <v>0</v>
      </c>
      <c r="CN886" s="161">
        <f t="shared" si="1677"/>
        <v>0</v>
      </c>
      <c r="CO886" s="161">
        <f t="shared" si="1678"/>
        <v>0</v>
      </c>
      <c r="CP886" s="161">
        <f t="shared" si="1679"/>
        <v>0</v>
      </c>
      <c r="CQ886" s="161">
        <f t="shared" si="1680"/>
        <v>0</v>
      </c>
      <c r="CR886" s="161">
        <f t="shared" si="1681"/>
        <v>0</v>
      </c>
      <c r="CS886" s="161">
        <f t="shared" si="1682"/>
        <v>0</v>
      </c>
      <c r="CT886" s="75">
        <f t="shared" si="1683"/>
        <v>0</v>
      </c>
      <c r="CU886" s="76">
        <f t="shared" si="1684"/>
        <v>0</v>
      </c>
      <c r="CV886" s="76">
        <f t="shared" si="1685"/>
        <v>0</v>
      </c>
      <c r="CW886" s="76">
        <f t="shared" si="1686"/>
        <v>0</v>
      </c>
      <c r="CX886" s="76">
        <f t="shared" si="1687"/>
        <v>0</v>
      </c>
      <c r="CY886" s="76">
        <f t="shared" si="1688"/>
        <v>0</v>
      </c>
      <c r="CZ886" s="76">
        <f t="shared" si="1689"/>
        <v>0</v>
      </c>
      <c r="DA886" s="76">
        <f t="shared" si="1690"/>
        <v>0</v>
      </c>
      <c r="DB886" s="76">
        <f t="shared" si="1691"/>
        <v>0</v>
      </c>
      <c r="DC886" s="76">
        <f t="shared" si="1692"/>
        <v>1</v>
      </c>
      <c r="DD886" s="76">
        <f t="shared" si="1693"/>
        <v>0</v>
      </c>
      <c r="DE886" s="77">
        <f t="shared" si="1694"/>
        <v>0</v>
      </c>
      <c r="DF886" s="73">
        <f t="shared" si="1696"/>
        <v>53</v>
      </c>
      <c r="DG886" s="67">
        <f t="shared" si="1697"/>
        <v>71.192999999999998</v>
      </c>
      <c r="DH886" s="76">
        <f t="shared" si="1698"/>
        <v>19</v>
      </c>
      <c r="DI886" s="67">
        <f t="shared" si="1699"/>
        <v>81.47</v>
      </c>
      <c r="DJ886" s="202" t="str">
        <f>IF($D886="","",$D886)</f>
        <v>30</v>
      </c>
      <c r="DK886" s="492">
        <f>IF(AND($B886=" ",$D886&lt;&gt;""),1,0)</f>
        <v>0</v>
      </c>
    </row>
    <row r="887" spans="1:115" ht="14.5" customHeight="1" x14ac:dyDescent="0.2">
      <c r="A887" s="389"/>
      <c r="B887" s="456"/>
      <c r="C887" s="53" t="s">
        <v>55</v>
      </c>
      <c r="D887" s="374"/>
      <c r="E887" s="386"/>
      <c r="F887" s="377"/>
      <c r="G887" s="483"/>
      <c r="H887" s="476"/>
      <c r="I887" s="55" t="s">
        <v>49</v>
      </c>
      <c r="J887" s="242" t="str">
        <f>IF(OR(I886="TO",I886="TU",I886="TO1",I886="TU1",I886="TO2",I886="TU2"),J886,IF(OR(I886="AH1",I886="AH2"),IF(OR(I887="AH1",I887="AH2"),-J886,IF(OR(I887="EH1",I887="EH2"),-J886+0.5,"")),IF(OR(I886="EH1",I886="EH2"),IF(OR(I887="AH1",I887="AH2"),-J886+0.5,IF(OR(I887="EH1",I887="EH2"),-J886+1,"")),IF(AND(OR(I886="DNB1",I886="DNB2"),OR(I887="AH1",I887="AH2")),0,IF(AND(I886="Not ScoreBoth",OR(I887="TO1",I887="TO2")),0.5,"")))))</f>
        <v/>
      </c>
      <c r="K887" s="232" t="s">
        <v>39</v>
      </c>
      <c r="L887" s="58">
        <v>9.5</v>
      </c>
      <c r="M887" s="59">
        <v>5</v>
      </c>
      <c r="N887" s="406"/>
      <c r="O887" s="60">
        <f>IF(OR(AE886="",AE887=""),"",ROUND(IF(L888&gt;0,IF(M887&gt;0,M887,IF(M886&gt;0,IF(N886=TRUE,ROUND((M886*AE887)/AE886,0),(M886*AE887)/AE886),IF(M887&gt;0,ROUND(M887,IF(N886=0,2,IF(N886=0.1,1,0))),IF(M888&gt;0,ROUND(O888*AE887/AE888,IF(N886=0,2,IF(N886=0.1,1,0))),0)))),IF(M887&gt;0,M887,ROUND((M886*AE887)/AE886,IF(N886=0,2,IF(N886=0.1,1,0))))),2))</f>
        <v>5</v>
      </c>
      <c r="P887" s="61">
        <f>IF(OR(L887="",O887=""),"",IF($C887="1/2W",O887/2+O887/2*L887,IF($C887="1/2L",O887/2,IF(I887="Lay",((O887*(L887/(L887-1)))-O887)*(1-_xlfn.XLOOKUP(K887,'Fevereiro 2023 - Valor Real'!A3:A15,'Fevereiro 2023 - Valor Real'!C3:C15,0))+O887,(O887*L887-O887)*(1-_xlfn.XLOOKUP(K887,'Fevereiro 2023 - Valor Real'!A3:A15,'Fevereiro 2023 - Valor Real'!C3:C15,0))+O887))))</f>
        <v>47.5</v>
      </c>
      <c r="Q887" s="233">
        <f>IF(K887="","",IF(_xlfn.XLOOKUP(K887,K$4:K886,$DJ$4:DJ886,0,,-1)=DJ887,_xlfn.XLOOKUP(K887,K$4:K886,Q$4:Q886,1,,-1)+1,1))</f>
        <v>1</v>
      </c>
      <c r="R887" s="234">
        <f>IF(K887="","",_xlfn.XLOOKUP(K887,K$4:K886,R$4:R886,0,,-1)+IF($C887=" ",1,0))</f>
        <v>0</v>
      </c>
      <c r="S887" s="403"/>
      <c r="T887" s="380"/>
      <c r="U887" s="380"/>
      <c r="V887" s="481"/>
      <c r="W887" s="380"/>
      <c r="X887" s="452"/>
      <c r="Y887" s="383"/>
      <c r="Z887" s="384"/>
      <c r="AA887" s="384"/>
      <c r="AB887" s="384"/>
      <c r="AC887" s="384"/>
      <c r="AD887" s="64">
        <f>(((L887/(L887-1)-1)*(1-_xlfn.XLOOKUP(K887,'Fevereiro 2023 - Valor Real'!A3:A15,'Fevereiro 2023 - Valor Real'!C3:C15,0))+1))</f>
        <v>1.1176470588235294</v>
      </c>
      <c r="AE887" s="65">
        <f>IF(L887="","",IF(L888&gt;0,(SUM(((L886-1)*(1-_xlfn.XLOOKUP(K886,'Fevereiro 2023 - Valor Real'!A3:A15,'Fevereiro 2023 - Valor Real'!C3:C15,0))+1),((L887-1)*(1-_xlfn.XLOOKUP(K887,'Fevereiro 2023 - Valor Real'!A3:A15,'Fevereiro 2023 - Valor Real'!C3:C15,0))+1),((L888-1)*(1-_xlfn.XLOOKUP(K888,'Fevereiro 2023 - Valor Real'!A3:A15,'Fevereiro 2023 - Valor Real'!C3:C15,0))+1))/((L887-1)*(1-_xlfn.XLOOKUP(K887,'Fevereiro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Real'!C3:C15,0))+1))/((L886-1)*(1-_xlfn.XLOOKUP(K886,'Fevereiro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Real'!C3:C15,0))+1))/((L887-1)*(1-_xlfn.XLOOKUP(K887,'Fevereiro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Real'!C3:C15,0))+1))/((L888-1)*(1-_xlfn.XLOOKUP(K888,'Fevereiro 2023 - Valor Real'!A3:A15,'Fevereiro 2023 - Valor Real'!C3:C15,0))+1)),IF(I887="Lay",IF(I886="Lay",((L886/(L886-1)-1)*(1-_xlfn.XLOOKUP(K886,'Fevereiro 2023 - Valor Real'!A3:A15,'Fevereiro 2023 - Valor Real'!C3:C15,0))+1)/(((L886/(L886-1)-1)*(1-_xlfn.XLOOKUP(K886,'Fevereiro 2023 - Valor Real'!A3:A15,'Fevereiro 2023 - Valor Real'!C3:C15,0))+1)+((L887/(L887-1)-1)*(1-_xlfn.XLOOKUP(K887,'Fevereiro 2023 - Valor Real'!A3:A15,'Fevereiro 2023 - Valor Real'!C3:C15,0))+1)),((L886-1)*(1-_xlfn.XLOOKUP(K886,'Fevereiro 2023 - Valor Real'!A3:A15,'Fevereiro 2023 - Valor Real'!C3:C15,0))+1)/(((L886-1)*(1-_xlfn.XLOOKUP(K886,'Fevereiro 2023 - Valor Real'!A3:A15,'Fevereiro 2023 - Valor Real'!C3:C15,0))+1)+((L887/(L887-1)-1)*(1-_xlfn.XLOOKUP(K887,'Fevereiro 2023 - Valor Real'!A3:A15,'Fevereiro 2023 - Valor Real'!C3:C15,0))+1))),IF(I886="Lay",((L886/(L886-1)-1)*(1-_xlfn.XLOOKUP(K886,'Fevereiro 2023 - Valor Real'!A3:A15,'Fevereiro 2023 - Valor Real'!C3:C15,0))+1)/((((L886/(L886-1)-1)*(1-_xlfn.XLOOKUP(K886,'Fevereiro 2023 - Valor Real'!A3:A15,'Fevereiro 2023 - Valor Real'!C3:C15,0))+1))+((L887-1)*(1-_xlfn.XLOOKUP(K887,'Fevereiro 2023 - Valor Real'!A3:A15,'Fevereiro 2023 - Valor Real'!C3:C15,0))+1)),((L886-1)*(1-_xlfn.XLOOKUP(K886,'Fevereiro 2023 - Valor Real'!A3:A15,'Fevereiro 2023 - Valor Real'!C3:C15,0))+1)/(((L886-1)*(1-_xlfn.XLOOKUP(K886,'Fevereiro 2023 - Valor Real'!A3:A15,'Fevereiro 2023 - Valor Real'!C3:C15,0))+1)+((L887-1)*(1-_xlfn.XLOOKUP(K887,'Fevereiro 2023 - Valor Real'!A3:A15,'Fevereiro 2023 - Valor Real'!C3:C15,0))+1))))))</f>
        <v>0.10952146028613716</v>
      </c>
      <c r="AF887" s="66">
        <f t="shared" si="1770"/>
        <v>0</v>
      </c>
      <c r="AG887" s="67">
        <f t="shared" si="1770"/>
        <v>0</v>
      </c>
      <c r="AH887" s="67">
        <f t="shared" si="1770"/>
        <v>0</v>
      </c>
      <c r="AI887" s="67">
        <f t="shared" si="1770"/>
        <v>-5</v>
      </c>
      <c r="AJ887" s="67">
        <f t="shared" si="1770"/>
        <v>0</v>
      </c>
      <c r="AK887" s="67">
        <f t="shared" si="1770"/>
        <v>0</v>
      </c>
      <c r="AL887" s="67">
        <f t="shared" si="1770"/>
        <v>0</v>
      </c>
      <c r="AM887" s="67">
        <f t="shared" si="1770"/>
        <v>0</v>
      </c>
      <c r="AN887" s="67">
        <f t="shared" si="1770"/>
        <v>0</v>
      </c>
      <c r="AO887" s="67">
        <f t="shared" si="1770"/>
        <v>0</v>
      </c>
      <c r="AP887" s="67">
        <f t="shared" si="1770"/>
        <v>0</v>
      </c>
      <c r="AQ887" s="67">
        <f t="shared" si="1770"/>
        <v>0</v>
      </c>
      <c r="AR887" s="68">
        <f t="shared" si="1770"/>
        <v>0</v>
      </c>
      <c r="AS887" s="66">
        <f>IF(AND($B886=" ",$K887=AS$3),$O887,0)</f>
        <v>0</v>
      </c>
      <c r="AT887" s="67">
        <f>IF(AND($B886=" ",K887=AT$3),$O887,0)</f>
        <v>0</v>
      </c>
      <c r="AU887" s="67">
        <f t="shared" ref="AU887:BE887" si="1776">IF(AND($B886=" ",$K887=AU$3),$O887,0)</f>
        <v>0</v>
      </c>
      <c r="AV887" s="67">
        <f t="shared" si="1776"/>
        <v>0</v>
      </c>
      <c r="AW887" s="67">
        <f t="shared" si="1776"/>
        <v>0</v>
      </c>
      <c r="AX887" s="67">
        <f t="shared" si="1776"/>
        <v>0</v>
      </c>
      <c r="AY887" s="69">
        <f t="shared" si="1776"/>
        <v>0</v>
      </c>
      <c r="AZ887" s="70">
        <f t="shared" si="1776"/>
        <v>0</v>
      </c>
      <c r="BA887" s="70">
        <f t="shared" si="1776"/>
        <v>0</v>
      </c>
      <c r="BB887" s="70">
        <f t="shared" si="1776"/>
        <v>0</v>
      </c>
      <c r="BC887" s="71">
        <f t="shared" si="1776"/>
        <v>0</v>
      </c>
      <c r="BD887" s="67">
        <f t="shared" si="1776"/>
        <v>0</v>
      </c>
      <c r="BE887" s="68">
        <f t="shared" si="1776"/>
        <v>0</v>
      </c>
      <c r="BF887" s="66">
        <f t="shared" si="1772"/>
        <v>0</v>
      </c>
      <c r="BG887" s="67">
        <f t="shared" si="1772"/>
        <v>0</v>
      </c>
      <c r="BH887" s="67">
        <f t="shared" si="1772"/>
        <v>0</v>
      </c>
      <c r="BI887" s="67">
        <f t="shared" si="1772"/>
        <v>5</v>
      </c>
      <c r="BJ887" s="67">
        <f t="shared" si="1772"/>
        <v>0</v>
      </c>
      <c r="BK887" s="67">
        <f t="shared" si="1772"/>
        <v>0</v>
      </c>
      <c r="BL887" s="67">
        <f t="shared" si="1772"/>
        <v>0</v>
      </c>
      <c r="BM887" s="235">
        <f t="shared" si="1772"/>
        <v>0</v>
      </c>
      <c r="BN887" s="159">
        <f t="shared" si="1772"/>
        <v>0</v>
      </c>
      <c r="BO887" s="159">
        <f t="shared" si="1772"/>
        <v>0</v>
      </c>
      <c r="BP887" s="159">
        <f t="shared" si="1772"/>
        <v>0</v>
      </c>
      <c r="BQ887" s="71">
        <f t="shared" si="1772"/>
        <v>0</v>
      </c>
      <c r="BR887" s="68">
        <f t="shared" si="1772"/>
        <v>0</v>
      </c>
      <c r="BS887" s="464"/>
      <c r="BT887" s="461"/>
      <c r="BU887" s="392"/>
      <c r="BV887" s="461"/>
      <c r="BW887" s="392"/>
      <c r="BX887" s="392"/>
      <c r="BY887" s="392"/>
      <c r="BZ887" s="461"/>
      <c r="CA887" s="392"/>
      <c r="CB887" s="392"/>
      <c r="CC887" s="392"/>
      <c r="CD887" s="401"/>
      <c r="CE887" s="409"/>
      <c r="CF887" s="236">
        <f t="shared" si="1669"/>
        <v>0</v>
      </c>
      <c r="CG887" s="237">
        <f t="shared" si="1670"/>
        <v>0</v>
      </c>
      <c r="CH887" s="237">
        <f t="shared" si="1671"/>
        <v>0</v>
      </c>
      <c r="CI887" s="237">
        <f t="shared" si="1672"/>
        <v>0</v>
      </c>
      <c r="CJ887" s="237">
        <f t="shared" si="1673"/>
        <v>0</v>
      </c>
      <c r="CK887" s="237">
        <f t="shared" si="1674"/>
        <v>0</v>
      </c>
      <c r="CL887" s="237">
        <f t="shared" si="1675"/>
        <v>0</v>
      </c>
      <c r="CM887" s="237">
        <f t="shared" si="1676"/>
        <v>1</v>
      </c>
      <c r="CN887" s="237">
        <f t="shared" si="1677"/>
        <v>0</v>
      </c>
      <c r="CO887" s="237">
        <f t="shared" si="1678"/>
        <v>0</v>
      </c>
      <c r="CP887" s="237">
        <f t="shared" si="1679"/>
        <v>0</v>
      </c>
      <c r="CQ887" s="237">
        <f t="shared" si="1680"/>
        <v>0</v>
      </c>
      <c r="CR887" s="237">
        <f t="shared" si="1681"/>
        <v>0</v>
      </c>
      <c r="CS887" s="237">
        <f t="shared" si="1682"/>
        <v>0</v>
      </c>
      <c r="CT887" s="75">
        <f t="shared" si="1683"/>
        <v>0</v>
      </c>
      <c r="CU887" s="76">
        <f t="shared" si="1684"/>
        <v>0</v>
      </c>
      <c r="CV887" s="76">
        <f t="shared" si="1685"/>
        <v>0</v>
      </c>
      <c r="CW887" s="76">
        <f t="shared" si="1686"/>
        <v>0</v>
      </c>
      <c r="CX887" s="76">
        <f t="shared" si="1687"/>
        <v>0</v>
      </c>
      <c r="CY887" s="76">
        <f t="shared" si="1688"/>
        <v>0</v>
      </c>
      <c r="CZ887" s="76">
        <f t="shared" si="1689"/>
        <v>0</v>
      </c>
      <c r="DA887" s="76">
        <f t="shared" si="1690"/>
        <v>0</v>
      </c>
      <c r="DB887" s="76">
        <f t="shared" si="1691"/>
        <v>0</v>
      </c>
      <c r="DC887" s="76">
        <f t="shared" si="1692"/>
        <v>0</v>
      </c>
      <c r="DD887" s="76">
        <f t="shared" si="1693"/>
        <v>0</v>
      </c>
      <c r="DE887" s="77">
        <f t="shared" si="1694"/>
        <v>0</v>
      </c>
      <c r="DF887" s="73">
        <f t="shared" si="1696"/>
        <v>53</v>
      </c>
      <c r="DG887" s="67">
        <f t="shared" si="1697"/>
        <v>71.192999999999998</v>
      </c>
      <c r="DH887" s="76">
        <f t="shared" si="1698"/>
        <v>19</v>
      </c>
      <c r="DI887" s="67">
        <f t="shared" si="1699"/>
        <v>81.47</v>
      </c>
      <c r="DJ887" s="202" t="str">
        <f>IF($D886="","",$D886)</f>
        <v>30</v>
      </c>
      <c r="DK887" s="466"/>
    </row>
    <row r="888" spans="1:115" ht="14.5" customHeight="1" x14ac:dyDescent="0.2">
      <c r="A888" s="390"/>
      <c r="B888" s="457"/>
      <c r="C888" s="79" t="s">
        <v>54</v>
      </c>
      <c r="D888" s="375"/>
      <c r="E888" s="387"/>
      <c r="F888" s="378"/>
      <c r="G888" s="484"/>
      <c r="H888" s="477"/>
      <c r="I888" s="250">
        <v>1</v>
      </c>
      <c r="J888" s="83"/>
      <c r="K888" s="245" t="s">
        <v>40</v>
      </c>
      <c r="L888" s="246">
        <v>1.48</v>
      </c>
      <c r="M888" s="85">
        <v>39.5</v>
      </c>
      <c r="N888" s="407"/>
      <c r="O888" s="187">
        <f>IF(OR(AE886="",AE887=""),"",IF(L888&gt;0,ROUND(IF(M888&gt;0,M888,IF(M886&gt;0,ROUND((M886*AE888)/AE886,IF(N886=0,2,IF(N886=0.1,1,0))),IF(M887&gt;0,ROUND((M887*AE888)/AE887,IF(N886=0,2,IF(N886=0.1,1,0))),IF(M888&gt;0,M888,0)))),2),""))</f>
        <v>39.5</v>
      </c>
      <c r="P888" s="188">
        <f>IF(I887="Lay",O887*(L887/(L887-1))-O887,IF(I886="Lay",O886*(L886/(L886-1))-O886,IF(OR(L888="",O888=""),"",IF($C888="1/2W",O888/2+O888/2*L888,IF($C888="1/2L",O888/2,(O888*L888-O888)*(1-_xlfn.XLOOKUP(K888,'Fevereiro 2023 - Valor Real'!A3:A15,'Fevereiro 2023 - Valor Real'!C3:C15,0))+O888)))))</f>
        <v>58.46</v>
      </c>
      <c r="Q888" s="233">
        <f>IF(K888="","",IF(_xlfn.XLOOKUP(K888,K$4:K887,$DJ$4:DJ887,0,,-1)=DJ888,_xlfn.XLOOKUP(K888,K$4:K887,Q$4:Q887,1,,-1)+1,1))</f>
        <v>1</v>
      </c>
      <c r="R888" s="247">
        <f>IF(K888="","",_xlfn.XLOOKUP(K888,K$4:K887,R$4:R887,0,,-1)+IF($C888=" ",1,0))</f>
        <v>0</v>
      </c>
      <c r="S888" s="404"/>
      <c r="T888" s="378"/>
      <c r="U888" s="378"/>
      <c r="V888" s="404"/>
      <c r="W888" s="378"/>
      <c r="X888" s="453"/>
      <c r="Y888" s="383"/>
      <c r="Z888" s="384"/>
      <c r="AA888" s="384"/>
      <c r="AB888" s="384"/>
      <c r="AC888" s="384"/>
      <c r="AD888" s="240">
        <f>((L887/(L887-1)-1))</f>
        <v>0.11764705882352944</v>
      </c>
      <c r="AE888" s="190">
        <f>IF(L888="","",(SUM(((L886-1)*(1-_xlfn.XLOOKUP(K886,'Fevereiro 2023 - Valor Real'!A3:A15,'Fevereiro 2023 - Valor Real'!C3:C15,0))+1),((L887-1)*(1-_xlfn.XLOOKUP(K887,'Fevereiro 2023 - Valor Real'!A3:A15,'Fevereiro 2023 - Valor Real'!C3:C15,0))+1),((L888-1)*(1-_xlfn.XLOOKUP(K888,'Fevereiro 2023 - Valor Real'!A3:A15,'Fevereiro 2023 - Valor Real'!C3:C15,0))+1))/((L888-1)*(1-_xlfn.XLOOKUP(K888,'Fevereiro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Real'!C3:C15,0))+1))/((L886-1)*(1-_xlfn.XLOOKUP(K886,'Fevereiro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Real'!C3:C15,0))+1))/((L887-1)*(1-_xlfn.XLOOKUP(K887,'Fevereiro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Real'!C3:C15,0))+1))/((L888-1)*(1-_xlfn.XLOOKUP(K888,'Fevereiro 2023 - Valor Real'!A3:A15,'Fevereiro 2023 - Valor Real'!C3:C15,0))+1)))</f>
        <v>0.70300937345831271</v>
      </c>
      <c r="AF888" s="66">
        <f t="shared" si="1770"/>
        <v>0</v>
      </c>
      <c r="AG888" s="67">
        <f t="shared" si="1770"/>
        <v>0</v>
      </c>
      <c r="AH888" s="67">
        <f t="shared" si="1770"/>
        <v>0</v>
      </c>
      <c r="AI888" s="67">
        <f t="shared" si="1770"/>
        <v>0</v>
      </c>
      <c r="AJ888" s="67">
        <f t="shared" si="1770"/>
        <v>18.96</v>
      </c>
      <c r="AK888" s="67">
        <f t="shared" si="1770"/>
        <v>0</v>
      </c>
      <c r="AL888" s="67">
        <f t="shared" si="1770"/>
        <v>0</v>
      </c>
      <c r="AM888" s="67">
        <f t="shared" si="1770"/>
        <v>0</v>
      </c>
      <c r="AN888" s="67">
        <f t="shared" si="1770"/>
        <v>0</v>
      </c>
      <c r="AO888" s="67">
        <f t="shared" si="1770"/>
        <v>0</v>
      </c>
      <c r="AP888" s="67">
        <f t="shared" si="1770"/>
        <v>0</v>
      </c>
      <c r="AQ888" s="67">
        <f t="shared" si="1770"/>
        <v>0</v>
      </c>
      <c r="AR888" s="68">
        <f t="shared" si="1770"/>
        <v>0</v>
      </c>
      <c r="AS888" s="66">
        <f>IF(AND($B886=" ",$K888=AS$3),$O888,0)</f>
        <v>0</v>
      </c>
      <c r="AT888" s="67">
        <f>IF(AND($B886=" ",K888=AT$3),$O888,0)</f>
        <v>0</v>
      </c>
      <c r="AU888" s="67">
        <f t="shared" ref="AU888:BE888" si="1777">IF(AND($B886=" ",$K888=AU$3),$O888,0)</f>
        <v>0</v>
      </c>
      <c r="AV888" s="67">
        <f t="shared" si="1777"/>
        <v>0</v>
      </c>
      <c r="AW888" s="67">
        <f t="shared" si="1777"/>
        <v>0</v>
      </c>
      <c r="AX888" s="67">
        <f t="shared" si="1777"/>
        <v>0</v>
      </c>
      <c r="AY888" s="69">
        <f t="shared" si="1777"/>
        <v>0</v>
      </c>
      <c r="AZ888" s="70">
        <f t="shared" si="1777"/>
        <v>0</v>
      </c>
      <c r="BA888" s="70">
        <f t="shared" si="1777"/>
        <v>0</v>
      </c>
      <c r="BB888" s="70">
        <f t="shared" si="1777"/>
        <v>0</v>
      </c>
      <c r="BC888" s="71">
        <f t="shared" si="1777"/>
        <v>0</v>
      </c>
      <c r="BD888" s="67">
        <f t="shared" si="1777"/>
        <v>0</v>
      </c>
      <c r="BE888" s="68">
        <f t="shared" si="1777"/>
        <v>0</v>
      </c>
      <c r="BF888" s="66">
        <f t="shared" si="1772"/>
        <v>0</v>
      </c>
      <c r="BG888" s="67">
        <f t="shared" si="1772"/>
        <v>0</v>
      </c>
      <c r="BH888" s="67">
        <f t="shared" si="1772"/>
        <v>0</v>
      </c>
      <c r="BI888" s="67">
        <f t="shared" si="1772"/>
        <v>0</v>
      </c>
      <c r="BJ888" s="67">
        <f t="shared" si="1772"/>
        <v>39.5</v>
      </c>
      <c r="BK888" s="67">
        <f t="shared" si="1772"/>
        <v>0</v>
      </c>
      <c r="BL888" s="67">
        <f t="shared" si="1772"/>
        <v>0</v>
      </c>
      <c r="BM888" s="69">
        <f t="shared" si="1772"/>
        <v>0</v>
      </c>
      <c r="BN888" s="70">
        <f t="shared" si="1772"/>
        <v>0</v>
      </c>
      <c r="BO888" s="70">
        <f t="shared" si="1772"/>
        <v>0</v>
      </c>
      <c r="BP888" s="70">
        <f t="shared" si="1772"/>
        <v>0</v>
      </c>
      <c r="BQ888" s="71">
        <f t="shared" si="1772"/>
        <v>0</v>
      </c>
      <c r="BR888" s="68">
        <f t="shared" si="1772"/>
        <v>0</v>
      </c>
      <c r="BS888" s="464"/>
      <c r="BT888" s="461"/>
      <c r="BU888" s="392"/>
      <c r="BV888" s="461"/>
      <c r="BW888" s="392"/>
      <c r="BX888" s="392"/>
      <c r="BY888" s="392"/>
      <c r="BZ888" s="461"/>
      <c r="CA888" s="392"/>
      <c r="CB888" s="392"/>
      <c r="CC888" s="392"/>
      <c r="CD888" s="401"/>
      <c r="CE888" s="409"/>
      <c r="CF888" s="236">
        <f t="shared" si="1669"/>
        <v>0</v>
      </c>
      <c r="CG888" s="237">
        <f t="shared" si="1670"/>
        <v>0</v>
      </c>
      <c r="CH888" s="237">
        <f t="shared" si="1671"/>
        <v>0</v>
      </c>
      <c r="CI888" s="237">
        <f t="shared" si="1672"/>
        <v>0</v>
      </c>
      <c r="CJ888" s="237">
        <f t="shared" si="1673"/>
        <v>0</v>
      </c>
      <c r="CK888" s="237">
        <f t="shared" si="1674"/>
        <v>0</v>
      </c>
      <c r="CL888" s="237">
        <f t="shared" si="1675"/>
        <v>0</v>
      </c>
      <c r="CM888" s="237">
        <f t="shared" si="1676"/>
        <v>0</v>
      </c>
      <c r="CN888" s="237">
        <f t="shared" si="1677"/>
        <v>1</v>
      </c>
      <c r="CO888" s="237">
        <f t="shared" si="1678"/>
        <v>0</v>
      </c>
      <c r="CP888" s="237">
        <f t="shared" si="1679"/>
        <v>0</v>
      </c>
      <c r="CQ888" s="237">
        <f t="shared" si="1680"/>
        <v>0</v>
      </c>
      <c r="CR888" s="237">
        <f t="shared" si="1681"/>
        <v>0</v>
      </c>
      <c r="CS888" s="237">
        <f t="shared" si="1682"/>
        <v>0</v>
      </c>
      <c r="CT888" s="75">
        <f t="shared" si="1683"/>
        <v>0</v>
      </c>
      <c r="CU888" s="76">
        <f t="shared" si="1684"/>
        <v>0</v>
      </c>
      <c r="CV888" s="76">
        <f t="shared" si="1685"/>
        <v>0</v>
      </c>
      <c r="CW888" s="76">
        <f t="shared" si="1686"/>
        <v>0</v>
      </c>
      <c r="CX888" s="76">
        <f t="shared" si="1687"/>
        <v>0</v>
      </c>
      <c r="CY888" s="76">
        <f t="shared" si="1688"/>
        <v>0</v>
      </c>
      <c r="CZ888" s="76">
        <f t="shared" si="1689"/>
        <v>0</v>
      </c>
      <c r="DA888" s="76">
        <f t="shared" si="1690"/>
        <v>0</v>
      </c>
      <c r="DB888" s="76">
        <f t="shared" si="1691"/>
        <v>0</v>
      </c>
      <c r="DC888" s="76">
        <f t="shared" si="1692"/>
        <v>0</v>
      </c>
      <c r="DD888" s="76">
        <f t="shared" si="1693"/>
        <v>0</v>
      </c>
      <c r="DE888" s="77">
        <f t="shared" si="1694"/>
        <v>0</v>
      </c>
      <c r="DF888" s="73">
        <f t="shared" si="1696"/>
        <v>54</v>
      </c>
      <c r="DG888" s="67">
        <f t="shared" si="1697"/>
        <v>72.673000000000002</v>
      </c>
      <c r="DH888" s="76">
        <f t="shared" si="1698"/>
        <v>19</v>
      </c>
      <c r="DI888" s="67">
        <f t="shared" si="1699"/>
        <v>81.47</v>
      </c>
      <c r="DJ888" s="202" t="str">
        <f>IF($D886="","",$D886)</f>
        <v>30</v>
      </c>
      <c r="DK888" s="466"/>
    </row>
    <row r="889" spans="1:115" ht="14.5" customHeight="1" x14ac:dyDescent="0.2">
      <c r="A889" s="459">
        <f>$A886+1</f>
        <v>296</v>
      </c>
      <c r="B889" s="507" t="str">
        <f>IF(OR(C889="W",C890="W",C891="W",C889="1/2W",C890="1/2W",C891="1/2W",C889="1/2L",C890="1/2L",C891="1/2L"),"OK",IF(OR(C889="L",C890="L",C891="L"),"LOSS",IF(OR(C889="X",C890="X",C891="X"),"Anulado"," ")))</f>
        <v>OK</v>
      </c>
      <c r="C889" s="93" t="s">
        <v>55</v>
      </c>
      <c r="D889" s="468" t="str">
        <f>IF(G889="","",$D886)</f>
        <v>30</v>
      </c>
      <c r="E889" s="485" t="str">
        <f>IF(G889=""," ","– "&amp;COUNTIF(D$4:D891,$D889))</f>
        <v>– 2</v>
      </c>
      <c r="F889" s="509" t="str">
        <f ca="1">IF(G889="","",IF(OR(AND($C889&lt;&gt;" ",$C890=" "),AND($C890&lt;&gt;" ",$C889=" "),AND(L891&gt;0,OR(AND($C891&lt;&gt;" ",OR($C889=" ",$C890=" ")),AND($C891=" ",OR($C889&lt;&gt;" ",$C890&lt;&gt;" "))))),IF(SUM(F$4:F888)=0,1,LARGE(F$4:F888,1)+1),IF(MONTH(G889)=MONTH(TODAY()),IF(AND(DAY(G889)&lt;DAY(TODAY()),$B889=" "),IF(SUM(F$4:F888)=0,1,LARGE(F$4:F888,1)+1),IF($B889=" ",IF(AND(DAY(G889)=DAY(TODAY()),HOUR(G889)&lt;=HOUR(NOW())+1),IF(AND(HOUR(G889)+2&lt;=HOUR(NOW()),DAY(G889)&lt;=DAY(TODAY()),MINUTE(G889)&lt;=MINUTE(NOW())),IF(SUM(F$4:F888)=0,1,LARGE(F$4:F888,1)+1),IF(OR(MINUTE(G889)&lt;=MINUTE(NOW()),HOUR(G889)&lt;=HOUR(NOW())),"!!!","")),""),"")),"")))</f>
        <v/>
      </c>
      <c r="G889" s="482">
        <f>IF(H889="","",_xlfn.XLOOKUP(H889,$H$4:H888,$G$4:G888,""))</f>
        <v>45015.572916666664</v>
      </c>
      <c r="H889" s="475" t="s">
        <v>296</v>
      </c>
      <c r="I889" s="94" t="s">
        <v>61</v>
      </c>
      <c r="J889" s="176"/>
      <c r="K889" s="96" t="s">
        <v>47</v>
      </c>
      <c r="L889" s="97">
        <v>5.55</v>
      </c>
      <c r="M889" s="98">
        <v>4.2</v>
      </c>
      <c r="N889" s="478">
        <v>0</v>
      </c>
      <c r="O889" s="99">
        <f>IF(OR(AE889="",AE890=""),"",ROUND(IF(L891&gt;0,IF(M889&gt;0,M889,IF(M890&gt;0,ROUND((M890*AE889)/AE890,IF(N889=0,2,IF(N889=0.1,1,0))),ROUND((M891*AE889)/AE891,IF(N889=0,2,IF(N889=0.1,1,0))))),IF(M889&gt;0,M889,ROUND((M890*AE889)/AE890,IF(N889=0,2,IF(N889=0.1,1,0))))),2))</f>
        <v>4.2</v>
      </c>
      <c r="P889" s="100">
        <f>IF(OR(L889="",O889=""),"",IF($C889="1/2W",O889/2+O889/2*L889,IF($C889="1/2L",O889/2,IF(I889="Lay",(O889*(L889/(L889-1))-O889)*(1-_xlfn.XLOOKUP(K889,'Fevereiro 2023 - Valor Real'!A3:A15,'Fevereiro 2023 - Valor Real'!C3:C15,0))+O889,(O889*L889-O889)*(1-_xlfn.XLOOKUP(K889,'Fevereiro 2023 - Valor Real'!A3:A15,'Fevereiro 2023 - Valor Real'!C3:C15,0))+O889))))</f>
        <v>23.31</v>
      </c>
      <c r="Q889" s="101">
        <f>IF(K889="","",IF(_xlfn.XLOOKUP(K889,K$4:K888,$DJ$4:DJ888,0,,-1)=DJ889,_xlfn.XLOOKUP(K889,K$4:K888,Q$4:Q888,1,,-1)+1,1))</f>
        <v>2</v>
      </c>
      <c r="R889" s="102">
        <f>IF(K889="","",_xlfn.XLOOKUP(K889,K$4:K888,R$4:R888,0,,-1)+IF($C889=" ",1,0))</f>
        <v>0</v>
      </c>
      <c r="S889" s="474">
        <f>IF($B889="Anulado",0,ROUND(IF(OR($B889="LOSS",$B889="OK"),IF(OR($C889="W",$C889="1/2W",$C889="1/2L"),P889-O889,IF($C889="L",-O889,0))+IF(OR($C890="W",$C890="1/2W",$C890="1/2L"),P890-O890,IF($C890="L",-O890,0))+IF(OR($C891="W",$C891="1/2W",$C891="1/2L"),P891-O891,IF($C891="L",-O891,0)),IF(AND(OR($C889="W",$C889="1/2W",$C889="1/2L"),C890="W"),P889+P890-SUM(O889:O891)+_xlfn.XLOOKUP("X",C889:C891,O889:O891,0),IF(AND(C889=TRUE,C891="W"),P889+P891-SUM(O889:O891),IF(AND(C890="W",C891="W"),P890+P891-SUM(O889:O891)+_xlfn.XLOOKUP("X",C889:C891,O889:O891,0),IF(L891&gt;0,IF(OR($C889="W",$C889="1/2W",$C889="1/2L"),P889-SUM(O889:O891)+_xlfn.XLOOKUP("X",C889:C891,O889:O891,0),IF(OR($C889="W",$C889="1/2W",$C889="1/2L"),P890-SUM(O889:O891)+_xlfn.XLOOKUP("X",C889:C891,O889:O891,0),IF(OR($C889="W",$C889="1/2W",$C889="1/2L"),P891-SUM(O889:O891)+_xlfn.XLOOKUP("X",C889:C891,O889:O891,0),IF(SUM(P889:P891)/3-SUM(O889:O891)+_xlfn.XLOOKUP("X",C889:C891,O889:O891,0)&gt;0,SUM(P889:P891)/3-SUM(O889:O891)+_xlfn.XLOOKUP("X",C889:C891,O889:O891,0),LARGE(P889:P891,1)-SUM(O889:O891))))),IF(OR($C889="W",$C889="1/2W",$C889="1/2L"),P889-SUM(O889:O890)+_xlfn.XLOOKUP("X",C889:C891,O889:O891,0),IF(OR($C889="W",$C889="1/2W",$C889="1/2L"),P890-SUM(O889:O890)+_xlfn.XLOOKUP("X",C889:C891,O889:O891,0),SUM(P889:P890)/2-SUM(O889:O890)+_xlfn.XLOOKUP("X",C889:C891,O889:O891,0)))))))),2))</f>
        <v>2.0299999999999998</v>
      </c>
      <c r="T889" s="458">
        <f>IF(S889=0,0,S889/SUM(O889:O891))</f>
        <v>9.3764434180138564E-2</v>
      </c>
      <c r="U889" s="470">
        <f>IF($D889=$D886,IF(OR($B889="LOSS",$B889="OK",$B889="Anulada"),S889,0)+U886,IF(OR($B889="LOSS",$B889="OK",$B889="Anulada"),S889,0))</f>
        <v>5.52</v>
      </c>
      <c r="V889" s="470">
        <f>IF($D889="",0,IF($D889=$D886,IF($B889=" ",IF(I891="",IF(OR(AND(I889="DNB1",I890="DNB2"),AND(OR(I889="DNB1",I889="DNB2"),J890=0),AND(OR(I890="DNB1",I890="DNB2"),J889=0),AND(I889="DNB2",I890="DNB1"),AND(IF(J889=0,(J889+1)/ROUND(J889+1,0),J889/ROUND(J889,0))=1,IF(J890=0,(J890+1)/ROUND(IF(J890="",0,J890)+1,0),IF(J890="",0,J890)/ROUND(IF(J890="",1,J890),0))=1,OR(J889&lt;&gt;""),J890&lt;&gt;"")),0,IF(S889&lt;0,IF(I891="",SMALL(P889:P890,1)-SUM(O889:O890),0),SMALL(P889:P890,1)-SUM(O889:O890))),IF(S889&lt;0,IF(I891="",SMALL(P889:P891,1)-SUM(O889:O891),0),LARGE(P889:P891,1)-SUM(O889:O891))),S889)+V886,IF(I891="",IF(OR(AND(I889="DNB1",I890="DNB2"),AND(OR(I889="DNB1",I889="DNB2"),J890=0),AND(OR(I890="DNB1",I890="DNB2"),J889=0),AND(I889="DNB2",I890="DNB1"),AND(IF(J889=0,(J889+1)/ROUND(J889+1,0),J889/ROUND(J889,0))=1,IF(J890=0,(IF(J890="",0,J890)+1)/ROUND(IF(J890="",0,J890)+1,0),IF(J890="",0,J890)/ROUND(IF(J890="",0,J890)+1,0))=1,OR(J889&lt;&gt;""),J890&lt;&gt;"")),0,IF(S889&lt;0,IF(I891="",SMALL(P889:P890,1)-SUM(O889:O890),0),SMALL(P889:P891,1)-SUM(O889:O891))),IF(S889&lt;0,IF(I891="",SMALL(P889:P891,1)-SUM(O889:O891),0),LARGE(P889:P891,1)-SUM(O889:O891)))))</f>
        <v>5.5200000000000014</v>
      </c>
      <c r="W889" s="470">
        <f>IF($D889=$D886,IF(S889&lt;0,IF(I891="",S889,0),S889)+W886,S889)</f>
        <v>5.52</v>
      </c>
      <c r="X889" s="480" t="str">
        <f>IF(OR(SUM(R889:R891)=0,V889=W889),ROUND(IF(W889=0,0,W889/Y889)*100,2)&amp;"%",ROUND(IF(V889=0,0,V889/Y889)*100,2)&amp;"% a "&amp;ROUND(IF(W889=0,0,W889/Y889)*100,2)&amp;"%")</f>
        <v>7,2%</v>
      </c>
      <c r="Y889" s="471">
        <f>IF($D889=$D886,Y886+SUM(O889:O891),SUM(O889:O891))</f>
        <v>76.62</v>
      </c>
      <c r="Z889" s="470">
        <f>IF($B889=" ",SUM(O889:O891),0)+Z886</f>
        <v>0</v>
      </c>
      <c r="AA889" s="470">
        <f>IF(G889="","",IF($B889="Anulado",LARGE(P889:P891,1)-SUM(O889:O891)+AA886,AA886))</f>
        <v>14.77109999999999</v>
      </c>
      <c r="AB889" s="470">
        <f>IF($D889="","",AB886+S889)</f>
        <v>1005.9700000000009</v>
      </c>
      <c r="AC889" s="472">
        <f ca="1">IF($D889="","",IF($B889=" ",IF(DAY(G889)=DAY(TODAY()),1+AC886,0+AC886),0+AC886))</f>
        <v>0</v>
      </c>
      <c r="AD889" s="103">
        <f>(((L890/(L890-1)-1)*(1-_xlfn.XLOOKUP(K890,'Fevereiro 2023 - Valor Real'!A3:A15,'Fevereiro 2023 - Valor Real'!C3:C15,0))+1))/(((L889-1)*(1-_xlfn.XLOOKUP(K889,'Fevereiro 2023 - Valor Real'!A3:A15,'Fevereiro 2023 - Valor Real'!C3:C15,0))+1)+((L890/(L890-1)-1)*(1-_xlfn.XLOOKUP(K890,'Fevereiro 2023 - Valor Real'!A3:A15,'Fevereiro 2023 - Valor Real'!C3:C15,0))+1))</f>
        <v>0.16762240846934273</v>
      </c>
      <c r="AE889" s="104">
        <f>IF(L889="","",IF(L891&gt;0,(SUM(((L889-1)*(1-_xlfn.XLOOKUP(K889,'Fevereiro 2023 - Valor Real'!A3:A15,'Fevereiro 2023 - Valor Real'!C3:C15,0))+1),((L890-1)*(1-_xlfn.XLOOKUP(K890,'Fevereiro 2023 - Valor Real'!A3:A15,'Fevereiro 2023 - Valor Real'!C3:C15,0))+1),((L891-1)*(1-_xlfn.XLOOKUP(K891,'Fevereiro 2023 - Valor Real'!A3:A15,'Fevereiro 2023 - Valor Real'!C3:C15,0))+1))/((L889-1)*(1-_xlfn.XLOOKUP(K889,'Fevereiro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Real'!C3:C15,0))+1))/((L889-1)*(1-_xlfn.XLOOKUP(K889,'Fevereiro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Real'!C3:C15,0))+1))/((L890-1)*(1-_xlfn.XLOOKUP(K890,'Fevereiro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Real'!C3:C15,0))+1))/((L891-1)*(1-_xlfn.XLOOKUP(K891,'Fevereiro 2023 - Valor Real'!A3:A15,'Fevereiro 2023 - Valor Real'!C3:C15,0))+1)),IF(I889="Lay",IF(I890="Lay",((L890/(L890-1)-1)*(1-_xlfn.XLOOKUP(K890,'Fevereiro 2023 - Valor Real'!A3:A15,'Fevereiro 2023 - Valor Real'!C3:C15,0))+1)/(((L890/(L890-1)-1)*(1-_xlfn.XLOOKUP(K890,'Fevereiro 2023 - Valor Real'!A3:A15,'Fevereiro 2023 - Valor Real'!C3:C15,0))+1)+((L889/(L889-1)-1)*(1-_xlfn.XLOOKUP(K889,'Fevereiro 2023 - Valor Real'!A3:A15,'Fevereiro 2023 - Valor Real'!C3:C15,0))+1)),((L890-1)*(1-_xlfn.XLOOKUP(K890,'Fevereiro 2023 - Valor Real'!A3:A15,'Fevereiro 2023 - Valor Real'!C3:C15,0))+1)/(((L890-1)*(1-_xlfn.XLOOKUP(K890,'Fevereiro 2023 - Valor Real'!A3:A15,'Fevereiro 2023 - Valor Real'!C3:C15,0))+1)+((L889/(L889-1)-1)*(1-_xlfn.XLOOKUP(K889,'Fevereiro 2023 - Valor Real'!A3:A15,'Fevereiro 2023 - Valor Real'!C3:C15,0))+1))),IF(I890="Lay",(((L890/(L890-1)-1)*(1-_xlfn.XLOOKUP(K890,'Fevereiro 2023 - Valor Real'!A3:A15,'Fevereiro 2023 - Valor Real'!C3:C15,0))+1))/(((L889-1)*(1-_xlfn.XLOOKUP(K889,'Fevereiro 2023 - Valor Real'!A3:A15,'Fevereiro 2023 - Valor Real'!C3:C15,0))+1)+((L890/(L890-1)-1)*(1-_xlfn.XLOOKUP(K890,'Fevereiro 2023 - Valor Real'!A3:A15,'Fevereiro 2023 - Valor Real'!C3:C15,0))+1)),((L890-1)*(1-_xlfn.XLOOKUP(K890,'Fevereiro 2023 - Valor Real'!A3:A15,'Fevereiro 2023 - Valor Real'!C3:C15,0))+1)/(((L890-1)*(1-_xlfn.XLOOKUP(K890,'Fevereiro 2023 - Valor Real'!A3:A15,'Fevereiro 2023 - Valor Real'!C3:C15,0))+1)+((L889-1)*(1-_xlfn.XLOOKUP(K889,'Fevereiro 2023 - Valor Real'!A3:A15,'Fevereiro 2023 - Valor Real'!C3:C15,0))+1))))))</f>
        <v>0.18746916625555007</v>
      </c>
      <c r="AF889" s="105">
        <f t="shared" si="1770"/>
        <v>0</v>
      </c>
      <c r="AG889" s="106">
        <f t="shared" si="1770"/>
        <v>0</v>
      </c>
      <c r="AH889" s="106">
        <f t="shared" si="1770"/>
        <v>0</v>
      </c>
      <c r="AI889" s="106">
        <f t="shared" si="1770"/>
        <v>0</v>
      </c>
      <c r="AJ889" s="106">
        <f t="shared" si="1770"/>
        <v>0</v>
      </c>
      <c r="AK889" s="106">
        <f t="shared" si="1770"/>
        <v>0</v>
      </c>
      <c r="AL889" s="106">
        <f t="shared" si="1770"/>
        <v>0</v>
      </c>
      <c r="AM889" s="106">
        <f t="shared" si="1770"/>
        <v>0</v>
      </c>
      <c r="AN889" s="106">
        <f t="shared" si="1770"/>
        <v>0</v>
      </c>
      <c r="AO889" s="106">
        <f t="shared" si="1770"/>
        <v>0</v>
      </c>
      <c r="AP889" s="106">
        <f t="shared" si="1770"/>
        <v>0</v>
      </c>
      <c r="AQ889" s="106">
        <f t="shared" si="1770"/>
        <v>-4.2</v>
      </c>
      <c r="AR889" s="107">
        <f t="shared" si="1770"/>
        <v>0</v>
      </c>
      <c r="AS889" s="105">
        <f t="shared" ref="AS889:BE889" si="1778">IF(AND($B889=" ",$K889=AS$3),$O889,0)</f>
        <v>0</v>
      </c>
      <c r="AT889" s="106">
        <f t="shared" si="1778"/>
        <v>0</v>
      </c>
      <c r="AU889" s="106">
        <f t="shared" si="1778"/>
        <v>0</v>
      </c>
      <c r="AV889" s="106">
        <f t="shared" si="1778"/>
        <v>0</v>
      </c>
      <c r="AW889" s="106">
        <f t="shared" si="1778"/>
        <v>0</v>
      </c>
      <c r="AX889" s="106">
        <f t="shared" si="1778"/>
        <v>0</v>
      </c>
      <c r="AY889" s="108">
        <f t="shared" si="1778"/>
        <v>0</v>
      </c>
      <c r="AZ889" s="109">
        <f t="shared" si="1778"/>
        <v>0</v>
      </c>
      <c r="BA889" s="109">
        <f t="shared" si="1778"/>
        <v>0</v>
      </c>
      <c r="BB889" s="109">
        <f t="shared" si="1778"/>
        <v>0</v>
      </c>
      <c r="BC889" s="110">
        <f t="shared" si="1778"/>
        <v>0</v>
      </c>
      <c r="BD889" s="106">
        <f t="shared" si="1778"/>
        <v>0</v>
      </c>
      <c r="BE889" s="107">
        <f t="shared" si="1778"/>
        <v>0</v>
      </c>
      <c r="BF889" s="111">
        <f t="shared" si="1772"/>
        <v>0</v>
      </c>
      <c r="BG889" s="106">
        <f t="shared" si="1772"/>
        <v>0</v>
      </c>
      <c r="BH889" s="106">
        <f t="shared" si="1772"/>
        <v>0</v>
      </c>
      <c r="BI889" s="106">
        <f t="shared" si="1772"/>
        <v>0</v>
      </c>
      <c r="BJ889" s="106">
        <f t="shared" si="1772"/>
        <v>0</v>
      </c>
      <c r="BK889" s="106">
        <f t="shared" si="1772"/>
        <v>0</v>
      </c>
      <c r="BL889" s="106">
        <f t="shared" si="1772"/>
        <v>0</v>
      </c>
      <c r="BM889" s="108">
        <f t="shared" si="1772"/>
        <v>0</v>
      </c>
      <c r="BN889" s="109">
        <f t="shared" si="1772"/>
        <v>0</v>
      </c>
      <c r="BO889" s="109">
        <f t="shared" si="1772"/>
        <v>0</v>
      </c>
      <c r="BP889" s="109">
        <f t="shared" si="1772"/>
        <v>0</v>
      </c>
      <c r="BQ889" s="110">
        <f t="shared" si="1772"/>
        <v>4.2</v>
      </c>
      <c r="BR889" s="107">
        <f t="shared" si="1772"/>
        <v>0</v>
      </c>
      <c r="BS889" s="463">
        <f>IF($B889="LOSS",IF(AND($K889=BS$3,$C889="L"),-$O889,0)+IF(AND($K890=BS$3,$C890="L"),-$O890,0)+IF(AND($K891=BS$3,$C891="L"),-$O891,0),IF(OR(AND($K889=BS$3,OR($C889="W",$C889="1/2W")),AND($K890=BS$3,OR($C890="W",$C890="1/2W")),AND($K891=BS$3,OR($C891="W",$C891="1/2W"))),$S889,0))</f>
        <v>0</v>
      </c>
      <c r="BT889" s="462">
        <f>IF($B889="LOSS",IF(AND($K889=BT$3,$C889="L"),-$O889,0)+IF(AND($K890=BT$3,$C890="L"),-$O890,0)+IF(AND($K890=BT$3,$C891="L"),-$O891,0),IF(OR(AND($K890=BT$3,OR($C889="W",$C889="1/2W")),AND($K890=BT$3,OR($C890="W",$C890="1/2W")),AND($K890=BT$3,OR($C891="W",$C891="1/2W"))),$S889,0))</f>
        <v>2.0299999999999998</v>
      </c>
      <c r="BU889" s="462">
        <f>IF($B889="LOSS",IF(AND($K889=BU$3,$C889="L"),-$O889,0)+IF(AND($K890=BU$3,$C890="L"),-$O890,0)+IF(AND($K890=BU$3,$C891="L"),-$O891,0),IF(OR(AND($K890=BU$3,OR($C889="W",$C889="1/2W")),AND($K890=BU$3,OR($C890="W",$C890="1/2W")),AND($K890=BU$3,OR($C891="W",$C891="1/2W"))),$S889,0))</f>
        <v>0</v>
      </c>
      <c r="BV889" s="462">
        <f t="shared" ref="BV889:CE889" si="1779">IF($B889="LOSS",IF(AND($K889=BV$3,$C889="L"),-$O889,0)+IF(AND($K890=BV$3,$C890="L"),-$O890,0)+IF(AND($K891=BV$3,$C891="L"),-$O891,0),IF(OR(AND($K889=BV$3,OR($C889="W",$C889="1/2W")),AND($K890=BV$3,OR($C890="W",$C890="1/2W")),AND($K891=BV$3,OR($C891="W",$C891="1/2W"))),$S889,0))</f>
        <v>0</v>
      </c>
      <c r="BW889" s="462">
        <f t="shared" si="1779"/>
        <v>2.0299999999999998</v>
      </c>
      <c r="BX889" s="462">
        <f t="shared" si="1779"/>
        <v>0</v>
      </c>
      <c r="BY889" s="462">
        <f t="shared" si="1779"/>
        <v>0</v>
      </c>
      <c r="BZ889" s="460">
        <f t="shared" si="1779"/>
        <v>0</v>
      </c>
      <c r="CA889" s="460">
        <f t="shared" si="1779"/>
        <v>0</v>
      </c>
      <c r="CB889" s="460">
        <f t="shared" si="1779"/>
        <v>0</v>
      </c>
      <c r="CC889" s="460">
        <f t="shared" si="1779"/>
        <v>0</v>
      </c>
      <c r="CD889" s="473">
        <f t="shared" si="1779"/>
        <v>0</v>
      </c>
      <c r="CE889" s="479">
        <f t="shared" si="1779"/>
        <v>0</v>
      </c>
      <c r="CF889" s="113">
        <f t="shared" si="1669"/>
        <v>0</v>
      </c>
      <c r="CG889" s="114">
        <f t="shared" si="1670"/>
        <v>0</v>
      </c>
      <c r="CH889" s="114">
        <f t="shared" si="1671"/>
        <v>0</v>
      </c>
      <c r="CI889" s="114">
        <f t="shared" si="1672"/>
        <v>0</v>
      </c>
      <c r="CJ889" s="114">
        <f t="shared" si="1673"/>
        <v>0</v>
      </c>
      <c r="CK889" s="114">
        <f t="shared" si="1674"/>
        <v>0</v>
      </c>
      <c r="CL889" s="114">
        <f t="shared" si="1675"/>
        <v>0</v>
      </c>
      <c r="CM889" s="114">
        <f t="shared" si="1676"/>
        <v>0</v>
      </c>
      <c r="CN889" s="114">
        <f t="shared" si="1677"/>
        <v>0</v>
      </c>
      <c r="CO889" s="114">
        <f t="shared" si="1678"/>
        <v>0</v>
      </c>
      <c r="CP889" s="114">
        <f t="shared" si="1679"/>
        <v>0</v>
      </c>
      <c r="CQ889" s="114">
        <f t="shared" si="1680"/>
        <v>0</v>
      </c>
      <c r="CR889" s="114">
        <f t="shared" si="1681"/>
        <v>0</v>
      </c>
      <c r="CS889" s="114">
        <f t="shared" si="1682"/>
        <v>0</v>
      </c>
      <c r="CT889" s="115">
        <f t="shared" si="1683"/>
        <v>0</v>
      </c>
      <c r="CU889" s="116">
        <f t="shared" si="1684"/>
        <v>0</v>
      </c>
      <c r="CV889" s="116">
        <f t="shared" si="1685"/>
        <v>0</v>
      </c>
      <c r="CW889" s="116">
        <f t="shared" si="1686"/>
        <v>0</v>
      </c>
      <c r="CX889" s="116">
        <f t="shared" si="1687"/>
        <v>0</v>
      </c>
      <c r="CY889" s="116">
        <f t="shared" si="1688"/>
        <v>0</v>
      </c>
      <c r="CZ889" s="116">
        <f t="shared" si="1689"/>
        <v>0</v>
      </c>
      <c r="DA889" s="116">
        <f t="shared" si="1690"/>
        <v>0</v>
      </c>
      <c r="DB889" s="116">
        <f t="shared" si="1691"/>
        <v>0</v>
      </c>
      <c r="DC889" s="116">
        <f t="shared" si="1692"/>
        <v>1</v>
      </c>
      <c r="DD889" s="116">
        <f t="shared" si="1693"/>
        <v>0</v>
      </c>
      <c r="DE889" s="117">
        <f t="shared" si="1694"/>
        <v>0</v>
      </c>
      <c r="DF889" s="118">
        <f t="shared" si="1696"/>
        <v>54</v>
      </c>
      <c r="DG889" s="106">
        <f t="shared" si="1697"/>
        <v>72.673000000000002</v>
      </c>
      <c r="DH889" s="116">
        <f t="shared" si="1698"/>
        <v>19</v>
      </c>
      <c r="DI889" s="106">
        <f t="shared" si="1699"/>
        <v>81.47</v>
      </c>
      <c r="DJ889" s="201" t="str">
        <f>IF($D889="","",$D889)</f>
        <v>30</v>
      </c>
      <c r="DK889" s="465">
        <f>IF(AND($B889=" ",$D889&lt;&gt;""),1,0)</f>
        <v>0</v>
      </c>
    </row>
    <row r="890" spans="1:115" ht="14.5" customHeight="1" x14ac:dyDescent="0.2">
      <c r="A890" s="389"/>
      <c r="B890" s="456"/>
      <c r="C890" s="120" t="s">
        <v>55</v>
      </c>
      <c r="D890" s="374"/>
      <c r="E890" s="386"/>
      <c r="F890" s="377"/>
      <c r="G890" s="483"/>
      <c r="H890" s="476"/>
      <c r="I890" s="121" t="s">
        <v>49</v>
      </c>
      <c r="J890" s="179" t="str">
        <f>IF(OR(I889="TO",I889="TU",I889="TO1",I889="TU1",I889="TO2",I889="TU2"),J889,IF(OR(I889="AH1",I889="AH2"),IF(OR(I890="AH1",I890="AH2"),-J889,IF(OR(I890="EH1",I890="EH2"),-J889+0.5,"")),IF(OR(I889="EH1",I889="EH2"),IF(OR(I890="AH1",I890="AH2"),-J889+0.5,IF(OR(I890="EH1",I890="EH2"),-J889+1,"")),IF(AND(OR(I889="DNB1",I889="DNB2"),OR(I890="AH1",I890="AH2")),0,IF(AND(I889="Not ScoreBoth",OR(I890="TO1",I890="TO2")),0.5,"")))))</f>
        <v/>
      </c>
      <c r="K890" s="123" t="s">
        <v>37</v>
      </c>
      <c r="L890" s="124">
        <v>9.5</v>
      </c>
      <c r="M890" s="125">
        <v>1.45</v>
      </c>
      <c r="N890" s="406"/>
      <c r="O890" s="126">
        <f>IF(OR(AE889="",AE890=""),"",ROUND(IF(L891&gt;0,IF(M890&gt;0,M890,IF(M889&gt;0,IF(N889=TRUE,ROUND((M889*AE890)/AE889,0),(M889*AE890)/AE889),IF(M890&gt;0,ROUND(M890,IF(N889=0,2,IF(N889=0.1,1,0))),IF(M891&gt;0,ROUND(O891*AE890/AE891,IF(N889=0,2,IF(N889=0.1,1,0))),0)))),IF(M890&gt;0,M890,ROUND((M889*AE890)/AE889,IF(N889=0,2,IF(N889=0.1,1,0))))),2))</f>
        <v>1.45</v>
      </c>
      <c r="P890" s="127">
        <f>IF(OR(L890="",O890=""),"",IF($C890="1/2W",O890/2+O890/2*L890,IF($C890="1/2L",O890/2,IF(I890="Lay",((O890*(L890/(L890-1)))-O890)*(1-_xlfn.XLOOKUP(K890,'Fevereiro 2023 - Valor Real'!A3:A15,'Fevereiro 2023 - Valor Real'!C3:C15,0))+O890,(O890*L890-O890)*(1-_xlfn.XLOOKUP(K890,'Fevereiro 2023 - Valor Real'!A3:A15,'Fevereiro 2023 - Valor Real'!C3:C15,0))+O890))))</f>
        <v>13.775</v>
      </c>
      <c r="Q890" s="128">
        <f>IF(K890="","",IF(_xlfn.XLOOKUP(K890,K$4:K889,$DJ$4:DJ889,0,,-1)=DJ890,_xlfn.XLOOKUP(K890,K$4:K889,Q$4:Q889,1,,-1)+1,1))</f>
        <v>1</v>
      </c>
      <c r="R890" s="129">
        <f>IF(K890="","",_xlfn.XLOOKUP(K890,K$4:K889,R$4:R889,0,,-1)+IF($C890=" ",1,0))</f>
        <v>0</v>
      </c>
      <c r="S890" s="403"/>
      <c r="T890" s="380"/>
      <c r="U890" s="380"/>
      <c r="V890" s="481"/>
      <c r="W890" s="380"/>
      <c r="X890" s="452"/>
      <c r="Y890" s="383"/>
      <c r="Z890" s="384"/>
      <c r="AA890" s="384"/>
      <c r="AB890" s="384"/>
      <c r="AC890" s="384"/>
      <c r="AD890" s="130">
        <f>(((L890/(L890-1)-1)*(1-_xlfn.XLOOKUP(K890,'Fevereiro 2023 - Valor Real'!A3:A15,'Fevereiro 2023 - Valor Real'!C3:C15,0))+1))</f>
        <v>1.1176470588235294</v>
      </c>
      <c r="AE890" s="131">
        <f>IF(L890="","",IF(L891&gt;0,(SUM(((L889-1)*(1-_xlfn.XLOOKUP(K889,'Fevereiro 2023 - Valor Real'!A3:A15,'Fevereiro 2023 - Valor Real'!C3:C15,0))+1),((L890-1)*(1-_xlfn.XLOOKUP(K890,'Fevereiro 2023 - Valor Real'!A3:A15,'Fevereiro 2023 - Valor Real'!C3:C15,0))+1),((L891-1)*(1-_xlfn.XLOOKUP(K891,'Fevereiro 2023 - Valor Real'!A3:A15,'Fevereiro 2023 - Valor Real'!C3:C15,0))+1))/((L890-1)*(1-_xlfn.XLOOKUP(K890,'Fevereiro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Real'!C3:C15,0))+1))/((L889-1)*(1-_xlfn.XLOOKUP(K889,'Fevereiro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Real'!C3:C15,0))+1))/((L890-1)*(1-_xlfn.XLOOKUP(K890,'Fevereiro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Real'!C3:C15,0))+1))/((L891-1)*(1-_xlfn.XLOOKUP(K891,'Fevereiro 2023 - Valor Real'!A3:A15,'Fevereiro 2023 - Valor Real'!C3:C15,0))+1)),IF(I890="Lay",IF(I889="Lay",((L889/(L889-1)-1)*(1-_xlfn.XLOOKUP(K889,'Fevereiro 2023 - Valor Real'!A3:A15,'Fevereiro 2023 - Valor Real'!C3:C15,0))+1)/(((L889/(L889-1)-1)*(1-_xlfn.XLOOKUP(K889,'Fevereiro 2023 - Valor Real'!A3:A15,'Fevereiro 2023 - Valor Real'!C3:C15,0))+1)+((L890/(L890-1)-1)*(1-_xlfn.XLOOKUP(K890,'Fevereiro 2023 - Valor Real'!A3:A15,'Fevereiro 2023 - Valor Real'!C3:C15,0))+1)),((L889-1)*(1-_xlfn.XLOOKUP(K889,'Fevereiro 2023 - Valor Real'!A3:A15,'Fevereiro 2023 - Valor Real'!C3:C15,0))+1)/(((L889-1)*(1-_xlfn.XLOOKUP(K889,'Fevereiro 2023 - Valor Real'!A3:A15,'Fevereiro 2023 - Valor Real'!C3:C15,0))+1)+((L890/(L890-1)-1)*(1-_xlfn.XLOOKUP(K890,'Fevereiro 2023 - Valor Real'!A3:A15,'Fevereiro 2023 - Valor Real'!C3:C15,0))+1))),IF(I889="Lay",((L889/(L889-1)-1)*(1-_xlfn.XLOOKUP(K889,'Fevereiro 2023 - Valor Real'!A3:A15,'Fevereiro 2023 - Valor Real'!C3:C15,0))+1)/((((L889/(L889-1)-1)*(1-_xlfn.XLOOKUP(K889,'Fevereiro 2023 - Valor Real'!A3:A15,'Fevereiro 2023 - Valor Real'!C3:C15,0))+1))+((L890-1)*(1-_xlfn.XLOOKUP(K890,'Fevereiro 2023 - Valor Real'!A3:A15,'Fevereiro 2023 - Valor Real'!C3:C15,0))+1)),((L889-1)*(1-_xlfn.XLOOKUP(K889,'Fevereiro 2023 - Valor Real'!A3:A15,'Fevereiro 2023 - Valor Real'!C3:C15,0))+1)/(((L889-1)*(1-_xlfn.XLOOKUP(K889,'Fevereiro 2023 - Valor Real'!A3:A15,'Fevereiro 2023 - Valor Real'!C3:C15,0))+1)+((L890-1)*(1-_xlfn.XLOOKUP(K890,'Fevereiro 2023 - Valor Real'!A3:A15,'Fevereiro 2023 - Valor Real'!C3:C15,0))+1))))))</f>
        <v>0.10952146028613716</v>
      </c>
      <c r="AF890" s="105">
        <f t="shared" si="1770"/>
        <v>0</v>
      </c>
      <c r="AG890" s="106">
        <f t="shared" si="1770"/>
        <v>-1.45</v>
      </c>
      <c r="AH890" s="106">
        <f t="shared" si="1770"/>
        <v>0</v>
      </c>
      <c r="AI890" s="106">
        <f t="shared" si="1770"/>
        <v>0</v>
      </c>
      <c r="AJ890" s="106">
        <f t="shared" si="1770"/>
        <v>0</v>
      </c>
      <c r="AK890" s="106">
        <f t="shared" si="1770"/>
        <v>0</v>
      </c>
      <c r="AL890" s="106">
        <f t="shared" si="1770"/>
        <v>0</v>
      </c>
      <c r="AM890" s="106">
        <f t="shared" si="1770"/>
        <v>0</v>
      </c>
      <c r="AN890" s="106">
        <f t="shared" si="1770"/>
        <v>0</v>
      </c>
      <c r="AO890" s="106">
        <f t="shared" si="1770"/>
        <v>0</v>
      </c>
      <c r="AP890" s="106">
        <f t="shared" si="1770"/>
        <v>0</v>
      </c>
      <c r="AQ890" s="106">
        <f t="shared" si="1770"/>
        <v>0</v>
      </c>
      <c r="AR890" s="107">
        <f t="shared" si="1770"/>
        <v>0</v>
      </c>
      <c r="AS890" s="105">
        <f>IF(AND($B889=" ",$K890=AS$3),$O890,0)</f>
        <v>0</v>
      </c>
      <c r="AT890" s="106">
        <f>IF(AND($B889=" ",K890=AT$3),$O890,0)</f>
        <v>0</v>
      </c>
      <c r="AU890" s="106">
        <f t="shared" ref="AU890:BE890" si="1780">IF(AND($B889=" ",$K890=AU$3),$O890,0)</f>
        <v>0</v>
      </c>
      <c r="AV890" s="106">
        <f t="shared" si="1780"/>
        <v>0</v>
      </c>
      <c r="AW890" s="106">
        <f t="shared" si="1780"/>
        <v>0</v>
      </c>
      <c r="AX890" s="106">
        <f t="shared" si="1780"/>
        <v>0</v>
      </c>
      <c r="AY890" s="108">
        <f t="shared" si="1780"/>
        <v>0</v>
      </c>
      <c r="AZ890" s="109">
        <f t="shared" si="1780"/>
        <v>0</v>
      </c>
      <c r="BA890" s="109">
        <f t="shared" si="1780"/>
        <v>0</v>
      </c>
      <c r="BB890" s="109">
        <f t="shared" si="1780"/>
        <v>0</v>
      </c>
      <c r="BC890" s="110">
        <f t="shared" si="1780"/>
        <v>0</v>
      </c>
      <c r="BD890" s="106">
        <f t="shared" si="1780"/>
        <v>0</v>
      </c>
      <c r="BE890" s="107">
        <f t="shared" si="1780"/>
        <v>0</v>
      </c>
      <c r="BF890" s="105">
        <f t="shared" si="1772"/>
        <v>0</v>
      </c>
      <c r="BG890" s="106">
        <f t="shared" si="1772"/>
        <v>1.45</v>
      </c>
      <c r="BH890" s="106">
        <f t="shared" si="1772"/>
        <v>0</v>
      </c>
      <c r="BI890" s="106">
        <f t="shared" si="1772"/>
        <v>0</v>
      </c>
      <c r="BJ890" s="106">
        <f t="shared" si="1772"/>
        <v>0</v>
      </c>
      <c r="BK890" s="106">
        <f t="shared" si="1772"/>
        <v>0</v>
      </c>
      <c r="BL890" s="106">
        <f t="shared" si="1772"/>
        <v>0</v>
      </c>
      <c r="BM890" s="132">
        <f t="shared" si="1772"/>
        <v>0</v>
      </c>
      <c r="BN890" s="112">
        <f t="shared" si="1772"/>
        <v>0</v>
      </c>
      <c r="BO890" s="112">
        <f t="shared" si="1772"/>
        <v>0</v>
      </c>
      <c r="BP890" s="112">
        <f t="shared" si="1772"/>
        <v>0</v>
      </c>
      <c r="BQ890" s="110">
        <f t="shared" si="1772"/>
        <v>0</v>
      </c>
      <c r="BR890" s="107">
        <f t="shared" si="1772"/>
        <v>0</v>
      </c>
      <c r="BS890" s="464"/>
      <c r="BT890" s="461"/>
      <c r="BU890" s="392"/>
      <c r="BV890" s="461"/>
      <c r="BW890" s="392"/>
      <c r="BX890" s="392"/>
      <c r="BY890" s="392"/>
      <c r="BZ890" s="461"/>
      <c r="CA890" s="392"/>
      <c r="CB890" s="392"/>
      <c r="CC890" s="392"/>
      <c r="CD890" s="401"/>
      <c r="CE890" s="409"/>
      <c r="CF890" s="133">
        <f t="shared" si="1669"/>
        <v>0</v>
      </c>
      <c r="CG890" s="134">
        <f t="shared" si="1670"/>
        <v>0</v>
      </c>
      <c r="CH890" s="134">
        <f t="shared" si="1671"/>
        <v>0</v>
      </c>
      <c r="CI890" s="134">
        <f t="shared" si="1672"/>
        <v>1</v>
      </c>
      <c r="CJ890" s="134">
        <f t="shared" si="1673"/>
        <v>0</v>
      </c>
      <c r="CK890" s="134">
        <f t="shared" si="1674"/>
        <v>0</v>
      </c>
      <c r="CL890" s="134">
        <f t="shared" si="1675"/>
        <v>0</v>
      </c>
      <c r="CM890" s="134">
        <f t="shared" si="1676"/>
        <v>0</v>
      </c>
      <c r="CN890" s="134">
        <f t="shared" si="1677"/>
        <v>0</v>
      </c>
      <c r="CO890" s="134">
        <f t="shared" si="1678"/>
        <v>0</v>
      </c>
      <c r="CP890" s="134">
        <f t="shared" si="1679"/>
        <v>0</v>
      </c>
      <c r="CQ890" s="134">
        <f t="shared" si="1680"/>
        <v>0</v>
      </c>
      <c r="CR890" s="134">
        <f t="shared" si="1681"/>
        <v>0</v>
      </c>
      <c r="CS890" s="134">
        <f t="shared" si="1682"/>
        <v>0</v>
      </c>
      <c r="CT890" s="115">
        <f t="shared" si="1683"/>
        <v>0</v>
      </c>
      <c r="CU890" s="116">
        <f t="shared" si="1684"/>
        <v>0</v>
      </c>
      <c r="CV890" s="116">
        <f t="shared" si="1685"/>
        <v>0</v>
      </c>
      <c r="CW890" s="116">
        <f t="shared" si="1686"/>
        <v>0</v>
      </c>
      <c r="CX890" s="116">
        <f t="shared" si="1687"/>
        <v>0</v>
      </c>
      <c r="CY890" s="116">
        <f t="shared" si="1688"/>
        <v>0</v>
      </c>
      <c r="CZ890" s="116">
        <f t="shared" si="1689"/>
        <v>0</v>
      </c>
      <c r="DA890" s="116">
        <f t="shared" si="1690"/>
        <v>0</v>
      </c>
      <c r="DB890" s="116">
        <f t="shared" si="1691"/>
        <v>0</v>
      </c>
      <c r="DC890" s="116">
        <f t="shared" si="1692"/>
        <v>0</v>
      </c>
      <c r="DD890" s="116">
        <f t="shared" si="1693"/>
        <v>0</v>
      </c>
      <c r="DE890" s="117">
        <f t="shared" si="1694"/>
        <v>0</v>
      </c>
      <c r="DF890" s="118">
        <f t="shared" si="1696"/>
        <v>54</v>
      </c>
      <c r="DG890" s="106">
        <f t="shared" si="1697"/>
        <v>72.673000000000002</v>
      </c>
      <c r="DH890" s="116">
        <f t="shared" si="1698"/>
        <v>19</v>
      </c>
      <c r="DI890" s="106">
        <f t="shared" si="1699"/>
        <v>81.47</v>
      </c>
      <c r="DJ890" s="201" t="str">
        <f>IF($D889="","",$D889)</f>
        <v>30</v>
      </c>
      <c r="DK890" s="466"/>
    </row>
    <row r="891" spans="1:115" ht="14.5" customHeight="1" x14ac:dyDescent="0.2">
      <c r="A891" s="390"/>
      <c r="B891" s="457"/>
      <c r="C891" s="135" t="s">
        <v>54</v>
      </c>
      <c r="D891" s="375"/>
      <c r="E891" s="387"/>
      <c r="F891" s="378"/>
      <c r="G891" s="484"/>
      <c r="H891" s="477"/>
      <c r="I891" s="192">
        <v>1</v>
      </c>
      <c r="J891" s="137"/>
      <c r="K891" s="193" t="s">
        <v>40</v>
      </c>
      <c r="L891" s="194">
        <v>1.48</v>
      </c>
      <c r="M891" s="140">
        <v>16</v>
      </c>
      <c r="N891" s="407"/>
      <c r="O891" s="195">
        <f>IF(OR(AE889="",AE890=""),"",IF(L891&gt;0,ROUND(IF(M891&gt;0,M891,IF(M889&gt;0,ROUND((M889*AE891)/AE889,IF(N889=0,2,IF(N889=0.1,1,0))),IF(M890&gt;0,ROUND((M890*AE891)/AE890,IF(N889=0,2,IF(N889=0.1,1,0))),IF(M891&gt;0,M891,0)))),2),""))</f>
        <v>16</v>
      </c>
      <c r="P891" s="196">
        <f>IF(I890="Lay",O890*(L890/(L890-1))-O890,IF(I889="Lay",O889*(L889/(L889-1))-O889,IF(OR(L891="",O891=""),"",IF($C891="1/2W",O891/2+O891/2*L891,IF($C891="1/2L",O891/2,(O891*L891-O891)*(1-_xlfn.XLOOKUP(K891,'Fevereiro 2023 - Valor Real'!A3:A15,'Fevereiro 2023 - Valor Real'!C3:C15,0))+O891)))))</f>
        <v>23.68</v>
      </c>
      <c r="Q891" s="128">
        <f>IF(K891="","",IF(_xlfn.XLOOKUP(K891,K$4:K890,$DJ$4:DJ890,0,,-1)=DJ891,_xlfn.XLOOKUP(K891,K$4:K890,Q$4:Q890,1,,-1)+1,1))</f>
        <v>2</v>
      </c>
      <c r="R891" s="198">
        <f>IF(K891="","",_xlfn.XLOOKUP(K891,K$4:K890,R$4:R890,0,,-1)+IF($C891=" ",1,0))</f>
        <v>0</v>
      </c>
      <c r="S891" s="404"/>
      <c r="T891" s="378"/>
      <c r="U891" s="378"/>
      <c r="V891" s="404"/>
      <c r="W891" s="378"/>
      <c r="X891" s="453"/>
      <c r="Y891" s="383"/>
      <c r="Z891" s="384"/>
      <c r="AA891" s="384"/>
      <c r="AB891" s="384"/>
      <c r="AC891" s="384"/>
      <c r="AD891" s="145">
        <f>((L890/(L890-1)-1))</f>
        <v>0.11764705882352944</v>
      </c>
      <c r="AE891" s="199">
        <f>IF(L891="","",(SUM(((L889-1)*(1-_xlfn.XLOOKUP(K889,'Fevereiro 2023 - Valor Real'!A3:A15,'Fevereiro 2023 - Valor Real'!C3:C15,0))+1),((L890-1)*(1-_xlfn.XLOOKUP(K890,'Fevereiro 2023 - Valor Real'!A3:A15,'Fevereiro 2023 - Valor Real'!C3:C15,0))+1),((L891-1)*(1-_xlfn.XLOOKUP(K891,'Fevereiro 2023 - Valor Real'!A3:A15,'Fevereiro 2023 - Valor Real'!C3:C15,0))+1))/((L891-1)*(1-_xlfn.XLOOKUP(K891,'Fevereiro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Real'!C3:C15,0))+1))/((L889-1)*(1-_xlfn.XLOOKUP(K889,'Fevereiro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Real'!C3:C15,0))+1))/((L890-1)*(1-_xlfn.XLOOKUP(K890,'Fevereiro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Real'!C3:C15,0))+1))/((L891-1)*(1-_xlfn.XLOOKUP(K891,'Fevereiro 2023 - Valor Real'!A3:A15,'Fevereiro 2023 - Valor Real'!C3:C15,0))+1)))</f>
        <v>0.70300937345831271</v>
      </c>
      <c r="AF891" s="105">
        <f t="shared" si="1770"/>
        <v>0</v>
      </c>
      <c r="AG891" s="106">
        <f t="shared" si="1770"/>
        <v>0</v>
      </c>
      <c r="AH891" s="106">
        <f t="shared" si="1770"/>
        <v>0</v>
      </c>
      <c r="AI891" s="106">
        <f t="shared" si="1770"/>
        <v>0</v>
      </c>
      <c r="AJ891" s="106">
        <f t="shared" si="1770"/>
        <v>7.68</v>
      </c>
      <c r="AK891" s="106">
        <f t="shared" si="1770"/>
        <v>0</v>
      </c>
      <c r="AL891" s="106">
        <f t="shared" si="1770"/>
        <v>0</v>
      </c>
      <c r="AM891" s="106">
        <f t="shared" si="1770"/>
        <v>0</v>
      </c>
      <c r="AN891" s="106">
        <f t="shared" si="1770"/>
        <v>0</v>
      </c>
      <c r="AO891" s="106">
        <f t="shared" si="1770"/>
        <v>0</v>
      </c>
      <c r="AP891" s="106">
        <f t="shared" si="1770"/>
        <v>0</v>
      </c>
      <c r="AQ891" s="106">
        <f t="shared" si="1770"/>
        <v>0</v>
      </c>
      <c r="AR891" s="107">
        <f t="shared" si="1770"/>
        <v>0</v>
      </c>
      <c r="AS891" s="105">
        <f>IF(AND($B889=" ",$K891=AS$3),$O891,0)</f>
        <v>0</v>
      </c>
      <c r="AT891" s="106">
        <f>IF(AND($B889=" ",K891=AT$3),$O891,0)</f>
        <v>0</v>
      </c>
      <c r="AU891" s="106">
        <f t="shared" ref="AU891:BE891" si="1781">IF(AND($B889=" ",$K891=AU$3),$O891,0)</f>
        <v>0</v>
      </c>
      <c r="AV891" s="106">
        <f t="shared" si="1781"/>
        <v>0</v>
      </c>
      <c r="AW891" s="106">
        <f t="shared" si="1781"/>
        <v>0</v>
      </c>
      <c r="AX891" s="106">
        <f t="shared" si="1781"/>
        <v>0</v>
      </c>
      <c r="AY891" s="108">
        <f t="shared" si="1781"/>
        <v>0</v>
      </c>
      <c r="AZ891" s="109">
        <f t="shared" si="1781"/>
        <v>0</v>
      </c>
      <c r="BA891" s="109">
        <f t="shared" si="1781"/>
        <v>0</v>
      </c>
      <c r="BB891" s="109">
        <f t="shared" si="1781"/>
        <v>0</v>
      </c>
      <c r="BC891" s="110">
        <f t="shared" si="1781"/>
        <v>0</v>
      </c>
      <c r="BD891" s="106">
        <f t="shared" si="1781"/>
        <v>0</v>
      </c>
      <c r="BE891" s="107">
        <f t="shared" si="1781"/>
        <v>0</v>
      </c>
      <c r="BF891" s="105">
        <f t="shared" si="1772"/>
        <v>0</v>
      </c>
      <c r="BG891" s="106">
        <f t="shared" si="1772"/>
        <v>0</v>
      </c>
      <c r="BH891" s="106">
        <f t="shared" si="1772"/>
        <v>0</v>
      </c>
      <c r="BI891" s="106">
        <f t="shared" si="1772"/>
        <v>0</v>
      </c>
      <c r="BJ891" s="106">
        <f t="shared" si="1772"/>
        <v>16</v>
      </c>
      <c r="BK891" s="106">
        <f t="shared" si="1772"/>
        <v>0</v>
      </c>
      <c r="BL891" s="106">
        <f t="shared" si="1772"/>
        <v>0</v>
      </c>
      <c r="BM891" s="108">
        <f t="shared" si="1772"/>
        <v>0</v>
      </c>
      <c r="BN891" s="109">
        <f t="shared" si="1772"/>
        <v>0</v>
      </c>
      <c r="BO891" s="109">
        <f t="shared" si="1772"/>
        <v>0</v>
      </c>
      <c r="BP891" s="109">
        <f t="shared" si="1772"/>
        <v>0</v>
      </c>
      <c r="BQ891" s="110">
        <f t="shared" si="1772"/>
        <v>0</v>
      </c>
      <c r="BR891" s="107">
        <f t="shared" si="1772"/>
        <v>0</v>
      </c>
      <c r="BS891" s="464"/>
      <c r="BT891" s="461"/>
      <c r="BU891" s="392"/>
      <c r="BV891" s="461"/>
      <c r="BW891" s="392"/>
      <c r="BX891" s="392"/>
      <c r="BY891" s="392"/>
      <c r="BZ891" s="461"/>
      <c r="CA891" s="392"/>
      <c r="CB891" s="392"/>
      <c r="CC891" s="392"/>
      <c r="CD891" s="401"/>
      <c r="CE891" s="409"/>
      <c r="CF891" s="133">
        <f t="shared" si="1669"/>
        <v>0</v>
      </c>
      <c r="CG891" s="134">
        <f t="shared" si="1670"/>
        <v>0</v>
      </c>
      <c r="CH891" s="134">
        <f t="shared" si="1671"/>
        <v>0</v>
      </c>
      <c r="CI891" s="134">
        <f t="shared" si="1672"/>
        <v>0</v>
      </c>
      <c r="CJ891" s="134">
        <f t="shared" si="1673"/>
        <v>0</v>
      </c>
      <c r="CK891" s="134">
        <f t="shared" si="1674"/>
        <v>0</v>
      </c>
      <c r="CL891" s="134">
        <f t="shared" si="1675"/>
        <v>0</v>
      </c>
      <c r="CM891" s="134">
        <f t="shared" si="1676"/>
        <v>0</v>
      </c>
      <c r="CN891" s="134">
        <f t="shared" si="1677"/>
        <v>1</v>
      </c>
      <c r="CO891" s="134">
        <f t="shared" si="1678"/>
        <v>0</v>
      </c>
      <c r="CP891" s="134">
        <f t="shared" si="1679"/>
        <v>0</v>
      </c>
      <c r="CQ891" s="134">
        <f t="shared" si="1680"/>
        <v>0</v>
      </c>
      <c r="CR891" s="134">
        <f t="shared" si="1681"/>
        <v>0</v>
      </c>
      <c r="CS891" s="134">
        <f t="shared" si="1682"/>
        <v>0</v>
      </c>
      <c r="CT891" s="115">
        <f t="shared" si="1683"/>
        <v>0</v>
      </c>
      <c r="CU891" s="116">
        <f t="shared" si="1684"/>
        <v>0</v>
      </c>
      <c r="CV891" s="116">
        <f t="shared" si="1685"/>
        <v>0</v>
      </c>
      <c r="CW891" s="116">
        <f t="shared" si="1686"/>
        <v>0</v>
      </c>
      <c r="CX891" s="116">
        <f t="shared" si="1687"/>
        <v>0</v>
      </c>
      <c r="CY891" s="116">
        <f t="shared" si="1688"/>
        <v>0</v>
      </c>
      <c r="CZ891" s="116">
        <f t="shared" si="1689"/>
        <v>0</v>
      </c>
      <c r="DA891" s="116">
        <f t="shared" si="1690"/>
        <v>0</v>
      </c>
      <c r="DB891" s="116">
        <f t="shared" si="1691"/>
        <v>0</v>
      </c>
      <c r="DC891" s="116">
        <f t="shared" si="1692"/>
        <v>0</v>
      </c>
      <c r="DD891" s="116">
        <f t="shared" si="1693"/>
        <v>0</v>
      </c>
      <c r="DE891" s="117">
        <f t="shared" si="1694"/>
        <v>0</v>
      </c>
      <c r="DF891" s="118">
        <f t="shared" si="1696"/>
        <v>55</v>
      </c>
      <c r="DG891" s="106">
        <f t="shared" si="1697"/>
        <v>74.153000000000006</v>
      </c>
      <c r="DH891" s="116">
        <f t="shared" si="1698"/>
        <v>19</v>
      </c>
      <c r="DI891" s="106">
        <f t="shared" si="1699"/>
        <v>81.47</v>
      </c>
      <c r="DJ891" s="201" t="str">
        <f>IF($D889="","",$D889)</f>
        <v>30</v>
      </c>
      <c r="DK891" s="466"/>
    </row>
    <row r="892" spans="1:115" ht="14.5" customHeight="1" x14ac:dyDescent="0.2">
      <c r="A892" s="487">
        <f>$A889+1</f>
        <v>297</v>
      </c>
      <c r="B892" s="506" t="str">
        <f>IF(OR(C892="W",C893="W",C894="W",C892="1/2W",C893="1/2W",C894="1/2W",C892="1/2L",C893="1/2L",C894="1/2L"),"OK",IF(OR(C892="L",C893="L",C894="L"),"LOSS",IF(OR(C892="X",C893="X",C894="X"),"Anulado"," ")))</f>
        <v>OK</v>
      </c>
      <c r="C892" s="147" t="s">
        <v>55</v>
      </c>
      <c r="D892" s="494" t="str">
        <f>IF(G892="","",$D889)</f>
        <v>30</v>
      </c>
      <c r="E892" s="511" t="str">
        <f>IF(G892=""," ","– "&amp;COUNTIF(D$4:D894,$D892))</f>
        <v>– 3</v>
      </c>
      <c r="F892" s="510" t="str">
        <f ca="1">IF(G892="","",IF(OR(AND($C892&lt;&gt;" ",$C893=" "),AND($C893&lt;&gt;" ",$C892=" "),AND(L894&gt;0,OR(AND($C894&lt;&gt;" ",OR($C892=" ",$C893=" ")),AND($C894=" ",OR($C892&lt;&gt;" ",$C893&lt;&gt;" "))))),IF(SUM(F$4:F891)=0,1,LARGE(F$4:F891,1)+1),IF(MONTH(G892)=MONTH(TODAY()),IF(AND(DAY(G892)&lt;DAY(TODAY()),$B892=" "),IF(SUM(F$4:F891)=0,1,LARGE(F$4:F891,1)+1),IF($B892=" ",IF(AND(DAY(G892)=DAY(TODAY()),HOUR(G892)&lt;=HOUR(NOW())+1),IF(AND(HOUR(G892)+2&lt;=HOUR(NOW()),DAY(G892)&lt;=DAY(TODAY()),MINUTE(G892)&lt;=MINUTE(NOW())),IF(SUM(F$4:F891)=0,1,LARGE(F$4:F891,1)+1),IF(OR(MINUTE(G892)&lt;=MINUTE(NOW()),HOUR(G892)&lt;=HOUR(NOW())),"!!!","")),""),"")),"")))</f>
        <v/>
      </c>
      <c r="G892" s="517">
        <v>45015.270833333336</v>
      </c>
      <c r="H892" s="516" t="s">
        <v>297</v>
      </c>
      <c r="I892" s="249">
        <v>2</v>
      </c>
      <c r="J892" s="241"/>
      <c r="K892" s="224" t="s">
        <v>47</v>
      </c>
      <c r="L892" s="225">
        <v>2.8</v>
      </c>
      <c r="M892" s="226">
        <v>43.57</v>
      </c>
      <c r="N892" s="503">
        <v>0</v>
      </c>
      <c r="O892" s="153">
        <f>IF(OR(AE892="",AE893=""),"",ROUND(IF(L894&gt;0,IF(M892&gt;0,M892,IF(M893&gt;0,ROUND((M893*AE892)/AE893,IF(N892=0,2,IF(N892=0.1,1,0))),ROUND((M894*AE892)/AE894,IF(N892=0,2,IF(N892=0.1,1,0))))),IF(M892&gt;0,M892,ROUND((M893*AE892)/AE893,IF(N892=0,2,IF(N892=0.1,1,0))))),2))</f>
        <v>43.57</v>
      </c>
      <c r="P892" s="227">
        <f>IF(OR(L892="",O892=""),"",IF($C892="1/2W",O892/2+O892/2*L892,IF($C892="1/2L",O892/2,IF(I892="Lay",(O892*(L892/(L892-1))-O892)*(1-_xlfn.XLOOKUP(K892,'Fevereiro 2023 - Valor Real'!A3:A15,'Fevereiro 2023 - Valor Real'!C3:C15,0))+O892,(O892*L892-O892)*(1-_xlfn.XLOOKUP(K892,'Fevereiro 2023 - Valor Real'!A3:A15,'Fevereiro 2023 - Valor Real'!C3:C15,0))+O892))))</f>
        <v>121.99599999999998</v>
      </c>
      <c r="Q892" s="228">
        <f>IF(K892="","",IF(_xlfn.XLOOKUP(K892,K$4:K891,$DJ$4:DJ891,0,,-1)=DJ892,_xlfn.XLOOKUP(K892,K$4:K891,Q$4:Q891,1,,-1)+1,1))</f>
        <v>3</v>
      </c>
      <c r="R892" s="229">
        <f>IF(K892="","",_xlfn.XLOOKUP(K892,K$4:K891,R$4:R891,0,,-1)+IF($C892=" ",1,0))</f>
        <v>0</v>
      </c>
      <c r="S892" s="501">
        <f>IF($B892="Anulado",0,ROUND(IF(OR($B892="LOSS",$B892="OK"),IF(OR($C892="W",$C892="1/2W",$C892="1/2L"),P892-O892,IF($C892="L",-O892,0))+IF(OR($C893="W",$C893="1/2W",$C893="1/2L"),P893-O893,IF($C893="L",-O893,0))+IF(OR($C894="W",$C894="1/2W",$C894="1/2L"),P894-O894,IF($C894="L",-O894,0)),IF(AND(OR($C892="W",$C892="1/2W",$C892="1/2L"),C893="W"),P892+P893-SUM(O892:O894)+_xlfn.XLOOKUP("X",C892:C894,O892:O894,0),IF(AND(C892=TRUE,C894="W"),P892+P894-SUM(O892:O894),IF(AND(C893="W",C894="W"),P893+P894-SUM(O892:O894)+_xlfn.XLOOKUP("X",C892:C894,O892:O894,0),IF(L894&gt;0,IF(OR($C892="W",$C892="1/2W",$C892="1/2L"),P892-SUM(O892:O894)+_xlfn.XLOOKUP("X",C892:C894,O892:O894,0),IF(OR($C892="W",$C892="1/2W",$C892="1/2L"),P893-SUM(O892:O894)+_xlfn.XLOOKUP("X",C892:C894,O892:O894,0),IF(OR($C892="W",$C892="1/2W",$C892="1/2L"),P894-SUM(O892:O894)+_xlfn.XLOOKUP("X",C892:C894,O892:O894,0),IF(SUM(P892:P894)/3-SUM(O892:O894)+_xlfn.XLOOKUP("X",C892:C894,O892:O894,0)&gt;0,SUM(P892:P894)/3-SUM(O892:O894)+_xlfn.XLOOKUP("X",C892:C894,O892:O894,0),LARGE(P892:P894,1)-SUM(O892:O894))))),IF(OR($C892="W",$C892="1/2W",$C892="1/2L"),P892-SUM(O892:O893)+_xlfn.XLOOKUP("X",C892:C894,O892:O894,0),IF(OR($C892="W",$C892="1/2W",$C892="1/2L"),P893-SUM(O892:O893)+_xlfn.XLOOKUP("X",C892:C894,O892:O894,0),SUM(P892:P893)/2-SUM(O892:O893)+_xlfn.XLOOKUP("X",C892:C894,O892:O894,0)))))))),2))</f>
        <v>6.2</v>
      </c>
      <c r="T892" s="486">
        <f>IF(S892=0,0,S892/SUM(O892:O894))</f>
        <v>5.354058721934369E-2</v>
      </c>
      <c r="U892" s="496">
        <f>IF($D892=$D889,IF(OR($B892="LOSS",$B892="OK",$B892="Anulada"),S892,0)+U889,IF(OR($B892="LOSS",$B892="OK",$B892="Anulada"),S892,0))</f>
        <v>11.719999999999999</v>
      </c>
      <c r="V892" s="496">
        <f>IF($D892="",0,IF($D892=$D889,IF($B892=" ",IF(I894="",IF(OR(AND(I892="DNB1",I893="DNB2"),AND(OR(I892="DNB1",I892="DNB2"),J893=0),AND(OR(I893="DNB1",I893="DNB2"),J892=0),AND(I892="DNB2",I893="DNB1"),AND(IF(J892=0,(J892+1)/ROUND(J892+1,0),J892/ROUND(J892,0))=1,IF(J893=0,(J893+1)/ROUND(IF(J893="",0,J893)+1,0),IF(J893="",0,J893)/ROUND(IF(J893="",1,J893),0))=1,OR(J892&lt;&gt;""),J893&lt;&gt;"")),0,IF(S892&lt;0,IF(I894="",SMALL(P892:P893,1)-SUM(O892:O893),0),SMALL(P892:P893,1)-SUM(O892:O893))),IF(S892&lt;0,IF(I894="",SMALL(P892:P894,1)-SUM(O892:O894),0),LARGE(P892:P894,1)-SUM(O892:O894))),S892)+V889,IF(I894="",IF(OR(AND(I892="DNB1",I893="DNB2"),AND(OR(I892="DNB1",I892="DNB2"),J893=0),AND(OR(I893="DNB1",I893="DNB2"),J892=0),AND(I892="DNB2",I893="DNB1"),AND(IF(J892=0,(J892+1)/ROUND(J892+1,0),J892/ROUND(J892,0))=1,IF(J893=0,(IF(J893="",0,J893)+1)/ROUND(IF(J893="",0,J893)+1,0),IF(J893="",0,J893)/ROUND(IF(J893="",0,J893)+1,0))=1,OR(J892&lt;&gt;""),J893&lt;&gt;"")),0,IF(S892&lt;0,IF(I894="",SMALL(P892:P893,1)-SUM(O892:O893),0),SMALL(P892:P894,1)-SUM(O892:O894))),IF(S892&lt;0,IF(I894="",SMALL(P892:P894,1)-SUM(O892:O894),0),LARGE(P892:P894,1)-SUM(O892:O894)))))</f>
        <v>11.720000000000002</v>
      </c>
      <c r="W892" s="496">
        <f>IF($D892=$D889,IF(S892&lt;0,IF(I894="",S892,0),S892)+W889,S892)</f>
        <v>11.719999999999999</v>
      </c>
      <c r="X892" s="505" t="str">
        <f>IF(OR(SUM(R892:R894)=0,V892=W892),ROUND(IF(W892=0,0,W892/Y892)*100,2)&amp;"%",ROUND(IF(V892=0,0,V892/Y892)*100,2)&amp;"% a "&amp;ROUND(IF(W892=0,0,W892/Y892)*100,2)&amp;"%")</f>
        <v>6,09%</v>
      </c>
      <c r="Y892" s="497">
        <f>IF($D892=$D889,Y889+SUM(O892:O894),SUM(O892:O894))</f>
        <v>192.42000000000002</v>
      </c>
      <c r="Z892" s="496">
        <f>IF($B892=" ",SUM(O892:O894),0)+Z889</f>
        <v>0</v>
      </c>
      <c r="AA892" s="496">
        <f>IF(G892="","",IF($B892="Anulado",LARGE(P892:P894,1)-SUM(O892:O894)+AA889,AA889))</f>
        <v>14.77109999999999</v>
      </c>
      <c r="AB892" s="496">
        <f>IF($D892="","",AB889+S892)</f>
        <v>1012.170000000001</v>
      </c>
      <c r="AC892" s="499">
        <f ca="1">IF($D892="","",IF($B892=" ",IF(DAY(G892)=DAY(TODAY()),1+AC889,0+AC889),0+AC889))</f>
        <v>0</v>
      </c>
      <c r="AD892" s="157">
        <f>(((L893/(L893-1)-1)*(1-_xlfn.XLOOKUP(K893,'Fevereiro 2023 - Valor Real'!A3:A15,'Fevereiro 2023 - Valor Real'!C3:C15,0))+1))/(((L892-1)*(1-_xlfn.XLOOKUP(K892,'Fevereiro 2023 - Valor Real'!A3:A15,'Fevereiro 2023 - Valor Real'!C3:C15,0))+1)+((L893/(L893-1)-1)*(1-_xlfn.XLOOKUP(K893,'Fevereiro 2023 - Valor Real'!A3:A15,'Fevereiro 2023 - Valor Real'!C3:C15,0))+1))</f>
        <v>0.46680669946382175</v>
      </c>
      <c r="AE892" s="158">
        <f>IF(L892="","",IF(L894&gt;0,(SUM(((L892-1)*(1-_xlfn.XLOOKUP(K892,'Fevereiro 2023 - Valor Real'!A3:A15,'Fevereiro 2023 - Valor Real'!C3:C15,0))+1),((L893-1)*(1-_xlfn.XLOOKUP(K893,'Fevereiro 2023 - Valor Real'!A3:A15,'Fevereiro 2023 - Valor Real'!C3:C15,0))+1),((L894-1)*(1-_xlfn.XLOOKUP(K894,'Fevereiro 2023 - Valor Real'!A3:A15,'Fevereiro 2023 - Valor Real'!C3:C15,0))+1))/((L892-1)*(1-_xlfn.XLOOKUP(K892,'Fevereiro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Real'!C3:C15,0))+1))/((L892-1)*(1-_xlfn.XLOOKUP(K892,'Fevereiro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Real'!C3:C15,0))+1))/((L893-1)*(1-_xlfn.XLOOKUP(K893,'Fevereiro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Real'!C3:C15,0))+1))/((L894-1)*(1-_xlfn.XLOOKUP(K894,'Fevereiro 2023 - Valor Real'!A3:A15,'Fevereiro 2023 - Valor Real'!C3:C15,0))+1)),IF(I892="Lay",IF(I893="Lay",((L893/(L893-1)-1)*(1-_xlfn.XLOOKUP(K893,'Fevereiro 2023 - Valor Real'!A3:A15,'Fevereiro 2023 - Valor Real'!C3:C15,0))+1)/(((L893/(L893-1)-1)*(1-_xlfn.XLOOKUP(K893,'Fevereiro 2023 - Valor Real'!A3:A15,'Fevereiro 2023 - Valor Real'!C3:C15,0))+1)+((L892/(L892-1)-1)*(1-_xlfn.XLOOKUP(K892,'Fevereiro 2023 - Valor Real'!A3:A15,'Fevereiro 2023 - Valor Real'!C3:C15,0))+1)),((L893-1)*(1-_xlfn.XLOOKUP(K893,'Fevereiro 2023 - Valor Real'!A3:A15,'Fevereiro 2023 - Valor Real'!C3:C15,0))+1)/(((L893-1)*(1-_xlfn.XLOOKUP(K893,'Fevereiro 2023 - Valor Real'!A3:A15,'Fevereiro 2023 - Valor Real'!C3:C15,0))+1)+((L892/(L892-1)-1)*(1-_xlfn.XLOOKUP(K892,'Fevereiro 2023 - Valor Real'!A3:A15,'Fevereiro 2023 - Valor Real'!C3:C15,0))+1))),IF(I893="Lay",(((L893/(L893-1)-1)*(1-_xlfn.XLOOKUP(K893,'Fevereiro 2023 - Valor Real'!A3:A15,'Fevereiro 2023 - Valor Real'!C3:C15,0))+1))/(((L892-1)*(1-_xlfn.XLOOKUP(K892,'Fevereiro 2023 - Valor Real'!A3:A15,'Fevereiro 2023 - Valor Real'!C3:C15,0))+1)+((L893/(L893-1)-1)*(1-_xlfn.XLOOKUP(K893,'Fevereiro 2023 - Valor Real'!A3:A15,'Fevereiro 2023 - Valor Real'!C3:C15,0))+1)),((L893-1)*(1-_xlfn.XLOOKUP(K893,'Fevereiro 2023 - Valor Real'!A3:A15,'Fevereiro 2023 - Valor Real'!C3:C15,0))+1)/(((L893-1)*(1-_xlfn.XLOOKUP(K893,'Fevereiro 2023 - Valor Real'!A3:A15,'Fevereiro 2023 - Valor Real'!C3:C15,0))+1)+((L892-1)*(1-_xlfn.XLOOKUP(K892,'Fevereiro 2023 - Valor Real'!A3:A15,'Fevereiro 2023 - Valor Real'!C3:C15,0))+1))))))</f>
        <v>0.376253063042994</v>
      </c>
      <c r="AF892" s="66">
        <f t="shared" si="1770"/>
        <v>0</v>
      </c>
      <c r="AG892" s="67">
        <f t="shared" si="1770"/>
        <v>0</v>
      </c>
      <c r="AH892" s="67">
        <f t="shared" si="1770"/>
        <v>0</v>
      </c>
      <c r="AI892" s="67">
        <f t="shared" si="1770"/>
        <v>0</v>
      </c>
      <c r="AJ892" s="67">
        <f t="shared" si="1770"/>
        <v>0</v>
      </c>
      <c r="AK892" s="67">
        <f t="shared" si="1770"/>
        <v>0</v>
      </c>
      <c r="AL892" s="67">
        <f t="shared" si="1770"/>
        <v>0</v>
      </c>
      <c r="AM892" s="67">
        <f t="shared" si="1770"/>
        <v>0</v>
      </c>
      <c r="AN892" s="67">
        <f t="shared" si="1770"/>
        <v>0</v>
      </c>
      <c r="AO892" s="67">
        <f t="shared" si="1770"/>
        <v>0</v>
      </c>
      <c r="AP892" s="67">
        <f t="shared" si="1770"/>
        <v>0</v>
      </c>
      <c r="AQ892" s="67">
        <f t="shared" si="1770"/>
        <v>-43.57</v>
      </c>
      <c r="AR892" s="68">
        <f t="shared" si="1770"/>
        <v>0</v>
      </c>
      <c r="AS892" s="66">
        <f t="shared" ref="AS892:BE892" si="1782">IF(AND($B892=" ",$K892=AS$3),$O892,0)</f>
        <v>0</v>
      </c>
      <c r="AT892" s="67">
        <f t="shared" si="1782"/>
        <v>0</v>
      </c>
      <c r="AU892" s="67">
        <f t="shared" si="1782"/>
        <v>0</v>
      </c>
      <c r="AV892" s="67">
        <f t="shared" si="1782"/>
        <v>0</v>
      </c>
      <c r="AW892" s="67">
        <f t="shared" si="1782"/>
        <v>0</v>
      </c>
      <c r="AX892" s="67">
        <f t="shared" si="1782"/>
        <v>0</v>
      </c>
      <c r="AY892" s="69">
        <f t="shared" si="1782"/>
        <v>0</v>
      </c>
      <c r="AZ892" s="70">
        <f t="shared" si="1782"/>
        <v>0</v>
      </c>
      <c r="BA892" s="70">
        <f t="shared" si="1782"/>
        <v>0</v>
      </c>
      <c r="BB892" s="70">
        <f t="shared" si="1782"/>
        <v>0</v>
      </c>
      <c r="BC892" s="71">
        <f t="shared" si="1782"/>
        <v>0</v>
      </c>
      <c r="BD892" s="67">
        <f t="shared" si="1782"/>
        <v>0</v>
      </c>
      <c r="BE892" s="68">
        <f t="shared" si="1782"/>
        <v>0</v>
      </c>
      <c r="BF892" s="230">
        <f t="shared" si="1772"/>
        <v>0</v>
      </c>
      <c r="BG892" s="67">
        <f t="shared" si="1772"/>
        <v>0</v>
      </c>
      <c r="BH892" s="67">
        <f t="shared" si="1772"/>
        <v>0</v>
      </c>
      <c r="BI892" s="67">
        <f t="shared" si="1772"/>
        <v>0</v>
      </c>
      <c r="BJ892" s="67">
        <f t="shared" si="1772"/>
        <v>0</v>
      </c>
      <c r="BK892" s="67">
        <f t="shared" si="1772"/>
        <v>0</v>
      </c>
      <c r="BL892" s="67">
        <f t="shared" si="1772"/>
        <v>0</v>
      </c>
      <c r="BM892" s="69">
        <f t="shared" si="1772"/>
        <v>0</v>
      </c>
      <c r="BN892" s="70">
        <f t="shared" si="1772"/>
        <v>0</v>
      </c>
      <c r="BO892" s="70">
        <f t="shared" si="1772"/>
        <v>0</v>
      </c>
      <c r="BP892" s="70">
        <f t="shared" si="1772"/>
        <v>0</v>
      </c>
      <c r="BQ892" s="71">
        <f t="shared" si="1772"/>
        <v>43.57</v>
      </c>
      <c r="BR892" s="68">
        <f t="shared" si="1772"/>
        <v>0</v>
      </c>
      <c r="BS892" s="490">
        <f>IF($B892="LOSS",IF(AND($K892=BS$3,$C892="L"),-$O892,0)+IF(AND($K893=BS$3,$C893="L"),-$O893,0)+IF(AND($K894=BS$3,$C894="L"),-$O894,0),IF(OR(AND($K892=BS$3,OR($C892="W",$C892="1/2W")),AND($K893=BS$3,OR($C893="W",$C893="1/2W")),AND($K894=BS$3,OR($C894="W",$C894="1/2W"))),$S892,0))</f>
        <v>0</v>
      </c>
      <c r="BT892" s="488">
        <f>IF($B892="LOSS",IF(AND($K892=BT$3,$C892="L"),-$O892,0)+IF(AND($K893=BT$3,$C893="L"),-$O893,0)+IF(AND($K893=BT$3,$C894="L"),-$O894,0),IF(OR(AND($K893=BT$3,OR($C892="W",$C892="1/2W")),AND($K893=BT$3,OR($C893="W",$C893="1/2W")),AND($K893=BT$3,OR($C894="W",$C894="1/2W"))),$S892,0))</f>
        <v>0</v>
      </c>
      <c r="BU892" s="488">
        <f>IF($B892="LOSS",IF(AND($K892=BU$3,$C892="L"),-$O892,0)+IF(AND($K893=BU$3,$C893="L"),-$O893,0)+IF(AND($K893=BU$3,$C894="L"),-$O894,0),IF(OR(AND($K893=BU$3,OR($C892="W",$C892="1/2W")),AND($K893=BU$3,OR($C893="W",$C893="1/2W")),AND($K893=BU$3,OR($C894="W",$C894="1/2W"))),$S892,0))</f>
        <v>0</v>
      </c>
      <c r="BV892" s="488">
        <f t="shared" ref="BV892:CE892" si="1783">IF($B892="LOSS",IF(AND($K892=BV$3,$C892="L"),-$O892,0)+IF(AND($K893=BV$3,$C893="L"),-$O893,0)+IF(AND($K894=BV$3,$C894="L"),-$O894,0),IF(OR(AND($K892=BV$3,OR($C892="W",$C892="1/2W")),AND($K893=BV$3,OR($C893="W",$C893="1/2W")),AND($K894=BV$3,OR($C894="W",$C894="1/2W"))),$S892,0))</f>
        <v>0</v>
      </c>
      <c r="BW892" s="488">
        <f t="shared" si="1783"/>
        <v>0</v>
      </c>
      <c r="BX892" s="488">
        <f t="shared" si="1783"/>
        <v>0</v>
      </c>
      <c r="BY892" s="488">
        <f t="shared" si="1783"/>
        <v>0</v>
      </c>
      <c r="BZ892" s="498">
        <f t="shared" si="1783"/>
        <v>6.2</v>
      </c>
      <c r="CA892" s="498">
        <f t="shared" si="1783"/>
        <v>0</v>
      </c>
      <c r="CB892" s="498">
        <f t="shared" si="1783"/>
        <v>0</v>
      </c>
      <c r="CC892" s="498">
        <f t="shared" si="1783"/>
        <v>0</v>
      </c>
      <c r="CD892" s="500">
        <f t="shared" si="1783"/>
        <v>0</v>
      </c>
      <c r="CE892" s="504">
        <f t="shared" si="1783"/>
        <v>0</v>
      </c>
      <c r="CF892" s="160">
        <f t="shared" si="1669"/>
        <v>0</v>
      </c>
      <c r="CG892" s="161">
        <f t="shared" si="1670"/>
        <v>0</v>
      </c>
      <c r="CH892" s="161">
        <f t="shared" si="1671"/>
        <v>0</v>
      </c>
      <c r="CI892" s="161">
        <f t="shared" si="1672"/>
        <v>0</v>
      </c>
      <c r="CJ892" s="161">
        <f t="shared" si="1673"/>
        <v>0</v>
      </c>
      <c r="CK892" s="161">
        <f t="shared" si="1674"/>
        <v>0</v>
      </c>
      <c r="CL892" s="161">
        <f t="shared" si="1675"/>
        <v>0</v>
      </c>
      <c r="CM892" s="161">
        <f t="shared" si="1676"/>
        <v>0</v>
      </c>
      <c r="CN892" s="161">
        <f t="shared" si="1677"/>
        <v>0</v>
      </c>
      <c r="CO892" s="161">
        <f t="shared" si="1678"/>
        <v>0</v>
      </c>
      <c r="CP892" s="161">
        <f t="shared" si="1679"/>
        <v>0</v>
      </c>
      <c r="CQ892" s="161">
        <f t="shared" si="1680"/>
        <v>0</v>
      </c>
      <c r="CR892" s="161">
        <f t="shared" si="1681"/>
        <v>0</v>
      </c>
      <c r="CS892" s="161">
        <f t="shared" si="1682"/>
        <v>0</v>
      </c>
      <c r="CT892" s="75">
        <f t="shared" si="1683"/>
        <v>0</v>
      </c>
      <c r="CU892" s="76">
        <f t="shared" si="1684"/>
        <v>0</v>
      </c>
      <c r="CV892" s="76">
        <f t="shared" si="1685"/>
        <v>0</v>
      </c>
      <c r="CW892" s="76">
        <f t="shared" si="1686"/>
        <v>0</v>
      </c>
      <c r="CX892" s="76">
        <f t="shared" si="1687"/>
        <v>0</v>
      </c>
      <c r="CY892" s="76">
        <f t="shared" si="1688"/>
        <v>0</v>
      </c>
      <c r="CZ892" s="76">
        <f t="shared" si="1689"/>
        <v>0</v>
      </c>
      <c r="DA892" s="76">
        <f t="shared" si="1690"/>
        <v>0</v>
      </c>
      <c r="DB892" s="76">
        <f t="shared" si="1691"/>
        <v>0</v>
      </c>
      <c r="DC892" s="76">
        <f t="shared" si="1692"/>
        <v>1</v>
      </c>
      <c r="DD892" s="76">
        <f t="shared" si="1693"/>
        <v>0</v>
      </c>
      <c r="DE892" s="77">
        <f t="shared" si="1694"/>
        <v>0</v>
      </c>
      <c r="DF892" s="73">
        <f t="shared" si="1696"/>
        <v>55</v>
      </c>
      <c r="DG892" s="67">
        <f t="shared" si="1697"/>
        <v>74.153000000000006</v>
      </c>
      <c r="DH892" s="76">
        <f t="shared" si="1698"/>
        <v>19</v>
      </c>
      <c r="DI892" s="67">
        <f t="shared" si="1699"/>
        <v>81.47</v>
      </c>
      <c r="DJ892" s="202" t="str">
        <f>IF($D892="","",$D892)</f>
        <v>30</v>
      </c>
      <c r="DK892" s="492">
        <f>IF(AND($B892=" ",$D892&lt;&gt;""),1,0)</f>
        <v>0</v>
      </c>
    </row>
    <row r="893" spans="1:115" ht="14.5" customHeight="1" x14ac:dyDescent="0.2">
      <c r="A893" s="389"/>
      <c r="B893" s="456"/>
      <c r="C893" s="53" t="s">
        <v>54</v>
      </c>
      <c r="D893" s="374"/>
      <c r="E893" s="386"/>
      <c r="F893" s="377"/>
      <c r="G893" s="483"/>
      <c r="H893" s="476"/>
      <c r="I893" s="248">
        <v>1</v>
      </c>
      <c r="J893" s="242" t="str">
        <f>IF(OR(I892="TO",I892="TU",I892="TO1",I892="TU1",I892="TO2",I892="TU2"),J892,IF(OR(I892="AH1",I892="AH2"),IF(OR(I893="AH1",I893="AH2"),-J892,IF(OR(I893="EH1",I893="EH2"),-J892+0.5,"")),IF(OR(I892="EH1",I892="EH2"),IF(OR(I893="AH1",I893="AH2"),-J892+0.5,IF(OR(I893="EH1",I893="EH2"),-J892+1,"")),IF(AND(OR(I892="DNB1",I892="DNB2"),OR(I893="AH1",I893="AH2")),0,IF(AND(I892="Not ScoreBoth",OR(I893="TO1",I893="TO2")),0.5,"")))))</f>
        <v/>
      </c>
      <c r="K893" s="232" t="s">
        <v>43</v>
      </c>
      <c r="L893" s="58">
        <v>1.6890000000000001</v>
      </c>
      <c r="M893" s="59"/>
      <c r="N893" s="406"/>
      <c r="O893" s="60">
        <f>IF(OR(AE892="",AE893=""),"",ROUND(IF(L894&gt;0,IF(M893&gt;0,M893,IF(M892&gt;0,IF(N892=TRUE,ROUND((M892*AE893)/AE892,0),(M892*AE893)/AE892),IF(M893&gt;0,ROUND(M893,IF(N892=0,2,IF(N892=0.1,1,0))),IF(M894&gt;0,ROUND(O894*AE893/AE894,IF(N892=0,2,IF(N892=0.1,1,0))),0)))),IF(M893&gt;0,M893,ROUND((M892*AE893)/AE892,IF(N892=0,2,IF(N892=0.1,1,0))))),2))</f>
        <v>72.23</v>
      </c>
      <c r="P893" s="61">
        <f>IF(OR(L893="",O893=""),"",IF($C893="1/2W",O893/2+O893/2*L893,IF($C893="1/2L",O893/2,IF(I893="Lay",((O893*(L893/(L893-1)))-O893)*(1-_xlfn.XLOOKUP(K893,'Fevereiro 2023 - Valor Real'!A3:A15,'Fevereiro 2023 - Valor Real'!C3:C15,0))+O893,(O893*L893-O893)*(1-_xlfn.XLOOKUP(K893,'Fevereiro 2023 - Valor Real'!A3:A15,'Fevereiro 2023 - Valor Real'!C3:C15,0))+O893))))</f>
        <v>121.99647000000002</v>
      </c>
      <c r="Q893" s="233">
        <f>IF(K893="","",IF(_xlfn.XLOOKUP(K893,K$4:K892,$DJ$4:DJ892,0,,-1)=DJ893,_xlfn.XLOOKUP(K893,K$4:K892,Q$4:Q892,1,,-1)+1,1))</f>
        <v>1</v>
      </c>
      <c r="R893" s="234">
        <f>IF(K893="","",_xlfn.XLOOKUP(K893,K$4:K892,R$4:R892,0,,-1)+IF($C893=" ",1,0))</f>
        <v>0</v>
      </c>
      <c r="S893" s="403"/>
      <c r="T893" s="380"/>
      <c r="U893" s="380"/>
      <c r="V893" s="481"/>
      <c r="W893" s="380"/>
      <c r="X893" s="452"/>
      <c r="Y893" s="383"/>
      <c r="Z893" s="384"/>
      <c r="AA893" s="384"/>
      <c r="AB893" s="384"/>
      <c r="AC893" s="384"/>
      <c r="AD893" s="64">
        <f>(((L893/(L893-1)-1)*(1-_xlfn.XLOOKUP(K893,'Fevereiro 2023 - Valor Real'!A3:A15,'Fevereiro 2023 - Valor Real'!C3:C15,0))+1))</f>
        <v>2.4513788098693756</v>
      </c>
      <c r="AE893" s="65">
        <f>IF(L893="","",IF(L894&gt;0,(SUM(((L892-1)*(1-_xlfn.XLOOKUP(K892,'Fevereiro 2023 - Valor Real'!A3:A15,'Fevereiro 2023 - Valor Real'!C3:C15,0))+1),((L893-1)*(1-_xlfn.XLOOKUP(K893,'Fevereiro 2023 - Valor Real'!A3:A15,'Fevereiro 2023 - Valor Real'!C3:C15,0))+1),((L894-1)*(1-_xlfn.XLOOKUP(K894,'Fevereiro 2023 - Valor Real'!A3:A15,'Fevereiro 2023 - Valor Real'!C3:C15,0))+1))/((L893-1)*(1-_xlfn.XLOOKUP(K893,'Fevereiro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Real'!C3:C15,0))+1))/((L892-1)*(1-_xlfn.XLOOKUP(K892,'Fevereiro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Real'!C3:C15,0))+1))/((L893-1)*(1-_xlfn.XLOOKUP(K893,'Fevereiro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Real'!C3:C15,0))+1))/((L894-1)*(1-_xlfn.XLOOKUP(K894,'Fevereiro 2023 - Valor Real'!A3:A15,'Fevereiro 2023 - Valor Real'!C3:C15,0))+1)),IF(I893="Lay",IF(I892="Lay",((L892/(L892-1)-1)*(1-_xlfn.XLOOKUP(K892,'Fevereiro 2023 - Valor Real'!A3:A15,'Fevereiro 2023 - Valor Real'!C3:C15,0))+1)/(((L892/(L892-1)-1)*(1-_xlfn.XLOOKUP(K892,'Fevereiro 2023 - Valor Real'!A3:A15,'Fevereiro 2023 - Valor Real'!C3:C15,0))+1)+((L893/(L893-1)-1)*(1-_xlfn.XLOOKUP(K893,'Fevereiro 2023 - Valor Real'!A3:A15,'Fevereiro 2023 - Valor Real'!C3:C15,0))+1)),((L892-1)*(1-_xlfn.XLOOKUP(K892,'Fevereiro 2023 - Valor Real'!A3:A15,'Fevereiro 2023 - Valor Real'!C3:C15,0))+1)/(((L892-1)*(1-_xlfn.XLOOKUP(K892,'Fevereiro 2023 - Valor Real'!A3:A15,'Fevereiro 2023 - Valor Real'!C3:C15,0))+1)+((L893/(L893-1)-1)*(1-_xlfn.XLOOKUP(K893,'Fevereiro 2023 - Valor Real'!A3:A15,'Fevereiro 2023 - Valor Real'!C3:C15,0))+1))),IF(I892="Lay",((L892/(L892-1)-1)*(1-_xlfn.XLOOKUP(K892,'Fevereiro 2023 - Valor Real'!A3:A15,'Fevereiro 2023 - Valor Real'!C3:C15,0))+1)/((((L892/(L892-1)-1)*(1-_xlfn.XLOOKUP(K892,'Fevereiro 2023 - Valor Real'!A3:A15,'Fevereiro 2023 - Valor Real'!C3:C15,0))+1))+((L893-1)*(1-_xlfn.XLOOKUP(K893,'Fevereiro 2023 - Valor Real'!A3:A15,'Fevereiro 2023 - Valor Real'!C3:C15,0))+1)),((L892-1)*(1-_xlfn.XLOOKUP(K892,'Fevereiro 2023 - Valor Real'!A3:A15,'Fevereiro 2023 - Valor Real'!C3:C15,0))+1)/(((L892-1)*(1-_xlfn.XLOOKUP(K892,'Fevereiro 2023 - Valor Real'!A3:A15,'Fevereiro 2023 - Valor Real'!C3:C15,0))+1)+((L893-1)*(1-_xlfn.XLOOKUP(K893,'Fevereiro 2023 - Valor Real'!A3:A15,'Fevereiro 2023 - Valor Real'!C3:C15,0))+1))))))</f>
        <v>0.623746936957006</v>
      </c>
      <c r="AF893" s="66">
        <f t="shared" si="1770"/>
        <v>0</v>
      </c>
      <c r="AG893" s="67">
        <f t="shared" si="1770"/>
        <v>0</v>
      </c>
      <c r="AH893" s="67">
        <f t="shared" si="1770"/>
        <v>0</v>
      </c>
      <c r="AI893" s="67">
        <f t="shared" si="1770"/>
        <v>0</v>
      </c>
      <c r="AJ893" s="67">
        <f t="shared" si="1770"/>
        <v>0</v>
      </c>
      <c r="AK893" s="67">
        <f t="shared" si="1770"/>
        <v>0</v>
      </c>
      <c r="AL893" s="67">
        <f t="shared" si="1770"/>
        <v>0</v>
      </c>
      <c r="AM893" s="67">
        <f t="shared" si="1770"/>
        <v>49.77</v>
      </c>
      <c r="AN893" s="67">
        <f t="shared" si="1770"/>
        <v>0</v>
      </c>
      <c r="AO893" s="67">
        <f t="shared" si="1770"/>
        <v>0</v>
      </c>
      <c r="AP893" s="67">
        <f t="shared" si="1770"/>
        <v>0</v>
      </c>
      <c r="AQ893" s="67">
        <f t="shared" si="1770"/>
        <v>0</v>
      </c>
      <c r="AR893" s="68">
        <f t="shared" si="1770"/>
        <v>0</v>
      </c>
      <c r="AS893" s="66">
        <f>IF(AND($B892=" ",$K893=AS$3),$O893,0)</f>
        <v>0</v>
      </c>
      <c r="AT893" s="67">
        <f>IF(AND($B892=" ",K893=AT$3),$O893,0)</f>
        <v>0</v>
      </c>
      <c r="AU893" s="67">
        <f t="shared" ref="AU893:BE893" si="1784">IF(AND($B892=" ",$K893=AU$3),$O893,0)</f>
        <v>0</v>
      </c>
      <c r="AV893" s="67">
        <f t="shared" si="1784"/>
        <v>0</v>
      </c>
      <c r="AW893" s="67">
        <f t="shared" si="1784"/>
        <v>0</v>
      </c>
      <c r="AX893" s="67">
        <f t="shared" si="1784"/>
        <v>0</v>
      </c>
      <c r="AY893" s="69">
        <f t="shared" si="1784"/>
        <v>0</v>
      </c>
      <c r="AZ893" s="70">
        <f t="shared" si="1784"/>
        <v>0</v>
      </c>
      <c r="BA893" s="70">
        <f t="shared" si="1784"/>
        <v>0</v>
      </c>
      <c r="BB893" s="70">
        <f t="shared" si="1784"/>
        <v>0</v>
      </c>
      <c r="BC893" s="71">
        <f t="shared" si="1784"/>
        <v>0</v>
      </c>
      <c r="BD893" s="67">
        <f t="shared" si="1784"/>
        <v>0</v>
      </c>
      <c r="BE893" s="68">
        <f t="shared" si="1784"/>
        <v>0</v>
      </c>
      <c r="BF893" s="66">
        <f t="shared" si="1772"/>
        <v>0</v>
      </c>
      <c r="BG893" s="67">
        <f t="shared" si="1772"/>
        <v>0</v>
      </c>
      <c r="BH893" s="67">
        <f t="shared" si="1772"/>
        <v>0</v>
      </c>
      <c r="BI893" s="67">
        <f t="shared" si="1772"/>
        <v>0</v>
      </c>
      <c r="BJ893" s="67">
        <f t="shared" si="1772"/>
        <v>0</v>
      </c>
      <c r="BK893" s="67">
        <f t="shared" si="1772"/>
        <v>0</v>
      </c>
      <c r="BL893" s="67">
        <f t="shared" si="1772"/>
        <v>0</v>
      </c>
      <c r="BM893" s="235">
        <f t="shared" si="1772"/>
        <v>72.23</v>
      </c>
      <c r="BN893" s="159">
        <f t="shared" si="1772"/>
        <v>0</v>
      </c>
      <c r="BO893" s="159">
        <f t="shared" si="1772"/>
        <v>0</v>
      </c>
      <c r="BP893" s="159">
        <f t="shared" si="1772"/>
        <v>0</v>
      </c>
      <c r="BQ893" s="71">
        <f t="shared" si="1772"/>
        <v>0</v>
      </c>
      <c r="BR893" s="68">
        <f t="shared" si="1772"/>
        <v>0</v>
      </c>
      <c r="BS893" s="464"/>
      <c r="BT893" s="461"/>
      <c r="BU893" s="392"/>
      <c r="BV893" s="461"/>
      <c r="BW893" s="392"/>
      <c r="BX893" s="392"/>
      <c r="BY893" s="392"/>
      <c r="BZ893" s="461"/>
      <c r="CA893" s="392"/>
      <c r="CB893" s="392"/>
      <c r="CC893" s="392"/>
      <c r="CD893" s="401"/>
      <c r="CE893" s="409"/>
      <c r="CF893" s="236">
        <f t="shared" si="1669"/>
        <v>0</v>
      </c>
      <c r="CG893" s="237">
        <f t="shared" si="1670"/>
        <v>0</v>
      </c>
      <c r="CH893" s="237">
        <f t="shared" si="1671"/>
        <v>0</v>
      </c>
      <c r="CI893" s="237">
        <f t="shared" si="1672"/>
        <v>0</v>
      </c>
      <c r="CJ893" s="237">
        <f t="shared" si="1673"/>
        <v>0</v>
      </c>
      <c r="CK893" s="237">
        <f t="shared" si="1674"/>
        <v>0</v>
      </c>
      <c r="CL893" s="237">
        <f t="shared" si="1675"/>
        <v>0</v>
      </c>
      <c r="CM893" s="237">
        <f t="shared" si="1676"/>
        <v>0</v>
      </c>
      <c r="CN893" s="237">
        <f t="shared" si="1677"/>
        <v>0</v>
      </c>
      <c r="CO893" s="237">
        <f t="shared" si="1678"/>
        <v>0</v>
      </c>
      <c r="CP893" s="237">
        <f t="shared" si="1679"/>
        <v>0</v>
      </c>
      <c r="CQ893" s="237">
        <f t="shared" si="1680"/>
        <v>0</v>
      </c>
      <c r="CR893" s="237">
        <f t="shared" si="1681"/>
        <v>0</v>
      </c>
      <c r="CS893" s="237">
        <f t="shared" si="1682"/>
        <v>0</v>
      </c>
      <c r="CT893" s="75">
        <f t="shared" si="1683"/>
        <v>1</v>
      </c>
      <c r="CU893" s="76">
        <f t="shared" si="1684"/>
        <v>0</v>
      </c>
      <c r="CV893" s="76">
        <f t="shared" si="1685"/>
        <v>0</v>
      </c>
      <c r="CW893" s="76">
        <f t="shared" si="1686"/>
        <v>0</v>
      </c>
      <c r="CX893" s="76">
        <f t="shared" si="1687"/>
        <v>0</v>
      </c>
      <c r="CY893" s="76">
        <f t="shared" si="1688"/>
        <v>0</v>
      </c>
      <c r="CZ893" s="76">
        <f t="shared" si="1689"/>
        <v>0</v>
      </c>
      <c r="DA893" s="76">
        <f t="shared" si="1690"/>
        <v>0</v>
      </c>
      <c r="DB893" s="76">
        <f t="shared" si="1691"/>
        <v>0</v>
      </c>
      <c r="DC893" s="76">
        <f t="shared" si="1692"/>
        <v>0</v>
      </c>
      <c r="DD893" s="76">
        <f t="shared" si="1693"/>
        <v>0</v>
      </c>
      <c r="DE893" s="77">
        <f t="shared" si="1694"/>
        <v>0</v>
      </c>
      <c r="DF893" s="73">
        <f t="shared" si="1696"/>
        <v>55</v>
      </c>
      <c r="DG893" s="67">
        <f t="shared" si="1697"/>
        <v>74.153000000000006</v>
      </c>
      <c r="DH893" s="76">
        <f t="shared" si="1698"/>
        <v>19</v>
      </c>
      <c r="DI893" s="67">
        <f t="shared" si="1699"/>
        <v>81.47</v>
      </c>
      <c r="DJ893" s="202" t="str">
        <f>IF($D892="","",$D892)</f>
        <v>30</v>
      </c>
      <c r="DK893" s="466"/>
    </row>
    <row r="894" spans="1:115" ht="14.5" customHeight="1" x14ac:dyDescent="0.2">
      <c r="A894" s="390"/>
      <c r="B894" s="457"/>
      <c r="C894" s="79" t="s">
        <v>53</v>
      </c>
      <c r="D894" s="375"/>
      <c r="E894" s="387"/>
      <c r="F894" s="378"/>
      <c r="G894" s="484"/>
      <c r="H894" s="477"/>
      <c r="I894" s="82"/>
      <c r="J894" s="83"/>
      <c r="K894" s="90"/>
      <c r="L894" s="84"/>
      <c r="M894" s="85"/>
      <c r="N894" s="407"/>
      <c r="O894" s="86" t="str">
        <f>IF(OR(AE892="",AE893=""),"",IF(L894&gt;0,ROUND(IF(M894&gt;0,M894,IF(M892&gt;0,ROUND((M892*AE894)/AE892,IF(N892=0,2,IF(N892=0.1,1,0))),IF(M893&gt;0,ROUND((M893*AE894)/AE893,IF(N892=0,2,IF(N892=0.1,1,0))),IF(M894&gt;0,M894,0)))),2),""))</f>
        <v/>
      </c>
      <c r="P894" s="87" t="str">
        <f>IF(I893="Lay",O893*(L893/(L893-1))-O893,IF(I892="Lay",O892*(L892/(L892-1))-O892,IF(OR(L894="",O894=""),"",IF($C894="1/2W",O894/2+O894/2*L894,IF($C894="1/2L",O894/2,(O894*L894-O894)*(1-_xlfn.XLOOKUP(K894,'Fevereiro 2023 - Valor Real'!A3:A15,'Fevereiro 2023 - Valor Real'!C3:C15,0))+O894)))))</f>
        <v/>
      </c>
      <c r="Q894" s="238" t="str">
        <f>IF(K894="","",IF(_xlfn.XLOOKUP(K894,K$4:K893,$DJ$4:DJ893,0,,-1)=DJ894,_xlfn.XLOOKUP(K894,K$4:K893,Q$4:Q893,1,,-1)+1,1))</f>
        <v/>
      </c>
      <c r="R894" s="239" t="str">
        <f>IF(K894="","",_xlfn.XLOOKUP(K894,K$4:K893,R$4:R893,0,,-1)+IF($C894=" ",1,0))</f>
        <v/>
      </c>
      <c r="S894" s="404"/>
      <c r="T894" s="378"/>
      <c r="U894" s="378"/>
      <c r="V894" s="404"/>
      <c r="W894" s="378"/>
      <c r="X894" s="453"/>
      <c r="Y894" s="383"/>
      <c r="Z894" s="384"/>
      <c r="AA894" s="384"/>
      <c r="AB894" s="384"/>
      <c r="AC894" s="384"/>
      <c r="AD894" s="240">
        <f>((L893/(L893-1)-1))</f>
        <v>1.4513788098693756</v>
      </c>
      <c r="AE894" s="91" t="str">
        <f>IF(L894="","",(SUM(((L892-1)*(1-_xlfn.XLOOKUP(K892,'Fevereiro 2023 - Valor Real'!A3:A15,'Fevereiro 2023 - Valor Real'!C3:C15,0))+1),((L893-1)*(1-_xlfn.XLOOKUP(K893,'Fevereiro 2023 - Valor Real'!A3:A15,'Fevereiro 2023 - Valor Real'!C3:C15,0))+1),((L894-1)*(1-_xlfn.XLOOKUP(K894,'Fevereiro 2023 - Valor Real'!A3:A15,'Fevereiro 2023 - Valor Real'!C3:C15,0))+1))/((L894-1)*(1-_xlfn.XLOOKUP(K894,'Fevereiro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Real'!C3:C15,0))+1))/((L892-1)*(1-_xlfn.XLOOKUP(K892,'Fevereiro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Real'!C3:C15,0))+1))/((L893-1)*(1-_xlfn.XLOOKUP(K893,'Fevereiro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Real'!C3:C15,0))+1))/((L894-1)*(1-_xlfn.XLOOKUP(K894,'Fevereiro 2023 - Valor Real'!A3:A15,'Fevereiro 2023 - Valor Real'!C3:C15,0))+1)))</f>
        <v/>
      </c>
      <c r="AF894" s="66">
        <f t="shared" ref="AF894:AR903" si="1785">IF($K894=AF$3,ROUND(IF(OR($C894="W",$C894="1/2W",$C894="1/2L"),$P894-$O894,IF($C894="X",0,-$O894)),2),0)</f>
        <v>0</v>
      </c>
      <c r="AG894" s="67">
        <f t="shared" si="1785"/>
        <v>0</v>
      </c>
      <c r="AH894" s="67">
        <f t="shared" si="1785"/>
        <v>0</v>
      </c>
      <c r="AI894" s="67">
        <f t="shared" si="1785"/>
        <v>0</v>
      </c>
      <c r="AJ894" s="67">
        <f t="shared" si="1785"/>
        <v>0</v>
      </c>
      <c r="AK894" s="67">
        <f t="shared" si="1785"/>
        <v>0</v>
      </c>
      <c r="AL894" s="67">
        <f t="shared" si="1785"/>
        <v>0</v>
      </c>
      <c r="AM894" s="67">
        <f t="shared" si="1785"/>
        <v>0</v>
      </c>
      <c r="AN894" s="67">
        <f t="shared" si="1785"/>
        <v>0</v>
      </c>
      <c r="AO894" s="67">
        <f t="shared" si="1785"/>
        <v>0</v>
      </c>
      <c r="AP894" s="67">
        <f t="shared" si="1785"/>
        <v>0</v>
      </c>
      <c r="AQ894" s="67">
        <f t="shared" si="1785"/>
        <v>0</v>
      </c>
      <c r="AR894" s="68">
        <f t="shared" si="1785"/>
        <v>0</v>
      </c>
      <c r="AS894" s="66">
        <f>IF(AND($B892=" ",$K894=AS$3),$O894,0)</f>
        <v>0</v>
      </c>
      <c r="AT894" s="67">
        <f>IF(AND($B892=" ",K894=AT$3),$O894,0)</f>
        <v>0</v>
      </c>
      <c r="AU894" s="67">
        <f t="shared" ref="AU894:BE894" si="1786">IF(AND($B892=" ",$K894=AU$3),$O894,0)</f>
        <v>0</v>
      </c>
      <c r="AV894" s="67">
        <f t="shared" si="1786"/>
        <v>0</v>
      </c>
      <c r="AW894" s="67">
        <f t="shared" si="1786"/>
        <v>0</v>
      </c>
      <c r="AX894" s="67">
        <f t="shared" si="1786"/>
        <v>0</v>
      </c>
      <c r="AY894" s="69">
        <f t="shared" si="1786"/>
        <v>0</v>
      </c>
      <c r="AZ894" s="70">
        <f t="shared" si="1786"/>
        <v>0</v>
      </c>
      <c r="BA894" s="70">
        <f t="shared" si="1786"/>
        <v>0</v>
      </c>
      <c r="BB894" s="70">
        <f t="shared" si="1786"/>
        <v>0</v>
      </c>
      <c r="BC894" s="71">
        <f t="shared" si="1786"/>
        <v>0</v>
      </c>
      <c r="BD894" s="67">
        <f t="shared" si="1786"/>
        <v>0</v>
      </c>
      <c r="BE894" s="68">
        <f t="shared" si="1786"/>
        <v>0</v>
      </c>
      <c r="BF894" s="66">
        <f t="shared" ref="BF894:BR903" si="1787">IF($K894=BF$3,IF($C894="X",0,$O894),0)</f>
        <v>0</v>
      </c>
      <c r="BG894" s="67">
        <f t="shared" si="1787"/>
        <v>0</v>
      </c>
      <c r="BH894" s="67">
        <f t="shared" si="1787"/>
        <v>0</v>
      </c>
      <c r="BI894" s="67">
        <f t="shared" si="1787"/>
        <v>0</v>
      </c>
      <c r="BJ894" s="67">
        <f t="shared" si="1787"/>
        <v>0</v>
      </c>
      <c r="BK894" s="67">
        <f t="shared" si="1787"/>
        <v>0</v>
      </c>
      <c r="BL894" s="67">
        <f t="shared" si="1787"/>
        <v>0</v>
      </c>
      <c r="BM894" s="69">
        <f t="shared" si="1787"/>
        <v>0</v>
      </c>
      <c r="BN894" s="70">
        <f t="shared" si="1787"/>
        <v>0</v>
      </c>
      <c r="BO894" s="70">
        <f t="shared" si="1787"/>
        <v>0</v>
      </c>
      <c r="BP894" s="70">
        <f t="shared" si="1787"/>
        <v>0</v>
      </c>
      <c r="BQ894" s="71">
        <f t="shared" si="1787"/>
        <v>0</v>
      </c>
      <c r="BR894" s="68">
        <f t="shared" si="1787"/>
        <v>0</v>
      </c>
      <c r="BS894" s="464"/>
      <c r="BT894" s="461"/>
      <c r="BU894" s="392"/>
      <c r="BV894" s="461"/>
      <c r="BW894" s="392"/>
      <c r="BX894" s="392"/>
      <c r="BY894" s="392"/>
      <c r="BZ894" s="461"/>
      <c r="CA894" s="392"/>
      <c r="CB894" s="392"/>
      <c r="CC894" s="392"/>
      <c r="CD894" s="401"/>
      <c r="CE894" s="409"/>
      <c r="CF894" s="236">
        <f t="shared" si="1669"/>
        <v>0</v>
      </c>
      <c r="CG894" s="237">
        <f t="shared" si="1670"/>
        <v>0</v>
      </c>
      <c r="CH894" s="237">
        <f t="shared" si="1671"/>
        <v>0</v>
      </c>
      <c r="CI894" s="237">
        <f t="shared" si="1672"/>
        <v>0</v>
      </c>
      <c r="CJ894" s="237">
        <f t="shared" si="1673"/>
        <v>0</v>
      </c>
      <c r="CK894" s="237">
        <f t="shared" si="1674"/>
        <v>0</v>
      </c>
      <c r="CL894" s="237">
        <f t="shared" si="1675"/>
        <v>0</v>
      </c>
      <c r="CM894" s="237">
        <f t="shared" si="1676"/>
        <v>0</v>
      </c>
      <c r="CN894" s="237">
        <f t="shared" si="1677"/>
        <v>0</v>
      </c>
      <c r="CO894" s="237">
        <f t="shared" si="1678"/>
        <v>0</v>
      </c>
      <c r="CP894" s="237">
        <f t="shared" si="1679"/>
        <v>0</v>
      </c>
      <c r="CQ894" s="237">
        <f t="shared" si="1680"/>
        <v>0</v>
      </c>
      <c r="CR894" s="237">
        <f t="shared" si="1681"/>
        <v>0</v>
      </c>
      <c r="CS894" s="237">
        <f t="shared" si="1682"/>
        <v>0</v>
      </c>
      <c r="CT894" s="75">
        <f t="shared" si="1683"/>
        <v>0</v>
      </c>
      <c r="CU894" s="76">
        <f t="shared" si="1684"/>
        <v>0</v>
      </c>
      <c r="CV894" s="76">
        <f t="shared" si="1685"/>
        <v>0</v>
      </c>
      <c r="CW894" s="76">
        <f t="shared" si="1686"/>
        <v>0</v>
      </c>
      <c r="CX894" s="76">
        <f t="shared" si="1687"/>
        <v>0</v>
      </c>
      <c r="CY894" s="76">
        <f t="shared" si="1688"/>
        <v>0</v>
      </c>
      <c r="CZ894" s="76">
        <f t="shared" si="1689"/>
        <v>0</v>
      </c>
      <c r="DA894" s="76">
        <f t="shared" si="1690"/>
        <v>0</v>
      </c>
      <c r="DB894" s="76">
        <f t="shared" si="1691"/>
        <v>0</v>
      </c>
      <c r="DC894" s="76">
        <f t="shared" si="1692"/>
        <v>0</v>
      </c>
      <c r="DD894" s="76">
        <f t="shared" si="1693"/>
        <v>0</v>
      </c>
      <c r="DE894" s="77">
        <f t="shared" si="1694"/>
        <v>0</v>
      </c>
      <c r="DF894" s="73">
        <f t="shared" si="1696"/>
        <v>55</v>
      </c>
      <c r="DG894" s="67">
        <f t="shared" si="1697"/>
        <v>74.153000000000006</v>
      </c>
      <c r="DH894" s="76">
        <f t="shared" si="1698"/>
        <v>19</v>
      </c>
      <c r="DI894" s="67">
        <f t="shared" si="1699"/>
        <v>81.47</v>
      </c>
      <c r="DJ894" s="202" t="str">
        <f>IF($D892="","",$D892)</f>
        <v>30</v>
      </c>
      <c r="DK894" s="466"/>
    </row>
    <row r="895" spans="1:115" ht="14.5" customHeight="1" x14ac:dyDescent="0.2">
      <c r="A895" s="459">
        <f>$A892+1</f>
        <v>298</v>
      </c>
      <c r="B895" s="507" t="str">
        <f>IF(OR(C895="W",C896="W",C897="W",C895="1/2W",C896="1/2W",C897="1/2W",C895="1/2L",C896="1/2L",C897="1/2L"),"OK",IF(OR(C895="L",C896="L",C897="L"),"LOSS",IF(OR(C895="X",C896="X",C897="X"),"Anulado"," ")))</f>
        <v>OK</v>
      </c>
      <c r="C895" s="93" t="s">
        <v>55</v>
      </c>
      <c r="D895" s="468" t="str">
        <f>IF(G895="","",$D892)</f>
        <v>30</v>
      </c>
      <c r="E895" s="485" t="str">
        <f>IF(G895=""," ","– "&amp;COUNTIF(D$4:D897,$D895))</f>
        <v>– 4</v>
      </c>
      <c r="F895" s="509" t="str">
        <f ca="1">IF(G895="","",IF(OR(AND($C895&lt;&gt;" ",$C896=" "),AND($C896&lt;&gt;" ",$C895=" "),AND(L897&gt;0,OR(AND($C897&lt;&gt;" ",OR($C895=" ",$C896=" ")),AND($C897=" ",OR($C895&lt;&gt;" ",$C896&lt;&gt;" "))))),IF(SUM(F$4:F894)=0,1,LARGE(F$4:F894,1)+1),IF(MONTH(G895)=MONTH(TODAY()),IF(AND(DAY(G895)&lt;DAY(TODAY()),$B895=" "),IF(SUM(F$4:F894)=0,1,LARGE(F$4:F894,1)+1),IF($B895=" ",IF(AND(DAY(G895)=DAY(TODAY()),HOUR(G895)&lt;=HOUR(NOW())+1),IF(AND(HOUR(G895)+2&lt;=HOUR(NOW()),DAY(G895)&lt;=DAY(TODAY()),MINUTE(G895)&lt;=MINUTE(NOW())),IF(SUM(F$4:F894)=0,1,LARGE(F$4:F894,1)+1),IF(OR(MINUTE(G895)&lt;=MINUTE(NOW()),HOUR(G895)&lt;=HOUR(NOW())),"!!!","")),""),"")),"")))</f>
        <v/>
      </c>
      <c r="G895" s="482">
        <v>45017.104166666664</v>
      </c>
      <c r="H895" s="475" t="s">
        <v>298</v>
      </c>
      <c r="I895" s="94" t="s">
        <v>66</v>
      </c>
      <c r="J895" s="95">
        <v>-1</v>
      </c>
      <c r="K895" s="96" t="s">
        <v>47</v>
      </c>
      <c r="L895" s="97">
        <v>2.35</v>
      </c>
      <c r="M895" s="98">
        <v>19.36</v>
      </c>
      <c r="N895" s="478">
        <v>0</v>
      </c>
      <c r="O895" s="99">
        <f>IF(OR(AE895="",AE896=""),"",ROUND(IF(L897&gt;0,IF(M895&gt;0,M895,IF(M896&gt;0,ROUND((M896*AE895)/AE896,IF(N895=0,2,IF(N895=0.1,1,0))),ROUND((M897*AE895)/AE897,IF(N895=0,2,IF(N895=0.1,1,0))))),IF(M895&gt;0,M895,ROUND((M896*AE895)/AE896,IF(N895=0,2,IF(N895=0.1,1,0))))),2))</f>
        <v>19.36</v>
      </c>
      <c r="P895" s="100">
        <f>IF(OR(L895="",O895=""),"",IF($C895="1/2W",O895/2+O895/2*L895,IF($C895="1/2L",O895/2,IF(I895="Lay",(O895*(L895/(L895-1))-O895)*(1-_xlfn.XLOOKUP(K895,'Fevereiro 2023 - Valor Real'!A3:A15,'Fevereiro 2023 - Valor Real'!C3:C15,0))+O895,(O895*L895-O895)*(1-_xlfn.XLOOKUP(K895,'Fevereiro 2023 - Valor Real'!A3:A15,'Fevereiro 2023 - Valor Real'!C3:C15,0))+O895))))</f>
        <v>45.496000000000002</v>
      </c>
      <c r="Q895" s="101">
        <f>IF(K895="","",IF(_xlfn.XLOOKUP(K895,K$4:K894,$DJ$4:DJ894,0,,-1)=DJ895,_xlfn.XLOOKUP(K895,K$4:K894,Q$4:Q894,1,,-1)+1,1))</f>
        <v>4</v>
      </c>
      <c r="R895" s="102">
        <f>IF(K895="","",_xlfn.XLOOKUP(K895,K$4:K894,R$4:R894,0,,-1)+IF($C895=" ",1,0))</f>
        <v>0</v>
      </c>
      <c r="S895" s="474">
        <f>IF($B895="Anulado",0,ROUND(IF(OR($B895="LOSS",$B895="OK"),IF(OR($C895="W",$C895="1/2W",$C895="1/2L"),P895-O895,IF($C895="L",-O895,0))+IF(OR($C896="W",$C896="1/2W",$C896="1/2L"),P896-O896,IF($C896="L",-O896,0))+IF(OR($C897="W",$C897="1/2W",$C897="1/2L"),P897-O897,IF($C897="L",-O897,0)),IF(AND(OR($C895="W",$C895="1/2W",$C895="1/2L"),C896="W"),P895+P896-SUM(O895:O897)+_xlfn.XLOOKUP("X",C895:C897,O895:O897,0),IF(AND(C895=TRUE,C897="W"),P895+P897-SUM(O895:O897),IF(AND(C896="W",C897="W"),P896+P897-SUM(O895:O897)+_xlfn.XLOOKUP("X",C895:C897,O895:O897,0),IF(L897&gt;0,IF(OR($C895="W",$C895="1/2W",$C895="1/2L"),P895-SUM(O895:O897)+_xlfn.XLOOKUP("X",C895:C897,O895:O897,0),IF(OR($C895="W",$C895="1/2W",$C895="1/2L"),P896-SUM(O895:O897)+_xlfn.XLOOKUP("X",C895:C897,O895:O897,0),IF(OR($C895="W",$C895="1/2W",$C895="1/2L"),P897-SUM(O895:O897)+_xlfn.XLOOKUP("X",C895:C897,O895:O897,0),IF(SUM(P895:P897)/3-SUM(O895:O897)+_xlfn.XLOOKUP("X",C895:C897,O895:O897,0)&gt;0,SUM(P895:P897)/3-SUM(O895:O897)+_xlfn.XLOOKUP("X",C895:C897,O895:O897,0),LARGE(P895:P897,1)-SUM(O895:O897))))),IF(OR($C895="W",$C895="1/2W",$C895="1/2L"),P895-SUM(O895:O896)+_xlfn.XLOOKUP("X",C895:C897,O895:O897,0),IF(OR($C895="W",$C895="1/2W",$C895="1/2L"),P896-SUM(O895:O896)+_xlfn.XLOOKUP("X",C895:C897,O895:O897,0),SUM(P895:P896)/2-SUM(O895:O896)+_xlfn.XLOOKUP("X",C895:C897,O895:O897,0)))))))),2))</f>
        <v>1.9</v>
      </c>
      <c r="T895" s="458">
        <f>IF(S895=0,0,S895/SUM(O895:O897))</f>
        <v>4.3577981651376149E-2</v>
      </c>
      <c r="U895" s="470">
        <f>IF($D895=$D892,IF(OR($B895="LOSS",$B895="OK",$B895="Anulada"),S895,0)+U892,IF(OR($B895="LOSS",$B895="OK",$B895="Anulada"),S895,0))</f>
        <v>13.62</v>
      </c>
      <c r="V895" s="470">
        <f>IF($D895="",0,IF($D895=$D892,IF($B895=" ",IF(I897="",IF(OR(AND(I895="DNB1",I896="DNB2"),AND(OR(I895="DNB1",I895="DNB2"),J896=0),AND(OR(I896="DNB1",I896="DNB2"),J895=0),AND(I895="DNB2",I896="DNB1"),AND(IF(J895=0,(J895+1)/ROUND(J895+1,0),J895/ROUND(J895,0))=1,IF(J896=0,(J896+1)/ROUND(IF(J896="",0,J896)+1,0),IF(J896="",0,J896)/ROUND(IF(J896="",1,J896),0))=1,OR(J895&lt;&gt;""),J896&lt;&gt;"")),0,IF(S895&lt;0,IF(I897="",SMALL(P895:P896,1)-SUM(O895:O896),0),SMALL(P895:P896,1)-SUM(O895:O896))),IF(S895&lt;0,IF(I897="",SMALL(P895:P897,1)-SUM(O895:O897),0),LARGE(P895:P897,1)-SUM(O895:O897))),S895)+V892,IF(I897="",IF(OR(AND(I895="DNB1",I896="DNB2"),AND(OR(I895="DNB1",I895="DNB2"),J896=0),AND(OR(I896="DNB1",I896="DNB2"),J895=0),AND(I895="DNB2",I896="DNB1"),AND(IF(J895=0,(J895+1)/ROUND(J895+1,0),J895/ROUND(J895,0))=1,IF(J896=0,(IF(J896="",0,J896)+1)/ROUND(IF(J896="",0,J896)+1,0),IF(J896="",0,J896)/ROUND(IF(J896="",0,J896)+1,0))=1,OR(J895&lt;&gt;""),J896&lt;&gt;"")),0,IF(S895&lt;0,IF(I897="",SMALL(P895:P896,1)-SUM(O895:O896),0),SMALL(P895:P897,1)-SUM(O895:O897))),IF(S895&lt;0,IF(I897="",SMALL(P895:P897,1)-SUM(O895:O897),0),LARGE(P895:P897,1)-SUM(O895:O897)))))</f>
        <v>13.620000000000003</v>
      </c>
      <c r="W895" s="470">
        <f>IF($D895=$D892,IF(S895&lt;0,IF(I897="",S895,0),S895)+W892,S895)</f>
        <v>13.62</v>
      </c>
      <c r="X895" s="480" t="str">
        <f>IF(OR(SUM(R895:R897)=0,V895=W895),ROUND(IF(W895=0,0,W895/Y895)*100,2)&amp;"%",ROUND(IF(V895=0,0,V895/Y895)*100,2)&amp;"% a "&amp;ROUND(IF(W895=0,0,W895/Y895)*100,2)&amp;"%")</f>
        <v>5,77%</v>
      </c>
      <c r="Y895" s="471">
        <f>IF($D895=$D892,Y892+SUM(O895:O897),SUM(O895:O897))</f>
        <v>236.02</v>
      </c>
      <c r="Z895" s="470">
        <f>IF($B895=" ",SUM(O895:O897),0)+Z892</f>
        <v>0</v>
      </c>
      <c r="AA895" s="470">
        <f>IF(G895="","",IF($B895="Anulado",LARGE(P895:P897,1)-SUM(O895:O897)+AA892,AA892))</f>
        <v>14.77109999999999</v>
      </c>
      <c r="AB895" s="470">
        <f>IF($D895="","",AB892+S895)</f>
        <v>1014.070000000001</v>
      </c>
      <c r="AC895" s="472">
        <f ca="1">IF($D895="","",IF($B895=" ",IF(DAY(G895)=DAY(TODAY()),1+AC892,0+AC892),0+AC892))</f>
        <v>0</v>
      </c>
      <c r="AD895" s="103">
        <f>(((L896/(L896-1)-1)*(1-_xlfn.XLOOKUP(K896,'Fevereiro 2023 - Valor Real'!A3:A15,'Fevereiro 2023 - Valor Real'!C3:C15,0))+1))/(((L895-1)*(1-_xlfn.XLOOKUP(K895,'Fevereiro 2023 - Valor Real'!A3:A15,'Fevereiro 2023 - Valor Real'!C3:C15,0))+1)+((L896/(L896-1)-1)*(1-_xlfn.XLOOKUP(K896,'Fevereiro 2023 - Valor Real'!A3:A15,'Fevereiro 2023 - Valor Real'!C3:C15,0))+1))</f>
        <v>0.47664393910537206</v>
      </c>
      <c r="AE895" s="104">
        <f>IF(L895="","",IF(L897&gt;0,(SUM(((L895-1)*(1-_xlfn.XLOOKUP(K895,'Fevereiro 2023 - Valor Real'!A3:A15,'Fevereiro 2023 - Valor Real'!C3:C15,0))+1),((L896-1)*(1-_xlfn.XLOOKUP(K896,'Fevereiro 2023 - Valor Real'!A3:A15,'Fevereiro 2023 - Valor Real'!C3:C15,0))+1),((L897-1)*(1-_xlfn.XLOOKUP(K897,'Fevereiro 2023 - Valor Real'!A3:A15,'Fevereiro 2023 - Valor Real'!C3:C15,0))+1))/((L895-1)*(1-_xlfn.XLOOKUP(K895,'Fevereiro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Real'!C3:C15,0))+1))/((L895-1)*(1-_xlfn.XLOOKUP(K895,'Fevereiro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Real'!C3:C15,0))+1))/((L896-1)*(1-_xlfn.XLOOKUP(K896,'Fevereiro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Real'!C3:C15,0))+1))/((L897-1)*(1-_xlfn.XLOOKUP(K897,'Fevereiro 2023 - Valor Real'!A3:A15,'Fevereiro 2023 - Valor Real'!C3:C15,0))+1)),IF(I895="Lay",IF(I896="Lay",((L896/(L896-1)-1)*(1-_xlfn.XLOOKUP(K896,'Fevereiro 2023 - Valor Real'!A3:A15,'Fevereiro 2023 - Valor Real'!C3:C15,0))+1)/(((L896/(L896-1)-1)*(1-_xlfn.XLOOKUP(K896,'Fevereiro 2023 - Valor Real'!A3:A15,'Fevereiro 2023 - Valor Real'!C3:C15,0))+1)+((L895/(L895-1)-1)*(1-_xlfn.XLOOKUP(K895,'Fevereiro 2023 - Valor Real'!A3:A15,'Fevereiro 2023 - Valor Real'!C3:C15,0))+1)),((L896-1)*(1-_xlfn.XLOOKUP(K896,'Fevereiro 2023 - Valor Real'!A3:A15,'Fevereiro 2023 - Valor Real'!C3:C15,0))+1)/(((L896-1)*(1-_xlfn.XLOOKUP(K896,'Fevereiro 2023 - Valor Real'!A3:A15,'Fevereiro 2023 - Valor Real'!C3:C15,0))+1)+((L895/(L895-1)-1)*(1-_xlfn.XLOOKUP(K895,'Fevereiro 2023 - Valor Real'!A3:A15,'Fevereiro 2023 - Valor Real'!C3:C15,0))+1))),IF(I896="Lay",(((L896/(L896-1)-1)*(1-_xlfn.XLOOKUP(K896,'Fevereiro 2023 - Valor Real'!A3:A15,'Fevereiro 2023 - Valor Real'!C3:C15,0))+1))/(((L895-1)*(1-_xlfn.XLOOKUP(K895,'Fevereiro 2023 - Valor Real'!A3:A15,'Fevereiro 2023 - Valor Real'!C3:C15,0))+1)+((L896/(L896-1)-1)*(1-_xlfn.XLOOKUP(K896,'Fevereiro 2023 - Valor Real'!A3:A15,'Fevereiro 2023 - Valor Real'!C3:C15,0))+1)),((L896-1)*(1-_xlfn.XLOOKUP(K896,'Fevereiro 2023 - Valor Real'!A3:A15,'Fevereiro 2023 - Valor Real'!C3:C15,0))+1)/(((L896-1)*(1-_xlfn.XLOOKUP(K896,'Fevereiro 2023 - Valor Real'!A3:A15,'Fevereiro 2023 - Valor Real'!C3:C15,0))+1)+((L895-1)*(1-_xlfn.XLOOKUP(K895,'Fevereiro 2023 - Valor Real'!A3:A15,'Fevereiro 2023 - Valor Real'!C3:C15,0))+1))))))</f>
        <v>0.44405015377336171</v>
      </c>
      <c r="AF895" s="105">
        <f t="shared" si="1785"/>
        <v>0</v>
      </c>
      <c r="AG895" s="106">
        <f t="shared" si="1785"/>
        <v>0</v>
      </c>
      <c r="AH895" s="106">
        <f t="shared" si="1785"/>
        <v>0</v>
      </c>
      <c r="AI895" s="106">
        <f t="shared" si="1785"/>
        <v>0</v>
      </c>
      <c r="AJ895" s="106">
        <f t="shared" si="1785"/>
        <v>0</v>
      </c>
      <c r="AK895" s="106">
        <f t="shared" si="1785"/>
        <v>0</v>
      </c>
      <c r="AL895" s="106">
        <f t="shared" si="1785"/>
        <v>0</v>
      </c>
      <c r="AM895" s="106">
        <f t="shared" si="1785"/>
        <v>0</v>
      </c>
      <c r="AN895" s="106">
        <f t="shared" si="1785"/>
        <v>0</v>
      </c>
      <c r="AO895" s="106">
        <f t="shared" si="1785"/>
        <v>0</v>
      </c>
      <c r="AP895" s="106">
        <f t="shared" si="1785"/>
        <v>0</v>
      </c>
      <c r="AQ895" s="106">
        <f t="shared" si="1785"/>
        <v>-19.36</v>
      </c>
      <c r="AR895" s="107">
        <f t="shared" si="1785"/>
        <v>0</v>
      </c>
      <c r="AS895" s="105">
        <f t="shared" ref="AS895:BE895" si="1788">IF(AND($B895=" ",$K895=AS$3),$O895,0)</f>
        <v>0</v>
      </c>
      <c r="AT895" s="106">
        <f t="shared" si="1788"/>
        <v>0</v>
      </c>
      <c r="AU895" s="106">
        <f t="shared" si="1788"/>
        <v>0</v>
      </c>
      <c r="AV895" s="106">
        <f t="shared" si="1788"/>
        <v>0</v>
      </c>
      <c r="AW895" s="106">
        <f t="shared" si="1788"/>
        <v>0</v>
      </c>
      <c r="AX895" s="106">
        <f t="shared" si="1788"/>
        <v>0</v>
      </c>
      <c r="AY895" s="108">
        <f t="shared" si="1788"/>
        <v>0</v>
      </c>
      <c r="AZ895" s="109">
        <f t="shared" si="1788"/>
        <v>0</v>
      </c>
      <c r="BA895" s="109">
        <f t="shared" si="1788"/>
        <v>0</v>
      </c>
      <c r="BB895" s="109">
        <f t="shared" si="1788"/>
        <v>0</v>
      </c>
      <c r="BC895" s="110">
        <f t="shared" si="1788"/>
        <v>0</v>
      </c>
      <c r="BD895" s="106">
        <f t="shared" si="1788"/>
        <v>0</v>
      </c>
      <c r="BE895" s="107">
        <f t="shared" si="1788"/>
        <v>0</v>
      </c>
      <c r="BF895" s="111">
        <f t="shared" si="1787"/>
        <v>0</v>
      </c>
      <c r="BG895" s="106">
        <f t="shared" si="1787"/>
        <v>0</v>
      </c>
      <c r="BH895" s="106">
        <f t="shared" si="1787"/>
        <v>0</v>
      </c>
      <c r="BI895" s="106">
        <f t="shared" si="1787"/>
        <v>0</v>
      </c>
      <c r="BJ895" s="106">
        <f t="shared" si="1787"/>
        <v>0</v>
      </c>
      <c r="BK895" s="106">
        <f t="shared" si="1787"/>
        <v>0</v>
      </c>
      <c r="BL895" s="106">
        <f t="shared" si="1787"/>
        <v>0</v>
      </c>
      <c r="BM895" s="108">
        <f t="shared" si="1787"/>
        <v>0</v>
      </c>
      <c r="BN895" s="109">
        <f t="shared" si="1787"/>
        <v>0</v>
      </c>
      <c r="BO895" s="109">
        <f t="shared" si="1787"/>
        <v>0</v>
      </c>
      <c r="BP895" s="109">
        <f t="shared" si="1787"/>
        <v>0</v>
      </c>
      <c r="BQ895" s="110">
        <f t="shared" si="1787"/>
        <v>19.36</v>
      </c>
      <c r="BR895" s="107">
        <f t="shared" si="1787"/>
        <v>0</v>
      </c>
      <c r="BS895" s="463">
        <f>IF($B895="LOSS",IF(AND($K895=BS$3,$C895="L"),-$O895,0)+IF(AND($K896=BS$3,$C896="L"),-$O896,0)+IF(AND($K897=BS$3,$C897="L"),-$O897,0),IF(OR(AND($K895=BS$3,OR($C895="W",$C895="1/2W")),AND($K896=BS$3,OR($C896="W",$C896="1/2W")),AND($K897=BS$3,OR($C897="W",$C897="1/2W"))),$S895,0))</f>
        <v>0</v>
      </c>
      <c r="BT895" s="462">
        <f>IF($B895="LOSS",IF(AND($K895=BT$3,$C895="L"),-$O895,0)+IF(AND($K896=BT$3,$C896="L"),-$O896,0)+IF(AND($K896=BT$3,$C897="L"),-$O897,0),IF(OR(AND($K896=BT$3,OR($C895="W",$C895="1/2W")),AND($K896=BT$3,OR($C896="W",$C896="1/2W")),AND($K896=BT$3,OR($C897="W",$C897="1/2W"))),$S895,0))</f>
        <v>0</v>
      </c>
      <c r="BU895" s="462">
        <f>IF($B895="LOSS",IF(AND($K895=BU$3,$C895="L"),-$O895,0)+IF(AND($K896=BU$3,$C896="L"),-$O896,0)+IF(AND($K896=BU$3,$C897="L"),-$O897,0),IF(OR(AND($K896=BU$3,OR($C895="W",$C895="1/2W")),AND($K896=BU$3,OR($C896="W",$C896="1/2W")),AND($K896=BU$3,OR($C897="W",$C897="1/2W"))),$S895,0))</f>
        <v>0</v>
      </c>
      <c r="BV895" s="462">
        <f t="shared" ref="BV895:CE895" si="1789">IF($B895="LOSS",IF(AND($K895=BV$3,$C895="L"),-$O895,0)+IF(AND($K896=BV$3,$C896="L"),-$O896,0)+IF(AND($K897=BV$3,$C897="L"),-$O897,0),IF(OR(AND($K895=BV$3,OR($C895="W",$C895="1/2W")),AND($K896=BV$3,OR($C896="W",$C896="1/2W")),AND($K897=BV$3,OR($C897="W",$C897="1/2W"))),$S895,0))</f>
        <v>0</v>
      </c>
      <c r="BW895" s="462">
        <f t="shared" si="1789"/>
        <v>0</v>
      </c>
      <c r="BX895" s="462">
        <f t="shared" si="1789"/>
        <v>0</v>
      </c>
      <c r="BY895" s="462">
        <f t="shared" si="1789"/>
        <v>0</v>
      </c>
      <c r="BZ895" s="460">
        <f t="shared" si="1789"/>
        <v>1.9</v>
      </c>
      <c r="CA895" s="460">
        <f t="shared" si="1789"/>
        <v>0</v>
      </c>
      <c r="CB895" s="460">
        <f t="shared" si="1789"/>
        <v>0</v>
      </c>
      <c r="CC895" s="460">
        <f t="shared" si="1789"/>
        <v>0</v>
      </c>
      <c r="CD895" s="473">
        <f t="shared" si="1789"/>
        <v>0</v>
      </c>
      <c r="CE895" s="479">
        <f t="shared" si="1789"/>
        <v>0</v>
      </c>
      <c r="CF895" s="113">
        <f t="shared" si="1669"/>
        <v>0</v>
      </c>
      <c r="CG895" s="114">
        <f t="shared" si="1670"/>
        <v>0</v>
      </c>
      <c r="CH895" s="114">
        <f t="shared" si="1671"/>
        <v>0</v>
      </c>
      <c r="CI895" s="114">
        <f t="shared" si="1672"/>
        <v>0</v>
      </c>
      <c r="CJ895" s="114">
        <f t="shared" si="1673"/>
        <v>0</v>
      </c>
      <c r="CK895" s="114">
        <f t="shared" si="1674"/>
        <v>0</v>
      </c>
      <c r="CL895" s="114">
        <f t="shared" si="1675"/>
        <v>0</v>
      </c>
      <c r="CM895" s="114">
        <f t="shared" si="1676"/>
        <v>0</v>
      </c>
      <c r="CN895" s="114">
        <f t="shared" si="1677"/>
        <v>0</v>
      </c>
      <c r="CO895" s="114">
        <f t="shared" si="1678"/>
        <v>0</v>
      </c>
      <c r="CP895" s="114">
        <f t="shared" si="1679"/>
        <v>0</v>
      </c>
      <c r="CQ895" s="114">
        <f t="shared" si="1680"/>
        <v>0</v>
      </c>
      <c r="CR895" s="114">
        <f t="shared" si="1681"/>
        <v>0</v>
      </c>
      <c r="CS895" s="114">
        <f t="shared" si="1682"/>
        <v>0</v>
      </c>
      <c r="CT895" s="115">
        <f t="shared" si="1683"/>
        <v>0</v>
      </c>
      <c r="CU895" s="116">
        <f t="shared" si="1684"/>
        <v>0</v>
      </c>
      <c r="CV895" s="116">
        <f t="shared" si="1685"/>
        <v>0</v>
      </c>
      <c r="CW895" s="116">
        <f t="shared" si="1686"/>
        <v>0</v>
      </c>
      <c r="CX895" s="116">
        <f t="shared" si="1687"/>
        <v>0</v>
      </c>
      <c r="CY895" s="116">
        <f t="shared" si="1688"/>
        <v>0</v>
      </c>
      <c r="CZ895" s="116">
        <f t="shared" si="1689"/>
        <v>0</v>
      </c>
      <c r="DA895" s="116">
        <f t="shared" si="1690"/>
        <v>0</v>
      </c>
      <c r="DB895" s="116">
        <f t="shared" si="1691"/>
        <v>0</v>
      </c>
      <c r="DC895" s="116">
        <f t="shared" si="1692"/>
        <v>1</v>
      </c>
      <c r="DD895" s="116">
        <f t="shared" si="1693"/>
        <v>0</v>
      </c>
      <c r="DE895" s="117">
        <f t="shared" si="1694"/>
        <v>0</v>
      </c>
      <c r="DF895" s="118">
        <f t="shared" si="1696"/>
        <v>55</v>
      </c>
      <c r="DG895" s="106">
        <f t="shared" si="1697"/>
        <v>74.153000000000006</v>
      </c>
      <c r="DH895" s="116">
        <f t="shared" si="1698"/>
        <v>19</v>
      </c>
      <c r="DI895" s="106">
        <f t="shared" si="1699"/>
        <v>81.47</v>
      </c>
      <c r="DJ895" s="201" t="str">
        <f>IF($D895="","",$D895)</f>
        <v>30</v>
      </c>
      <c r="DK895" s="465">
        <f>IF(AND($B895=" ",$D895&lt;&gt;""),1,0)</f>
        <v>0</v>
      </c>
    </row>
    <row r="896" spans="1:115" ht="14.5" customHeight="1" x14ac:dyDescent="0.2">
      <c r="A896" s="389"/>
      <c r="B896" s="456"/>
      <c r="C896" s="120" t="s">
        <v>54</v>
      </c>
      <c r="D896" s="374"/>
      <c r="E896" s="386"/>
      <c r="F896" s="377"/>
      <c r="G896" s="483"/>
      <c r="H896" s="476"/>
      <c r="I896" s="121" t="s">
        <v>76</v>
      </c>
      <c r="J896" s="122">
        <f>IF(OR(I895="TO",I895="TU",I895="TO1",I895="TU1",I895="TO2",I895="TU2"),J895,IF(OR(I895="AH1",I895="AH2"),IF(OR(I896="AH1",I896="AH2"),-J895,IF(OR(I896="EH1",I896="EH2"),-J895+0.5,"")),IF(OR(I895="EH1",I895="EH2"),IF(OR(I896="AH1",I896="AH2"),-J895+0.5,IF(OR(I896="EH1",I896="EH2"),-J895+1,"")),IF(AND(OR(I895="DNB1",I895="DNB2"),OR(I896="AH1",I896="AH2")),0,IF(AND(I895="Not ScoreBoth",OR(I896="TO1",I896="TO2")),0.5,"")))))</f>
        <v>1</v>
      </c>
      <c r="K896" s="123" t="s">
        <v>43</v>
      </c>
      <c r="L896" s="124">
        <v>1.877</v>
      </c>
      <c r="M896" s="125"/>
      <c r="N896" s="406"/>
      <c r="O896" s="126">
        <f>IF(OR(AE895="",AE896=""),"",ROUND(IF(L897&gt;0,IF(M896&gt;0,M896,IF(M895&gt;0,IF(N895=TRUE,ROUND((M895*AE896)/AE895,0),(M895*AE896)/AE895),IF(M896&gt;0,ROUND(M896,IF(N895=0,2,IF(N895=0.1,1,0))),IF(M897&gt;0,ROUND(O897*AE896/AE897,IF(N895=0,2,IF(N895=0.1,1,0))),0)))),IF(M896&gt;0,M896,ROUND((M895*AE896)/AE895,IF(N895=0,2,IF(N895=0.1,1,0))))),2))</f>
        <v>24.24</v>
      </c>
      <c r="P896" s="127">
        <f>IF(OR(L896="",O896=""),"",IF($C896="1/2W",O896/2+O896/2*L896,IF($C896="1/2L",O896/2,IF(I896="Lay",((O896*(L896/(L896-1)))-O896)*(1-_xlfn.XLOOKUP(K896,'Fevereiro 2023 - Valor Real'!A3:A15,'Fevereiro 2023 - Valor Real'!C3:C15,0))+O896,(O896*L896-O896)*(1-_xlfn.XLOOKUP(K896,'Fevereiro 2023 - Valor Real'!A3:A15,'Fevereiro 2023 - Valor Real'!C3:C15,0))+O896))))</f>
        <v>45.498479999999994</v>
      </c>
      <c r="Q896" s="128">
        <f>IF(K896="","",IF(_xlfn.XLOOKUP(K896,K$4:K895,$DJ$4:DJ895,0,,-1)=DJ896,_xlfn.XLOOKUP(K896,K$4:K895,Q$4:Q895,1,,-1)+1,1))</f>
        <v>2</v>
      </c>
      <c r="R896" s="129">
        <f>IF(K896="","",_xlfn.XLOOKUP(K896,K$4:K895,R$4:R895,0,,-1)+IF($C896=" ",1,0))</f>
        <v>0</v>
      </c>
      <c r="S896" s="403"/>
      <c r="T896" s="380"/>
      <c r="U896" s="380"/>
      <c r="V896" s="481"/>
      <c r="W896" s="380"/>
      <c r="X896" s="452"/>
      <c r="Y896" s="383"/>
      <c r="Z896" s="384"/>
      <c r="AA896" s="384"/>
      <c r="AB896" s="384"/>
      <c r="AC896" s="384"/>
      <c r="AD896" s="130">
        <f>(((L896/(L896-1)-1)*(1-_xlfn.XLOOKUP(K896,'Fevereiro 2023 - Valor Real'!A3:A15,'Fevereiro 2023 - Valor Real'!C3:C15,0))+1))</f>
        <v>2.1402508551881412</v>
      </c>
      <c r="AE896" s="131">
        <f>IF(L896="","",IF(L897&gt;0,(SUM(((L895-1)*(1-_xlfn.XLOOKUP(K895,'Fevereiro 2023 - Valor Real'!A3:A15,'Fevereiro 2023 - Valor Real'!C3:C15,0))+1),((L896-1)*(1-_xlfn.XLOOKUP(K896,'Fevereiro 2023 - Valor Real'!A3:A15,'Fevereiro 2023 - Valor Real'!C3:C15,0))+1),((L897-1)*(1-_xlfn.XLOOKUP(K897,'Fevereiro 2023 - Valor Real'!A3:A15,'Fevereiro 2023 - Valor Real'!C3:C15,0))+1))/((L896-1)*(1-_xlfn.XLOOKUP(K896,'Fevereiro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Real'!C3:C15,0))+1))/((L895-1)*(1-_xlfn.XLOOKUP(K895,'Fevereiro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Real'!C3:C15,0))+1))/((L896-1)*(1-_xlfn.XLOOKUP(K896,'Fevereiro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Real'!C3:C15,0))+1))/((L897-1)*(1-_xlfn.XLOOKUP(K897,'Fevereiro 2023 - Valor Real'!A3:A15,'Fevereiro 2023 - Valor Real'!C3:C15,0))+1)),IF(I896="Lay",IF(I895="Lay",((L895/(L895-1)-1)*(1-_xlfn.XLOOKUP(K895,'Fevereiro 2023 - Valor Real'!A3:A15,'Fevereiro 2023 - Valor Real'!C3:C15,0))+1)/(((L895/(L895-1)-1)*(1-_xlfn.XLOOKUP(K895,'Fevereiro 2023 - Valor Real'!A3:A15,'Fevereiro 2023 - Valor Real'!C3:C15,0))+1)+((L896/(L896-1)-1)*(1-_xlfn.XLOOKUP(K896,'Fevereiro 2023 - Valor Real'!A3:A15,'Fevereiro 2023 - Valor Real'!C3:C15,0))+1)),((L895-1)*(1-_xlfn.XLOOKUP(K895,'Fevereiro 2023 - Valor Real'!A3:A15,'Fevereiro 2023 - Valor Real'!C3:C15,0))+1)/(((L895-1)*(1-_xlfn.XLOOKUP(K895,'Fevereiro 2023 - Valor Real'!A3:A15,'Fevereiro 2023 - Valor Real'!C3:C15,0))+1)+((L896/(L896-1)-1)*(1-_xlfn.XLOOKUP(K896,'Fevereiro 2023 - Valor Real'!A3:A15,'Fevereiro 2023 - Valor Real'!C3:C15,0))+1))),IF(I895="Lay",((L895/(L895-1)-1)*(1-_xlfn.XLOOKUP(K895,'Fevereiro 2023 - Valor Real'!A3:A15,'Fevereiro 2023 - Valor Real'!C3:C15,0))+1)/((((L895/(L895-1)-1)*(1-_xlfn.XLOOKUP(K895,'Fevereiro 2023 - Valor Real'!A3:A15,'Fevereiro 2023 - Valor Real'!C3:C15,0))+1))+((L896-1)*(1-_xlfn.XLOOKUP(K896,'Fevereiro 2023 - Valor Real'!A3:A15,'Fevereiro 2023 - Valor Real'!C3:C15,0))+1)),((L895-1)*(1-_xlfn.XLOOKUP(K895,'Fevereiro 2023 - Valor Real'!A3:A15,'Fevereiro 2023 - Valor Real'!C3:C15,0))+1)/(((L895-1)*(1-_xlfn.XLOOKUP(K895,'Fevereiro 2023 - Valor Real'!A3:A15,'Fevereiro 2023 - Valor Real'!C3:C15,0))+1)+((L896-1)*(1-_xlfn.XLOOKUP(K896,'Fevereiro 2023 - Valor Real'!A3:A15,'Fevereiro 2023 - Valor Real'!C3:C15,0))+1))))))</f>
        <v>0.55594984622663823</v>
      </c>
      <c r="AF896" s="105">
        <f t="shared" si="1785"/>
        <v>0</v>
      </c>
      <c r="AG896" s="106">
        <f t="shared" si="1785"/>
        <v>0</v>
      </c>
      <c r="AH896" s="106">
        <f t="shared" si="1785"/>
        <v>0</v>
      </c>
      <c r="AI896" s="106">
        <f t="shared" si="1785"/>
        <v>0</v>
      </c>
      <c r="AJ896" s="106">
        <f t="shared" si="1785"/>
        <v>0</v>
      </c>
      <c r="AK896" s="106">
        <f t="shared" si="1785"/>
        <v>0</v>
      </c>
      <c r="AL896" s="106">
        <f t="shared" si="1785"/>
        <v>0</v>
      </c>
      <c r="AM896" s="106">
        <f t="shared" si="1785"/>
        <v>21.26</v>
      </c>
      <c r="AN896" s="106">
        <f t="shared" si="1785"/>
        <v>0</v>
      </c>
      <c r="AO896" s="106">
        <f t="shared" si="1785"/>
        <v>0</v>
      </c>
      <c r="AP896" s="106">
        <f t="shared" si="1785"/>
        <v>0</v>
      </c>
      <c r="AQ896" s="106">
        <f t="shared" si="1785"/>
        <v>0</v>
      </c>
      <c r="AR896" s="107">
        <f t="shared" si="1785"/>
        <v>0</v>
      </c>
      <c r="AS896" s="105">
        <f>IF(AND($B895=" ",$K896=AS$3),$O896,0)</f>
        <v>0</v>
      </c>
      <c r="AT896" s="106">
        <f>IF(AND($B895=" ",K896=AT$3),$O896,0)</f>
        <v>0</v>
      </c>
      <c r="AU896" s="106">
        <f t="shared" ref="AU896:BE896" si="1790">IF(AND($B895=" ",$K896=AU$3),$O896,0)</f>
        <v>0</v>
      </c>
      <c r="AV896" s="106">
        <f t="shared" si="1790"/>
        <v>0</v>
      </c>
      <c r="AW896" s="106">
        <f t="shared" si="1790"/>
        <v>0</v>
      </c>
      <c r="AX896" s="106">
        <f t="shared" si="1790"/>
        <v>0</v>
      </c>
      <c r="AY896" s="108">
        <f t="shared" si="1790"/>
        <v>0</v>
      </c>
      <c r="AZ896" s="109">
        <f t="shared" si="1790"/>
        <v>0</v>
      </c>
      <c r="BA896" s="109">
        <f t="shared" si="1790"/>
        <v>0</v>
      </c>
      <c r="BB896" s="109">
        <f t="shared" si="1790"/>
        <v>0</v>
      </c>
      <c r="BC896" s="110">
        <f t="shared" si="1790"/>
        <v>0</v>
      </c>
      <c r="BD896" s="106">
        <f t="shared" si="1790"/>
        <v>0</v>
      </c>
      <c r="BE896" s="107">
        <f t="shared" si="1790"/>
        <v>0</v>
      </c>
      <c r="BF896" s="105">
        <f t="shared" si="1787"/>
        <v>0</v>
      </c>
      <c r="BG896" s="106">
        <f t="shared" si="1787"/>
        <v>0</v>
      </c>
      <c r="BH896" s="106">
        <f t="shared" si="1787"/>
        <v>0</v>
      </c>
      <c r="BI896" s="106">
        <f t="shared" si="1787"/>
        <v>0</v>
      </c>
      <c r="BJ896" s="106">
        <f t="shared" si="1787"/>
        <v>0</v>
      </c>
      <c r="BK896" s="106">
        <f t="shared" si="1787"/>
        <v>0</v>
      </c>
      <c r="BL896" s="106">
        <f t="shared" si="1787"/>
        <v>0</v>
      </c>
      <c r="BM896" s="132">
        <f t="shared" si="1787"/>
        <v>24.24</v>
      </c>
      <c r="BN896" s="112">
        <f t="shared" si="1787"/>
        <v>0</v>
      </c>
      <c r="BO896" s="112">
        <f t="shared" si="1787"/>
        <v>0</v>
      </c>
      <c r="BP896" s="112">
        <f t="shared" si="1787"/>
        <v>0</v>
      </c>
      <c r="BQ896" s="110">
        <f t="shared" si="1787"/>
        <v>0</v>
      </c>
      <c r="BR896" s="107">
        <f t="shared" si="1787"/>
        <v>0</v>
      </c>
      <c r="BS896" s="464"/>
      <c r="BT896" s="461"/>
      <c r="BU896" s="392"/>
      <c r="BV896" s="461"/>
      <c r="BW896" s="392"/>
      <c r="BX896" s="392"/>
      <c r="BY896" s="392"/>
      <c r="BZ896" s="461"/>
      <c r="CA896" s="392"/>
      <c r="CB896" s="392"/>
      <c r="CC896" s="392"/>
      <c r="CD896" s="401"/>
      <c r="CE896" s="409"/>
      <c r="CF896" s="133">
        <f t="shared" si="1669"/>
        <v>0</v>
      </c>
      <c r="CG896" s="134">
        <f t="shared" si="1670"/>
        <v>0</v>
      </c>
      <c r="CH896" s="134">
        <f t="shared" si="1671"/>
        <v>0</v>
      </c>
      <c r="CI896" s="134">
        <f t="shared" si="1672"/>
        <v>0</v>
      </c>
      <c r="CJ896" s="134">
        <f t="shared" si="1673"/>
        <v>0</v>
      </c>
      <c r="CK896" s="134">
        <f t="shared" si="1674"/>
        <v>0</v>
      </c>
      <c r="CL896" s="134">
        <f t="shared" si="1675"/>
        <v>0</v>
      </c>
      <c r="CM896" s="134">
        <f t="shared" si="1676"/>
        <v>0</v>
      </c>
      <c r="CN896" s="134">
        <f t="shared" si="1677"/>
        <v>0</v>
      </c>
      <c r="CO896" s="134">
        <f t="shared" si="1678"/>
        <v>0</v>
      </c>
      <c r="CP896" s="134">
        <f t="shared" si="1679"/>
        <v>0</v>
      </c>
      <c r="CQ896" s="134">
        <f t="shared" si="1680"/>
        <v>0</v>
      </c>
      <c r="CR896" s="134">
        <f t="shared" si="1681"/>
        <v>0</v>
      </c>
      <c r="CS896" s="134">
        <f t="shared" si="1682"/>
        <v>0</v>
      </c>
      <c r="CT896" s="115">
        <f t="shared" si="1683"/>
        <v>1</v>
      </c>
      <c r="CU896" s="116">
        <f t="shared" si="1684"/>
        <v>0</v>
      </c>
      <c r="CV896" s="116">
        <f t="shared" si="1685"/>
        <v>0</v>
      </c>
      <c r="CW896" s="116">
        <f t="shared" si="1686"/>
        <v>0</v>
      </c>
      <c r="CX896" s="116">
        <f t="shared" si="1687"/>
        <v>0</v>
      </c>
      <c r="CY896" s="116">
        <f t="shared" si="1688"/>
        <v>0</v>
      </c>
      <c r="CZ896" s="116">
        <f t="shared" si="1689"/>
        <v>0</v>
      </c>
      <c r="DA896" s="116">
        <f t="shared" si="1690"/>
        <v>0</v>
      </c>
      <c r="DB896" s="116">
        <f t="shared" si="1691"/>
        <v>0</v>
      </c>
      <c r="DC896" s="116">
        <f t="shared" si="1692"/>
        <v>0</v>
      </c>
      <c r="DD896" s="116">
        <f t="shared" si="1693"/>
        <v>0</v>
      </c>
      <c r="DE896" s="117">
        <f t="shared" si="1694"/>
        <v>0</v>
      </c>
      <c r="DF896" s="118">
        <f t="shared" si="1696"/>
        <v>55</v>
      </c>
      <c r="DG896" s="106">
        <f t="shared" si="1697"/>
        <v>74.153000000000006</v>
      </c>
      <c r="DH896" s="116">
        <f t="shared" si="1698"/>
        <v>19</v>
      </c>
      <c r="DI896" s="106">
        <f t="shared" si="1699"/>
        <v>81.47</v>
      </c>
      <c r="DJ896" s="201" t="str">
        <f>IF($D895="","",$D895)</f>
        <v>30</v>
      </c>
      <c r="DK896" s="466"/>
    </row>
    <row r="897" spans="1:115" ht="14.5" customHeight="1" x14ac:dyDescent="0.2">
      <c r="A897" s="390"/>
      <c r="B897" s="457"/>
      <c r="C897" s="135" t="s">
        <v>53</v>
      </c>
      <c r="D897" s="375"/>
      <c r="E897" s="387"/>
      <c r="F897" s="378"/>
      <c r="G897" s="484"/>
      <c r="H897" s="477"/>
      <c r="I897" s="136"/>
      <c r="J897" s="137"/>
      <c r="K897" s="138"/>
      <c r="L897" s="139"/>
      <c r="M897" s="140"/>
      <c r="N897" s="407"/>
      <c r="O897" s="141" t="str">
        <f>IF(OR(AE895="",AE896=""),"",IF(L897&gt;0,ROUND(IF(M897&gt;0,M897,IF(M895&gt;0,ROUND((M895*AE897)/AE895,IF(N895=0,2,IF(N895=0.1,1,0))),IF(M896&gt;0,ROUND((M896*AE897)/AE896,IF(N895=0,2,IF(N895=0.1,1,0))),IF(M897&gt;0,M897,0)))),2),""))</f>
        <v/>
      </c>
      <c r="P897" s="142" t="str">
        <f>IF(I896="Lay",O896*(L896/(L896-1))-O896,IF(I895="Lay",O895*(L895/(L895-1))-O895,IF(OR(L897="",O897=""),"",IF($C897="1/2W",O897/2+O897/2*L897,IF($C897="1/2L",O897/2,(O897*L897-O897)*(1-_xlfn.XLOOKUP(K897,'Fevereiro 2023 - Valor Real'!A3:A15,'Fevereiro 2023 - Valor Real'!C3:C15,0))+O897)))))</f>
        <v/>
      </c>
      <c r="Q897" s="221" t="str">
        <f>IF(K897="","",IF(_xlfn.XLOOKUP(K897,K$4:K896,$DJ$4:DJ896,0,,-1)=DJ897,_xlfn.XLOOKUP(K897,K$4:K896,Q$4:Q896,1,,-1)+1,1))</f>
        <v/>
      </c>
      <c r="R897" s="144" t="str">
        <f>IF(K897="","",_xlfn.XLOOKUP(K897,K$4:K896,R$4:R896,0,,-1)+IF($C897=" ",1,0))</f>
        <v/>
      </c>
      <c r="S897" s="404"/>
      <c r="T897" s="378"/>
      <c r="U897" s="378"/>
      <c r="V897" s="404"/>
      <c r="W897" s="378"/>
      <c r="X897" s="453"/>
      <c r="Y897" s="383"/>
      <c r="Z897" s="384"/>
      <c r="AA897" s="384"/>
      <c r="AB897" s="384"/>
      <c r="AC897" s="384"/>
      <c r="AD897" s="145">
        <f>((L896/(L896-1)-1))</f>
        <v>1.1402508551881412</v>
      </c>
      <c r="AE897" s="146" t="str">
        <f>IF(L897="","",(SUM(((L895-1)*(1-_xlfn.XLOOKUP(K895,'Fevereiro 2023 - Valor Real'!A3:A15,'Fevereiro 2023 - Valor Real'!C3:C15,0))+1),((L896-1)*(1-_xlfn.XLOOKUP(K896,'Fevereiro 2023 - Valor Real'!A3:A15,'Fevereiro 2023 - Valor Real'!C3:C15,0))+1),((L897-1)*(1-_xlfn.XLOOKUP(K897,'Fevereiro 2023 - Valor Real'!A3:A15,'Fevereiro 2023 - Valor Real'!C3:C15,0))+1))/((L897-1)*(1-_xlfn.XLOOKUP(K897,'Fevereiro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Real'!C3:C15,0))+1))/((L895-1)*(1-_xlfn.XLOOKUP(K895,'Fevereiro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Real'!C3:C15,0))+1))/((L896-1)*(1-_xlfn.XLOOKUP(K896,'Fevereiro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Real'!C3:C15,0))+1))/((L897-1)*(1-_xlfn.XLOOKUP(K897,'Fevereiro 2023 - Valor Real'!A3:A15,'Fevereiro 2023 - Valor Real'!C3:C15,0))+1)))</f>
        <v/>
      </c>
      <c r="AF897" s="105">
        <f t="shared" si="1785"/>
        <v>0</v>
      </c>
      <c r="AG897" s="106">
        <f t="shared" si="1785"/>
        <v>0</v>
      </c>
      <c r="AH897" s="106">
        <f t="shared" si="1785"/>
        <v>0</v>
      </c>
      <c r="AI897" s="106">
        <f t="shared" si="1785"/>
        <v>0</v>
      </c>
      <c r="AJ897" s="106">
        <f t="shared" si="1785"/>
        <v>0</v>
      </c>
      <c r="AK897" s="106">
        <f t="shared" si="1785"/>
        <v>0</v>
      </c>
      <c r="AL897" s="106">
        <f t="shared" si="1785"/>
        <v>0</v>
      </c>
      <c r="AM897" s="106">
        <f t="shared" si="1785"/>
        <v>0</v>
      </c>
      <c r="AN897" s="106">
        <f t="shared" si="1785"/>
        <v>0</v>
      </c>
      <c r="AO897" s="106">
        <f t="shared" si="1785"/>
        <v>0</v>
      </c>
      <c r="AP897" s="106">
        <f t="shared" si="1785"/>
        <v>0</v>
      </c>
      <c r="AQ897" s="106">
        <f t="shared" si="1785"/>
        <v>0</v>
      </c>
      <c r="AR897" s="107">
        <f t="shared" si="1785"/>
        <v>0</v>
      </c>
      <c r="AS897" s="105">
        <f>IF(AND($B895=" ",$K897=AS$3),$O897,0)</f>
        <v>0</v>
      </c>
      <c r="AT897" s="106">
        <f>IF(AND($B895=" ",K897=AT$3),$O897,0)</f>
        <v>0</v>
      </c>
      <c r="AU897" s="106">
        <f t="shared" ref="AU897:BE897" si="1791">IF(AND($B895=" ",$K897=AU$3),$O897,0)</f>
        <v>0</v>
      </c>
      <c r="AV897" s="106">
        <f t="shared" si="1791"/>
        <v>0</v>
      </c>
      <c r="AW897" s="106">
        <f t="shared" si="1791"/>
        <v>0</v>
      </c>
      <c r="AX897" s="106">
        <f t="shared" si="1791"/>
        <v>0</v>
      </c>
      <c r="AY897" s="108">
        <f t="shared" si="1791"/>
        <v>0</v>
      </c>
      <c r="AZ897" s="109">
        <f t="shared" si="1791"/>
        <v>0</v>
      </c>
      <c r="BA897" s="109">
        <f t="shared" si="1791"/>
        <v>0</v>
      </c>
      <c r="BB897" s="109">
        <f t="shared" si="1791"/>
        <v>0</v>
      </c>
      <c r="BC897" s="110">
        <f t="shared" si="1791"/>
        <v>0</v>
      </c>
      <c r="BD897" s="106">
        <f t="shared" si="1791"/>
        <v>0</v>
      </c>
      <c r="BE897" s="107">
        <f t="shared" si="1791"/>
        <v>0</v>
      </c>
      <c r="BF897" s="105">
        <f t="shared" si="1787"/>
        <v>0</v>
      </c>
      <c r="BG897" s="106">
        <f t="shared" si="1787"/>
        <v>0</v>
      </c>
      <c r="BH897" s="106">
        <f t="shared" si="1787"/>
        <v>0</v>
      </c>
      <c r="BI897" s="106">
        <f t="shared" si="1787"/>
        <v>0</v>
      </c>
      <c r="BJ897" s="106">
        <f t="shared" si="1787"/>
        <v>0</v>
      </c>
      <c r="BK897" s="106">
        <f t="shared" si="1787"/>
        <v>0</v>
      </c>
      <c r="BL897" s="106">
        <f t="shared" si="1787"/>
        <v>0</v>
      </c>
      <c r="BM897" s="108">
        <f t="shared" si="1787"/>
        <v>0</v>
      </c>
      <c r="BN897" s="109">
        <f t="shared" si="1787"/>
        <v>0</v>
      </c>
      <c r="BO897" s="109">
        <f t="shared" si="1787"/>
        <v>0</v>
      </c>
      <c r="BP897" s="109">
        <f t="shared" si="1787"/>
        <v>0</v>
      </c>
      <c r="BQ897" s="110">
        <f t="shared" si="1787"/>
        <v>0</v>
      </c>
      <c r="BR897" s="107">
        <f t="shared" si="1787"/>
        <v>0</v>
      </c>
      <c r="BS897" s="464"/>
      <c r="BT897" s="461"/>
      <c r="BU897" s="392"/>
      <c r="BV897" s="461"/>
      <c r="BW897" s="392"/>
      <c r="BX897" s="392"/>
      <c r="BY897" s="392"/>
      <c r="BZ897" s="461"/>
      <c r="CA897" s="392"/>
      <c r="CB897" s="392"/>
      <c r="CC897" s="392"/>
      <c r="CD897" s="401"/>
      <c r="CE897" s="409"/>
      <c r="CF897" s="133">
        <f t="shared" si="1669"/>
        <v>0</v>
      </c>
      <c r="CG897" s="134">
        <f t="shared" si="1670"/>
        <v>0</v>
      </c>
      <c r="CH897" s="134">
        <f t="shared" si="1671"/>
        <v>0</v>
      </c>
      <c r="CI897" s="134">
        <f t="shared" si="1672"/>
        <v>0</v>
      </c>
      <c r="CJ897" s="134">
        <f t="shared" si="1673"/>
        <v>0</v>
      </c>
      <c r="CK897" s="134">
        <f t="shared" si="1674"/>
        <v>0</v>
      </c>
      <c r="CL897" s="134">
        <f t="shared" si="1675"/>
        <v>0</v>
      </c>
      <c r="CM897" s="134">
        <f t="shared" si="1676"/>
        <v>0</v>
      </c>
      <c r="CN897" s="134">
        <f t="shared" si="1677"/>
        <v>0</v>
      </c>
      <c r="CO897" s="134">
        <f t="shared" si="1678"/>
        <v>0</v>
      </c>
      <c r="CP897" s="134">
        <f t="shared" si="1679"/>
        <v>0</v>
      </c>
      <c r="CQ897" s="134">
        <f t="shared" si="1680"/>
        <v>0</v>
      </c>
      <c r="CR897" s="134">
        <f t="shared" si="1681"/>
        <v>0</v>
      </c>
      <c r="CS897" s="134">
        <f t="shared" si="1682"/>
        <v>0</v>
      </c>
      <c r="CT897" s="115">
        <f t="shared" si="1683"/>
        <v>0</v>
      </c>
      <c r="CU897" s="116">
        <f t="shared" si="1684"/>
        <v>0</v>
      </c>
      <c r="CV897" s="116">
        <f t="shared" si="1685"/>
        <v>0</v>
      </c>
      <c r="CW897" s="116">
        <f t="shared" si="1686"/>
        <v>0</v>
      </c>
      <c r="CX897" s="116">
        <f t="shared" si="1687"/>
        <v>0</v>
      </c>
      <c r="CY897" s="116">
        <f t="shared" si="1688"/>
        <v>0</v>
      </c>
      <c r="CZ897" s="116">
        <f t="shared" si="1689"/>
        <v>0</v>
      </c>
      <c r="DA897" s="116">
        <f t="shared" si="1690"/>
        <v>0</v>
      </c>
      <c r="DB897" s="116">
        <f t="shared" si="1691"/>
        <v>0</v>
      </c>
      <c r="DC897" s="116">
        <f t="shared" si="1692"/>
        <v>0</v>
      </c>
      <c r="DD897" s="116">
        <f t="shared" si="1693"/>
        <v>0</v>
      </c>
      <c r="DE897" s="117">
        <f t="shared" si="1694"/>
        <v>0</v>
      </c>
      <c r="DF897" s="118">
        <f t="shared" si="1696"/>
        <v>55</v>
      </c>
      <c r="DG897" s="106">
        <f t="shared" si="1697"/>
        <v>74.153000000000006</v>
      </c>
      <c r="DH897" s="116">
        <f t="shared" si="1698"/>
        <v>19</v>
      </c>
      <c r="DI897" s="106">
        <f t="shared" si="1699"/>
        <v>81.47</v>
      </c>
      <c r="DJ897" s="201" t="str">
        <f>IF($D895="","",$D895)</f>
        <v>30</v>
      </c>
      <c r="DK897" s="466"/>
    </row>
    <row r="898" spans="1:115" ht="14.5" customHeight="1" x14ac:dyDescent="0.2">
      <c r="A898" s="487">
        <f>$A895+1</f>
        <v>299</v>
      </c>
      <c r="B898" s="506" t="str">
        <f>IF(OR(C898="W",C899="W",C900="W",C898="1/2W",C899="1/2W",C900="1/2W",C898="1/2L",C899="1/2L",C900="1/2L"),"OK",IF(OR(C898="L",C899="L",C900="L"),"LOSS",IF(OR(C898="X",C899="X",C900="X"),"Anulado"," ")))</f>
        <v>OK</v>
      </c>
      <c r="C898" s="147" t="s">
        <v>54</v>
      </c>
      <c r="D898" s="494" t="str">
        <f>IF(G898="","",$D895)</f>
        <v>30</v>
      </c>
      <c r="E898" s="511" t="str">
        <f>IF(G898=""," ","– "&amp;COUNTIF(D$4:D900,$D898))</f>
        <v>– 5</v>
      </c>
      <c r="F898" s="510" t="str">
        <f ca="1">IF(G898="","",IF(OR(AND($C898&lt;&gt;" ",$C899=" "),AND($C899&lt;&gt;" ",$C898=" "),AND(L900&gt;0,OR(AND($C900&lt;&gt;" ",OR($C898=" ",$C899=" ")),AND($C900=" ",OR($C898&lt;&gt;" ",$C899&lt;&gt;" "))))),IF(SUM(F$4:F897)=0,1,LARGE(F$4:F897,1)+1),IF(MONTH(G898)=MONTH(TODAY()),IF(AND(DAY(G898)&lt;DAY(TODAY()),$B898=" "),IF(SUM(F$4:F897)=0,1,LARGE(F$4:F897,1)+1),IF($B898=" ",IF(AND(DAY(G898)=DAY(TODAY()),HOUR(G898)&lt;=HOUR(NOW())+1),IF(AND(HOUR(G898)+2&lt;=HOUR(NOW()),DAY(G898)&lt;=DAY(TODAY()),MINUTE(G898)&lt;=MINUTE(NOW())),IF(SUM(F$4:F897)=0,1,LARGE(F$4:F897,1)+1),IF(OR(MINUTE(G898)&lt;=MINUTE(NOW()),HOUR(G898)&lt;=HOUR(NOW())),"!!!","")),""),"")),"")))</f>
        <v/>
      </c>
      <c r="G898" s="517">
        <v>45018.291666666664</v>
      </c>
      <c r="H898" s="516" t="s">
        <v>299</v>
      </c>
      <c r="I898" s="222" t="s">
        <v>51</v>
      </c>
      <c r="J898" s="223">
        <v>1</v>
      </c>
      <c r="K898" s="224" t="s">
        <v>47</v>
      </c>
      <c r="L898" s="225">
        <v>2</v>
      </c>
      <c r="M898" s="226"/>
      <c r="N898" s="503">
        <v>0.1</v>
      </c>
      <c r="O898" s="153">
        <f>IF(OR(AE898="",AE899=""),"",ROUND(IF(L900&gt;0,IF(M898&gt;0,M898,IF(M899&gt;0,ROUND((M899*AE898)/AE899,IF(N898=0,2,IF(N898=0.1,1,0))),ROUND((M900*AE898)/AE900,IF(N898=0,2,IF(N898=0.1,1,0))))),IF(M898&gt;0,M898,ROUND((M899*AE898)/AE899,IF(N898=0,2,IF(N898=0.1,1,0))))),2))</f>
        <v>21</v>
      </c>
      <c r="P898" s="227">
        <f>IF(OR(L898="",O898=""),"",IF($C898="1/2W",O898/2+O898/2*L898,IF($C898="1/2L",O898/2,IF(I898="Lay",(O898*(L898/(L898-1))-O898)*(1-_xlfn.XLOOKUP(K898,'Fevereiro 2023 - Valor Real'!A3:A15,'Fevereiro 2023 - Valor Real'!C3:C15,0))+O898,(O898*L898-O898)*(1-_xlfn.XLOOKUP(K898,'Fevereiro 2023 - Valor Real'!A3:A15,'Fevereiro 2023 - Valor Real'!C3:C15,0))+O898))))</f>
        <v>42</v>
      </c>
      <c r="Q898" s="228">
        <f>IF(K898="","",IF(_xlfn.XLOOKUP(K898,K$4:K897,$DJ$4:DJ897,0,,-1)=DJ898,_xlfn.XLOOKUP(K898,K$4:K897,Q$4:Q897,1,,-1)+1,1))</f>
        <v>5</v>
      </c>
      <c r="R898" s="229">
        <f>IF(K898="","",_xlfn.XLOOKUP(K898,K$4:K897,R$4:R897,0,,-1)+IF($C898=" ",1,0))</f>
        <v>0</v>
      </c>
      <c r="S898" s="501">
        <f>IF($B898="Anulado",0,ROUND(IF(OR($B898="LOSS",$B898="OK"),IF(OR($C898="W",$C898="1/2W",$C898="1/2L"),P898-O898,IF($C898="L",-O898,0))+IF(OR($C899="W",$C899="1/2W",$C899="1/2L"),P899-O899,IF($C899="L",-O899,0))+IF(OR($C900="W",$C900="1/2W",$C900="1/2L"),P900-O900,IF($C900="L",-O900,0)),IF(AND(OR($C898="W",$C898="1/2W",$C898="1/2L"),C899="W"),P898+P899-SUM(O898:O900)+_xlfn.XLOOKUP("X",C898:C900,O898:O900,0),IF(AND(C898=TRUE,C900="W"),P898+P900-SUM(O898:O900),IF(AND(C899="W",C900="W"),P899+P900-SUM(O898:O900)+_xlfn.XLOOKUP("X",C898:C900,O898:O900,0),IF(L900&gt;0,IF(OR($C898="W",$C898="1/2W",$C898="1/2L"),P898-SUM(O898:O900)+_xlfn.XLOOKUP("X",C898:C900,O898:O900,0),IF(OR($C898="W",$C898="1/2W",$C898="1/2L"),P899-SUM(O898:O900)+_xlfn.XLOOKUP("X",C898:C900,O898:O900,0),IF(OR($C898="W",$C898="1/2W",$C898="1/2L"),P900-SUM(O898:O900)+_xlfn.XLOOKUP("X",C898:C900,O898:O900,0),IF(SUM(P898:P900)/3-SUM(O898:O900)+_xlfn.XLOOKUP("X",C898:C900,O898:O900,0)&gt;0,SUM(P898:P900)/3-SUM(O898:O900)+_xlfn.XLOOKUP("X",C898:C900,O898:O900,0),LARGE(P898:P900,1)-SUM(O898:O900))))),IF(OR($C898="W",$C898="1/2W",$C898="1/2L"),P898-SUM(O898:O899)+_xlfn.XLOOKUP("X",C898:C900,O898:O900,0),IF(OR($C898="W",$C898="1/2W",$C898="1/2L"),P899-SUM(O898:O899)+_xlfn.XLOOKUP("X",C898:C900,O898:O900,0),SUM(P898:P899)/2-SUM(O898:O899)+_xlfn.XLOOKUP("X",C898:C900,O898:O900,0)))))))),2))</f>
        <v>2.56</v>
      </c>
      <c r="T898" s="486">
        <f>IF(S898=0,0,S898/SUM(O898:O900))</f>
        <v>6.4908722109533468E-2</v>
      </c>
      <c r="U898" s="496">
        <f>IF($D898=$D895,IF(OR($B898="LOSS",$B898="OK",$B898="Anulada"),S898,0)+U895,IF(OR($B898="LOSS",$B898="OK",$B898="Anulada"),S898,0))</f>
        <v>16.18</v>
      </c>
      <c r="V898" s="496">
        <f>IF($D898="",0,IF($D898=$D895,IF($B898=" ",IF(I900="",IF(OR(AND(I898="DNB1",I899="DNB2"),AND(OR(I898="DNB1",I898="DNB2"),J899=0),AND(OR(I899="DNB1",I899="DNB2"),J898=0),AND(I898="DNB2",I899="DNB1"),AND(IF(J898=0,(J898+1)/ROUND(J898+1,0),J898/ROUND(J898,0))=1,IF(J899=0,(J899+1)/ROUND(IF(J899="",0,J899)+1,0),IF(J899="",0,J899)/ROUND(IF(J899="",1,J899),0))=1,OR(J898&lt;&gt;""),J899&lt;&gt;"")),0,IF(S898&lt;0,IF(I900="",SMALL(P898:P899,1)-SUM(O898:O899),0),SMALL(P898:P899,1)-SUM(O898:O899))),IF(S898&lt;0,IF(I900="",SMALL(P898:P900,1)-SUM(O898:O900),0),LARGE(P898:P900,1)-SUM(O898:O900))),S898)+V895,IF(I900="",IF(OR(AND(I898="DNB1",I899="DNB2"),AND(OR(I898="DNB1",I898="DNB2"),J899=0),AND(OR(I899="DNB1",I899="DNB2"),J898=0),AND(I898="DNB2",I899="DNB1"),AND(IF(J898=0,(J898+1)/ROUND(J898+1,0),J898/ROUND(J898,0))=1,IF(J899=0,(IF(J899="",0,J899)+1)/ROUND(IF(J899="",0,J899)+1,0),IF(J899="",0,J899)/ROUND(IF(J899="",0,J899)+1,0))=1,OR(J898&lt;&gt;""),J899&lt;&gt;"")),0,IF(S898&lt;0,IF(I900="",SMALL(P898:P899,1)-SUM(O898:O899),0),SMALL(P898:P900,1)-SUM(O898:O900))),IF(S898&lt;0,IF(I900="",SMALL(P898:P900,1)-SUM(O898:O900),0),LARGE(P898:P900,1)-SUM(O898:O900)))))</f>
        <v>16.180000000000003</v>
      </c>
      <c r="W898" s="496">
        <f>IF($D898=$D895,IF(S898&lt;0,IF(I900="",S898,0),S898)+W895,S898)</f>
        <v>16.18</v>
      </c>
      <c r="X898" s="505" t="str">
        <f>IF(OR(SUM(R898:R900)=0,V898=W898),ROUND(IF(W898=0,0,W898/Y898)*100,2)&amp;"%",ROUND(IF(V898=0,0,V898/Y898)*100,2)&amp;"% a "&amp;ROUND(IF(W898=0,0,W898/Y898)*100,2)&amp;"%")</f>
        <v>5,87%</v>
      </c>
      <c r="Y898" s="497">
        <f>IF($D898=$D895,Y895+SUM(O898:O900),SUM(O898:O900))</f>
        <v>275.46000000000004</v>
      </c>
      <c r="Z898" s="496">
        <f>IF($B898=" ",SUM(O898:O900),0)+Z895</f>
        <v>0</v>
      </c>
      <c r="AA898" s="496">
        <f>IF(G898="","",IF($B898="Anulado",LARGE(P898:P900,1)-SUM(O898:O900)+AA895,AA895))</f>
        <v>14.77109999999999</v>
      </c>
      <c r="AB898" s="496">
        <f>IF($D898="","",AB895+S898)</f>
        <v>1016.6300000000009</v>
      </c>
      <c r="AC898" s="499">
        <f ca="1">IF($D898="","",IF($B898=" ",IF(DAY(G898)=DAY(TODAY()),1+AC895,0+AC895),0+AC895))</f>
        <v>0</v>
      </c>
      <c r="AD898" s="157">
        <f>(((L899/(L899-1)-1)*(1-_xlfn.XLOOKUP(K899,'Fevereiro 2023 - Valor Real'!A3:A15,'Fevereiro 2023 - Valor Real'!C3:C15,0))+1))/(((L898-1)*(1-_xlfn.XLOOKUP(K898,'Fevereiro 2023 - Valor Real'!A3:A15,'Fevereiro 2023 - Valor Real'!C3:C15,0))+1)+((L899/(L899-1)-1)*(1-_xlfn.XLOOKUP(K899,'Fevereiro 2023 - Valor Real'!A3:A15,'Fevereiro 2023 - Valor Real'!C3:C15,0))+1))</f>
        <v>0.4710743801652893</v>
      </c>
      <c r="AE898" s="158">
        <f>IF(L898="","",IF(L900&gt;0,(SUM(((L898-1)*(1-_xlfn.XLOOKUP(K898,'Fevereiro 2023 - Valor Real'!A3:A15,'Fevereiro 2023 - Valor Real'!C3:C15,0))+1),((L899-1)*(1-_xlfn.XLOOKUP(K899,'Fevereiro 2023 - Valor Real'!A3:A15,'Fevereiro 2023 - Valor Real'!C3:C15,0))+1),((L900-1)*(1-_xlfn.XLOOKUP(K900,'Fevereiro 2023 - Valor Real'!A3:A15,'Fevereiro 2023 - Valor Real'!C3:C15,0))+1))/((L898-1)*(1-_xlfn.XLOOKUP(K898,'Fevereiro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Real'!C3:C15,0))+1))/((L898-1)*(1-_xlfn.XLOOKUP(K898,'Fevereiro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Real'!C3:C15,0))+1))/((L899-1)*(1-_xlfn.XLOOKUP(K899,'Fevereiro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Real'!C3:C15,0))+1))/((L900-1)*(1-_xlfn.XLOOKUP(K900,'Fevereiro 2023 - Valor Real'!A3:A15,'Fevereiro 2023 - Valor Real'!C3:C15,0))+1)),IF(I898="Lay",IF(I899="Lay",((L899/(L899-1)-1)*(1-_xlfn.XLOOKUP(K899,'Fevereiro 2023 - Valor Real'!A3:A15,'Fevereiro 2023 - Valor Real'!C3:C15,0))+1)/(((L899/(L899-1)-1)*(1-_xlfn.XLOOKUP(K899,'Fevereiro 2023 - Valor Real'!A3:A15,'Fevereiro 2023 - Valor Real'!C3:C15,0))+1)+((L898/(L898-1)-1)*(1-_xlfn.XLOOKUP(K898,'Fevereiro 2023 - Valor Real'!A3:A15,'Fevereiro 2023 - Valor Real'!C3:C15,0))+1)),((L899-1)*(1-_xlfn.XLOOKUP(K899,'Fevereiro 2023 - Valor Real'!A3:A15,'Fevereiro 2023 - Valor Real'!C3:C15,0))+1)/(((L899-1)*(1-_xlfn.XLOOKUP(K899,'Fevereiro 2023 - Valor Real'!A3:A15,'Fevereiro 2023 - Valor Real'!C3:C15,0))+1)+((L898/(L898-1)-1)*(1-_xlfn.XLOOKUP(K898,'Fevereiro 2023 - Valor Real'!A3:A15,'Fevereiro 2023 - Valor Real'!C3:C15,0))+1))),IF(I899="Lay",(((L899/(L899-1)-1)*(1-_xlfn.XLOOKUP(K899,'Fevereiro 2023 - Valor Real'!A3:A15,'Fevereiro 2023 - Valor Real'!C3:C15,0))+1))/(((L898-1)*(1-_xlfn.XLOOKUP(K898,'Fevereiro 2023 - Valor Real'!A3:A15,'Fevereiro 2023 - Valor Real'!C3:C15,0))+1)+((L899/(L899-1)-1)*(1-_xlfn.XLOOKUP(K899,'Fevereiro 2023 - Valor Real'!A3:A15,'Fevereiro 2023 - Valor Real'!C3:C15,0))+1)),((L899-1)*(1-_xlfn.XLOOKUP(K899,'Fevereiro 2023 - Valor Real'!A3:A15,'Fevereiro 2023 - Valor Real'!C3:C15,0))+1)/(((L899-1)*(1-_xlfn.XLOOKUP(K899,'Fevereiro 2023 - Valor Real'!A3:A15,'Fevereiro 2023 - Valor Real'!C3:C15,0))+1)+((L898-1)*(1-_xlfn.XLOOKUP(K898,'Fevereiro 2023 - Valor Real'!A3:A15,'Fevereiro 2023 - Valor Real'!C3:C15,0))+1))))))</f>
        <v>0.53271028037383183</v>
      </c>
      <c r="AF898" s="66">
        <f t="shared" si="1785"/>
        <v>0</v>
      </c>
      <c r="AG898" s="67">
        <f t="shared" si="1785"/>
        <v>0</v>
      </c>
      <c r="AH898" s="67">
        <f t="shared" si="1785"/>
        <v>0</v>
      </c>
      <c r="AI898" s="67">
        <f t="shared" si="1785"/>
        <v>0</v>
      </c>
      <c r="AJ898" s="67">
        <f t="shared" si="1785"/>
        <v>0</v>
      </c>
      <c r="AK898" s="67">
        <f t="shared" si="1785"/>
        <v>0</v>
      </c>
      <c r="AL898" s="67">
        <f t="shared" si="1785"/>
        <v>0</v>
      </c>
      <c r="AM898" s="67">
        <f t="shared" si="1785"/>
        <v>0</v>
      </c>
      <c r="AN898" s="67">
        <f t="shared" si="1785"/>
        <v>0</v>
      </c>
      <c r="AO898" s="67">
        <f t="shared" si="1785"/>
        <v>0</v>
      </c>
      <c r="AP898" s="67">
        <f t="shared" si="1785"/>
        <v>0</v>
      </c>
      <c r="AQ898" s="67">
        <f t="shared" si="1785"/>
        <v>21</v>
      </c>
      <c r="AR898" s="68">
        <f t="shared" si="1785"/>
        <v>0</v>
      </c>
      <c r="AS898" s="66">
        <f t="shared" ref="AS898:BE898" si="1792">IF(AND($B898=" ",$K898=AS$3),$O898,0)</f>
        <v>0</v>
      </c>
      <c r="AT898" s="67">
        <f t="shared" si="1792"/>
        <v>0</v>
      </c>
      <c r="AU898" s="67">
        <f t="shared" si="1792"/>
        <v>0</v>
      </c>
      <c r="AV898" s="67">
        <f t="shared" si="1792"/>
        <v>0</v>
      </c>
      <c r="AW898" s="67">
        <f t="shared" si="1792"/>
        <v>0</v>
      </c>
      <c r="AX898" s="67">
        <f t="shared" si="1792"/>
        <v>0</v>
      </c>
      <c r="AY898" s="69">
        <f t="shared" si="1792"/>
        <v>0</v>
      </c>
      <c r="AZ898" s="70">
        <f t="shared" si="1792"/>
        <v>0</v>
      </c>
      <c r="BA898" s="70">
        <f t="shared" si="1792"/>
        <v>0</v>
      </c>
      <c r="BB898" s="70">
        <f t="shared" si="1792"/>
        <v>0</v>
      </c>
      <c r="BC898" s="71">
        <f t="shared" si="1792"/>
        <v>0</v>
      </c>
      <c r="BD898" s="67">
        <f t="shared" si="1792"/>
        <v>0</v>
      </c>
      <c r="BE898" s="68">
        <f t="shared" si="1792"/>
        <v>0</v>
      </c>
      <c r="BF898" s="230">
        <f t="shared" si="1787"/>
        <v>0</v>
      </c>
      <c r="BG898" s="67">
        <f t="shared" si="1787"/>
        <v>0</v>
      </c>
      <c r="BH898" s="67">
        <f t="shared" si="1787"/>
        <v>0</v>
      </c>
      <c r="BI898" s="67">
        <f t="shared" si="1787"/>
        <v>0</v>
      </c>
      <c r="BJ898" s="67">
        <f t="shared" si="1787"/>
        <v>0</v>
      </c>
      <c r="BK898" s="67">
        <f t="shared" si="1787"/>
        <v>0</v>
      </c>
      <c r="BL898" s="67">
        <f t="shared" si="1787"/>
        <v>0</v>
      </c>
      <c r="BM898" s="69">
        <f t="shared" si="1787"/>
        <v>0</v>
      </c>
      <c r="BN898" s="70">
        <f t="shared" si="1787"/>
        <v>0</v>
      </c>
      <c r="BO898" s="70">
        <f t="shared" si="1787"/>
        <v>0</v>
      </c>
      <c r="BP898" s="70">
        <f t="shared" si="1787"/>
        <v>0</v>
      </c>
      <c r="BQ898" s="71">
        <f t="shared" si="1787"/>
        <v>21</v>
      </c>
      <c r="BR898" s="68">
        <f t="shared" si="1787"/>
        <v>0</v>
      </c>
      <c r="BS898" s="490">
        <f>IF($B898="LOSS",IF(AND($K898=BS$3,$C898="L"),-$O898,0)+IF(AND($K899=BS$3,$C899="L"),-$O899,0)+IF(AND($K900=BS$3,$C900="L"),-$O900,0),IF(OR(AND($K898=BS$3,OR($C898="W",$C898="1/2W")),AND($K899=BS$3,OR($C899="W",$C899="1/2W")),AND($K900=BS$3,OR($C900="W",$C900="1/2W"))),$S898,0))</f>
        <v>0</v>
      </c>
      <c r="BT898" s="488">
        <f>IF($B898="LOSS",IF(AND($K898=BT$3,$C898="L"),-$O898,0)+IF(AND($K899=BT$3,$C899="L"),-$O899,0)+IF(AND($K899=BT$3,$C900="L"),-$O900,0),IF(OR(AND($K899=BT$3,OR($C898="W",$C898="1/2W")),AND($K899=BT$3,OR($C899="W",$C899="1/2W")),AND($K899=BT$3,OR($C900="W",$C900="1/2W"))),$S898,0))</f>
        <v>0</v>
      </c>
      <c r="BU898" s="488">
        <f>IF($B898="LOSS",IF(AND($K898=BU$3,$C898="L"),-$O898,0)+IF(AND($K899=BU$3,$C899="L"),-$O899,0)+IF(AND($K899=BU$3,$C900="L"),-$O900,0),IF(OR(AND($K899=BU$3,OR($C898="W",$C898="1/2W")),AND($K899=BU$3,OR($C899="W",$C899="1/2W")),AND($K899=BU$3,OR($C900="W",$C900="1/2W"))),$S898,0))</f>
        <v>0</v>
      </c>
      <c r="BV898" s="488">
        <f t="shared" ref="BV898:CE898" si="1793">IF($B898="LOSS",IF(AND($K898=BV$3,$C898="L"),-$O898,0)+IF(AND($K899=BV$3,$C899="L"),-$O899,0)+IF(AND($K900=BV$3,$C900="L"),-$O900,0),IF(OR(AND($K898=BV$3,OR($C898="W",$C898="1/2W")),AND($K899=BV$3,OR($C899="W",$C899="1/2W")),AND($K900=BV$3,OR($C900="W",$C900="1/2W"))),$S898,0))</f>
        <v>0</v>
      </c>
      <c r="BW898" s="488">
        <f t="shared" si="1793"/>
        <v>0</v>
      </c>
      <c r="BX898" s="488">
        <f t="shared" si="1793"/>
        <v>0</v>
      </c>
      <c r="BY898" s="488">
        <f t="shared" si="1793"/>
        <v>0</v>
      </c>
      <c r="BZ898" s="498">
        <f t="shared" si="1793"/>
        <v>0</v>
      </c>
      <c r="CA898" s="498">
        <f t="shared" si="1793"/>
        <v>0</v>
      </c>
      <c r="CB898" s="498">
        <f t="shared" si="1793"/>
        <v>0</v>
      </c>
      <c r="CC898" s="498">
        <f t="shared" si="1793"/>
        <v>0</v>
      </c>
      <c r="CD898" s="500">
        <f t="shared" si="1793"/>
        <v>2.56</v>
      </c>
      <c r="CE898" s="504">
        <f t="shared" si="1793"/>
        <v>0</v>
      </c>
      <c r="CF898" s="160">
        <f t="shared" si="1669"/>
        <v>0</v>
      </c>
      <c r="CG898" s="161">
        <f t="shared" si="1670"/>
        <v>0</v>
      </c>
      <c r="CH898" s="161">
        <f t="shared" si="1671"/>
        <v>0</v>
      </c>
      <c r="CI898" s="161">
        <f t="shared" si="1672"/>
        <v>0</v>
      </c>
      <c r="CJ898" s="161">
        <f t="shared" si="1673"/>
        <v>0</v>
      </c>
      <c r="CK898" s="161">
        <f t="shared" si="1674"/>
        <v>0</v>
      </c>
      <c r="CL898" s="161">
        <f t="shared" si="1675"/>
        <v>0</v>
      </c>
      <c r="CM898" s="161">
        <f t="shared" si="1676"/>
        <v>0</v>
      </c>
      <c r="CN898" s="161">
        <f t="shared" si="1677"/>
        <v>0</v>
      </c>
      <c r="CO898" s="161">
        <f t="shared" si="1678"/>
        <v>0</v>
      </c>
      <c r="CP898" s="161">
        <f t="shared" si="1679"/>
        <v>0</v>
      </c>
      <c r="CQ898" s="161">
        <f t="shared" si="1680"/>
        <v>0</v>
      </c>
      <c r="CR898" s="161">
        <f t="shared" si="1681"/>
        <v>0</v>
      </c>
      <c r="CS898" s="161">
        <f t="shared" si="1682"/>
        <v>0</v>
      </c>
      <c r="CT898" s="75">
        <f t="shared" si="1683"/>
        <v>0</v>
      </c>
      <c r="CU898" s="76">
        <f t="shared" si="1684"/>
        <v>0</v>
      </c>
      <c r="CV898" s="76">
        <f t="shared" si="1685"/>
        <v>0</v>
      </c>
      <c r="CW898" s="76">
        <f t="shared" si="1686"/>
        <v>0</v>
      </c>
      <c r="CX898" s="76">
        <f t="shared" si="1687"/>
        <v>0</v>
      </c>
      <c r="CY898" s="76">
        <f t="shared" si="1688"/>
        <v>0</v>
      </c>
      <c r="CZ898" s="76">
        <f t="shared" si="1689"/>
        <v>0</v>
      </c>
      <c r="DA898" s="76">
        <f t="shared" si="1690"/>
        <v>0</v>
      </c>
      <c r="DB898" s="76">
        <f t="shared" si="1691"/>
        <v>1</v>
      </c>
      <c r="DC898" s="76">
        <f t="shared" si="1692"/>
        <v>0</v>
      </c>
      <c r="DD898" s="76">
        <f t="shared" si="1693"/>
        <v>0</v>
      </c>
      <c r="DE898" s="77">
        <f t="shared" si="1694"/>
        <v>0</v>
      </c>
      <c r="DF898" s="73">
        <f t="shared" si="1696"/>
        <v>55</v>
      </c>
      <c r="DG898" s="67">
        <f t="shared" si="1697"/>
        <v>74.153000000000006</v>
      </c>
      <c r="DH898" s="76">
        <f t="shared" si="1698"/>
        <v>19</v>
      </c>
      <c r="DI898" s="67">
        <f t="shared" si="1699"/>
        <v>81.47</v>
      </c>
      <c r="DJ898" s="202" t="str">
        <f>IF($D898="","",$D898)</f>
        <v>30</v>
      </c>
      <c r="DK898" s="492">
        <f>IF(AND($B898=" ",$D898&lt;&gt;""),1,0)</f>
        <v>0</v>
      </c>
    </row>
    <row r="899" spans="1:115" ht="14.5" customHeight="1" x14ac:dyDescent="0.2">
      <c r="A899" s="389"/>
      <c r="B899" s="456"/>
      <c r="C899" s="53" t="s">
        <v>55</v>
      </c>
      <c r="D899" s="374"/>
      <c r="E899" s="386"/>
      <c r="F899" s="377"/>
      <c r="G899" s="483"/>
      <c r="H899" s="476"/>
      <c r="I899" s="55" t="s">
        <v>52</v>
      </c>
      <c r="J899" s="231">
        <f>IF(OR(I898="TO",I898="TU",I898="TO1",I898="TU1",I898="TO2",I898="TU2"),J898,IF(OR(I898="AH1",I898="AH2"),IF(OR(I899="AH1",I899="AH2"),-J898,IF(OR(I899="EH1",I899="EH2"),-J898+0.5,"")),IF(OR(I898="EH1",I898="EH2"),IF(OR(I899="AH1",I899="AH2"),-J898+0.5,IF(OR(I899="EH1",I899="EH2"),-J898+1,"")),IF(AND(OR(I898="DNB1",I898="DNB2"),OR(I899="AH1",I899="AH2")),0,IF(AND(I898="Not ScoreBoth",OR(I899="TO1",I899="TO2")),0.5,"")))))</f>
        <v>1</v>
      </c>
      <c r="K899" s="232" t="s">
        <v>40</v>
      </c>
      <c r="L899" s="58">
        <v>2.2799999999999998</v>
      </c>
      <c r="M899" s="59">
        <v>18.440000000000001</v>
      </c>
      <c r="N899" s="406"/>
      <c r="O899" s="60">
        <f>IF(OR(AE898="",AE899=""),"",ROUND(IF(L900&gt;0,IF(M899&gt;0,M899,IF(M898&gt;0,IF(N898=TRUE,ROUND((M898*AE899)/AE898,0),(M898*AE899)/AE898),IF(M899&gt;0,ROUND(M899,IF(N898=0,2,IF(N898=0.1,1,0))),IF(M900&gt;0,ROUND(O900*AE899/AE900,IF(N898=0,2,IF(N898=0.1,1,0))),0)))),IF(M899&gt;0,M899,ROUND((M898*AE899)/AE898,IF(N898=0,2,IF(N898=0.1,1,0))))),2))</f>
        <v>18.440000000000001</v>
      </c>
      <c r="P899" s="61">
        <f>IF(OR(L899="",O899=""),"",IF($C899="1/2W",O899/2+O899/2*L899,IF($C899="1/2L",O899/2,IF(I899="Lay",((O899*(L899/(L899-1)))-O899)*(1-_xlfn.XLOOKUP(K899,'Fevereiro 2023 - Valor Real'!A3:A15,'Fevereiro 2023 - Valor Real'!C3:C15,0))+O899,(O899*L899-O899)*(1-_xlfn.XLOOKUP(K899,'Fevereiro 2023 - Valor Real'!A3:A15,'Fevereiro 2023 - Valor Real'!C3:C15,0))+O899))))</f>
        <v>42.043199999999999</v>
      </c>
      <c r="Q899" s="233">
        <f>IF(K899="","",IF(_xlfn.XLOOKUP(K899,K$4:K898,$DJ$4:DJ898,0,,-1)=DJ899,_xlfn.XLOOKUP(K899,K$4:K898,Q$4:Q898,1,,-1)+1,1))</f>
        <v>3</v>
      </c>
      <c r="R899" s="234">
        <f>IF(K899="","",_xlfn.XLOOKUP(K899,K$4:K898,R$4:R898,0,,-1)+IF($C899=" ",1,0))</f>
        <v>0</v>
      </c>
      <c r="S899" s="403"/>
      <c r="T899" s="380"/>
      <c r="U899" s="380"/>
      <c r="V899" s="481"/>
      <c r="W899" s="380"/>
      <c r="X899" s="452"/>
      <c r="Y899" s="383"/>
      <c r="Z899" s="384"/>
      <c r="AA899" s="384"/>
      <c r="AB899" s="384"/>
      <c r="AC899" s="384"/>
      <c r="AD899" s="64">
        <f>(((L899/(L899-1)-1)*(1-_xlfn.XLOOKUP(K899,'Fevereiro 2023 - Valor Real'!A3:A15,'Fevereiro 2023 - Valor Real'!C3:C15,0))+1))</f>
        <v>1.7812500000000002</v>
      </c>
      <c r="AE899" s="65">
        <f>IF(L899="","",IF(L900&gt;0,(SUM(((L898-1)*(1-_xlfn.XLOOKUP(K898,'Fevereiro 2023 - Valor Real'!A3:A15,'Fevereiro 2023 - Valor Real'!C3:C15,0))+1),((L899-1)*(1-_xlfn.XLOOKUP(K899,'Fevereiro 2023 - Valor Real'!A3:A15,'Fevereiro 2023 - Valor Real'!C3:C15,0))+1),((L900-1)*(1-_xlfn.XLOOKUP(K900,'Fevereiro 2023 - Valor Real'!A3:A15,'Fevereiro 2023 - Valor Real'!C3:C15,0))+1))/((L899-1)*(1-_xlfn.XLOOKUP(K899,'Fevereiro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Real'!C3:C15,0))+1))/((L898-1)*(1-_xlfn.XLOOKUP(K898,'Fevereiro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Real'!C3:C15,0))+1))/((L899-1)*(1-_xlfn.XLOOKUP(K899,'Fevereiro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Real'!C3:C15,0))+1))/((L900-1)*(1-_xlfn.XLOOKUP(K900,'Fevereiro 2023 - Valor Real'!A3:A15,'Fevereiro 2023 - Valor Real'!C3:C15,0))+1)),IF(I899="Lay",IF(I898="Lay",((L898/(L898-1)-1)*(1-_xlfn.XLOOKUP(K898,'Fevereiro 2023 - Valor Real'!A3:A15,'Fevereiro 2023 - Valor Real'!C3:C15,0))+1)/(((L898/(L898-1)-1)*(1-_xlfn.XLOOKUP(K898,'Fevereiro 2023 - Valor Real'!A3:A15,'Fevereiro 2023 - Valor Real'!C3:C15,0))+1)+((L899/(L899-1)-1)*(1-_xlfn.XLOOKUP(K899,'Fevereiro 2023 - Valor Real'!A3:A15,'Fevereiro 2023 - Valor Real'!C3:C15,0))+1)),((L898-1)*(1-_xlfn.XLOOKUP(K898,'Fevereiro 2023 - Valor Real'!A3:A15,'Fevereiro 2023 - Valor Real'!C3:C15,0))+1)/(((L898-1)*(1-_xlfn.XLOOKUP(K898,'Fevereiro 2023 - Valor Real'!A3:A15,'Fevereiro 2023 - Valor Real'!C3:C15,0))+1)+((L899/(L899-1)-1)*(1-_xlfn.XLOOKUP(K899,'Fevereiro 2023 - Valor Real'!A3:A15,'Fevereiro 2023 - Valor Real'!C3:C15,0))+1))),IF(I898="Lay",((L898/(L898-1)-1)*(1-_xlfn.XLOOKUP(K898,'Fevereiro 2023 - Valor Real'!A3:A15,'Fevereiro 2023 - Valor Real'!C3:C15,0))+1)/((((L898/(L898-1)-1)*(1-_xlfn.XLOOKUP(K898,'Fevereiro 2023 - Valor Real'!A3:A15,'Fevereiro 2023 - Valor Real'!C3:C15,0))+1))+((L899-1)*(1-_xlfn.XLOOKUP(K899,'Fevereiro 2023 - Valor Real'!A3:A15,'Fevereiro 2023 - Valor Real'!C3:C15,0))+1)),((L898-1)*(1-_xlfn.XLOOKUP(K898,'Fevereiro 2023 - Valor Real'!A3:A15,'Fevereiro 2023 - Valor Real'!C3:C15,0))+1)/(((L898-1)*(1-_xlfn.XLOOKUP(K898,'Fevereiro 2023 - Valor Real'!A3:A15,'Fevereiro 2023 - Valor Real'!C3:C15,0))+1)+((L899-1)*(1-_xlfn.XLOOKUP(K899,'Fevereiro 2023 - Valor Real'!A3:A15,'Fevereiro 2023 - Valor Real'!C3:C15,0))+1))))))</f>
        <v>0.46728971962616828</v>
      </c>
      <c r="AF899" s="66">
        <f t="shared" si="1785"/>
        <v>0</v>
      </c>
      <c r="AG899" s="67">
        <f t="shared" si="1785"/>
        <v>0</v>
      </c>
      <c r="AH899" s="67">
        <f t="shared" si="1785"/>
        <v>0</v>
      </c>
      <c r="AI899" s="67">
        <f t="shared" si="1785"/>
        <v>0</v>
      </c>
      <c r="AJ899" s="67">
        <f t="shared" si="1785"/>
        <v>-18.440000000000001</v>
      </c>
      <c r="AK899" s="67">
        <f t="shared" si="1785"/>
        <v>0</v>
      </c>
      <c r="AL899" s="67">
        <f t="shared" si="1785"/>
        <v>0</v>
      </c>
      <c r="AM899" s="67">
        <f t="shared" si="1785"/>
        <v>0</v>
      </c>
      <c r="AN899" s="67">
        <f t="shared" si="1785"/>
        <v>0</v>
      </c>
      <c r="AO899" s="67">
        <f t="shared" si="1785"/>
        <v>0</v>
      </c>
      <c r="AP899" s="67">
        <f t="shared" si="1785"/>
        <v>0</v>
      </c>
      <c r="AQ899" s="67">
        <f t="shared" si="1785"/>
        <v>0</v>
      </c>
      <c r="AR899" s="68">
        <f t="shared" si="1785"/>
        <v>0</v>
      </c>
      <c r="AS899" s="66">
        <f>IF(AND($B898=" ",$K899=AS$3),$O899,0)</f>
        <v>0</v>
      </c>
      <c r="AT899" s="67">
        <f>IF(AND($B898=" ",K899=AT$3),$O899,0)</f>
        <v>0</v>
      </c>
      <c r="AU899" s="67">
        <f t="shared" ref="AU899:BE899" si="1794">IF(AND($B898=" ",$K899=AU$3),$O899,0)</f>
        <v>0</v>
      </c>
      <c r="AV899" s="67">
        <f t="shared" si="1794"/>
        <v>0</v>
      </c>
      <c r="AW899" s="67">
        <f t="shared" si="1794"/>
        <v>0</v>
      </c>
      <c r="AX899" s="67">
        <f t="shared" si="1794"/>
        <v>0</v>
      </c>
      <c r="AY899" s="69">
        <f t="shared" si="1794"/>
        <v>0</v>
      </c>
      <c r="AZ899" s="70">
        <f t="shared" si="1794"/>
        <v>0</v>
      </c>
      <c r="BA899" s="70">
        <f t="shared" si="1794"/>
        <v>0</v>
      </c>
      <c r="BB899" s="70">
        <f t="shared" si="1794"/>
        <v>0</v>
      </c>
      <c r="BC899" s="71">
        <f t="shared" si="1794"/>
        <v>0</v>
      </c>
      <c r="BD899" s="67">
        <f t="shared" si="1794"/>
        <v>0</v>
      </c>
      <c r="BE899" s="68">
        <f t="shared" si="1794"/>
        <v>0</v>
      </c>
      <c r="BF899" s="66">
        <f t="shared" si="1787"/>
        <v>0</v>
      </c>
      <c r="BG899" s="67">
        <f t="shared" si="1787"/>
        <v>0</v>
      </c>
      <c r="BH899" s="67">
        <f t="shared" si="1787"/>
        <v>0</v>
      </c>
      <c r="BI899" s="67">
        <f t="shared" si="1787"/>
        <v>0</v>
      </c>
      <c r="BJ899" s="67">
        <f t="shared" si="1787"/>
        <v>18.440000000000001</v>
      </c>
      <c r="BK899" s="67">
        <f t="shared" si="1787"/>
        <v>0</v>
      </c>
      <c r="BL899" s="67">
        <f t="shared" si="1787"/>
        <v>0</v>
      </c>
      <c r="BM899" s="235">
        <f t="shared" si="1787"/>
        <v>0</v>
      </c>
      <c r="BN899" s="159">
        <f t="shared" si="1787"/>
        <v>0</v>
      </c>
      <c r="BO899" s="159">
        <f t="shared" si="1787"/>
        <v>0</v>
      </c>
      <c r="BP899" s="159">
        <f t="shared" si="1787"/>
        <v>0</v>
      </c>
      <c r="BQ899" s="71">
        <f t="shared" si="1787"/>
        <v>0</v>
      </c>
      <c r="BR899" s="68">
        <f t="shared" si="1787"/>
        <v>0</v>
      </c>
      <c r="BS899" s="464"/>
      <c r="BT899" s="461"/>
      <c r="BU899" s="392"/>
      <c r="BV899" s="461"/>
      <c r="BW899" s="392"/>
      <c r="BX899" s="392"/>
      <c r="BY899" s="392"/>
      <c r="BZ899" s="461"/>
      <c r="CA899" s="392"/>
      <c r="CB899" s="392"/>
      <c r="CC899" s="392"/>
      <c r="CD899" s="401"/>
      <c r="CE899" s="409"/>
      <c r="CF899" s="236">
        <f t="shared" si="1669"/>
        <v>0</v>
      </c>
      <c r="CG899" s="237">
        <f t="shared" si="1670"/>
        <v>0</v>
      </c>
      <c r="CH899" s="237">
        <f t="shared" si="1671"/>
        <v>0</v>
      </c>
      <c r="CI899" s="237">
        <f t="shared" si="1672"/>
        <v>0</v>
      </c>
      <c r="CJ899" s="237">
        <f t="shared" si="1673"/>
        <v>0</v>
      </c>
      <c r="CK899" s="237">
        <f t="shared" si="1674"/>
        <v>0</v>
      </c>
      <c r="CL899" s="237">
        <f t="shared" si="1675"/>
        <v>0</v>
      </c>
      <c r="CM899" s="237">
        <f t="shared" si="1676"/>
        <v>0</v>
      </c>
      <c r="CN899" s="237">
        <f t="shared" si="1677"/>
        <v>0</v>
      </c>
      <c r="CO899" s="237">
        <f t="shared" si="1678"/>
        <v>1</v>
      </c>
      <c r="CP899" s="237">
        <f t="shared" si="1679"/>
        <v>0</v>
      </c>
      <c r="CQ899" s="237">
        <f t="shared" si="1680"/>
        <v>0</v>
      </c>
      <c r="CR899" s="237">
        <f t="shared" si="1681"/>
        <v>0</v>
      </c>
      <c r="CS899" s="237">
        <f t="shared" si="1682"/>
        <v>0</v>
      </c>
      <c r="CT899" s="75">
        <f t="shared" si="1683"/>
        <v>0</v>
      </c>
      <c r="CU899" s="76">
        <f t="shared" si="1684"/>
        <v>0</v>
      </c>
      <c r="CV899" s="76">
        <f t="shared" si="1685"/>
        <v>0</v>
      </c>
      <c r="CW899" s="76">
        <f t="shared" si="1686"/>
        <v>0</v>
      </c>
      <c r="CX899" s="76">
        <f t="shared" si="1687"/>
        <v>0</v>
      </c>
      <c r="CY899" s="76">
        <f t="shared" si="1688"/>
        <v>0</v>
      </c>
      <c r="CZ899" s="76">
        <f t="shared" si="1689"/>
        <v>0</v>
      </c>
      <c r="DA899" s="76">
        <f t="shared" si="1690"/>
        <v>0</v>
      </c>
      <c r="DB899" s="76">
        <f t="shared" si="1691"/>
        <v>0</v>
      </c>
      <c r="DC899" s="76">
        <f t="shared" si="1692"/>
        <v>0</v>
      </c>
      <c r="DD899" s="76">
        <f t="shared" si="1693"/>
        <v>0</v>
      </c>
      <c r="DE899" s="77">
        <f t="shared" si="1694"/>
        <v>0</v>
      </c>
      <c r="DF899" s="73">
        <f t="shared" si="1696"/>
        <v>55</v>
      </c>
      <c r="DG899" s="67">
        <f t="shared" si="1697"/>
        <v>74.153000000000006</v>
      </c>
      <c r="DH899" s="76">
        <f t="shared" si="1698"/>
        <v>19</v>
      </c>
      <c r="DI899" s="67">
        <f t="shared" si="1699"/>
        <v>81.47</v>
      </c>
      <c r="DJ899" s="202" t="str">
        <f>IF($D898="","",$D898)</f>
        <v>30</v>
      </c>
      <c r="DK899" s="466"/>
    </row>
    <row r="900" spans="1:115" ht="14.5" customHeight="1" x14ac:dyDescent="0.2">
      <c r="A900" s="390"/>
      <c r="B900" s="457"/>
      <c r="C900" s="79" t="s">
        <v>53</v>
      </c>
      <c r="D900" s="375"/>
      <c r="E900" s="387"/>
      <c r="F900" s="378"/>
      <c r="G900" s="484"/>
      <c r="H900" s="477"/>
      <c r="I900" s="82"/>
      <c r="J900" s="83"/>
      <c r="K900" s="90"/>
      <c r="L900" s="84"/>
      <c r="M900" s="85"/>
      <c r="N900" s="407"/>
      <c r="O900" s="86" t="str">
        <f>IF(OR(AE898="",AE899=""),"",IF(L900&gt;0,ROUND(IF(M900&gt;0,M900,IF(M898&gt;0,ROUND((M898*AE900)/AE898,IF(N898=0,2,IF(N898=0.1,1,0))),IF(M899&gt;0,ROUND((M899*AE900)/AE899,IF(N898=0,2,IF(N898=0.1,1,0))),IF(M900&gt;0,M900,0)))),2),""))</f>
        <v/>
      </c>
      <c r="P900" s="87" t="str">
        <f>IF(I899="Lay",O899*(L899/(L899-1))-O899,IF(I898="Lay",O898*(L898/(L898-1))-O898,IF(OR(L900="",O900=""),"",IF($C900="1/2W",O900/2+O900/2*L900,IF($C900="1/2L",O900/2,(O900*L900-O900)*(1-_xlfn.XLOOKUP(K900,'Fevereiro 2023 - Valor Real'!A3:A15,'Fevereiro 2023 - Valor Real'!C3:C15,0))+O900)))))</f>
        <v/>
      </c>
      <c r="Q900" s="238" t="str">
        <f>IF(K900="","",IF(_xlfn.XLOOKUP(K900,K$4:K899,$DJ$4:DJ899,0,,-1)=DJ900,_xlfn.XLOOKUP(K900,K$4:K899,Q$4:Q899,1,,-1)+1,1))</f>
        <v/>
      </c>
      <c r="R900" s="239" t="str">
        <f>IF(K900="","",_xlfn.XLOOKUP(K900,K$4:K899,R$4:R899,0,,-1)+IF($C900=" ",1,0))</f>
        <v/>
      </c>
      <c r="S900" s="404"/>
      <c r="T900" s="378"/>
      <c r="U900" s="378"/>
      <c r="V900" s="404"/>
      <c r="W900" s="378"/>
      <c r="X900" s="453"/>
      <c r="Y900" s="383"/>
      <c r="Z900" s="384"/>
      <c r="AA900" s="384"/>
      <c r="AB900" s="384"/>
      <c r="AC900" s="384"/>
      <c r="AD900" s="240">
        <f>((L899/(L899-1)-1))</f>
        <v>0.78125000000000022</v>
      </c>
      <c r="AE900" s="91" t="str">
        <f>IF(L900="","",(SUM(((L898-1)*(1-_xlfn.XLOOKUP(K898,'Fevereiro 2023 - Valor Real'!A3:A15,'Fevereiro 2023 - Valor Real'!C3:C15,0))+1),((L899-1)*(1-_xlfn.XLOOKUP(K899,'Fevereiro 2023 - Valor Real'!A3:A15,'Fevereiro 2023 - Valor Real'!C3:C15,0))+1),((L900-1)*(1-_xlfn.XLOOKUP(K900,'Fevereiro 2023 - Valor Real'!A3:A15,'Fevereiro 2023 - Valor Real'!C3:C15,0))+1))/((L900-1)*(1-_xlfn.XLOOKUP(K900,'Fevereiro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Real'!C3:C15,0))+1))/((L898-1)*(1-_xlfn.XLOOKUP(K898,'Fevereiro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Real'!C3:C15,0))+1))/((L899-1)*(1-_xlfn.XLOOKUP(K899,'Fevereiro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Real'!C3:C15,0))+1))/((L900-1)*(1-_xlfn.XLOOKUP(K900,'Fevereiro 2023 - Valor Real'!A3:A15,'Fevereiro 2023 - Valor Real'!C3:C15,0))+1)))</f>
        <v/>
      </c>
      <c r="AF900" s="66">
        <f t="shared" si="1785"/>
        <v>0</v>
      </c>
      <c r="AG900" s="67">
        <f t="shared" si="1785"/>
        <v>0</v>
      </c>
      <c r="AH900" s="67">
        <f t="shared" si="1785"/>
        <v>0</v>
      </c>
      <c r="AI900" s="67">
        <f t="shared" si="1785"/>
        <v>0</v>
      </c>
      <c r="AJ900" s="67">
        <f t="shared" si="1785"/>
        <v>0</v>
      </c>
      <c r="AK900" s="67">
        <f t="shared" si="1785"/>
        <v>0</v>
      </c>
      <c r="AL900" s="67">
        <f t="shared" si="1785"/>
        <v>0</v>
      </c>
      <c r="AM900" s="67">
        <f t="shared" si="1785"/>
        <v>0</v>
      </c>
      <c r="AN900" s="67">
        <f t="shared" si="1785"/>
        <v>0</v>
      </c>
      <c r="AO900" s="67">
        <f t="shared" si="1785"/>
        <v>0</v>
      </c>
      <c r="AP900" s="67">
        <f t="shared" si="1785"/>
        <v>0</v>
      </c>
      <c r="AQ900" s="67">
        <f t="shared" si="1785"/>
        <v>0</v>
      </c>
      <c r="AR900" s="68">
        <f t="shared" si="1785"/>
        <v>0</v>
      </c>
      <c r="AS900" s="66">
        <f>IF(AND($B898=" ",$K900=AS$3),$O900,0)</f>
        <v>0</v>
      </c>
      <c r="AT900" s="67">
        <f>IF(AND($B898=" ",K900=AT$3),$O900,0)</f>
        <v>0</v>
      </c>
      <c r="AU900" s="67">
        <f t="shared" ref="AU900:BE900" si="1795">IF(AND($B898=" ",$K900=AU$3),$O900,0)</f>
        <v>0</v>
      </c>
      <c r="AV900" s="67">
        <f t="shared" si="1795"/>
        <v>0</v>
      </c>
      <c r="AW900" s="67">
        <f t="shared" si="1795"/>
        <v>0</v>
      </c>
      <c r="AX900" s="67">
        <f t="shared" si="1795"/>
        <v>0</v>
      </c>
      <c r="AY900" s="69">
        <f t="shared" si="1795"/>
        <v>0</v>
      </c>
      <c r="AZ900" s="70">
        <f t="shared" si="1795"/>
        <v>0</v>
      </c>
      <c r="BA900" s="70">
        <f t="shared" si="1795"/>
        <v>0</v>
      </c>
      <c r="BB900" s="70">
        <f t="shared" si="1795"/>
        <v>0</v>
      </c>
      <c r="BC900" s="71">
        <f t="shared" si="1795"/>
        <v>0</v>
      </c>
      <c r="BD900" s="67">
        <f t="shared" si="1795"/>
        <v>0</v>
      </c>
      <c r="BE900" s="68">
        <f t="shared" si="1795"/>
        <v>0</v>
      </c>
      <c r="BF900" s="66">
        <f t="shared" si="1787"/>
        <v>0</v>
      </c>
      <c r="BG900" s="67">
        <f t="shared" si="1787"/>
        <v>0</v>
      </c>
      <c r="BH900" s="67">
        <f t="shared" si="1787"/>
        <v>0</v>
      </c>
      <c r="BI900" s="67">
        <f t="shared" si="1787"/>
        <v>0</v>
      </c>
      <c r="BJ900" s="67">
        <f t="shared" si="1787"/>
        <v>0</v>
      </c>
      <c r="BK900" s="67">
        <f t="shared" si="1787"/>
        <v>0</v>
      </c>
      <c r="BL900" s="67">
        <f t="shared" si="1787"/>
        <v>0</v>
      </c>
      <c r="BM900" s="69">
        <f t="shared" si="1787"/>
        <v>0</v>
      </c>
      <c r="BN900" s="70">
        <f t="shared" si="1787"/>
        <v>0</v>
      </c>
      <c r="BO900" s="70">
        <f t="shared" si="1787"/>
        <v>0</v>
      </c>
      <c r="BP900" s="70">
        <f t="shared" si="1787"/>
        <v>0</v>
      </c>
      <c r="BQ900" s="71">
        <f t="shared" si="1787"/>
        <v>0</v>
      </c>
      <c r="BR900" s="68">
        <f t="shared" si="1787"/>
        <v>0</v>
      </c>
      <c r="BS900" s="464"/>
      <c r="BT900" s="461"/>
      <c r="BU900" s="392"/>
      <c r="BV900" s="461"/>
      <c r="BW900" s="392"/>
      <c r="BX900" s="392"/>
      <c r="BY900" s="392"/>
      <c r="BZ900" s="461"/>
      <c r="CA900" s="392"/>
      <c r="CB900" s="392"/>
      <c r="CC900" s="392"/>
      <c r="CD900" s="401"/>
      <c r="CE900" s="409"/>
      <c r="CF900" s="236">
        <f t="shared" ref="CF900:CF954" si="1796">IF(CF$3=$K900,IF($C900="W",1,IF($C900="1/2W",0.5,0)),0)</f>
        <v>0</v>
      </c>
      <c r="CG900" s="237">
        <f t="shared" ref="CG900:CG963" si="1797">IF(CF$3=$K900,IF($C900="L",1,IF($C900="1/2L",0.5,0)),0)</f>
        <v>0</v>
      </c>
      <c r="CH900" s="237">
        <f t="shared" ref="CH900:CH954" si="1798">IF(CH$3=$K900,IF($C900="W",1,IF($C900="1/2W",0.5,0)),0)</f>
        <v>0</v>
      </c>
      <c r="CI900" s="237">
        <f t="shared" ref="CI900:CI963" si="1799">IF(CH$3=$K900,IF($C900="L",1,IF($C900="1/2L",0.5,0)),0)</f>
        <v>0</v>
      </c>
      <c r="CJ900" s="237">
        <f t="shared" ref="CJ900:CJ954" si="1800">IF(CJ$3=$K900,IF($C900="W",1,IF($C900="1/2W",0.5,0)),0)</f>
        <v>0</v>
      </c>
      <c r="CK900" s="237">
        <f t="shared" ref="CK900:CK963" si="1801">IF(CJ$3=$K900,IF($C900="L",1,IF($C900="1/2L",0.5,0)),0)</f>
        <v>0</v>
      </c>
      <c r="CL900" s="237">
        <f t="shared" ref="CL900:CL954" si="1802">IF(CL$3=$K900,IF($C900="W",1,IF($C900="1/2W",0.5,0)),0)</f>
        <v>0</v>
      </c>
      <c r="CM900" s="237">
        <f t="shared" ref="CM900:CM963" si="1803">IF(CL$3=$K900,IF($C900="L",1,IF($C900="1/2L",0.5,0)),0)</f>
        <v>0</v>
      </c>
      <c r="CN900" s="237">
        <f t="shared" ref="CN900:CN954" si="1804">IF(CN$3=$K900,IF($C900="W",1,IF($C900="1/2W",0.5,0)),0)</f>
        <v>0</v>
      </c>
      <c r="CO900" s="237">
        <f t="shared" ref="CO900:CO963" si="1805">IF(CN$3=$K900,IF($C900="L",1,IF($C900="1/2L",0.5,0)),0)</f>
        <v>0</v>
      </c>
      <c r="CP900" s="237">
        <f t="shared" ref="CP900:CP954" si="1806">IF(CP$3=$K900,IF($C900="W",1,IF($C900="1/2W",0.5,0)),0)</f>
        <v>0</v>
      </c>
      <c r="CQ900" s="237">
        <f t="shared" ref="CQ900:CQ963" si="1807">IF(CP$3=$K900,IF($C900="L",1,IF($C900="1/2L",0.5,0)),0)</f>
        <v>0</v>
      </c>
      <c r="CR900" s="237">
        <f t="shared" ref="CR900:CR954" si="1808">IF(CR$3=$K900,IF($C900="W",1,IF($C900="1/2W",0.5,0)),0)</f>
        <v>0</v>
      </c>
      <c r="CS900" s="237">
        <f t="shared" ref="CS900:CS963" si="1809">IF(CR$3=$K900,IF($C900="L",1,IF($C900="1/2L",0.5,0)),0)</f>
        <v>0</v>
      </c>
      <c r="CT900" s="75">
        <f t="shared" ref="CT900:CT954" si="1810">IF(CT$3=$K900,IF($C900="W",1,IF($C900="1/2W",0.5,0)),0)</f>
        <v>0</v>
      </c>
      <c r="CU900" s="76">
        <f t="shared" ref="CU900:CU963" si="1811">IF(CT$3=$K900,IF($C900="L",1,IF($C900="1/2L",0.5,0)),0)</f>
        <v>0</v>
      </c>
      <c r="CV900" s="76">
        <f t="shared" ref="CV900:CV954" si="1812">IF(CV$3=$K900,IF($C900="W",1,IF($C900="1/2W",0.5,0)),0)</f>
        <v>0</v>
      </c>
      <c r="CW900" s="76">
        <f t="shared" ref="CW900:CW963" si="1813">IF(CV$3=$K900,IF($C900="L",1,IF($C900="1/2L",0.5,0)),0)</f>
        <v>0</v>
      </c>
      <c r="CX900" s="76">
        <f t="shared" ref="CX900:CX954" si="1814">IF(CX$3=$K900,IF($C900="W",1,IF($C900="1/2W",0.5,0)),0)</f>
        <v>0</v>
      </c>
      <c r="CY900" s="76">
        <f t="shared" ref="CY900:CY963" si="1815">IF(CX$3=$K900,IF($C900="L",1,IF($C900="1/2L",0.5,0)),0)</f>
        <v>0</v>
      </c>
      <c r="CZ900" s="76">
        <f t="shared" ref="CZ900:CZ954" si="1816">IF(CZ$3=$K900,IF($C900="W",1,IF($C900="1/2W",0.5,0)),0)</f>
        <v>0</v>
      </c>
      <c r="DA900" s="76">
        <f t="shared" ref="DA900:DA963" si="1817">IF(CZ$3=$K900,IF($C900="L",1,IF($C900="1/2L",0.5,0)),0)</f>
        <v>0</v>
      </c>
      <c r="DB900" s="76">
        <f t="shared" ref="DB900:DB954" si="1818">IF(DB$3=$K900,IF($C900="W",1,IF($C900="1/2W",0.5,0)),0)</f>
        <v>0</v>
      </c>
      <c r="DC900" s="76">
        <f t="shared" ref="DC900:DC963" si="1819">IF(DB$3=$K900,IF($C900="L",1,IF($C900="1/2L",0.5,0)),0)</f>
        <v>0</v>
      </c>
      <c r="DD900" s="76">
        <f t="shared" ref="DD900:DD954" si="1820">IF(DD$3=$K900,IF($C900="W",1,IF($C900="1/2W",0.5,0)),0)</f>
        <v>0</v>
      </c>
      <c r="DE900" s="77">
        <f t="shared" ref="DE900:DE963" si="1821">IF(DD$3=$K900,IF($C900="L",1,IF($C900="1/2L",0.5,0)),0)</f>
        <v>0</v>
      </c>
      <c r="DF900" s="73">
        <f t="shared" si="1696"/>
        <v>55</v>
      </c>
      <c r="DG900" s="67">
        <f t="shared" si="1697"/>
        <v>74.153000000000006</v>
      </c>
      <c r="DH900" s="76">
        <f t="shared" si="1698"/>
        <v>19</v>
      </c>
      <c r="DI900" s="67">
        <f t="shared" si="1699"/>
        <v>81.47</v>
      </c>
      <c r="DJ900" s="202" t="str">
        <f>IF($D898="","",$D898)</f>
        <v>30</v>
      </c>
      <c r="DK900" s="466"/>
    </row>
    <row r="901" spans="1:115" ht="14.5" customHeight="1" x14ac:dyDescent="0.2">
      <c r="A901" s="459">
        <f>$A898+1</f>
        <v>300</v>
      </c>
      <c r="B901" s="507" t="str">
        <f>IF(OR(C901="W",C902="W",C903="W",C901="1/2W",C902="1/2W",C903="1/2W",C901="1/2L",C902="1/2L",C903="1/2L"),"OK",IF(OR(C901="L",C902="L",C903="L"),"LOSS",IF(OR(C901="X",C902="X",C903="X"),"Anulado"," ")))</f>
        <v>OK</v>
      </c>
      <c r="C901" s="93" t="s">
        <v>54</v>
      </c>
      <c r="D901" s="468" t="str">
        <f>IF(G901="","",$D898)</f>
        <v>30</v>
      </c>
      <c r="E901" s="485" t="str">
        <f>IF(G901=""," ","– "&amp;COUNTIF(D$4:D903,$D901))</f>
        <v>– 6</v>
      </c>
      <c r="F901" s="509" t="str">
        <f ca="1">IF(G901="","",IF(OR(AND($C901&lt;&gt;" ",$C902=" "),AND($C902&lt;&gt;" ",$C901=" "),AND(L903&gt;0,OR(AND($C903&lt;&gt;" ",OR($C901=" ",$C902=" ")),AND($C903=" ",OR($C901&lt;&gt;" ",$C902&lt;&gt;" "))))),IF(SUM(F$4:F900)=0,1,LARGE(F$4:F900,1)+1),IF(MONTH(G901)=MONTH(TODAY()),IF(AND(DAY(G901)&lt;DAY(TODAY()),$B901=" "),IF(SUM(F$4:F900)=0,1,LARGE(F$4:F900,1)+1),IF($B901=" ",IF(AND(DAY(G901)=DAY(TODAY()),HOUR(G901)&lt;=HOUR(NOW())+1),IF(AND(HOUR(G901)+2&lt;=HOUR(NOW()),DAY(G901)&lt;=DAY(TODAY()),MINUTE(G901)&lt;=MINUTE(NOW())),IF(SUM(F$4:F900)=0,1,LARGE(F$4:F900,1)+1),IF(OR(MINUTE(G901)&lt;=MINUTE(NOW()),HOUR(G901)&lt;=HOUR(NOW())),"!!!","")),""),"")),"")))</f>
        <v/>
      </c>
      <c r="G901" s="482">
        <v>45015.645833333336</v>
      </c>
      <c r="H901" s="475" t="s">
        <v>300</v>
      </c>
      <c r="I901" s="175">
        <v>1</v>
      </c>
      <c r="J901" s="176"/>
      <c r="K901" s="96" t="s">
        <v>43</v>
      </c>
      <c r="L901" s="97">
        <v>1.5580000000000001</v>
      </c>
      <c r="M901" s="98"/>
      <c r="N901" s="478">
        <v>0.1</v>
      </c>
      <c r="O901" s="99">
        <f>IF(OR(AE901="",AE902=""),"",ROUND(IF(L903&gt;0,IF(M901&gt;0,M901,IF(M902&gt;0,ROUND((M902*AE901)/AE902,IF(N901=0,2,IF(N901=0.1,1,0))),ROUND((M903*AE901)/AE903,IF(N901=0,2,IF(N901=0.1,1,0))))),IF(M901&gt;0,M901,ROUND((M902*AE901)/AE902,IF(N901=0,2,IF(N901=0.1,1,0))))),2))</f>
        <v>24.6</v>
      </c>
      <c r="P901" s="100">
        <f>IF(OR(L901="",O901=""),"",IF($C901="1/2W",O901/2+O901/2*L901,IF($C901="1/2L",O901/2,IF(I901="Lay",(O901*(L901/(L901-1))-O901)*(1-_xlfn.XLOOKUP(K901,'Fevereiro 2023 - Valor Real'!A3:A15,'Fevereiro 2023 - Valor Real'!C3:C15,0))+O901,(O901*L901-O901)*(1-_xlfn.XLOOKUP(K901,'Fevereiro 2023 - Valor Real'!A3:A15,'Fevereiro 2023 - Valor Real'!C3:C15,0))+O901))))</f>
        <v>38.326800000000006</v>
      </c>
      <c r="Q901" s="101">
        <f>IF(K901="","",IF(_xlfn.XLOOKUP(K901,K$4:K900,$DJ$4:DJ900,0,,-1)=DJ901,_xlfn.XLOOKUP(K901,K$4:K900,Q$4:Q900,1,,-1)+1,1))</f>
        <v>3</v>
      </c>
      <c r="R901" s="102">
        <f>IF(K901="","",_xlfn.XLOOKUP(K901,K$4:K900,R$4:R900,0,,-1)+IF($C901=" ",1,0))</f>
        <v>0</v>
      </c>
      <c r="S901" s="474">
        <f>IF($B901="Anulado",0,ROUND(IF(OR($B901="LOSS",$B901="OK"),IF(OR($C901="W",$C901="1/2W",$C901="1/2L"),P901-O901,IF($C901="L",-O901,0))+IF(OR($C902="W",$C902="1/2W",$C902="1/2L"),P902-O902,IF($C902="L",-O902,0))+IF(OR($C903="W",$C903="1/2W",$C903="1/2L"),P903-O903,IF($C903="L",-O903,0)),IF(AND(OR($C901="W",$C901="1/2W",$C901="1/2L"),C902="W"),P901+P902-SUM(O901:O903)+_xlfn.XLOOKUP("X",C901:C903,O901:O903,0),IF(AND(C901=TRUE,C903="W"),P901+P903-SUM(O901:O903),IF(AND(C902="W",C903="W"),P902+P903-SUM(O901:O903)+_xlfn.XLOOKUP("X",C901:C903,O901:O903,0),IF(L903&gt;0,IF(OR($C901="W",$C901="1/2W",$C901="1/2L"),P901-SUM(O901:O903)+_xlfn.XLOOKUP("X",C901:C903,O901:O903,0),IF(OR($C901="W",$C901="1/2W",$C901="1/2L"),P902-SUM(O901:O903)+_xlfn.XLOOKUP("X",C901:C903,O901:O903,0),IF(OR($C901="W",$C901="1/2W",$C901="1/2L"),P903-SUM(O901:O903)+_xlfn.XLOOKUP("X",C901:C903,O901:O903,0),IF(SUM(P901:P903)/3-SUM(O901:O903)+_xlfn.XLOOKUP("X",C901:C903,O901:O903,0)&gt;0,SUM(P901:P903)/3-SUM(O901:O903)+_xlfn.XLOOKUP("X",C901:C903,O901:O903,0),LARGE(P901:P903,1)-SUM(O901:O903))))),IF(OR($C901="W",$C901="1/2W",$C901="1/2L"),P901-SUM(O901:O902)+_xlfn.XLOOKUP("X",C901:C903,O901:O903,0),IF(OR($C901="W",$C901="1/2W",$C901="1/2L"),P902-SUM(O901:O902)+_xlfn.XLOOKUP("X",C901:C903,O901:O903,0),SUM(P901:P902)/2-SUM(O901:O902)+_xlfn.XLOOKUP("X",C901:C903,O901:O903,0)))))))),2))</f>
        <v>1.57</v>
      </c>
      <c r="T901" s="458">
        <f>IF(S901=0,0,S901/SUM(O901:O903))</f>
        <v>4.2709466811751903E-2</v>
      </c>
      <c r="U901" s="470">
        <f>IF($D901=$D898,IF(OR($B901="LOSS",$B901="OK",$B901="Anulada"),S901,0)+U898,IF(OR($B901="LOSS",$B901="OK",$B901="Anulada"),S901,0))</f>
        <v>17.75</v>
      </c>
      <c r="V901" s="470">
        <f>IF($D901="",0,IF($D901=$D898,IF($B901=" ",IF(I903="",IF(OR(AND(I901="DNB1",I902="DNB2"),AND(OR(I901="DNB1",I901="DNB2"),J902=0),AND(OR(I902="DNB1",I902="DNB2"),J901=0),AND(I901="DNB2",I902="DNB1"),AND(IF(J901=0,(J901+1)/ROUND(J901+1,0),J901/ROUND(J901,0))=1,IF(J902=0,(J902+1)/ROUND(IF(J902="",0,J902)+1,0),IF(J902="",0,J902)/ROUND(IF(J902="",1,J902),0))=1,OR(J901&lt;&gt;""),J902&lt;&gt;"")),0,IF(S901&lt;0,IF(I903="",SMALL(P901:P902,1)-SUM(O901:O902),0),SMALL(P901:P902,1)-SUM(O901:O902))),IF(S901&lt;0,IF(I903="",SMALL(P901:P903,1)-SUM(O901:O903),0),LARGE(P901:P903,1)-SUM(O901:O903))),S901)+V898,IF(I903="",IF(OR(AND(I901="DNB1",I902="DNB2"),AND(OR(I901="DNB1",I901="DNB2"),J902=0),AND(OR(I902="DNB1",I902="DNB2"),J901=0),AND(I901="DNB2",I902="DNB1"),AND(IF(J901=0,(J901+1)/ROUND(J901+1,0),J901/ROUND(J901,0))=1,IF(J902=0,(IF(J902="",0,J902)+1)/ROUND(IF(J902="",0,J902)+1,0),IF(J902="",0,J902)/ROUND(IF(J902="",0,J902)+1,0))=1,OR(J901&lt;&gt;""),J902&lt;&gt;"")),0,IF(S901&lt;0,IF(I903="",SMALL(P901:P902,1)-SUM(O901:O902),0),SMALL(P901:P903,1)-SUM(O901:O903))),IF(S901&lt;0,IF(I903="",SMALL(P901:P903,1)-SUM(O901:O903),0),LARGE(P901:P903,1)-SUM(O901:O903)))))</f>
        <v>17.750000000000004</v>
      </c>
      <c r="W901" s="470">
        <f>IF($D901=$D898,IF(S901&lt;0,IF(I903="",S901,0),S901)+W898,S901)</f>
        <v>17.75</v>
      </c>
      <c r="X901" s="480" t="str">
        <f>IF(OR(SUM(R901:R903)=0,V901=W901),ROUND(IF(W901=0,0,W901/Y901)*100,2)&amp;"%",ROUND(IF(V901=0,0,V901/Y901)*100,2)&amp;"% a "&amp;ROUND(IF(W901=0,0,W901/Y901)*100,2)&amp;"%")</f>
        <v>5,69%</v>
      </c>
      <c r="Y901" s="471">
        <f>IF($D901=$D898,Y898+SUM(O901:O903),SUM(O901:O903))</f>
        <v>312.22000000000003</v>
      </c>
      <c r="Z901" s="470">
        <f>IF($B901=" ",SUM(O901:O903),0)+Z898</f>
        <v>0</v>
      </c>
      <c r="AA901" s="470">
        <f>IF(G901="","",IF($B901="Anulado",LARGE(P901:P903,1)-SUM(O901:O903)+AA898,AA898))</f>
        <v>14.77109999999999</v>
      </c>
      <c r="AB901" s="470">
        <f>IF($D901="","",AB898+S901)</f>
        <v>1018.200000000001</v>
      </c>
      <c r="AC901" s="472">
        <f ca="1">IF($D901="","",IF($B901=" ",IF(DAY(G901)=DAY(TODAY()),1+AC898,0+AC898),0+AC898))</f>
        <v>0</v>
      </c>
      <c r="AD901" s="103">
        <f>(((L902/(L902-1)-1)*(1-_xlfn.XLOOKUP(K902,'Fevereiro 2023 - Valor Real'!A3:A15,'Fevereiro 2023 - Valor Real'!C3:C15,0))+1))/(((L901-1)*(1-_xlfn.XLOOKUP(K901,'Fevereiro 2023 - Valor Real'!A3:A15,'Fevereiro 2023 - Valor Real'!C3:C15,0))+1)+((L902/(L902-1)-1)*(1-_xlfn.XLOOKUP(K902,'Fevereiro 2023 - Valor Real'!A3:A15,'Fevereiro 2023 - Valor Real'!C3:C15,0))+1))</f>
        <v>0.48463775251165442</v>
      </c>
      <c r="AE901" s="104">
        <f>IF(L901="","",IF(L903&gt;0,(SUM(((L901-1)*(1-_xlfn.XLOOKUP(K901,'Fevereiro 2023 - Valor Real'!A3:A15,'Fevereiro 2023 - Valor Real'!C3:C15,0))+1),((L902-1)*(1-_xlfn.XLOOKUP(K902,'Fevereiro 2023 - Valor Real'!A3:A15,'Fevereiro 2023 - Valor Real'!C3:C15,0))+1),((L903-1)*(1-_xlfn.XLOOKUP(K903,'Fevereiro 2023 - Valor Real'!A3:A15,'Fevereiro 2023 - Valor Real'!C3:C15,0))+1))/((L901-1)*(1-_xlfn.XLOOKUP(K901,'Fevereiro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Real'!C3:C15,0))+1))/((L901-1)*(1-_xlfn.XLOOKUP(K901,'Fevereiro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Real'!C3:C15,0))+1))/((L902-1)*(1-_xlfn.XLOOKUP(K902,'Fevereiro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Real'!C3:C15,0))+1))/((L903-1)*(1-_xlfn.XLOOKUP(K903,'Fevereiro 2023 - Valor Real'!A3:A15,'Fevereiro 2023 - Valor Real'!C3:C15,0))+1)),IF(I901="Lay",IF(I902="Lay",((L902/(L902-1)-1)*(1-_xlfn.XLOOKUP(K902,'Fevereiro 2023 - Valor Real'!A3:A15,'Fevereiro 2023 - Valor Real'!C3:C15,0))+1)/(((L902/(L902-1)-1)*(1-_xlfn.XLOOKUP(K902,'Fevereiro 2023 - Valor Real'!A3:A15,'Fevereiro 2023 - Valor Real'!C3:C15,0))+1)+((L901/(L901-1)-1)*(1-_xlfn.XLOOKUP(K901,'Fevereiro 2023 - Valor Real'!A3:A15,'Fevereiro 2023 - Valor Real'!C3:C15,0))+1)),((L902-1)*(1-_xlfn.XLOOKUP(K902,'Fevereiro 2023 - Valor Real'!A3:A15,'Fevereiro 2023 - Valor Real'!C3:C15,0))+1)/(((L902-1)*(1-_xlfn.XLOOKUP(K902,'Fevereiro 2023 - Valor Real'!A3:A15,'Fevereiro 2023 - Valor Real'!C3:C15,0))+1)+((L901/(L901-1)-1)*(1-_xlfn.XLOOKUP(K901,'Fevereiro 2023 - Valor Real'!A3:A15,'Fevereiro 2023 - Valor Real'!C3:C15,0))+1))),IF(I902="Lay",(((L902/(L902-1)-1)*(1-_xlfn.XLOOKUP(K902,'Fevereiro 2023 - Valor Real'!A3:A15,'Fevereiro 2023 - Valor Real'!C3:C15,0))+1))/(((L901-1)*(1-_xlfn.XLOOKUP(K901,'Fevereiro 2023 - Valor Real'!A3:A15,'Fevereiro 2023 - Valor Real'!C3:C15,0))+1)+((L902/(L902-1)-1)*(1-_xlfn.XLOOKUP(K902,'Fevereiro 2023 - Valor Real'!A3:A15,'Fevereiro 2023 - Valor Real'!C3:C15,0))+1)),((L902-1)*(1-_xlfn.XLOOKUP(K902,'Fevereiro 2023 - Valor Real'!A3:A15,'Fevereiro 2023 - Valor Real'!C3:C15,0))+1)/(((L902-1)*(1-_xlfn.XLOOKUP(K902,'Fevereiro 2023 - Valor Real'!A3:A15,'Fevereiro 2023 - Valor Real'!C3:C15,0))+1)+((L901-1)*(1-_xlfn.XLOOKUP(K901,'Fevereiro 2023 - Valor Real'!A3:A15,'Fevereiro 2023 - Valor Real'!C3:C15,0))+1))))))</f>
        <v>0.66907391673746808</v>
      </c>
      <c r="AF901" s="105">
        <f t="shared" si="1785"/>
        <v>0</v>
      </c>
      <c r="AG901" s="106">
        <f t="shared" si="1785"/>
        <v>0</v>
      </c>
      <c r="AH901" s="106">
        <f t="shared" si="1785"/>
        <v>0</v>
      </c>
      <c r="AI901" s="106">
        <f t="shared" si="1785"/>
        <v>0</v>
      </c>
      <c r="AJ901" s="106">
        <f t="shared" si="1785"/>
        <v>0</v>
      </c>
      <c r="AK901" s="106">
        <f t="shared" si="1785"/>
        <v>0</v>
      </c>
      <c r="AL901" s="106">
        <f t="shared" si="1785"/>
        <v>0</v>
      </c>
      <c r="AM901" s="106">
        <f t="shared" si="1785"/>
        <v>13.73</v>
      </c>
      <c r="AN901" s="106">
        <f t="shared" si="1785"/>
        <v>0</v>
      </c>
      <c r="AO901" s="106">
        <f t="shared" si="1785"/>
        <v>0</v>
      </c>
      <c r="AP901" s="106">
        <f t="shared" si="1785"/>
        <v>0</v>
      </c>
      <c r="AQ901" s="106">
        <f t="shared" si="1785"/>
        <v>0</v>
      </c>
      <c r="AR901" s="107">
        <f t="shared" si="1785"/>
        <v>0</v>
      </c>
      <c r="AS901" s="105">
        <f t="shared" ref="AS901:BE901" si="1822">IF(AND($B901=" ",$K901=AS$3),$O901,0)</f>
        <v>0</v>
      </c>
      <c r="AT901" s="106">
        <f t="shared" si="1822"/>
        <v>0</v>
      </c>
      <c r="AU901" s="106">
        <f t="shared" si="1822"/>
        <v>0</v>
      </c>
      <c r="AV901" s="106">
        <f t="shared" si="1822"/>
        <v>0</v>
      </c>
      <c r="AW901" s="106">
        <f t="shared" si="1822"/>
        <v>0</v>
      </c>
      <c r="AX901" s="106">
        <f t="shared" si="1822"/>
        <v>0</v>
      </c>
      <c r="AY901" s="108">
        <f t="shared" si="1822"/>
        <v>0</v>
      </c>
      <c r="AZ901" s="109">
        <f t="shared" si="1822"/>
        <v>0</v>
      </c>
      <c r="BA901" s="109">
        <f t="shared" si="1822"/>
        <v>0</v>
      </c>
      <c r="BB901" s="109">
        <f t="shared" si="1822"/>
        <v>0</v>
      </c>
      <c r="BC901" s="110">
        <f t="shared" si="1822"/>
        <v>0</v>
      </c>
      <c r="BD901" s="106">
        <f t="shared" si="1822"/>
        <v>0</v>
      </c>
      <c r="BE901" s="107">
        <f t="shared" si="1822"/>
        <v>0</v>
      </c>
      <c r="BF901" s="111">
        <f t="shared" si="1787"/>
        <v>0</v>
      </c>
      <c r="BG901" s="106">
        <f t="shared" si="1787"/>
        <v>0</v>
      </c>
      <c r="BH901" s="106">
        <f t="shared" si="1787"/>
        <v>0</v>
      </c>
      <c r="BI901" s="106">
        <f t="shared" si="1787"/>
        <v>0</v>
      </c>
      <c r="BJ901" s="106">
        <f t="shared" si="1787"/>
        <v>0</v>
      </c>
      <c r="BK901" s="106">
        <f t="shared" si="1787"/>
        <v>0</v>
      </c>
      <c r="BL901" s="106">
        <f t="shared" si="1787"/>
        <v>0</v>
      </c>
      <c r="BM901" s="108">
        <f t="shared" si="1787"/>
        <v>24.6</v>
      </c>
      <c r="BN901" s="109">
        <f t="shared" si="1787"/>
        <v>0</v>
      </c>
      <c r="BO901" s="109">
        <f t="shared" si="1787"/>
        <v>0</v>
      </c>
      <c r="BP901" s="109">
        <f t="shared" si="1787"/>
        <v>0</v>
      </c>
      <c r="BQ901" s="110">
        <f t="shared" si="1787"/>
        <v>0</v>
      </c>
      <c r="BR901" s="107">
        <f t="shared" si="1787"/>
        <v>0</v>
      </c>
      <c r="BS901" s="463">
        <f>IF($B901="LOSS",IF(AND($K901=BS$3,$C901="L"),-$O901,0)+IF(AND($K902=BS$3,$C902="L"),-$O902,0)+IF(AND($K903=BS$3,$C903="L"),-$O903,0),IF(OR(AND($K901=BS$3,OR($C901="W",$C901="1/2W")),AND($K902=BS$3,OR($C902="W",$C902="1/2W")),AND($K903=BS$3,OR($C903="W",$C903="1/2W"))),$S901,0))</f>
        <v>0</v>
      </c>
      <c r="BT901" s="462">
        <f>IF($B901="LOSS",IF(AND($K901=BT$3,$C901="L"),-$O901,0)+IF(AND($K902=BT$3,$C902="L"),-$O902,0)+IF(AND($K902=BT$3,$C903="L"),-$O903,0),IF(OR(AND($K902=BT$3,OR($C901="W",$C901="1/2W")),AND($K902=BT$3,OR($C902="W",$C902="1/2W")),AND($K902=BT$3,OR($C903="W",$C903="1/2W"))),$S901,0))</f>
        <v>0</v>
      </c>
      <c r="BU901" s="462">
        <f>IF($B901="LOSS",IF(AND($K901=BU$3,$C901="L"),-$O901,0)+IF(AND($K902=BU$3,$C902="L"),-$O902,0)+IF(AND($K902=BU$3,$C903="L"),-$O903,0),IF(OR(AND($K902=BU$3,OR($C901="W",$C901="1/2W")),AND($K902=BU$3,OR($C902="W",$C902="1/2W")),AND($K902=BU$3,OR($C903="W",$C903="1/2W"))),$S901,0))</f>
        <v>0</v>
      </c>
      <c r="BV901" s="462">
        <f t="shared" ref="BV901:CE901" si="1823">IF($B901="LOSS",IF(AND($K901=BV$3,$C901="L"),-$O901,0)+IF(AND($K902=BV$3,$C902="L"),-$O902,0)+IF(AND($K903=BV$3,$C903="L"),-$O903,0),IF(OR(AND($K901=BV$3,OR($C901="W",$C901="1/2W")),AND($K902=BV$3,OR($C902="W",$C902="1/2W")),AND($K903=BV$3,OR($C903="W",$C903="1/2W"))),$S901,0))</f>
        <v>0</v>
      </c>
      <c r="BW901" s="462">
        <f t="shared" si="1823"/>
        <v>0</v>
      </c>
      <c r="BX901" s="462">
        <f t="shared" si="1823"/>
        <v>0</v>
      </c>
      <c r="BY901" s="462">
        <f t="shared" si="1823"/>
        <v>0</v>
      </c>
      <c r="BZ901" s="460">
        <f t="shared" si="1823"/>
        <v>1.57</v>
      </c>
      <c r="CA901" s="460">
        <f t="shared" si="1823"/>
        <v>0</v>
      </c>
      <c r="CB901" s="460">
        <f t="shared" si="1823"/>
        <v>0</v>
      </c>
      <c r="CC901" s="460">
        <f t="shared" si="1823"/>
        <v>0</v>
      </c>
      <c r="CD901" s="473">
        <f t="shared" si="1823"/>
        <v>0</v>
      </c>
      <c r="CE901" s="479">
        <f t="shared" si="1823"/>
        <v>0</v>
      </c>
      <c r="CF901" s="113">
        <f t="shared" si="1796"/>
        <v>0</v>
      </c>
      <c r="CG901" s="114">
        <f t="shared" si="1797"/>
        <v>0</v>
      </c>
      <c r="CH901" s="114">
        <f t="shared" si="1798"/>
        <v>0</v>
      </c>
      <c r="CI901" s="114">
        <f t="shared" si="1799"/>
        <v>0</v>
      </c>
      <c r="CJ901" s="114">
        <f t="shared" si="1800"/>
        <v>0</v>
      </c>
      <c r="CK901" s="114">
        <f t="shared" si="1801"/>
        <v>0</v>
      </c>
      <c r="CL901" s="114">
        <f t="shared" si="1802"/>
        <v>0</v>
      </c>
      <c r="CM901" s="114">
        <f t="shared" si="1803"/>
        <v>0</v>
      </c>
      <c r="CN901" s="114">
        <f t="shared" si="1804"/>
        <v>0</v>
      </c>
      <c r="CO901" s="114">
        <f t="shared" si="1805"/>
        <v>0</v>
      </c>
      <c r="CP901" s="114">
        <f t="shared" si="1806"/>
        <v>0</v>
      </c>
      <c r="CQ901" s="114">
        <f t="shared" si="1807"/>
        <v>0</v>
      </c>
      <c r="CR901" s="114">
        <f t="shared" si="1808"/>
        <v>0</v>
      </c>
      <c r="CS901" s="114">
        <f t="shared" si="1809"/>
        <v>0</v>
      </c>
      <c r="CT901" s="115">
        <f t="shared" si="1810"/>
        <v>1</v>
      </c>
      <c r="CU901" s="116">
        <f t="shared" si="1811"/>
        <v>0</v>
      </c>
      <c r="CV901" s="116">
        <f t="shared" si="1812"/>
        <v>0</v>
      </c>
      <c r="CW901" s="116">
        <f t="shared" si="1813"/>
        <v>0</v>
      </c>
      <c r="CX901" s="116">
        <f t="shared" si="1814"/>
        <v>0</v>
      </c>
      <c r="CY901" s="116">
        <f t="shared" si="1815"/>
        <v>0</v>
      </c>
      <c r="CZ901" s="116">
        <f t="shared" si="1816"/>
        <v>0</v>
      </c>
      <c r="DA901" s="116">
        <f t="shared" si="1817"/>
        <v>0</v>
      </c>
      <c r="DB901" s="116">
        <f t="shared" si="1818"/>
        <v>0</v>
      </c>
      <c r="DC901" s="116">
        <f t="shared" si="1819"/>
        <v>0</v>
      </c>
      <c r="DD901" s="116">
        <f t="shared" si="1820"/>
        <v>0</v>
      </c>
      <c r="DE901" s="117">
        <f t="shared" si="1821"/>
        <v>0</v>
      </c>
      <c r="DF901" s="118">
        <f t="shared" ref="DF901:DF954" si="1824">IF(AND(L901&lt;DF$3,$C901="W"),1+DF900,DF900)</f>
        <v>55</v>
      </c>
      <c r="DG901" s="106">
        <f t="shared" ref="DG901:DG964" si="1825">IF(DF901&gt;DF900,L901+DG900,DG900)</f>
        <v>74.153000000000006</v>
      </c>
      <c r="DH901" s="116">
        <f t="shared" ref="DH901:DH954" si="1826">IF(AND(L901&gt;DH$3,$C901="W"),1+DH900,0+DH900)</f>
        <v>19</v>
      </c>
      <c r="DI901" s="106">
        <f t="shared" ref="DI901:DI964" si="1827">IF(DH901&gt;DH900,L901+DI900,DI900)</f>
        <v>81.47</v>
      </c>
      <c r="DJ901" s="201" t="str">
        <f>IF($D901="","",$D901)</f>
        <v>30</v>
      </c>
      <c r="DK901" s="465">
        <f>IF(AND($B901=" ",$D901&lt;&gt;""),1,0)</f>
        <v>0</v>
      </c>
    </row>
    <row r="902" spans="1:115" ht="14.5" customHeight="1" x14ac:dyDescent="0.2">
      <c r="A902" s="389"/>
      <c r="B902" s="456"/>
      <c r="C902" s="120" t="s">
        <v>55</v>
      </c>
      <c r="D902" s="374"/>
      <c r="E902" s="386"/>
      <c r="F902" s="377"/>
      <c r="G902" s="483"/>
      <c r="H902" s="476"/>
      <c r="I902" s="178">
        <v>2</v>
      </c>
      <c r="J902" s="179" t="str">
        <f>IF(OR(I901="TO",I901="TU",I901="TO1",I901="TU1",I901="TO2",I901="TU2"),J901,IF(OR(I901="AH1",I901="AH2"),IF(OR(I902="AH1",I902="AH2"),-J901,IF(OR(I902="EH1",I902="EH2"),-J901+0.5,"")),IF(OR(I901="EH1",I901="EH2"),IF(OR(I902="AH1",I902="AH2"),-J901+0.5,IF(OR(I902="EH1",I902="EH2"),-J901+1,"")),IF(AND(OR(I901="DNB1",I901="DNB2"),OR(I902="AH1",I902="AH2")),0,IF(AND(I901="Not ScoreBoth",OR(I902="TO1",I902="TO2")),0.5,"")))))</f>
        <v/>
      </c>
      <c r="K902" s="123" t="s">
        <v>47</v>
      </c>
      <c r="L902" s="124">
        <v>3.15</v>
      </c>
      <c r="M902" s="125">
        <v>12.16</v>
      </c>
      <c r="N902" s="406"/>
      <c r="O902" s="126">
        <f>IF(OR(AE901="",AE902=""),"",ROUND(IF(L903&gt;0,IF(M902&gt;0,M902,IF(M901&gt;0,IF(N901=TRUE,ROUND((M901*AE902)/AE901,0),(M901*AE902)/AE901),IF(M902&gt;0,ROUND(M902,IF(N901=0,2,IF(N901=0.1,1,0))),IF(M903&gt;0,ROUND(O903*AE902/AE903,IF(N901=0,2,IF(N901=0.1,1,0))),0)))),IF(M902&gt;0,M902,ROUND((M901*AE902)/AE901,IF(N901=0,2,IF(N901=0.1,1,0))))),2))</f>
        <v>12.16</v>
      </c>
      <c r="P902" s="127">
        <f>IF(OR(L902="",O902=""),"",IF($C902="1/2W",O902/2+O902/2*L902,IF($C902="1/2L",O902/2,IF(I902="Lay",((O902*(L902/(L902-1)))-O902)*(1-_xlfn.XLOOKUP(K902,'Fevereiro 2023 - Valor Real'!A3:A15,'Fevereiro 2023 - Valor Real'!C3:C15,0))+O902,(O902*L902-O902)*(1-_xlfn.XLOOKUP(K902,'Fevereiro 2023 - Valor Real'!A3:A15,'Fevereiro 2023 - Valor Real'!C3:C15,0))+O902))))</f>
        <v>38.304000000000002</v>
      </c>
      <c r="Q902" s="128">
        <f>IF(K902="","",IF(_xlfn.XLOOKUP(K902,K$4:K901,$DJ$4:DJ901,0,,-1)=DJ902,_xlfn.XLOOKUP(K902,K$4:K901,Q$4:Q901,1,,-1)+1,1))</f>
        <v>6</v>
      </c>
      <c r="R902" s="129">
        <f>IF(K902="","",_xlfn.XLOOKUP(K902,K$4:K901,R$4:R901,0,,-1)+IF($C902=" ",1,0))</f>
        <v>0</v>
      </c>
      <c r="S902" s="403"/>
      <c r="T902" s="380"/>
      <c r="U902" s="380"/>
      <c r="V902" s="481"/>
      <c r="W902" s="380"/>
      <c r="X902" s="452"/>
      <c r="Y902" s="383"/>
      <c r="Z902" s="384"/>
      <c r="AA902" s="384"/>
      <c r="AB902" s="384"/>
      <c r="AC902" s="384"/>
      <c r="AD902" s="130">
        <f>(((L902/(L902-1)-1)*(1-_xlfn.XLOOKUP(K902,'Fevereiro 2023 - Valor Real'!A3:A15,'Fevereiro 2023 - Valor Real'!C3:C15,0))+1))</f>
        <v>1.4651162790697674</v>
      </c>
      <c r="AE902" s="131">
        <f>IF(L902="","",IF(L903&gt;0,(SUM(((L901-1)*(1-_xlfn.XLOOKUP(K901,'Fevereiro 2023 - Valor Real'!A3:A15,'Fevereiro 2023 - Valor Real'!C3:C15,0))+1),((L902-1)*(1-_xlfn.XLOOKUP(K902,'Fevereiro 2023 - Valor Real'!A3:A15,'Fevereiro 2023 - Valor Real'!C3:C15,0))+1),((L903-1)*(1-_xlfn.XLOOKUP(K903,'Fevereiro 2023 - Valor Real'!A3:A15,'Fevereiro 2023 - Valor Real'!C3:C15,0))+1))/((L902-1)*(1-_xlfn.XLOOKUP(K902,'Fevereiro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Real'!C3:C15,0))+1))/((L901-1)*(1-_xlfn.XLOOKUP(K901,'Fevereiro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Real'!C3:C15,0))+1))/((L902-1)*(1-_xlfn.XLOOKUP(K902,'Fevereiro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Real'!C3:C15,0))+1))/((L903-1)*(1-_xlfn.XLOOKUP(K903,'Fevereiro 2023 - Valor Real'!A3:A15,'Fevereiro 2023 - Valor Real'!C3:C15,0))+1)),IF(I902="Lay",IF(I901="Lay",((L901/(L901-1)-1)*(1-_xlfn.XLOOKUP(K901,'Fevereiro 2023 - Valor Real'!A3:A15,'Fevereiro 2023 - Valor Real'!C3:C15,0))+1)/(((L901/(L901-1)-1)*(1-_xlfn.XLOOKUP(K901,'Fevereiro 2023 - Valor Real'!A3:A15,'Fevereiro 2023 - Valor Real'!C3:C15,0))+1)+((L902/(L902-1)-1)*(1-_xlfn.XLOOKUP(K902,'Fevereiro 2023 - Valor Real'!A3:A15,'Fevereiro 2023 - Valor Real'!C3:C15,0))+1)),((L901-1)*(1-_xlfn.XLOOKUP(K901,'Fevereiro 2023 - Valor Real'!A3:A15,'Fevereiro 2023 - Valor Real'!C3:C15,0))+1)/(((L901-1)*(1-_xlfn.XLOOKUP(K901,'Fevereiro 2023 - Valor Real'!A3:A15,'Fevereiro 2023 - Valor Real'!C3:C15,0))+1)+((L902/(L902-1)-1)*(1-_xlfn.XLOOKUP(K902,'Fevereiro 2023 - Valor Real'!A3:A15,'Fevereiro 2023 - Valor Real'!C3:C15,0))+1))),IF(I901="Lay",((L901/(L901-1)-1)*(1-_xlfn.XLOOKUP(K901,'Fevereiro 2023 - Valor Real'!A3:A15,'Fevereiro 2023 - Valor Real'!C3:C15,0))+1)/((((L901/(L901-1)-1)*(1-_xlfn.XLOOKUP(K901,'Fevereiro 2023 - Valor Real'!A3:A15,'Fevereiro 2023 - Valor Real'!C3:C15,0))+1))+((L902-1)*(1-_xlfn.XLOOKUP(K902,'Fevereiro 2023 - Valor Real'!A3:A15,'Fevereiro 2023 - Valor Real'!C3:C15,0))+1)),((L901-1)*(1-_xlfn.XLOOKUP(K901,'Fevereiro 2023 - Valor Real'!A3:A15,'Fevereiro 2023 - Valor Real'!C3:C15,0))+1)/(((L901-1)*(1-_xlfn.XLOOKUP(K901,'Fevereiro 2023 - Valor Real'!A3:A15,'Fevereiro 2023 - Valor Real'!C3:C15,0))+1)+((L902-1)*(1-_xlfn.XLOOKUP(K902,'Fevereiro 2023 - Valor Real'!A3:A15,'Fevereiro 2023 - Valor Real'!C3:C15,0))+1))))))</f>
        <v>0.33092608326253187</v>
      </c>
      <c r="AF902" s="105">
        <f t="shared" si="1785"/>
        <v>0</v>
      </c>
      <c r="AG902" s="106">
        <f t="shared" si="1785"/>
        <v>0</v>
      </c>
      <c r="AH902" s="106">
        <f t="shared" si="1785"/>
        <v>0</v>
      </c>
      <c r="AI902" s="106">
        <f t="shared" si="1785"/>
        <v>0</v>
      </c>
      <c r="AJ902" s="106">
        <f t="shared" si="1785"/>
        <v>0</v>
      </c>
      <c r="AK902" s="106">
        <f t="shared" si="1785"/>
        <v>0</v>
      </c>
      <c r="AL902" s="106">
        <f t="shared" si="1785"/>
        <v>0</v>
      </c>
      <c r="AM902" s="106">
        <f t="shared" si="1785"/>
        <v>0</v>
      </c>
      <c r="AN902" s="106">
        <f t="shared" si="1785"/>
        <v>0</v>
      </c>
      <c r="AO902" s="106">
        <f t="shared" si="1785"/>
        <v>0</v>
      </c>
      <c r="AP902" s="106">
        <f t="shared" si="1785"/>
        <v>0</v>
      </c>
      <c r="AQ902" s="106">
        <f t="shared" si="1785"/>
        <v>-12.16</v>
      </c>
      <c r="AR902" s="107">
        <f t="shared" si="1785"/>
        <v>0</v>
      </c>
      <c r="AS902" s="105">
        <f>IF(AND($B901=" ",$K902=AS$3),$O902,0)</f>
        <v>0</v>
      </c>
      <c r="AT902" s="106">
        <f>IF(AND($B901=" ",K902=AT$3),$O902,0)</f>
        <v>0</v>
      </c>
      <c r="AU902" s="106">
        <f t="shared" ref="AU902:BE902" si="1828">IF(AND($B901=" ",$K902=AU$3),$O902,0)</f>
        <v>0</v>
      </c>
      <c r="AV902" s="106">
        <f t="shared" si="1828"/>
        <v>0</v>
      </c>
      <c r="AW902" s="106">
        <f t="shared" si="1828"/>
        <v>0</v>
      </c>
      <c r="AX902" s="106">
        <f t="shared" si="1828"/>
        <v>0</v>
      </c>
      <c r="AY902" s="108">
        <f t="shared" si="1828"/>
        <v>0</v>
      </c>
      <c r="AZ902" s="109">
        <f t="shared" si="1828"/>
        <v>0</v>
      </c>
      <c r="BA902" s="109">
        <f t="shared" si="1828"/>
        <v>0</v>
      </c>
      <c r="BB902" s="109">
        <f t="shared" si="1828"/>
        <v>0</v>
      </c>
      <c r="BC902" s="110">
        <f t="shared" si="1828"/>
        <v>0</v>
      </c>
      <c r="BD902" s="106">
        <f t="shared" si="1828"/>
        <v>0</v>
      </c>
      <c r="BE902" s="107">
        <f t="shared" si="1828"/>
        <v>0</v>
      </c>
      <c r="BF902" s="105">
        <f t="shared" si="1787"/>
        <v>0</v>
      </c>
      <c r="BG902" s="106">
        <f t="shared" si="1787"/>
        <v>0</v>
      </c>
      <c r="BH902" s="106">
        <f t="shared" si="1787"/>
        <v>0</v>
      </c>
      <c r="BI902" s="106">
        <f t="shared" si="1787"/>
        <v>0</v>
      </c>
      <c r="BJ902" s="106">
        <f t="shared" si="1787"/>
        <v>0</v>
      </c>
      <c r="BK902" s="106">
        <f t="shared" si="1787"/>
        <v>0</v>
      </c>
      <c r="BL902" s="106">
        <f t="shared" si="1787"/>
        <v>0</v>
      </c>
      <c r="BM902" s="132">
        <f t="shared" si="1787"/>
        <v>0</v>
      </c>
      <c r="BN902" s="112">
        <f t="shared" si="1787"/>
        <v>0</v>
      </c>
      <c r="BO902" s="112">
        <f t="shared" si="1787"/>
        <v>0</v>
      </c>
      <c r="BP902" s="112">
        <f t="shared" si="1787"/>
        <v>0</v>
      </c>
      <c r="BQ902" s="110">
        <f t="shared" si="1787"/>
        <v>12.16</v>
      </c>
      <c r="BR902" s="107">
        <f t="shared" si="1787"/>
        <v>0</v>
      </c>
      <c r="BS902" s="464"/>
      <c r="BT902" s="461"/>
      <c r="BU902" s="392"/>
      <c r="BV902" s="461"/>
      <c r="BW902" s="392"/>
      <c r="BX902" s="392"/>
      <c r="BY902" s="392"/>
      <c r="BZ902" s="461"/>
      <c r="CA902" s="392"/>
      <c r="CB902" s="392"/>
      <c r="CC902" s="392"/>
      <c r="CD902" s="401"/>
      <c r="CE902" s="409"/>
      <c r="CF902" s="133">
        <f t="shared" si="1796"/>
        <v>0</v>
      </c>
      <c r="CG902" s="134">
        <f t="shared" si="1797"/>
        <v>0</v>
      </c>
      <c r="CH902" s="134">
        <f t="shared" si="1798"/>
        <v>0</v>
      </c>
      <c r="CI902" s="134">
        <f t="shared" si="1799"/>
        <v>0</v>
      </c>
      <c r="CJ902" s="134">
        <f t="shared" si="1800"/>
        <v>0</v>
      </c>
      <c r="CK902" s="134">
        <f t="shared" si="1801"/>
        <v>0</v>
      </c>
      <c r="CL902" s="134">
        <f t="shared" si="1802"/>
        <v>0</v>
      </c>
      <c r="CM902" s="134">
        <f t="shared" si="1803"/>
        <v>0</v>
      </c>
      <c r="CN902" s="134">
        <f t="shared" si="1804"/>
        <v>0</v>
      </c>
      <c r="CO902" s="134">
        <f t="shared" si="1805"/>
        <v>0</v>
      </c>
      <c r="CP902" s="134">
        <f t="shared" si="1806"/>
        <v>0</v>
      </c>
      <c r="CQ902" s="134">
        <f t="shared" si="1807"/>
        <v>0</v>
      </c>
      <c r="CR902" s="134">
        <f t="shared" si="1808"/>
        <v>0</v>
      </c>
      <c r="CS902" s="134">
        <f t="shared" si="1809"/>
        <v>0</v>
      </c>
      <c r="CT902" s="115">
        <f t="shared" si="1810"/>
        <v>0</v>
      </c>
      <c r="CU902" s="116">
        <f t="shared" si="1811"/>
        <v>0</v>
      </c>
      <c r="CV902" s="116">
        <f t="shared" si="1812"/>
        <v>0</v>
      </c>
      <c r="CW902" s="116">
        <f t="shared" si="1813"/>
        <v>0</v>
      </c>
      <c r="CX902" s="116">
        <f t="shared" si="1814"/>
        <v>0</v>
      </c>
      <c r="CY902" s="116">
        <f t="shared" si="1815"/>
        <v>0</v>
      </c>
      <c r="CZ902" s="116">
        <f t="shared" si="1816"/>
        <v>0</v>
      </c>
      <c r="DA902" s="116">
        <f t="shared" si="1817"/>
        <v>0</v>
      </c>
      <c r="DB902" s="116">
        <f t="shared" si="1818"/>
        <v>0</v>
      </c>
      <c r="DC902" s="116">
        <f t="shared" si="1819"/>
        <v>1</v>
      </c>
      <c r="DD902" s="116">
        <f t="shared" si="1820"/>
        <v>0</v>
      </c>
      <c r="DE902" s="117">
        <f t="shared" si="1821"/>
        <v>0</v>
      </c>
      <c r="DF902" s="118">
        <f t="shared" si="1824"/>
        <v>55</v>
      </c>
      <c r="DG902" s="106">
        <f t="shared" si="1825"/>
        <v>74.153000000000006</v>
      </c>
      <c r="DH902" s="116">
        <f t="shared" si="1826"/>
        <v>19</v>
      </c>
      <c r="DI902" s="106">
        <f t="shared" si="1827"/>
        <v>81.47</v>
      </c>
      <c r="DJ902" s="201" t="str">
        <f>IF($D901="","",$D901)</f>
        <v>30</v>
      </c>
      <c r="DK902" s="466"/>
    </row>
    <row r="903" spans="1:115" ht="14.5" customHeight="1" x14ac:dyDescent="0.2">
      <c r="A903" s="390"/>
      <c r="B903" s="457"/>
      <c r="C903" s="135" t="s">
        <v>53</v>
      </c>
      <c r="D903" s="375"/>
      <c r="E903" s="387"/>
      <c r="F903" s="378"/>
      <c r="G903" s="484"/>
      <c r="H903" s="477"/>
      <c r="I903" s="136"/>
      <c r="J903" s="137"/>
      <c r="K903" s="138"/>
      <c r="L903" s="139"/>
      <c r="M903" s="140"/>
      <c r="N903" s="407"/>
      <c r="O903" s="141" t="str">
        <f>IF(OR(AE901="",AE902=""),"",IF(L903&gt;0,ROUND(IF(M903&gt;0,M903,IF(M901&gt;0,ROUND((M901*AE903)/AE901,IF(N901=0,2,IF(N901=0.1,1,0))),IF(M902&gt;0,ROUND((M902*AE903)/AE902,IF(N901=0,2,IF(N901=0.1,1,0))),IF(M903&gt;0,M903,0)))),2),""))</f>
        <v/>
      </c>
      <c r="P903" s="142" t="str">
        <f>IF(I902="Lay",O902*(L902/(L902-1))-O902,IF(I901="Lay",O901*(L901/(L901-1))-O901,IF(OR(L903="",O903=""),"",IF($C903="1/2W",O903/2+O903/2*L903,IF($C903="1/2L",O903/2,(O903*L903-O903)*(1-_xlfn.XLOOKUP(K903,'Fevereiro 2023 - Valor Real'!A3:A15,'Fevereiro 2023 - Valor Real'!C3:C15,0))+O903)))))</f>
        <v/>
      </c>
      <c r="Q903" s="221" t="str">
        <f>IF(K903="","",IF(_xlfn.XLOOKUP(K903,K$4:K902,$DJ$4:DJ902,0,,-1)=DJ903,_xlfn.XLOOKUP(K903,K$4:K902,Q$4:Q902,1,,-1)+1,1))</f>
        <v/>
      </c>
      <c r="R903" s="144" t="str">
        <f>IF(K903="","",_xlfn.XLOOKUP(K903,K$4:K902,R$4:R902,0,,-1)+IF($C903=" ",1,0))</f>
        <v/>
      </c>
      <c r="S903" s="404"/>
      <c r="T903" s="378"/>
      <c r="U903" s="378"/>
      <c r="V903" s="404"/>
      <c r="W903" s="378"/>
      <c r="X903" s="453"/>
      <c r="Y903" s="383"/>
      <c r="Z903" s="384"/>
      <c r="AA903" s="384"/>
      <c r="AB903" s="384"/>
      <c r="AC903" s="384"/>
      <c r="AD903" s="145">
        <f>((L902/(L902-1)-1))</f>
        <v>0.46511627906976738</v>
      </c>
      <c r="AE903" s="146" t="str">
        <f>IF(L903="","",(SUM(((L901-1)*(1-_xlfn.XLOOKUP(K901,'Fevereiro 2023 - Valor Real'!A3:A15,'Fevereiro 2023 - Valor Real'!C3:C15,0))+1),((L902-1)*(1-_xlfn.XLOOKUP(K902,'Fevereiro 2023 - Valor Real'!A3:A15,'Fevereiro 2023 - Valor Real'!C3:C15,0))+1),((L903-1)*(1-_xlfn.XLOOKUP(K903,'Fevereiro 2023 - Valor Real'!A3:A15,'Fevereiro 2023 - Valor Real'!C3:C15,0))+1))/((L903-1)*(1-_xlfn.XLOOKUP(K903,'Fevereiro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Real'!C3:C15,0))+1))/((L901-1)*(1-_xlfn.XLOOKUP(K901,'Fevereiro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Real'!C3:C15,0))+1))/((L902-1)*(1-_xlfn.XLOOKUP(K902,'Fevereiro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Real'!C3:C15,0))+1))/((L903-1)*(1-_xlfn.XLOOKUP(K903,'Fevereiro 2023 - Valor Real'!A3:A15,'Fevereiro 2023 - Valor Real'!C3:C15,0))+1)))</f>
        <v/>
      </c>
      <c r="AF903" s="105">
        <f t="shared" si="1785"/>
        <v>0</v>
      </c>
      <c r="AG903" s="106">
        <f t="shared" si="1785"/>
        <v>0</v>
      </c>
      <c r="AH903" s="106">
        <f t="shared" si="1785"/>
        <v>0</v>
      </c>
      <c r="AI903" s="106">
        <f t="shared" si="1785"/>
        <v>0</v>
      </c>
      <c r="AJ903" s="106">
        <f t="shared" si="1785"/>
        <v>0</v>
      </c>
      <c r="AK903" s="106">
        <f t="shared" si="1785"/>
        <v>0</v>
      </c>
      <c r="AL903" s="106">
        <f t="shared" si="1785"/>
        <v>0</v>
      </c>
      <c r="AM903" s="106">
        <f t="shared" si="1785"/>
        <v>0</v>
      </c>
      <c r="AN903" s="106">
        <f t="shared" si="1785"/>
        <v>0</v>
      </c>
      <c r="AO903" s="106">
        <f t="shared" si="1785"/>
        <v>0</v>
      </c>
      <c r="AP903" s="106">
        <f t="shared" si="1785"/>
        <v>0</v>
      </c>
      <c r="AQ903" s="106">
        <f t="shared" si="1785"/>
        <v>0</v>
      </c>
      <c r="AR903" s="107">
        <f t="shared" si="1785"/>
        <v>0</v>
      </c>
      <c r="AS903" s="105">
        <f>IF(AND($B901=" ",$K903=AS$3),$O903,0)</f>
        <v>0</v>
      </c>
      <c r="AT903" s="106">
        <f>IF(AND($B901=" ",K903=AT$3),$O903,0)</f>
        <v>0</v>
      </c>
      <c r="AU903" s="106">
        <f t="shared" ref="AU903:BE903" si="1829">IF(AND($B901=" ",$K903=AU$3),$O903,0)</f>
        <v>0</v>
      </c>
      <c r="AV903" s="106">
        <f t="shared" si="1829"/>
        <v>0</v>
      </c>
      <c r="AW903" s="106">
        <f t="shared" si="1829"/>
        <v>0</v>
      </c>
      <c r="AX903" s="106">
        <f t="shared" si="1829"/>
        <v>0</v>
      </c>
      <c r="AY903" s="108">
        <f t="shared" si="1829"/>
        <v>0</v>
      </c>
      <c r="AZ903" s="109">
        <f t="shared" si="1829"/>
        <v>0</v>
      </c>
      <c r="BA903" s="109">
        <f t="shared" si="1829"/>
        <v>0</v>
      </c>
      <c r="BB903" s="109">
        <f t="shared" si="1829"/>
        <v>0</v>
      </c>
      <c r="BC903" s="110">
        <f t="shared" si="1829"/>
        <v>0</v>
      </c>
      <c r="BD903" s="106">
        <f t="shared" si="1829"/>
        <v>0</v>
      </c>
      <c r="BE903" s="107">
        <f t="shared" si="1829"/>
        <v>0</v>
      </c>
      <c r="BF903" s="105">
        <f t="shared" si="1787"/>
        <v>0</v>
      </c>
      <c r="BG903" s="106">
        <f t="shared" si="1787"/>
        <v>0</v>
      </c>
      <c r="BH903" s="106">
        <f t="shared" si="1787"/>
        <v>0</v>
      </c>
      <c r="BI903" s="106">
        <f t="shared" si="1787"/>
        <v>0</v>
      </c>
      <c r="BJ903" s="106">
        <f t="shared" si="1787"/>
        <v>0</v>
      </c>
      <c r="BK903" s="106">
        <f t="shared" si="1787"/>
        <v>0</v>
      </c>
      <c r="BL903" s="106">
        <f t="shared" si="1787"/>
        <v>0</v>
      </c>
      <c r="BM903" s="108">
        <f t="shared" si="1787"/>
        <v>0</v>
      </c>
      <c r="BN903" s="109">
        <f t="shared" si="1787"/>
        <v>0</v>
      </c>
      <c r="BO903" s="109">
        <f t="shared" si="1787"/>
        <v>0</v>
      </c>
      <c r="BP903" s="109">
        <f t="shared" si="1787"/>
        <v>0</v>
      </c>
      <c r="BQ903" s="110">
        <f t="shared" si="1787"/>
        <v>0</v>
      </c>
      <c r="BR903" s="107">
        <f t="shared" si="1787"/>
        <v>0</v>
      </c>
      <c r="BS903" s="464"/>
      <c r="BT903" s="461"/>
      <c r="BU903" s="392"/>
      <c r="BV903" s="461"/>
      <c r="BW903" s="392"/>
      <c r="BX903" s="392"/>
      <c r="BY903" s="392"/>
      <c r="BZ903" s="461"/>
      <c r="CA903" s="392"/>
      <c r="CB903" s="392"/>
      <c r="CC903" s="392"/>
      <c r="CD903" s="401"/>
      <c r="CE903" s="409"/>
      <c r="CF903" s="133">
        <f t="shared" si="1796"/>
        <v>0</v>
      </c>
      <c r="CG903" s="134">
        <f t="shared" si="1797"/>
        <v>0</v>
      </c>
      <c r="CH903" s="134">
        <f t="shared" si="1798"/>
        <v>0</v>
      </c>
      <c r="CI903" s="134">
        <f t="shared" si="1799"/>
        <v>0</v>
      </c>
      <c r="CJ903" s="134">
        <f t="shared" si="1800"/>
        <v>0</v>
      </c>
      <c r="CK903" s="134">
        <f t="shared" si="1801"/>
        <v>0</v>
      </c>
      <c r="CL903" s="134">
        <f t="shared" si="1802"/>
        <v>0</v>
      </c>
      <c r="CM903" s="134">
        <f t="shared" si="1803"/>
        <v>0</v>
      </c>
      <c r="CN903" s="134">
        <f t="shared" si="1804"/>
        <v>0</v>
      </c>
      <c r="CO903" s="134">
        <f t="shared" si="1805"/>
        <v>0</v>
      </c>
      <c r="CP903" s="134">
        <f t="shared" si="1806"/>
        <v>0</v>
      </c>
      <c r="CQ903" s="134">
        <f t="shared" si="1807"/>
        <v>0</v>
      </c>
      <c r="CR903" s="134">
        <f t="shared" si="1808"/>
        <v>0</v>
      </c>
      <c r="CS903" s="134">
        <f t="shared" si="1809"/>
        <v>0</v>
      </c>
      <c r="CT903" s="115">
        <f t="shared" si="1810"/>
        <v>0</v>
      </c>
      <c r="CU903" s="116">
        <f t="shared" si="1811"/>
        <v>0</v>
      </c>
      <c r="CV903" s="116">
        <f t="shared" si="1812"/>
        <v>0</v>
      </c>
      <c r="CW903" s="116">
        <f t="shared" si="1813"/>
        <v>0</v>
      </c>
      <c r="CX903" s="116">
        <f t="shared" si="1814"/>
        <v>0</v>
      </c>
      <c r="CY903" s="116">
        <f t="shared" si="1815"/>
        <v>0</v>
      </c>
      <c r="CZ903" s="116">
        <f t="shared" si="1816"/>
        <v>0</v>
      </c>
      <c r="DA903" s="116">
        <f t="shared" si="1817"/>
        <v>0</v>
      </c>
      <c r="DB903" s="116">
        <f t="shared" si="1818"/>
        <v>0</v>
      </c>
      <c r="DC903" s="116">
        <f t="shared" si="1819"/>
        <v>0</v>
      </c>
      <c r="DD903" s="116">
        <f t="shared" si="1820"/>
        <v>0</v>
      </c>
      <c r="DE903" s="117">
        <f t="shared" si="1821"/>
        <v>0</v>
      </c>
      <c r="DF903" s="118">
        <f t="shared" si="1824"/>
        <v>55</v>
      </c>
      <c r="DG903" s="106">
        <f t="shared" si="1825"/>
        <v>74.153000000000006</v>
      </c>
      <c r="DH903" s="116">
        <f t="shared" si="1826"/>
        <v>19</v>
      </c>
      <c r="DI903" s="106">
        <f t="shared" si="1827"/>
        <v>81.47</v>
      </c>
      <c r="DJ903" s="201" t="str">
        <f>IF($D901="","",$D901)</f>
        <v>30</v>
      </c>
      <c r="DK903" s="466"/>
    </row>
    <row r="904" spans="1:115" ht="14.5" customHeight="1" x14ac:dyDescent="0.2">
      <c r="A904" s="487">
        <f>$A901+1</f>
        <v>301</v>
      </c>
      <c r="B904" s="506" t="str">
        <f>IF(OR(C904="W",C905="W",C906="W",C904="1/2W",C905="1/2W",C906="1/2W",C904="1/2L",C905="1/2L",C906="1/2L"),"OK",IF(OR(C904="L",C905="L",C906="L"),"LOSS",IF(OR(C904="X",C905="X",C906="X"),"Anulado"," ")))</f>
        <v>OK</v>
      </c>
      <c r="C904" s="147" t="s">
        <v>54</v>
      </c>
      <c r="D904" s="494" t="str">
        <f>IF(G904="","",$D901)</f>
        <v>30</v>
      </c>
      <c r="E904" s="511" t="str">
        <f>IF(G904=""," ","– "&amp;COUNTIF(D$4:D906,$D904))</f>
        <v>– 7</v>
      </c>
      <c r="F904" s="510" t="str">
        <f ca="1">IF(G904="","",IF(OR(AND($C904&lt;&gt;" ",$C905=" "),AND($C905&lt;&gt;" ",$C904=" "),AND(L906&gt;0,OR(AND($C906&lt;&gt;" ",OR($C904=" ",$C905=" ")),AND($C906=" ",OR($C904&lt;&gt;" ",$C905&lt;&gt;" "))))),IF(SUM(F$4:F903)=0,1,LARGE(F$4:F903,1)+1),IF(MONTH(G904)=MONTH(TODAY()),IF(AND(DAY(G904)&lt;DAY(TODAY()),$B904=" "),IF(SUM(F$4:F903)=0,1,LARGE(F$4:F903,1)+1),IF($B904=" ",IF(AND(DAY(G904)=DAY(TODAY()),HOUR(G904)&lt;=HOUR(NOW())+1),IF(AND(HOUR(G904)+2&lt;=HOUR(NOW()),DAY(G904)&lt;=DAY(TODAY()),MINUTE(G904)&lt;=MINUTE(NOW())),IF(SUM(F$4:F903)=0,1,LARGE(F$4:F903,1)+1),IF(OR(MINUTE(G904)&lt;=MINUTE(NOW()),HOUR(G904)&lt;=HOUR(NOW())),"!!!","")),""),"")),"")))</f>
        <v/>
      </c>
      <c r="G904" s="517">
        <v>45017.458333333336</v>
      </c>
      <c r="H904" s="516" t="s">
        <v>301</v>
      </c>
      <c r="I904" s="249">
        <v>2</v>
      </c>
      <c r="J904" s="241"/>
      <c r="K904" s="224" t="s">
        <v>47</v>
      </c>
      <c r="L904" s="225">
        <v>1.62</v>
      </c>
      <c r="M904" s="226">
        <v>21.45</v>
      </c>
      <c r="N904" s="503">
        <v>0</v>
      </c>
      <c r="O904" s="153">
        <f>IF(OR(AE904="",AE905=""),"",ROUND(IF(L906&gt;0,IF(M904&gt;0,M904,IF(M905&gt;0,ROUND((M905*AE904)/AE905,IF(N904=0,2,IF(N904=0.1,1,0))),ROUND((M906*AE904)/AE906,IF(N904=0,2,IF(N904=0.1,1,0))))),IF(M904&gt;0,M904,ROUND((M905*AE904)/AE905,IF(N904=0,2,IF(N904=0.1,1,0))))),2))</f>
        <v>21.45</v>
      </c>
      <c r="P904" s="227">
        <f>IF(OR(L904="",O904=""),"",IF($C904="1/2W",O904/2+O904/2*L904,IF($C904="1/2L",O904/2,IF(I904="Lay",(O904*(L904/(L904-1))-O904)*(1-_xlfn.XLOOKUP(K904,'Fevereiro 2023 - Valor Real'!A3:A15,'Fevereiro 2023 - Valor Real'!C3:C15,0))+O904,(O904*L904-O904)*(1-_xlfn.XLOOKUP(K904,'Fevereiro 2023 - Valor Real'!A3:A15,'Fevereiro 2023 - Valor Real'!C3:C15,0))+O904))))</f>
        <v>34.749000000000002</v>
      </c>
      <c r="Q904" s="228">
        <f>IF(K904="","",IF(_xlfn.XLOOKUP(K904,K$4:K903,$DJ$4:DJ903,0,,-1)=DJ904,_xlfn.XLOOKUP(K904,K$4:K903,Q$4:Q903,1,,-1)+1,1))</f>
        <v>7</v>
      </c>
      <c r="R904" s="229">
        <f>IF(K904="","",_xlfn.XLOOKUP(K904,K$4:K903,R$4:R903,0,,-1)+IF($C904=" ",1,0))</f>
        <v>0</v>
      </c>
      <c r="S904" s="501">
        <f>IF($B904="Anulado",0,ROUND(IF(OR($B904="LOSS",$B904="OK"),IF(OR($C904="W",$C904="1/2W",$C904="1/2L"),P904-O904,IF($C904="L",-O904,0))+IF(OR($C905="W",$C905="1/2W",$C905="1/2L"),P905-O905,IF($C905="L",-O905,0))+IF(OR($C906="W",$C906="1/2W",$C906="1/2L"),P906-O906,IF($C906="L",-O906,0)),IF(AND(OR($C904="W",$C904="1/2W",$C904="1/2L"),C905="W"),P904+P905-SUM(O904:O906)+_xlfn.XLOOKUP("X",C904:C906,O904:O906,0),IF(AND(C904=TRUE,C906="W"),P904+P906-SUM(O904:O906),IF(AND(C905="W",C906="W"),P905+P906-SUM(O904:O906)+_xlfn.XLOOKUP("X",C904:C906,O904:O906,0),IF(L906&gt;0,IF(OR($C904="W",$C904="1/2W",$C904="1/2L"),P904-SUM(O904:O906)+_xlfn.XLOOKUP("X",C904:C906,O904:O906,0),IF(OR($C904="W",$C904="1/2W",$C904="1/2L"),P905-SUM(O904:O906)+_xlfn.XLOOKUP("X",C904:C906,O904:O906,0),IF(OR($C904="W",$C904="1/2W",$C904="1/2L"),P906-SUM(O904:O906)+_xlfn.XLOOKUP("X",C904:C906,O904:O906,0),IF(SUM(P904:P906)/3-SUM(O904:O906)+_xlfn.XLOOKUP("X",C904:C906,O904:O906,0)&gt;0,SUM(P904:P906)/3-SUM(O904:O906)+_xlfn.XLOOKUP("X",C904:C906,O904:O906,0),LARGE(P904:P906,1)-SUM(O904:O906))))),IF(OR($C904="W",$C904="1/2W",$C904="1/2L"),P904-SUM(O904:O905)+_xlfn.XLOOKUP("X",C904:C906,O904:O906,0),IF(OR($C904="W",$C904="1/2W",$C904="1/2L"),P905-SUM(O904:O905)+_xlfn.XLOOKUP("X",C904:C906,O904:O906,0),SUM(P904:P905)/2-SUM(O904:O905)+_xlfn.XLOOKUP("X",C904:C906,O904:O906,0)))))))),2))</f>
        <v>1.65</v>
      </c>
      <c r="T904" s="486">
        <f>IF(S904=0,0,S904/SUM(O904:O906))</f>
        <v>4.9848942598187305E-2</v>
      </c>
      <c r="U904" s="496">
        <f>IF($D904=$D901,IF(OR($B904="LOSS",$B904="OK",$B904="Anulada"),S904,0)+U901,IF(OR($B904="LOSS",$B904="OK",$B904="Anulada"),S904,0))</f>
        <v>19.399999999999999</v>
      </c>
      <c r="V904" s="496">
        <f>IF($D904="",0,IF($D904=$D901,IF($B904=" ",IF(I906="",IF(OR(AND(I904="DNB1",I905="DNB2"),AND(OR(I904="DNB1",I904="DNB2"),J905=0),AND(OR(I905="DNB1",I905="DNB2"),J904=0),AND(I904="DNB2",I905="DNB1"),AND(IF(J904=0,(J904+1)/ROUND(J904+1,0),J904/ROUND(J904,0))=1,IF(J905=0,(J905+1)/ROUND(IF(J905="",0,J905)+1,0),IF(J905="",0,J905)/ROUND(IF(J905="",1,J905),0))=1,OR(J904&lt;&gt;""),J905&lt;&gt;"")),0,IF(S904&lt;0,IF(I906="",SMALL(P904:P905,1)-SUM(O904:O905),0),SMALL(P904:P905,1)-SUM(O904:O905))),IF(S904&lt;0,IF(I906="",SMALL(P904:P906,1)-SUM(O904:O906),0),LARGE(P904:P906,1)-SUM(O904:O906))),S904)+V901,IF(I906="",IF(OR(AND(I904="DNB1",I905="DNB2"),AND(OR(I904="DNB1",I904="DNB2"),J905=0),AND(OR(I905="DNB1",I905="DNB2"),J904=0),AND(I904="DNB2",I905="DNB1"),AND(IF(J904=0,(J904+1)/ROUND(J904+1,0),J904/ROUND(J904,0))=1,IF(J905=0,(IF(J905="",0,J905)+1)/ROUND(IF(J905="",0,J905)+1,0),IF(J905="",0,J905)/ROUND(IF(J905="",0,J905)+1,0))=1,OR(J904&lt;&gt;""),J905&lt;&gt;"")),0,IF(S904&lt;0,IF(I906="",SMALL(P904:P905,1)-SUM(O904:O905),0),SMALL(P904:P906,1)-SUM(O904:O906))),IF(S904&lt;0,IF(I906="",SMALL(P904:P906,1)-SUM(O904:O906),0),LARGE(P904:P906,1)-SUM(O904:O906)))))</f>
        <v>19.400000000000002</v>
      </c>
      <c r="W904" s="496">
        <f>IF($D904=$D901,IF(S904&lt;0,IF(I906="",S904,0),S904)+W901,S904)</f>
        <v>19.399999999999999</v>
      </c>
      <c r="X904" s="505" t="str">
        <f>IF(OR(SUM(R904:R906)=0,V904=W904),ROUND(IF(W904=0,0,W904/Y904)*100,2)&amp;"%",ROUND(IF(V904=0,0,V904/Y904)*100,2)&amp;"% a "&amp;ROUND(IF(W904=0,0,W904/Y904)*100,2)&amp;"%")</f>
        <v>5,62%</v>
      </c>
      <c r="Y904" s="497">
        <f>IF($D904=$D901,Y901+SUM(O904:O906),SUM(O904:O906))</f>
        <v>345.32000000000005</v>
      </c>
      <c r="Z904" s="496">
        <f>IF($B904=" ",SUM(O904:O906),0)+Z901</f>
        <v>0</v>
      </c>
      <c r="AA904" s="496">
        <f>IF(G904="","",IF($B904="Anulado",LARGE(P904:P906,1)-SUM(O904:O906)+AA901,AA901))</f>
        <v>14.77109999999999</v>
      </c>
      <c r="AB904" s="496">
        <f>IF($D904="","",AB901+S904)</f>
        <v>1019.8500000000009</v>
      </c>
      <c r="AC904" s="499">
        <f ca="1">IF($D904="","",IF($B904=" ",IF(DAY(G904)=DAY(TODAY()),1+AC901,0+AC901),0+AC901))</f>
        <v>0</v>
      </c>
      <c r="AD904" s="157">
        <f>(((L905/(L905-1)-1)*(1-_xlfn.XLOOKUP(K905,'Fevereiro 2023 - Valor Real'!A3:A15,'Fevereiro 2023 - Valor Real'!C3:C15,0))+1))/(((L904-1)*(1-_xlfn.XLOOKUP(K904,'Fevereiro 2023 - Valor Real'!A3:A15,'Fevereiro 2023 - Valor Real'!C3:C15,0))+1)+((L905/(L905-1)-1)*(1-_xlfn.XLOOKUP(K905,'Fevereiro 2023 - Valor Real'!A3:A15,'Fevereiro 2023 - Valor Real'!C3:C15,0))+1))</f>
        <v>0.41162227602905566</v>
      </c>
      <c r="AE904" s="158">
        <f>IF(L904="","",IF(L906&gt;0,(SUM(((L904-1)*(1-_xlfn.XLOOKUP(K904,'Fevereiro 2023 - Valor Real'!A3:A15,'Fevereiro 2023 - Valor Real'!C3:C15,0))+1),((L905-1)*(1-_xlfn.XLOOKUP(K905,'Fevereiro 2023 - Valor Real'!A3:A15,'Fevereiro 2023 - Valor Real'!C3:C15,0))+1),((L906-1)*(1-_xlfn.XLOOKUP(K906,'Fevereiro 2023 - Valor Real'!A3:A15,'Fevereiro 2023 - Valor Real'!C3:C15,0))+1))/((L904-1)*(1-_xlfn.XLOOKUP(K904,'Fevereiro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Real'!C3:C15,0))+1))/((L904-1)*(1-_xlfn.XLOOKUP(K904,'Fevereiro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Real'!C3:C15,0))+1))/((L905-1)*(1-_xlfn.XLOOKUP(K905,'Fevereiro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Real'!C3:C15,0))+1))/((L906-1)*(1-_xlfn.XLOOKUP(K906,'Fevereiro 2023 - Valor Real'!A3:A15,'Fevereiro 2023 - Valor Real'!C3:C15,0))+1)),IF(I904="Lay",IF(I905="Lay",((L905/(L905-1)-1)*(1-_xlfn.XLOOKUP(K905,'Fevereiro 2023 - Valor Real'!A3:A15,'Fevereiro 2023 - Valor Real'!C3:C15,0))+1)/(((L905/(L905-1)-1)*(1-_xlfn.XLOOKUP(K905,'Fevereiro 2023 - Valor Real'!A3:A15,'Fevereiro 2023 - Valor Real'!C3:C15,0))+1)+((L904/(L904-1)-1)*(1-_xlfn.XLOOKUP(K904,'Fevereiro 2023 - Valor Real'!A3:A15,'Fevereiro 2023 - Valor Real'!C3:C15,0))+1)),((L905-1)*(1-_xlfn.XLOOKUP(K905,'Fevereiro 2023 - Valor Real'!A3:A15,'Fevereiro 2023 - Valor Real'!C3:C15,0))+1)/(((L905-1)*(1-_xlfn.XLOOKUP(K905,'Fevereiro 2023 - Valor Real'!A3:A15,'Fevereiro 2023 - Valor Real'!C3:C15,0))+1)+((L904/(L904-1)-1)*(1-_xlfn.XLOOKUP(K904,'Fevereiro 2023 - Valor Real'!A3:A15,'Fevereiro 2023 - Valor Real'!C3:C15,0))+1))),IF(I905="Lay",(((L905/(L905-1)-1)*(1-_xlfn.XLOOKUP(K905,'Fevereiro 2023 - Valor Real'!A3:A15,'Fevereiro 2023 - Valor Real'!C3:C15,0))+1))/(((L904-1)*(1-_xlfn.XLOOKUP(K904,'Fevereiro 2023 - Valor Real'!A3:A15,'Fevereiro 2023 - Valor Real'!C3:C15,0))+1)+((L905/(L905-1)-1)*(1-_xlfn.XLOOKUP(K905,'Fevereiro 2023 - Valor Real'!A3:A15,'Fevereiro 2023 - Valor Real'!C3:C15,0))+1)),((L905-1)*(1-_xlfn.XLOOKUP(K905,'Fevereiro 2023 - Valor Real'!A3:A15,'Fevereiro 2023 - Valor Real'!C3:C15,0))+1)/(((L905-1)*(1-_xlfn.XLOOKUP(K905,'Fevereiro 2023 - Valor Real'!A3:A15,'Fevereiro 2023 - Valor Real'!C3:C15,0))+1)+((L904-1)*(1-_xlfn.XLOOKUP(K904,'Fevereiro 2023 - Valor Real'!A3:A15,'Fevereiro 2023 - Valor Real'!C3:C15,0))+1))))))</f>
        <v>0.62869822485207094</v>
      </c>
      <c r="AF904" s="66">
        <f t="shared" ref="AF904:AR913" si="1830">IF($K904=AF$3,ROUND(IF(OR($C904="W",$C904="1/2W",$C904="1/2L"),$P904-$O904,IF($C904="X",0,-$O904)),2),0)</f>
        <v>0</v>
      </c>
      <c r="AG904" s="67">
        <f t="shared" si="1830"/>
        <v>0</v>
      </c>
      <c r="AH904" s="67">
        <f t="shared" si="1830"/>
        <v>0</v>
      </c>
      <c r="AI904" s="67">
        <f t="shared" si="1830"/>
        <v>0</v>
      </c>
      <c r="AJ904" s="67">
        <f t="shared" si="1830"/>
        <v>0</v>
      </c>
      <c r="AK904" s="67">
        <f t="shared" si="1830"/>
        <v>0</v>
      </c>
      <c r="AL904" s="67">
        <f t="shared" si="1830"/>
        <v>0</v>
      </c>
      <c r="AM904" s="67">
        <f t="shared" si="1830"/>
        <v>0</v>
      </c>
      <c r="AN904" s="67">
        <f t="shared" si="1830"/>
        <v>0</v>
      </c>
      <c r="AO904" s="67">
        <f t="shared" si="1830"/>
        <v>0</v>
      </c>
      <c r="AP904" s="67">
        <f t="shared" si="1830"/>
        <v>0</v>
      </c>
      <c r="AQ904" s="67">
        <f t="shared" si="1830"/>
        <v>13.3</v>
      </c>
      <c r="AR904" s="68">
        <f t="shared" si="1830"/>
        <v>0</v>
      </c>
      <c r="AS904" s="66">
        <f t="shared" ref="AS904:BE904" si="1831">IF(AND($B904=" ",$K904=AS$3),$O904,0)</f>
        <v>0</v>
      </c>
      <c r="AT904" s="67">
        <f t="shared" si="1831"/>
        <v>0</v>
      </c>
      <c r="AU904" s="67">
        <f t="shared" si="1831"/>
        <v>0</v>
      </c>
      <c r="AV904" s="67">
        <f t="shared" si="1831"/>
        <v>0</v>
      </c>
      <c r="AW904" s="67">
        <f t="shared" si="1831"/>
        <v>0</v>
      </c>
      <c r="AX904" s="67">
        <f t="shared" si="1831"/>
        <v>0</v>
      </c>
      <c r="AY904" s="69">
        <f t="shared" si="1831"/>
        <v>0</v>
      </c>
      <c r="AZ904" s="70">
        <f t="shared" si="1831"/>
        <v>0</v>
      </c>
      <c r="BA904" s="70">
        <f t="shared" si="1831"/>
        <v>0</v>
      </c>
      <c r="BB904" s="70">
        <f t="shared" si="1831"/>
        <v>0</v>
      </c>
      <c r="BC904" s="71">
        <f t="shared" si="1831"/>
        <v>0</v>
      </c>
      <c r="BD904" s="67">
        <f t="shared" si="1831"/>
        <v>0</v>
      </c>
      <c r="BE904" s="68">
        <f t="shared" si="1831"/>
        <v>0</v>
      </c>
      <c r="BF904" s="230">
        <f t="shared" ref="BF904:BR913" si="1832">IF($K904=BF$3,IF($C904="X",0,$O904),0)</f>
        <v>0</v>
      </c>
      <c r="BG904" s="67">
        <f t="shared" si="1832"/>
        <v>0</v>
      </c>
      <c r="BH904" s="67">
        <f t="shared" si="1832"/>
        <v>0</v>
      </c>
      <c r="BI904" s="67">
        <f t="shared" si="1832"/>
        <v>0</v>
      </c>
      <c r="BJ904" s="67">
        <f t="shared" si="1832"/>
        <v>0</v>
      </c>
      <c r="BK904" s="67">
        <f t="shared" si="1832"/>
        <v>0</v>
      </c>
      <c r="BL904" s="67">
        <f t="shared" si="1832"/>
        <v>0</v>
      </c>
      <c r="BM904" s="69">
        <f t="shared" si="1832"/>
        <v>0</v>
      </c>
      <c r="BN904" s="70">
        <f t="shared" si="1832"/>
        <v>0</v>
      </c>
      <c r="BO904" s="70">
        <f t="shared" si="1832"/>
        <v>0</v>
      </c>
      <c r="BP904" s="70">
        <f t="shared" si="1832"/>
        <v>0</v>
      </c>
      <c r="BQ904" s="71">
        <f t="shared" si="1832"/>
        <v>21.45</v>
      </c>
      <c r="BR904" s="68">
        <f t="shared" si="1832"/>
        <v>0</v>
      </c>
      <c r="BS904" s="490">
        <f>IF($B904="LOSS",IF(AND($K904=BS$3,$C904="L"),-$O904,0)+IF(AND($K905=BS$3,$C905="L"),-$O905,0)+IF(AND($K906=BS$3,$C906="L"),-$O906,0),IF(OR(AND($K904=BS$3,OR($C904="W",$C904="1/2W")),AND($K905=BS$3,OR($C905="W",$C905="1/2W")),AND($K906=BS$3,OR($C906="W",$C906="1/2W"))),$S904,0))</f>
        <v>0</v>
      </c>
      <c r="BT904" s="488">
        <f>IF($B904="LOSS",IF(AND($K904=BT$3,$C904="L"),-$O904,0)+IF(AND($K905=BT$3,$C905="L"),-$O905,0)+IF(AND($K905=BT$3,$C906="L"),-$O906,0),IF(OR(AND($K905=BT$3,OR($C904="W",$C904="1/2W")),AND($K905=BT$3,OR($C905="W",$C905="1/2W")),AND($K905=BT$3,OR($C906="W",$C906="1/2W"))),$S904,0))</f>
        <v>0</v>
      </c>
      <c r="BU904" s="488">
        <f>IF($B904="LOSS",IF(AND($K904=BU$3,$C904="L"),-$O904,0)+IF(AND($K905=BU$3,$C905="L"),-$O905,0)+IF(AND($K905=BU$3,$C906="L"),-$O906,0),IF(OR(AND($K905=BU$3,OR($C904="W",$C904="1/2W")),AND($K905=BU$3,OR($C905="W",$C905="1/2W")),AND($K905=BU$3,OR($C906="W",$C906="1/2W"))),$S904,0))</f>
        <v>0</v>
      </c>
      <c r="BV904" s="488">
        <f t="shared" ref="BV904:CE904" si="1833">IF($B904="LOSS",IF(AND($K904=BV$3,$C904="L"),-$O904,0)+IF(AND($K905=BV$3,$C905="L"),-$O905,0)+IF(AND($K906=BV$3,$C906="L"),-$O906,0),IF(OR(AND($K904=BV$3,OR($C904="W",$C904="1/2W")),AND($K905=BV$3,OR($C905="W",$C905="1/2W")),AND($K906=BV$3,OR($C906="W",$C906="1/2W"))),$S904,0))</f>
        <v>0</v>
      </c>
      <c r="BW904" s="488">
        <f t="shared" si="1833"/>
        <v>0</v>
      </c>
      <c r="BX904" s="488">
        <f t="shared" si="1833"/>
        <v>0</v>
      </c>
      <c r="BY904" s="488">
        <f t="shared" si="1833"/>
        <v>0</v>
      </c>
      <c r="BZ904" s="498">
        <f t="shared" si="1833"/>
        <v>0</v>
      </c>
      <c r="CA904" s="498">
        <f t="shared" si="1833"/>
        <v>0</v>
      </c>
      <c r="CB904" s="498">
        <f t="shared" si="1833"/>
        <v>0</v>
      </c>
      <c r="CC904" s="498">
        <f t="shared" si="1833"/>
        <v>0</v>
      </c>
      <c r="CD904" s="500">
        <f t="shared" si="1833"/>
        <v>1.65</v>
      </c>
      <c r="CE904" s="504">
        <f t="shared" si="1833"/>
        <v>0</v>
      </c>
      <c r="CF904" s="160">
        <f t="shared" si="1796"/>
        <v>0</v>
      </c>
      <c r="CG904" s="161">
        <f t="shared" si="1797"/>
        <v>0</v>
      </c>
      <c r="CH904" s="161">
        <f t="shared" si="1798"/>
        <v>0</v>
      </c>
      <c r="CI904" s="161">
        <f t="shared" si="1799"/>
        <v>0</v>
      </c>
      <c r="CJ904" s="161">
        <f t="shared" si="1800"/>
        <v>0</v>
      </c>
      <c r="CK904" s="161">
        <f t="shared" si="1801"/>
        <v>0</v>
      </c>
      <c r="CL904" s="161">
        <f t="shared" si="1802"/>
        <v>0</v>
      </c>
      <c r="CM904" s="161">
        <f t="shared" si="1803"/>
        <v>0</v>
      </c>
      <c r="CN904" s="161">
        <f t="shared" si="1804"/>
        <v>0</v>
      </c>
      <c r="CO904" s="161">
        <f t="shared" si="1805"/>
        <v>0</v>
      </c>
      <c r="CP904" s="161">
        <f t="shared" si="1806"/>
        <v>0</v>
      </c>
      <c r="CQ904" s="161">
        <f t="shared" si="1807"/>
        <v>0</v>
      </c>
      <c r="CR904" s="161">
        <f t="shared" si="1808"/>
        <v>0</v>
      </c>
      <c r="CS904" s="161">
        <f t="shared" si="1809"/>
        <v>0</v>
      </c>
      <c r="CT904" s="75">
        <f t="shared" si="1810"/>
        <v>0</v>
      </c>
      <c r="CU904" s="76">
        <f t="shared" si="1811"/>
        <v>0</v>
      </c>
      <c r="CV904" s="76">
        <f t="shared" si="1812"/>
        <v>0</v>
      </c>
      <c r="CW904" s="76">
        <f t="shared" si="1813"/>
        <v>0</v>
      </c>
      <c r="CX904" s="76">
        <f t="shared" si="1814"/>
        <v>0</v>
      </c>
      <c r="CY904" s="76">
        <f t="shared" si="1815"/>
        <v>0</v>
      </c>
      <c r="CZ904" s="76">
        <f t="shared" si="1816"/>
        <v>0</v>
      </c>
      <c r="DA904" s="76">
        <f t="shared" si="1817"/>
        <v>0</v>
      </c>
      <c r="DB904" s="76">
        <f t="shared" si="1818"/>
        <v>1</v>
      </c>
      <c r="DC904" s="76">
        <f t="shared" si="1819"/>
        <v>0</v>
      </c>
      <c r="DD904" s="76">
        <f t="shared" si="1820"/>
        <v>0</v>
      </c>
      <c r="DE904" s="77">
        <f t="shared" si="1821"/>
        <v>0</v>
      </c>
      <c r="DF904" s="73">
        <f t="shared" si="1824"/>
        <v>55</v>
      </c>
      <c r="DG904" s="67">
        <f t="shared" si="1825"/>
        <v>74.153000000000006</v>
      </c>
      <c r="DH904" s="76">
        <f t="shared" si="1826"/>
        <v>19</v>
      </c>
      <c r="DI904" s="67">
        <f t="shared" si="1827"/>
        <v>81.47</v>
      </c>
      <c r="DJ904" s="202" t="str">
        <f>IF($D904="","",$D904)</f>
        <v>30</v>
      </c>
      <c r="DK904" s="492">
        <f>IF(AND($B904=" ",$D904&lt;&gt;""),1,0)</f>
        <v>0</v>
      </c>
    </row>
    <row r="905" spans="1:115" ht="14.5" customHeight="1" x14ac:dyDescent="0.2">
      <c r="A905" s="389"/>
      <c r="B905" s="456"/>
      <c r="C905" s="53" t="s">
        <v>55</v>
      </c>
      <c r="D905" s="374"/>
      <c r="E905" s="386"/>
      <c r="F905" s="377"/>
      <c r="G905" s="483"/>
      <c r="H905" s="476"/>
      <c r="I905" s="55" t="s">
        <v>49</v>
      </c>
      <c r="J905" s="242" t="str">
        <f>IF(OR(I904="TO",I904="TU",I904="TO1",I904="TU1",I904="TO2",I904="TU2"),J904,IF(OR(I904="AH1",I904="AH2"),IF(OR(I905="AH1",I905="AH2"),-J904,IF(OR(I905="EH1",I905="EH2"),-J904+0.5,"")),IF(OR(I904="EH1",I904="EH2"),IF(OR(I905="AH1",I905="AH2"),-J904+0.5,IF(OR(I905="EH1",I905="EH2"),-J904+1,"")),IF(AND(OR(I904="DNB1",I904="DNB2"),OR(I905="AH1",I905="AH2")),0,IF(AND(I904="Not ScoreBoth",OR(I905="TO1",I905="TO2")),0.5,"")))))</f>
        <v/>
      </c>
      <c r="K905" s="232" t="s">
        <v>39</v>
      </c>
      <c r="L905" s="58">
        <v>8.5</v>
      </c>
      <c r="M905" s="59">
        <v>3.08</v>
      </c>
      <c r="N905" s="406"/>
      <c r="O905" s="60">
        <f>IF(OR(AE904="",AE905=""),"",ROUND(IF(L906&gt;0,IF(M905&gt;0,M905,IF(M904&gt;0,IF(N904=TRUE,ROUND((M904*AE905)/AE904,0),(M904*AE905)/AE904),IF(M905&gt;0,ROUND(M905,IF(N904=0,2,IF(N904=0.1,1,0))),IF(M906&gt;0,ROUND(O906*AE905/AE906,IF(N904=0,2,IF(N904=0.1,1,0))),0)))),IF(M905&gt;0,M905,ROUND((M904*AE905)/AE904,IF(N904=0,2,IF(N904=0.1,1,0))))),2))</f>
        <v>3.08</v>
      </c>
      <c r="P905" s="61">
        <f>IF(OR(L905="",O905=""),"",IF($C905="1/2W",O905/2+O905/2*L905,IF($C905="1/2L",O905/2,IF(I905="Lay",((O905*(L905/(L905-1)))-O905)*(1-_xlfn.XLOOKUP(K905,'Fevereiro 2023 - Valor Real'!A3:A15,'Fevereiro 2023 - Valor Real'!C3:C15,0))+O905,(O905*L905-O905)*(1-_xlfn.XLOOKUP(K905,'Fevereiro 2023 - Valor Real'!A3:A15,'Fevereiro 2023 - Valor Real'!C3:C15,0))+O905))))</f>
        <v>26.18</v>
      </c>
      <c r="Q905" s="233">
        <f>IF(K905="","",IF(_xlfn.XLOOKUP(K905,K$4:K904,$DJ$4:DJ904,0,,-1)=DJ905,_xlfn.XLOOKUP(K905,K$4:K904,Q$4:Q904,1,,-1)+1,1))</f>
        <v>2</v>
      </c>
      <c r="R905" s="234">
        <f>IF(K905="","",_xlfn.XLOOKUP(K905,K$4:K904,R$4:R904,0,,-1)+IF($C905=" ",1,0))</f>
        <v>0</v>
      </c>
      <c r="S905" s="403"/>
      <c r="T905" s="380"/>
      <c r="U905" s="380"/>
      <c r="V905" s="481"/>
      <c r="W905" s="380"/>
      <c r="X905" s="452"/>
      <c r="Y905" s="383"/>
      <c r="Z905" s="384"/>
      <c r="AA905" s="384"/>
      <c r="AB905" s="384"/>
      <c r="AC905" s="384"/>
      <c r="AD905" s="64">
        <f>(((L905/(L905-1)-1)*(1-_xlfn.XLOOKUP(K905,'Fevereiro 2023 - Valor Real'!A3:A15,'Fevereiro 2023 - Valor Real'!C3:C15,0))+1))</f>
        <v>1.1333333333333333</v>
      </c>
      <c r="AE905" s="65">
        <f>IF(L905="","",IF(L906&gt;0,(SUM(((L904-1)*(1-_xlfn.XLOOKUP(K904,'Fevereiro 2023 - Valor Real'!A3:A15,'Fevereiro 2023 - Valor Real'!C3:C15,0))+1),((L905-1)*(1-_xlfn.XLOOKUP(K905,'Fevereiro 2023 - Valor Real'!A3:A15,'Fevereiro 2023 - Valor Real'!C3:C15,0))+1),((L906-1)*(1-_xlfn.XLOOKUP(K906,'Fevereiro 2023 - Valor Real'!A3:A15,'Fevereiro 2023 - Valor Real'!C3:C15,0))+1))/((L905-1)*(1-_xlfn.XLOOKUP(K905,'Fevereiro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Real'!C3:C15,0))+1))/((L904-1)*(1-_xlfn.XLOOKUP(K904,'Fevereiro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Real'!C3:C15,0))+1))/((L905-1)*(1-_xlfn.XLOOKUP(K905,'Fevereiro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Real'!C3:C15,0))+1))/((L906-1)*(1-_xlfn.XLOOKUP(K906,'Fevereiro 2023 - Valor Real'!A3:A15,'Fevereiro 2023 - Valor Real'!C3:C15,0))+1)),IF(I905="Lay",IF(I904="Lay",((L904/(L904-1)-1)*(1-_xlfn.XLOOKUP(K904,'Fevereiro 2023 - Valor Real'!A3:A15,'Fevereiro 2023 - Valor Real'!C3:C15,0))+1)/(((L904/(L904-1)-1)*(1-_xlfn.XLOOKUP(K904,'Fevereiro 2023 - Valor Real'!A3:A15,'Fevereiro 2023 - Valor Real'!C3:C15,0))+1)+((L905/(L905-1)-1)*(1-_xlfn.XLOOKUP(K905,'Fevereiro 2023 - Valor Real'!A3:A15,'Fevereiro 2023 - Valor Real'!C3:C15,0))+1)),((L904-1)*(1-_xlfn.XLOOKUP(K904,'Fevereiro 2023 - Valor Real'!A3:A15,'Fevereiro 2023 - Valor Real'!C3:C15,0))+1)/(((L904-1)*(1-_xlfn.XLOOKUP(K904,'Fevereiro 2023 - Valor Real'!A3:A15,'Fevereiro 2023 - Valor Real'!C3:C15,0))+1)+((L905/(L905-1)-1)*(1-_xlfn.XLOOKUP(K905,'Fevereiro 2023 - Valor Real'!A3:A15,'Fevereiro 2023 - Valor Real'!C3:C15,0))+1))),IF(I904="Lay",((L904/(L904-1)-1)*(1-_xlfn.XLOOKUP(K904,'Fevereiro 2023 - Valor Real'!A3:A15,'Fevereiro 2023 - Valor Real'!C3:C15,0))+1)/((((L904/(L904-1)-1)*(1-_xlfn.XLOOKUP(K904,'Fevereiro 2023 - Valor Real'!A3:A15,'Fevereiro 2023 - Valor Real'!C3:C15,0))+1))+((L905-1)*(1-_xlfn.XLOOKUP(K905,'Fevereiro 2023 - Valor Real'!A3:A15,'Fevereiro 2023 - Valor Real'!C3:C15,0))+1)),((L904-1)*(1-_xlfn.XLOOKUP(K904,'Fevereiro 2023 - Valor Real'!A3:A15,'Fevereiro 2023 - Valor Real'!C3:C15,0))+1)/(((L904-1)*(1-_xlfn.XLOOKUP(K904,'Fevereiro 2023 - Valor Real'!A3:A15,'Fevereiro 2023 - Valor Real'!C3:C15,0))+1)+((L905-1)*(1-_xlfn.XLOOKUP(K905,'Fevereiro 2023 - Valor Real'!A3:A15,'Fevereiro 2023 - Valor Real'!C3:C15,0))+1))))))</f>
        <v>0.11982248520710058</v>
      </c>
      <c r="AF905" s="66">
        <f t="shared" si="1830"/>
        <v>0</v>
      </c>
      <c r="AG905" s="67">
        <f t="shared" si="1830"/>
        <v>0</v>
      </c>
      <c r="AH905" s="67">
        <f t="shared" si="1830"/>
        <v>0</v>
      </c>
      <c r="AI905" s="67">
        <f t="shared" si="1830"/>
        <v>-3.08</v>
      </c>
      <c r="AJ905" s="67">
        <f t="shared" si="1830"/>
        <v>0</v>
      </c>
      <c r="AK905" s="67">
        <f t="shared" si="1830"/>
        <v>0</v>
      </c>
      <c r="AL905" s="67">
        <f t="shared" si="1830"/>
        <v>0</v>
      </c>
      <c r="AM905" s="67">
        <f t="shared" si="1830"/>
        <v>0</v>
      </c>
      <c r="AN905" s="67">
        <f t="shared" si="1830"/>
        <v>0</v>
      </c>
      <c r="AO905" s="67">
        <f t="shared" si="1830"/>
        <v>0</v>
      </c>
      <c r="AP905" s="67">
        <f t="shared" si="1830"/>
        <v>0</v>
      </c>
      <c r="AQ905" s="67">
        <f t="shared" si="1830"/>
        <v>0</v>
      </c>
      <c r="AR905" s="68">
        <f t="shared" si="1830"/>
        <v>0</v>
      </c>
      <c r="AS905" s="66">
        <f>IF(AND($B904=" ",$K905=AS$3),$O905,0)</f>
        <v>0</v>
      </c>
      <c r="AT905" s="67">
        <f>IF(AND($B904=" ",K905=AT$3),$O905,0)</f>
        <v>0</v>
      </c>
      <c r="AU905" s="67">
        <f t="shared" ref="AU905:BE905" si="1834">IF(AND($B904=" ",$K905=AU$3),$O905,0)</f>
        <v>0</v>
      </c>
      <c r="AV905" s="67">
        <f t="shared" si="1834"/>
        <v>0</v>
      </c>
      <c r="AW905" s="67">
        <f t="shared" si="1834"/>
        <v>0</v>
      </c>
      <c r="AX905" s="67">
        <f t="shared" si="1834"/>
        <v>0</v>
      </c>
      <c r="AY905" s="69">
        <f t="shared" si="1834"/>
        <v>0</v>
      </c>
      <c r="AZ905" s="70">
        <f t="shared" si="1834"/>
        <v>0</v>
      </c>
      <c r="BA905" s="70">
        <f t="shared" si="1834"/>
        <v>0</v>
      </c>
      <c r="BB905" s="70">
        <f t="shared" si="1834"/>
        <v>0</v>
      </c>
      <c r="BC905" s="71">
        <f t="shared" si="1834"/>
        <v>0</v>
      </c>
      <c r="BD905" s="67">
        <f t="shared" si="1834"/>
        <v>0</v>
      </c>
      <c r="BE905" s="68">
        <f t="shared" si="1834"/>
        <v>0</v>
      </c>
      <c r="BF905" s="66">
        <f t="shared" si="1832"/>
        <v>0</v>
      </c>
      <c r="BG905" s="67">
        <f t="shared" si="1832"/>
        <v>0</v>
      </c>
      <c r="BH905" s="67">
        <f t="shared" si="1832"/>
        <v>0</v>
      </c>
      <c r="BI905" s="67">
        <f t="shared" si="1832"/>
        <v>3.08</v>
      </c>
      <c r="BJ905" s="67">
        <f t="shared" si="1832"/>
        <v>0</v>
      </c>
      <c r="BK905" s="67">
        <f t="shared" si="1832"/>
        <v>0</v>
      </c>
      <c r="BL905" s="67">
        <f t="shared" si="1832"/>
        <v>0</v>
      </c>
      <c r="BM905" s="235">
        <f t="shared" si="1832"/>
        <v>0</v>
      </c>
      <c r="BN905" s="159">
        <f t="shared" si="1832"/>
        <v>0</v>
      </c>
      <c r="BO905" s="159">
        <f t="shared" si="1832"/>
        <v>0</v>
      </c>
      <c r="BP905" s="159">
        <f t="shared" si="1832"/>
        <v>0</v>
      </c>
      <c r="BQ905" s="71">
        <f t="shared" si="1832"/>
        <v>0</v>
      </c>
      <c r="BR905" s="68">
        <f t="shared" si="1832"/>
        <v>0</v>
      </c>
      <c r="BS905" s="464"/>
      <c r="BT905" s="461"/>
      <c r="BU905" s="392"/>
      <c r="BV905" s="461"/>
      <c r="BW905" s="392"/>
      <c r="BX905" s="392"/>
      <c r="BY905" s="392"/>
      <c r="BZ905" s="461"/>
      <c r="CA905" s="392"/>
      <c r="CB905" s="392"/>
      <c r="CC905" s="392"/>
      <c r="CD905" s="401"/>
      <c r="CE905" s="409"/>
      <c r="CF905" s="236">
        <f t="shared" si="1796"/>
        <v>0</v>
      </c>
      <c r="CG905" s="237">
        <f t="shared" si="1797"/>
        <v>0</v>
      </c>
      <c r="CH905" s="237">
        <f t="shared" si="1798"/>
        <v>0</v>
      </c>
      <c r="CI905" s="237">
        <f t="shared" si="1799"/>
        <v>0</v>
      </c>
      <c r="CJ905" s="237">
        <f t="shared" si="1800"/>
        <v>0</v>
      </c>
      <c r="CK905" s="237">
        <f t="shared" si="1801"/>
        <v>0</v>
      </c>
      <c r="CL905" s="237">
        <f t="shared" si="1802"/>
        <v>0</v>
      </c>
      <c r="CM905" s="237">
        <f t="shared" si="1803"/>
        <v>1</v>
      </c>
      <c r="CN905" s="237">
        <f t="shared" si="1804"/>
        <v>0</v>
      </c>
      <c r="CO905" s="237">
        <f t="shared" si="1805"/>
        <v>0</v>
      </c>
      <c r="CP905" s="237">
        <f t="shared" si="1806"/>
        <v>0</v>
      </c>
      <c r="CQ905" s="237">
        <f t="shared" si="1807"/>
        <v>0</v>
      </c>
      <c r="CR905" s="237">
        <f t="shared" si="1808"/>
        <v>0</v>
      </c>
      <c r="CS905" s="237">
        <f t="shared" si="1809"/>
        <v>0</v>
      </c>
      <c r="CT905" s="75">
        <f t="shared" si="1810"/>
        <v>0</v>
      </c>
      <c r="CU905" s="76">
        <f t="shared" si="1811"/>
        <v>0</v>
      </c>
      <c r="CV905" s="76">
        <f t="shared" si="1812"/>
        <v>0</v>
      </c>
      <c r="CW905" s="76">
        <f t="shared" si="1813"/>
        <v>0</v>
      </c>
      <c r="CX905" s="76">
        <f t="shared" si="1814"/>
        <v>0</v>
      </c>
      <c r="CY905" s="76">
        <f t="shared" si="1815"/>
        <v>0</v>
      </c>
      <c r="CZ905" s="76">
        <f t="shared" si="1816"/>
        <v>0</v>
      </c>
      <c r="DA905" s="76">
        <f t="shared" si="1817"/>
        <v>0</v>
      </c>
      <c r="DB905" s="76">
        <f t="shared" si="1818"/>
        <v>0</v>
      </c>
      <c r="DC905" s="76">
        <f t="shared" si="1819"/>
        <v>0</v>
      </c>
      <c r="DD905" s="76">
        <f t="shared" si="1820"/>
        <v>0</v>
      </c>
      <c r="DE905" s="77">
        <f t="shared" si="1821"/>
        <v>0</v>
      </c>
      <c r="DF905" s="73">
        <f t="shared" si="1824"/>
        <v>55</v>
      </c>
      <c r="DG905" s="67">
        <f t="shared" si="1825"/>
        <v>74.153000000000006</v>
      </c>
      <c r="DH905" s="76">
        <f t="shared" si="1826"/>
        <v>19</v>
      </c>
      <c r="DI905" s="67">
        <f t="shared" si="1827"/>
        <v>81.47</v>
      </c>
      <c r="DJ905" s="202" t="str">
        <f>IF($D904="","",$D904)</f>
        <v>30</v>
      </c>
      <c r="DK905" s="466"/>
    </row>
    <row r="906" spans="1:115" ht="14.5" customHeight="1" x14ac:dyDescent="0.2">
      <c r="A906" s="390"/>
      <c r="B906" s="457"/>
      <c r="C906" s="79" t="s">
        <v>55</v>
      </c>
      <c r="D906" s="375"/>
      <c r="E906" s="387"/>
      <c r="F906" s="378"/>
      <c r="G906" s="484"/>
      <c r="H906" s="477"/>
      <c r="I906" s="243" t="s">
        <v>63</v>
      </c>
      <c r="J906" s="83"/>
      <c r="K906" s="245" t="s">
        <v>47</v>
      </c>
      <c r="L906" s="246">
        <v>4.05</v>
      </c>
      <c r="M906" s="85">
        <v>8.57</v>
      </c>
      <c r="N906" s="407"/>
      <c r="O906" s="187">
        <f>IF(OR(AE904="",AE905=""),"",IF(L906&gt;0,ROUND(IF(M906&gt;0,M906,IF(M904&gt;0,ROUND((M904*AE906)/AE904,IF(N904=0,2,IF(N904=0.1,1,0))),IF(M905&gt;0,ROUND((M905*AE906)/AE905,IF(N904=0,2,IF(N904=0.1,1,0))),IF(M906&gt;0,M906,0)))),2),""))</f>
        <v>8.57</v>
      </c>
      <c r="P906" s="188">
        <f>IF(I905="Lay",O905*(L905/(L905-1))-O905,IF(I904="Lay",O904*(L904/(L904-1))-O904,IF(OR(L906="",O906=""),"",IF($C906="1/2W",O906/2+O906/2*L906,IF($C906="1/2L",O906/2,(O906*L906-O906)*(1-_xlfn.XLOOKUP(K906,'Fevereiro 2023 - Valor Real'!A3:A15,'Fevereiro 2023 - Valor Real'!C3:C15,0))+O906)))))</f>
        <v>34.708500000000001</v>
      </c>
      <c r="Q906" s="233">
        <f>IF(K906="","",IF(_xlfn.XLOOKUP(K906,K$4:K905,$DJ$4:DJ905,0,,-1)=DJ906,_xlfn.XLOOKUP(K906,K$4:K905,Q$4:Q905,1,,-1)+1,1))</f>
        <v>8</v>
      </c>
      <c r="R906" s="247">
        <f>IF(K906="","",_xlfn.XLOOKUP(K906,K$4:K905,R$4:R905,0,,-1)+IF($C906=" ",1,0))</f>
        <v>0</v>
      </c>
      <c r="S906" s="404"/>
      <c r="T906" s="378"/>
      <c r="U906" s="378"/>
      <c r="V906" s="404"/>
      <c r="W906" s="378"/>
      <c r="X906" s="453"/>
      <c r="Y906" s="383"/>
      <c r="Z906" s="384"/>
      <c r="AA906" s="384"/>
      <c r="AB906" s="384"/>
      <c r="AC906" s="384"/>
      <c r="AD906" s="240">
        <f>((L905/(L905-1)-1))</f>
        <v>0.1333333333333333</v>
      </c>
      <c r="AE906" s="190">
        <f>IF(L906="","",(SUM(((L904-1)*(1-_xlfn.XLOOKUP(K904,'Fevereiro 2023 - Valor Real'!A3:A15,'Fevereiro 2023 - Valor Real'!C3:C15,0))+1),((L905-1)*(1-_xlfn.XLOOKUP(K905,'Fevereiro 2023 - Valor Real'!A3:A15,'Fevereiro 2023 - Valor Real'!C3:C15,0))+1),((L906-1)*(1-_xlfn.XLOOKUP(K906,'Fevereiro 2023 - Valor Real'!A3:A15,'Fevereiro 2023 - Valor Real'!C3:C15,0))+1))/((L906-1)*(1-_xlfn.XLOOKUP(K906,'Fevereiro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Real'!C3:C15,0))+1))/((L904-1)*(1-_xlfn.XLOOKUP(K904,'Fevereiro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Real'!C3:C15,0))+1))/((L905-1)*(1-_xlfn.XLOOKUP(K905,'Fevereiro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Real'!C3:C15,0))+1))/((L906-1)*(1-_xlfn.XLOOKUP(K906,'Fevereiro 2023 - Valor Real'!A3:A15,'Fevereiro 2023 - Valor Real'!C3:C15,0))+1)))</f>
        <v>0.25147928994082841</v>
      </c>
      <c r="AF906" s="66">
        <f t="shared" si="1830"/>
        <v>0</v>
      </c>
      <c r="AG906" s="67">
        <f t="shared" si="1830"/>
        <v>0</v>
      </c>
      <c r="AH906" s="67">
        <f t="shared" si="1830"/>
        <v>0</v>
      </c>
      <c r="AI906" s="67">
        <f t="shared" si="1830"/>
        <v>0</v>
      </c>
      <c r="AJ906" s="67">
        <f t="shared" si="1830"/>
        <v>0</v>
      </c>
      <c r="AK906" s="67">
        <f t="shared" si="1830"/>
        <v>0</v>
      </c>
      <c r="AL906" s="67">
        <f t="shared" si="1830"/>
        <v>0</v>
      </c>
      <c r="AM906" s="67">
        <f t="shared" si="1830"/>
        <v>0</v>
      </c>
      <c r="AN906" s="67">
        <f t="shared" si="1830"/>
        <v>0</v>
      </c>
      <c r="AO906" s="67">
        <f t="shared" si="1830"/>
        <v>0</v>
      </c>
      <c r="AP906" s="67">
        <f t="shared" si="1830"/>
        <v>0</v>
      </c>
      <c r="AQ906" s="67">
        <f t="shared" si="1830"/>
        <v>-8.57</v>
      </c>
      <c r="AR906" s="68">
        <f t="shared" si="1830"/>
        <v>0</v>
      </c>
      <c r="AS906" s="66">
        <f>IF(AND($B904=" ",$K906=AS$3),$O906,0)</f>
        <v>0</v>
      </c>
      <c r="AT906" s="67">
        <f>IF(AND($B904=" ",K906=AT$3),$O906,0)</f>
        <v>0</v>
      </c>
      <c r="AU906" s="67">
        <f t="shared" ref="AU906:BE906" si="1835">IF(AND($B904=" ",$K906=AU$3),$O906,0)</f>
        <v>0</v>
      </c>
      <c r="AV906" s="67">
        <f t="shared" si="1835"/>
        <v>0</v>
      </c>
      <c r="AW906" s="67">
        <f t="shared" si="1835"/>
        <v>0</v>
      </c>
      <c r="AX906" s="67">
        <f t="shared" si="1835"/>
        <v>0</v>
      </c>
      <c r="AY906" s="69">
        <f t="shared" si="1835"/>
        <v>0</v>
      </c>
      <c r="AZ906" s="70">
        <f t="shared" si="1835"/>
        <v>0</v>
      </c>
      <c r="BA906" s="70">
        <f t="shared" si="1835"/>
        <v>0</v>
      </c>
      <c r="BB906" s="70">
        <f t="shared" si="1835"/>
        <v>0</v>
      </c>
      <c r="BC906" s="71">
        <f t="shared" si="1835"/>
        <v>0</v>
      </c>
      <c r="BD906" s="67">
        <f t="shared" si="1835"/>
        <v>0</v>
      </c>
      <c r="BE906" s="68">
        <f t="shared" si="1835"/>
        <v>0</v>
      </c>
      <c r="BF906" s="66">
        <f t="shared" si="1832"/>
        <v>0</v>
      </c>
      <c r="BG906" s="67">
        <f t="shared" si="1832"/>
        <v>0</v>
      </c>
      <c r="BH906" s="67">
        <f t="shared" si="1832"/>
        <v>0</v>
      </c>
      <c r="BI906" s="67">
        <f t="shared" si="1832"/>
        <v>0</v>
      </c>
      <c r="BJ906" s="67">
        <f t="shared" si="1832"/>
        <v>0</v>
      </c>
      <c r="BK906" s="67">
        <f t="shared" si="1832"/>
        <v>0</v>
      </c>
      <c r="BL906" s="67">
        <f t="shared" si="1832"/>
        <v>0</v>
      </c>
      <c r="BM906" s="69">
        <f t="shared" si="1832"/>
        <v>0</v>
      </c>
      <c r="BN906" s="70">
        <f t="shared" si="1832"/>
        <v>0</v>
      </c>
      <c r="BO906" s="70">
        <f t="shared" si="1832"/>
        <v>0</v>
      </c>
      <c r="BP906" s="70">
        <f t="shared" si="1832"/>
        <v>0</v>
      </c>
      <c r="BQ906" s="71">
        <f t="shared" si="1832"/>
        <v>8.57</v>
      </c>
      <c r="BR906" s="68">
        <f t="shared" si="1832"/>
        <v>0</v>
      </c>
      <c r="BS906" s="464"/>
      <c r="BT906" s="461"/>
      <c r="BU906" s="392"/>
      <c r="BV906" s="461"/>
      <c r="BW906" s="392"/>
      <c r="BX906" s="392"/>
      <c r="BY906" s="392"/>
      <c r="BZ906" s="461"/>
      <c r="CA906" s="392"/>
      <c r="CB906" s="392"/>
      <c r="CC906" s="392"/>
      <c r="CD906" s="401"/>
      <c r="CE906" s="409"/>
      <c r="CF906" s="236">
        <f t="shared" si="1796"/>
        <v>0</v>
      </c>
      <c r="CG906" s="237">
        <f t="shared" si="1797"/>
        <v>0</v>
      </c>
      <c r="CH906" s="237">
        <f t="shared" si="1798"/>
        <v>0</v>
      </c>
      <c r="CI906" s="237">
        <f t="shared" si="1799"/>
        <v>0</v>
      </c>
      <c r="CJ906" s="237">
        <f t="shared" si="1800"/>
        <v>0</v>
      </c>
      <c r="CK906" s="237">
        <f t="shared" si="1801"/>
        <v>0</v>
      </c>
      <c r="CL906" s="237">
        <f t="shared" si="1802"/>
        <v>0</v>
      </c>
      <c r="CM906" s="237">
        <f t="shared" si="1803"/>
        <v>0</v>
      </c>
      <c r="CN906" s="237">
        <f t="shared" si="1804"/>
        <v>0</v>
      </c>
      <c r="CO906" s="237">
        <f t="shared" si="1805"/>
        <v>0</v>
      </c>
      <c r="CP906" s="237">
        <f t="shared" si="1806"/>
        <v>0</v>
      </c>
      <c r="CQ906" s="237">
        <f t="shared" si="1807"/>
        <v>0</v>
      </c>
      <c r="CR906" s="237">
        <f t="shared" si="1808"/>
        <v>0</v>
      </c>
      <c r="CS906" s="237">
        <f t="shared" si="1809"/>
        <v>0</v>
      </c>
      <c r="CT906" s="75">
        <f t="shared" si="1810"/>
        <v>0</v>
      </c>
      <c r="CU906" s="76">
        <f t="shared" si="1811"/>
        <v>0</v>
      </c>
      <c r="CV906" s="76">
        <f t="shared" si="1812"/>
        <v>0</v>
      </c>
      <c r="CW906" s="76">
        <f t="shared" si="1813"/>
        <v>0</v>
      </c>
      <c r="CX906" s="76">
        <f t="shared" si="1814"/>
        <v>0</v>
      </c>
      <c r="CY906" s="76">
        <f t="shared" si="1815"/>
        <v>0</v>
      </c>
      <c r="CZ906" s="76">
        <f t="shared" si="1816"/>
        <v>0</v>
      </c>
      <c r="DA906" s="76">
        <f t="shared" si="1817"/>
        <v>0</v>
      </c>
      <c r="DB906" s="76">
        <f t="shared" si="1818"/>
        <v>0</v>
      </c>
      <c r="DC906" s="76">
        <f t="shared" si="1819"/>
        <v>1</v>
      </c>
      <c r="DD906" s="76">
        <f t="shared" si="1820"/>
        <v>0</v>
      </c>
      <c r="DE906" s="77">
        <f t="shared" si="1821"/>
        <v>0</v>
      </c>
      <c r="DF906" s="73">
        <f t="shared" si="1824"/>
        <v>55</v>
      </c>
      <c r="DG906" s="67">
        <f t="shared" si="1825"/>
        <v>74.153000000000006</v>
      </c>
      <c r="DH906" s="76">
        <f t="shared" si="1826"/>
        <v>19</v>
      </c>
      <c r="DI906" s="67">
        <f t="shared" si="1827"/>
        <v>81.47</v>
      </c>
      <c r="DJ906" s="202" t="str">
        <f>IF($D904="","",$D904)</f>
        <v>30</v>
      </c>
      <c r="DK906" s="466"/>
    </row>
    <row r="907" spans="1:115" ht="14.5" customHeight="1" x14ac:dyDescent="0.2">
      <c r="A907" s="459">
        <f>$A904+1</f>
        <v>302</v>
      </c>
      <c r="B907" s="507" t="str">
        <f>IF(OR(C907="W",C908="W",C909="W",C907="1/2W",C908="1/2W",C909="1/2W",C907="1/2L",C908="1/2L",C909="1/2L"),"OK",IF(OR(C907="L",C908="L",C909="L"),"LOSS",IF(OR(C907="X",C908="X",C909="X"),"Anulado"," ")))</f>
        <v>OK</v>
      </c>
      <c r="C907" s="93" t="s">
        <v>55</v>
      </c>
      <c r="D907" s="468" t="str">
        <f>IF(G907="","",$D904)</f>
        <v>30</v>
      </c>
      <c r="E907" s="485" t="str">
        <f>IF(G907=""," ","– "&amp;COUNTIF(D$4:D909,$D907))</f>
        <v>– 8</v>
      </c>
      <c r="F907" s="509" t="str">
        <f ca="1">IF(G907="","",IF(OR(AND($C907&lt;&gt;" ",$C908=" "),AND($C908&lt;&gt;" ",$C907=" "),AND(L909&gt;0,OR(AND($C909&lt;&gt;" ",OR($C907=" ",$C908=" ")),AND($C909=" ",OR($C907&lt;&gt;" ",$C908&lt;&gt;" "))))),IF(SUM(F$4:F906)=0,1,LARGE(F$4:F906,1)+1),IF(MONTH(G907)=MONTH(TODAY()),IF(AND(DAY(G907)&lt;DAY(TODAY()),$B907=" "),IF(SUM(F$4:F906)=0,1,LARGE(F$4:F906,1)+1),IF($B907=" ",IF(AND(DAY(G907)=DAY(TODAY()),HOUR(G907)&lt;=HOUR(NOW())+1),IF(AND(HOUR(G907)+2&lt;=HOUR(NOW()),DAY(G907)&lt;=DAY(TODAY()),MINUTE(G907)&lt;=MINUTE(NOW())),IF(SUM(F$4:F906)=0,1,LARGE(F$4:F906,1)+1),IF(OR(MINUTE(G907)&lt;=MINUTE(NOW()),HOUR(G907)&lt;=HOUR(NOW())),"!!!","")),""),"")),"")))</f>
        <v/>
      </c>
      <c r="G907" s="482">
        <v>45018.395833333336</v>
      </c>
      <c r="H907" s="475" t="s">
        <v>302</v>
      </c>
      <c r="I907" s="94" t="s">
        <v>76</v>
      </c>
      <c r="J907" s="95">
        <v>1</v>
      </c>
      <c r="K907" s="96" t="s">
        <v>43</v>
      </c>
      <c r="L907" s="97">
        <v>2.4</v>
      </c>
      <c r="M907" s="98"/>
      <c r="N907" s="478">
        <v>0</v>
      </c>
      <c r="O907" s="99">
        <f>IF(OR(AE907="",AE908=""),"",ROUND(IF(L909&gt;0,IF(M907&gt;0,M907,IF(M908&gt;0,ROUND((M908*AE907)/AE908,IF(N907=0,2,IF(N907=0.1,1,0))),ROUND((M909*AE907)/AE909,IF(N907=0,2,IF(N907=0.1,1,0))))),IF(M907&gt;0,M907,ROUND((M908*AE907)/AE908,IF(N907=0,2,IF(N907=0.1,1,0))))),2))</f>
        <v>19.68</v>
      </c>
      <c r="P907" s="100">
        <f>IF(OR(L907="",O907=""),"",IF($C907="1/2W",O907/2+O907/2*L907,IF($C907="1/2L",O907/2,IF(I907="Lay",(O907*(L907/(L907-1))-O907)*(1-_xlfn.XLOOKUP(K907,'Fevereiro 2023 - Valor Real'!A3:A15,'Fevereiro 2023 - Valor Real'!C3:C15,0))+O907,(O907*L907-O907)*(1-_xlfn.XLOOKUP(K907,'Fevereiro 2023 - Valor Real'!A3:A15,'Fevereiro 2023 - Valor Real'!C3:C15,0))+O907))))</f>
        <v>47.231999999999999</v>
      </c>
      <c r="Q907" s="101">
        <f>IF(K907="","",IF(_xlfn.XLOOKUP(K907,K$4:K906,$DJ$4:DJ906,0,,-1)=DJ907,_xlfn.XLOOKUP(K907,K$4:K906,Q$4:Q906,1,,-1)+1,1))</f>
        <v>4</v>
      </c>
      <c r="R907" s="102">
        <f>IF(K907="","",_xlfn.XLOOKUP(K907,K$4:K906,R$4:R906,0,,-1)+IF($C907=" ",1,0))</f>
        <v>0</v>
      </c>
      <c r="S907" s="474">
        <f>IF($B907="Anulado",0,ROUND(IF(OR($B907="LOSS",$B907="OK"),IF(OR($C907="W",$C907="1/2W",$C907="1/2L"),P907-O907,IF($C907="L",-O907,0))+IF(OR($C908="W",$C908="1/2W",$C908="1/2L"),P908-O908,IF($C908="L",-O908,0))+IF(OR($C909="W",$C909="1/2W",$C909="1/2L"),P909-O909,IF($C909="L",-O909,0)),IF(AND(OR($C907="W",$C907="1/2W",$C907="1/2L"),C908="W"),P907+P908-SUM(O907:O909)+_xlfn.XLOOKUP("X",C907:C909,O907:O909,0),IF(AND(C907=TRUE,C909="W"),P907+P909-SUM(O907:O909),IF(AND(C908="W",C909="W"),P908+P909-SUM(O907:O909)+_xlfn.XLOOKUP("X",C907:C909,O907:O909,0),IF(L909&gt;0,IF(OR($C907="W",$C907="1/2W",$C907="1/2L"),P907-SUM(O907:O909)+_xlfn.XLOOKUP("X",C907:C909,O907:O909,0),IF(OR($C907="W",$C907="1/2W",$C907="1/2L"),P908-SUM(O907:O909)+_xlfn.XLOOKUP("X",C907:C909,O907:O909,0),IF(OR($C907="W",$C907="1/2W",$C907="1/2L"),P909-SUM(O907:O909)+_xlfn.XLOOKUP("X",C907:C909,O907:O909,0),IF(SUM(P907:P909)/3-SUM(O907:O909)+_xlfn.XLOOKUP("X",C907:C909,O907:O909,0)&gt;0,SUM(P907:P909)/3-SUM(O907:O909)+_xlfn.XLOOKUP("X",C907:C909,O907:O909,0),LARGE(P907:P909,1)-SUM(O907:O909))))),IF(OR($C907="W",$C907="1/2W",$C907="1/2L"),P907-SUM(O907:O908)+_xlfn.XLOOKUP("X",C907:C909,O907:O909,0),IF(OR($C907="W",$C907="1/2W",$C907="1/2L"),P908-SUM(O907:O908)+_xlfn.XLOOKUP("X",C907:C909,O907:O909,0),SUM(P907:P908)/2-SUM(O907:O908)+_xlfn.XLOOKUP("X",C907:C909,O907:O909,0)))))))),2))</f>
        <v>2.82</v>
      </c>
      <c r="T907" s="458">
        <f>IF(S907=0,0,S907/SUM(O907:O909))</f>
        <v>6.3499211889214147E-2</v>
      </c>
      <c r="U907" s="470">
        <f>IF($D907=$D904,IF(OR($B907="LOSS",$B907="OK",$B907="Anulada"),S907,0)+U904,IF(OR($B907="LOSS",$B907="OK",$B907="Anulada"),S907,0))</f>
        <v>22.22</v>
      </c>
      <c r="V907" s="470">
        <f>IF($D907="",0,IF($D907=$D904,IF($B907=" ",IF(I909="",IF(OR(AND(I907="DNB1",I908="DNB2"),AND(OR(I907="DNB1",I907="DNB2"),J908=0),AND(OR(I908="DNB1",I908="DNB2"),J907=0),AND(I907="DNB2",I908="DNB1"),AND(IF(J907=0,(J907+1)/ROUND(J907+1,0),J907/ROUND(J907,0))=1,IF(J908=0,(J908+1)/ROUND(IF(J908="",0,J908)+1,0),IF(J908="",0,J908)/ROUND(IF(J908="",1,J908),0))=1,OR(J907&lt;&gt;""),J908&lt;&gt;"")),0,IF(S907&lt;0,IF(I909="",SMALL(P907:P908,1)-SUM(O907:O908),0),SMALL(P907:P908,1)-SUM(O907:O908))),IF(S907&lt;0,IF(I909="",SMALL(P907:P909,1)-SUM(O907:O909),0),LARGE(P907:P909,1)-SUM(O907:O909))),S907)+V904,IF(I909="",IF(OR(AND(I907="DNB1",I908="DNB2"),AND(OR(I907="DNB1",I907="DNB2"),J908=0),AND(OR(I908="DNB1",I908="DNB2"),J907=0),AND(I907="DNB2",I908="DNB1"),AND(IF(J907=0,(J907+1)/ROUND(J907+1,0),J907/ROUND(J907,0))=1,IF(J908=0,(IF(J908="",0,J908)+1)/ROUND(IF(J908="",0,J908)+1,0),IF(J908="",0,J908)/ROUND(IF(J908="",0,J908)+1,0))=1,OR(J907&lt;&gt;""),J908&lt;&gt;"")),0,IF(S907&lt;0,IF(I909="",SMALL(P907:P908,1)-SUM(O907:O908),0),SMALL(P907:P909,1)-SUM(O907:O909))),IF(S907&lt;0,IF(I909="",SMALL(P907:P909,1)-SUM(O907:O909),0),LARGE(P907:P909,1)-SUM(O907:O909)))))</f>
        <v>22.220000000000002</v>
      </c>
      <c r="W907" s="470">
        <f>IF($D907=$D904,IF(S907&lt;0,IF(I909="",S907,0),S907)+W904,S907)</f>
        <v>22.22</v>
      </c>
      <c r="X907" s="480" t="str">
        <f>IF(OR(SUM(R907:R909)=0,V907=W907),ROUND(IF(W907=0,0,W907/Y907)*100,2)&amp;"%",ROUND(IF(V907=0,0,V907/Y907)*100,2)&amp;"% a "&amp;ROUND(IF(W907=0,0,W907/Y907)*100,2)&amp;"%")</f>
        <v>5,7%</v>
      </c>
      <c r="Y907" s="471">
        <f>IF($D907=$D904,Y904+SUM(O907:O909),SUM(O907:O909))</f>
        <v>389.73</v>
      </c>
      <c r="Z907" s="470">
        <f>IF($B907=" ",SUM(O907:O909),0)+Z904</f>
        <v>0</v>
      </c>
      <c r="AA907" s="470">
        <f>IF(G907="","",IF($B907="Anulado",LARGE(P907:P909,1)-SUM(O907:O909)+AA904,AA904))</f>
        <v>14.77109999999999</v>
      </c>
      <c r="AB907" s="470">
        <f>IF($D907="","",AB904+S907)</f>
        <v>1022.670000000001</v>
      </c>
      <c r="AC907" s="472">
        <f ca="1">IF($D907="","",IF($B907=" ",IF(DAY(G907)=DAY(TODAY()),1+AC904,0+AC904),0+AC904))</f>
        <v>0</v>
      </c>
      <c r="AD907" s="103">
        <f>(((L908/(L908-1)-1)*(1-_xlfn.XLOOKUP(K908,'Fevereiro 2023 - Valor Real'!A3:A15,'Fevereiro 2023 - Valor Real'!C3:C15,0))+1))/(((L907-1)*(1-_xlfn.XLOOKUP(K907,'Fevereiro 2023 - Valor Real'!A3:A15,'Fevereiro 2023 - Valor Real'!C3:C15,0))+1)+((L908/(L908-1)-1)*(1-_xlfn.XLOOKUP(K908,'Fevereiro 2023 - Valor Real'!A3:A15,'Fevereiro 2023 - Valor Real'!C3:C15,0))+1))</f>
        <v>0.46653639472398634</v>
      </c>
      <c r="AE907" s="104">
        <f>IF(L907="","",IF(L909&gt;0,(SUM(((L907-1)*(1-_xlfn.XLOOKUP(K907,'Fevereiro 2023 - Valor Real'!A3:A15,'Fevereiro 2023 - Valor Real'!C3:C15,0))+1),((L908-1)*(1-_xlfn.XLOOKUP(K908,'Fevereiro 2023 - Valor Real'!A3:A15,'Fevereiro 2023 - Valor Real'!C3:C15,0))+1),((L909-1)*(1-_xlfn.XLOOKUP(K909,'Fevereiro 2023 - Valor Real'!A3:A15,'Fevereiro 2023 - Valor Real'!C3:C15,0))+1))/((L907-1)*(1-_xlfn.XLOOKUP(K907,'Fevereiro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Real'!C3:C15,0))+1))/((L907-1)*(1-_xlfn.XLOOKUP(K907,'Fevereiro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Real'!C3:C15,0))+1))/((L908-1)*(1-_xlfn.XLOOKUP(K908,'Fevereiro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Real'!C3:C15,0))+1))/((L909-1)*(1-_xlfn.XLOOKUP(K909,'Fevereiro 2023 - Valor Real'!A3:A15,'Fevereiro 2023 - Valor Real'!C3:C15,0))+1)),IF(I907="Lay",IF(I908="Lay",((L908/(L908-1)-1)*(1-_xlfn.XLOOKUP(K908,'Fevereiro 2023 - Valor Real'!A3:A15,'Fevereiro 2023 - Valor Real'!C3:C15,0))+1)/(((L908/(L908-1)-1)*(1-_xlfn.XLOOKUP(K908,'Fevereiro 2023 - Valor Real'!A3:A15,'Fevereiro 2023 - Valor Real'!C3:C15,0))+1)+((L907/(L907-1)-1)*(1-_xlfn.XLOOKUP(K907,'Fevereiro 2023 - Valor Real'!A3:A15,'Fevereiro 2023 - Valor Real'!C3:C15,0))+1)),((L908-1)*(1-_xlfn.XLOOKUP(K908,'Fevereiro 2023 - Valor Real'!A3:A15,'Fevereiro 2023 - Valor Real'!C3:C15,0))+1)/(((L908-1)*(1-_xlfn.XLOOKUP(K908,'Fevereiro 2023 - Valor Real'!A3:A15,'Fevereiro 2023 - Valor Real'!C3:C15,0))+1)+((L907/(L907-1)-1)*(1-_xlfn.XLOOKUP(K907,'Fevereiro 2023 - Valor Real'!A3:A15,'Fevereiro 2023 - Valor Real'!C3:C15,0))+1))),IF(I908="Lay",(((L908/(L908-1)-1)*(1-_xlfn.XLOOKUP(K908,'Fevereiro 2023 - Valor Real'!A3:A15,'Fevereiro 2023 - Valor Real'!C3:C15,0))+1))/(((L907-1)*(1-_xlfn.XLOOKUP(K907,'Fevereiro 2023 - Valor Real'!A3:A15,'Fevereiro 2023 - Valor Real'!C3:C15,0))+1)+((L908/(L908-1)-1)*(1-_xlfn.XLOOKUP(K908,'Fevereiro 2023 - Valor Real'!A3:A15,'Fevereiro 2023 - Valor Real'!C3:C15,0))+1)),((L908-1)*(1-_xlfn.XLOOKUP(K908,'Fevereiro 2023 - Valor Real'!A3:A15,'Fevereiro 2023 - Valor Real'!C3:C15,0))+1)/(((L908-1)*(1-_xlfn.XLOOKUP(K908,'Fevereiro 2023 - Valor Real'!A3:A15,'Fevereiro 2023 - Valor Real'!C3:C15,0))+1)+((L907-1)*(1-_xlfn.XLOOKUP(K907,'Fevereiro 2023 - Valor Real'!A3:A15,'Fevereiro 2023 - Valor Real'!C3:C15,0))+1))))))</f>
        <v>0.44315545243619492</v>
      </c>
      <c r="AF907" s="105">
        <f t="shared" si="1830"/>
        <v>0</v>
      </c>
      <c r="AG907" s="106">
        <f t="shared" si="1830"/>
        <v>0</v>
      </c>
      <c r="AH907" s="106">
        <f t="shared" si="1830"/>
        <v>0</v>
      </c>
      <c r="AI907" s="106">
        <f t="shared" si="1830"/>
        <v>0</v>
      </c>
      <c r="AJ907" s="106">
        <f t="shared" si="1830"/>
        <v>0</v>
      </c>
      <c r="AK907" s="106">
        <f t="shared" si="1830"/>
        <v>0</v>
      </c>
      <c r="AL907" s="106">
        <f t="shared" si="1830"/>
        <v>0</v>
      </c>
      <c r="AM907" s="106">
        <f t="shared" si="1830"/>
        <v>-19.68</v>
      </c>
      <c r="AN907" s="106">
        <f t="shared" si="1830"/>
        <v>0</v>
      </c>
      <c r="AO907" s="106">
        <f t="shared" si="1830"/>
        <v>0</v>
      </c>
      <c r="AP907" s="106">
        <f t="shared" si="1830"/>
        <v>0</v>
      </c>
      <c r="AQ907" s="106">
        <f t="shared" si="1830"/>
        <v>0</v>
      </c>
      <c r="AR907" s="107">
        <f t="shared" si="1830"/>
        <v>0</v>
      </c>
      <c r="AS907" s="105">
        <f t="shared" ref="AS907:BE907" si="1836">IF(AND($B907=" ",$K907=AS$3),$O907,0)</f>
        <v>0</v>
      </c>
      <c r="AT907" s="106">
        <f t="shared" si="1836"/>
        <v>0</v>
      </c>
      <c r="AU907" s="106">
        <f t="shared" si="1836"/>
        <v>0</v>
      </c>
      <c r="AV907" s="106">
        <f t="shared" si="1836"/>
        <v>0</v>
      </c>
      <c r="AW907" s="106">
        <f t="shared" si="1836"/>
        <v>0</v>
      </c>
      <c r="AX907" s="106">
        <f t="shared" si="1836"/>
        <v>0</v>
      </c>
      <c r="AY907" s="108">
        <f t="shared" si="1836"/>
        <v>0</v>
      </c>
      <c r="AZ907" s="109">
        <f t="shared" si="1836"/>
        <v>0</v>
      </c>
      <c r="BA907" s="109">
        <f t="shared" si="1836"/>
        <v>0</v>
      </c>
      <c r="BB907" s="109">
        <f t="shared" si="1836"/>
        <v>0</v>
      </c>
      <c r="BC907" s="110">
        <f t="shared" si="1836"/>
        <v>0</v>
      </c>
      <c r="BD907" s="106">
        <f t="shared" si="1836"/>
        <v>0</v>
      </c>
      <c r="BE907" s="107">
        <f t="shared" si="1836"/>
        <v>0</v>
      </c>
      <c r="BF907" s="111">
        <f t="shared" si="1832"/>
        <v>0</v>
      </c>
      <c r="BG907" s="106">
        <f t="shared" si="1832"/>
        <v>0</v>
      </c>
      <c r="BH907" s="106">
        <f t="shared" si="1832"/>
        <v>0</v>
      </c>
      <c r="BI907" s="106">
        <f t="shared" si="1832"/>
        <v>0</v>
      </c>
      <c r="BJ907" s="106">
        <f t="shared" si="1832"/>
        <v>0</v>
      </c>
      <c r="BK907" s="106">
        <f t="shared" si="1832"/>
        <v>0</v>
      </c>
      <c r="BL907" s="106">
        <f t="shared" si="1832"/>
        <v>0</v>
      </c>
      <c r="BM907" s="108">
        <f t="shared" si="1832"/>
        <v>19.68</v>
      </c>
      <c r="BN907" s="109">
        <f t="shared" si="1832"/>
        <v>0</v>
      </c>
      <c r="BO907" s="109">
        <f t="shared" si="1832"/>
        <v>0</v>
      </c>
      <c r="BP907" s="109">
        <f t="shared" si="1832"/>
        <v>0</v>
      </c>
      <c r="BQ907" s="110">
        <f t="shared" si="1832"/>
        <v>0</v>
      </c>
      <c r="BR907" s="107">
        <f t="shared" si="1832"/>
        <v>0</v>
      </c>
      <c r="BS907" s="463">
        <f>IF($B907="LOSS",IF(AND($K907=BS$3,$C907="L"),-$O907,0)+IF(AND($K908=BS$3,$C908="L"),-$O908,0)+IF(AND($K909=BS$3,$C909="L"),-$O909,0),IF(OR(AND($K907=BS$3,OR($C907="W",$C907="1/2W")),AND($K908=BS$3,OR($C908="W",$C908="1/2W")),AND($K909=BS$3,OR($C909="W",$C909="1/2W"))),$S907,0))</f>
        <v>0</v>
      </c>
      <c r="BT907" s="462">
        <f>IF($B907="LOSS",IF(AND($K907=BT$3,$C907="L"),-$O907,0)+IF(AND($K908=BT$3,$C908="L"),-$O908,0)+IF(AND($K908=BT$3,$C909="L"),-$O909,0),IF(OR(AND($K908=BT$3,OR($C907="W",$C907="1/2W")),AND($K908=BT$3,OR($C908="W",$C908="1/2W")),AND($K908=BT$3,OR($C909="W",$C909="1/2W"))),$S907,0))</f>
        <v>0</v>
      </c>
      <c r="BU907" s="462">
        <f>IF($B907="LOSS",IF(AND($K907=BU$3,$C907="L"),-$O907,0)+IF(AND($K908=BU$3,$C908="L"),-$O908,0)+IF(AND($K908=BU$3,$C909="L"),-$O909,0),IF(OR(AND($K908=BU$3,OR($C907="W",$C907="1/2W")),AND($K908=BU$3,OR($C908="W",$C908="1/2W")),AND($K908=BU$3,OR($C909="W",$C909="1/2W"))),$S907,0))</f>
        <v>0</v>
      </c>
      <c r="BV907" s="462">
        <f t="shared" ref="BV907:CE907" si="1837">IF($B907="LOSS",IF(AND($K907=BV$3,$C907="L"),-$O907,0)+IF(AND($K908=BV$3,$C908="L"),-$O908,0)+IF(AND($K909=BV$3,$C909="L"),-$O909,0),IF(OR(AND($K907=BV$3,OR($C907="W",$C907="1/2W")),AND($K908=BV$3,OR($C908="W",$C908="1/2W")),AND($K909=BV$3,OR($C909="W",$C909="1/2W"))),$S907,0))</f>
        <v>0</v>
      </c>
      <c r="BW907" s="462">
        <f t="shared" si="1837"/>
        <v>2.82</v>
      </c>
      <c r="BX907" s="462">
        <f t="shared" si="1837"/>
        <v>0</v>
      </c>
      <c r="BY907" s="462">
        <f t="shared" si="1837"/>
        <v>0</v>
      </c>
      <c r="BZ907" s="460">
        <f t="shared" si="1837"/>
        <v>0</v>
      </c>
      <c r="CA907" s="460">
        <f t="shared" si="1837"/>
        <v>0</v>
      </c>
      <c r="CB907" s="460">
        <f t="shared" si="1837"/>
        <v>0</v>
      </c>
      <c r="CC907" s="460">
        <f t="shared" si="1837"/>
        <v>0</v>
      </c>
      <c r="CD907" s="473">
        <f t="shared" si="1837"/>
        <v>0</v>
      </c>
      <c r="CE907" s="479">
        <f t="shared" si="1837"/>
        <v>0</v>
      </c>
      <c r="CF907" s="113">
        <f t="shared" si="1796"/>
        <v>0</v>
      </c>
      <c r="CG907" s="114">
        <f t="shared" si="1797"/>
        <v>0</v>
      </c>
      <c r="CH907" s="114">
        <f t="shared" si="1798"/>
        <v>0</v>
      </c>
      <c r="CI907" s="114">
        <f t="shared" si="1799"/>
        <v>0</v>
      </c>
      <c r="CJ907" s="114">
        <f t="shared" si="1800"/>
        <v>0</v>
      </c>
      <c r="CK907" s="114">
        <f t="shared" si="1801"/>
        <v>0</v>
      </c>
      <c r="CL907" s="114">
        <f t="shared" si="1802"/>
        <v>0</v>
      </c>
      <c r="CM907" s="114">
        <f t="shared" si="1803"/>
        <v>0</v>
      </c>
      <c r="CN907" s="114">
        <f t="shared" si="1804"/>
        <v>0</v>
      </c>
      <c r="CO907" s="114">
        <f t="shared" si="1805"/>
        <v>0</v>
      </c>
      <c r="CP907" s="114">
        <f t="shared" si="1806"/>
        <v>0</v>
      </c>
      <c r="CQ907" s="114">
        <f t="shared" si="1807"/>
        <v>0</v>
      </c>
      <c r="CR907" s="114">
        <f t="shared" si="1808"/>
        <v>0</v>
      </c>
      <c r="CS907" s="114">
        <f t="shared" si="1809"/>
        <v>0</v>
      </c>
      <c r="CT907" s="115">
        <f t="shared" si="1810"/>
        <v>0</v>
      </c>
      <c r="CU907" s="116">
        <f t="shared" si="1811"/>
        <v>1</v>
      </c>
      <c r="CV907" s="116">
        <f t="shared" si="1812"/>
        <v>0</v>
      </c>
      <c r="CW907" s="116">
        <f t="shared" si="1813"/>
        <v>0</v>
      </c>
      <c r="CX907" s="116">
        <f t="shared" si="1814"/>
        <v>0</v>
      </c>
      <c r="CY907" s="116">
        <f t="shared" si="1815"/>
        <v>0</v>
      </c>
      <c r="CZ907" s="116">
        <f t="shared" si="1816"/>
        <v>0</v>
      </c>
      <c r="DA907" s="116">
        <f t="shared" si="1817"/>
        <v>0</v>
      </c>
      <c r="DB907" s="116">
        <f t="shared" si="1818"/>
        <v>0</v>
      </c>
      <c r="DC907" s="116">
        <f t="shared" si="1819"/>
        <v>0</v>
      </c>
      <c r="DD907" s="116">
        <f t="shared" si="1820"/>
        <v>0</v>
      </c>
      <c r="DE907" s="117">
        <f t="shared" si="1821"/>
        <v>0</v>
      </c>
      <c r="DF907" s="118">
        <f t="shared" si="1824"/>
        <v>55</v>
      </c>
      <c r="DG907" s="106">
        <f t="shared" si="1825"/>
        <v>74.153000000000006</v>
      </c>
      <c r="DH907" s="116">
        <f t="shared" si="1826"/>
        <v>19</v>
      </c>
      <c r="DI907" s="106">
        <f t="shared" si="1827"/>
        <v>81.47</v>
      </c>
      <c r="DJ907" s="201" t="str">
        <f>IF($D907="","",$D907)</f>
        <v>30</v>
      </c>
      <c r="DK907" s="465">
        <f>IF(AND($B907=" ",$D907&lt;&gt;""),1,0)</f>
        <v>0</v>
      </c>
    </row>
    <row r="908" spans="1:115" ht="14.5" customHeight="1" x14ac:dyDescent="0.2">
      <c r="A908" s="389"/>
      <c r="B908" s="456"/>
      <c r="C908" s="120" t="s">
        <v>54</v>
      </c>
      <c r="D908" s="374"/>
      <c r="E908" s="386"/>
      <c r="F908" s="377"/>
      <c r="G908" s="483"/>
      <c r="H908" s="476"/>
      <c r="I908" s="121" t="s">
        <v>66</v>
      </c>
      <c r="J908" s="122">
        <f>IF(OR(I907="TO",I907="TU",I907="TO1",I907="TU1",I907="TO2",I907="TU2"),J907,IF(OR(I907="AH1",I907="AH2"),IF(OR(I908="AH1",I908="AH2"),-J907,IF(OR(I908="EH1",I908="EH2"),-J907+0.5,"")),IF(OR(I907="EH1",I907="EH2"),IF(OR(I908="AH1",I908="AH2"),-J907+0.5,IF(OR(I908="EH1",I908="EH2"),-J907+1,"")),IF(AND(OR(I907="DNB1",I907="DNB2"),OR(I908="AH1",I908="AH2")),0,IF(AND(I907="Not ScoreBoth",OR(I908="TO1",I908="TO2")),0.5,"")))))</f>
        <v>-1</v>
      </c>
      <c r="K908" s="123" t="s">
        <v>40</v>
      </c>
      <c r="L908" s="124">
        <v>1.91</v>
      </c>
      <c r="M908" s="125">
        <v>24.73</v>
      </c>
      <c r="N908" s="406"/>
      <c r="O908" s="126">
        <f>IF(OR(AE907="",AE908=""),"",ROUND(IF(L909&gt;0,IF(M908&gt;0,M908,IF(M907&gt;0,IF(N907=TRUE,ROUND((M907*AE908)/AE907,0),(M907*AE908)/AE907),IF(M908&gt;0,ROUND(M908,IF(N907=0,2,IF(N907=0.1,1,0))),IF(M909&gt;0,ROUND(O909*AE908/AE909,IF(N907=0,2,IF(N907=0.1,1,0))),0)))),IF(M908&gt;0,M908,ROUND((M907*AE908)/AE907,IF(N907=0,2,IF(N907=0.1,1,0))))),2))</f>
        <v>24.73</v>
      </c>
      <c r="P908" s="127">
        <f>IF(OR(L908="",O908=""),"",IF($C908="1/2W",O908/2+O908/2*L908,IF($C908="1/2L",O908/2,IF(I908="Lay",((O908*(L908/(L908-1)))-O908)*(1-_xlfn.XLOOKUP(K908,'Fevereiro 2023 - Valor Real'!A3:A15,'Fevereiro 2023 - Valor Real'!C3:C15,0))+O908,(O908*L908-O908)*(1-_xlfn.XLOOKUP(K908,'Fevereiro 2023 - Valor Real'!A3:A15,'Fevereiro 2023 - Valor Real'!C3:C15,0))+O908))))</f>
        <v>47.234299999999998</v>
      </c>
      <c r="Q908" s="128">
        <f>IF(K908="","",IF(_xlfn.XLOOKUP(K908,K$4:K907,$DJ$4:DJ907,0,,-1)=DJ908,_xlfn.XLOOKUP(K908,K$4:K907,Q$4:Q907,1,,-1)+1,1))</f>
        <v>4</v>
      </c>
      <c r="R908" s="129">
        <f>IF(K908="","",_xlfn.XLOOKUP(K908,K$4:K907,R$4:R907,0,,-1)+IF($C908=" ",1,0))</f>
        <v>0</v>
      </c>
      <c r="S908" s="403"/>
      <c r="T908" s="380"/>
      <c r="U908" s="380"/>
      <c r="V908" s="481"/>
      <c r="W908" s="380"/>
      <c r="X908" s="452"/>
      <c r="Y908" s="383"/>
      <c r="Z908" s="384"/>
      <c r="AA908" s="384"/>
      <c r="AB908" s="384"/>
      <c r="AC908" s="384"/>
      <c r="AD908" s="130">
        <f>(((L908/(L908-1)-1)*(1-_xlfn.XLOOKUP(K908,'Fevereiro 2023 - Valor Real'!A3:A15,'Fevereiro 2023 - Valor Real'!C3:C15,0))+1))</f>
        <v>2.098901098901099</v>
      </c>
      <c r="AE908" s="131">
        <f>IF(L908="","",IF(L909&gt;0,(SUM(((L907-1)*(1-_xlfn.XLOOKUP(K907,'Fevereiro 2023 - Valor Real'!A3:A15,'Fevereiro 2023 - Valor Real'!C3:C15,0))+1),((L908-1)*(1-_xlfn.XLOOKUP(K908,'Fevereiro 2023 - Valor Real'!A3:A15,'Fevereiro 2023 - Valor Real'!C3:C15,0))+1),((L909-1)*(1-_xlfn.XLOOKUP(K909,'Fevereiro 2023 - Valor Real'!A3:A15,'Fevereiro 2023 - Valor Real'!C3:C15,0))+1))/((L908-1)*(1-_xlfn.XLOOKUP(K908,'Fevereiro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Real'!C3:C15,0))+1))/((L907-1)*(1-_xlfn.XLOOKUP(K907,'Fevereiro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Real'!C3:C15,0))+1))/((L908-1)*(1-_xlfn.XLOOKUP(K908,'Fevereiro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Real'!C3:C15,0))+1))/((L909-1)*(1-_xlfn.XLOOKUP(K909,'Fevereiro 2023 - Valor Real'!A3:A15,'Fevereiro 2023 - Valor Real'!C3:C15,0))+1)),IF(I908="Lay",IF(I907="Lay",((L907/(L907-1)-1)*(1-_xlfn.XLOOKUP(K907,'Fevereiro 2023 - Valor Real'!A3:A15,'Fevereiro 2023 - Valor Real'!C3:C15,0))+1)/(((L907/(L907-1)-1)*(1-_xlfn.XLOOKUP(K907,'Fevereiro 2023 - Valor Real'!A3:A15,'Fevereiro 2023 - Valor Real'!C3:C15,0))+1)+((L908/(L908-1)-1)*(1-_xlfn.XLOOKUP(K908,'Fevereiro 2023 - Valor Real'!A3:A15,'Fevereiro 2023 - Valor Real'!C3:C15,0))+1)),((L907-1)*(1-_xlfn.XLOOKUP(K907,'Fevereiro 2023 - Valor Real'!A3:A15,'Fevereiro 2023 - Valor Real'!C3:C15,0))+1)/(((L907-1)*(1-_xlfn.XLOOKUP(K907,'Fevereiro 2023 - Valor Real'!A3:A15,'Fevereiro 2023 - Valor Real'!C3:C15,0))+1)+((L908/(L908-1)-1)*(1-_xlfn.XLOOKUP(K908,'Fevereiro 2023 - Valor Real'!A3:A15,'Fevereiro 2023 - Valor Real'!C3:C15,0))+1))),IF(I907="Lay",((L907/(L907-1)-1)*(1-_xlfn.XLOOKUP(K907,'Fevereiro 2023 - Valor Real'!A3:A15,'Fevereiro 2023 - Valor Real'!C3:C15,0))+1)/((((L907/(L907-1)-1)*(1-_xlfn.XLOOKUP(K907,'Fevereiro 2023 - Valor Real'!A3:A15,'Fevereiro 2023 - Valor Real'!C3:C15,0))+1))+((L908-1)*(1-_xlfn.XLOOKUP(K908,'Fevereiro 2023 - Valor Real'!A3:A15,'Fevereiro 2023 - Valor Real'!C3:C15,0))+1)),((L907-1)*(1-_xlfn.XLOOKUP(K907,'Fevereiro 2023 - Valor Real'!A3:A15,'Fevereiro 2023 - Valor Real'!C3:C15,0))+1)/(((L907-1)*(1-_xlfn.XLOOKUP(K907,'Fevereiro 2023 - Valor Real'!A3:A15,'Fevereiro 2023 - Valor Real'!C3:C15,0))+1)+((L908-1)*(1-_xlfn.XLOOKUP(K908,'Fevereiro 2023 - Valor Real'!A3:A15,'Fevereiro 2023 - Valor Real'!C3:C15,0))+1))))))</f>
        <v>0.55684454756380508</v>
      </c>
      <c r="AF908" s="105">
        <f t="shared" si="1830"/>
        <v>0</v>
      </c>
      <c r="AG908" s="106">
        <f t="shared" si="1830"/>
        <v>0</v>
      </c>
      <c r="AH908" s="106">
        <f t="shared" si="1830"/>
        <v>0</v>
      </c>
      <c r="AI908" s="106">
        <f t="shared" si="1830"/>
        <v>0</v>
      </c>
      <c r="AJ908" s="106">
        <f t="shared" si="1830"/>
        <v>22.5</v>
      </c>
      <c r="AK908" s="106">
        <f t="shared" si="1830"/>
        <v>0</v>
      </c>
      <c r="AL908" s="106">
        <f t="shared" si="1830"/>
        <v>0</v>
      </c>
      <c r="AM908" s="106">
        <f t="shared" si="1830"/>
        <v>0</v>
      </c>
      <c r="AN908" s="106">
        <f t="shared" si="1830"/>
        <v>0</v>
      </c>
      <c r="AO908" s="106">
        <f t="shared" si="1830"/>
        <v>0</v>
      </c>
      <c r="AP908" s="106">
        <f t="shared" si="1830"/>
        <v>0</v>
      </c>
      <c r="AQ908" s="106">
        <f t="shared" si="1830"/>
        <v>0</v>
      </c>
      <c r="AR908" s="107">
        <f t="shared" si="1830"/>
        <v>0</v>
      </c>
      <c r="AS908" s="105">
        <f>IF(AND($B907=" ",$K908=AS$3),$O908,0)</f>
        <v>0</v>
      </c>
      <c r="AT908" s="106">
        <f>IF(AND($B907=" ",K908=AT$3),$O908,0)</f>
        <v>0</v>
      </c>
      <c r="AU908" s="106">
        <f t="shared" ref="AU908:BE908" si="1838">IF(AND($B907=" ",$K908=AU$3),$O908,0)</f>
        <v>0</v>
      </c>
      <c r="AV908" s="106">
        <f t="shared" si="1838"/>
        <v>0</v>
      </c>
      <c r="AW908" s="106">
        <f t="shared" si="1838"/>
        <v>0</v>
      </c>
      <c r="AX908" s="106">
        <f t="shared" si="1838"/>
        <v>0</v>
      </c>
      <c r="AY908" s="108">
        <f t="shared" si="1838"/>
        <v>0</v>
      </c>
      <c r="AZ908" s="109">
        <f t="shared" si="1838"/>
        <v>0</v>
      </c>
      <c r="BA908" s="109">
        <f t="shared" si="1838"/>
        <v>0</v>
      </c>
      <c r="BB908" s="109">
        <f t="shared" si="1838"/>
        <v>0</v>
      </c>
      <c r="BC908" s="110">
        <f t="shared" si="1838"/>
        <v>0</v>
      </c>
      <c r="BD908" s="106">
        <f t="shared" si="1838"/>
        <v>0</v>
      </c>
      <c r="BE908" s="107">
        <f t="shared" si="1838"/>
        <v>0</v>
      </c>
      <c r="BF908" s="105">
        <f t="shared" si="1832"/>
        <v>0</v>
      </c>
      <c r="BG908" s="106">
        <f t="shared" si="1832"/>
        <v>0</v>
      </c>
      <c r="BH908" s="106">
        <f t="shared" si="1832"/>
        <v>0</v>
      </c>
      <c r="BI908" s="106">
        <f t="shared" si="1832"/>
        <v>0</v>
      </c>
      <c r="BJ908" s="106">
        <f t="shared" si="1832"/>
        <v>24.73</v>
      </c>
      <c r="BK908" s="106">
        <f t="shared" si="1832"/>
        <v>0</v>
      </c>
      <c r="BL908" s="106">
        <f t="shared" si="1832"/>
        <v>0</v>
      </c>
      <c r="BM908" s="132">
        <f t="shared" si="1832"/>
        <v>0</v>
      </c>
      <c r="BN908" s="112">
        <f t="shared" si="1832"/>
        <v>0</v>
      </c>
      <c r="BO908" s="112">
        <f t="shared" si="1832"/>
        <v>0</v>
      </c>
      <c r="BP908" s="112">
        <f t="shared" si="1832"/>
        <v>0</v>
      </c>
      <c r="BQ908" s="110">
        <f t="shared" si="1832"/>
        <v>0</v>
      </c>
      <c r="BR908" s="107">
        <f t="shared" si="1832"/>
        <v>0</v>
      </c>
      <c r="BS908" s="464"/>
      <c r="BT908" s="461"/>
      <c r="BU908" s="392"/>
      <c r="BV908" s="461"/>
      <c r="BW908" s="392"/>
      <c r="BX908" s="392"/>
      <c r="BY908" s="392"/>
      <c r="BZ908" s="461"/>
      <c r="CA908" s="392"/>
      <c r="CB908" s="392"/>
      <c r="CC908" s="392"/>
      <c r="CD908" s="401"/>
      <c r="CE908" s="409"/>
      <c r="CF908" s="133">
        <f t="shared" si="1796"/>
        <v>0</v>
      </c>
      <c r="CG908" s="134">
        <f t="shared" si="1797"/>
        <v>0</v>
      </c>
      <c r="CH908" s="134">
        <f t="shared" si="1798"/>
        <v>0</v>
      </c>
      <c r="CI908" s="134">
        <f t="shared" si="1799"/>
        <v>0</v>
      </c>
      <c r="CJ908" s="134">
        <f t="shared" si="1800"/>
        <v>0</v>
      </c>
      <c r="CK908" s="134">
        <f t="shared" si="1801"/>
        <v>0</v>
      </c>
      <c r="CL908" s="134">
        <f t="shared" si="1802"/>
        <v>0</v>
      </c>
      <c r="CM908" s="134">
        <f t="shared" si="1803"/>
        <v>0</v>
      </c>
      <c r="CN908" s="134">
        <f t="shared" si="1804"/>
        <v>1</v>
      </c>
      <c r="CO908" s="134">
        <f t="shared" si="1805"/>
        <v>0</v>
      </c>
      <c r="CP908" s="134">
        <f t="shared" si="1806"/>
        <v>0</v>
      </c>
      <c r="CQ908" s="134">
        <f t="shared" si="1807"/>
        <v>0</v>
      </c>
      <c r="CR908" s="134">
        <f t="shared" si="1808"/>
        <v>0</v>
      </c>
      <c r="CS908" s="134">
        <f t="shared" si="1809"/>
        <v>0</v>
      </c>
      <c r="CT908" s="115">
        <f t="shared" si="1810"/>
        <v>0</v>
      </c>
      <c r="CU908" s="116">
        <f t="shared" si="1811"/>
        <v>0</v>
      </c>
      <c r="CV908" s="116">
        <f t="shared" si="1812"/>
        <v>0</v>
      </c>
      <c r="CW908" s="116">
        <f t="shared" si="1813"/>
        <v>0</v>
      </c>
      <c r="CX908" s="116">
        <f t="shared" si="1814"/>
        <v>0</v>
      </c>
      <c r="CY908" s="116">
        <f t="shared" si="1815"/>
        <v>0</v>
      </c>
      <c r="CZ908" s="116">
        <f t="shared" si="1816"/>
        <v>0</v>
      </c>
      <c r="DA908" s="116">
        <f t="shared" si="1817"/>
        <v>0</v>
      </c>
      <c r="DB908" s="116">
        <f t="shared" si="1818"/>
        <v>0</v>
      </c>
      <c r="DC908" s="116">
        <f t="shared" si="1819"/>
        <v>0</v>
      </c>
      <c r="DD908" s="116">
        <f t="shared" si="1820"/>
        <v>0</v>
      </c>
      <c r="DE908" s="117">
        <f t="shared" si="1821"/>
        <v>0</v>
      </c>
      <c r="DF908" s="118">
        <f t="shared" si="1824"/>
        <v>55</v>
      </c>
      <c r="DG908" s="106">
        <f t="shared" si="1825"/>
        <v>74.153000000000006</v>
      </c>
      <c r="DH908" s="116">
        <f t="shared" si="1826"/>
        <v>19</v>
      </c>
      <c r="DI908" s="106">
        <f t="shared" si="1827"/>
        <v>81.47</v>
      </c>
      <c r="DJ908" s="201" t="str">
        <f>IF($D907="","",$D907)</f>
        <v>30</v>
      </c>
      <c r="DK908" s="466"/>
    </row>
    <row r="909" spans="1:115" ht="14.5" customHeight="1" x14ac:dyDescent="0.2">
      <c r="A909" s="390"/>
      <c r="B909" s="457"/>
      <c r="C909" s="135" t="s">
        <v>53</v>
      </c>
      <c r="D909" s="375"/>
      <c r="E909" s="387"/>
      <c r="F909" s="378"/>
      <c r="G909" s="484"/>
      <c r="H909" s="477"/>
      <c r="I909" s="136"/>
      <c r="J909" s="137"/>
      <c r="K909" s="138"/>
      <c r="L909" s="139"/>
      <c r="M909" s="140"/>
      <c r="N909" s="407"/>
      <c r="O909" s="141" t="str">
        <f>IF(OR(AE907="",AE908=""),"",IF(L909&gt;0,ROUND(IF(M909&gt;0,M909,IF(M907&gt;0,ROUND((M907*AE909)/AE907,IF(N907=0,2,IF(N907=0.1,1,0))),IF(M908&gt;0,ROUND((M908*AE909)/AE908,IF(N907=0,2,IF(N907=0.1,1,0))),IF(M909&gt;0,M909,0)))),2),""))</f>
        <v/>
      </c>
      <c r="P909" s="142" t="str">
        <f>IF(I908="Lay",O908*(L908/(L908-1))-O908,IF(I907="Lay",O907*(L907/(L907-1))-O907,IF(OR(L909="",O909=""),"",IF($C909="1/2W",O909/2+O909/2*L909,IF($C909="1/2L",O909/2,(O909*L909-O909)*(1-_xlfn.XLOOKUP(K909,'Fevereiro 2023 - Valor Real'!A3:A15,'Fevereiro 2023 - Valor Real'!C3:C15,0))+O909)))))</f>
        <v/>
      </c>
      <c r="Q909" s="221" t="str">
        <f>IF(K909="","",IF(_xlfn.XLOOKUP(K909,K$4:K908,$DJ$4:DJ908,0,,-1)=DJ909,_xlfn.XLOOKUP(K909,K$4:K908,Q$4:Q908,1,,-1)+1,1))</f>
        <v/>
      </c>
      <c r="R909" s="144" t="str">
        <f>IF(K909="","",_xlfn.XLOOKUP(K909,K$4:K908,R$4:R908,0,,-1)+IF($C909=" ",1,0))</f>
        <v/>
      </c>
      <c r="S909" s="404"/>
      <c r="T909" s="378"/>
      <c r="U909" s="378"/>
      <c r="V909" s="404"/>
      <c r="W909" s="378"/>
      <c r="X909" s="453"/>
      <c r="Y909" s="383"/>
      <c r="Z909" s="384"/>
      <c r="AA909" s="384"/>
      <c r="AB909" s="384"/>
      <c r="AC909" s="384"/>
      <c r="AD909" s="145">
        <f>((L908/(L908-1)-1))</f>
        <v>1.098901098901099</v>
      </c>
      <c r="AE909" s="146" t="str">
        <f>IF(L909="","",(SUM(((L907-1)*(1-_xlfn.XLOOKUP(K907,'Fevereiro 2023 - Valor Real'!A3:A15,'Fevereiro 2023 - Valor Real'!C3:C15,0))+1),((L908-1)*(1-_xlfn.XLOOKUP(K908,'Fevereiro 2023 - Valor Real'!A3:A15,'Fevereiro 2023 - Valor Real'!C3:C15,0))+1),((L909-1)*(1-_xlfn.XLOOKUP(K909,'Fevereiro 2023 - Valor Real'!A3:A15,'Fevereiro 2023 - Valor Real'!C3:C15,0))+1))/((L909-1)*(1-_xlfn.XLOOKUP(K909,'Fevereiro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Real'!C3:C15,0))+1))/((L907-1)*(1-_xlfn.XLOOKUP(K907,'Fevereiro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Real'!C3:C15,0))+1))/((L908-1)*(1-_xlfn.XLOOKUP(K908,'Fevereiro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Real'!C3:C15,0))+1))/((L909-1)*(1-_xlfn.XLOOKUP(K909,'Fevereiro 2023 - Valor Real'!A3:A15,'Fevereiro 2023 - Valor Real'!C3:C15,0))+1)))</f>
        <v/>
      </c>
      <c r="AF909" s="105">
        <f t="shared" si="1830"/>
        <v>0</v>
      </c>
      <c r="AG909" s="106">
        <f t="shared" si="1830"/>
        <v>0</v>
      </c>
      <c r="AH909" s="106">
        <f t="shared" si="1830"/>
        <v>0</v>
      </c>
      <c r="AI909" s="106">
        <f t="shared" si="1830"/>
        <v>0</v>
      </c>
      <c r="AJ909" s="106">
        <f t="shared" si="1830"/>
        <v>0</v>
      </c>
      <c r="AK909" s="106">
        <f t="shared" si="1830"/>
        <v>0</v>
      </c>
      <c r="AL909" s="106">
        <f t="shared" si="1830"/>
        <v>0</v>
      </c>
      <c r="AM909" s="106">
        <f t="shared" si="1830"/>
        <v>0</v>
      </c>
      <c r="AN909" s="106">
        <f t="shared" si="1830"/>
        <v>0</v>
      </c>
      <c r="AO909" s="106">
        <f t="shared" si="1830"/>
        <v>0</v>
      </c>
      <c r="AP909" s="106">
        <f t="shared" si="1830"/>
        <v>0</v>
      </c>
      <c r="AQ909" s="106">
        <f t="shared" si="1830"/>
        <v>0</v>
      </c>
      <c r="AR909" s="107">
        <f t="shared" si="1830"/>
        <v>0</v>
      </c>
      <c r="AS909" s="105">
        <f>IF(AND($B907=" ",$K909=AS$3),$O909,0)</f>
        <v>0</v>
      </c>
      <c r="AT909" s="106">
        <f>IF(AND($B907=" ",K909=AT$3),$O909,0)</f>
        <v>0</v>
      </c>
      <c r="AU909" s="106">
        <f t="shared" ref="AU909:BE909" si="1839">IF(AND($B907=" ",$K909=AU$3),$O909,0)</f>
        <v>0</v>
      </c>
      <c r="AV909" s="106">
        <f t="shared" si="1839"/>
        <v>0</v>
      </c>
      <c r="AW909" s="106">
        <f t="shared" si="1839"/>
        <v>0</v>
      </c>
      <c r="AX909" s="106">
        <f t="shared" si="1839"/>
        <v>0</v>
      </c>
      <c r="AY909" s="108">
        <f t="shared" si="1839"/>
        <v>0</v>
      </c>
      <c r="AZ909" s="109">
        <f t="shared" si="1839"/>
        <v>0</v>
      </c>
      <c r="BA909" s="109">
        <f t="shared" si="1839"/>
        <v>0</v>
      </c>
      <c r="BB909" s="109">
        <f t="shared" si="1839"/>
        <v>0</v>
      </c>
      <c r="BC909" s="110">
        <f t="shared" si="1839"/>
        <v>0</v>
      </c>
      <c r="BD909" s="106">
        <f t="shared" si="1839"/>
        <v>0</v>
      </c>
      <c r="BE909" s="107">
        <f t="shared" si="1839"/>
        <v>0</v>
      </c>
      <c r="BF909" s="105">
        <f t="shared" si="1832"/>
        <v>0</v>
      </c>
      <c r="BG909" s="106">
        <f t="shared" si="1832"/>
        <v>0</v>
      </c>
      <c r="BH909" s="106">
        <f t="shared" si="1832"/>
        <v>0</v>
      </c>
      <c r="BI909" s="106">
        <f t="shared" si="1832"/>
        <v>0</v>
      </c>
      <c r="BJ909" s="106">
        <f t="shared" si="1832"/>
        <v>0</v>
      </c>
      <c r="BK909" s="106">
        <f t="shared" si="1832"/>
        <v>0</v>
      </c>
      <c r="BL909" s="106">
        <f t="shared" si="1832"/>
        <v>0</v>
      </c>
      <c r="BM909" s="108">
        <f t="shared" si="1832"/>
        <v>0</v>
      </c>
      <c r="BN909" s="109">
        <f t="shared" si="1832"/>
        <v>0</v>
      </c>
      <c r="BO909" s="109">
        <f t="shared" si="1832"/>
        <v>0</v>
      </c>
      <c r="BP909" s="109">
        <f t="shared" si="1832"/>
        <v>0</v>
      </c>
      <c r="BQ909" s="110">
        <f t="shared" si="1832"/>
        <v>0</v>
      </c>
      <c r="BR909" s="107">
        <f t="shared" si="1832"/>
        <v>0</v>
      </c>
      <c r="BS909" s="464"/>
      <c r="BT909" s="461"/>
      <c r="BU909" s="392"/>
      <c r="BV909" s="461"/>
      <c r="BW909" s="392"/>
      <c r="BX909" s="392"/>
      <c r="BY909" s="392"/>
      <c r="BZ909" s="461"/>
      <c r="CA909" s="392"/>
      <c r="CB909" s="392"/>
      <c r="CC909" s="392"/>
      <c r="CD909" s="401"/>
      <c r="CE909" s="409"/>
      <c r="CF909" s="133">
        <f t="shared" si="1796"/>
        <v>0</v>
      </c>
      <c r="CG909" s="134">
        <f t="shared" si="1797"/>
        <v>0</v>
      </c>
      <c r="CH909" s="134">
        <f t="shared" si="1798"/>
        <v>0</v>
      </c>
      <c r="CI909" s="134">
        <f t="shared" si="1799"/>
        <v>0</v>
      </c>
      <c r="CJ909" s="134">
        <f t="shared" si="1800"/>
        <v>0</v>
      </c>
      <c r="CK909" s="134">
        <f t="shared" si="1801"/>
        <v>0</v>
      </c>
      <c r="CL909" s="134">
        <f t="shared" si="1802"/>
        <v>0</v>
      </c>
      <c r="CM909" s="134">
        <f t="shared" si="1803"/>
        <v>0</v>
      </c>
      <c r="CN909" s="134">
        <f t="shared" si="1804"/>
        <v>0</v>
      </c>
      <c r="CO909" s="134">
        <f t="shared" si="1805"/>
        <v>0</v>
      </c>
      <c r="CP909" s="134">
        <f t="shared" si="1806"/>
        <v>0</v>
      </c>
      <c r="CQ909" s="134">
        <f t="shared" si="1807"/>
        <v>0</v>
      </c>
      <c r="CR909" s="134">
        <f t="shared" si="1808"/>
        <v>0</v>
      </c>
      <c r="CS909" s="134">
        <f t="shared" si="1809"/>
        <v>0</v>
      </c>
      <c r="CT909" s="115">
        <f t="shared" si="1810"/>
        <v>0</v>
      </c>
      <c r="CU909" s="116">
        <f t="shared" si="1811"/>
        <v>0</v>
      </c>
      <c r="CV909" s="116">
        <f t="shared" si="1812"/>
        <v>0</v>
      </c>
      <c r="CW909" s="116">
        <f t="shared" si="1813"/>
        <v>0</v>
      </c>
      <c r="CX909" s="116">
        <f t="shared" si="1814"/>
        <v>0</v>
      </c>
      <c r="CY909" s="116">
        <f t="shared" si="1815"/>
        <v>0</v>
      </c>
      <c r="CZ909" s="116">
        <f t="shared" si="1816"/>
        <v>0</v>
      </c>
      <c r="DA909" s="116">
        <f t="shared" si="1817"/>
        <v>0</v>
      </c>
      <c r="DB909" s="116">
        <f t="shared" si="1818"/>
        <v>0</v>
      </c>
      <c r="DC909" s="116">
        <f t="shared" si="1819"/>
        <v>0</v>
      </c>
      <c r="DD909" s="116">
        <f t="shared" si="1820"/>
        <v>0</v>
      </c>
      <c r="DE909" s="117">
        <f t="shared" si="1821"/>
        <v>0</v>
      </c>
      <c r="DF909" s="118">
        <f t="shared" si="1824"/>
        <v>55</v>
      </c>
      <c r="DG909" s="106">
        <f t="shared" si="1825"/>
        <v>74.153000000000006</v>
      </c>
      <c r="DH909" s="116">
        <f t="shared" si="1826"/>
        <v>19</v>
      </c>
      <c r="DI909" s="106">
        <f t="shared" si="1827"/>
        <v>81.47</v>
      </c>
      <c r="DJ909" s="201" t="str">
        <f>IF($D907="","",$D907)</f>
        <v>30</v>
      </c>
      <c r="DK909" s="466"/>
    </row>
    <row r="910" spans="1:115" ht="14.5" customHeight="1" x14ac:dyDescent="0.2">
      <c r="A910" s="487">
        <f>$A907+1</f>
        <v>303</v>
      </c>
      <c r="B910" s="506" t="str">
        <f>IF(OR(C910="W",C911="W",C912="W",C910="1/2W",C911="1/2W",C912="1/2W",C910="1/2L",C911="1/2L",C912="1/2L"),"OK",IF(OR(C910="L",C911="L",C912="L"),"LOSS",IF(OR(C910="X",C911="X",C912="X"),"Anulado"," ")))</f>
        <v>OK</v>
      </c>
      <c r="C910" s="147" t="s">
        <v>55</v>
      </c>
      <c r="D910" s="494" t="str">
        <f>IF(G910="","",$D907)</f>
        <v>30</v>
      </c>
      <c r="E910" s="511" t="str">
        <f>IF(G910=""," ","– "&amp;COUNTIF(D$4:D912,$D910))</f>
        <v>– 9</v>
      </c>
      <c r="F910" s="510" t="str">
        <f ca="1">IF(G910="","",IF(OR(AND($C910&lt;&gt;" ",$C911=" "),AND($C911&lt;&gt;" ",$C910=" "),AND(L912&gt;0,OR(AND($C912&lt;&gt;" ",OR($C910=" ",$C911=" ")),AND($C912=" ",OR($C910&lt;&gt;" ",$C911&lt;&gt;" "))))),IF(SUM(F$4:F909)=0,1,LARGE(F$4:F909,1)+1),IF(MONTH(G910)=MONTH(TODAY()),IF(AND(DAY(G910)&lt;DAY(TODAY()),$B910=" "),IF(SUM(F$4:F909)=0,1,LARGE(F$4:F909,1)+1),IF($B910=" ",IF(AND(DAY(G910)=DAY(TODAY()),HOUR(G910)&lt;=HOUR(NOW())+1),IF(AND(HOUR(G910)+2&lt;=HOUR(NOW()),DAY(G910)&lt;=DAY(TODAY()),MINUTE(G910)&lt;=MINUTE(NOW())),IF(SUM(F$4:F909)=0,1,LARGE(F$4:F909,1)+1),IF(OR(MINUTE(G910)&lt;=MINUTE(NOW()),HOUR(G910)&lt;=HOUR(NOW())),"!!!","")),""),"")),"")))</f>
        <v/>
      </c>
      <c r="G910" s="517">
        <v>45018.395833333336</v>
      </c>
      <c r="H910" s="516" t="s">
        <v>303</v>
      </c>
      <c r="I910" s="222" t="s">
        <v>66</v>
      </c>
      <c r="J910" s="241"/>
      <c r="K910" s="224" t="s">
        <v>47</v>
      </c>
      <c r="L910" s="225">
        <v>3.2</v>
      </c>
      <c r="M910" s="226"/>
      <c r="N910" s="503">
        <v>0.1</v>
      </c>
      <c r="O910" s="153">
        <f>IF(OR(AE910="",AE911=""),"",ROUND(IF(L912&gt;0,IF(M910&gt;0,M910,IF(M911&gt;0,ROUND((M911*AE910)/AE911,IF(N910=0,2,IF(N910=0.1,1,0))),ROUND((M912*AE910)/AE912,IF(N910=0,2,IF(N910=0.1,1,0))))),IF(M910&gt;0,M910,ROUND((M911*AE910)/AE911,IF(N910=0,2,IF(N910=0.1,1,0))))),2))</f>
        <v>9.6</v>
      </c>
      <c r="P910" s="227">
        <f>IF(OR(L910="",O910=""),"",IF($C910="1/2W",O910/2+O910/2*L910,IF($C910="1/2L",O910/2,IF(I910="Lay",(O910*(L910/(L910-1))-O910)*(1-_xlfn.XLOOKUP(K910,'Fevereiro 2023 - Valor Real'!A3:A15,'Fevereiro 2023 - Valor Real'!C3:C15,0))+O910,(O910*L910-O910)*(1-_xlfn.XLOOKUP(K910,'Fevereiro 2023 - Valor Real'!A3:A15,'Fevereiro 2023 - Valor Real'!C3:C15,0))+O910))))</f>
        <v>30.72</v>
      </c>
      <c r="Q910" s="228">
        <f>IF(K910="","",IF(_xlfn.XLOOKUP(K910,K$4:K909,$DJ$4:DJ909,0,,-1)=DJ910,_xlfn.XLOOKUP(K910,K$4:K909,Q$4:Q909,1,,-1)+1,1))</f>
        <v>9</v>
      </c>
      <c r="R910" s="229">
        <f>IF(K910="","",_xlfn.XLOOKUP(K910,K$4:K909,R$4:R909,0,,-1)+IF($C910=" ",1,0))</f>
        <v>0</v>
      </c>
      <c r="S910" s="501">
        <f>IF($B910="Anulado",0,ROUND(IF(OR($B910="LOSS",$B910="OK"),IF(OR($C910="W",$C910="1/2W",$C910="1/2L"),P910-O910,IF($C910="L",-O910,0))+IF(OR($C911="W",$C911="1/2W",$C911="1/2L"),P911-O911,IF($C911="L",-O911,0))+IF(OR($C912="W",$C912="1/2W",$C912="1/2L"),P912-O912,IF($C912="L",-O912,0)),IF(AND(OR($C910="W",$C910="1/2W",$C910="1/2L"),C911="W"),P910+P911-SUM(O910:O912)+_xlfn.XLOOKUP("X",C910:C912,O910:O912,0),IF(AND(C910=TRUE,C912="W"),P910+P912-SUM(O910:O912),IF(AND(C911="W",C912="W"),P911+P912-SUM(O910:O912)+_xlfn.XLOOKUP("X",C910:C912,O910:O912,0),IF(L912&gt;0,IF(OR($C910="W",$C910="1/2W",$C910="1/2L"),P910-SUM(O910:O912)+_xlfn.XLOOKUP("X",C910:C912,O910:O912,0),IF(OR($C910="W",$C910="1/2W",$C910="1/2L"),P911-SUM(O910:O912)+_xlfn.XLOOKUP("X",C910:C912,O910:O912,0),IF(OR($C910="W",$C910="1/2W",$C910="1/2L"),P912-SUM(O910:O912)+_xlfn.XLOOKUP("X",C910:C912,O910:O912,0),IF(SUM(P910:P912)/3-SUM(O910:O912)+_xlfn.XLOOKUP("X",C910:C912,O910:O912,0)&gt;0,SUM(P910:P912)/3-SUM(O910:O912)+_xlfn.XLOOKUP("X",C910:C912,O910:O912,0),LARGE(P910:P912,1)-SUM(O910:O912))))),IF(OR($C910="W",$C910="1/2W",$C910="1/2L"),P910-SUM(O910:O911)+_xlfn.XLOOKUP("X",C910:C912,O910:O912,0),IF(OR($C910="W",$C910="1/2W",$C910="1/2L"),P911-SUM(O910:O911)+_xlfn.XLOOKUP("X",C910:C912,O910:O912,0),SUM(P910:P911)/2-SUM(O910:O911)+_xlfn.XLOOKUP("X",C910:C912,O910:O912,0)))))))),2))</f>
        <v>1.65</v>
      </c>
      <c r="T910" s="486">
        <f>IF(S910=0,0,S910/SUM(O910:O912))</f>
        <v>5.6896551724137927E-2</v>
      </c>
      <c r="U910" s="496">
        <f>IF($D910=$D907,IF(OR($B910="LOSS",$B910="OK",$B910="Anulada"),S910,0)+U907,IF(OR($B910="LOSS",$B910="OK",$B910="Anulada"),S910,0))</f>
        <v>23.869999999999997</v>
      </c>
      <c r="V910" s="496">
        <f>IF($D910="",0,IF($D910=$D907,IF($B910=" ",IF(I912="",IF(OR(AND(I910="DNB1",I911="DNB2"),AND(OR(I910="DNB1",I910="DNB2"),J911=0),AND(OR(I911="DNB1",I911="DNB2"),J910=0),AND(I910="DNB2",I911="DNB1"),AND(IF(J910=0,(J910+1)/ROUND(J910+1,0),J910/ROUND(J910,0))=1,IF(J911=0,(J911+1)/ROUND(IF(J911="",0,J911)+1,0),IF(J911="",0,J911)/ROUND(IF(J911="",1,J911),0))=1,OR(J910&lt;&gt;""),J911&lt;&gt;"")),0,IF(S910&lt;0,IF(I912="",SMALL(P910:P911,1)-SUM(O910:O911),0),SMALL(P910:P911,1)-SUM(O910:O911))),IF(S910&lt;0,IF(I912="",SMALL(P910:P912,1)-SUM(O910:O912),0),LARGE(P910:P912,1)-SUM(O910:O912))),S910)+V907,IF(I912="",IF(OR(AND(I910="DNB1",I911="DNB2"),AND(OR(I910="DNB1",I910="DNB2"),J911=0),AND(OR(I911="DNB1",I911="DNB2"),J910=0),AND(I910="DNB2",I911="DNB1"),AND(IF(J910=0,(J910+1)/ROUND(J910+1,0),J910/ROUND(J910,0))=1,IF(J911=0,(IF(J911="",0,J911)+1)/ROUND(IF(J911="",0,J911)+1,0),IF(J911="",0,J911)/ROUND(IF(J911="",0,J911)+1,0))=1,OR(J910&lt;&gt;""),J911&lt;&gt;"")),0,IF(S910&lt;0,IF(I912="",SMALL(P910:P911,1)-SUM(O910:O911),0),SMALL(P910:P912,1)-SUM(O910:O912))),IF(S910&lt;0,IF(I912="",SMALL(P910:P912,1)-SUM(O910:O912),0),LARGE(P910:P912,1)-SUM(O910:O912)))))</f>
        <v>23.87</v>
      </c>
      <c r="W910" s="496">
        <f>IF($D910=$D907,IF(S910&lt;0,IF(I912="",S910,0),S910)+W907,S910)</f>
        <v>23.869999999999997</v>
      </c>
      <c r="X910" s="505" t="str">
        <f>IF(OR(SUM(R910:R912)=0,V910=W910),ROUND(IF(W910=0,0,W910/Y910)*100,2)&amp;"%",ROUND(IF(V910=0,0,V910/Y910)*100,2)&amp;"% a "&amp;ROUND(IF(W910=0,0,W910/Y910)*100,2)&amp;"%")</f>
        <v>5,7%</v>
      </c>
      <c r="Y910" s="497">
        <f>IF($D910=$D907,Y907+SUM(O910:O912),SUM(O910:O912))</f>
        <v>418.73</v>
      </c>
      <c r="Z910" s="496">
        <f>IF($B910=" ",SUM(O910:O912),0)+Z907</f>
        <v>0</v>
      </c>
      <c r="AA910" s="496">
        <f>IF(G910="","",IF($B910="Anulado",LARGE(P910:P912,1)-SUM(O910:O912)+AA907,AA907))</f>
        <v>14.77109999999999</v>
      </c>
      <c r="AB910" s="496">
        <f>IF($D910="","",AB907+S910)</f>
        <v>1024.3200000000011</v>
      </c>
      <c r="AC910" s="499">
        <f ca="1">IF($D910="","",IF($B910=" ",IF(DAY(G910)=DAY(TODAY()),1+AC907,0+AC907),0+AC907))</f>
        <v>0</v>
      </c>
      <c r="AD910" s="157">
        <f>(((L911/(L911-1)-1)*(1-_xlfn.XLOOKUP(K911,'Fevereiro 2023 - Valor Real'!A3:A15,'Fevereiro 2023 - Valor Real'!C3:C15,0))+1))/(((L910-1)*(1-_xlfn.XLOOKUP(K910,'Fevereiro 2023 - Valor Real'!A3:A15,'Fevereiro 2023 - Valor Real'!C3:C15,0))+1)+((L911/(L911-1)-1)*(1-_xlfn.XLOOKUP(K911,'Fevereiro 2023 - Valor Real'!A3:A15,'Fevereiro 2023 - Valor Real'!C3:C15,0))+1))</f>
        <v>0.45983701979045394</v>
      </c>
      <c r="AE910" s="158">
        <f>IF(L910="","",IF(L912&gt;0,(SUM(((L910-1)*(1-_xlfn.XLOOKUP(K910,'Fevereiro 2023 - Valor Real'!A3:A15,'Fevereiro 2023 - Valor Real'!C3:C15,0))+1),((L911-1)*(1-_xlfn.XLOOKUP(K911,'Fevereiro 2023 - Valor Real'!A3:A15,'Fevereiro 2023 - Valor Real'!C3:C15,0))+1),((L912-1)*(1-_xlfn.XLOOKUP(K912,'Fevereiro 2023 - Valor Real'!A3:A15,'Fevereiro 2023 - Valor Real'!C3:C15,0))+1))/((L910-1)*(1-_xlfn.XLOOKUP(K910,'Fevereiro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Real'!C3:C15,0))+1))/((L910-1)*(1-_xlfn.XLOOKUP(K910,'Fevereiro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Real'!C3:C15,0))+1))/((L911-1)*(1-_xlfn.XLOOKUP(K911,'Fevereiro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Real'!C3:C15,0))+1))/((L912-1)*(1-_xlfn.XLOOKUP(K912,'Fevereiro 2023 - Valor Real'!A3:A15,'Fevereiro 2023 - Valor Real'!C3:C15,0))+1)),IF(I910="Lay",IF(I911="Lay",((L911/(L911-1)-1)*(1-_xlfn.XLOOKUP(K911,'Fevereiro 2023 - Valor Real'!A3:A15,'Fevereiro 2023 - Valor Real'!C3:C15,0))+1)/(((L911/(L911-1)-1)*(1-_xlfn.XLOOKUP(K911,'Fevereiro 2023 - Valor Real'!A3:A15,'Fevereiro 2023 - Valor Real'!C3:C15,0))+1)+((L910/(L910-1)-1)*(1-_xlfn.XLOOKUP(K910,'Fevereiro 2023 - Valor Real'!A3:A15,'Fevereiro 2023 - Valor Real'!C3:C15,0))+1)),((L911-1)*(1-_xlfn.XLOOKUP(K911,'Fevereiro 2023 - Valor Real'!A3:A15,'Fevereiro 2023 - Valor Real'!C3:C15,0))+1)/(((L911-1)*(1-_xlfn.XLOOKUP(K911,'Fevereiro 2023 - Valor Real'!A3:A15,'Fevereiro 2023 - Valor Real'!C3:C15,0))+1)+((L910/(L910-1)-1)*(1-_xlfn.XLOOKUP(K910,'Fevereiro 2023 - Valor Real'!A3:A15,'Fevereiro 2023 - Valor Real'!C3:C15,0))+1))),IF(I911="Lay",(((L911/(L911-1)-1)*(1-_xlfn.XLOOKUP(K911,'Fevereiro 2023 - Valor Real'!A3:A15,'Fevereiro 2023 - Valor Real'!C3:C15,0))+1))/(((L910-1)*(1-_xlfn.XLOOKUP(K910,'Fevereiro 2023 - Valor Real'!A3:A15,'Fevereiro 2023 - Valor Real'!C3:C15,0))+1)+((L911/(L911-1)-1)*(1-_xlfn.XLOOKUP(K911,'Fevereiro 2023 - Valor Real'!A3:A15,'Fevereiro 2023 - Valor Real'!C3:C15,0))+1)),((L911-1)*(1-_xlfn.XLOOKUP(K911,'Fevereiro 2023 - Valor Real'!A3:A15,'Fevereiro 2023 - Valor Real'!C3:C15,0))+1)/(((L911-1)*(1-_xlfn.XLOOKUP(K911,'Fevereiro 2023 - Valor Real'!A3:A15,'Fevereiro 2023 - Valor Real'!C3:C15,0))+1)+((L910-1)*(1-_xlfn.XLOOKUP(K910,'Fevereiro 2023 - Valor Real'!A3:A15,'Fevereiro 2023 - Valor Real'!C3:C15,0))+1))))))</f>
        <v>0.33054393305439328</v>
      </c>
      <c r="AF910" s="66">
        <f t="shared" si="1830"/>
        <v>0</v>
      </c>
      <c r="AG910" s="67">
        <f t="shared" si="1830"/>
        <v>0</v>
      </c>
      <c r="AH910" s="67">
        <f t="shared" si="1830"/>
        <v>0</v>
      </c>
      <c r="AI910" s="67">
        <f t="shared" si="1830"/>
        <v>0</v>
      </c>
      <c r="AJ910" s="67">
        <f t="shared" si="1830"/>
        <v>0</v>
      </c>
      <c r="AK910" s="67">
        <f t="shared" si="1830"/>
        <v>0</v>
      </c>
      <c r="AL910" s="67">
        <f t="shared" si="1830"/>
        <v>0</v>
      </c>
      <c r="AM910" s="67">
        <f t="shared" si="1830"/>
        <v>0</v>
      </c>
      <c r="AN910" s="67">
        <f t="shared" si="1830"/>
        <v>0</v>
      </c>
      <c r="AO910" s="67">
        <f t="shared" si="1830"/>
        <v>0</v>
      </c>
      <c r="AP910" s="67">
        <f t="shared" si="1830"/>
        <v>0</v>
      </c>
      <c r="AQ910" s="67">
        <f t="shared" si="1830"/>
        <v>-9.6</v>
      </c>
      <c r="AR910" s="68">
        <f t="shared" si="1830"/>
        <v>0</v>
      </c>
      <c r="AS910" s="66">
        <f t="shared" ref="AS910:BE910" si="1840">IF(AND($B910=" ",$K910=AS$3),$O910,0)</f>
        <v>0</v>
      </c>
      <c r="AT910" s="67">
        <f t="shared" si="1840"/>
        <v>0</v>
      </c>
      <c r="AU910" s="67">
        <f t="shared" si="1840"/>
        <v>0</v>
      </c>
      <c r="AV910" s="67">
        <f t="shared" si="1840"/>
        <v>0</v>
      </c>
      <c r="AW910" s="67">
        <f t="shared" si="1840"/>
        <v>0</v>
      </c>
      <c r="AX910" s="67">
        <f t="shared" si="1840"/>
        <v>0</v>
      </c>
      <c r="AY910" s="69">
        <f t="shared" si="1840"/>
        <v>0</v>
      </c>
      <c r="AZ910" s="70">
        <f t="shared" si="1840"/>
        <v>0</v>
      </c>
      <c r="BA910" s="70">
        <f t="shared" si="1840"/>
        <v>0</v>
      </c>
      <c r="BB910" s="70">
        <f t="shared" si="1840"/>
        <v>0</v>
      </c>
      <c r="BC910" s="71">
        <f t="shared" si="1840"/>
        <v>0</v>
      </c>
      <c r="BD910" s="67">
        <f t="shared" si="1840"/>
        <v>0</v>
      </c>
      <c r="BE910" s="68">
        <f t="shared" si="1840"/>
        <v>0</v>
      </c>
      <c r="BF910" s="230">
        <f t="shared" si="1832"/>
        <v>0</v>
      </c>
      <c r="BG910" s="67">
        <f t="shared" si="1832"/>
        <v>0</v>
      </c>
      <c r="BH910" s="67">
        <f t="shared" si="1832"/>
        <v>0</v>
      </c>
      <c r="BI910" s="67">
        <f t="shared" si="1832"/>
        <v>0</v>
      </c>
      <c r="BJ910" s="67">
        <f t="shared" si="1832"/>
        <v>0</v>
      </c>
      <c r="BK910" s="67">
        <f t="shared" si="1832"/>
        <v>0</v>
      </c>
      <c r="BL910" s="67">
        <f t="shared" si="1832"/>
        <v>0</v>
      </c>
      <c r="BM910" s="69">
        <f t="shared" si="1832"/>
        <v>0</v>
      </c>
      <c r="BN910" s="70">
        <f t="shared" si="1832"/>
        <v>0</v>
      </c>
      <c r="BO910" s="70">
        <f t="shared" si="1832"/>
        <v>0</v>
      </c>
      <c r="BP910" s="70">
        <f t="shared" si="1832"/>
        <v>0</v>
      </c>
      <c r="BQ910" s="71">
        <f t="shared" si="1832"/>
        <v>9.6</v>
      </c>
      <c r="BR910" s="68">
        <f t="shared" si="1832"/>
        <v>0</v>
      </c>
      <c r="BS910" s="490">
        <f>IF($B910="LOSS",IF(AND($K910=BS$3,$C910="L"),-$O910,0)+IF(AND($K911=BS$3,$C911="L"),-$O911,0)+IF(AND($K912=BS$3,$C912="L"),-$O912,0),IF(OR(AND($K910=BS$3,OR($C910="W",$C910="1/2W")),AND($K911=BS$3,OR($C911="W",$C911="1/2W")),AND($K912=BS$3,OR($C912="W",$C912="1/2W"))),$S910,0))</f>
        <v>0</v>
      </c>
      <c r="BT910" s="488">
        <f>IF($B910="LOSS",IF(AND($K910=BT$3,$C910="L"),-$O910,0)+IF(AND($K911=BT$3,$C911="L"),-$O911,0)+IF(AND($K911=BT$3,$C912="L"),-$O912,0),IF(OR(AND($K911=BT$3,OR($C910="W",$C910="1/2W")),AND($K911=BT$3,OR($C911="W",$C911="1/2W")),AND($K911=BT$3,OR($C912="W",$C912="1/2W"))),$S910,0))</f>
        <v>0</v>
      </c>
      <c r="BU910" s="488">
        <f>IF($B910="LOSS",IF(AND($K910=BU$3,$C910="L"),-$O910,0)+IF(AND($K911=BU$3,$C911="L"),-$O911,0)+IF(AND($K911=BU$3,$C912="L"),-$O912,0),IF(OR(AND($K911=BU$3,OR($C910="W",$C910="1/2W")),AND($K911=BU$3,OR($C911="W",$C911="1/2W")),AND($K911=BU$3,OR($C912="W",$C912="1/2W"))),$S910,0))</f>
        <v>0</v>
      </c>
      <c r="BV910" s="488">
        <f t="shared" ref="BV910:CE910" si="1841">IF($B910="LOSS",IF(AND($K910=BV$3,$C910="L"),-$O910,0)+IF(AND($K911=BV$3,$C911="L"),-$O911,0)+IF(AND($K912=BV$3,$C912="L"),-$O912,0),IF(OR(AND($K910=BV$3,OR($C910="W",$C910="1/2W")),AND($K911=BV$3,OR($C911="W",$C911="1/2W")),AND($K912=BV$3,OR($C912="W",$C912="1/2W"))),$S910,0))</f>
        <v>0</v>
      </c>
      <c r="BW910" s="488">
        <f t="shared" si="1841"/>
        <v>1.65</v>
      </c>
      <c r="BX910" s="488">
        <f t="shared" si="1841"/>
        <v>0</v>
      </c>
      <c r="BY910" s="488">
        <f t="shared" si="1841"/>
        <v>0</v>
      </c>
      <c r="BZ910" s="498">
        <f t="shared" si="1841"/>
        <v>0</v>
      </c>
      <c r="CA910" s="498">
        <f t="shared" si="1841"/>
        <v>0</v>
      </c>
      <c r="CB910" s="498">
        <f t="shared" si="1841"/>
        <v>0</v>
      </c>
      <c r="CC910" s="498">
        <f t="shared" si="1841"/>
        <v>0</v>
      </c>
      <c r="CD910" s="500">
        <f t="shared" si="1841"/>
        <v>0</v>
      </c>
      <c r="CE910" s="504">
        <f t="shared" si="1841"/>
        <v>0</v>
      </c>
      <c r="CF910" s="160">
        <f t="shared" si="1796"/>
        <v>0</v>
      </c>
      <c r="CG910" s="161">
        <f t="shared" si="1797"/>
        <v>0</v>
      </c>
      <c r="CH910" s="161">
        <f t="shared" si="1798"/>
        <v>0</v>
      </c>
      <c r="CI910" s="161">
        <f t="shared" si="1799"/>
        <v>0</v>
      </c>
      <c r="CJ910" s="161">
        <f t="shared" si="1800"/>
        <v>0</v>
      </c>
      <c r="CK910" s="161">
        <f t="shared" si="1801"/>
        <v>0</v>
      </c>
      <c r="CL910" s="161">
        <f t="shared" si="1802"/>
        <v>0</v>
      </c>
      <c r="CM910" s="161">
        <f t="shared" si="1803"/>
        <v>0</v>
      </c>
      <c r="CN910" s="161">
        <f t="shared" si="1804"/>
        <v>0</v>
      </c>
      <c r="CO910" s="161">
        <f t="shared" si="1805"/>
        <v>0</v>
      </c>
      <c r="CP910" s="161">
        <f t="shared" si="1806"/>
        <v>0</v>
      </c>
      <c r="CQ910" s="161">
        <f t="shared" si="1807"/>
        <v>0</v>
      </c>
      <c r="CR910" s="161">
        <f t="shared" si="1808"/>
        <v>0</v>
      </c>
      <c r="CS910" s="161">
        <f t="shared" si="1809"/>
        <v>0</v>
      </c>
      <c r="CT910" s="75">
        <f t="shared" si="1810"/>
        <v>0</v>
      </c>
      <c r="CU910" s="76">
        <f t="shared" si="1811"/>
        <v>0</v>
      </c>
      <c r="CV910" s="76">
        <f t="shared" si="1812"/>
        <v>0</v>
      </c>
      <c r="CW910" s="76">
        <f t="shared" si="1813"/>
        <v>0</v>
      </c>
      <c r="CX910" s="76">
        <f t="shared" si="1814"/>
        <v>0</v>
      </c>
      <c r="CY910" s="76">
        <f t="shared" si="1815"/>
        <v>0</v>
      </c>
      <c r="CZ910" s="76">
        <f t="shared" si="1816"/>
        <v>0</v>
      </c>
      <c r="DA910" s="76">
        <f t="shared" si="1817"/>
        <v>0</v>
      </c>
      <c r="DB910" s="76">
        <f t="shared" si="1818"/>
        <v>0</v>
      </c>
      <c r="DC910" s="76">
        <f t="shared" si="1819"/>
        <v>1</v>
      </c>
      <c r="DD910" s="76">
        <f t="shared" si="1820"/>
        <v>0</v>
      </c>
      <c r="DE910" s="77">
        <f t="shared" si="1821"/>
        <v>0</v>
      </c>
      <c r="DF910" s="73">
        <f t="shared" si="1824"/>
        <v>55</v>
      </c>
      <c r="DG910" s="67">
        <f t="shared" si="1825"/>
        <v>74.153000000000006</v>
      </c>
      <c r="DH910" s="76">
        <f t="shared" si="1826"/>
        <v>19</v>
      </c>
      <c r="DI910" s="67">
        <f t="shared" si="1827"/>
        <v>81.47</v>
      </c>
      <c r="DJ910" s="202" t="str">
        <f>IF($D910="","",$D910)</f>
        <v>30</v>
      </c>
      <c r="DK910" s="492">
        <f>IF(AND($B910=" ",$D910&lt;&gt;""),1,0)</f>
        <v>0</v>
      </c>
    </row>
    <row r="911" spans="1:115" ht="14.5" customHeight="1" x14ac:dyDescent="0.2">
      <c r="A911" s="389"/>
      <c r="B911" s="456"/>
      <c r="C911" s="53" t="s">
        <v>54</v>
      </c>
      <c r="D911" s="374"/>
      <c r="E911" s="386"/>
      <c r="F911" s="377"/>
      <c r="G911" s="483"/>
      <c r="H911" s="476"/>
      <c r="I911" s="55" t="s">
        <v>76</v>
      </c>
      <c r="J911" s="231">
        <f>IF(OR(I910="TO",I910="TU",I910="TO1",I910="TU1",I910="TO2",I910="TU2"),J910,IF(OR(I910="AH1",I910="AH2"),IF(OR(I911="AH1",I911="AH2"),-J910,IF(OR(I911="EH1",I911="EH2"),-J910+0.5,"")),IF(OR(I910="EH1",I910="EH2"),IF(OR(I911="AH1",I911="AH2"),-J910+0.5,IF(OR(I911="EH1",I911="EH2"),-J910+1,"")),IF(AND(OR(I910="DNB1",I910="DNB2"),OR(I911="AH1",I911="AH2")),0,IF(AND(I910="Not ScoreBoth",OR(I911="TO1",I911="TO2")),0.5,"")))))</f>
        <v>0</v>
      </c>
      <c r="K911" s="232" t="s">
        <v>40</v>
      </c>
      <c r="L911" s="58">
        <v>1.58</v>
      </c>
      <c r="M911" s="59">
        <v>19.399999999999999</v>
      </c>
      <c r="N911" s="406"/>
      <c r="O911" s="60">
        <f>IF(OR(AE910="",AE911=""),"",ROUND(IF(L912&gt;0,IF(M911&gt;0,M911,IF(M910&gt;0,IF(N910=TRUE,ROUND((M910*AE911)/AE910,0),(M910*AE911)/AE910),IF(M911&gt;0,ROUND(M911,IF(N910=0,2,IF(N910=0.1,1,0))),IF(M912&gt;0,ROUND(O912*AE911/AE912,IF(N910=0,2,IF(N910=0.1,1,0))),0)))),IF(M911&gt;0,M911,ROUND((M910*AE911)/AE910,IF(N910=0,2,IF(N910=0.1,1,0))))),2))</f>
        <v>19.399999999999999</v>
      </c>
      <c r="P911" s="61">
        <f>IF(OR(L911="",O911=""),"",IF($C911="1/2W",O911/2+O911/2*L911,IF($C911="1/2L",O911/2,IF(I911="Lay",((O911*(L911/(L911-1)))-O911)*(1-_xlfn.XLOOKUP(K911,'Fevereiro 2023 - Valor Real'!A3:A15,'Fevereiro 2023 - Valor Real'!C3:C15,0))+O911,(O911*L911-O911)*(1-_xlfn.XLOOKUP(K911,'Fevereiro 2023 - Valor Real'!A3:A15,'Fevereiro 2023 - Valor Real'!C3:C15,0))+O911))))</f>
        <v>30.651999999999997</v>
      </c>
      <c r="Q911" s="233">
        <f>IF(K911="","",IF(_xlfn.XLOOKUP(K911,K$4:K910,$DJ$4:DJ910,0,,-1)=DJ911,_xlfn.XLOOKUP(K911,K$4:K910,Q$4:Q910,1,,-1)+1,1))</f>
        <v>5</v>
      </c>
      <c r="R911" s="234">
        <f>IF(K911="","",_xlfn.XLOOKUP(K911,K$4:K910,R$4:R910,0,,-1)+IF($C911=" ",1,0))</f>
        <v>0</v>
      </c>
      <c r="S911" s="403"/>
      <c r="T911" s="380"/>
      <c r="U911" s="380"/>
      <c r="V911" s="481"/>
      <c r="W911" s="380"/>
      <c r="X911" s="452"/>
      <c r="Y911" s="383"/>
      <c r="Z911" s="384"/>
      <c r="AA911" s="384"/>
      <c r="AB911" s="384"/>
      <c r="AC911" s="384"/>
      <c r="AD911" s="64">
        <f>(((L911/(L911-1)-1)*(1-_xlfn.XLOOKUP(K911,'Fevereiro 2023 - Valor Real'!A3:A15,'Fevereiro 2023 - Valor Real'!C3:C15,0))+1))</f>
        <v>2.7241379310344827</v>
      </c>
      <c r="AE911" s="65">
        <f>IF(L911="","",IF(L912&gt;0,(SUM(((L910-1)*(1-_xlfn.XLOOKUP(K910,'Fevereiro 2023 - Valor Real'!A3:A15,'Fevereiro 2023 - Valor Real'!C3:C15,0))+1),((L911-1)*(1-_xlfn.XLOOKUP(K911,'Fevereiro 2023 - Valor Real'!A3:A15,'Fevereiro 2023 - Valor Real'!C3:C15,0))+1),((L912-1)*(1-_xlfn.XLOOKUP(K912,'Fevereiro 2023 - Valor Real'!A3:A15,'Fevereiro 2023 - Valor Real'!C3:C15,0))+1))/((L911-1)*(1-_xlfn.XLOOKUP(K911,'Fevereiro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Real'!C3:C15,0))+1))/((L910-1)*(1-_xlfn.XLOOKUP(K910,'Fevereiro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Real'!C3:C15,0))+1))/((L911-1)*(1-_xlfn.XLOOKUP(K911,'Fevereiro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Real'!C3:C15,0))+1))/((L912-1)*(1-_xlfn.XLOOKUP(K912,'Fevereiro 2023 - Valor Real'!A3:A15,'Fevereiro 2023 - Valor Real'!C3:C15,0))+1)),IF(I911="Lay",IF(I910="Lay",((L910/(L910-1)-1)*(1-_xlfn.XLOOKUP(K910,'Fevereiro 2023 - Valor Real'!A3:A15,'Fevereiro 2023 - Valor Real'!C3:C15,0))+1)/(((L910/(L910-1)-1)*(1-_xlfn.XLOOKUP(K910,'Fevereiro 2023 - Valor Real'!A3:A15,'Fevereiro 2023 - Valor Real'!C3:C15,0))+1)+((L911/(L911-1)-1)*(1-_xlfn.XLOOKUP(K911,'Fevereiro 2023 - Valor Real'!A3:A15,'Fevereiro 2023 - Valor Real'!C3:C15,0))+1)),((L910-1)*(1-_xlfn.XLOOKUP(K910,'Fevereiro 2023 - Valor Real'!A3:A15,'Fevereiro 2023 - Valor Real'!C3:C15,0))+1)/(((L910-1)*(1-_xlfn.XLOOKUP(K910,'Fevereiro 2023 - Valor Real'!A3:A15,'Fevereiro 2023 - Valor Real'!C3:C15,0))+1)+((L911/(L911-1)-1)*(1-_xlfn.XLOOKUP(K911,'Fevereiro 2023 - Valor Real'!A3:A15,'Fevereiro 2023 - Valor Real'!C3:C15,0))+1))),IF(I910="Lay",((L910/(L910-1)-1)*(1-_xlfn.XLOOKUP(K910,'Fevereiro 2023 - Valor Real'!A3:A15,'Fevereiro 2023 - Valor Real'!C3:C15,0))+1)/((((L910/(L910-1)-1)*(1-_xlfn.XLOOKUP(K910,'Fevereiro 2023 - Valor Real'!A3:A15,'Fevereiro 2023 - Valor Real'!C3:C15,0))+1))+((L911-1)*(1-_xlfn.XLOOKUP(K911,'Fevereiro 2023 - Valor Real'!A3:A15,'Fevereiro 2023 - Valor Real'!C3:C15,0))+1)),((L910-1)*(1-_xlfn.XLOOKUP(K910,'Fevereiro 2023 - Valor Real'!A3:A15,'Fevereiro 2023 - Valor Real'!C3:C15,0))+1)/(((L910-1)*(1-_xlfn.XLOOKUP(K910,'Fevereiro 2023 - Valor Real'!A3:A15,'Fevereiro 2023 - Valor Real'!C3:C15,0))+1)+((L911-1)*(1-_xlfn.XLOOKUP(K911,'Fevereiro 2023 - Valor Real'!A3:A15,'Fevereiro 2023 - Valor Real'!C3:C15,0))+1))))))</f>
        <v>0.66945606694560666</v>
      </c>
      <c r="AF911" s="66">
        <f t="shared" si="1830"/>
        <v>0</v>
      </c>
      <c r="AG911" s="67">
        <f t="shared" si="1830"/>
        <v>0</v>
      </c>
      <c r="AH911" s="67">
        <f t="shared" si="1830"/>
        <v>0</v>
      </c>
      <c r="AI911" s="67">
        <f t="shared" si="1830"/>
        <v>0</v>
      </c>
      <c r="AJ911" s="67">
        <f t="shared" si="1830"/>
        <v>11.25</v>
      </c>
      <c r="AK911" s="67">
        <f t="shared" si="1830"/>
        <v>0</v>
      </c>
      <c r="AL911" s="67">
        <f t="shared" si="1830"/>
        <v>0</v>
      </c>
      <c r="AM911" s="67">
        <f t="shared" si="1830"/>
        <v>0</v>
      </c>
      <c r="AN911" s="67">
        <f t="shared" si="1830"/>
        <v>0</v>
      </c>
      <c r="AO911" s="67">
        <f t="shared" si="1830"/>
        <v>0</v>
      </c>
      <c r="AP911" s="67">
        <f t="shared" si="1830"/>
        <v>0</v>
      </c>
      <c r="AQ911" s="67">
        <f t="shared" si="1830"/>
        <v>0</v>
      </c>
      <c r="AR911" s="68">
        <f t="shared" si="1830"/>
        <v>0</v>
      </c>
      <c r="AS911" s="66">
        <f>IF(AND($B910=" ",$K911=AS$3),$O911,0)</f>
        <v>0</v>
      </c>
      <c r="AT911" s="67">
        <f>IF(AND($B910=" ",K911=AT$3),$O911,0)</f>
        <v>0</v>
      </c>
      <c r="AU911" s="67">
        <f t="shared" ref="AU911:BE911" si="1842">IF(AND($B910=" ",$K911=AU$3),$O911,0)</f>
        <v>0</v>
      </c>
      <c r="AV911" s="67">
        <f t="shared" si="1842"/>
        <v>0</v>
      </c>
      <c r="AW911" s="67">
        <f t="shared" si="1842"/>
        <v>0</v>
      </c>
      <c r="AX911" s="67">
        <f t="shared" si="1842"/>
        <v>0</v>
      </c>
      <c r="AY911" s="69">
        <f t="shared" si="1842"/>
        <v>0</v>
      </c>
      <c r="AZ911" s="70">
        <f t="shared" si="1842"/>
        <v>0</v>
      </c>
      <c r="BA911" s="70">
        <f t="shared" si="1842"/>
        <v>0</v>
      </c>
      <c r="BB911" s="70">
        <f t="shared" si="1842"/>
        <v>0</v>
      </c>
      <c r="BC911" s="71">
        <f t="shared" si="1842"/>
        <v>0</v>
      </c>
      <c r="BD911" s="67">
        <f t="shared" si="1842"/>
        <v>0</v>
      </c>
      <c r="BE911" s="68">
        <f t="shared" si="1842"/>
        <v>0</v>
      </c>
      <c r="BF911" s="66">
        <f t="shared" si="1832"/>
        <v>0</v>
      </c>
      <c r="BG911" s="67">
        <f t="shared" si="1832"/>
        <v>0</v>
      </c>
      <c r="BH911" s="67">
        <f t="shared" si="1832"/>
        <v>0</v>
      </c>
      <c r="BI911" s="67">
        <f t="shared" si="1832"/>
        <v>0</v>
      </c>
      <c r="BJ911" s="67">
        <f t="shared" si="1832"/>
        <v>19.399999999999999</v>
      </c>
      <c r="BK911" s="67">
        <f t="shared" si="1832"/>
        <v>0</v>
      </c>
      <c r="BL911" s="67">
        <f t="shared" si="1832"/>
        <v>0</v>
      </c>
      <c r="BM911" s="235">
        <f t="shared" si="1832"/>
        <v>0</v>
      </c>
      <c r="BN911" s="159">
        <f t="shared" si="1832"/>
        <v>0</v>
      </c>
      <c r="BO911" s="159">
        <f t="shared" si="1832"/>
        <v>0</v>
      </c>
      <c r="BP911" s="159">
        <f t="shared" si="1832"/>
        <v>0</v>
      </c>
      <c r="BQ911" s="71">
        <f t="shared" si="1832"/>
        <v>0</v>
      </c>
      <c r="BR911" s="68">
        <f t="shared" si="1832"/>
        <v>0</v>
      </c>
      <c r="BS911" s="464"/>
      <c r="BT911" s="461"/>
      <c r="BU911" s="392"/>
      <c r="BV911" s="461"/>
      <c r="BW911" s="392"/>
      <c r="BX911" s="392"/>
      <c r="BY911" s="392"/>
      <c r="BZ911" s="461"/>
      <c r="CA911" s="392"/>
      <c r="CB911" s="392"/>
      <c r="CC911" s="392"/>
      <c r="CD911" s="401"/>
      <c r="CE911" s="409"/>
      <c r="CF911" s="236">
        <f t="shared" si="1796"/>
        <v>0</v>
      </c>
      <c r="CG911" s="237">
        <f t="shared" si="1797"/>
        <v>0</v>
      </c>
      <c r="CH911" s="237">
        <f t="shared" si="1798"/>
        <v>0</v>
      </c>
      <c r="CI911" s="237">
        <f t="shared" si="1799"/>
        <v>0</v>
      </c>
      <c r="CJ911" s="237">
        <f t="shared" si="1800"/>
        <v>0</v>
      </c>
      <c r="CK911" s="237">
        <f t="shared" si="1801"/>
        <v>0</v>
      </c>
      <c r="CL911" s="237">
        <f t="shared" si="1802"/>
        <v>0</v>
      </c>
      <c r="CM911" s="237">
        <f t="shared" si="1803"/>
        <v>0</v>
      </c>
      <c r="CN911" s="237">
        <f t="shared" si="1804"/>
        <v>1</v>
      </c>
      <c r="CO911" s="237">
        <f t="shared" si="1805"/>
        <v>0</v>
      </c>
      <c r="CP911" s="237">
        <f t="shared" si="1806"/>
        <v>0</v>
      </c>
      <c r="CQ911" s="237">
        <f t="shared" si="1807"/>
        <v>0</v>
      </c>
      <c r="CR911" s="237">
        <f t="shared" si="1808"/>
        <v>0</v>
      </c>
      <c r="CS911" s="237">
        <f t="shared" si="1809"/>
        <v>0</v>
      </c>
      <c r="CT911" s="75">
        <f t="shared" si="1810"/>
        <v>0</v>
      </c>
      <c r="CU911" s="76">
        <f t="shared" si="1811"/>
        <v>0</v>
      </c>
      <c r="CV911" s="76">
        <f t="shared" si="1812"/>
        <v>0</v>
      </c>
      <c r="CW911" s="76">
        <f t="shared" si="1813"/>
        <v>0</v>
      </c>
      <c r="CX911" s="76">
        <f t="shared" si="1814"/>
        <v>0</v>
      </c>
      <c r="CY911" s="76">
        <f t="shared" si="1815"/>
        <v>0</v>
      </c>
      <c r="CZ911" s="76">
        <f t="shared" si="1816"/>
        <v>0</v>
      </c>
      <c r="DA911" s="76">
        <f t="shared" si="1817"/>
        <v>0</v>
      </c>
      <c r="DB911" s="76">
        <f t="shared" si="1818"/>
        <v>0</v>
      </c>
      <c r="DC911" s="76">
        <f t="shared" si="1819"/>
        <v>0</v>
      </c>
      <c r="DD911" s="76">
        <f t="shared" si="1820"/>
        <v>0</v>
      </c>
      <c r="DE911" s="77">
        <f t="shared" si="1821"/>
        <v>0</v>
      </c>
      <c r="DF911" s="73">
        <f t="shared" si="1824"/>
        <v>55</v>
      </c>
      <c r="DG911" s="67">
        <f t="shared" si="1825"/>
        <v>74.153000000000006</v>
      </c>
      <c r="DH911" s="76">
        <f t="shared" si="1826"/>
        <v>19</v>
      </c>
      <c r="DI911" s="67">
        <f t="shared" si="1827"/>
        <v>81.47</v>
      </c>
      <c r="DJ911" s="202" t="str">
        <f>IF($D910="","",$D910)</f>
        <v>30</v>
      </c>
      <c r="DK911" s="466"/>
    </row>
    <row r="912" spans="1:115" ht="14.5" customHeight="1" x14ac:dyDescent="0.2">
      <c r="A912" s="390"/>
      <c r="B912" s="457"/>
      <c r="C912" s="79" t="s">
        <v>53</v>
      </c>
      <c r="D912" s="375"/>
      <c r="E912" s="387"/>
      <c r="F912" s="378"/>
      <c r="G912" s="484"/>
      <c r="H912" s="477"/>
      <c r="I912" s="82"/>
      <c r="J912" s="83"/>
      <c r="K912" s="90"/>
      <c r="L912" s="84"/>
      <c r="M912" s="85"/>
      <c r="N912" s="407"/>
      <c r="O912" s="86" t="str">
        <f>IF(OR(AE910="",AE911=""),"",IF(L912&gt;0,ROUND(IF(M912&gt;0,M912,IF(M910&gt;0,ROUND((M910*AE912)/AE910,IF(N910=0,2,IF(N910=0.1,1,0))),IF(M911&gt;0,ROUND((M911*AE912)/AE911,IF(N910=0,2,IF(N910=0.1,1,0))),IF(M912&gt;0,M912,0)))),2),""))</f>
        <v/>
      </c>
      <c r="P912" s="87" t="str">
        <f>IF(I911="Lay",O911*(L911/(L911-1))-O911,IF(I910="Lay",O910*(L910/(L910-1))-O910,IF(OR(L912="",O912=""),"",IF($C912="1/2W",O912/2+O912/2*L912,IF($C912="1/2L",O912/2,(O912*L912-O912)*(1-_xlfn.XLOOKUP(K912,'Fevereiro 2023 - Valor Real'!A3:A15,'Fevereiro 2023 - Valor Real'!C3:C15,0))+O912)))))</f>
        <v/>
      </c>
      <c r="Q912" s="238" t="str">
        <f>IF(K912="","",IF(_xlfn.XLOOKUP(K912,K$4:K911,$DJ$4:DJ911,0,,-1)=DJ912,_xlfn.XLOOKUP(K912,K$4:K911,Q$4:Q911,1,,-1)+1,1))</f>
        <v/>
      </c>
      <c r="R912" s="239" t="str">
        <f>IF(K912="","",_xlfn.XLOOKUP(K912,K$4:K911,R$4:R911,0,,-1)+IF($C912=" ",1,0))</f>
        <v/>
      </c>
      <c r="S912" s="404"/>
      <c r="T912" s="378"/>
      <c r="U912" s="378"/>
      <c r="V912" s="404"/>
      <c r="W912" s="378"/>
      <c r="X912" s="453"/>
      <c r="Y912" s="383"/>
      <c r="Z912" s="384"/>
      <c r="AA912" s="384"/>
      <c r="AB912" s="384"/>
      <c r="AC912" s="384"/>
      <c r="AD912" s="240">
        <f>((L911/(L911-1)-1))</f>
        <v>1.7241379310344827</v>
      </c>
      <c r="AE912" s="91" t="str">
        <f>IF(L912="","",(SUM(((L910-1)*(1-_xlfn.XLOOKUP(K910,'Fevereiro 2023 - Valor Real'!A3:A15,'Fevereiro 2023 - Valor Real'!C3:C15,0))+1),((L911-1)*(1-_xlfn.XLOOKUP(K911,'Fevereiro 2023 - Valor Real'!A3:A15,'Fevereiro 2023 - Valor Real'!C3:C15,0))+1),((L912-1)*(1-_xlfn.XLOOKUP(K912,'Fevereiro 2023 - Valor Real'!A3:A15,'Fevereiro 2023 - Valor Real'!C3:C15,0))+1))/((L912-1)*(1-_xlfn.XLOOKUP(K912,'Fevereiro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Real'!C3:C15,0))+1))/((L910-1)*(1-_xlfn.XLOOKUP(K910,'Fevereiro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Real'!C3:C15,0))+1))/((L911-1)*(1-_xlfn.XLOOKUP(K911,'Fevereiro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Real'!C3:C15,0))+1))/((L912-1)*(1-_xlfn.XLOOKUP(K912,'Fevereiro 2023 - Valor Real'!A3:A15,'Fevereiro 2023 - Valor Real'!C3:C15,0))+1)))</f>
        <v/>
      </c>
      <c r="AF912" s="66">
        <f t="shared" si="1830"/>
        <v>0</v>
      </c>
      <c r="AG912" s="67">
        <f t="shared" si="1830"/>
        <v>0</v>
      </c>
      <c r="AH912" s="67">
        <f t="shared" si="1830"/>
        <v>0</v>
      </c>
      <c r="AI912" s="67">
        <f t="shared" si="1830"/>
        <v>0</v>
      </c>
      <c r="AJ912" s="67">
        <f t="shared" si="1830"/>
        <v>0</v>
      </c>
      <c r="AK912" s="67">
        <f t="shared" si="1830"/>
        <v>0</v>
      </c>
      <c r="AL912" s="67">
        <f t="shared" si="1830"/>
        <v>0</v>
      </c>
      <c r="AM912" s="67">
        <f t="shared" si="1830"/>
        <v>0</v>
      </c>
      <c r="AN912" s="67">
        <f t="shared" si="1830"/>
        <v>0</v>
      </c>
      <c r="AO912" s="67">
        <f t="shared" si="1830"/>
        <v>0</v>
      </c>
      <c r="AP912" s="67">
        <f t="shared" si="1830"/>
        <v>0</v>
      </c>
      <c r="AQ912" s="67">
        <f t="shared" si="1830"/>
        <v>0</v>
      </c>
      <c r="AR912" s="68">
        <f t="shared" si="1830"/>
        <v>0</v>
      </c>
      <c r="AS912" s="66">
        <f>IF(AND($B910=" ",$K912=AS$3),$O912,0)</f>
        <v>0</v>
      </c>
      <c r="AT912" s="67">
        <f>IF(AND($B910=" ",K912=AT$3),$O912,0)</f>
        <v>0</v>
      </c>
      <c r="AU912" s="67">
        <f t="shared" ref="AU912:BE912" si="1843">IF(AND($B910=" ",$K912=AU$3),$O912,0)</f>
        <v>0</v>
      </c>
      <c r="AV912" s="67">
        <f t="shared" si="1843"/>
        <v>0</v>
      </c>
      <c r="AW912" s="67">
        <f t="shared" si="1843"/>
        <v>0</v>
      </c>
      <c r="AX912" s="67">
        <f t="shared" si="1843"/>
        <v>0</v>
      </c>
      <c r="AY912" s="69">
        <f t="shared" si="1843"/>
        <v>0</v>
      </c>
      <c r="AZ912" s="70">
        <f t="shared" si="1843"/>
        <v>0</v>
      </c>
      <c r="BA912" s="70">
        <f t="shared" si="1843"/>
        <v>0</v>
      </c>
      <c r="BB912" s="70">
        <f t="shared" si="1843"/>
        <v>0</v>
      </c>
      <c r="BC912" s="71">
        <f t="shared" si="1843"/>
        <v>0</v>
      </c>
      <c r="BD912" s="67">
        <f t="shared" si="1843"/>
        <v>0</v>
      </c>
      <c r="BE912" s="68">
        <f t="shared" si="1843"/>
        <v>0</v>
      </c>
      <c r="BF912" s="66">
        <f t="shared" si="1832"/>
        <v>0</v>
      </c>
      <c r="BG912" s="67">
        <f t="shared" si="1832"/>
        <v>0</v>
      </c>
      <c r="BH912" s="67">
        <f t="shared" si="1832"/>
        <v>0</v>
      </c>
      <c r="BI912" s="67">
        <f t="shared" si="1832"/>
        <v>0</v>
      </c>
      <c r="BJ912" s="67">
        <f t="shared" si="1832"/>
        <v>0</v>
      </c>
      <c r="BK912" s="67">
        <f t="shared" si="1832"/>
        <v>0</v>
      </c>
      <c r="BL912" s="67">
        <f t="shared" si="1832"/>
        <v>0</v>
      </c>
      <c r="BM912" s="69">
        <f t="shared" si="1832"/>
        <v>0</v>
      </c>
      <c r="BN912" s="70">
        <f t="shared" si="1832"/>
        <v>0</v>
      </c>
      <c r="BO912" s="70">
        <f t="shared" si="1832"/>
        <v>0</v>
      </c>
      <c r="BP912" s="70">
        <f t="shared" si="1832"/>
        <v>0</v>
      </c>
      <c r="BQ912" s="71">
        <f t="shared" si="1832"/>
        <v>0</v>
      </c>
      <c r="BR912" s="68">
        <f t="shared" si="1832"/>
        <v>0</v>
      </c>
      <c r="BS912" s="464"/>
      <c r="BT912" s="461"/>
      <c r="BU912" s="392"/>
      <c r="BV912" s="461"/>
      <c r="BW912" s="392"/>
      <c r="BX912" s="392"/>
      <c r="BY912" s="392"/>
      <c r="BZ912" s="461"/>
      <c r="CA912" s="392"/>
      <c r="CB912" s="392"/>
      <c r="CC912" s="392"/>
      <c r="CD912" s="401"/>
      <c r="CE912" s="409"/>
      <c r="CF912" s="236">
        <f t="shared" si="1796"/>
        <v>0</v>
      </c>
      <c r="CG912" s="237">
        <f t="shared" si="1797"/>
        <v>0</v>
      </c>
      <c r="CH912" s="237">
        <f t="shared" si="1798"/>
        <v>0</v>
      </c>
      <c r="CI912" s="237">
        <f t="shared" si="1799"/>
        <v>0</v>
      </c>
      <c r="CJ912" s="237">
        <f t="shared" si="1800"/>
        <v>0</v>
      </c>
      <c r="CK912" s="237">
        <f t="shared" si="1801"/>
        <v>0</v>
      </c>
      <c r="CL912" s="237">
        <f t="shared" si="1802"/>
        <v>0</v>
      </c>
      <c r="CM912" s="237">
        <f t="shared" si="1803"/>
        <v>0</v>
      </c>
      <c r="CN912" s="237">
        <f t="shared" si="1804"/>
        <v>0</v>
      </c>
      <c r="CO912" s="237">
        <f t="shared" si="1805"/>
        <v>0</v>
      </c>
      <c r="CP912" s="237">
        <f t="shared" si="1806"/>
        <v>0</v>
      </c>
      <c r="CQ912" s="237">
        <f t="shared" si="1807"/>
        <v>0</v>
      </c>
      <c r="CR912" s="237">
        <f t="shared" si="1808"/>
        <v>0</v>
      </c>
      <c r="CS912" s="237">
        <f t="shared" si="1809"/>
        <v>0</v>
      </c>
      <c r="CT912" s="75">
        <f t="shared" si="1810"/>
        <v>0</v>
      </c>
      <c r="CU912" s="76">
        <f t="shared" si="1811"/>
        <v>0</v>
      </c>
      <c r="CV912" s="76">
        <f t="shared" si="1812"/>
        <v>0</v>
      </c>
      <c r="CW912" s="76">
        <f t="shared" si="1813"/>
        <v>0</v>
      </c>
      <c r="CX912" s="76">
        <f t="shared" si="1814"/>
        <v>0</v>
      </c>
      <c r="CY912" s="76">
        <f t="shared" si="1815"/>
        <v>0</v>
      </c>
      <c r="CZ912" s="76">
        <f t="shared" si="1816"/>
        <v>0</v>
      </c>
      <c r="DA912" s="76">
        <f t="shared" si="1817"/>
        <v>0</v>
      </c>
      <c r="DB912" s="76">
        <f t="shared" si="1818"/>
        <v>0</v>
      </c>
      <c r="DC912" s="76">
        <f t="shared" si="1819"/>
        <v>0</v>
      </c>
      <c r="DD912" s="76">
        <f t="shared" si="1820"/>
        <v>0</v>
      </c>
      <c r="DE912" s="77">
        <f t="shared" si="1821"/>
        <v>0</v>
      </c>
      <c r="DF912" s="73">
        <f t="shared" si="1824"/>
        <v>55</v>
      </c>
      <c r="DG912" s="67">
        <f t="shared" si="1825"/>
        <v>74.153000000000006</v>
      </c>
      <c r="DH912" s="76">
        <f t="shared" si="1826"/>
        <v>19</v>
      </c>
      <c r="DI912" s="67">
        <f t="shared" si="1827"/>
        <v>81.47</v>
      </c>
      <c r="DJ912" s="202" t="str">
        <f>IF($D910="","",$D910)</f>
        <v>30</v>
      </c>
      <c r="DK912" s="466"/>
    </row>
    <row r="913" spans="1:115" ht="14.5" customHeight="1" x14ac:dyDescent="0.2">
      <c r="A913" s="459">
        <f>$A910+1</f>
        <v>304</v>
      </c>
      <c r="B913" s="507" t="str">
        <f>IF(OR(C913="W",C914="W",C915="W",C913="1/2W",C914="1/2W",C915="1/2W",C913="1/2L",C914="1/2L",C915="1/2L"),"OK",IF(OR(C913="L",C914="L",C915="L"),"LOSS",IF(OR(C913="X",C914="X",C915="X"),"Anulado"," ")))</f>
        <v>OK</v>
      </c>
      <c r="C913" s="93" t="s">
        <v>54</v>
      </c>
      <c r="D913" s="468" t="str">
        <f>IF(G913="","",$D910)</f>
        <v>30</v>
      </c>
      <c r="E913" s="485" t="str">
        <f>IF(G913=""," ","– "&amp;COUNTIF(D$4:D915,$D913))</f>
        <v>– 10</v>
      </c>
      <c r="F913" s="509" t="str">
        <f ca="1">IF(G913="","",IF(OR(AND($C913&lt;&gt;" ",$C914=" "),AND($C914&lt;&gt;" ",$C913=" "),AND(L915&gt;0,OR(AND($C915&lt;&gt;" ",OR($C913=" ",$C914=" ")),AND($C915=" ",OR($C913&lt;&gt;" ",$C914&lt;&gt;" "))))),IF(SUM(F$4:F912)=0,1,LARGE(F$4:F912,1)+1),IF(MONTH(G913)=MONTH(TODAY()),IF(AND(DAY(G913)&lt;DAY(TODAY()),$B913=" "),IF(SUM(F$4:F912)=0,1,LARGE(F$4:F912,1)+1),IF($B913=" ",IF(AND(DAY(G913)=DAY(TODAY()),HOUR(G913)&lt;=HOUR(NOW())+1),IF(AND(HOUR(G913)+2&lt;=HOUR(NOW()),DAY(G913)&lt;=DAY(TODAY()),MINUTE(G913)&lt;=MINUTE(NOW())),IF(SUM(F$4:F912)=0,1,LARGE(F$4:F912,1)+1),IF(OR(MINUTE(G913)&lt;=MINUTE(NOW()),HOUR(G913)&lt;=HOUR(NOW())),"!!!","")),""),"")),"")))</f>
        <v/>
      </c>
      <c r="G913" s="482">
        <v>45017.416666666664</v>
      </c>
      <c r="H913" s="475" t="s">
        <v>304</v>
      </c>
      <c r="I913" s="175">
        <v>2</v>
      </c>
      <c r="J913" s="176"/>
      <c r="K913" s="96" t="s">
        <v>47</v>
      </c>
      <c r="L913" s="97">
        <v>1.33</v>
      </c>
      <c r="M913" s="98">
        <v>23</v>
      </c>
      <c r="N913" s="478">
        <v>0</v>
      </c>
      <c r="O913" s="99">
        <f>IF(OR(AE913="",AE914=""),"",ROUND(IF(L915&gt;0,IF(M913&gt;0,M913,IF(M914&gt;0,ROUND((M914*AE913)/AE914,IF(N913=0,2,IF(N913=0.1,1,0))),ROUND((M915*AE913)/AE915,IF(N913=0,2,IF(N913=0.1,1,0))))),IF(M913&gt;0,M913,ROUND((M914*AE913)/AE914,IF(N913=0,2,IF(N913=0.1,1,0))))),2))</f>
        <v>23</v>
      </c>
      <c r="P913" s="100">
        <f>IF(OR(L913="",O913=""),"",IF($C913="1/2W",O913/2+O913/2*L913,IF($C913="1/2L",O913/2,IF(I913="Lay",(O913*(L913/(L913-1))-O913)*(1-_xlfn.XLOOKUP(K913,'Fevereiro 2023 - Valor Real'!A3:A15,'Fevereiro 2023 - Valor Real'!C3:C15,0))+O913,(O913*L913-O913)*(1-_xlfn.XLOOKUP(K913,'Fevereiro 2023 - Valor Real'!A3:A15,'Fevereiro 2023 - Valor Real'!C3:C15,0))+O913))))</f>
        <v>30.590000000000003</v>
      </c>
      <c r="Q913" s="101">
        <f>IF(K913="","",IF(_xlfn.XLOOKUP(K913,K$4:K912,$DJ$4:DJ912,0,,-1)=DJ913,_xlfn.XLOOKUP(K913,K$4:K912,Q$4:Q912,1,,-1)+1,1))</f>
        <v>10</v>
      </c>
      <c r="R913" s="102">
        <f>IF(K913="","",_xlfn.XLOOKUP(K913,K$4:K912,R$4:R912,0,,-1)+IF($C913=" ",1,0))</f>
        <v>0</v>
      </c>
      <c r="S913" s="474">
        <f>IF($B913="Anulado",0,ROUND(IF(OR($B913="LOSS",$B913="OK"),IF(OR($C913="W",$C913="1/2W",$C913="1/2L"),P913-O913,IF($C913="L",-O913,0))+IF(OR($C914="W",$C914="1/2W",$C914="1/2L"),P914-O914,IF($C914="L",-O914,0))+IF(OR($C915="W",$C915="1/2W",$C915="1/2L"),P915-O915,IF($C915="L",-O915,0)),IF(AND(OR($C913="W",$C913="1/2W",$C913="1/2L"),C914="W"),P913+P914-SUM(O913:O915)+_xlfn.XLOOKUP("X",C913:C915,O913:O915,0),IF(AND(C913=TRUE,C915="W"),P913+P915-SUM(O913:O915),IF(AND(C914="W",C915="W"),P914+P915-SUM(O913:O915)+_xlfn.XLOOKUP("X",C913:C915,O913:O915,0),IF(L915&gt;0,IF(OR($C913="W",$C913="1/2W",$C913="1/2L"),P913-SUM(O913:O915)+_xlfn.XLOOKUP("X",C913:C915,O913:O915,0),IF(OR($C913="W",$C913="1/2W",$C913="1/2L"),P914-SUM(O913:O915)+_xlfn.XLOOKUP("X",C913:C915,O913:O915,0),IF(OR($C913="W",$C913="1/2W",$C913="1/2L"),P915-SUM(O913:O915)+_xlfn.XLOOKUP("X",C913:C915,O913:O915,0),IF(SUM(P913:P915)/3-SUM(O913:O915)+_xlfn.XLOOKUP("X",C913:C915,O913:O915,0)&gt;0,SUM(P913:P915)/3-SUM(O913:O915)+_xlfn.XLOOKUP("X",C913:C915,O913:O915,0),LARGE(P913:P915,1)-SUM(O913:O915))))),IF(OR($C913="W",$C913="1/2W",$C913="1/2L"),P913-SUM(O913:O914)+_xlfn.XLOOKUP("X",C913:C915,O913:O915,0),IF(OR($C913="W",$C913="1/2W",$C913="1/2L"),P914-SUM(O913:O914)+_xlfn.XLOOKUP("X",C913:C915,O913:O915,0),SUM(P913:P914)/2-SUM(O913:O914)+_xlfn.XLOOKUP("X",C913:C915,O913:O915,0)))))))),2))</f>
        <v>1.48</v>
      </c>
      <c r="T913" s="458">
        <f>IF(S913=0,0,S913/SUM(O913:O915))</f>
        <v>5.0841635176915152E-2</v>
      </c>
      <c r="U913" s="470">
        <f>IF($D913=$D910,IF(OR($B913="LOSS",$B913="OK",$B913="Anulada"),S913,0)+U910,IF(OR($B913="LOSS",$B913="OK",$B913="Anulada"),S913,0))</f>
        <v>25.349999999999998</v>
      </c>
      <c r="V913" s="470">
        <f>IF($D913="",0,IF($D913=$D910,IF($B913=" ",IF(I915="",IF(OR(AND(I913="DNB1",I914="DNB2"),AND(OR(I913="DNB1",I913="DNB2"),J914=0),AND(OR(I914="DNB1",I914="DNB2"),J913=0),AND(I913="DNB2",I914="DNB1"),AND(IF(J913=0,(J913+1)/ROUND(J913+1,0),J913/ROUND(J913,0))=1,IF(J914=0,(J914+1)/ROUND(IF(J914="",0,J914)+1,0),IF(J914="",0,J914)/ROUND(IF(J914="",1,J914),0))=1,OR(J913&lt;&gt;""),J914&lt;&gt;"")),0,IF(S913&lt;0,IF(I915="",SMALL(P913:P914,1)-SUM(O913:O914),0),SMALL(P913:P914,1)-SUM(O913:O914))),IF(S913&lt;0,IF(I915="",SMALL(P913:P915,1)-SUM(O913:O915),0),LARGE(P913:P915,1)-SUM(O913:O915))),S913)+V910,IF(I915="",IF(OR(AND(I913="DNB1",I914="DNB2"),AND(OR(I913="DNB1",I913="DNB2"),J914=0),AND(OR(I914="DNB1",I914="DNB2"),J913=0),AND(I913="DNB2",I914="DNB1"),AND(IF(J913=0,(J913+1)/ROUND(J913+1,0),J913/ROUND(J913,0))=1,IF(J914=0,(IF(J914="",0,J914)+1)/ROUND(IF(J914="",0,J914)+1,0),IF(J914="",0,J914)/ROUND(IF(J914="",0,J914)+1,0))=1,OR(J913&lt;&gt;""),J914&lt;&gt;"")),0,IF(S913&lt;0,IF(I915="",SMALL(P913:P914,1)-SUM(O913:O914),0),SMALL(P913:P915,1)-SUM(O913:O915))),IF(S913&lt;0,IF(I915="",SMALL(P913:P915,1)-SUM(O913:O915),0),LARGE(P913:P915,1)-SUM(O913:O915)))))</f>
        <v>25.35</v>
      </c>
      <c r="W913" s="470">
        <f>IF($D913=$D910,IF(S913&lt;0,IF(I915="",S913,0),S913)+W910,S913)</f>
        <v>25.349999999999998</v>
      </c>
      <c r="X913" s="480" t="str">
        <f>IF(OR(SUM(R913:R915)=0,V913=W913),ROUND(IF(W913=0,0,W913/Y913)*100,2)&amp;"%",ROUND(IF(V913=0,0,V913/Y913)*100,2)&amp;"% a "&amp;ROUND(IF(W913=0,0,W913/Y913)*100,2)&amp;"%")</f>
        <v>5,66%</v>
      </c>
      <c r="Y913" s="471">
        <f>IF($D913=$D910,Y910+SUM(O913:O915),SUM(O913:O915))</f>
        <v>447.84000000000003</v>
      </c>
      <c r="Z913" s="470">
        <f>IF($B913=" ",SUM(O913:O915),0)+Z910</f>
        <v>0</v>
      </c>
      <c r="AA913" s="470">
        <f>IF(G913="","",IF($B913="Anulado",LARGE(P913:P915,1)-SUM(O913:O915)+AA910,AA910))</f>
        <v>14.77109999999999</v>
      </c>
      <c r="AB913" s="470">
        <f>IF($D913="","",AB910+S913)</f>
        <v>1025.8000000000011</v>
      </c>
      <c r="AC913" s="472">
        <f ca="1">IF($D913="","",IF($B913=" ",IF(DAY(G913)=DAY(TODAY()),1+AC910,0+AC910),0+AC910))</f>
        <v>0</v>
      </c>
      <c r="AD913" s="103">
        <f>(((L914/(L914-1)-1)*(1-_xlfn.XLOOKUP(K914,'Fevereiro 2023 - Valor Real'!A3:A15,'Fevereiro 2023 - Valor Real'!C3:C15,0))+1))/(((L913-1)*(1-_xlfn.XLOOKUP(K913,'Fevereiro 2023 - Valor Real'!A3:A15,'Fevereiro 2023 - Valor Real'!C3:C15,0))+1)+((L914/(L914-1)-1)*(1-_xlfn.XLOOKUP(K914,'Fevereiro 2023 - Valor Real'!A3:A15,'Fevereiro 2023 - Valor Real'!C3:C15,0))+1))</f>
        <v>0.45516613563950842</v>
      </c>
      <c r="AE913" s="104">
        <f>IF(L913="","",IF(L915&gt;0,(SUM(((L913-1)*(1-_xlfn.XLOOKUP(K913,'Fevereiro 2023 - Valor Real'!A3:A15,'Fevereiro 2023 - Valor Real'!C3:C15,0))+1),((L914-1)*(1-_xlfn.XLOOKUP(K914,'Fevereiro 2023 - Valor Real'!A3:A15,'Fevereiro 2023 - Valor Real'!C3:C15,0))+1),((L915-1)*(1-_xlfn.XLOOKUP(K915,'Fevereiro 2023 - Valor Real'!A3:A15,'Fevereiro 2023 - Valor Real'!C3:C15,0))+1))/((L913-1)*(1-_xlfn.XLOOKUP(K913,'Fevereiro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Real'!C3:C15,0))+1))/((L913-1)*(1-_xlfn.XLOOKUP(K913,'Fevereiro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Real'!C3:C15,0))+1))/((L914-1)*(1-_xlfn.XLOOKUP(K914,'Fevereiro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Real'!C3:C15,0))+1))/((L915-1)*(1-_xlfn.XLOOKUP(K915,'Fevereiro 2023 - Valor Real'!A3:A15,'Fevereiro 2023 - Valor Real'!C3:C15,0))+1)),IF(I913="Lay",IF(I914="Lay",((L914/(L914-1)-1)*(1-_xlfn.XLOOKUP(K914,'Fevereiro 2023 - Valor Real'!A3:A15,'Fevereiro 2023 - Valor Real'!C3:C15,0))+1)/(((L914/(L914-1)-1)*(1-_xlfn.XLOOKUP(K914,'Fevereiro 2023 - Valor Real'!A3:A15,'Fevereiro 2023 - Valor Real'!C3:C15,0))+1)+((L913/(L913-1)-1)*(1-_xlfn.XLOOKUP(K913,'Fevereiro 2023 - Valor Real'!A3:A15,'Fevereiro 2023 - Valor Real'!C3:C15,0))+1)),((L914-1)*(1-_xlfn.XLOOKUP(K914,'Fevereiro 2023 - Valor Real'!A3:A15,'Fevereiro 2023 - Valor Real'!C3:C15,0))+1)/(((L914-1)*(1-_xlfn.XLOOKUP(K914,'Fevereiro 2023 - Valor Real'!A3:A15,'Fevereiro 2023 - Valor Real'!C3:C15,0))+1)+((L913/(L913-1)-1)*(1-_xlfn.XLOOKUP(K913,'Fevereiro 2023 - Valor Real'!A3:A15,'Fevereiro 2023 - Valor Real'!C3:C15,0))+1))),IF(I914="Lay",(((L914/(L914-1)-1)*(1-_xlfn.XLOOKUP(K914,'Fevereiro 2023 - Valor Real'!A3:A15,'Fevereiro 2023 - Valor Real'!C3:C15,0))+1))/(((L913-1)*(1-_xlfn.XLOOKUP(K913,'Fevereiro 2023 - Valor Real'!A3:A15,'Fevereiro 2023 - Valor Real'!C3:C15,0))+1)+((L914/(L914-1)-1)*(1-_xlfn.XLOOKUP(K914,'Fevereiro 2023 - Valor Real'!A3:A15,'Fevereiro 2023 - Valor Real'!C3:C15,0))+1)),((L914-1)*(1-_xlfn.XLOOKUP(K914,'Fevereiro 2023 - Valor Real'!A3:A15,'Fevereiro 2023 - Valor Real'!C3:C15,0))+1)/(((L914-1)*(1-_xlfn.XLOOKUP(K914,'Fevereiro 2023 - Valor Real'!A3:A15,'Fevereiro 2023 - Valor Real'!C3:C15,0))+1)+((L913-1)*(1-_xlfn.XLOOKUP(K913,'Fevereiro 2023 - Valor Real'!A3:A15,'Fevereiro 2023 - Valor Real'!C3:C15,0))+1))))))</f>
        <v>0.7755120660553807</v>
      </c>
      <c r="AF913" s="105">
        <f t="shared" si="1830"/>
        <v>0</v>
      </c>
      <c r="AG913" s="106">
        <f t="shared" si="1830"/>
        <v>0</v>
      </c>
      <c r="AH913" s="106">
        <f t="shared" si="1830"/>
        <v>0</v>
      </c>
      <c r="AI913" s="106">
        <f t="shared" si="1830"/>
        <v>0</v>
      </c>
      <c r="AJ913" s="106">
        <f t="shared" si="1830"/>
        <v>0</v>
      </c>
      <c r="AK913" s="106">
        <f t="shared" si="1830"/>
        <v>0</v>
      </c>
      <c r="AL913" s="106">
        <f t="shared" si="1830"/>
        <v>0</v>
      </c>
      <c r="AM913" s="106">
        <f t="shared" si="1830"/>
        <v>0</v>
      </c>
      <c r="AN913" s="106">
        <f t="shared" si="1830"/>
        <v>0</v>
      </c>
      <c r="AO913" s="106">
        <f t="shared" si="1830"/>
        <v>0</v>
      </c>
      <c r="AP913" s="106">
        <f t="shared" si="1830"/>
        <v>0</v>
      </c>
      <c r="AQ913" s="106">
        <f t="shared" si="1830"/>
        <v>7.59</v>
      </c>
      <c r="AR913" s="107">
        <f t="shared" si="1830"/>
        <v>0</v>
      </c>
      <c r="AS913" s="105">
        <f t="shared" ref="AS913:BE913" si="1844">IF(AND($B913=" ",$K913=AS$3),$O913,0)</f>
        <v>0</v>
      </c>
      <c r="AT913" s="106">
        <f t="shared" si="1844"/>
        <v>0</v>
      </c>
      <c r="AU913" s="106">
        <f t="shared" si="1844"/>
        <v>0</v>
      </c>
      <c r="AV913" s="106">
        <f t="shared" si="1844"/>
        <v>0</v>
      </c>
      <c r="AW913" s="106">
        <f t="shared" si="1844"/>
        <v>0</v>
      </c>
      <c r="AX913" s="106">
        <f t="shared" si="1844"/>
        <v>0</v>
      </c>
      <c r="AY913" s="108">
        <f t="shared" si="1844"/>
        <v>0</v>
      </c>
      <c r="AZ913" s="109">
        <f t="shared" si="1844"/>
        <v>0</v>
      </c>
      <c r="BA913" s="109">
        <f t="shared" si="1844"/>
        <v>0</v>
      </c>
      <c r="BB913" s="109">
        <f t="shared" si="1844"/>
        <v>0</v>
      </c>
      <c r="BC913" s="110">
        <f t="shared" si="1844"/>
        <v>0</v>
      </c>
      <c r="BD913" s="106">
        <f t="shared" si="1844"/>
        <v>0</v>
      </c>
      <c r="BE913" s="107">
        <f t="shared" si="1844"/>
        <v>0</v>
      </c>
      <c r="BF913" s="111">
        <f t="shared" si="1832"/>
        <v>0</v>
      </c>
      <c r="BG913" s="106">
        <f t="shared" si="1832"/>
        <v>0</v>
      </c>
      <c r="BH913" s="106">
        <f t="shared" si="1832"/>
        <v>0</v>
      </c>
      <c r="BI913" s="106">
        <f t="shared" si="1832"/>
        <v>0</v>
      </c>
      <c r="BJ913" s="106">
        <f t="shared" si="1832"/>
        <v>0</v>
      </c>
      <c r="BK913" s="106">
        <f t="shared" si="1832"/>
        <v>0</v>
      </c>
      <c r="BL913" s="106">
        <f t="shared" si="1832"/>
        <v>0</v>
      </c>
      <c r="BM913" s="108">
        <f t="shared" si="1832"/>
        <v>0</v>
      </c>
      <c r="BN913" s="109">
        <f t="shared" si="1832"/>
        <v>0</v>
      </c>
      <c r="BO913" s="109">
        <f t="shared" si="1832"/>
        <v>0</v>
      </c>
      <c r="BP913" s="109">
        <f t="shared" si="1832"/>
        <v>0</v>
      </c>
      <c r="BQ913" s="110">
        <f t="shared" si="1832"/>
        <v>23</v>
      </c>
      <c r="BR913" s="107">
        <f t="shared" si="1832"/>
        <v>0</v>
      </c>
      <c r="BS913" s="463">
        <f>IF($B913="LOSS",IF(AND($K913=BS$3,$C913="L"),-$O913,0)+IF(AND($K914=BS$3,$C914="L"),-$O914,0)+IF(AND($K915=BS$3,$C915="L"),-$O915,0),IF(OR(AND($K913=BS$3,OR($C913="W",$C913="1/2W")),AND($K914=BS$3,OR($C914="W",$C914="1/2W")),AND($K915=BS$3,OR($C915="W",$C915="1/2W"))),$S913,0))</f>
        <v>0</v>
      </c>
      <c r="BT913" s="462">
        <f>IF($B913="LOSS",IF(AND($K913=BT$3,$C913="L"),-$O913,0)+IF(AND($K914=BT$3,$C914="L"),-$O914,0)+IF(AND($K914=BT$3,$C915="L"),-$O915,0),IF(OR(AND($K914=BT$3,OR($C913="W",$C913="1/2W")),AND($K914=BT$3,OR($C914="W",$C914="1/2W")),AND($K914=BT$3,OR($C915="W",$C915="1/2W"))),$S913,0))</f>
        <v>0</v>
      </c>
      <c r="BU913" s="462">
        <f>IF($B913="LOSS",IF(AND($K913=BU$3,$C913="L"),-$O913,0)+IF(AND($K914=BU$3,$C914="L"),-$O914,0)+IF(AND($K914=BU$3,$C915="L"),-$O915,0),IF(OR(AND($K914=BU$3,OR($C913="W",$C913="1/2W")),AND($K914=BU$3,OR($C914="W",$C914="1/2W")),AND($K914=BU$3,OR($C915="W",$C915="1/2W"))),$S913,0))</f>
        <v>0</v>
      </c>
      <c r="BV913" s="462">
        <f t="shared" ref="BV913:CE913" si="1845">IF($B913="LOSS",IF(AND($K913=BV$3,$C913="L"),-$O913,0)+IF(AND($K914=BV$3,$C914="L"),-$O914,0)+IF(AND($K915=BV$3,$C915="L"),-$O915,0),IF(OR(AND($K913=BV$3,OR($C913="W",$C913="1/2W")),AND($K914=BV$3,OR($C914="W",$C914="1/2W")),AND($K915=BV$3,OR($C915="W",$C915="1/2W"))),$S913,0))</f>
        <v>0</v>
      </c>
      <c r="BW913" s="462">
        <f t="shared" si="1845"/>
        <v>0</v>
      </c>
      <c r="BX913" s="462">
        <f t="shared" si="1845"/>
        <v>0</v>
      </c>
      <c r="BY913" s="462">
        <f t="shared" si="1845"/>
        <v>0</v>
      </c>
      <c r="BZ913" s="460">
        <f t="shared" si="1845"/>
        <v>0</v>
      </c>
      <c r="CA913" s="460">
        <f t="shared" si="1845"/>
        <v>0</v>
      </c>
      <c r="CB913" s="460">
        <f t="shared" si="1845"/>
        <v>0</v>
      </c>
      <c r="CC913" s="460">
        <f t="shared" si="1845"/>
        <v>0</v>
      </c>
      <c r="CD913" s="473">
        <f t="shared" si="1845"/>
        <v>1.48</v>
      </c>
      <c r="CE913" s="479">
        <f t="shared" si="1845"/>
        <v>0</v>
      </c>
      <c r="CF913" s="113">
        <f t="shared" si="1796"/>
        <v>0</v>
      </c>
      <c r="CG913" s="114">
        <f t="shared" si="1797"/>
        <v>0</v>
      </c>
      <c r="CH913" s="114">
        <f t="shared" si="1798"/>
        <v>0</v>
      </c>
      <c r="CI913" s="114">
        <f t="shared" si="1799"/>
        <v>0</v>
      </c>
      <c r="CJ913" s="114">
        <f t="shared" si="1800"/>
        <v>0</v>
      </c>
      <c r="CK913" s="114">
        <f t="shared" si="1801"/>
        <v>0</v>
      </c>
      <c r="CL913" s="114">
        <f t="shared" si="1802"/>
        <v>0</v>
      </c>
      <c r="CM913" s="114">
        <f t="shared" si="1803"/>
        <v>0</v>
      </c>
      <c r="CN913" s="114">
        <f t="shared" si="1804"/>
        <v>0</v>
      </c>
      <c r="CO913" s="114">
        <f t="shared" si="1805"/>
        <v>0</v>
      </c>
      <c r="CP913" s="114">
        <f t="shared" si="1806"/>
        <v>0</v>
      </c>
      <c r="CQ913" s="114">
        <f t="shared" si="1807"/>
        <v>0</v>
      </c>
      <c r="CR913" s="114">
        <f t="shared" si="1808"/>
        <v>0</v>
      </c>
      <c r="CS913" s="114">
        <f t="shared" si="1809"/>
        <v>0</v>
      </c>
      <c r="CT913" s="115">
        <f t="shared" si="1810"/>
        <v>0</v>
      </c>
      <c r="CU913" s="116">
        <f t="shared" si="1811"/>
        <v>0</v>
      </c>
      <c r="CV913" s="116">
        <f t="shared" si="1812"/>
        <v>0</v>
      </c>
      <c r="CW913" s="116">
        <f t="shared" si="1813"/>
        <v>0</v>
      </c>
      <c r="CX913" s="116">
        <f t="shared" si="1814"/>
        <v>0</v>
      </c>
      <c r="CY913" s="116">
        <f t="shared" si="1815"/>
        <v>0</v>
      </c>
      <c r="CZ913" s="116">
        <f t="shared" si="1816"/>
        <v>0</v>
      </c>
      <c r="DA913" s="116">
        <f t="shared" si="1817"/>
        <v>0</v>
      </c>
      <c r="DB913" s="116">
        <f t="shared" si="1818"/>
        <v>1</v>
      </c>
      <c r="DC913" s="116">
        <f t="shared" si="1819"/>
        <v>0</v>
      </c>
      <c r="DD913" s="116">
        <f t="shared" si="1820"/>
        <v>0</v>
      </c>
      <c r="DE913" s="117">
        <f t="shared" si="1821"/>
        <v>0</v>
      </c>
      <c r="DF913" s="118">
        <f t="shared" si="1824"/>
        <v>56</v>
      </c>
      <c r="DG913" s="106">
        <f t="shared" si="1825"/>
        <v>75.483000000000004</v>
      </c>
      <c r="DH913" s="116">
        <f t="shared" si="1826"/>
        <v>19</v>
      </c>
      <c r="DI913" s="106">
        <f t="shared" si="1827"/>
        <v>81.47</v>
      </c>
      <c r="DJ913" s="201" t="str">
        <f>IF($D913="","",$D913)</f>
        <v>30</v>
      </c>
      <c r="DK913" s="465">
        <f>IF(AND($B913=" ",$D913&lt;&gt;""),1,0)</f>
        <v>0</v>
      </c>
    </row>
    <row r="914" spans="1:115" ht="14.5" customHeight="1" x14ac:dyDescent="0.2">
      <c r="A914" s="389"/>
      <c r="B914" s="456"/>
      <c r="C914" s="120" t="s">
        <v>55</v>
      </c>
      <c r="D914" s="374"/>
      <c r="E914" s="386"/>
      <c r="F914" s="377"/>
      <c r="G914" s="483"/>
      <c r="H914" s="476"/>
      <c r="I914" s="121" t="s">
        <v>49</v>
      </c>
      <c r="J914" s="179" t="str">
        <f>IF(OR(I913="TO",I913="TU",I913="TO1",I913="TU1",I913="TO2",I913="TU2"),J913,IF(OR(I913="AH1",I913="AH2"),IF(OR(I914="AH1",I914="AH2"),-J913,IF(OR(I914="EH1",I914="EH2"),-J913+0.5,"")),IF(OR(I913="EH1",I913="EH2"),IF(OR(I914="AH1",I914="AH2"),-J913+0.5,IF(OR(I914="EH1",I914="EH2"),-J913+1,"")),IF(AND(OR(I913="DNB1",I913="DNB2"),OR(I914="AH1",I914="AH2")),0,IF(AND(I913="Not ScoreBoth",OR(I914="TO1",I914="TO2")),0.5,"")))))</f>
        <v/>
      </c>
      <c r="K914" s="123" t="s">
        <v>39</v>
      </c>
      <c r="L914" s="124">
        <v>10</v>
      </c>
      <c r="M914" s="125">
        <v>2.62</v>
      </c>
      <c r="N914" s="406"/>
      <c r="O914" s="126">
        <f>IF(OR(AE913="",AE914=""),"",ROUND(IF(L915&gt;0,IF(M914&gt;0,M914,IF(M913&gt;0,IF(N913=TRUE,ROUND((M913*AE914)/AE913,0),(M913*AE914)/AE913),IF(M914&gt;0,ROUND(M914,IF(N913=0,2,IF(N913=0.1,1,0))),IF(M915&gt;0,ROUND(O915*AE914/AE915,IF(N913=0,2,IF(N913=0.1,1,0))),0)))),IF(M914&gt;0,M914,ROUND((M913*AE914)/AE913,IF(N913=0,2,IF(N913=0.1,1,0))))),2))</f>
        <v>2.62</v>
      </c>
      <c r="P914" s="127">
        <f>IF(OR(L914="",O914=""),"",IF($C914="1/2W",O914/2+O914/2*L914,IF($C914="1/2L",O914/2,IF(I914="Lay",((O914*(L914/(L914-1)))-O914)*(1-_xlfn.XLOOKUP(K914,'Fevereiro 2023 - Valor Real'!A3:A15,'Fevereiro 2023 - Valor Real'!C3:C15,0))+O914,(O914*L914-O914)*(1-_xlfn.XLOOKUP(K914,'Fevereiro 2023 - Valor Real'!A3:A15,'Fevereiro 2023 - Valor Real'!C3:C15,0))+O914))))</f>
        <v>26.200000000000003</v>
      </c>
      <c r="Q914" s="128">
        <f>IF(K914="","",IF(_xlfn.XLOOKUP(K914,K$4:K913,$DJ$4:DJ913,0,,-1)=DJ914,_xlfn.XLOOKUP(K914,K$4:K913,Q$4:Q913,1,,-1)+1,1))</f>
        <v>3</v>
      </c>
      <c r="R914" s="129">
        <f>IF(K914="","",_xlfn.XLOOKUP(K914,K$4:K913,R$4:R913,0,,-1)+IF($C914=" ",1,0))</f>
        <v>0</v>
      </c>
      <c r="S914" s="403"/>
      <c r="T914" s="380"/>
      <c r="U914" s="380"/>
      <c r="V914" s="481"/>
      <c r="W914" s="380"/>
      <c r="X914" s="452"/>
      <c r="Y914" s="383"/>
      <c r="Z914" s="384"/>
      <c r="AA914" s="384"/>
      <c r="AB914" s="384"/>
      <c r="AC914" s="384"/>
      <c r="AD914" s="130">
        <f>(((L914/(L914-1)-1)*(1-_xlfn.XLOOKUP(K914,'Fevereiro 2023 - Valor Real'!A3:A15,'Fevereiro 2023 - Valor Real'!C3:C15,0))+1))</f>
        <v>1.1111111111111112</v>
      </c>
      <c r="AE914" s="131">
        <f>IF(L914="","",IF(L915&gt;0,(SUM(((L913-1)*(1-_xlfn.XLOOKUP(K913,'Fevereiro 2023 - Valor Real'!A3:A15,'Fevereiro 2023 - Valor Real'!C3:C15,0))+1),((L914-1)*(1-_xlfn.XLOOKUP(K914,'Fevereiro 2023 - Valor Real'!A3:A15,'Fevereiro 2023 - Valor Real'!C3:C15,0))+1),((L915-1)*(1-_xlfn.XLOOKUP(K915,'Fevereiro 2023 - Valor Real'!A3:A15,'Fevereiro 2023 - Valor Real'!C3:C15,0))+1))/((L914-1)*(1-_xlfn.XLOOKUP(K914,'Fevereiro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Real'!C3:C15,0))+1))/((L913-1)*(1-_xlfn.XLOOKUP(K913,'Fevereiro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Real'!C3:C15,0))+1))/((L914-1)*(1-_xlfn.XLOOKUP(K914,'Fevereiro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Real'!C3:C15,0))+1))/((L915-1)*(1-_xlfn.XLOOKUP(K915,'Fevereiro 2023 - Valor Real'!A3:A15,'Fevereiro 2023 - Valor Real'!C3:C15,0))+1)),IF(I914="Lay",IF(I913="Lay",((L913/(L913-1)-1)*(1-_xlfn.XLOOKUP(K913,'Fevereiro 2023 - Valor Real'!A3:A15,'Fevereiro 2023 - Valor Real'!C3:C15,0))+1)/(((L913/(L913-1)-1)*(1-_xlfn.XLOOKUP(K913,'Fevereiro 2023 - Valor Real'!A3:A15,'Fevereiro 2023 - Valor Real'!C3:C15,0))+1)+((L914/(L914-1)-1)*(1-_xlfn.XLOOKUP(K914,'Fevereiro 2023 - Valor Real'!A3:A15,'Fevereiro 2023 - Valor Real'!C3:C15,0))+1)),((L913-1)*(1-_xlfn.XLOOKUP(K913,'Fevereiro 2023 - Valor Real'!A3:A15,'Fevereiro 2023 - Valor Real'!C3:C15,0))+1)/(((L913-1)*(1-_xlfn.XLOOKUP(K913,'Fevereiro 2023 - Valor Real'!A3:A15,'Fevereiro 2023 - Valor Real'!C3:C15,0))+1)+((L914/(L914-1)-1)*(1-_xlfn.XLOOKUP(K914,'Fevereiro 2023 - Valor Real'!A3:A15,'Fevereiro 2023 - Valor Real'!C3:C15,0))+1))),IF(I913="Lay",((L913/(L913-1)-1)*(1-_xlfn.XLOOKUP(K913,'Fevereiro 2023 - Valor Real'!A3:A15,'Fevereiro 2023 - Valor Real'!C3:C15,0))+1)/((((L913/(L913-1)-1)*(1-_xlfn.XLOOKUP(K913,'Fevereiro 2023 - Valor Real'!A3:A15,'Fevereiro 2023 - Valor Real'!C3:C15,0))+1))+((L914-1)*(1-_xlfn.XLOOKUP(K914,'Fevereiro 2023 - Valor Real'!A3:A15,'Fevereiro 2023 - Valor Real'!C3:C15,0))+1)),((L913-1)*(1-_xlfn.XLOOKUP(K913,'Fevereiro 2023 - Valor Real'!A3:A15,'Fevereiro 2023 - Valor Real'!C3:C15,0))+1)/(((L913-1)*(1-_xlfn.XLOOKUP(K913,'Fevereiro 2023 - Valor Real'!A3:A15,'Fevereiro 2023 - Valor Real'!C3:C15,0))+1)+((L914-1)*(1-_xlfn.XLOOKUP(K914,'Fevereiro 2023 - Valor Real'!A3:A15,'Fevereiro 2023 - Valor Real'!C3:C15,0))+1))))))</f>
        <v>0.10314310478536563</v>
      </c>
      <c r="AF914" s="105">
        <f t="shared" ref="AF914:AR923" si="1846">IF($K914=AF$3,ROUND(IF(OR($C914="W",$C914="1/2W",$C914="1/2L"),$P914-$O914,IF($C914="X",0,-$O914)),2),0)</f>
        <v>0</v>
      </c>
      <c r="AG914" s="106">
        <f t="shared" si="1846"/>
        <v>0</v>
      </c>
      <c r="AH914" s="106">
        <f t="shared" si="1846"/>
        <v>0</v>
      </c>
      <c r="AI914" s="106">
        <f t="shared" si="1846"/>
        <v>-2.62</v>
      </c>
      <c r="AJ914" s="106">
        <f t="shared" si="1846"/>
        <v>0</v>
      </c>
      <c r="AK914" s="106">
        <f t="shared" si="1846"/>
        <v>0</v>
      </c>
      <c r="AL914" s="106">
        <f t="shared" si="1846"/>
        <v>0</v>
      </c>
      <c r="AM914" s="106">
        <f t="shared" si="1846"/>
        <v>0</v>
      </c>
      <c r="AN914" s="106">
        <f t="shared" si="1846"/>
        <v>0</v>
      </c>
      <c r="AO914" s="106">
        <f t="shared" si="1846"/>
        <v>0</v>
      </c>
      <c r="AP914" s="106">
        <f t="shared" si="1846"/>
        <v>0</v>
      </c>
      <c r="AQ914" s="106">
        <f t="shared" si="1846"/>
        <v>0</v>
      </c>
      <c r="AR914" s="107">
        <f t="shared" si="1846"/>
        <v>0</v>
      </c>
      <c r="AS914" s="105">
        <f>IF(AND($B913=" ",$K914=AS$3),$O914,0)</f>
        <v>0</v>
      </c>
      <c r="AT914" s="106">
        <f>IF(AND($B913=" ",K914=AT$3),$O914,0)</f>
        <v>0</v>
      </c>
      <c r="AU914" s="106">
        <f t="shared" ref="AU914:BE914" si="1847">IF(AND($B913=" ",$K914=AU$3),$O914,0)</f>
        <v>0</v>
      </c>
      <c r="AV914" s="106">
        <f t="shared" si="1847"/>
        <v>0</v>
      </c>
      <c r="AW914" s="106">
        <f t="shared" si="1847"/>
        <v>0</v>
      </c>
      <c r="AX914" s="106">
        <f t="shared" si="1847"/>
        <v>0</v>
      </c>
      <c r="AY914" s="108">
        <f t="shared" si="1847"/>
        <v>0</v>
      </c>
      <c r="AZ914" s="109">
        <f t="shared" si="1847"/>
        <v>0</v>
      </c>
      <c r="BA914" s="109">
        <f t="shared" si="1847"/>
        <v>0</v>
      </c>
      <c r="BB914" s="109">
        <f t="shared" si="1847"/>
        <v>0</v>
      </c>
      <c r="BC914" s="110">
        <f t="shared" si="1847"/>
        <v>0</v>
      </c>
      <c r="BD914" s="106">
        <f t="shared" si="1847"/>
        <v>0</v>
      </c>
      <c r="BE914" s="107">
        <f t="shared" si="1847"/>
        <v>0</v>
      </c>
      <c r="BF914" s="105">
        <f t="shared" ref="BF914:BR923" si="1848">IF($K914=BF$3,IF($C914="X",0,$O914),0)</f>
        <v>0</v>
      </c>
      <c r="BG914" s="106">
        <f t="shared" si="1848"/>
        <v>0</v>
      </c>
      <c r="BH914" s="106">
        <f t="shared" si="1848"/>
        <v>0</v>
      </c>
      <c r="BI914" s="106">
        <f t="shared" si="1848"/>
        <v>2.62</v>
      </c>
      <c r="BJ914" s="106">
        <f t="shared" si="1848"/>
        <v>0</v>
      </c>
      <c r="BK914" s="106">
        <f t="shared" si="1848"/>
        <v>0</v>
      </c>
      <c r="BL914" s="106">
        <f t="shared" si="1848"/>
        <v>0</v>
      </c>
      <c r="BM914" s="132">
        <f t="shared" si="1848"/>
        <v>0</v>
      </c>
      <c r="BN914" s="112">
        <f t="shared" si="1848"/>
        <v>0</v>
      </c>
      <c r="BO914" s="112">
        <f t="shared" si="1848"/>
        <v>0</v>
      </c>
      <c r="BP914" s="112">
        <f t="shared" si="1848"/>
        <v>0</v>
      </c>
      <c r="BQ914" s="110">
        <f t="shared" si="1848"/>
        <v>0</v>
      </c>
      <c r="BR914" s="107">
        <f t="shared" si="1848"/>
        <v>0</v>
      </c>
      <c r="BS914" s="464"/>
      <c r="BT914" s="461"/>
      <c r="BU914" s="392"/>
      <c r="BV914" s="461"/>
      <c r="BW914" s="392"/>
      <c r="BX914" s="392"/>
      <c r="BY914" s="392"/>
      <c r="BZ914" s="461"/>
      <c r="CA914" s="392"/>
      <c r="CB914" s="392"/>
      <c r="CC914" s="392"/>
      <c r="CD914" s="401"/>
      <c r="CE914" s="409"/>
      <c r="CF914" s="133">
        <f t="shared" si="1796"/>
        <v>0</v>
      </c>
      <c r="CG914" s="134">
        <f t="shared" si="1797"/>
        <v>0</v>
      </c>
      <c r="CH914" s="134">
        <f t="shared" si="1798"/>
        <v>0</v>
      </c>
      <c r="CI914" s="134">
        <f t="shared" si="1799"/>
        <v>0</v>
      </c>
      <c r="CJ914" s="134">
        <f t="shared" si="1800"/>
        <v>0</v>
      </c>
      <c r="CK914" s="134">
        <f t="shared" si="1801"/>
        <v>0</v>
      </c>
      <c r="CL914" s="134">
        <f t="shared" si="1802"/>
        <v>0</v>
      </c>
      <c r="CM914" s="134">
        <f t="shared" si="1803"/>
        <v>1</v>
      </c>
      <c r="CN914" s="134">
        <f t="shared" si="1804"/>
        <v>0</v>
      </c>
      <c r="CO914" s="134">
        <f t="shared" si="1805"/>
        <v>0</v>
      </c>
      <c r="CP914" s="134">
        <f t="shared" si="1806"/>
        <v>0</v>
      </c>
      <c r="CQ914" s="134">
        <f t="shared" si="1807"/>
        <v>0</v>
      </c>
      <c r="CR914" s="134">
        <f t="shared" si="1808"/>
        <v>0</v>
      </c>
      <c r="CS914" s="134">
        <f t="shared" si="1809"/>
        <v>0</v>
      </c>
      <c r="CT914" s="115">
        <f t="shared" si="1810"/>
        <v>0</v>
      </c>
      <c r="CU914" s="116">
        <f t="shared" si="1811"/>
        <v>0</v>
      </c>
      <c r="CV914" s="116">
        <f t="shared" si="1812"/>
        <v>0</v>
      </c>
      <c r="CW914" s="116">
        <f t="shared" si="1813"/>
        <v>0</v>
      </c>
      <c r="CX914" s="116">
        <f t="shared" si="1814"/>
        <v>0</v>
      </c>
      <c r="CY914" s="116">
        <f t="shared" si="1815"/>
        <v>0</v>
      </c>
      <c r="CZ914" s="116">
        <f t="shared" si="1816"/>
        <v>0</v>
      </c>
      <c r="DA914" s="116">
        <f t="shared" si="1817"/>
        <v>0</v>
      </c>
      <c r="DB914" s="116">
        <f t="shared" si="1818"/>
        <v>0</v>
      </c>
      <c r="DC914" s="116">
        <f t="shared" si="1819"/>
        <v>0</v>
      </c>
      <c r="DD914" s="116">
        <f t="shared" si="1820"/>
        <v>0</v>
      </c>
      <c r="DE914" s="117">
        <f t="shared" si="1821"/>
        <v>0</v>
      </c>
      <c r="DF914" s="118">
        <f t="shared" si="1824"/>
        <v>56</v>
      </c>
      <c r="DG914" s="106">
        <f t="shared" si="1825"/>
        <v>75.483000000000004</v>
      </c>
      <c r="DH914" s="116">
        <f t="shared" si="1826"/>
        <v>19</v>
      </c>
      <c r="DI914" s="106">
        <f t="shared" si="1827"/>
        <v>81.47</v>
      </c>
      <c r="DJ914" s="201" t="str">
        <f>IF($D913="","",$D913)</f>
        <v>30</v>
      </c>
      <c r="DK914" s="466"/>
    </row>
    <row r="915" spans="1:115" ht="14.5" customHeight="1" x14ac:dyDescent="0.2">
      <c r="A915" s="390"/>
      <c r="B915" s="457"/>
      <c r="C915" s="135" t="s">
        <v>55</v>
      </c>
      <c r="D915" s="375"/>
      <c r="E915" s="387"/>
      <c r="F915" s="378"/>
      <c r="G915" s="484"/>
      <c r="H915" s="477"/>
      <c r="I915" s="203" t="s">
        <v>63</v>
      </c>
      <c r="J915" s="137"/>
      <c r="K915" s="193" t="s">
        <v>47</v>
      </c>
      <c r="L915" s="194">
        <v>8.5</v>
      </c>
      <c r="M915" s="140">
        <v>3.49</v>
      </c>
      <c r="N915" s="407"/>
      <c r="O915" s="195">
        <f>IF(OR(AE913="",AE914=""),"",IF(L915&gt;0,ROUND(IF(M915&gt;0,M915,IF(M913&gt;0,ROUND((M913*AE915)/AE913,IF(N913=0,2,IF(N913=0.1,1,0))),IF(M914&gt;0,ROUND((M914*AE915)/AE914,IF(N913=0,2,IF(N913=0.1,1,0))),IF(M915&gt;0,M915,0)))),2),""))</f>
        <v>3.49</v>
      </c>
      <c r="P915" s="196">
        <f>IF(I914="Lay",O914*(L914/(L914-1))-O914,IF(I913="Lay",O913*(L913/(L913-1))-O913,IF(OR(L915="",O915=""),"",IF($C915="1/2W",O915/2+O915/2*L915,IF($C915="1/2L",O915/2,(O915*L915-O915)*(1-_xlfn.XLOOKUP(K915,'Fevereiro 2023 - Valor Real'!A3:A15,'Fevereiro 2023 - Valor Real'!C3:C15,0))+O915)))))</f>
        <v>29.665000000000006</v>
      </c>
      <c r="Q915" s="128">
        <f>IF(K915="","",IF(_xlfn.XLOOKUP(K915,K$4:K914,$DJ$4:DJ914,0,,-1)=DJ915,_xlfn.XLOOKUP(K915,K$4:K914,Q$4:Q914,1,,-1)+1,1))</f>
        <v>11</v>
      </c>
      <c r="R915" s="198">
        <f>IF(K915="","",_xlfn.XLOOKUP(K915,K$4:K914,R$4:R914,0,,-1)+IF($C915=" ",1,0))</f>
        <v>0</v>
      </c>
      <c r="S915" s="404"/>
      <c r="T915" s="378"/>
      <c r="U915" s="378"/>
      <c r="V915" s="404"/>
      <c r="W915" s="378"/>
      <c r="X915" s="453"/>
      <c r="Y915" s="383"/>
      <c r="Z915" s="384"/>
      <c r="AA915" s="384"/>
      <c r="AB915" s="384"/>
      <c r="AC915" s="384"/>
      <c r="AD915" s="145">
        <f>((L914/(L914-1)-1))</f>
        <v>0.11111111111111116</v>
      </c>
      <c r="AE915" s="199">
        <f>IF(L915="","",(SUM(((L913-1)*(1-_xlfn.XLOOKUP(K913,'Fevereiro 2023 - Valor Real'!A3:A15,'Fevereiro 2023 - Valor Real'!C3:C15,0))+1),((L914-1)*(1-_xlfn.XLOOKUP(K914,'Fevereiro 2023 - Valor Real'!A3:A15,'Fevereiro 2023 - Valor Real'!C3:C15,0))+1),((L915-1)*(1-_xlfn.XLOOKUP(K915,'Fevereiro 2023 - Valor Real'!A3:A15,'Fevereiro 2023 - Valor Real'!C3:C15,0))+1))/((L915-1)*(1-_xlfn.XLOOKUP(K915,'Fevereiro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Real'!C3:C15,0))+1))/((L913-1)*(1-_xlfn.XLOOKUP(K913,'Fevereiro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Real'!C3:C15,0))+1))/((L914-1)*(1-_xlfn.XLOOKUP(K914,'Fevereiro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Real'!C3:C15,0))+1))/((L915-1)*(1-_xlfn.XLOOKUP(K915,'Fevereiro 2023 - Valor Real'!A3:A15,'Fevereiro 2023 - Valor Real'!C3:C15,0))+1)))</f>
        <v>0.12134482915925368</v>
      </c>
      <c r="AF915" s="105">
        <f t="shared" si="1846"/>
        <v>0</v>
      </c>
      <c r="AG915" s="106">
        <f t="shared" si="1846"/>
        <v>0</v>
      </c>
      <c r="AH915" s="106">
        <f t="shared" si="1846"/>
        <v>0</v>
      </c>
      <c r="AI915" s="106">
        <f t="shared" si="1846"/>
        <v>0</v>
      </c>
      <c r="AJ915" s="106">
        <f t="shared" si="1846"/>
        <v>0</v>
      </c>
      <c r="AK915" s="106">
        <f t="shared" si="1846"/>
        <v>0</v>
      </c>
      <c r="AL915" s="106">
        <f t="shared" si="1846"/>
        <v>0</v>
      </c>
      <c r="AM915" s="106">
        <f t="shared" si="1846"/>
        <v>0</v>
      </c>
      <c r="AN915" s="106">
        <f t="shared" si="1846"/>
        <v>0</v>
      </c>
      <c r="AO915" s="106">
        <f t="shared" si="1846"/>
        <v>0</v>
      </c>
      <c r="AP915" s="106">
        <f t="shared" si="1846"/>
        <v>0</v>
      </c>
      <c r="AQ915" s="106">
        <f t="shared" si="1846"/>
        <v>-3.49</v>
      </c>
      <c r="AR915" s="107">
        <f t="shared" si="1846"/>
        <v>0</v>
      </c>
      <c r="AS915" s="105">
        <f>IF(AND($B913=" ",$K915=AS$3),$O915,0)</f>
        <v>0</v>
      </c>
      <c r="AT915" s="106">
        <f>IF(AND($B913=" ",K915=AT$3),$O915,0)</f>
        <v>0</v>
      </c>
      <c r="AU915" s="106">
        <f t="shared" ref="AU915:BE915" si="1849">IF(AND($B913=" ",$K915=AU$3),$O915,0)</f>
        <v>0</v>
      </c>
      <c r="AV915" s="106">
        <f t="shared" si="1849"/>
        <v>0</v>
      </c>
      <c r="AW915" s="106">
        <f t="shared" si="1849"/>
        <v>0</v>
      </c>
      <c r="AX915" s="106">
        <f t="shared" si="1849"/>
        <v>0</v>
      </c>
      <c r="AY915" s="108">
        <f t="shared" si="1849"/>
        <v>0</v>
      </c>
      <c r="AZ915" s="109">
        <f t="shared" si="1849"/>
        <v>0</v>
      </c>
      <c r="BA915" s="109">
        <f t="shared" si="1849"/>
        <v>0</v>
      </c>
      <c r="BB915" s="109">
        <f t="shared" si="1849"/>
        <v>0</v>
      </c>
      <c r="BC915" s="110">
        <f t="shared" si="1849"/>
        <v>0</v>
      </c>
      <c r="BD915" s="106">
        <f t="shared" si="1849"/>
        <v>0</v>
      </c>
      <c r="BE915" s="107">
        <f t="shared" si="1849"/>
        <v>0</v>
      </c>
      <c r="BF915" s="105">
        <f t="shared" si="1848"/>
        <v>0</v>
      </c>
      <c r="BG915" s="106">
        <f t="shared" si="1848"/>
        <v>0</v>
      </c>
      <c r="BH915" s="106">
        <f t="shared" si="1848"/>
        <v>0</v>
      </c>
      <c r="BI915" s="106">
        <f t="shared" si="1848"/>
        <v>0</v>
      </c>
      <c r="BJ915" s="106">
        <f t="shared" si="1848"/>
        <v>0</v>
      </c>
      <c r="BK915" s="106">
        <f t="shared" si="1848"/>
        <v>0</v>
      </c>
      <c r="BL915" s="106">
        <f t="shared" si="1848"/>
        <v>0</v>
      </c>
      <c r="BM915" s="108">
        <f t="shared" si="1848"/>
        <v>0</v>
      </c>
      <c r="BN915" s="109">
        <f t="shared" si="1848"/>
        <v>0</v>
      </c>
      <c r="BO915" s="109">
        <f t="shared" si="1848"/>
        <v>0</v>
      </c>
      <c r="BP915" s="109">
        <f t="shared" si="1848"/>
        <v>0</v>
      </c>
      <c r="BQ915" s="110">
        <f t="shared" si="1848"/>
        <v>3.49</v>
      </c>
      <c r="BR915" s="107">
        <f t="shared" si="1848"/>
        <v>0</v>
      </c>
      <c r="BS915" s="464"/>
      <c r="BT915" s="461"/>
      <c r="BU915" s="392"/>
      <c r="BV915" s="461"/>
      <c r="BW915" s="392"/>
      <c r="BX915" s="392"/>
      <c r="BY915" s="392"/>
      <c r="BZ915" s="461"/>
      <c r="CA915" s="392"/>
      <c r="CB915" s="392"/>
      <c r="CC915" s="392"/>
      <c r="CD915" s="401"/>
      <c r="CE915" s="409"/>
      <c r="CF915" s="133">
        <f t="shared" si="1796"/>
        <v>0</v>
      </c>
      <c r="CG915" s="134">
        <f t="shared" si="1797"/>
        <v>0</v>
      </c>
      <c r="CH915" s="134">
        <f t="shared" si="1798"/>
        <v>0</v>
      </c>
      <c r="CI915" s="134">
        <f t="shared" si="1799"/>
        <v>0</v>
      </c>
      <c r="CJ915" s="134">
        <f t="shared" si="1800"/>
        <v>0</v>
      </c>
      <c r="CK915" s="134">
        <f t="shared" si="1801"/>
        <v>0</v>
      </c>
      <c r="CL915" s="134">
        <f t="shared" si="1802"/>
        <v>0</v>
      </c>
      <c r="CM915" s="134">
        <f t="shared" si="1803"/>
        <v>0</v>
      </c>
      <c r="CN915" s="134">
        <f t="shared" si="1804"/>
        <v>0</v>
      </c>
      <c r="CO915" s="134">
        <f t="shared" si="1805"/>
        <v>0</v>
      </c>
      <c r="CP915" s="134">
        <f t="shared" si="1806"/>
        <v>0</v>
      </c>
      <c r="CQ915" s="134">
        <f t="shared" si="1807"/>
        <v>0</v>
      </c>
      <c r="CR915" s="134">
        <f t="shared" si="1808"/>
        <v>0</v>
      </c>
      <c r="CS915" s="134">
        <f t="shared" si="1809"/>
        <v>0</v>
      </c>
      <c r="CT915" s="115">
        <f t="shared" si="1810"/>
        <v>0</v>
      </c>
      <c r="CU915" s="116">
        <f t="shared" si="1811"/>
        <v>0</v>
      </c>
      <c r="CV915" s="116">
        <f t="shared" si="1812"/>
        <v>0</v>
      </c>
      <c r="CW915" s="116">
        <f t="shared" si="1813"/>
        <v>0</v>
      </c>
      <c r="CX915" s="116">
        <f t="shared" si="1814"/>
        <v>0</v>
      </c>
      <c r="CY915" s="116">
        <f t="shared" si="1815"/>
        <v>0</v>
      </c>
      <c r="CZ915" s="116">
        <f t="shared" si="1816"/>
        <v>0</v>
      </c>
      <c r="DA915" s="116">
        <f t="shared" si="1817"/>
        <v>0</v>
      </c>
      <c r="DB915" s="116">
        <f t="shared" si="1818"/>
        <v>0</v>
      </c>
      <c r="DC915" s="116">
        <f t="shared" si="1819"/>
        <v>1</v>
      </c>
      <c r="DD915" s="116">
        <f t="shared" si="1820"/>
        <v>0</v>
      </c>
      <c r="DE915" s="117">
        <f t="shared" si="1821"/>
        <v>0</v>
      </c>
      <c r="DF915" s="118">
        <f t="shared" si="1824"/>
        <v>56</v>
      </c>
      <c r="DG915" s="106">
        <f t="shared" si="1825"/>
        <v>75.483000000000004</v>
      </c>
      <c r="DH915" s="116">
        <f t="shared" si="1826"/>
        <v>19</v>
      </c>
      <c r="DI915" s="106">
        <f t="shared" si="1827"/>
        <v>81.47</v>
      </c>
      <c r="DJ915" s="201" t="str">
        <f>IF($D913="","",$D913)</f>
        <v>30</v>
      </c>
      <c r="DK915" s="466"/>
    </row>
    <row r="916" spans="1:115" ht="14.5" customHeight="1" x14ac:dyDescent="0.2">
      <c r="A916" s="487">
        <f>$A913+1</f>
        <v>305</v>
      </c>
      <c r="B916" s="506" t="str">
        <f>IF(OR(C916="W",C917="W",C918="W",C916="1/2W",C917="1/2W",C918="1/2W",C916="1/2L",C917="1/2L",C918="1/2L"),"OK",IF(OR(C916="L",C917="L",C918="L"),"LOSS",IF(OR(C916="X",C917="X",C918="X"),"Anulado"," ")))</f>
        <v>OK</v>
      </c>
      <c r="C916" s="147" t="s">
        <v>54</v>
      </c>
      <c r="D916" s="494" t="s">
        <v>305</v>
      </c>
      <c r="E916" s="511" t="str">
        <f>IF(G916=""," ","– "&amp;COUNTIF(D$4:D918,$D916))</f>
        <v>– 1</v>
      </c>
      <c r="F916" s="510" t="str">
        <f ca="1">IF(G916="","",IF(OR(AND($C916&lt;&gt;" ",$C917=" "),AND($C917&lt;&gt;" ",$C916=" "),AND(L918&gt;0,OR(AND($C918&lt;&gt;" ",OR($C916=" ",$C917=" ")),AND($C918=" ",OR($C916&lt;&gt;" ",$C917&lt;&gt;" "))))),IF(SUM(F$4:F915)=0,1,LARGE(F$4:F915,1)+1),IF(MONTH(G916)=MONTH(TODAY()),IF(AND(DAY(G916)&lt;DAY(TODAY()),$B916=" "),IF(SUM(F$4:F915)=0,1,LARGE(F$4:F915,1)+1),IF($B916=" ",IF(AND(DAY(G916)=DAY(TODAY()),HOUR(G916)&lt;=HOUR(NOW())+1),IF(AND(HOUR(G916)+2&lt;=HOUR(NOW()),DAY(G916)&lt;=DAY(TODAY()),MINUTE(G916)&lt;=MINUTE(NOW())),IF(SUM(F$4:F915)=0,1,LARGE(F$4:F915,1)+1),IF(OR(MINUTE(G916)&lt;=MINUTE(NOW()),HOUR(G916)&lt;=HOUR(NOW())),"!!!","")),""),"")),"")))</f>
        <v/>
      </c>
      <c r="G916" s="517">
        <v>45016.645833333336</v>
      </c>
      <c r="H916" s="516" t="s">
        <v>306</v>
      </c>
      <c r="I916" s="222" t="s">
        <v>51</v>
      </c>
      <c r="J916" s="223">
        <v>9.5</v>
      </c>
      <c r="K916" s="224" t="s">
        <v>37</v>
      </c>
      <c r="L916" s="225">
        <v>2.15</v>
      </c>
      <c r="M916" s="226"/>
      <c r="N916" s="503">
        <v>0</v>
      </c>
      <c r="O916" s="153">
        <f>IF(OR(AE916="",AE917=""),"",ROUND(IF(L918&gt;0,IF(M916&gt;0,M916,IF(M917&gt;0,ROUND((M917*AE916)/AE917,IF(N916=0,2,IF(N916=0.1,1,0))),ROUND((M918*AE916)/AE918,IF(N916=0,2,IF(N916=0.1,1,0))))),IF(M916&gt;0,M916,ROUND((M917*AE916)/AE917,IF(N916=0,2,IF(N916=0.1,1,0))))),2))</f>
        <v>12.62</v>
      </c>
      <c r="P916" s="227">
        <f>IF(OR(L916="",O916=""),"",IF($C916="1/2W",O916/2+O916/2*L916,IF($C916="1/2L",O916/2,IF(I916="Lay",(O916*(L916/(L916-1))-O916)*(1-_xlfn.XLOOKUP(K916,'Fevereiro 2023 - Valor Real'!A3:A15,'Fevereiro 2023 - Valor Real'!C3:C15,0))+O916,(O916*L916-O916)*(1-_xlfn.XLOOKUP(K916,'Fevereiro 2023 - Valor Real'!A3:A15,'Fevereiro 2023 - Valor Real'!C3:C15,0))+O916))))</f>
        <v>27.132999999999996</v>
      </c>
      <c r="Q916" s="228">
        <f>IF(K916="","",IF(_xlfn.XLOOKUP(K916,K$4:K915,$DJ$4:DJ915,0,,-1)=DJ916,_xlfn.XLOOKUP(K916,K$4:K915,Q$4:Q915,1,,-1)+1,1))</f>
        <v>1</v>
      </c>
      <c r="R916" s="229">
        <f>IF(K916="","",_xlfn.XLOOKUP(K916,K$4:K915,R$4:R915,0,,-1)+IF($C916=" ",1,0))</f>
        <v>0</v>
      </c>
      <c r="S916" s="501">
        <f>IF($B916="Anulado",0,ROUND(IF(OR($B916="LOSS",$B916="OK"),IF(OR($C916="W",$C916="1/2W",$C916="1/2L"),P916-O916,IF($C916="L",-O916,0))+IF(OR($C917="W",$C917="1/2W",$C917="1/2L"),P917-O917,IF($C917="L",-O917,0))+IF(OR($C918="W",$C918="1/2W",$C918="1/2L"),P918-O918,IF($C918="L",-O918,0)),IF(AND(OR($C916="W",$C916="1/2W",$C916="1/2L"),C917="W"),P916+P917-SUM(O916:O918)+_xlfn.XLOOKUP("X",C916:C918,O916:O918,0),IF(AND(C916=TRUE,C918="W"),P916+P918-SUM(O916:O918),IF(AND(C917="W",C918="W"),P917+P918-SUM(O916:O918)+_xlfn.XLOOKUP("X",C916:C918,O916:O918,0),IF(L918&gt;0,IF(OR($C916="W",$C916="1/2W",$C916="1/2L"),P916-SUM(O916:O918)+_xlfn.XLOOKUP("X",C916:C918,O916:O918,0),IF(OR($C916="W",$C916="1/2W",$C916="1/2L"),P917-SUM(O916:O918)+_xlfn.XLOOKUP("X",C916:C918,O916:O918,0),IF(OR($C916="W",$C916="1/2W",$C916="1/2L"),P918-SUM(O916:O918)+_xlfn.XLOOKUP("X",C916:C918,O916:O918,0),IF(SUM(P916:P918)/3-SUM(O916:O918)+_xlfn.XLOOKUP("X",C916:C918,O916:O918,0)&gt;0,SUM(P916:P918)/3-SUM(O916:O918)+_xlfn.XLOOKUP("X",C916:C918,O916:O918,0),LARGE(P916:P918,1)-SUM(O916:O918))))),IF(OR($C916="W",$C916="1/2W",$C916="1/2L"),P916-SUM(O916:O917)+_xlfn.XLOOKUP("X",C916:C918,O916:O918,0),IF(OR($C916="W",$C916="1/2W",$C916="1/2L"),P917-SUM(O916:O917)+_xlfn.XLOOKUP("X",C916:C918,O916:O918,0),SUM(P916:P917)/2-SUM(O916:O917)+_xlfn.XLOOKUP("X",C916:C918,O916:O918,0)))))))),2))</f>
        <v>0.87</v>
      </c>
      <c r="T916" s="486">
        <f>IF(S916=0,0,S916/SUM(O916:O918))</f>
        <v>3.3130236100533131E-2</v>
      </c>
      <c r="U916" s="496">
        <f>IF($D916=$D913,IF(OR($B916="LOSS",$B916="OK",$B916="Anulada"),S916,0)+U913,IF(OR($B916="LOSS",$B916="OK",$B916="Anulada"),S916,0))</f>
        <v>0.87</v>
      </c>
      <c r="V916" s="496">
        <f>IF($D916="",0,IF($D916=$D913,IF($B916=" ",IF(I918="",IF(OR(AND(I916="DNB1",I917="DNB2"),AND(OR(I916="DNB1",I916="DNB2"),J917=0),AND(OR(I917="DNB1",I917="DNB2"),J916=0),AND(I916="DNB2",I917="DNB1"),AND(IF(J916=0,(J916+1)/ROUND(J916+1,0),J916/ROUND(J916,0))=1,IF(J917=0,(J917+1)/ROUND(IF(J917="",0,J917)+1,0),IF(J917="",0,J917)/ROUND(IF(J917="",1,J917),0))=1,OR(J916&lt;&gt;""),J917&lt;&gt;"")),0,IF(S916&lt;0,IF(I918="",SMALL(P916:P917,1)-SUM(O916:O917),0),SMALL(P916:P917,1)-SUM(O916:O917))),IF(S916&lt;0,IF(I918="",SMALL(P916:P918,1)-SUM(O916:O918),0),LARGE(P916:P918,1)-SUM(O916:O918))),S916)+V913,IF(I918="",IF(OR(AND(I916="DNB1",I917="DNB2"),AND(OR(I916="DNB1",I916="DNB2"),J917=0),AND(OR(I917="DNB1",I917="DNB2"),J916=0),AND(I916="DNB2",I917="DNB1"),AND(IF(J916=0,(J916+1)/ROUND(J916+1,0),J916/ROUND(J916,0))=1,IF(J917=0,(IF(J917="",0,J917)+1)/ROUND(IF(J917="",0,J917)+1,0),IF(J917="",0,J917)/ROUND(IF(J917="",0,J917)+1,0))=1,OR(J916&lt;&gt;""),J917&lt;&gt;"")),0,IF(S916&lt;0,IF(I918="",SMALL(P916:P917,1)-SUM(O916:O917),0),SMALL(P916:P918,1)-SUM(O916:O918))),IF(S916&lt;0,IF(I918="",SMALL(P916:P918,1)-SUM(O916:O918),0),LARGE(P916:P918,1)-SUM(O916:O918)))))</f>
        <v>0.87299999999999756</v>
      </c>
      <c r="W916" s="496">
        <f>IF($D916=$D913,IF(S916&lt;0,IF(I918="",S916,0),S916)+W913,S916)</f>
        <v>0.87</v>
      </c>
      <c r="X916" s="505" t="str">
        <f>IF(OR(SUM(R916:R918)=0,V916=W916),ROUND(IF(W916=0,0,W916/Y916)*100,2)&amp;"%",ROUND(IF(V916=0,0,V916/Y916)*100,2)&amp;"% a "&amp;ROUND(IF(W916=0,0,W916/Y916)*100,2)&amp;"%")</f>
        <v>3,31%</v>
      </c>
      <c r="Y916" s="497">
        <f>IF($D916=$D913,Y913+SUM(O916:O918),SUM(O916:O918))</f>
        <v>26.259999999999998</v>
      </c>
      <c r="Z916" s="496">
        <f>IF($B916=" ",SUM(O916:O918),0)+Z913</f>
        <v>0</v>
      </c>
      <c r="AA916" s="496">
        <f>IF(G916="","",IF($B916="Anulado",LARGE(P916:P918,1)-SUM(O916:O918)+AA913,AA913))</f>
        <v>14.77109999999999</v>
      </c>
      <c r="AB916" s="496">
        <f>IF($D916="","",AB913+S916)</f>
        <v>1026.670000000001</v>
      </c>
      <c r="AC916" s="499">
        <f ca="1">IF($D916="","",IF($B916=" ",IF(DAY(G916)=DAY(TODAY()),1+AC913,0+AC913),0+AC913))</f>
        <v>0</v>
      </c>
      <c r="AD916" s="157">
        <f>(((L917/(L917-1)-1)*(1-_xlfn.XLOOKUP(K917,'Fevereiro 2023 - Valor Real'!A3:A15,'Fevereiro 2023 - Valor Real'!C3:C15,0))+1))/(((L916-1)*(1-_xlfn.XLOOKUP(K916,'Fevereiro 2023 - Valor Real'!A3:A15,'Fevereiro 2023 - Valor Real'!C3:C15,0))+1)+((L917/(L917-1)-1)*(1-_xlfn.XLOOKUP(K917,'Fevereiro 2023 - Valor Real'!A3:A15,'Fevereiro 2023 - Valor Real'!C3:C15,0))+1))</f>
        <v>0.48318562583464852</v>
      </c>
      <c r="AE916" s="158">
        <f>IF(L916="","",IF(L918&gt;0,(SUM(((L916-1)*(1-_xlfn.XLOOKUP(K916,'Fevereiro 2023 - Valor Real'!A3:A15,'Fevereiro 2023 - Valor Real'!C3:C15,0))+1),((L917-1)*(1-_xlfn.XLOOKUP(K917,'Fevereiro 2023 - Valor Real'!A3:A15,'Fevereiro 2023 - Valor Real'!C3:C15,0))+1),((L918-1)*(1-_xlfn.XLOOKUP(K918,'Fevereiro 2023 - Valor Real'!A3:A15,'Fevereiro 2023 - Valor Real'!C3:C15,0))+1))/((L916-1)*(1-_xlfn.XLOOKUP(K916,'Fevereiro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Real'!C3:C15,0))+1))/((L916-1)*(1-_xlfn.XLOOKUP(K916,'Fevereiro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Real'!C3:C15,0))+1))/((L917-1)*(1-_xlfn.XLOOKUP(K917,'Fevereiro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Real'!C3:C15,0))+1))/((L918-1)*(1-_xlfn.XLOOKUP(K918,'Fevereiro 2023 - Valor Real'!A3:A15,'Fevereiro 2023 - Valor Real'!C3:C15,0))+1)),IF(I916="Lay",IF(I917="Lay",((L917/(L917-1)-1)*(1-_xlfn.XLOOKUP(K917,'Fevereiro 2023 - Valor Real'!A3:A15,'Fevereiro 2023 - Valor Real'!C3:C15,0))+1)/(((L917/(L917-1)-1)*(1-_xlfn.XLOOKUP(K917,'Fevereiro 2023 - Valor Real'!A3:A15,'Fevereiro 2023 - Valor Real'!C3:C15,0))+1)+((L916/(L916-1)-1)*(1-_xlfn.XLOOKUP(K916,'Fevereiro 2023 - Valor Real'!A3:A15,'Fevereiro 2023 - Valor Real'!C3:C15,0))+1)),((L917-1)*(1-_xlfn.XLOOKUP(K917,'Fevereiro 2023 - Valor Real'!A3:A15,'Fevereiro 2023 - Valor Real'!C3:C15,0))+1)/(((L917-1)*(1-_xlfn.XLOOKUP(K917,'Fevereiro 2023 - Valor Real'!A3:A15,'Fevereiro 2023 - Valor Real'!C3:C15,0))+1)+((L916/(L916-1)-1)*(1-_xlfn.XLOOKUP(K916,'Fevereiro 2023 - Valor Real'!A3:A15,'Fevereiro 2023 - Valor Real'!C3:C15,0))+1))),IF(I917="Lay",(((L917/(L917-1)-1)*(1-_xlfn.XLOOKUP(K917,'Fevereiro 2023 - Valor Real'!A3:A15,'Fevereiro 2023 - Valor Real'!C3:C15,0))+1))/(((L916-1)*(1-_xlfn.XLOOKUP(K916,'Fevereiro 2023 - Valor Real'!A3:A15,'Fevereiro 2023 - Valor Real'!C3:C15,0))+1)+((L917/(L917-1)-1)*(1-_xlfn.XLOOKUP(K917,'Fevereiro 2023 - Valor Real'!A3:A15,'Fevereiro 2023 - Valor Real'!C3:C15,0))+1)),((L917-1)*(1-_xlfn.XLOOKUP(K917,'Fevereiro 2023 - Valor Real'!A3:A15,'Fevereiro 2023 - Valor Real'!C3:C15,0))+1)/(((L917-1)*(1-_xlfn.XLOOKUP(K917,'Fevereiro 2023 - Valor Real'!A3:A15,'Fevereiro 2023 - Valor Real'!C3:C15,0))+1)+((L916-1)*(1-_xlfn.XLOOKUP(K916,'Fevereiro 2023 - Valor Real'!A3:A15,'Fevereiro 2023 - Valor Real'!C3:C15,0))+1))))))</f>
        <v>0.48067632850241548</v>
      </c>
      <c r="AF916" s="66">
        <f t="shared" si="1846"/>
        <v>0</v>
      </c>
      <c r="AG916" s="67">
        <f t="shared" si="1846"/>
        <v>14.51</v>
      </c>
      <c r="AH916" s="67">
        <f t="shared" si="1846"/>
        <v>0</v>
      </c>
      <c r="AI916" s="67">
        <f t="shared" si="1846"/>
        <v>0</v>
      </c>
      <c r="AJ916" s="67">
        <f t="shared" si="1846"/>
        <v>0</v>
      </c>
      <c r="AK916" s="67">
        <f t="shared" si="1846"/>
        <v>0</v>
      </c>
      <c r="AL916" s="67">
        <f t="shared" si="1846"/>
        <v>0</v>
      </c>
      <c r="AM916" s="67">
        <f t="shared" si="1846"/>
        <v>0</v>
      </c>
      <c r="AN916" s="67">
        <f t="shared" si="1846"/>
        <v>0</v>
      </c>
      <c r="AO916" s="67">
        <f t="shared" si="1846"/>
        <v>0</v>
      </c>
      <c r="AP916" s="67">
        <f t="shared" si="1846"/>
        <v>0</v>
      </c>
      <c r="AQ916" s="67">
        <f t="shared" si="1846"/>
        <v>0</v>
      </c>
      <c r="AR916" s="68">
        <f t="shared" si="1846"/>
        <v>0</v>
      </c>
      <c r="AS916" s="66">
        <f t="shared" ref="AS916:BE916" si="1850">IF(AND($B916=" ",$K916=AS$3),$O916,0)</f>
        <v>0</v>
      </c>
      <c r="AT916" s="67">
        <f t="shared" si="1850"/>
        <v>0</v>
      </c>
      <c r="AU916" s="67">
        <f t="shared" si="1850"/>
        <v>0</v>
      </c>
      <c r="AV916" s="67">
        <f t="shared" si="1850"/>
        <v>0</v>
      </c>
      <c r="AW916" s="67">
        <f t="shared" si="1850"/>
        <v>0</v>
      </c>
      <c r="AX916" s="67">
        <f t="shared" si="1850"/>
        <v>0</v>
      </c>
      <c r="AY916" s="69">
        <f t="shared" si="1850"/>
        <v>0</v>
      </c>
      <c r="AZ916" s="70">
        <f t="shared" si="1850"/>
        <v>0</v>
      </c>
      <c r="BA916" s="70">
        <f t="shared" si="1850"/>
        <v>0</v>
      </c>
      <c r="BB916" s="70">
        <f t="shared" si="1850"/>
        <v>0</v>
      </c>
      <c r="BC916" s="71">
        <f t="shared" si="1850"/>
        <v>0</v>
      </c>
      <c r="BD916" s="67">
        <f t="shared" si="1850"/>
        <v>0</v>
      </c>
      <c r="BE916" s="68">
        <f t="shared" si="1850"/>
        <v>0</v>
      </c>
      <c r="BF916" s="230">
        <f t="shared" si="1848"/>
        <v>0</v>
      </c>
      <c r="BG916" s="67">
        <f t="shared" si="1848"/>
        <v>12.62</v>
      </c>
      <c r="BH916" s="67">
        <f t="shared" si="1848"/>
        <v>0</v>
      </c>
      <c r="BI916" s="67">
        <f t="shared" si="1848"/>
        <v>0</v>
      </c>
      <c r="BJ916" s="67">
        <f t="shared" si="1848"/>
        <v>0</v>
      </c>
      <c r="BK916" s="67">
        <f t="shared" si="1848"/>
        <v>0</v>
      </c>
      <c r="BL916" s="67">
        <f t="shared" si="1848"/>
        <v>0</v>
      </c>
      <c r="BM916" s="69">
        <f t="shared" si="1848"/>
        <v>0</v>
      </c>
      <c r="BN916" s="70">
        <f t="shared" si="1848"/>
        <v>0</v>
      </c>
      <c r="BO916" s="70">
        <f t="shared" si="1848"/>
        <v>0</v>
      </c>
      <c r="BP916" s="70">
        <f t="shared" si="1848"/>
        <v>0</v>
      </c>
      <c r="BQ916" s="71">
        <f t="shared" si="1848"/>
        <v>0</v>
      </c>
      <c r="BR916" s="68">
        <f t="shared" si="1848"/>
        <v>0</v>
      </c>
      <c r="BS916" s="490">
        <f>IF($B916="LOSS",IF(AND($K916=BS$3,$C916="L"),-$O916,0)+IF(AND($K917=BS$3,$C917="L"),-$O917,0)+IF(AND($K918=BS$3,$C918="L"),-$O918,0),IF(OR(AND($K916=BS$3,OR($C916="W",$C916="1/2W")),AND($K917=BS$3,OR($C917="W",$C917="1/2W")),AND($K918=BS$3,OR($C918="W",$C918="1/2W"))),$S916,0))</f>
        <v>0</v>
      </c>
      <c r="BT916" s="488">
        <f>IF($B916="LOSS",IF(AND($K916=BT$3,$C916="L"),-$O916,0)+IF(AND($K917=BT$3,$C917="L"),-$O917,0)+IF(AND($K917=BT$3,$C918="L"),-$O918,0),IF(OR(AND($K917=BT$3,OR($C916="W",$C916="1/2W")),AND($K917=BT$3,OR($C917="W",$C917="1/2W")),AND($K917=BT$3,OR($C918="W",$C918="1/2W"))),$S916,0))</f>
        <v>0</v>
      </c>
      <c r="BU916" s="488">
        <f>IF($B916="LOSS",IF(AND($K916=BU$3,$C916="L"),-$O916,0)+IF(AND($K917=BU$3,$C917="L"),-$O917,0)+IF(AND($K917=BU$3,$C918="L"),-$O918,0),IF(OR(AND($K917=BU$3,OR($C916="W",$C916="1/2W")),AND($K917=BU$3,OR($C917="W",$C917="1/2W")),AND($K917=BU$3,OR($C918="W",$C918="1/2W"))),$S916,0))</f>
        <v>0</v>
      </c>
      <c r="BV916" s="488">
        <f t="shared" ref="BV916:CE916" si="1851">IF($B916="LOSS",IF(AND($K916=BV$3,$C916="L"),-$O916,0)+IF(AND($K917=BV$3,$C917="L"),-$O917,0)+IF(AND($K918=BV$3,$C918="L"),-$O918,0),IF(OR(AND($K916=BV$3,OR($C916="W",$C916="1/2W")),AND($K917=BV$3,OR($C917="W",$C917="1/2W")),AND($K918=BV$3,OR($C918="W",$C918="1/2W"))),$S916,0))</f>
        <v>0</v>
      </c>
      <c r="BW916" s="488">
        <f t="shared" si="1851"/>
        <v>0</v>
      </c>
      <c r="BX916" s="488">
        <f t="shared" si="1851"/>
        <v>0</v>
      </c>
      <c r="BY916" s="488">
        <f t="shared" si="1851"/>
        <v>0</v>
      </c>
      <c r="BZ916" s="498">
        <f t="shared" si="1851"/>
        <v>0</v>
      </c>
      <c r="CA916" s="498">
        <f t="shared" si="1851"/>
        <v>0</v>
      </c>
      <c r="CB916" s="498">
        <f t="shared" si="1851"/>
        <v>0</v>
      </c>
      <c r="CC916" s="498">
        <f t="shared" si="1851"/>
        <v>0</v>
      </c>
      <c r="CD916" s="500">
        <f t="shared" si="1851"/>
        <v>0</v>
      </c>
      <c r="CE916" s="504">
        <f t="shared" si="1851"/>
        <v>0</v>
      </c>
      <c r="CF916" s="160">
        <f t="shared" si="1796"/>
        <v>0</v>
      </c>
      <c r="CG916" s="161">
        <f t="shared" si="1797"/>
        <v>0</v>
      </c>
      <c r="CH916" s="161">
        <f t="shared" si="1798"/>
        <v>1</v>
      </c>
      <c r="CI916" s="161">
        <f t="shared" si="1799"/>
        <v>0</v>
      </c>
      <c r="CJ916" s="161">
        <f t="shared" si="1800"/>
        <v>0</v>
      </c>
      <c r="CK916" s="161">
        <f t="shared" si="1801"/>
        <v>0</v>
      </c>
      <c r="CL916" s="161">
        <f t="shared" si="1802"/>
        <v>0</v>
      </c>
      <c r="CM916" s="161">
        <f t="shared" si="1803"/>
        <v>0</v>
      </c>
      <c r="CN916" s="161">
        <f t="shared" si="1804"/>
        <v>0</v>
      </c>
      <c r="CO916" s="161">
        <f t="shared" si="1805"/>
        <v>0</v>
      </c>
      <c r="CP916" s="161">
        <f t="shared" si="1806"/>
        <v>0</v>
      </c>
      <c r="CQ916" s="161">
        <f t="shared" si="1807"/>
        <v>0</v>
      </c>
      <c r="CR916" s="161">
        <f t="shared" si="1808"/>
        <v>0</v>
      </c>
      <c r="CS916" s="161">
        <f t="shared" si="1809"/>
        <v>0</v>
      </c>
      <c r="CT916" s="75">
        <f t="shared" si="1810"/>
        <v>0</v>
      </c>
      <c r="CU916" s="76">
        <f t="shared" si="1811"/>
        <v>0</v>
      </c>
      <c r="CV916" s="76">
        <f t="shared" si="1812"/>
        <v>0</v>
      </c>
      <c r="CW916" s="76">
        <f t="shared" si="1813"/>
        <v>0</v>
      </c>
      <c r="CX916" s="76">
        <f t="shared" si="1814"/>
        <v>0</v>
      </c>
      <c r="CY916" s="76">
        <f t="shared" si="1815"/>
        <v>0</v>
      </c>
      <c r="CZ916" s="76">
        <f t="shared" si="1816"/>
        <v>0</v>
      </c>
      <c r="DA916" s="76">
        <f t="shared" si="1817"/>
        <v>0</v>
      </c>
      <c r="DB916" s="76">
        <f t="shared" si="1818"/>
        <v>0</v>
      </c>
      <c r="DC916" s="76">
        <f t="shared" si="1819"/>
        <v>0</v>
      </c>
      <c r="DD916" s="76">
        <f t="shared" si="1820"/>
        <v>0</v>
      </c>
      <c r="DE916" s="77">
        <f t="shared" si="1821"/>
        <v>0</v>
      </c>
      <c r="DF916" s="73">
        <f t="shared" si="1824"/>
        <v>56</v>
      </c>
      <c r="DG916" s="67">
        <f t="shared" si="1825"/>
        <v>75.483000000000004</v>
      </c>
      <c r="DH916" s="76">
        <f t="shared" si="1826"/>
        <v>19</v>
      </c>
      <c r="DI916" s="67">
        <f t="shared" si="1827"/>
        <v>81.47</v>
      </c>
      <c r="DJ916" s="202" t="str">
        <f>IF($D916="","",$D916)</f>
        <v>31</v>
      </c>
      <c r="DK916" s="492">
        <f>IF(AND($B916=" ",$D916&lt;&gt;""),1,0)</f>
        <v>0</v>
      </c>
    </row>
    <row r="917" spans="1:115" ht="14.5" customHeight="1" x14ac:dyDescent="0.2">
      <c r="A917" s="389"/>
      <c r="B917" s="456"/>
      <c r="C917" s="53" t="s">
        <v>55</v>
      </c>
      <c r="D917" s="374"/>
      <c r="E917" s="386"/>
      <c r="F917" s="377"/>
      <c r="G917" s="483"/>
      <c r="H917" s="476"/>
      <c r="I917" s="55" t="s">
        <v>52</v>
      </c>
      <c r="J917" s="231">
        <f>IF(OR(I916="TO",I916="TU",I916="TO1",I916="TU1",I916="TO2",I916="TU2"),J916,IF(OR(I916="AH1",I916="AH2"),IF(OR(I917="AH1",I917="AH2"),-J916,IF(OR(I917="EH1",I917="EH2"),-J916+0.5,"")),IF(OR(I916="EH1",I916="EH2"),IF(OR(I917="AH1",I917="AH2"),-J916+0.5,IF(OR(I917="EH1",I917="EH2"),-J916+1,"")),IF(AND(OR(I916="DNB1",I916="DNB2"),OR(I917="AH1",I917="AH2")),0,IF(AND(I916="Not ScoreBoth",OR(I917="TO1",I917="TO2")),0.5,"")))))</f>
        <v>9.5</v>
      </c>
      <c r="K917" s="232" t="s">
        <v>40</v>
      </c>
      <c r="L917" s="58">
        <v>1.99</v>
      </c>
      <c r="M917" s="59">
        <v>13.64</v>
      </c>
      <c r="N917" s="406"/>
      <c r="O917" s="60">
        <f>IF(OR(AE916="",AE917=""),"",ROUND(IF(L918&gt;0,IF(M917&gt;0,M917,IF(M916&gt;0,IF(N916=TRUE,ROUND((M916*AE917)/AE916,0),(M916*AE917)/AE916),IF(M917&gt;0,ROUND(M917,IF(N916=0,2,IF(N916=0.1,1,0))),IF(M918&gt;0,ROUND(O918*AE917/AE918,IF(N916=0,2,IF(N916=0.1,1,0))),0)))),IF(M917&gt;0,M917,ROUND((M916*AE917)/AE916,IF(N916=0,2,IF(N916=0.1,1,0))))),2))</f>
        <v>13.64</v>
      </c>
      <c r="P917" s="61">
        <f>IF(OR(L917="",O917=""),"",IF($C917="1/2W",O917/2+O917/2*L917,IF($C917="1/2L",O917/2,IF(I917="Lay",((O917*(L917/(L917-1)))-O917)*(1-_xlfn.XLOOKUP(K917,'Fevereiro 2023 - Valor Real'!A3:A15,'Fevereiro 2023 - Valor Real'!C3:C15,0))+O917,(O917*L917-O917)*(1-_xlfn.XLOOKUP(K917,'Fevereiro 2023 - Valor Real'!A3:A15,'Fevereiro 2023 - Valor Real'!C3:C15,0))+O917))))</f>
        <v>27.143599999999999</v>
      </c>
      <c r="Q917" s="233">
        <f>IF(K917="","",IF(_xlfn.XLOOKUP(K917,K$4:K916,$DJ$4:DJ916,0,,-1)=DJ917,_xlfn.XLOOKUP(K917,K$4:K916,Q$4:Q916,1,,-1)+1,1))</f>
        <v>1</v>
      </c>
      <c r="R917" s="234">
        <f>IF(K917="","",_xlfn.XLOOKUP(K917,K$4:K916,R$4:R916,0,,-1)+IF($C917=" ",1,0))</f>
        <v>0</v>
      </c>
      <c r="S917" s="403"/>
      <c r="T917" s="380"/>
      <c r="U917" s="380"/>
      <c r="V917" s="481"/>
      <c r="W917" s="380"/>
      <c r="X917" s="452"/>
      <c r="Y917" s="383"/>
      <c r="Z917" s="384"/>
      <c r="AA917" s="384"/>
      <c r="AB917" s="384"/>
      <c r="AC917" s="384"/>
      <c r="AD917" s="64">
        <f>(((L917/(L917-1)-1)*(1-_xlfn.XLOOKUP(K917,'Fevereiro 2023 - Valor Real'!A3:A15,'Fevereiro 2023 - Valor Real'!C3:C15,0))+1))</f>
        <v>2.0101010101010099</v>
      </c>
      <c r="AE917" s="65">
        <f>IF(L917="","",IF(L918&gt;0,(SUM(((L916-1)*(1-_xlfn.XLOOKUP(K916,'Fevereiro 2023 - Valor Real'!A3:A15,'Fevereiro 2023 - Valor Real'!C3:C15,0))+1),((L917-1)*(1-_xlfn.XLOOKUP(K917,'Fevereiro 2023 - Valor Real'!A3:A15,'Fevereiro 2023 - Valor Real'!C3:C15,0))+1),((L918-1)*(1-_xlfn.XLOOKUP(K918,'Fevereiro 2023 - Valor Real'!A3:A15,'Fevereiro 2023 - Valor Real'!C3:C15,0))+1))/((L917-1)*(1-_xlfn.XLOOKUP(K917,'Fevereiro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Real'!C3:C15,0))+1))/((L916-1)*(1-_xlfn.XLOOKUP(K916,'Fevereiro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Real'!C3:C15,0))+1))/((L917-1)*(1-_xlfn.XLOOKUP(K917,'Fevereiro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Real'!C3:C15,0))+1))/((L918-1)*(1-_xlfn.XLOOKUP(K918,'Fevereiro 2023 - Valor Real'!A3:A15,'Fevereiro 2023 - Valor Real'!C3:C15,0))+1)),IF(I917="Lay",IF(I916="Lay",((L916/(L916-1)-1)*(1-_xlfn.XLOOKUP(K916,'Fevereiro 2023 - Valor Real'!A3:A15,'Fevereiro 2023 - Valor Real'!C3:C15,0))+1)/(((L916/(L916-1)-1)*(1-_xlfn.XLOOKUP(K916,'Fevereiro 2023 - Valor Real'!A3:A15,'Fevereiro 2023 - Valor Real'!C3:C15,0))+1)+((L917/(L917-1)-1)*(1-_xlfn.XLOOKUP(K917,'Fevereiro 2023 - Valor Real'!A3:A15,'Fevereiro 2023 - Valor Real'!C3:C15,0))+1)),((L916-1)*(1-_xlfn.XLOOKUP(K916,'Fevereiro 2023 - Valor Real'!A3:A15,'Fevereiro 2023 - Valor Real'!C3:C15,0))+1)/(((L916-1)*(1-_xlfn.XLOOKUP(K916,'Fevereiro 2023 - Valor Real'!A3:A15,'Fevereiro 2023 - Valor Real'!C3:C15,0))+1)+((L917/(L917-1)-1)*(1-_xlfn.XLOOKUP(K917,'Fevereiro 2023 - Valor Real'!A3:A15,'Fevereiro 2023 - Valor Real'!C3:C15,0))+1))),IF(I916="Lay",((L916/(L916-1)-1)*(1-_xlfn.XLOOKUP(K916,'Fevereiro 2023 - Valor Real'!A3:A15,'Fevereiro 2023 - Valor Real'!C3:C15,0))+1)/((((L916/(L916-1)-1)*(1-_xlfn.XLOOKUP(K916,'Fevereiro 2023 - Valor Real'!A3:A15,'Fevereiro 2023 - Valor Real'!C3:C15,0))+1))+((L917-1)*(1-_xlfn.XLOOKUP(K917,'Fevereiro 2023 - Valor Real'!A3:A15,'Fevereiro 2023 - Valor Real'!C3:C15,0))+1)),((L916-1)*(1-_xlfn.XLOOKUP(K916,'Fevereiro 2023 - Valor Real'!A3:A15,'Fevereiro 2023 - Valor Real'!C3:C15,0))+1)/(((L916-1)*(1-_xlfn.XLOOKUP(K916,'Fevereiro 2023 - Valor Real'!A3:A15,'Fevereiro 2023 - Valor Real'!C3:C15,0))+1)+((L917-1)*(1-_xlfn.XLOOKUP(K917,'Fevereiro 2023 - Valor Real'!A3:A15,'Fevereiro 2023 - Valor Real'!C3:C15,0))+1))))))</f>
        <v>0.51932367149758452</v>
      </c>
      <c r="AF917" s="66">
        <f t="shared" si="1846"/>
        <v>0</v>
      </c>
      <c r="AG917" s="67">
        <f t="shared" si="1846"/>
        <v>0</v>
      </c>
      <c r="AH917" s="67">
        <f t="shared" si="1846"/>
        <v>0</v>
      </c>
      <c r="AI917" s="67">
        <f t="shared" si="1846"/>
        <v>0</v>
      </c>
      <c r="AJ917" s="67">
        <f t="shared" si="1846"/>
        <v>-13.64</v>
      </c>
      <c r="AK917" s="67">
        <f t="shared" si="1846"/>
        <v>0</v>
      </c>
      <c r="AL917" s="67">
        <f t="shared" si="1846"/>
        <v>0</v>
      </c>
      <c r="AM917" s="67">
        <f t="shared" si="1846"/>
        <v>0</v>
      </c>
      <c r="AN917" s="67">
        <f t="shared" si="1846"/>
        <v>0</v>
      </c>
      <c r="AO917" s="67">
        <f t="shared" si="1846"/>
        <v>0</v>
      </c>
      <c r="AP917" s="67">
        <f t="shared" si="1846"/>
        <v>0</v>
      </c>
      <c r="AQ917" s="67">
        <f t="shared" si="1846"/>
        <v>0</v>
      </c>
      <c r="AR917" s="68">
        <f t="shared" si="1846"/>
        <v>0</v>
      </c>
      <c r="AS917" s="66">
        <f>IF(AND($B916=" ",$K917=AS$3),$O917,0)</f>
        <v>0</v>
      </c>
      <c r="AT917" s="67">
        <f>IF(AND($B916=" ",K917=AT$3),$O917,0)</f>
        <v>0</v>
      </c>
      <c r="AU917" s="67">
        <f t="shared" ref="AU917:BE917" si="1852">IF(AND($B916=" ",$K917=AU$3),$O917,0)</f>
        <v>0</v>
      </c>
      <c r="AV917" s="67">
        <f t="shared" si="1852"/>
        <v>0</v>
      </c>
      <c r="AW917" s="67">
        <f t="shared" si="1852"/>
        <v>0</v>
      </c>
      <c r="AX917" s="67">
        <f t="shared" si="1852"/>
        <v>0</v>
      </c>
      <c r="AY917" s="69">
        <f t="shared" si="1852"/>
        <v>0</v>
      </c>
      <c r="AZ917" s="70">
        <f t="shared" si="1852"/>
        <v>0</v>
      </c>
      <c r="BA917" s="70">
        <f t="shared" si="1852"/>
        <v>0</v>
      </c>
      <c r="BB917" s="70">
        <f t="shared" si="1852"/>
        <v>0</v>
      </c>
      <c r="BC917" s="71">
        <f t="shared" si="1852"/>
        <v>0</v>
      </c>
      <c r="BD917" s="67">
        <f t="shared" si="1852"/>
        <v>0</v>
      </c>
      <c r="BE917" s="68">
        <f t="shared" si="1852"/>
        <v>0</v>
      </c>
      <c r="BF917" s="66">
        <f t="shared" si="1848"/>
        <v>0</v>
      </c>
      <c r="BG917" s="67">
        <f t="shared" si="1848"/>
        <v>0</v>
      </c>
      <c r="BH917" s="67">
        <f t="shared" si="1848"/>
        <v>0</v>
      </c>
      <c r="BI917" s="67">
        <f t="shared" si="1848"/>
        <v>0</v>
      </c>
      <c r="BJ917" s="67">
        <f t="shared" si="1848"/>
        <v>13.64</v>
      </c>
      <c r="BK917" s="67">
        <f t="shared" si="1848"/>
        <v>0</v>
      </c>
      <c r="BL917" s="67">
        <f t="shared" si="1848"/>
        <v>0</v>
      </c>
      <c r="BM917" s="235">
        <f t="shared" si="1848"/>
        <v>0</v>
      </c>
      <c r="BN917" s="159">
        <f t="shared" si="1848"/>
        <v>0</v>
      </c>
      <c r="BO917" s="159">
        <f t="shared" si="1848"/>
        <v>0</v>
      </c>
      <c r="BP917" s="159">
        <f t="shared" si="1848"/>
        <v>0</v>
      </c>
      <c r="BQ917" s="71">
        <f t="shared" si="1848"/>
        <v>0</v>
      </c>
      <c r="BR917" s="68">
        <f t="shared" si="1848"/>
        <v>0</v>
      </c>
      <c r="BS917" s="464"/>
      <c r="BT917" s="461"/>
      <c r="BU917" s="392"/>
      <c r="BV917" s="461"/>
      <c r="BW917" s="392"/>
      <c r="BX917" s="392"/>
      <c r="BY917" s="392"/>
      <c r="BZ917" s="461"/>
      <c r="CA917" s="392"/>
      <c r="CB917" s="392"/>
      <c r="CC917" s="392"/>
      <c r="CD917" s="401"/>
      <c r="CE917" s="409"/>
      <c r="CF917" s="236">
        <f t="shared" si="1796"/>
        <v>0</v>
      </c>
      <c r="CG917" s="237">
        <f t="shared" si="1797"/>
        <v>0</v>
      </c>
      <c r="CH917" s="237">
        <f t="shared" si="1798"/>
        <v>0</v>
      </c>
      <c r="CI917" s="237">
        <f t="shared" si="1799"/>
        <v>0</v>
      </c>
      <c r="CJ917" s="237">
        <f t="shared" si="1800"/>
        <v>0</v>
      </c>
      <c r="CK917" s="237">
        <f t="shared" si="1801"/>
        <v>0</v>
      </c>
      <c r="CL917" s="237">
        <f t="shared" si="1802"/>
        <v>0</v>
      </c>
      <c r="CM917" s="237">
        <f t="shared" si="1803"/>
        <v>0</v>
      </c>
      <c r="CN917" s="237">
        <f t="shared" si="1804"/>
        <v>0</v>
      </c>
      <c r="CO917" s="237">
        <f t="shared" si="1805"/>
        <v>1</v>
      </c>
      <c r="CP917" s="237">
        <f t="shared" si="1806"/>
        <v>0</v>
      </c>
      <c r="CQ917" s="237">
        <f t="shared" si="1807"/>
        <v>0</v>
      </c>
      <c r="CR917" s="237">
        <f t="shared" si="1808"/>
        <v>0</v>
      </c>
      <c r="CS917" s="237">
        <f t="shared" si="1809"/>
        <v>0</v>
      </c>
      <c r="CT917" s="75">
        <f t="shared" si="1810"/>
        <v>0</v>
      </c>
      <c r="CU917" s="76">
        <f t="shared" si="1811"/>
        <v>0</v>
      </c>
      <c r="CV917" s="76">
        <f t="shared" si="1812"/>
        <v>0</v>
      </c>
      <c r="CW917" s="76">
        <f t="shared" si="1813"/>
        <v>0</v>
      </c>
      <c r="CX917" s="76">
        <f t="shared" si="1814"/>
        <v>0</v>
      </c>
      <c r="CY917" s="76">
        <f t="shared" si="1815"/>
        <v>0</v>
      </c>
      <c r="CZ917" s="76">
        <f t="shared" si="1816"/>
        <v>0</v>
      </c>
      <c r="DA917" s="76">
        <f t="shared" si="1817"/>
        <v>0</v>
      </c>
      <c r="DB917" s="76">
        <f t="shared" si="1818"/>
        <v>0</v>
      </c>
      <c r="DC917" s="76">
        <f t="shared" si="1819"/>
        <v>0</v>
      </c>
      <c r="DD917" s="76">
        <f t="shared" si="1820"/>
        <v>0</v>
      </c>
      <c r="DE917" s="77">
        <f t="shared" si="1821"/>
        <v>0</v>
      </c>
      <c r="DF917" s="73">
        <f t="shared" si="1824"/>
        <v>56</v>
      </c>
      <c r="DG917" s="67">
        <f t="shared" si="1825"/>
        <v>75.483000000000004</v>
      </c>
      <c r="DH917" s="76">
        <f t="shared" si="1826"/>
        <v>19</v>
      </c>
      <c r="DI917" s="67">
        <f t="shared" si="1827"/>
        <v>81.47</v>
      </c>
      <c r="DJ917" s="202" t="str">
        <f>IF($D916="","",$D916)</f>
        <v>31</v>
      </c>
      <c r="DK917" s="466"/>
    </row>
    <row r="918" spans="1:115" ht="14.5" customHeight="1" x14ac:dyDescent="0.2">
      <c r="A918" s="390"/>
      <c r="B918" s="457"/>
      <c r="C918" s="79" t="s">
        <v>53</v>
      </c>
      <c r="D918" s="375"/>
      <c r="E918" s="387"/>
      <c r="F918" s="378"/>
      <c r="G918" s="484"/>
      <c r="H918" s="477"/>
      <c r="I918" s="82"/>
      <c r="J918" s="83"/>
      <c r="K918" s="90"/>
      <c r="L918" s="84"/>
      <c r="M918" s="85"/>
      <c r="N918" s="407"/>
      <c r="O918" s="86" t="str">
        <f>IF(OR(AE916="",AE917=""),"",IF(L918&gt;0,ROUND(IF(M918&gt;0,M918,IF(M916&gt;0,ROUND((M916*AE918)/AE916,IF(N916=0,2,IF(N916=0.1,1,0))),IF(M917&gt;0,ROUND((M917*AE918)/AE917,IF(N916=0,2,IF(N916=0.1,1,0))),IF(M918&gt;0,M918,0)))),2),""))</f>
        <v/>
      </c>
      <c r="P918" s="87" t="str">
        <f>IF(I917="Lay",O917*(L917/(L917-1))-O917,IF(I916="Lay",O916*(L916/(L916-1))-O916,IF(OR(L918="",O918=""),"",IF($C918="1/2W",O918/2+O918/2*L918,IF($C918="1/2L",O918/2,(O918*L918-O918)*(1-_xlfn.XLOOKUP(K918,'Fevereiro 2023 - Valor Real'!A3:A15,'Fevereiro 2023 - Valor Real'!C3:C15,0))+O918)))))</f>
        <v/>
      </c>
      <c r="Q918" s="238" t="str">
        <f>IF(K918="","",IF(_xlfn.XLOOKUP(K918,K$4:K917,$DJ$4:DJ917,0,,-1)=DJ918,_xlfn.XLOOKUP(K918,K$4:K917,Q$4:Q917,1,,-1)+1,1))</f>
        <v/>
      </c>
      <c r="R918" s="239" t="str">
        <f>IF(K918="","",_xlfn.XLOOKUP(K918,K$4:K917,R$4:R917,0,,-1)+IF($C918=" ",1,0))</f>
        <v/>
      </c>
      <c r="S918" s="404"/>
      <c r="T918" s="378"/>
      <c r="U918" s="378"/>
      <c r="V918" s="404"/>
      <c r="W918" s="378"/>
      <c r="X918" s="453"/>
      <c r="Y918" s="383"/>
      <c r="Z918" s="384"/>
      <c r="AA918" s="384"/>
      <c r="AB918" s="384"/>
      <c r="AC918" s="384"/>
      <c r="AD918" s="240">
        <f>((L917/(L917-1)-1))</f>
        <v>1.0101010101010099</v>
      </c>
      <c r="AE918" s="91" t="str">
        <f>IF(L918="","",(SUM(((L916-1)*(1-_xlfn.XLOOKUP(K916,'Fevereiro 2023 - Valor Real'!A3:A15,'Fevereiro 2023 - Valor Real'!C3:C15,0))+1),((L917-1)*(1-_xlfn.XLOOKUP(K917,'Fevereiro 2023 - Valor Real'!A3:A15,'Fevereiro 2023 - Valor Real'!C3:C15,0))+1),((L918-1)*(1-_xlfn.XLOOKUP(K918,'Fevereiro 2023 - Valor Real'!A3:A15,'Fevereiro 2023 - Valor Real'!C3:C15,0))+1))/((L918-1)*(1-_xlfn.XLOOKUP(K918,'Fevereiro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Real'!C3:C15,0))+1))/((L916-1)*(1-_xlfn.XLOOKUP(K916,'Fevereiro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Real'!C3:C15,0))+1))/((L917-1)*(1-_xlfn.XLOOKUP(K917,'Fevereiro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Real'!C3:C15,0))+1))/((L918-1)*(1-_xlfn.XLOOKUP(K918,'Fevereiro 2023 - Valor Real'!A3:A15,'Fevereiro 2023 - Valor Real'!C3:C15,0))+1)))</f>
        <v/>
      </c>
      <c r="AF918" s="66">
        <f t="shared" si="1846"/>
        <v>0</v>
      </c>
      <c r="AG918" s="67">
        <f t="shared" si="1846"/>
        <v>0</v>
      </c>
      <c r="AH918" s="67">
        <f t="shared" si="1846"/>
        <v>0</v>
      </c>
      <c r="AI918" s="67">
        <f t="shared" si="1846"/>
        <v>0</v>
      </c>
      <c r="AJ918" s="67">
        <f t="shared" si="1846"/>
        <v>0</v>
      </c>
      <c r="AK918" s="67">
        <f t="shared" si="1846"/>
        <v>0</v>
      </c>
      <c r="AL918" s="67">
        <f t="shared" si="1846"/>
        <v>0</v>
      </c>
      <c r="AM918" s="67">
        <f t="shared" si="1846"/>
        <v>0</v>
      </c>
      <c r="AN918" s="67">
        <f t="shared" si="1846"/>
        <v>0</v>
      </c>
      <c r="AO918" s="67">
        <f t="shared" si="1846"/>
        <v>0</v>
      </c>
      <c r="AP918" s="67">
        <f t="shared" si="1846"/>
        <v>0</v>
      </c>
      <c r="AQ918" s="67">
        <f t="shared" si="1846"/>
        <v>0</v>
      </c>
      <c r="AR918" s="68">
        <f t="shared" si="1846"/>
        <v>0</v>
      </c>
      <c r="AS918" s="66">
        <f>IF(AND($B916=" ",$K918=AS$3),$O918,0)</f>
        <v>0</v>
      </c>
      <c r="AT918" s="67">
        <f>IF(AND($B916=" ",K918=AT$3),$O918,0)</f>
        <v>0</v>
      </c>
      <c r="AU918" s="67">
        <f t="shared" ref="AU918:BE918" si="1853">IF(AND($B916=" ",$K918=AU$3),$O918,0)</f>
        <v>0</v>
      </c>
      <c r="AV918" s="67">
        <f t="shared" si="1853"/>
        <v>0</v>
      </c>
      <c r="AW918" s="67">
        <f t="shared" si="1853"/>
        <v>0</v>
      </c>
      <c r="AX918" s="67">
        <f t="shared" si="1853"/>
        <v>0</v>
      </c>
      <c r="AY918" s="69">
        <f t="shared" si="1853"/>
        <v>0</v>
      </c>
      <c r="AZ918" s="70">
        <f t="shared" si="1853"/>
        <v>0</v>
      </c>
      <c r="BA918" s="70">
        <f t="shared" si="1853"/>
        <v>0</v>
      </c>
      <c r="BB918" s="70">
        <f t="shared" si="1853"/>
        <v>0</v>
      </c>
      <c r="BC918" s="71">
        <f t="shared" si="1853"/>
        <v>0</v>
      </c>
      <c r="BD918" s="67">
        <f t="shared" si="1853"/>
        <v>0</v>
      </c>
      <c r="BE918" s="68">
        <f t="shared" si="1853"/>
        <v>0</v>
      </c>
      <c r="BF918" s="66">
        <f t="shared" si="1848"/>
        <v>0</v>
      </c>
      <c r="BG918" s="67">
        <f t="shared" si="1848"/>
        <v>0</v>
      </c>
      <c r="BH918" s="67">
        <f t="shared" si="1848"/>
        <v>0</v>
      </c>
      <c r="BI918" s="67">
        <f t="shared" si="1848"/>
        <v>0</v>
      </c>
      <c r="BJ918" s="67">
        <f t="shared" si="1848"/>
        <v>0</v>
      </c>
      <c r="BK918" s="67">
        <f t="shared" si="1848"/>
        <v>0</v>
      </c>
      <c r="BL918" s="67">
        <f t="shared" si="1848"/>
        <v>0</v>
      </c>
      <c r="BM918" s="69">
        <f t="shared" si="1848"/>
        <v>0</v>
      </c>
      <c r="BN918" s="70">
        <f t="shared" si="1848"/>
        <v>0</v>
      </c>
      <c r="BO918" s="70">
        <f t="shared" si="1848"/>
        <v>0</v>
      </c>
      <c r="BP918" s="70">
        <f t="shared" si="1848"/>
        <v>0</v>
      </c>
      <c r="BQ918" s="71">
        <f t="shared" si="1848"/>
        <v>0</v>
      </c>
      <c r="BR918" s="68">
        <f t="shared" si="1848"/>
        <v>0</v>
      </c>
      <c r="BS918" s="464"/>
      <c r="BT918" s="461"/>
      <c r="BU918" s="392"/>
      <c r="BV918" s="461"/>
      <c r="BW918" s="392"/>
      <c r="BX918" s="392"/>
      <c r="BY918" s="392"/>
      <c r="BZ918" s="461"/>
      <c r="CA918" s="392"/>
      <c r="CB918" s="392"/>
      <c r="CC918" s="392"/>
      <c r="CD918" s="401"/>
      <c r="CE918" s="409"/>
      <c r="CF918" s="236">
        <f t="shared" si="1796"/>
        <v>0</v>
      </c>
      <c r="CG918" s="237">
        <f t="shared" si="1797"/>
        <v>0</v>
      </c>
      <c r="CH918" s="237">
        <f t="shared" si="1798"/>
        <v>0</v>
      </c>
      <c r="CI918" s="237">
        <f t="shared" si="1799"/>
        <v>0</v>
      </c>
      <c r="CJ918" s="237">
        <f t="shared" si="1800"/>
        <v>0</v>
      </c>
      <c r="CK918" s="237">
        <f t="shared" si="1801"/>
        <v>0</v>
      </c>
      <c r="CL918" s="237">
        <f t="shared" si="1802"/>
        <v>0</v>
      </c>
      <c r="CM918" s="237">
        <f t="shared" si="1803"/>
        <v>0</v>
      </c>
      <c r="CN918" s="237">
        <f t="shared" si="1804"/>
        <v>0</v>
      </c>
      <c r="CO918" s="237">
        <f t="shared" si="1805"/>
        <v>0</v>
      </c>
      <c r="CP918" s="237">
        <f t="shared" si="1806"/>
        <v>0</v>
      </c>
      <c r="CQ918" s="237">
        <f t="shared" si="1807"/>
        <v>0</v>
      </c>
      <c r="CR918" s="237">
        <f t="shared" si="1808"/>
        <v>0</v>
      </c>
      <c r="CS918" s="237">
        <f t="shared" si="1809"/>
        <v>0</v>
      </c>
      <c r="CT918" s="75">
        <f t="shared" si="1810"/>
        <v>0</v>
      </c>
      <c r="CU918" s="76">
        <f t="shared" si="1811"/>
        <v>0</v>
      </c>
      <c r="CV918" s="76">
        <f t="shared" si="1812"/>
        <v>0</v>
      </c>
      <c r="CW918" s="76">
        <f t="shared" si="1813"/>
        <v>0</v>
      </c>
      <c r="CX918" s="76">
        <f t="shared" si="1814"/>
        <v>0</v>
      </c>
      <c r="CY918" s="76">
        <f t="shared" si="1815"/>
        <v>0</v>
      </c>
      <c r="CZ918" s="76">
        <f t="shared" si="1816"/>
        <v>0</v>
      </c>
      <c r="DA918" s="76">
        <f t="shared" si="1817"/>
        <v>0</v>
      </c>
      <c r="DB918" s="76">
        <f t="shared" si="1818"/>
        <v>0</v>
      </c>
      <c r="DC918" s="76">
        <f t="shared" si="1819"/>
        <v>0</v>
      </c>
      <c r="DD918" s="76">
        <f t="shared" si="1820"/>
        <v>0</v>
      </c>
      <c r="DE918" s="77">
        <f t="shared" si="1821"/>
        <v>0</v>
      </c>
      <c r="DF918" s="73">
        <f t="shared" si="1824"/>
        <v>56</v>
      </c>
      <c r="DG918" s="67">
        <f t="shared" si="1825"/>
        <v>75.483000000000004</v>
      </c>
      <c r="DH918" s="76">
        <f t="shared" si="1826"/>
        <v>19</v>
      </c>
      <c r="DI918" s="67">
        <f t="shared" si="1827"/>
        <v>81.47</v>
      </c>
      <c r="DJ918" s="202" t="str">
        <f>IF($D916="","",$D916)</f>
        <v>31</v>
      </c>
      <c r="DK918" s="466"/>
    </row>
    <row r="919" spans="1:115" ht="14.5" customHeight="1" x14ac:dyDescent="0.2">
      <c r="A919" s="459">
        <f>$A916+1</f>
        <v>306</v>
      </c>
      <c r="B919" s="507" t="str">
        <f>IF(OR(C919="W",C920="W",C921="W",C919="1/2W",C920="1/2W",C921="1/2W",C919="1/2L",C920="1/2L",C921="1/2L"),"OK",IF(OR(C919="L",C920="L",C921="L"),"LOSS",IF(OR(C919="X",C920="X",C921="X"),"Anulado"," ")))</f>
        <v>OK</v>
      </c>
      <c r="C919" s="93" t="s">
        <v>55</v>
      </c>
      <c r="D919" s="468" t="str">
        <f>IF(G919="","",$D916)</f>
        <v>31</v>
      </c>
      <c r="E919" s="485" t="str">
        <f>IF(G919=""," ","– "&amp;COUNTIF(D$4:D921,$D919))</f>
        <v>– 2</v>
      </c>
      <c r="F919" s="509" t="str">
        <f ca="1">IF(G919="","",IF(OR(AND($C919&lt;&gt;" ",$C920=" "),AND($C920&lt;&gt;" ",$C919=" "),AND(L921&gt;0,OR(AND($C921&lt;&gt;" ",OR($C919=" ",$C920=" ")),AND($C921=" ",OR($C919&lt;&gt;" ",$C920&lt;&gt;" "))))),IF(SUM(F$4:F918)=0,1,LARGE(F$4:F918,1)+1),IF(MONTH(G919)=MONTH(TODAY()),IF(AND(DAY(G919)&lt;DAY(TODAY()),$B919=" "),IF(SUM(F$4:F918)=0,1,LARGE(F$4:F918,1)+1),IF($B919=" ",IF(AND(DAY(G919)=DAY(TODAY()),HOUR(G919)&lt;=HOUR(NOW())+1),IF(AND(HOUR(G919)+2&lt;=HOUR(NOW()),DAY(G919)&lt;=DAY(TODAY()),MINUTE(G919)&lt;=MINUTE(NOW())),IF(SUM(F$4:F918)=0,1,LARGE(F$4:F918,1)+1),IF(OR(MINUTE(G919)&lt;=MINUTE(NOW()),HOUR(G919)&lt;=HOUR(NOW())),"!!!","")),""),"")),"")))</f>
        <v/>
      </c>
      <c r="G919" s="482">
        <v>45017.270833333336</v>
      </c>
      <c r="H919" s="475" t="s">
        <v>307</v>
      </c>
      <c r="I919" s="94" t="s">
        <v>66</v>
      </c>
      <c r="J919" s="95">
        <v>-1</v>
      </c>
      <c r="K919" s="96" t="s">
        <v>47</v>
      </c>
      <c r="L919" s="97">
        <v>1.95</v>
      </c>
      <c r="M919" s="98"/>
      <c r="N919" s="478">
        <v>0</v>
      </c>
      <c r="O919" s="99">
        <f>IF(OR(AE919="",AE920=""),"",ROUND(IF(L921&gt;0,IF(M919&gt;0,M919,IF(M920&gt;0,ROUND((M920*AE919)/AE920,IF(N919=0,2,IF(N919=0.1,1,0))),ROUND((M921*AE919)/AE921,IF(N919=0,2,IF(N919=0.1,1,0))))),IF(M919&gt;0,M919,ROUND((M920*AE919)/AE920,IF(N919=0,2,IF(N919=0.1,1,0))))),2))</f>
        <v>10.31</v>
      </c>
      <c r="P919" s="100">
        <f>IF(OR(L919="",O919=""),"",IF($C919="1/2W",O919/2+O919/2*L919,IF($C919="1/2L",O919/2,IF(I919="Lay",(O919*(L919/(L919-1))-O919)*(1-_xlfn.XLOOKUP(K919,'Fevereiro 2023 - Valor Real'!A3:A15,'Fevereiro 2023 - Valor Real'!C3:C15,0))+O919,(O919*L919-O919)*(1-_xlfn.XLOOKUP(K919,'Fevereiro 2023 - Valor Real'!A3:A15,'Fevereiro 2023 - Valor Real'!C3:C15,0))+O919))))</f>
        <v>20.104500000000002</v>
      </c>
      <c r="Q919" s="101">
        <f>IF(K919="","",IF(_xlfn.XLOOKUP(K919,K$4:K918,$DJ$4:DJ918,0,,-1)=DJ919,_xlfn.XLOOKUP(K919,K$4:K918,Q$4:Q918,1,,-1)+1,1))</f>
        <v>1</v>
      </c>
      <c r="R919" s="102">
        <f>IF(K919="","",_xlfn.XLOOKUP(K919,K$4:K918,R$4:R918,0,,-1)+IF($C919=" ",1,0))</f>
        <v>0</v>
      </c>
      <c r="S919" s="474">
        <f>IF($B919="Anulado",0,ROUND(IF(OR($B919="LOSS",$B919="OK"),IF(OR($C919="W",$C919="1/2W",$C919="1/2L"),P919-O919,IF($C919="L",-O919,0))+IF(OR($C920="W",$C920="1/2W",$C920="1/2L"),P920-O920,IF($C920="L",-O920,0))+IF(OR($C921="W",$C921="1/2W",$C921="1/2L"),P921-O921,IF($C921="L",-O921,0)),IF(AND(OR($C919="W",$C919="1/2W",$C919="1/2L"),C920="W"),P919+P920-SUM(O919:O921)+_xlfn.XLOOKUP("X",C919:C921,O919:O921,0),IF(AND(C919=TRUE,C921="W"),P919+P921-SUM(O919:O921),IF(AND(C920="W",C921="W"),P920+P921-SUM(O919:O921)+_xlfn.XLOOKUP("X",C919:C921,O919:O921,0),IF(L921&gt;0,IF(OR($C919="W",$C919="1/2W",$C919="1/2L"),P919-SUM(O919:O921)+_xlfn.XLOOKUP("X",C919:C921,O919:O921,0),IF(OR($C919="W",$C919="1/2W",$C919="1/2L"),P920-SUM(O919:O921)+_xlfn.XLOOKUP("X",C919:C921,O919:O921,0),IF(OR($C919="W",$C919="1/2W",$C919="1/2L"),P921-SUM(O919:O921)+_xlfn.XLOOKUP("X",C919:C921,O919:O921,0),IF(SUM(P919:P921)/3-SUM(O919:O921)+_xlfn.XLOOKUP("X",C919:C921,O919:O921,0)&gt;0,SUM(P919:P921)/3-SUM(O919:O921)+_xlfn.XLOOKUP("X",C919:C921,O919:O921,0),LARGE(P919:P921,1)-SUM(O919:O921))))),IF(OR($C919="W",$C919="1/2W",$C919="1/2L"),P919-SUM(O919:O920)+_xlfn.XLOOKUP("X",C919:C921,O919:O921,0),IF(OR($C919="W",$C919="1/2W",$C919="1/2L"),P920-SUM(O919:O920)+_xlfn.XLOOKUP("X",C919:C921,O919:O921,0),SUM(P919:P920)/2-SUM(O919:O920)+_xlfn.XLOOKUP("X",C919:C921,O919:O921,0)))))))),2))</f>
        <v>0.94</v>
      </c>
      <c r="T919" s="458">
        <f>IF(S919=0,0,S919/SUM(O919:O921))</f>
        <v>4.9034950443401143E-2</v>
      </c>
      <c r="U919" s="470">
        <f>IF($D919=$D916,IF(OR($B919="LOSS",$B919="OK",$B919="Anulada"),S919,0)+U916,IF(OR($B919="LOSS",$B919="OK",$B919="Anulada"),S919,0))</f>
        <v>1.81</v>
      </c>
      <c r="V919" s="470">
        <f>IF($D919="",0,IF($D919=$D916,IF($B919=" ",IF(I921="",IF(OR(AND(I919="DNB1",I920="DNB2"),AND(OR(I919="DNB1",I919="DNB2"),J920=0),AND(OR(I920="DNB1",I920="DNB2"),J919=0),AND(I919="DNB2",I920="DNB1"),AND(IF(J919=0,(J919+1)/ROUND(J919+1,0),J919/ROUND(J919,0))=1,IF(J920=0,(J920+1)/ROUND(IF(J920="",0,J920)+1,0),IF(J920="",0,J920)/ROUND(IF(J920="",1,J920),0))=1,OR(J919&lt;&gt;""),J920&lt;&gt;"")),0,IF(S919&lt;0,IF(I921="",SMALL(P919:P920,1)-SUM(O919:O920),0),SMALL(P919:P920,1)-SUM(O919:O920))),IF(S919&lt;0,IF(I921="",SMALL(P919:P921,1)-SUM(O919:O921),0),LARGE(P919:P921,1)-SUM(O919:O921))),S919)+V916,IF(I921="",IF(OR(AND(I919="DNB1",I920="DNB2"),AND(OR(I919="DNB1",I919="DNB2"),J920=0),AND(OR(I920="DNB1",I920="DNB2"),J919=0),AND(I919="DNB2",I920="DNB1"),AND(IF(J919=0,(J919+1)/ROUND(J919+1,0),J919/ROUND(J919,0))=1,IF(J920=0,(IF(J920="",0,J920)+1)/ROUND(IF(J920="",0,J920)+1,0),IF(J920="",0,J920)/ROUND(IF(J920="",0,J920)+1,0))=1,OR(J919&lt;&gt;""),J920&lt;&gt;"")),0,IF(S919&lt;0,IF(I921="",SMALL(P919:P920,1)-SUM(O919:O920),0),SMALL(P919:P921,1)-SUM(O919:O921))),IF(S919&lt;0,IF(I921="",SMALL(P919:P921,1)-SUM(O919:O921),0),LARGE(P919:P921,1)-SUM(O919:O921)))))</f>
        <v>1.8129999999999975</v>
      </c>
      <c r="W919" s="470">
        <f>IF($D919=$D916,IF(S919&lt;0,IF(I921="",S919,0),S919)+W916,S919)</f>
        <v>1.81</v>
      </c>
      <c r="X919" s="480" t="str">
        <f>IF(OR(SUM(R919:R921)=0,V919=W919),ROUND(IF(W919=0,0,W919/Y919)*100,2)&amp;"%",ROUND(IF(V919=0,0,V919/Y919)*100,2)&amp;"% a "&amp;ROUND(IF(W919=0,0,W919/Y919)*100,2)&amp;"%")</f>
        <v>3,98%</v>
      </c>
      <c r="Y919" s="471">
        <f>IF($D919=$D916,Y916+SUM(O919:O921),SUM(O919:O921))</f>
        <v>45.43</v>
      </c>
      <c r="Z919" s="470">
        <f>IF($B919=" ",SUM(O919:O921),0)+Z916</f>
        <v>0</v>
      </c>
      <c r="AA919" s="470">
        <f>IF(G919="","",IF($B919="Anulado",LARGE(P919:P921,1)-SUM(O919:O921)+AA916,AA916))</f>
        <v>14.77109999999999</v>
      </c>
      <c r="AB919" s="470">
        <f>IF($D919="","",AB916+S919)</f>
        <v>1027.610000000001</v>
      </c>
      <c r="AC919" s="472">
        <f ca="1">IF($D919="","",IF($B919=" ",IF(DAY(G919)=DAY(TODAY()),1+AC916,0+AC916),0+AC916))</f>
        <v>0</v>
      </c>
      <c r="AD919" s="103">
        <f>(((L920/(L920-1)-1)*(1-_xlfn.XLOOKUP(K920,'Fevereiro 2023 - Valor Real'!A3:A15,'Fevereiro 2023 - Valor Real'!C3:C15,0))+1))/(((L919-1)*(1-_xlfn.XLOOKUP(K919,'Fevereiro 2023 - Valor Real'!A3:A15,'Fevereiro 2023 - Valor Real'!C3:C15,0))+1)+((L920/(L920-1)-1)*(1-_xlfn.XLOOKUP(K920,'Fevereiro 2023 - Valor Real'!A3:A15,'Fevereiro 2023 - Valor Real'!C3:C15,0))+1))</f>
        <v>0.47824712946381548</v>
      </c>
      <c r="AE919" s="104">
        <f>IF(L919="","",IF(L921&gt;0,(SUM(((L919-1)*(1-_xlfn.XLOOKUP(K919,'Fevereiro 2023 - Valor Real'!A3:A15,'Fevereiro 2023 - Valor Real'!C3:C15,0))+1),((L920-1)*(1-_xlfn.XLOOKUP(K920,'Fevereiro 2023 - Valor Real'!A3:A15,'Fevereiro 2023 - Valor Real'!C3:C15,0))+1),((L921-1)*(1-_xlfn.XLOOKUP(K921,'Fevereiro 2023 - Valor Real'!A3:A15,'Fevereiro 2023 - Valor Real'!C3:C15,0))+1))/((L919-1)*(1-_xlfn.XLOOKUP(K919,'Fevereiro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Real'!C3:C15,0))+1))/((L919-1)*(1-_xlfn.XLOOKUP(K919,'Fevereiro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Real'!C3:C15,0))+1))/((L920-1)*(1-_xlfn.XLOOKUP(K920,'Fevereiro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Real'!C3:C15,0))+1))/((L921-1)*(1-_xlfn.XLOOKUP(K921,'Fevereiro 2023 - Valor Real'!A3:A15,'Fevereiro 2023 - Valor Real'!C3:C15,0))+1)),IF(I919="Lay",IF(I920="Lay",((L920/(L920-1)-1)*(1-_xlfn.XLOOKUP(K920,'Fevereiro 2023 - Valor Real'!A3:A15,'Fevereiro 2023 - Valor Real'!C3:C15,0))+1)/(((L920/(L920-1)-1)*(1-_xlfn.XLOOKUP(K920,'Fevereiro 2023 - Valor Real'!A3:A15,'Fevereiro 2023 - Valor Real'!C3:C15,0))+1)+((L919/(L919-1)-1)*(1-_xlfn.XLOOKUP(K919,'Fevereiro 2023 - Valor Real'!A3:A15,'Fevereiro 2023 - Valor Real'!C3:C15,0))+1)),((L920-1)*(1-_xlfn.XLOOKUP(K920,'Fevereiro 2023 - Valor Real'!A3:A15,'Fevereiro 2023 - Valor Real'!C3:C15,0))+1)/(((L920-1)*(1-_xlfn.XLOOKUP(K920,'Fevereiro 2023 - Valor Real'!A3:A15,'Fevereiro 2023 - Valor Real'!C3:C15,0))+1)+((L919/(L919-1)-1)*(1-_xlfn.XLOOKUP(K919,'Fevereiro 2023 - Valor Real'!A3:A15,'Fevereiro 2023 - Valor Real'!C3:C15,0))+1))),IF(I920="Lay",(((L920/(L920-1)-1)*(1-_xlfn.XLOOKUP(K920,'Fevereiro 2023 - Valor Real'!A3:A15,'Fevereiro 2023 - Valor Real'!C3:C15,0))+1))/(((L919-1)*(1-_xlfn.XLOOKUP(K919,'Fevereiro 2023 - Valor Real'!A3:A15,'Fevereiro 2023 - Valor Real'!C3:C15,0))+1)+((L920/(L920-1)-1)*(1-_xlfn.XLOOKUP(K920,'Fevereiro 2023 - Valor Real'!A3:A15,'Fevereiro 2023 - Valor Real'!C3:C15,0))+1)),((L920-1)*(1-_xlfn.XLOOKUP(K920,'Fevereiro 2023 - Valor Real'!A3:A15,'Fevereiro 2023 - Valor Real'!C3:C15,0))+1)/(((L920-1)*(1-_xlfn.XLOOKUP(K920,'Fevereiro 2023 - Valor Real'!A3:A15,'Fevereiro 2023 - Valor Real'!C3:C15,0))+1)+((L919-1)*(1-_xlfn.XLOOKUP(K919,'Fevereiro 2023 - Valor Real'!A3:A15,'Fevereiro 2023 - Valor Real'!C3:C15,0))+1))))))</f>
        <v>0.53791469194312802</v>
      </c>
      <c r="AF919" s="105">
        <f t="shared" si="1846"/>
        <v>0</v>
      </c>
      <c r="AG919" s="106">
        <f t="shared" si="1846"/>
        <v>0</v>
      </c>
      <c r="AH919" s="106">
        <f t="shared" si="1846"/>
        <v>0</v>
      </c>
      <c r="AI919" s="106">
        <f t="shared" si="1846"/>
        <v>0</v>
      </c>
      <c r="AJ919" s="106">
        <f t="shared" si="1846"/>
        <v>0</v>
      </c>
      <c r="AK919" s="106">
        <f t="shared" si="1846"/>
        <v>0</v>
      </c>
      <c r="AL919" s="106">
        <f t="shared" si="1846"/>
        <v>0</v>
      </c>
      <c r="AM919" s="106">
        <f t="shared" si="1846"/>
        <v>0</v>
      </c>
      <c r="AN919" s="106">
        <f t="shared" si="1846"/>
        <v>0</v>
      </c>
      <c r="AO919" s="106">
        <f t="shared" si="1846"/>
        <v>0</v>
      </c>
      <c r="AP919" s="106">
        <f t="shared" si="1846"/>
        <v>0</v>
      </c>
      <c r="AQ919" s="106">
        <f t="shared" si="1846"/>
        <v>-10.31</v>
      </c>
      <c r="AR919" s="107">
        <f t="shared" si="1846"/>
        <v>0</v>
      </c>
      <c r="AS919" s="105">
        <f t="shared" ref="AS919:BE919" si="1854">IF(AND($B919=" ",$K919=AS$3),$O919,0)</f>
        <v>0</v>
      </c>
      <c r="AT919" s="106">
        <f t="shared" si="1854"/>
        <v>0</v>
      </c>
      <c r="AU919" s="106">
        <f t="shared" si="1854"/>
        <v>0</v>
      </c>
      <c r="AV919" s="106">
        <f t="shared" si="1854"/>
        <v>0</v>
      </c>
      <c r="AW919" s="106">
        <f t="shared" si="1854"/>
        <v>0</v>
      </c>
      <c r="AX919" s="106">
        <f t="shared" si="1854"/>
        <v>0</v>
      </c>
      <c r="AY919" s="108">
        <f t="shared" si="1854"/>
        <v>0</v>
      </c>
      <c r="AZ919" s="109">
        <f t="shared" si="1854"/>
        <v>0</v>
      </c>
      <c r="BA919" s="109">
        <f t="shared" si="1854"/>
        <v>0</v>
      </c>
      <c r="BB919" s="109">
        <f t="shared" si="1854"/>
        <v>0</v>
      </c>
      <c r="BC919" s="110">
        <f t="shared" si="1854"/>
        <v>0</v>
      </c>
      <c r="BD919" s="106">
        <f t="shared" si="1854"/>
        <v>0</v>
      </c>
      <c r="BE919" s="107">
        <f t="shared" si="1854"/>
        <v>0</v>
      </c>
      <c r="BF919" s="111">
        <f t="shared" si="1848"/>
        <v>0</v>
      </c>
      <c r="BG919" s="106">
        <f t="shared" si="1848"/>
        <v>0</v>
      </c>
      <c r="BH919" s="106">
        <f t="shared" si="1848"/>
        <v>0</v>
      </c>
      <c r="BI919" s="106">
        <f t="shared" si="1848"/>
        <v>0</v>
      </c>
      <c r="BJ919" s="106">
        <f t="shared" si="1848"/>
        <v>0</v>
      </c>
      <c r="BK919" s="106">
        <f t="shared" si="1848"/>
        <v>0</v>
      </c>
      <c r="BL919" s="106">
        <f t="shared" si="1848"/>
        <v>0</v>
      </c>
      <c r="BM919" s="108">
        <f t="shared" si="1848"/>
        <v>0</v>
      </c>
      <c r="BN919" s="109">
        <f t="shared" si="1848"/>
        <v>0</v>
      </c>
      <c r="BO919" s="109">
        <f t="shared" si="1848"/>
        <v>0</v>
      </c>
      <c r="BP919" s="109">
        <f t="shared" si="1848"/>
        <v>0</v>
      </c>
      <c r="BQ919" s="110">
        <f t="shared" si="1848"/>
        <v>10.31</v>
      </c>
      <c r="BR919" s="107">
        <f t="shared" si="1848"/>
        <v>0</v>
      </c>
      <c r="BS919" s="463">
        <f>IF($B919="LOSS",IF(AND($K919=BS$3,$C919="L"),-$O919,0)+IF(AND($K920=BS$3,$C920="L"),-$O920,0)+IF(AND($K921=BS$3,$C921="L"),-$O921,0),IF(OR(AND($K919=BS$3,OR($C919="W",$C919="1/2W")),AND($K920=BS$3,OR($C920="W",$C920="1/2W")),AND($K921=BS$3,OR($C921="W",$C921="1/2W"))),$S919,0))</f>
        <v>0</v>
      </c>
      <c r="BT919" s="462">
        <f>IF($B919="LOSS",IF(AND($K919=BT$3,$C919="L"),-$O919,0)+IF(AND($K920=BT$3,$C920="L"),-$O920,0)+IF(AND($K920=BT$3,$C921="L"),-$O921,0),IF(OR(AND($K920=BT$3,OR($C919="W",$C919="1/2W")),AND($K920=BT$3,OR($C920="W",$C920="1/2W")),AND($K920=BT$3,OR($C921="W",$C921="1/2W"))),$S919,0))</f>
        <v>0</v>
      </c>
      <c r="BU919" s="462">
        <f>IF($B919="LOSS",IF(AND($K919=BU$3,$C919="L"),-$O919,0)+IF(AND($K920=BU$3,$C920="L"),-$O920,0)+IF(AND($K920=BU$3,$C921="L"),-$O921,0),IF(OR(AND($K920=BU$3,OR($C919="W",$C919="1/2W")),AND($K920=BU$3,OR($C920="W",$C920="1/2W")),AND($K920=BU$3,OR($C921="W",$C921="1/2W"))),$S919,0))</f>
        <v>0</v>
      </c>
      <c r="BV919" s="462">
        <f t="shared" ref="BV919:CE919" si="1855">IF($B919="LOSS",IF(AND($K919=BV$3,$C919="L"),-$O919,0)+IF(AND($K920=BV$3,$C920="L"),-$O920,0)+IF(AND($K921=BV$3,$C921="L"),-$O921,0),IF(OR(AND($K919=BV$3,OR($C919="W",$C919="1/2W")),AND($K920=BV$3,OR($C920="W",$C920="1/2W")),AND($K921=BV$3,OR($C921="W",$C921="1/2W"))),$S919,0))</f>
        <v>0</v>
      </c>
      <c r="BW919" s="462">
        <f t="shared" si="1855"/>
        <v>0.94</v>
      </c>
      <c r="BX919" s="462">
        <f t="shared" si="1855"/>
        <v>0</v>
      </c>
      <c r="BY919" s="462">
        <f t="shared" si="1855"/>
        <v>0</v>
      </c>
      <c r="BZ919" s="460">
        <f t="shared" si="1855"/>
        <v>0</v>
      </c>
      <c r="CA919" s="460">
        <f t="shared" si="1855"/>
        <v>0</v>
      </c>
      <c r="CB919" s="460">
        <f t="shared" si="1855"/>
        <v>0</v>
      </c>
      <c r="CC919" s="460">
        <f t="shared" si="1855"/>
        <v>0</v>
      </c>
      <c r="CD919" s="473">
        <f t="shared" si="1855"/>
        <v>0</v>
      </c>
      <c r="CE919" s="479">
        <f t="shared" si="1855"/>
        <v>0</v>
      </c>
      <c r="CF919" s="113">
        <f t="shared" si="1796"/>
        <v>0</v>
      </c>
      <c r="CG919" s="114">
        <f t="shared" si="1797"/>
        <v>0</v>
      </c>
      <c r="CH919" s="114">
        <f t="shared" si="1798"/>
        <v>0</v>
      </c>
      <c r="CI919" s="114">
        <f t="shared" si="1799"/>
        <v>0</v>
      </c>
      <c r="CJ919" s="114">
        <f t="shared" si="1800"/>
        <v>0</v>
      </c>
      <c r="CK919" s="114">
        <f t="shared" si="1801"/>
        <v>0</v>
      </c>
      <c r="CL919" s="114">
        <f t="shared" si="1802"/>
        <v>0</v>
      </c>
      <c r="CM919" s="114">
        <f t="shared" si="1803"/>
        <v>0</v>
      </c>
      <c r="CN919" s="114">
        <f t="shared" si="1804"/>
        <v>0</v>
      </c>
      <c r="CO919" s="114">
        <f t="shared" si="1805"/>
        <v>0</v>
      </c>
      <c r="CP919" s="114">
        <f t="shared" si="1806"/>
        <v>0</v>
      </c>
      <c r="CQ919" s="114">
        <f t="shared" si="1807"/>
        <v>0</v>
      </c>
      <c r="CR919" s="114">
        <f t="shared" si="1808"/>
        <v>0</v>
      </c>
      <c r="CS919" s="114">
        <f t="shared" si="1809"/>
        <v>0</v>
      </c>
      <c r="CT919" s="115">
        <f t="shared" si="1810"/>
        <v>0</v>
      </c>
      <c r="CU919" s="116">
        <f t="shared" si="1811"/>
        <v>0</v>
      </c>
      <c r="CV919" s="116">
        <f t="shared" si="1812"/>
        <v>0</v>
      </c>
      <c r="CW919" s="116">
        <f t="shared" si="1813"/>
        <v>0</v>
      </c>
      <c r="CX919" s="116">
        <f t="shared" si="1814"/>
        <v>0</v>
      </c>
      <c r="CY919" s="116">
        <f t="shared" si="1815"/>
        <v>0</v>
      </c>
      <c r="CZ919" s="116">
        <f t="shared" si="1816"/>
        <v>0</v>
      </c>
      <c r="DA919" s="116">
        <f t="shared" si="1817"/>
        <v>0</v>
      </c>
      <c r="DB919" s="116">
        <f t="shared" si="1818"/>
        <v>0</v>
      </c>
      <c r="DC919" s="116">
        <f t="shared" si="1819"/>
        <v>1</v>
      </c>
      <c r="DD919" s="116">
        <f t="shared" si="1820"/>
        <v>0</v>
      </c>
      <c r="DE919" s="117">
        <f t="shared" si="1821"/>
        <v>0</v>
      </c>
      <c r="DF919" s="118">
        <f t="shared" si="1824"/>
        <v>56</v>
      </c>
      <c r="DG919" s="106">
        <f t="shared" si="1825"/>
        <v>75.483000000000004</v>
      </c>
      <c r="DH919" s="116">
        <f t="shared" si="1826"/>
        <v>19</v>
      </c>
      <c r="DI919" s="106">
        <f t="shared" si="1827"/>
        <v>81.47</v>
      </c>
      <c r="DJ919" s="201" t="str">
        <f>IF($D919="","",$D919)</f>
        <v>31</v>
      </c>
      <c r="DK919" s="465">
        <f>IF(AND($B919=" ",$D919&lt;&gt;""),1,0)</f>
        <v>0</v>
      </c>
    </row>
    <row r="920" spans="1:115" ht="14.5" customHeight="1" x14ac:dyDescent="0.2">
      <c r="A920" s="389"/>
      <c r="B920" s="456"/>
      <c r="C920" s="120" t="s">
        <v>54</v>
      </c>
      <c r="D920" s="374"/>
      <c r="E920" s="386"/>
      <c r="F920" s="377"/>
      <c r="G920" s="483"/>
      <c r="H920" s="476"/>
      <c r="I920" s="121" t="s">
        <v>76</v>
      </c>
      <c r="J920" s="122">
        <f>IF(OR(I919="TO",I919="TU",I919="TO1",I919="TU1",I919="TO2",I919="TU2"),J919,IF(OR(I919="AH1",I919="AH2"),IF(OR(I920="AH1",I920="AH2"),-J919,IF(OR(I920="EH1",I920="EH2"),-J919+0.5,"")),IF(OR(I919="EH1",I919="EH2"),IF(OR(I920="AH1",I920="AH2"),-J919+0.5,IF(OR(I920="EH1",I920="EH2"),-J919+1,"")),IF(AND(OR(I919="DNB1",I919="DNB2"),OR(I920="AH1",I920="AH2")),0,IF(AND(I919="Not ScoreBoth",OR(I920="TO1",I920="TO2")),0.5,"")))))</f>
        <v>1</v>
      </c>
      <c r="K920" s="123" t="s">
        <v>40</v>
      </c>
      <c r="L920" s="124">
        <v>2.27</v>
      </c>
      <c r="M920" s="125">
        <v>8.86</v>
      </c>
      <c r="N920" s="406"/>
      <c r="O920" s="126">
        <f>IF(OR(AE919="",AE920=""),"",ROUND(IF(L921&gt;0,IF(M920&gt;0,M920,IF(M919&gt;0,IF(N919=TRUE,ROUND((M919*AE920)/AE919,0),(M919*AE920)/AE919),IF(M920&gt;0,ROUND(M920,IF(N919=0,2,IF(N919=0.1,1,0))),IF(M921&gt;0,ROUND(O921*AE920/AE921,IF(N919=0,2,IF(N919=0.1,1,0))),0)))),IF(M920&gt;0,M920,ROUND((M919*AE920)/AE919,IF(N919=0,2,IF(N919=0.1,1,0))))),2))</f>
        <v>8.86</v>
      </c>
      <c r="P920" s="127">
        <f>IF(OR(L920="",O920=""),"",IF($C920="1/2W",O920/2+O920/2*L920,IF($C920="1/2L",O920/2,IF(I920="Lay",((O920*(L920/(L920-1)))-O920)*(1-_xlfn.XLOOKUP(K920,'Fevereiro 2023 - Valor Real'!A3:A15,'Fevereiro 2023 - Valor Real'!C3:C15,0))+O920,(O920*L920-O920)*(1-_xlfn.XLOOKUP(K920,'Fevereiro 2023 - Valor Real'!A3:A15,'Fevereiro 2023 - Valor Real'!C3:C15,0))+O920))))</f>
        <v>20.112199999999998</v>
      </c>
      <c r="Q920" s="128">
        <f>IF(K920="","",IF(_xlfn.XLOOKUP(K920,K$4:K919,$DJ$4:DJ919,0,,-1)=DJ920,_xlfn.XLOOKUP(K920,K$4:K919,Q$4:Q919,1,,-1)+1,1))</f>
        <v>2</v>
      </c>
      <c r="R920" s="129">
        <f>IF(K920="","",_xlfn.XLOOKUP(K920,K$4:K919,R$4:R919,0,,-1)+IF($C920=" ",1,0))</f>
        <v>0</v>
      </c>
      <c r="S920" s="403"/>
      <c r="T920" s="380"/>
      <c r="U920" s="380"/>
      <c r="V920" s="481"/>
      <c r="W920" s="380"/>
      <c r="X920" s="452"/>
      <c r="Y920" s="383"/>
      <c r="Z920" s="384"/>
      <c r="AA920" s="384"/>
      <c r="AB920" s="384"/>
      <c r="AC920" s="384"/>
      <c r="AD920" s="130">
        <f>(((L920/(L920-1)-1)*(1-_xlfn.XLOOKUP(K920,'Fevereiro 2023 - Valor Real'!A3:A15,'Fevereiro 2023 - Valor Real'!C3:C15,0))+1))</f>
        <v>1.7874015748031495</v>
      </c>
      <c r="AE920" s="131">
        <f>IF(L920="","",IF(L921&gt;0,(SUM(((L919-1)*(1-_xlfn.XLOOKUP(K919,'Fevereiro 2023 - Valor Real'!A3:A15,'Fevereiro 2023 - Valor Real'!C3:C15,0))+1),((L920-1)*(1-_xlfn.XLOOKUP(K920,'Fevereiro 2023 - Valor Real'!A3:A15,'Fevereiro 2023 - Valor Real'!C3:C15,0))+1),((L921-1)*(1-_xlfn.XLOOKUP(K921,'Fevereiro 2023 - Valor Real'!A3:A15,'Fevereiro 2023 - Valor Real'!C3:C15,0))+1))/((L920-1)*(1-_xlfn.XLOOKUP(K920,'Fevereiro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Real'!C3:C15,0))+1))/((L919-1)*(1-_xlfn.XLOOKUP(K919,'Fevereiro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Real'!C3:C15,0))+1))/((L920-1)*(1-_xlfn.XLOOKUP(K920,'Fevereiro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Real'!C3:C15,0))+1))/((L921-1)*(1-_xlfn.XLOOKUP(K921,'Fevereiro 2023 - Valor Real'!A3:A15,'Fevereiro 2023 - Valor Real'!C3:C15,0))+1)),IF(I920="Lay",IF(I919="Lay",((L919/(L919-1)-1)*(1-_xlfn.XLOOKUP(K919,'Fevereiro 2023 - Valor Real'!A3:A15,'Fevereiro 2023 - Valor Real'!C3:C15,0))+1)/(((L919/(L919-1)-1)*(1-_xlfn.XLOOKUP(K919,'Fevereiro 2023 - Valor Real'!A3:A15,'Fevereiro 2023 - Valor Real'!C3:C15,0))+1)+((L920/(L920-1)-1)*(1-_xlfn.XLOOKUP(K920,'Fevereiro 2023 - Valor Real'!A3:A15,'Fevereiro 2023 - Valor Real'!C3:C15,0))+1)),((L919-1)*(1-_xlfn.XLOOKUP(K919,'Fevereiro 2023 - Valor Real'!A3:A15,'Fevereiro 2023 - Valor Real'!C3:C15,0))+1)/(((L919-1)*(1-_xlfn.XLOOKUP(K919,'Fevereiro 2023 - Valor Real'!A3:A15,'Fevereiro 2023 - Valor Real'!C3:C15,0))+1)+((L920/(L920-1)-1)*(1-_xlfn.XLOOKUP(K920,'Fevereiro 2023 - Valor Real'!A3:A15,'Fevereiro 2023 - Valor Real'!C3:C15,0))+1))),IF(I919="Lay",((L919/(L919-1)-1)*(1-_xlfn.XLOOKUP(K919,'Fevereiro 2023 - Valor Real'!A3:A15,'Fevereiro 2023 - Valor Real'!C3:C15,0))+1)/((((L919/(L919-1)-1)*(1-_xlfn.XLOOKUP(K919,'Fevereiro 2023 - Valor Real'!A3:A15,'Fevereiro 2023 - Valor Real'!C3:C15,0))+1))+((L920-1)*(1-_xlfn.XLOOKUP(K920,'Fevereiro 2023 - Valor Real'!A3:A15,'Fevereiro 2023 - Valor Real'!C3:C15,0))+1)),((L919-1)*(1-_xlfn.XLOOKUP(K919,'Fevereiro 2023 - Valor Real'!A3:A15,'Fevereiro 2023 - Valor Real'!C3:C15,0))+1)/(((L919-1)*(1-_xlfn.XLOOKUP(K919,'Fevereiro 2023 - Valor Real'!A3:A15,'Fevereiro 2023 - Valor Real'!C3:C15,0))+1)+((L920-1)*(1-_xlfn.XLOOKUP(K920,'Fevereiro 2023 - Valor Real'!A3:A15,'Fevereiro 2023 - Valor Real'!C3:C15,0))+1))))))</f>
        <v>0.46208530805687204</v>
      </c>
      <c r="AF920" s="105">
        <f t="shared" si="1846"/>
        <v>0</v>
      </c>
      <c r="AG920" s="106">
        <f t="shared" si="1846"/>
        <v>0</v>
      </c>
      <c r="AH920" s="106">
        <f t="shared" si="1846"/>
        <v>0</v>
      </c>
      <c r="AI920" s="106">
        <f t="shared" si="1846"/>
        <v>0</v>
      </c>
      <c r="AJ920" s="106">
        <f t="shared" si="1846"/>
        <v>11.25</v>
      </c>
      <c r="AK920" s="106">
        <f t="shared" si="1846"/>
        <v>0</v>
      </c>
      <c r="AL920" s="106">
        <f t="shared" si="1846"/>
        <v>0</v>
      </c>
      <c r="AM920" s="106">
        <f t="shared" si="1846"/>
        <v>0</v>
      </c>
      <c r="AN920" s="106">
        <f t="shared" si="1846"/>
        <v>0</v>
      </c>
      <c r="AO920" s="106">
        <f t="shared" si="1846"/>
        <v>0</v>
      </c>
      <c r="AP920" s="106">
        <f t="shared" si="1846"/>
        <v>0</v>
      </c>
      <c r="AQ920" s="106">
        <f t="shared" si="1846"/>
        <v>0</v>
      </c>
      <c r="AR920" s="107">
        <f t="shared" si="1846"/>
        <v>0</v>
      </c>
      <c r="AS920" s="105">
        <f>IF(AND($B919=" ",$K920=AS$3),$O920,0)</f>
        <v>0</v>
      </c>
      <c r="AT920" s="106">
        <f>IF(AND($B919=" ",K920=AT$3),$O920,0)</f>
        <v>0</v>
      </c>
      <c r="AU920" s="106">
        <f t="shared" ref="AU920:BE920" si="1856">IF(AND($B919=" ",$K920=AU$3),$O920,0)</f>
        <v>0</v>
      </c>
      <c r="AV920" s="106">
        <f t="shared" si="1856"/>
        <v>0</v>
      </c>
      <c r="AW920" s="106">
        <f t="shared" si="1856"/>
        <v>0</v>
      </c>
      <c r="AX920" s="106">
        <f t="shared" si="1856"/>
        <v>0</v>
      </c>
      <c r="AY920" s="108">
        <f t="shared" si="1856"/>
        <v>0</v>
      </c>
      <c r="AZ920" s="109">
        <f t="shared" si="1856"/>
        <v>0</v>
      </c>
      <c r="BA920" s="109">
        <f t="shared" si="1856"/>
        <v>0</v>
      </c>
      <c r="BB920" s="109">
        <f t="shared" si="1856"/>
        <v>0</v>
      </c>
      <c r="BC920" s="110">
        <f t="shared" si="1856"/>
        <v>0</v>
      </c>
      <c r="BD920" s="106">
        <f t="shared" si="1856"/>
        <v>0</v>
      </c>
      <c r="BE920" s="107">
        <f t="shared" si="1856"/>
        <v>0</v>
      </c>
      <c r="BF920" s="105">
        <f t="shared" si="1848"/>
        <v>0</v>
      </c>
      <c r="BG920" s="106">
        <f t="shared" si="1848"/>
        <v>0</v>
      </c>
      <c r="BH920" s="106">
        <f t="shared" si="1848"/>
        <v>0</v>
      </c>
      <c r="BI920" s="106">
        <f t="shared" si="1848"/>
        <v>0</v>
      </c>
      <c r="BJ920" s="106">
        <f t="shared" si="1848"/>
        <v>8.86</v>
      </c>
      <c r="BK920" s="106">
        <f t="shared" si="1848"/>
        <v>0</v>
      </c>
      <c r="BL920" s="106">
        <f t="shared" si="1848"/>
        <v>0</v>
      </c>
      <c r="BM920" s="132">
        <f t="shared" si="1848"/>
        <v>0</v>
      </c>
      <c r="BN920" s="112">
        <f t="shared" si="1848"/>
        <v>0</v>
      </c>
      <c r="BO920" s="112">
        <f t="shared" si="1848"/>
        <v>0</v>
      </c>
      <c r="BP920" s="112">
        <f t="shared" si="1848"/>
        <v>0</v>
      </c>
      <c r="BQ920" s="110">
        <f t="shared" si="1848"/>
        <v>0</v>
      </c>
      <c r="BR920" s="107">
        <f t="shared" si="1848"/>
        <v>0</v>
      </c>
      <c r="BS920" s="464"/>
      <c r="BT920" s="461"/>
      <c r="BU920" s="392"/>
      <c r="BV920" s="461"/>
      <c r="BW920" s="392"/>
      <c r="BX920" s="392"/>
      <c r="BY920" s="392"/>
      <c r="BZ920" s="461"/>
      <c r="CA920" s="392"/>
      <c r="CB920" s="392"/>
      <c r="CC920" s="392"/>
      <c r="CD920" s="401"/>
      <c r="CE920" s="409"/>
      <c r="CF920" s="133">
        <f t="shared" si="1796"/>
        <v>0</v>
      </c>
      <c r="CG920" s="134">
        <f t="shared" si="1797"/>
        <v>0</v>
      </c>
      <c r="CH920" s="134">
        <f t="shared" si="1798"/>
        <v>0</v>
      </c>
      <c r="CI920" s="134">
        <f t="shared" si="1799"/>
        <v>0</v>
      </c>
      <c r="CJ920" s="134">
        <f t="shared" si="1800"/>
        <v>0</v>
      </c>
      <c r="CK920" s="134">
        <f t="shared" si="1801"/>
        <v>0</v>
      </c>
      <c r="CL920" s="134">
        <f t="shared" si="1802"/>
        <v>0</v>
      </c>
      <c r="CM920" s="134">
        <f t="shared" si="1803"/>
        <v>0</v>
      </c>
      <c r="CN920" s="134">
        <f t="shared" si="1804"/>
        <v>1</v>
      </c>
      <c r="CO920" s="134">
        <f t="shared" si="1805"/>
        <v>0</v>
      </c>
      <c r="CP920" s="134">
        <f t="shared" si="1806"/>
        <v>0</v>
      </c>
      <c r="CQ920" s="134">
        <f t="shared" si="1807"/>
        <v>0</v>
      </c>
      <c r="CR920" s="134">
        <f t="shared" si="1808"/>
        <v>0</v>
      </c>
      <c r="CS920" s="134">
        <f t="shared" si="1809"/>
        <v>0</v>
      </c>
      <c r="CT920" s="115">
        <f t="shared" si="1810"/>
        <v>0</v>
      </c>
      <c r="CU920" s="116">
        <f t="shared" si="1811"/>
        <v>0</v>
      </c>
      <c r="CV920" s="116">
        <f t="shared" si="1812"/>
        <v>0</v>
      </c>
      <c r="CW920" s="116">
        <f t="shared" si="1813"/>
        <v>0</v>
      </c>
      <c r="CX920" s="116">
        <f t="shared" si="1814"/>
        <v>0</v>
      </c>
      <c r="CY920" s="116">
        <f t="shared" si="1815"/>
        <v>0</v>
      </c>
      <c r="CZ920" s="116">
        <f t="shared" si="1816"/>
        <v>0</v>
      </c>
      <c r="DA920" s="116">
        <f t="shared" si="1817"/>
        <v>0</v>
      </c>
      <c r="DB920" s="116">
        <f t="shared" si="1818"/>
        <v>0</v>
      </c>
      <c r="DC920" s="116">
        <f t="shared" si="1819"/>
        <v>0</v>
      </c>
      <c r="DD920" s="116">
        <f t="shared" si="1820"/>
        <v>0</v>
      </c>
      <c r="DE920" s="117">
        <f t="shared" si="1821"/>
        <v>0</v>
      </c>
      <c r="DF920" s="118">
        <f t="shared" si="1824"/>
        <v>56</v>
      </c>
      <c r="DG920" s="106">
        <f t="shared" si="1825"/>
        <v>75.483000000000004</v>
      </c>
      <c r="DH920" s="116">
        <f t="shared" si="1826"/>
        <v>19</v>
      </c>
      <c r="DI920" s="106">
        <f t="shared" si="1827"/>
        <v>81.47</v>
      </c>
      <c r="DJ920" s="201" t="str">
        <f>IF($D919="","",$D919)</f>
        <v>31</v>
      </c>
      <c r="DK920" s="466"/>
    </row>
    <row r="921" spans="1:115" ht="14.5" customHeight="1" x14ac:dyDescent="0.2">
      <c r="A921" s="390"/>
      <c r="B921" s="457"/>
      <c r="C921" s="135" t="s">
        <v>53</v>
      </c>
      <c r="D921" s="375"/>
      <c r="E921" s="387"/>
      <c r="F921" s="378"/>
      <c r="G921" s="484"/>
      <c r="H921" s="477"/>
      <c r="I921" s="136"/>
      <c r="J921" s="137"/>
      <c r="K921" s="138"/>
      <c r="L921" s="139"/>
      <c r="M921" s="140"/>
      <c r="N921" s="407"/>
      <c r="O921" s="141" t="str">
        <f>IF(OR(AE919="",AE920=""),"",IF(L921&gt;0,ROUND(IF(M921&gt;0,M921,IF(M919&gt;0,ROUND((M919*AE921)/AE919,IF(N919=0,2,IF(N919=0.1,1,0))),IF(M920&gt;0,ROUND((M920*AE921)/AE920,IF(N919=0,2,IF(N919=0.1,1,0))),IF(M921&gt;0,M921,0)))),2),""))</f>
        <v/>
      </c>
      <c r="P921" s="142" t="str">
        <f>IF(I920="Lay",O920*(L920/(L920-1))-O920,IF(I919="Lay",O919*(L919/(L919-1))-O919,IF(OR(L921="",O921=""),"",IF($C921="1/2W",O921/2+O921/2*L921,IF($C921="1/2L",O921/2,(O921*L921-O921)*(1-_xlfn.XLOOKUP(K921,'Fevereiro 2023 - Valor Real'!A3:A15,'Fevereiro 2023 - Valor Real'!C3:C15,0))+O921)))))</f>
        <v/>
      </c>
      <c r="Q921" s="221" t="str">
        <f>IF(K921="","",IF(_xlfn.XLOOKUP(K921,K$4:K920,$DJ$4:DJ920,0,,-1)=DJ921,_xlfn.XLOOKUP(K921,K$4:K920,Q$4:Q920,1,,-1)+1,1))</f>
        <v/>
      </c>
      <c r="R921" s="144" t="str">
        <f>IF(K921="","",_xlfn.XLOOKUP(K921,K$4:K920,R$4:R920,0,,-1)+IF($C921=" ",1,0))</f>
        <v/>
      </c>
      <c r="S921" s="404"/>
      <c r="T921" s="378"/>
      <c r="U921" s="378"/>
      <c r="V921" s="404"/>
      <c r="W921" s="378"/>
      <c r="X921" s="453"/>
      <c r="Y921" s="383"/>
      <c r="Z921" s="384"/>
      <c r="AA921" s="384"/>
      <c r="AB921" s="384"/>
      <c r="AC921" s="384"/>
      <c r="AD921" s="145">
        <f>((L920/(L920-1)-1))</f>
        <v>0.78740157480314954</v>
      </c>
      <c r="AE921" s="146" t="str">
        <f>IF(L921="","",(SUM(((L919-1)*(1-_xlfn.XLOOKUP(K919,'Fevereiro 2023 - Valor Real'!A3:A15,'Fevereiro 2023 - Valor Real'!C3:C15,0))+1),((L920-1)*(1-_xlfn.XLOOKUP(K920,'Fevereiro 2023 - Valor Real'!A3:A15,'Fevereiro 2023 - Valor Real'!C3:C15,0))+1),((L921-1)*(1-_xlfn.XLOOKUP(K921,'Fevereiro 2023 - Valor Real'!A3:A15,'Fevereiro 2023 - Valor Real'!C3:C15,0))+1))/((L921-1)*(1-_xlfn.XLOOKUP(K921,'Fevereiro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Real'!C3:C15,0))+1))/((L919-1)*(1-_xlfn.XLOOKUP(K919,'Fevereiro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Real'!C3:C15,0))+1))/((L920-1)*(1-_xlfn.XLOOKUP(K920,'Fevereiro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Real'!C3:C15,0))+1))/((L921-1)*(1-_xlfn.XLOOKUP(K921,'Fevereiro 2023 - Valor Real'!A3:A15,'Fevereiro 2023 - Valor Real'!C3:C15,0))+1)))</f>
        <v/>
      </c>
      <c r="AF921" s="105">
        <f t="shared" si="1846"/>
        <v>0</v>
      </c>
      <c r="AG921" s="106">
        <f t="shared" si="1846"/>
        <v>0</v>
      </c>
      <c r="AH921" s="106">
        <f t="shared" si="1846"/>
        <v>0</v>
      </c>
      <c r="AI921" s="106">
        <f t="shared" si="1846"/>
        <v>0</v>
      </c>
      <c r="AJ921" s="106">
        <f t="shared" si="1846"/>
        <v>0</v>
      </c>
      <c r="AK921" s="106">
        <f t="shared" si="1846"/>
        <v>0</v>
      </c>
      <c r="AL921" s="106">
        <f t="shared" si="1846"/>
        <v>0</v>
      </c>
      <c r="AM921" s="106">
        <f t="shared" si="1846"/>
        <v>0</v>
      </c>
      <c r="AN921" s="106">
        <f t="shared" si="1846"/>
        <v>0</v>
      </c>
      <c r="AO921" s="106">
        <f t="shared" si="1846"/>
        <v>0</v>
      </c>
      <c r="AP921" s="106">
        <f t="shared" si="1846"/>
        <v>0</v>
      </c>
      <c r="AQ921" s="106">
        <f t="shared" si="1846"/>
        <v>0</v>
      </c>
      <c r="AR921" s="107">
        <f t="shared" si="1846"/>
        <v>0</v>
      </c>
      <c r="AS921" s="105">
        <f>IF(AND($B919=" ",$K921=AS$3),$O921,0)</f>
        <v>0</v>
      </c>
      <c r="AT921" s="106">
        <f>IF(AND($B919=" ",K921=AT$3),$O921,0)</f>
        <v>0</v>
      </c>
      <c r="AU921" s="106">
        <f t="shared" ref="AU921:BE921" si="1857">IF(AND($B919=" ",$K921=AU$3),$O921,0)</f>
        <v>0</v>
      </c>
      <c r="AV921" s="106">
        <f t="shared" si="1857"/>
        <v>0</v>
      </c>
      <c r="AW921" s="106">
        <f t="shared" si="1857"/>
        <v>0</v>
      </c>
      <c r="AX921" s="106">
        <f t="shared" si="1857"/>
        <v>0</v>
      </c>
      <c r="AY921" s="108">
        <f t="shared" si="1857"/>
        <v>0</v>
      </c>
      <c r="AZ921" s="109">
        <f t="shared" si="1857"/>
        <v>0</v>
      </c>
      <c r="BA921" s="109">
        <f t="shared" si="1857"/>
        <v>0</v>
      </c>
      <c r="BB921" s="109">
        <f t="shared" si="1857"/>
        <v>0</v>
      </c>
      <c r="BC921" s="110">
        <f t="shared" si="1857"/>
        <v>0</v>
      </c>
      <c r="BD921" s="106">
        <f t="shared" si="1857"/>
        <v>0</v>
      </c>
      <c r="BE921" s="107">
        <f t="shared" si="1857"/>
        <v>0</v>
      </c>
      <c r="BF921" s="105">
        <f t="shared" si="1848"/>
        <v>0</v>
      </c>
      <c r="BG921" s="106">
        <f t="shared" si="1848"/>
        <v>0</v>
      </c>
      <c r="BH921" s="106">
        <f t="shared" si="1848"/>
        <v>0</v>
      </c>
      <c r="BI921" s="106">
        <f t="shared" si="1848"/>
        <v>0</v>
      </c>
      <c r="BJ921" s="106">
        <f t="shared" si="1848"/>
        <v>0</v>
      </c>
      <c r="BK921" s="106">
        <f t="shared" si="1848"/>
        <v>0</v>
      </c>
      <c r="BL921" s="106">
        <f t="shared" si="1848"/>
        <v>0</v>
      </c>
      <c r="BM921" s="108">
        <f t="shared" si="1848"/>
        <v>0</v>
      </c>
      <c r="BN921" s="109">
        <f t="shared" si="1848"/>
        <v>0</v>
      </c>
      <c r="BO921" s="109">
        <f t="shared" si="1848"/>
        <v>0</v>
      </c>
      <c r="BP921" s="109">
        <f t="shared" si="1848"/>
        <v>0</v>
      </c>
      <c r="BQ921" s="110">
        <f t="shared" si="1848"/>
        <v>0</v>
      </c>
      <c r="BR921" s="107">
        <f t="shared" si="1848"/>
        <v>0</v>
      </c>
      <c r="BS921" s="464"/>
      <c r="BT921" s="461"/>
      <c r="BU921" s="392"/>
      <c r="BV921" s="461"/>
      <c r="BW921" s="392"/>
      <c r="BX921" s="392"/>
      <c r="BY921" s="392"/>
      <c r="BZ921" s="461"/>
      <c r="CA921" s="392"/>
      <c r="CB921" s="392"/>
      <c r="CC921" s="392"/>
      <c r="CD921" s="401"/>
      <c r="CE921" s="409"/>
      <c r="CF921" s="133">
        <f t="shared" si="1796"/>
        <v>0</v>
      </c>
      <c r="CG921" s="134">
        <f t="shared" si="1797"/>
        <v>0</v>
      </c>
      <c r="CH921" s="134">
        <f t="shared" si="1798"/>
        <v>0</v>
      </c>
      <c r="CI921" s="134">
        <f t="shared" si="1799"/>
        <v>0</v>
      </c>
      <c r="CJ921" s="134">
        <f t="shared" si="1800"/>
        <v>0</v>
      </c>
      <c r="CK921" s="134">
        <f t="shared" si="1801"/>
        <v>0</v>
      </c>
      <c r="CL921" s="134">
        <f t="shared" si="1802"/>
        <v>0</v>
      </c>
      <c r="CM921" s="134">
        <f t="shared" si="1803"/>
        <v>0</v>
      </c>
      <c r="CN921" s="134">
        <f t="shared" si="1804"/>
        <v>0</v>
      </c>
      <c r="CO921" s="134">
        <f t="shared" si="1805"/>
        <v>0</v>
      </c>
      <c r="CP921" s="134">
        <f t="shared" si="1806"/>
        <v>0</v>
      </c>
      <c r="CQ921" s="134">
        <f t="shared" si="1807"/>
        <v>0</v>
      </c>
      <c r="CR921" s="134">
        <f t="shared" si="1808"/>
        <v>0</v>
      </c>
      <c r="CS921" s="134">
        <f t="shared" si="1809"/>
        <v>0</v>
      </c>
      <c r="CT921" s="115">
        <f t="shared" si="1810"/>
        <v>0</v>
      </c>
      <c r="CU921" s="116">
        <f t="shared" si="1811"/>
        <v>0</v>
      </c>
      <c r="CV921" s="116">
        <f t="shared" si="1812"/>
        <v>0</v>
      </c>
      <c r="CW921" s="116">
        <f t="shared" si="1813"/>
        <v>0</v>
      </c>
      <c r="CX921" s="116">
        <f t="shared" si="1814"/>
        <v>0</v>
      </c>
      <c r="CY921" s="116">
        <f t="shared" si="1815"/>
        <v>0</v>
      </c>
      <c r="CZ921" s="116">
        <f t="shared" si="1816"/>
        <v>0</v>
      </c>
      <c r="DA921" s="116">
        <f t="shared" si="1817"/>
        <v>0</v>
      </c>
      <c r="DB921" s="116">
        <f t="shared" si="1818"/>
        <v>0</v>
      </c>
      <c r="DC921" s="116">
        <f t="shared" si="1819"/>
        <v>0</v>
      </c>
      <c r="DD921" s="116">
        <f t="shared" si="1820"/>
        <v>0</v>
      </c>
      <c r="DE921" s="117">
        <f t="shared" si="1821"/>
        <v>0</v>
      </c>
      <c r="DF921" s="118">
        <f t="shared" si="1824"/>
        <v>56</v>
      </c>
      <c r="DG921" s="106">
        <f t="shared" si="1825"/>
        <v>75.483000000000004</v>
      </c>
      <c r="DH921" s="116">
        <f t="shared" si="1826"/>
        <v>19</v>
      </c>
      <c r="DI921" s="106">
        <f t="shared" si="1827"/>
        <v>81.47</v>
      </c>
      <c r="DJ921" s="201" t="str">
        <f>IF($D919="","",$D919)</f>
        <v>31</v>
      </c>
      <c r="DK921" s="466"/>
    </row>
    <row r="922" spans="1:115" ht="14.5" customHeight="1" x14ac:dyDescent="0.2">
      <c r="A922" s="487">
        <f>$A919+1</f>
        <v>307</v>
      </c>
      <c r="B922" s="506" t="str">
        <f>IF(OR(C922="W",C923="W",C924="W",C922="1/2W",C923="1/2W",C924="1/2W",C922="1/2L",C923="1/2L",C924="1/2L"),"OK",IF(OR(C922="L",C923="L",C924="L"),"LOSS",IF(OR(C922="X",C923="X",C924="X"),"Anulado"," ")))</f>
        <v>OK</v>
      </c>
      <c r="C922" s="147" t="s">
        <v>55</v>
      </c>
      <c r="D922" s="494" t="str">
        <f>IF(G922="","",$D919)</f>
        <v>31</v>
      </c>
      <c r="E922" s="511" t="str">
        <f>IF(G922=""," ","– "&amp;COUNTIF(D$4:D924,$D922))</f>
        <v>– 3</v>
      </c>
      <c r="F922" s="510" t="str">
        <f ca="1">IF(G922="","",IF(OR(AND($C922&lt;&gt;" ",$C923=" "),AND($C923&lt;&gt;" ",$C922=" "),AND(L924&gt;0,OR(AND($C924&lt;&gt;" ",OR($C922=" ",$C923=" ")),AND($C924=" ",OR($C922&lt;&gt;" ",$C923&lt;&gt;" "))))),IF(SUM(F$4:F921)=0,1,LARGE(F$4:F921,1)+1),IF(MONTH(G922)=MONTH(TODAY()),IF(AND(DAY(G922)&lt;DAY(TODAY()),$B922=" "),IF(SUM(F$4:F921)=0,1,LARGE(F$4:F921,1)+1),IF($B922=" ",IF(AND(DAY(G922)=DAY(TODAY()),HOUR(G922)&lt;=HOUR(NOW())+1),IF(AND(HOUR(G922)+2&lt;=HOUR(NOW()),DAY(G922)&lt;=DAY(TODAY()),MINUTE(G922)&lt;=MINUTE(NOW())),IF(SUM(F$4:F921)=0,1,LARGE(F$4:F921,1)+1),IF(OR(MINUTE(G922)&lt;=MINUTE(NOW()),HOUR(G922)&lt;=HOUR(NOW())),"!!!","")),""),"")),"")))</f>
        <v/>
      </c>
      <c r="G922" s="517">
        <v>45016.645833333336</v>
      </c>
      <c r="H922" s="516" t="s">
        <v>308</v>
      </c>
      <c r="I922" s="222" t="s">
        <v>51</v>
      </c>
      <c r="J922" s="223">
        <v>9</v>
      </c>
      <c r="K922" s="224" t="s">
        <v>43</v>
      </c>
      <c r="L922" s="225">
        <v>1.9339999999999999</v>
      </c>
      <c r="M922" s="226"/>
      <c r="N922" s="503">
        <v>0</v>
      </c>
      <c r="O922" s="153">
        <f>IF(OR(AE922="",AE923=""),"",ROUND(IF(L924&gt;0,IF(M922&gt;0,M922,IF(M923&gt;0,ROUND((M923*AE922)/AE923,IF(N922=0,2,IF(N922=0.1,1,0))),ROUND((M924*AE922)/AE924,IF(N922=0,2,IF(N922=0.1,1,0))))),IF(M922&gt;0,M922,ROUND((M923*AE922)/AE923,IF(N922=0,2,IF(N922=0.1,1,0))))),2))</f>
        <v>12.52</v>
      </c>
      <c r="P922" s="227">
        <f>IF(OR(L922="",O922=""),"",IF($C922="1/2W",O922/2+O922/2*L922,IF($C922="1/2L",O922/2,IF(I922="Lay",(O922*(L922/(L922-1))-O922)*(1-_xlfn.XLOOKUP(K922,'Fevereiro 2023 - Valor Real'!A3:A15,'Fevereiro 2023 - Valor Real'!C3:C15,0))+O922,(O922*L922-O922)*(1-_xlfn.XLOOKUP(K922,'Fevereiro 2023 - Valor Real'!A3:A15,'Fevereiro 2023 - Valor Real'!C3:C15,0))+O922))))</f>
        <v>24.21368</v>
      </c>
      <c r="Q922" s="228">
        <f>IF(K922="","",IF(_xlfn.XLOOKUP(K922,K$4:K921,$DJ$4:DJ921,0,,-1)=DJ922,_xlfn.XLOOKUP(K922,K$4:K921,Q$4:Q921,1,,-1)+1,1))</f>
        <v>1</v>
      </c>
      <c r="R922" s="229">
        <f>IF(K922="","",_xlfn.XLOOKUP(K922,K$4:K921,R$4:R921,0,,-1)+IF($C922=" ",1,0))</f>
        <v>0</v>
      </c>
      <c r="S922" s="501">
        <f>IF($B922="Anulado",0,ROUND(IF(OR($B922="LOSS",$B922="OK"),IF(OR($C922="W",$C922="1/2W",$C922="1/2L"),P922-O922,IF($C922="L",-O922,0))+IF(OR($C923="W",$C923="1/2W",$C923="1/2L"),P923-O923,IF($C923="L",-O923,0))+IF(OR($C924="W",$C924="1/2W",$C924="1/2L"),P924-O924,IF($C924="L",-O924,0)),IF(AND(OR($C922="W",$C922="1/2W",$C922="1/2L"),C923="W"),P922+P923-SUM(O922:O924)+_xlfn.XLOOKUP("X",C922:C924,O922:O924,0),IF(AND(C922=TRUE,C924="W"),P922+P924-SUM(O922:O924),IF(AND(C923="W",C924="W"),P923+P924-SUM(O922:O924)+_xlfn.XLOOKUP("X",C922:C924,O922:O924,0),IF(L924&gt;0,IF(OR($C922="W",$C922="1/2W",$C922="1/2L"),P922-SUM(O922:O924)+_xlfn.XLOOKUP("X",C922:C924,O922:O924,0),IF(OR($C922="W",$C922="1/2W",$C922="1/2L"),P923-SUM(O922:O924)+_xlfn.XLOOKUP("X",C922:C924,O922:O924,0),IF(OR($C922="W",$C922="1/2W",$C922="1/2L"),P924-SUM(O922:O924)+_xlfn.XLOOKUP("X",C922:C924,O922:O924,0),IF(SUM(P922:P924)/3-SUM(O922:O924)+_xlfn.XLOOKUP("X",C922:C924,O922:O924,0)&gt;0,SUM(P922:P924)/3-SUM(O922:O924)+_xlfn.XLOOKUP("X",C922:C924,O922:O924,0),LARGE(P922:P924,1)-SUM(O922:O924))))),IF(OR($C922="W",$C922="1/2W",$C922="1/2L"),P922-SUM(O922:O923)+_xlfn.XLOOKUP("X",C922:C924,O922:O924,0),IF(OR($C922="W",$C922="1/2W",$C922="1/2L"),P923-SUM(O922:O923)+_xlfn.XLOOKUP("X",C922:C924,O922:O924,0),SUM(P922:P923)/2-SUM(O922:O923)+_xlfn.XLOOKUP("X",C922:C924,O922:O924,0)))))))),2))</f>
        <v>0.97</v>
      </c>
      <c r="T922" s="486">
        <f>IF(S922=0,0,S922/SUM(O922:O924))</f>
        <v>4.1756349547998277E-2</v>
      </c>
      <c r="U922" s="496">
        <f>IF($D922=$D919,IF(OR($B922="LOSS",$B922="OK",$B922="Anulada"),S922,0)+U919,IF(OR($B922="LOSS",$B922="OK",$B922="Anulada"),S922,0))</f>
        <v>2.7800000000000002</v>
      </c>
      <c r="V922" s="496">
        <f>IF($D922="",0,IF($D922=$D919,IF($B922=" ",IF(I924="",IF(OR(AND(I922="DNB1",I923="DNB2"),AND(OR(I922="DNB1",I922="DNB2"),J923=0),AND(OR(I923="DNB1",I923="DNB2"),J922=0),AND(I922="DNB2",I923="DNB1"),AND(IF(J922=0,(J922+1)/ROUND(J922+1,0),J922/ROUND(J922,0))=1,IF(J923=0,(J923+1)/ROUND(IF(J923="",0,J923)+1,0),IF(J923="",0,J923)/ROUND(IF(J923="",1,J923),0))=1,OR(J922&lt;&gt;""),J923&lt;&gt;"")),0,IF(S922&lt;0,IF(I924="",SMALL(P922:P923,1)-SUM(O922:O923),0),SMALL(P922:P923,1)-SUM(O922:O923))),IF(S922&lt;0,IF(I924="",SMALL(P922:P924,1)-SUM(O922:O924),0),LARGE(P922:P924,1)-SUM(O922:O924))),S922)+V919,IF(I924="",IF(OR(AND(I922="DNB1",I923="DNB2"),AND(OR(I922="DNB1",I922="DNB2"),J923=0),AND(OR(I923="DNB1",I923="DNB2"),J922=0),AND(I922="DNB2",I923="DNB1"),AND(IF(J922=0,(J922+1)/ROUND(J922+1,0),J922/ROUND(J922,0))=1,IF(J923=0,(IF(J923="",0,J923)+1)/ROUND(IF(J923="",0,J923)+1,0),IF(J923="",0,J923)/ROUND(IF(J923="",0,J923)+1,0))=1,OR(J922&lt;&gt;""),J923&lt;&gt;"")),0,IF(S922&lt;0,IF(I924="",SMALL(P922:P923,1)-SUM(O922:O923),0),SMALL(P922:P924,1)-SUM(O922:O924))),IF(S922&lt;0,IF(I924="",SMALL(P922:P924,1)-SUM(O922:O924),0),LARGE(P922:P924,1)-SUM(O922:O924)))))</f>
        <v>2.7829999999999977</v>
      </c>
      <c r="W922" s="496">
        <f>IF($D922=$D919,IF(S922&lt;0,IF(I924="",S922,0),S922)+W919,S922)</f>
        <v>2.7800000000000002</v>
      </c>
      <c r="X922" s="505" t="str">
        <f>IF(OR(SUM(R922:R924)=0,V922=W922),ROUND(IF(W922=0,0,W922/Y922)*100,2)&amp;"%",ROUND(IF(V922=0,0,V922/Y922)*100,2)&amp;"% a "&amp;ROUND(IF(W922=0,0,W922/Y922)*100,2)&amp;"%")</f>
        <v>4,05%</v>
      </c>
      <c r="Y922" s="497">
        <f>IF($D922=$D919,Y919+SUM(O922:O924),SUM(O922:O924))</f>
        <v>68.66</v>
      </c>
      <c r="Z922" s="496">
        <f>IF($B922=" ",SUM(O922:O924),0)+Z919</f>
        <v>0</v>
      </c>
      <c r="AA922" s="496">
        <f>IF(G922="","",IF($B922="Anulado",LARGE(P922:P924,1)-SUM(O922:O924)+AA919,AA919))</f>
        <v>14.77109999999999</v>
      </c>
      <c r="AB922" s="496">
        <f>IF($D922="","",AB919+S922)</f>
        <v>1028.5800000000011</v>
      </c>
      <c r="AC922" s="499">
        <f ca="1">IF($D922="","",IF($B922=" ",IF(DAY(G922)=DAY(TODAY()),1+AC919,0+AC919),0+AC919))</f>
        <v>0</v>
      </c>
      <c r="AD922" s="157">
        <f>(((L923/(L923-1)-1)*(1-_xlfn.XLOOKUP(K923,'Fevereiro 2023 - Valor Real'!A3:A15,'Fevereiro 2023 - Valor Real'!C3:C15,0))+1))/(((L922-1)*(1-_xlfn.XLOOKUP(K922,'Fevereiro 2023 - Valor Real'!A3:A15,'Fevereiro 2023 - Valor Real'!C3:C15,0))+1)+((L923/(L923-1)-1)*(1-_xlfn.XLOOKUP(K923,'Fevereiro 2023 - Valor Real'!A3:A15,'Fevereiro 2023 - Valor Real'!C3:C15,0))+1))</f>
        <v>0.48117457694960869</v>
      </c>
      <c r="AE922" s="158">
        <f>IF(L922="","",IF(L924&gt;0,(SUM(((L922-1)*(1-_xlfn.XLOOKUP(K922,'Fevereiro 2023 - Valor Real'!A3:A15,'Fevereiro 2023 - Valor Real'!C3:C15,0))+1),((L923-1)*(1-_xlfn.XLOOKUP(K923,'Fevereiro 2023 - Valor Real'!A3:A15,'Fevereiro 2023 - Valor Real'!C3:C15,0))+1),((L924-1)*(1-_xlfn.XLOOKUP(K924,'Fevereiro 2023 - Valor Real'!A3:A15,'Fevereiro 2023 - Valor Real'!C3:C15,0))+1))/((L922-1)*(1-_xlfn.XLOOKUP(K922,'Fevereiro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Real'!C3:C15,0))+1))/((L922-1)*(1-_xlfn.XLOOKUP(K922,'Fevereiro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Real'!C3:C15,0))+1))/((L923-1)*(1-_xlfn.XLOOKUP(K923,'Fevereiro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Real'!C3:C15,0))+1))/((L924-1)*(1-_xlfn.XLOOKUP(K924,'Fevereiro 2023 - Valor Real'!A3:A15,'Fevereiro 2023 - Valor Real'!C3:C15,0))+1)),IF(I922="Lay",IF(I923="Lay",((L923/(L923-1)-1)*(1-_xlfn.XLOOKUP(K923,'Fevereiro 2023 - Valor Real'!A3:A15,'Fevereiro 2023 - Valor Real'!C3:C15,0))+1)/(((L923/(L923-1)-1)*(1-_xlfn.XLOOKUP(K923,'Fevereiro 2023 - Valor Real'!A3:A15,'Fevereiro 2023 - Valor Real'!C3:C15,0))+1)+((L922/(L922-1)-1)*(1-_xlfn.XLOOKUP(K922,'Fevereiro 2023 - Valor Real'!A3:A15,'Fevereiro 2023 - Valor Real'!C3:C15,0))+1)),((L923-1)*(1-_xlfn.XLOOKUP(K923,'Fevereiro 2023 - Valor Real'!A3:A15,'Fevereiro 2023 - Valor Real'!C3:C15,0))+1)/(((L923-1)*(1-_xlfn.XLOOKUP(K923,'Fevereiro 2023 - Valor Real'!A3:A15,'Fevereiro 2023 - Valor Real'!C3:C15,0))+1)+((L922/(L922-1)-1)*(1-_xlfn.XLOOKUP(K922,'Fevereiro 2023 - Valor Real'!A3:A15,'Fevereiro 2023 - Valor Real'!C3:C15,0))+1))),IF(I923="Lay",(((L923/(L923-1)-1)*(1-_xlfn.XLOOKUP(K923,'Fevereiro 2023 - Valor Real'!A3:A15,'Fevereiro 2023 - Valor Real'!C3:C15,0))+1))/(((L922-1)*(1-_xlfn.XLOOKUP(K922,'Fevereiro 2023 - Valor Real'!A3:A15,'Fevereiro 2023 - Valor Real'!C3:C15,0))+1)+((L923/(L923-1)-1)*(1-_xlfn.XLOOKUP(K923,'Fevereiro 2023 - Valor Real'!A3:A15,'Fevereiro 2023 - Valor Real'!C3:C15,0))+1)),((L923-1)*(1-_xlfn.XLOOKUP(K923,'Fevereiro 2023 - Valor Real'!A3:A15,'Fevereiro 2023 - Valor Real'!C3:C15,0))+1)/(((L923-1)*(1-_xlfn.XLOOKUP(K923,'Fevereiro 2023 - Valor Real'!A3:A15,'Fevereiro 2023 - Valor Real'!C3:C15,0))+1)+((L922-1)*(1-_xlfn.XLOOKUP(K922,'Fevereiro 2023 - Valor Real'!A3:A15,'Fevereiro 2023 - Valor Real'!C3:C15,0))+1))))))</f>
        <v>0.53886504530281354</v>
      </c>
      <c r="AF922" s="66">
        <f t="shared" si="1846"/>
        <v>0</v>
      </c>
      <c r="AG922" s="67">
        <f t="shared" si="1846"/>
        <v>0</v>
      </c>
      <c r="AH922" s="67">
        <f t="shared" si="1846"/>
        <v>0</v>
      </c>
      <c r="AI922" s="67">
        <f t="shared" si="1846"/>
        <v>0</v>
      </c>
      <c r="AJ922" s="67">
        <f t="shared" si="1846"/>
        <v>0</v>
      </c>
      <c r="AK922" s="67">
        <f t="shared" si="1846"/>
        <v>0</v>
      </c>
      <c r="AL922" s="67">
        <f t="shared" si="1846"/>
        <v>0</v>
      </c>
      <c r="AM922" s="67">
        <f t="shared" si="1846"/>
        <v>-12.52</v>
      </c>
      <c r="AN922" s="67">
        <f t="shared" si="1846"/>
        <v>0</v>
      </c>
      <c r="AO922" s="67">
        <f t="shared" si="1846"/>
        <v>0</v>
      </c>
      <c r="AP922" s="67">
        <f t="shared" si="1846"/>
        <v>0</v>
      </c>
      <c r="AQ922" s="67">
        <f t="shared" si="1846"/>
        <v>0</v>
      </c>
      <c r="AR922" s="68">
        <f t="shared" si="1846"/>
        <v>0</v>
      </c>
      <c r="AS922" s="66">
        <f t="shared" ref="AS922:BE922" si="1858">IF(AND($B922=" ",$K922=AS$3),$O922,0)</f>
        <v>0</v>
      </c>
      <c r="AT922" s="67">
        <f t="shared" si="1858"/>
        <v>0</v>
      </c>
      <c r="AU922" s="67">
        <f t="shared" si="1858"/>
        <v>0</v>
      </c>
      <c r="AV922" s="67">
        <f t="shared" si="1858"/>
        <v>0</v>
      </c>
      <c r="AW922" s="67">
        <f t="shared" si="1858"/>
        <v>0</v>
      </c>
      <c r="AX922" s="67">
        <f t="shared" si="1858"/>
        <v>0</v>
      </c>
      <c r="AY922" s="69">
        <f t="shared" si="1858"/>
        <v>0</v>
      </c>
      <c r="AZ922" s="70">
        <f t="shared" si="1858"/>
        <v>0</v>
      </c>
      <c r="BA922" s="70">
        <f t="shared" si="1858"/>
        <v>0</v>
      </c>
      <c r="BB922" s="70">
        <f t="shared" si="1858"/>
        <v>0</v>
      </c>
      <c r="BC922" s="71">
        <f t="shared" si="1858"/>
        <v>0</v>
      </c>
      <c r="BD922" s="67">
        <f t="shared" si="1858"/>
        <v>0</v>
      </c>
      <c r="BE922" s="68">
        <f t="shared" si="1858"/>
        <v>0</v>
      </c>
      <c r="BF922" s="230">
        <f t="shared" si="1848"/>
        <v>0</v>
      </c>
      <c r="BG922" s="67">
        <f t="shared" si="1848"/>
        <v>0</v>
      </c>
      <c r="BH922" s="67">
        <f t="shared" si="1848"/>
        <v>0</v>
      </c>
      <c r="BI922" s="67">
        <f t="shared" si="1848"/>
        <v>0</v>
      </c>
      <c r="BJ922" s="67">
        <f t="shared" si="1848"/>
        <v>0</v>
      </c>
      <c r="BK922" s="67">
        <f t="shared" si="1848"/>
        <v>0</v>
      </c>
      <c r="BL922" s="67">
        <f t="shared" si="1848"/>
        <v>0</v>
      </c>
      <c r="BM922" s="69">
        <f t="shared" si="1848"/>
        <v>12.52</v>
      </c>
      <c r="BN922" s="70">
        <f t="shared" si="1848"/>
        <v>0</v>
      </c>
      <c r="BO922" s="70">
        <f t="shared" si="1848"/>
        <v>0</v>
      </c>
      <c r="BP922" s="70">
        <f t="shared" si="1848"/>
        <v>0</v>
      </c>
      <c r="BQ922" s="71">
        <f t="shared" si="1848"/>
        <v>0</v>
      </c>
      <c r="BR922" s="68">
        <f t="shared" si="1848"/>
        <v>0</v>
      </c>
      <c r="BS922" s="490">
        <f>IF($B922="LOSS",IF(AND($K922=BS$3,$C922="L"),-$O922,0)+IF(AND($K923=BS$3,$C923="L"),-$O923,0)+IF(AND($K924=BS$3,$C924="L"),-$O924,0),IF(OR(AND($K922=BS$3,OR($C922="W",$C922="1/2W")),AND($K923=BS$3,OR($C923="W",$C923="1/2W")),AND($K924=BS$3,OR($C924="W",$C924="1/2W"))),$S922,0))</f>
        <v>0</v>
      </c>
      <c r="BT922" s="488">
        <f>IF($B922="LOSS",IF(AND($K922=BT$3,$C922="L"),-$O922,0)+IF(AND($K923=BT$3,$C923="L"),-$O923,0)+IF(AND($K923=BT$3,$C924="L"),-$O924,0),IF(OR(AND($K923=BT$3,OR($C922="W",$C922="1/2W")),AND($K923=BT$3,OR($C923="W",$C923="1/2W")),AND($K923=BT$3,OR($C924="W",$C924="1/2W"))),$S922,0))</f>
        <v>0</v>
      </c>
      <c r="BU922" s="488">
        <f>IF($B922="LOSS",IF(AND($K922=BU$3,$C922="L"),-$O922,0)+IF(AND($K923=BU$3,$C923="L"),-$O923,0)+IF(AND($K923=BU$3,$C924="L"),-$O924,0),IF(OR(AND($K923=BU$3,OR($C922="W",$C922="1/2W")),AND($K923=BU$3,OR($C923="W",$C923="1/2W")),AND($K923=BU$3,OR($C924="W",$C924="1/2W"))),$S922,0))</f>
        <v>0</v>
      </c>
      <c r="BV922" s="488">
        <f t="shared" ref="BV922:CE922" si="1859">IF($B922="LOSS",IF(AND($K922=BV$3,$C922="L"),-$O922,0)+IF(AND($K923=BV$3,$C923="L"),-$O923,0)+IF(AND($K924=BV$3,$C924="L"),-$O924,0),IF(OR(AND($K922=BV$3,OR($C922="W",$C922="1/2W")),AND($K923=BV$3,OR($C923="W",$C923="1/2W")),AND($K924=BV$3,OR($C924="W",$C924="1/2W"))),$S922,0))</f>
        <v>0</v>
      </c>
      <c r="BW922" s="488">
        <f t="shared" si="1859"/>
        <v>0.97</v>
      </c>
      <c r="BX922" s="488">
        <f t="shared" si="1859"/>
        <v>0</v>
      </c>
      <c r="BY922" s="488">
        <f t="shared" si="1859"/>
        <v>0</v>
      </c>
      <c r="BZ922" s="498">
        <f t="shared" si="1859"/>
        <v>0</v>
      </c>
      <c r="CA922" s="498">
        <f t="shared" si="1859"/>
        <v>0</v>
      </c>
      <c r="CB922" s="498">
        <f t="shared" si="1859"/>
        <v>0</v>
      </c>
      <c r="CC922" s="498">
        <f t="shared" si="1859"/>
        <v>0</v>
      </c>
      <c r="CD922" s="500">
        <f t="shared" si="1859"/>
        <v>0</v>
      </c>
      <c r="CE922" s="504">
        <f t="shared" si="1859"/>
        <v>0</v>
      </c>
      <c r="CF922" s="160">
        <f t="shared" si="1796"/>
        <v>0</v>
      </c>
      <c r="CG922" s="161">
        <f t="shared" si="1797"/>
        <v>0</v>
      </c>
      <c r="CH922" s="161">
        <f t="shared" si="1798"/>
        <v>0</v>
      </c>
      <c r="CI922" s="161">
        <f t="shared" si="1799"/>
        <v>0</v>
      </c>
      <c r="CJ922" s="161">
        <f t="shared" si="1800"/>
        <v>0</v>
      </c>
      <c r="CK922" s="161">
        <f t="shared" si="1801"/>
        <v>0</v>
      </c>
      <c r="CL922" s="161">
        <f t="shared" si="1802"/>
        <v>0</v>
      </c>
      <c r="CM922" s="161">
        <f t="shared" si="1803"/>
        <v>0</v>
      </c>
      <c r="CN922" s="161">
        <f t="shared" si="1804"/>
        <v>0</v>
      </c>
      <c r="CO922" s="161">
        <f t="shared" si="1805"/>
        <v>0</v>
      </c>
      <c r="CP922" s="161">
        <f t="shared" si="1806"/>
        <v>0</v>
      </c>
      <c r="CQ922" s="161">
        <f t="shared" si="1807"/>
        <v>0</v>
      </c>
      <c r="CR922" s="161">
        <f t="shared" si="1808"/>
        <v>0</v>
      </c>
      <c r="CS922" s="161">
        <f t="shared" si="1809"/>
        <v>0</v>
      </c>
      <c r="CT922" s="75">
        <f t="shared" si="1810"/>
        <v>0</v>
      </c>
      <c r="CU922" s="76">
        <f t="shared" si="1811"/>
        <v>1</v>
      </c>
      <c r="CV922" s="76">
        <f t="shared" si="1812"/>
        <v>0</v>
      </c>
      <c r="CW922" s="76">
        <f t="shared" si="1813"/>
        <v>0</v>
      </c>
      <c r="CX922" s="76">
        <f t="shared" si="1814"/>
        <v>0</v>
      </c>
      <c r="CY922" s="76">
        <f t="shared" si="1815"/>
        <v>0</v>
      </c>
      <c r="CZ922" s="76">
        <f t="shared" si="1816"/>
        <v>0</v>
      </c>
      <c r="DA922" s="76">
        <f t="shared" si="1817"/>
        <v>0</v>
      </c>
      <c r="DB922" s="76">
        <f t="shared" si="1818"/>
        <v>0</v>
      </c>
      <c r="DC922" s="76">
        <f t="shared" si="1819"/>
        <v>0</v>
      </c>
      <c r="DD922" s="76">
        <f t="shared" si="1820"/>
        <v>0</v>
      </c>
      <c r="DE922" s="77">
        <f t="shared" si="1821"/>
        <v>0</v>
      </c>
      <c r="DF922" s="73">
        <f t="shared" si="1824"/>
        <v>56</v>
      </c>
      <c r="DG922" s="67">
        <f t="shared" si="1825"/>
        <v>75.483000000000004</v>
      </c>
      <c r="DH922" s="76">
        <f t="shared" si="1826"/>
        <v>19</v>
      </c>
      <c r="DI922" s="67">
        <f t="shared" si="1827"/>
        <v>81.47</v>
      </c>
      <c r="DJ922" s="202" t="str">
        <f>IF($D922="","",$D922)</f>
        <v>31</v>
      </c>
      <c r="DK922" s="492">
        <f>IF(AND($B922=" ",$D922&lt;&gt;""),1,0)</f>
        <v>0</v>
      </c>
    </row>
    <row r="923" spans="1:115" ht="14.5" customHeight="1" x14ac:dyDescent="0.2">
      <c r="A923" s="389"/>
      <c r="B923" s="456"/>
      <c r="C923" s="53" t="s">
        <v>54</v>
      </c>
      <c r="D923" s="374"/>
      <c r="E923" s="386"/>
      <c r="F923" s="377"/>
      <c r="G923" s="483"/>
      <c r="H923" s="476"/>
      <c r="I923" s="55" t="s">
        <v>52</v>
      </c>
      <c r="J923" s="231">
        <f>IF(OR(I922="TO",I922="TU",I922="TO1",I922="TU1",I922="TO2",I922="TU2"),J922,IF(OR(I922="AH1",I922="AH2"),IF(OR(I923="AH1",I923="AH2"),-J922,IF(OR(I923="EH1",I923="EH2"),-J922+0.5,"")),IF(OR(I922="EH1",I922="EH2"),IF(OR(I923="AH1",I923="AH2"),-J922+0.5,IF(OR(I923="EH1",I923="EH2"),-J922+1,"")),IF(AND(OR(I922="DNB1",I922="DNB2"),OR(I923="AH1",I923="AH2")),0,IF(AND(I922="Not ScoreBoth",OR(I923="TO1",I923="TO2")),0.5,"")))))</f>
        <v>9</v>
      </c>
      <c r="K923" s="232" t="s">
        <v>40</v>
      </c>
      <c r="L923" s="58">
        <v>2.2599999999999998</v>
      </c>
      <c r="M923" s="59">
        <v>10.71</v>
      </c>
      <c r="N923" s="406"/>
      <c r="O923" s="60">
        <f>IF(OR(AE922="",AE923=""),"",ROUND(IF(L924&gt;0,IF(M923&gt;0,M923,IF(M922&gt;0,IF(N922=TRUE,ROUND((M922*AE923)/AE922,0),(M922*AE923)/AE922),IF(M923&gt;0,ROUND(M923,IF(N922=0,2,IF(N922=0.1,1,0))),IF(M924&gt;0,ROUND(O924*AE923/AE924,IF(N922=0,2,IF(N922=0.1,1,0))),0)))),IF(M923&gt;0,M923,ROUND((M922*AE923)/AE922,IF(N922=0,2,IF(N922=0.1,1,0))))),2))</f>
        <v>10.71</v>
      </c>
      <c r="P923" s="61">
        <f>IF(OR(L923="",O923=""),"",IF($C923="1/2W",O923/2+O923/2*L923,IF($C923="1/2L",O923/2,IF(I923="Lay",((O923*(L923/(L923-1)))-O923)*(1-_xlfn.XLOOKUP(K923,'Fevereiro 2023 - Valor Real'!A3:A15,'Fevereiro 2023 - Valor Real'!C3:C15,0))+O923,(O923*L923-O923)*(1-_xlfn.XLOOKUP(K923,'Fevereiro 2023 - Valor Real'!A3:A15,'Fevereiro 2023 - Valor Real'!C3:C15,0))+O923))))</f>
        <v>24.204599999999999</v>
      </c>
      <c r="Q923" s="233">
        <f>IF(K923="","",IF(_xlfn.XLOOKUP(K923,K$4:K922,$DJ$4:DJ922,0,,-1)=DJ923,_xlfn.XLOOKUP(K923,K$4:K922,Q$4:Q922,1,,-1)+1,1))</f>
        <v>3</v>
      </c>
      <c r="R923" s="234">
        <f>IF(K923="","",_xlfn.XLOOKUP(K923,K$4:K922,R$4:R922,0,,-1)+IF($C923=" ",1,0))</f>
        <v>0</v>
      </c>
      <c r="S923" s="403"/>
      <c r="T923" s="380"/>
      <c r="U923" s="380"/>
      <c r="V923" s="481"/>
      <c r="W923" s="380"/>
      <c r="X923" s="452"/>
      <c r="Y923" s="383"/>
      <c r="Z923" s="384"/>
      <c r="AA923" s="384"/>
      <c r="AB923" s="384"/>
      <c r="AC923" s="384"/>
      <c r="AD923" s="64">
        <f>(((L923/(L923-1)-1)*(1-_xlfn.XLOOKUP(K923,'Fevereiro 2023 - Valor Real'!A3:A15,'Fevereiro 2023 - Valor Real'!C3:C15,0))+1))</f>
        <v>1.7936507936507937</v>
      </c>
      <c r="AE923" s="65">
        <f>IF(L923="","",IF(L924&gt;0,(SUM(((L922-1)*(1-_xlfn.XLOOKUP(K922,'Fevereiro 2023 - Valor Real'!A3:A15,'Fevereiro 2023 - Valor Real'!C3:C15,0))+1),((L923-1)*(1-_xlfn.XLOOKUP(K923,'Fevereiro 2023 - Valor Real'!A3:A15,'Fevereiro 2023 - Valor Real'!C3:C15,0))+1),((L924-1)*(1-_xlfn.XLOOKUP(K924,'Fevereiro 2023 - Valor Real'!A3:A15,'Fevereiro 2023 - Valor Real'!C3:C15,0))+1))/((L923-1)*(1-_xlfn.XLOOKUP(K923,'Fevereiro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Real'!C3:C15,0))+1))/((L922-1)*(1-_xlfn.XLOOKUP(K922,'Fevereiro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Real'!C3:C15,0))+1))/((L923-1)*(1-_xlfn.XLOOKUP(K923,'Fevereiro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Real'!C3:C15,0))+1))/((L924-1)*(1-_xlfn.XLOOKUP(K924,'Fevereiro 2023 - Valor Real'!A3:A15,'Fevereiro 2023 - Valor Real'!C3:C15,0))+1)),IF(I923="Lay",IF(I922="Lay",((L922/(L922-1)-1)*(1-_xlfn.XLOOKUP(K922,'Fevereiro 2023 - Valor Real'!A3:A15,'Fevereiro 2023 - Valor Real'!C3:C15,0))+1)/(((L922/(L922-1)-1)*(1-_xlfn.XLOOKUP(K922,'Fevereiro 2023 - Valor Real'!A3:A15,'Fevereiro 2023 - Valor Real'!C3:C15,0))+1)+((L923/(L923-1)-1)*(1-_xlfn.XLOOKUP(K923,'Fevereiro 2023 - Valor Real'!A3:A15,'Fevereiro 2023 - Valor Real'!C3:C15,0))+1)),((L922-1)*(1-_xlfn.XLOOKUP(K922,'Fevereiro 2023 - Valor Real'!A3:A15,'Fevereiro 2023 - Valor Real'!C3:C15,0))+1)/(((L922-1)*(1-_xlfn.XLOOKUP(K922,'Fevereiro 2023 - Valor Real'!A3:A15,'Fevereiro 2023 - Valor Real'!C3:C15,0))+1)+((L923/(L923-1)-1)*(1-_xlfn.XLOOKUP(K923,'Fevereiro 2023 - Valor Real'!A3:A15,'Fevereiro 2023 - Valor Real'!C3:C15,0))+1))),IF(I922="Lay",((L922/(L922-1)-1)*(1-_xlfn.XLOOKUP(K922,'Fevereiro 2023 - Valor Real'!A3:A15,'Fevereiro 2023 - Valor Real'!C3:C15,0))+1)/((((L922/(L922-1)-1)*(1-_xlfn.XLOOKUP(K922,'Fevereiro 2023 - Valor Real'!A3:A15,'Fevereiro 2023 - Valor Real'!C3:C15,0))+1))+((L923-1)*(1-_xlfn.XLOOKUP(K923,'Fevereiro 2023 - Valor Real'!A3:A15,'Fevereiro 2023 - Valor Real'!C3:C15,0))+1)),((L922-1)*(1-_xlfn.XLOOKUP(K922,'Fevereiro 2023 - Valor Real'!A3:A15,'Fevereiro 2023 - Valor Real'!C3:C15,0))+1)/(((L922-1)*(1-_xlfn.XLOOKUP(K922,'Fevereiro 2023 - Valor Real'!A3:A15,'Fevereiro 2023 - Valor Real'!C3:C15,0))+1)+((L923-1)*(1-_xlfn.XLOOKUP(K923,'Fevereiro 2023 - Valor Real'!A3:A15,'Fevereiro 2023 - Valor Real'!C3:C15,0))+1))))))</f>
        <v>0.46113495469718646</v>
      </c>
      <c r="AF923" s="66">
        <f t="shared" si="1846"/>
        <v>0</v>
      </c>
      <c r="AG923" s="67">
        <f t="shared" si="1846"/>
        <v>0</v>
      </c>
      <c r="AH923" s="67">
        <f t="shared" si="1846"/>
        <v>0</v>
      </c>
      <c r="AI923" s="67">
        <f t="shared" si="1846"/>
        <v>0</v>
      </c>
      <c r="AJ923" s="67">
        <f t="shared" si="1846"/>
        <v>13.49</v>
      </c>
      <c r="AK923" s="67">
        <f t="shared" si="1846"/>
        <v>0</v>
      </c>
      <c r="AL923" s="67">
        <f t="shared" si="1846"/>
        <v>0</v>
      </c>
      <c r="AM923" s="67">
        <f t="shared" si="1846"/>
        <v>0</v>
      </c>
      <c r="AN923" s="67">
        <f t="shared" si="1846"/>
        <v>0</v>
      </c>
      <c r="AO923" s="67">
        <f t="shared" si="1846"/>
        <v>0</v>
      </c>
      <c r="AP923" s="67">
        <f t="shared" si="1846"/>
        <v>0</v>
      </c>
      <c r="AQ923" s="67">
        <f t="shared" si="1846"/>
        <v>0</v>
      </c>
      <c r="AR923" s="68">
        <f t="shared" si="1846"/>
        <v>0</v>
      </c>
      <c r="AS923" s="66">
        <f>IF(AND($B922=" ",$K923=AS$3),$O923,0)</f>
        <v>0</v>
      </c>
      <c r="AT923" s="67">
        <f>IF(AND($B922=" ",K923=AT$3),$O923,0)</f>
        <v>0</v>
      </c>
      <c r="AU923" s="67">
        <f t="shared" ref="AU923:BE923" si="1860">IF(AND($B922=" ",$K923=AU$3),$O923,0)</f>
        <v>0</v>
      </c>
      <c r="AV923" s="67">
        <f t="shared" si="1860"/>
        <v>0</v>
      </c>
      <c r="AW923" s="67">
        <f t="shared" si="1860"/>
        <v>0</v>
      </c>
      <c r="AX923" s="67">
        <f t="shared" si="1860"/>
        <v>0</v>
      </c>
      <c r="AY923" s="69">
        <f t="shared" si="1860"/>
        <v>0</v>
      </c>
      <c r="AZ923" s="70">
        <f t="shared" si="1860"/>
        <v>0</v>
      </c>
      <c r="BA923" s="70">
        <f t="shared" si="1860"/>
        <v>0</v>
      </c>
      <c r="BB923" s="70">
        <f t="shared" si="1860"/>
        <v>0</v>
      </c>
      <c r="BC923" s="71">
        <f t="shared" si="1860"/>
        <v>0</v>
      </c>
      <c r="BD923" s="67">
        <f t="shared" si="1860"/>
        <v>0</v>
      </c>
      <c r="BE923" s="68">
        <f t="shared" si="1860"/>
        <v>0</v>
      </c>
      <c r="BF923" s="66">
        <f t="shared" si="1848"/>
        <v>0</v>
      </c>
      <c r="BG923" s="67">
        <f t="shared" si="1848"/>
        <v>0</v>
      </c>
      <c r="BH923" s="67">
        <f t="shared" si="1848"/>
        <v>0</v>
      </c>
      <c r="BI923" s="67">
        <f t="shared" si="1848"/>
        <v>0</v>
      </c>
      <c r="BJ923" s="67">
        <f t="shared" si="1848"/>
        <v>10.71</v>
      </c>
      <c r="BK923" s="67">
        <f t="shared" si="1848"/>
        <v>0</v>
      </c>
      <c r="BL923" s="67">
        <f t="shared" si="1848"/>
        <v>0</v>
      </c>
      <c r="BM923" s="235">
        <f t="shared" si="1848"/>
        <v>0</v>
      </c>
      <c r="BN923" s="159">
        <f t="shared" si="1848"/>
        <v>0</v>
      </c>
      <c r="BO923" s="159">
        <f t="shared" si="1848"/>
        <v>0</v>
      </c>
      <c r="BP923" s="159">
        <f t="shared" si="1848"/>
        <v>0</v>
      </c>
      <c r="BQ923" s="71">
        <f t="shared" si="1848"/>
        <v>0</v>
      </c>
      <c r="BR923" s="68">
        <f t="shared" si="1848"/>
        <v>0</v>
      </c>
      <c r="BS923" s="464"/>
      <c r="BT923" s="461"/>
      <c r="BU923" s="392"/>
      <c r="BV923" s="461"/>
      <c r="BW923" s="392"/>
      <c r="BX923" s="392"/>
      <c r="BY923" s="392"/>
      <c r="BZ923" s="461"/>
      <c r="CA923" s="392"/>
      <c r="CB923" s="392"/>
      <c r="CC923" s="392"/>
      <c r="CD923" s="401"/>
      <c r="CE923" s="409"/>
      <c r="CF923" s="236">
        <f t="shared" si="1796"/>
        <v>0</v>
      </c>
      <c r="CG923" s="237">
        <f t="shared" si="1797"/>
        <v>0</v>
      </c>
      <c r="CH923" s="237">
        <f t="shared" si="1798"/>
        <v>0</v>
      </c>
      <c r="CI923" s="237">
        <f t="shared" si="1799"/>
        <v>0</v>
      </c>
      <c r="CJ923" s="237">
        <f t="shared" si="1800"/>
        <v>0</v>
      </c>
      <c r="CK923" s="237">
        <f t="shared" si="1801"/>
        <v>0</v>
      </c>
      <c r="CL923" s="237">
        <f t="shared" si="1802"/>
        <v>0</v>
      </c>
      <c r="CM923" s="237">
        <f t="shared" si="1803"/>
        <v>0</v>
      </c>
      <c r="CN923" s="237">
        <f t="shared" si="1804"/>
        <v>1</v>
      </c>
      <c r="CO923" s="237">
        <f t="shared" si="1805"/>
        <v>0</v>
      </c>
      <c r="CP923" s="237">
        <f t="shared" si="1806"/>
        <v>0</v>
      </c>
      <c r="CQ923" s="237">
        <f t="shared" si="1807"/>
        <v>0</v>
      </c>
      <c r="CR923" s="237">
        <f t="shared" si="1808"/>
        <v>0</v>
      </c>
      <c r="CS923" s="237">
        <f t="shared" si="1809"/>
        <v>0</v>
      </c>
      <c r="CT923" s="75">
        <f t="shared" si="1810"/>
        <v>0</v>
      </c>
      <c r="CU923" s="76">
        <f t="shared" si="1811"/>
        <v>0</v>
      </c>
      <c r="CV923" s="76">
        <f t="shared" si="1812"/>
        <v>0</v>
      </c>
      <c r="CW923" s="76">
        <f t="shared" si="1813"/>
        <v>0</v>
      </c>
      <c r="CX923" s="76">
        <f t="shared" si="1814"/>
        <v>0</v>
      </c>
      <c r="CY923" s="76">
        <f t="shared" si="1815"/>
        <v>0</v>
      </c>
      <c r="CZ923" s="76">
        <f t="shared" si="1816"/>
        <v>0</v>
      </c>
      <c r="DA923" s="76">
        <f t="shared" si="1817"/>
        <v>0</v>
      </c>
      <c r="DB923" s="76">
        <f t="shared" si="1818"/>
        <v>0</v>
      </c>
      <c r="DC923" s="76">
        <f t="shared" si="1819"/>
        <v>0</v>
      </c>
      <c r="DD923" s="76">
        <f t="shared" si="1820"/>
        <v>0</v>
      </c>
      <c r="DE923" s="77">
        <f t="shared" si="1821"/>
        <v>0</v>
      </c>
      <c r="DF923" s="73">
        <f t="shared" si="1824"/>
        <v>56</v>
      </c>
      <c r="DG923" s="67">
        <f t="shared" si="1825"/>
        <v>75.483000000000004</v>
      </c>
      <c r="DH923" s="76">
        <f t="shared" si="1826"/>
        <v>19</v>
      </c>
      <c r="DI923" s="67">
        <f t="shared" si="1827"/>
        <v>81.47</v>
      </c>
      <c r="DJ923" s="202" t="str">
        <f>IF($D922="","",$D922)</f>
        <v>31</v>
      </c>
      <c r="DK923" s="466"/>
    </row>
    <row r="924" spans="1:115" ht="14.5" customHeight="1" x14ac:dyDescent="0.2">
      <c r="A924" s="390"/>
      <c r="B924" s="457"/>
      <c r="C924" s="79" t="s">
        <v>53</v>
      </c>
      <c r="D924" s="375"/>
      <c r="E924" s="387"/>
      <c r="F924" s="378"/>
      <c r="G924" s="484"/>
      <c r="H924" s="477"/>
      <c r="I924" s="82"/>
      <c r="J924" s="83"/>
      <c r="K924" s="90"/>
      <c r="L924" s="84"/>
      <c r="M924" s="85"/>
      <c r="N924" s="407"/>
      <c r="O924" s="86" t="str">
        <f>IF(OR(AE922="",AE923=""),"",IF(L924&gt;0,ROUND(IF(M924&gt;0,M924,IF(M922&gt;0,ROUND((M922*AE924)/AE922,IF(N922=0,2,IF(N922=0.1,1,0))),IF(M923&gt;0,ROUND((M923*AE924)/AE923,IF(N922=0,2,IF(N922=0.1,1,0))),IF(M924&gt;0,M924,0)))),2),""))</f>
        <v/>
      </c>
      <c r="P924" s="87" t="str">
        <f>IF(I923="Lay",O923*(L923/(L923-1))-O923,IF(I922="Lay",O922*(L922/(L922-1))-O922,IF(OR(L924="",O924=""),"",IF($C924="1/2W",O924/2+O924/2*L924,IF($C924="1/2L",O924/2,(O924*L924-O924)*(1-_xlfn.XLOOKUP(K924,'Fevereiro 2023 - Valor Real'!A3:A15,'Fevereiro 2023 - Valor Real'!C3:C15,0))+O924)))))</f>
        <v/>
      </c>
      <c r="Q924" s="238" t="str">
        <f>IF(K924="","",IF(_xlfn.XLOOKUP(K924,K$4:K923,$DJ$4:DJ923,0,,-1)=DJ924,_xlfn.XLOOKUP(K924,K$4:K923,Q$4:Q923,1,,-1)+1,1))</f>
        <v/>
      </c>
      <c r="R924" s="239" t="str">
        <f>IF(K924="","",_xlfn.XLOOKUP(K924,K$4:K923,R$4:R923,0,,-1)+IF($C924=" ",1,0))</f>
        <v/>
      </c>
      <c r="S924" s="404"/>
      <c r="T924" s="378"/>
      <c r="U924" s="378"/>
      <c r="V924" s="404"/>
      <c r="W924" s="378"/>
      <c r="X924" s="453"/>
      <c r="Y924" s="383"/>
      <c r="Z924" s="384"/>
      <c r="AA924" s="384"/>
      <c r="AB924" s="384"/>
      <c r="AC924" s="384"/>
      <c r="AD924" s="240">
        <f>((L923/(L923-1)-1))</f>
        <v>0.79365079365079372</v>
      </c>
      <c r="AE924" s="91" t="str">
        <f>IF(L924="","",(SUM(((L922-1)*(1-_xlfn.XLOOKUP(K922,'Fevereiro 2023 - Valor Real'!A3:A15,'Fevereiro 2023 - Valor Real'!C3:C15,0))+1),((L923-1)*(1-_xlfn.XLOOKUP(K923,'Fevereiro 2023 - Valor Real'!A3:A15,'Fevereiro 2023 - Valor Real'!C3:C15,0))+1),((L924-1)*(1-_xlfn.XLOOKUP(K924,'Fevereiro 2023 - Valor Real'!A3:A15,'Fevereiro 2023 - Valor Real'!C3:C15,0))+1))/((L924-1)*(1-_xlfn.XLOOKUP(K924,'Fevereiro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Real'!C3:C15,0))+1))/((L922-1)*(1-_xlfn.XLOOKUP(K922,'Fevereiro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Real'!C3:C15,0))+1))/((L923-1)*(1-_xlfn.XLOOKUP(K923,'Fevereiro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Real'!C3:C15,0))+1))/((L924-1)*(1-_xlfn.XLOOKUP(K924,'Fevereiro 2023 - Valor Real'!A3:A15,'Fevereiro 2023 - Valor Real'!C3:C15,0))+1)))</f>
        <v/>
      </c>
      <c r="AF924" s="66">
        <f t="shared" ref="AF924:AR933" si="1861">IF($K924=AF$3,ROUND(IF(OR($C924="W",$C924="1/2W",$C924="1/2L"),$P924-$O924,IF($C924="X",0,-$O924)),2),0)</f>
        <v>0</v>
      </c>
      <c r="AG924" s="67">
        <f t="shared" si="1861"/>
        <v>0</v>
      </c>
      <c r="AH924" s="67">
        <f t="shared" si="1861"/>
        <v>0</v>
      </c>
      <c r="AI924" s="67">
        <f t="shared" si="1861"/>
        <v>0</v>
      </c>
      <c r="AJ924" s="67">
        <f t="shared" si="1861"/>
        <v>0</v>
      </c>
      <c r="AK924" s="67">
        <f t="shared" si="1861"/>
        <v>0</v>
      </c>
      <c r="AL924" s="67">
        <f t="shared" si="1861"/>
        <v>0</v>
      </c>
      <c r="AM924" s="67">
        <f t="shared" si="1861"/>
        <v>0</v>
      </c>
      <c r="AN924" s="67">
        <f t="shared" si="1861"/>
        <v>0</v>
      </c>
      <c r="AO924" s="67">
        <f t="shared" si="1861"/>
        <v>0</v>
      </c>
      <c r="AP924" s="67">
        <f t="shared" si="1861"/>
        <v>0</v>
      </c>
      <c r="AQ924" s="67">
        <f t="shared" si="1861"/>
        <v>0</v>
      </c>
      <c r="AR924" s="68">
        <f t="shared" si="1861"/>
        <v>0</v>
      </c>
      <c r="AS924" s="66">
        <f>IF(AND($B922=" ",$K924=AS$3),$O924,0)</f>
        <v>0</v>
      </c>
      <c r="AT924" s="67">
        <f>IF(AND($B922=" ",K924=AT$3),$O924,0)</f>
        <v>0</v>
      </c>
      <c r="AU924" s="67">
        <f t="shared" ref="AU924:BE924" si="1862">IF(AND($B922=" ",$K924=AU$3),$O924,0)</f>
        <v>0</v>
      </c>
      <c r="AV924" s="67">
        <f t="shared" si="1862"/>
        <v>0</v>
      </c>
      <c r="AW924" s="67">
        <f t="shared" si="1862"/>
        <v>0</v>
      </c>
      <c r="AX924" s="67">
        <f t="shared" si="1862"/>
        <v>0</v>
      </c>
      <c r="AY924" s="69">
        <f t="shared" si="1862"/>
        <v>0</v>
      </c>
      <c r="AZ924" s="70">
        <f t="shared" si="1862"/>
        <v>0</v>
      </c>
      <c r="BA924" s="70">
        <f t="shared" si="1862"/>
        <v>0</v>
      </c>
      <c r="BB924" s="70">
        <f t="shared" si="1862"/>
        <v>0</v>
      </c>
      <c r="BC924" s="71">
        <f t="shared" si="1862"/>
        <v>0</v>
      </c>
      <c r="BD924" s="67">
        <f t="shared" si="1862"/>
        <v>0</v>
      </c>
      <c r="BE924" s="68">
        <f t="shared" si="1862"/>
        <v>0</v>
      </c>
      <c r="BF924" s="66">
        <f t="shared" ref="BF924:BR933" si="1863">IF($K924=BF$3,IF($C924="X",0,$O924),0)</f>
        <v>0</v>
      </c>
      <c r="BG924" s="67">
        <f t="shared" si="1863"/>
        <v>0</v>
      </c>
      <c r="BH924" s="67">
        <f t="shared" si="1863"/>
        <v>0</v>
      </c>
      <c r="BI924" s="67">
        <f t="shared" si="1863"/>
        <v>0</v>
      </c>
      <c r="BJ924" s="67">
        <f t="shared" si="1863"/>
        <v>0</v>
      </c>
      <c r="BK924" s="67">
        <f t="shared" si="1863"/>
        <v>0</v>
      </c>
      <c r="BL924" s="67">
        <f t="shared" si="1863"/>
        <v>0</v>
      </c>
      <c r="BM924" s="69">
        <f t="shared" si="1863"/>
        <v>0</v>
      </c>
      <c r="BN924" s="70">
        <f t="shared" si="1863"/>
        <v>0</v>
      </c>
      <c r="BO924" s="70">
        <f t="shared" si="1863"/>
        <v>0</v>
      </c>
      <c r="BP924" s="70">
        <f t="shared" si="1863"/>
        <v>0</v>
      </c>
      <c r="BQ924" s="71">
        <f t="shared" si="1863"/>
        <v>0</v>
      </c>
      <c r="BR924" s="68">
        <f t="shared" si="1863"/>
        <v>0</v>
      </c>
      <c r="BS924" s="464"/>
      <c r="BT924" s="461"/>
      <c r="BU924" s="392"/>
      <c r="BV924" s="461"/>
      <c r="BW924" s="392"/>
      <c r="BX924" s="392"/>
      <c r="BY924" s="392"/>
      <c r="BZ924" s="461"/>
      <c r="CA924" s="392"/>
      <c r="CB924" s="392"/>
      <c r="CC924" s="392"/>
      <c r="CD924" s="401"/>
      <c r="CE924" s="409"/>
      <c r="CF924" s="236">
        <f t="shared" si="1796"/>
        <v>0</v>
      </c>
      <c r="CG924" s="237">
        <f t="shared" si="1797"/>
        <v>0</v>
      </c>
      <c r="CH924" s="237">
        <f t="shared" si="1798"/>
        <v>0</v>
      </c>
      <c r="CI924" s="237">
        <f t="shared" si="1799"/>
        <v>0</v>
      </c>
      <c r="CJ924" s="237">
        <f t="shared" si="1800"/>
        <v>0</v>
      </c>
      <c r="CK924" s="237">
        <f t="shared" si="1801"/>
        <v>0</v>
      </c>
      <c r="CL924" s="237">
        <f t="shared" si="1802"/>
        <v>0</v>
      </c>
      <c r="CM924" s="237">
        <f t="shared" si="1803"/>
        <v>0</v>
      </c>
      <c r="CN924" s="237">
        <f t="shared" si="1804"/>
        <v>0</v>
      </c>
      <c r="CO924" s="237">
        <f t="shared" si="1805"/>
        <v>0</v>
      </c>
      <c r="CP924" s="237">
        <f t="shared" si="1806"/>
        <v>0</v>
      </c>
      <c r="CQ924" s="237">
        <f t="shared" si="1807"/>
        <v>0</v>
      </c>
      <c r="CR924" s="237">
        <f t="shared" si="1808"/>
        <v>0</v>
      </c>
      <c r="CS924" s="237">
        <f t="shared" si="1809"/>
        <v>0</v>
      </c>
      <c r="CT924" s="75">
        <f t="shared" si="1810"/>
        <v>0</v>
      </c>
      <c r="CU924" s="76">
        <f t="shared" si="1811"/>
        <v>0</v>
      </c>
      <c r="CV924" s="76">
        <f t="shared" si="1812"/>
        <v>0</v>
      </c>
      <c r="CW924" s="76">
        <f t="shared" si="1813"/>
        <v>0</v>
      </c>
      <c r="CX924" s="76">
        <f t="shared" si="1814"/>
        <v>0</v>
      </c>
      <c r="CY924" s="76">
        <f t="shared" si="1815"/>
        <v>0</v>
      </c>
      <c r="CZ924" s="76">
        <f t="shared" si="1816"/>
        <v>0</v>
      </c>
      <c r="DA924" s="76">
        <f t="shared" si="1817"/>
        <v>0</v>
      </c>
      <c r="DB924" s="76">
        <f t="shared" si="1818"/>
        <v>0</v>
      </c>
      <c r="DC924" s="76">
        <f t="shared" si="1819"/>
        <v>0</v>
      </c>
      <c r="DD924" s="76">
        <f t="shared" si="1820"/>
        <v>0</v>
      </c>
      <c r="DE924" s="77">
        <f t="shared" si="1821"/>
        <v>0</v>
      </c>
      <c r="DF924" s="73">
        <f t="shared" si="1824"/>
        <v>56</v>
      </c>
      <c r="DG924" s="67">
        <f t="shared" si="1825"/>
        <v>75.483000000000004</v>
      </c>
      <c r="DH924" s="76">
        <f t="shared" si="1826"/>
        <v>19</v>
      </c>
      <c r="DI924" s="67">
        <f t="shared" si="1827"/>
        <v>81.47</v>
      </c>
      <c r="DJ924" s="202" t="str">
        <f>IF($D922="","",$D922)</f>
        <v>31</v>
      </c>
      <c r="DK924" s="466"/>
    </row>
    <row r="925" spans="1:115" ht="14.5" customHeight="1" x14ac:dyDescent="0.2">
      <c r="A925" s="459">
        <f>$A922+1</f>
        <v>308</v>
      </c>
      <c r="B925" s="507" t="str">
        <f>IF(OR(C925="W",C926="W",C927="W",C925="1/2W",C926="1/2W",C927="1/2W",C925="1/2L",C926="1/2L",C927="1/2L"),"OK",IF(OR(C925="L",C926="L",C927="L"),"LOSS",IF(OR(C925="X",C926="X",C927="X"),"Anulado"," ")))</f>
        <v>OK</v>
      </c>
      <c r="C925" s="93" t="s">
        <v>55</v>
      </c>
      <c r="D925" s="468" t="str">
        <f>IF(G925="","",$D922)</f>
        <v>31</v>
      </c>
      <c r="E925" s="485" t="str">
        <f>IF(G925=""," ","– "&amp;COUNTIF(D$4:D927,$D925))</f>
        <v>– 4</v>
      </c>
      <c r="F925" s="509" t="str">
        <f ca="1">IF(G925="","",IF(OR(AND($C925&lt;&gt;" ",$C926=" "),AND($C926&lt;&gt;" ",$C925=" "),AND(L927&gt;0,OR(AND($C927&lt;&gt;" ",OR($C925=" ",$C926=" ")),AND($C927=" ",OR($C925&lt;&gt;" ",$C926&lt;&gt;" "))))),IF(SUM(F$4:F924)=0,1,LARGE(F$4:F924,1)+1),IF(MONTH(G925)=MONTH(TODAY()),IF(AND(DAY(G925)&lt;DAY(TODAY()),$B925=" "),IF(SUM(F$4:F924)=0,1,LARGE(F$4:F924,1)+1),IF($B925=" ",IF(AND(DAY(G925)=DAY(TODAY()),HOUR(G925)&lt;=HOUR(NOW())+1),IF(AND(HOUR(G925)+2&lt;=HOUR(NOW()),DAY(G925)&lt;=DAY(TODAY()),MINUTE(G925)&lt;=MINUTE(NOW())),IF(SUM(F$4:F924)=0,1,LARGE(F$4:F924,1)+1),IF(OR(MINUTE(G925)&lt;=MINUTE(NOW()),HOUR(G925)&lt;=HOUR(NOW())),"!!!","")),""),"")),"")))</f>
        <v/>
      </c>
      <c r="G925" s="482">
        <f>IF(H925="","",_xlfn.XLOOKUP(H925,$H$4:H924,$G$4:G924,""))</f>
        <v>45017.270833333336</v>
      </c>
      <c r="H925" s="475" t="s">
        <v>307</v>
      </c>
      <c r="I925" s="94" t="s">
        <v>51</v>
      </c>
      <c r="J925" s="95">
        <v>1</v>
      </c>
      <c r="K925" s="96" t="s">
        <v>40</v>
      </c>
      <c r="L925" s="97">
        <v>3.55</v>
      </c>
      <c r="M925" s="98">
        <v>4.41</v>
      </c>
      <c r="N925" s="478">
        <v>0</v>
      </c>
      <c r="O925" s="99">
        <f>IF(OR(AE925="",AE926=""),"",ROUND(IF(L927&gt;0,IF(M925&gt;0,M925,IF(M926&gt;0,ROUND((M926*AE925)/AE926,IF(N925=0,2,IF(N925=0.1,1,0))),ROUND((M927*AE925)/AE927,IF(N925=0,2,IF(N925=0.1,1,0))))),IF(M925&gt;0,M925,ROUND((M926*AE925)/AE926,IF(N925=0,2,IF(N925=0.1,1,0))))),2))</f>
        <v>4.41</v>
      </c>
      <c r="P925" s="100">
        <f>IF(OR(L925="",O925=""),"",IF($C925="1/2W",O925/2+O925/2*L925,IF($C925="1/2L",O925/2,IF(I925="Lay",(O925*(L925/(L925-1))-O925)*(1-_xlfn.XLOOKUP(K925,'Fevereiro 2023 - Valor Real'!A3:A15,'Fevereiro 2023 - Valor Real'!C3:C15,0))+O925,(O925*L925-O925)*(1-_xlfn.XLOOKUP(K925,'Fevereiro 2023 - Valor Real'!A3:A15,'Fevereiro 2023 - Valor Real'!C3:C15,0))+O925))))</f>
        <v>15.6555</v>
      </c>
      <c r="Q925" s="101">
        <f>IF(K925="","",IF(_xlfn.XLOOKUP(K925,K$4:K924,$DJ$4:DJ924,0,,-1)=DJ925,_xlfn.XLOOKUP(K925,K$4:K924,Q$4:Q924,1,,-1)+1,1))</f>
        <v>4</v>
      </c>
      <c r="R925" s="102">
        <f>IF(K925="","",_xlfn.XLOOKUP(K925,K$4:K924,R$4:R924,0,,-1)+IF($C925=" ",1,0))</f>
        <v>0</v>
      </c>
      <c r="S925" s="474">
        <f>IF($B925="Anulado",0,ROUND(IF(OR($B925="LOSS",$B925="OK"),IF(OR($C925="W",$C925="1/2W",$C925="1/2L"),P925-O925,IF($C925="L",-O925,0))+IF(OR($C926="W",$C926="1/2W",$C926="1/2L"),P926-O926,IF($C926="L",-O926,0))+IF(OR($C927="W",$C927="1/2W",$C927="1/2L"),P927-O927,IF($C927="L",-O927,0)),IF(AND(OR($C925="W",$C925="1/2W",$C925="1/2L"),C926="W"),P925+P926-SUM(O925:O927)+_xlfn.XLOOKUP("X",C925:C927,O925:O927,0),IF(AND(C925=TRUE,C927="W"),P925+P927-SUM(O925:O927),IF(AND(C926="W",C927="W"),P926+P927-SUM(O925:O927)+_xlfn.XLOOKUP("X",C925:C927,O925:O927,0),IF(L927&gt;0,IF(OR($C925="W",$C925="1/2W",$C925="1/2L"),P925-SUM(O925:O927)+_xlfn.XLOOKUP("X",C925:C927,O925:O927,0),IF(OR($C925="W",$C925="1/2W",$C925="1/2L"),P926-SUM(O925:O927)+_xlfn.XLOOKUP("X",C925:C927,O925:O927,0),IF(OR($C925="W",$C925="1/2W",$C925="1/2L"),P927-SUM(O925:O927)+_xlfn.XLOOKUP("X",C925:C927,O925:O927,0),IF(SUM(P925:P927)/3-SUM(O925:O927)+_xlfn.XLOOKUP("X",C925:C927,O925:O927,0)&gt;0,SUM(P925:P927)/3-SUM(O925:O927)+_xlfn.XLOOKUP("X",C925:C927,O925:O927,0),LARGE(P925:P927,1)-SUM(O925:O927))))),IF(OR($C925="W",$C925="1/2W",$C925="1/2L"),P925-SUM(O925:O926)+_xlfn.XLOOKUP("X",C925:C927,O925:O927,0),IF(OR($C925="W",$C925="1/2W",$C925="1/2L"),P926-SUM(O925:O926)+_xlfn.XLOOKUP("X",C925:C927,O925:O927,0),SUM(P925:P926)/2-SUM(O925:O926)+_xlfn.XLOOKUP("X",C925:C927,O925:O927,0)))))))),2))</f>
        <v>1.1499999999999999</v>
      </c>
      <c r="T925" s="458">
        <f>IF(S925=0,0,S925/SUM(O925:O927))</f>
        <v>7.9255685733976566E-2</v>
      </c>
      <c r="U925" s="470">
        <f>IF($D925=$D922,IF(OR($B925="LOSS",$B925="OK",$B925="Anulada"),S925,0)+U922,IF(OR($B925="LOSS",$B925="OK",$B925="Anulada"),S925,0))</f>
        <v>3.93</v>
      </c>
      <c r="V925" s="470">
        <f>IF($D925="",0,IF($D925=$D922,IF($B925=" ",IF(I927="",IF(OR(AND(I925="DNB1",I926="DNB2"),AND(OR(I925="DNB1",I925="DNB2"),J926=0),AND(OR(I926="DNB1",I926="DNB2"),J925=0),AND(I925="DNB2",I926="DNB1"),AND(IF(J925=0,(J925+1)/ROUND(J925+1,0),J925/ROUND(J925,0))=1,IF(J926=0,(J926+1)/ROUND(IF(J926="",0,J926)+1,0),IF(J926="",0,J926)/ROUND(IF(J926="",1,J926),0))=1,OR(J925&lt;&gt;""),J926&lt;&gt;"")),0,IF(S925&lt;0,IF(I927="",SMALL(P925:P926,1)-SUM(O925:O926),0),SMALL(P925:P926,1)-SUM(O925:O926))),IF(S925&lt;0,IF(I927="",SMALL(P925:P927,1)-SUM(O925:O927),0),LARGE(P925:P927,1)-SUM(O925:O927))),S925)+V922,IF(I927="",IF(OR(AND(I925="DNB1",I926="DNB2"),AND(OR(I925="DNB1",I925="DNB2"),J926=0),AND(OR(I926="DNB1",I926="DNB2"),J925=0),AND(I925="DNB2",I926="DNB1"),AND(IF(J925=0,(J925+1)/ROUND(J925+1,0),J925/ROUND(J925,0))=1,IF(J926=0,(IF(J926="",0,J926)+1)/ROUND(IF(J926="",0,J926)+1,0),IF(J926="",0,J926)/ROUND(IF(J926="",0,J926)+1,0))=1,OR(J925&lt;&gt;""),J926&lt;&gt;"")),0,IF(S925&lt;0,IF(I927="",SMALL(P925:P926,1)-SUM(O925:O926),0),SMALL(P925:P927,1)-SUM(O925:O927))),IF(S925&lt;0,IF(I927="",SMALL(P925:P927,1)-SUM(O925:O927),0),LARGE(P925:P927,1)-SUM(O925:O927)))))</f>
        <v>3.9329999999999976</v>
      </c>
      <c r="W925" s="470">
        <f>IF($D925=$D922,IF(S925&lt;0,IF(I927="",S925,0),S925)+W922,S925)</f>
        <v>3.93</v>
      </c>
      <c r="X925" s="480" t="str">
        <f>IF(OR(SUM(R925:R927)=0,V925=W925),ROUND(IF(W925=0,0,W925/Y925)*100,2)&amp;"%",ROUND(IF(V925=0,0,V925/Y925)*100,2)&amp;"% a "&amp;ROUND(IF(W925=0,0,W925/Y925)*100,2)&amp;"%")</f>
        <v>4,73%</v>
      </c>
      <c r="Y925" s="471">
        <f>IF($D925=$D922,Y922+SUM(O925:O927),SUM(O925:O927))</f>
        <v>83.17</v>
      </c>
      <c r="Z925" s="470">
        <f>IF($B925=" ",SUM(O925:O927),0)+Z922</f>
        <v>0</v>
      </c>
      <c r="AA925" s="470">
        <f>IF(G925="","",IF($B925="Anulado",LARGE(P925:P927,1)-SUM(O925:O927)+AA922,AA922))</f>
        <v>14.77109999999999</v>
      </c>
      <c r="AB925" s="470">
        <f>IF($D925="","",AB922+S925)</f>
        <v>1029.7300000000012</v>
      </c>
      <c r="AC925" s="472">
        <f ca="1">IF($D925="","",IF($B925=" ",IF(DAY(G925)=DAY(TODAY()),1+AC922,0+AC922),0+AC922))</f>
        <v>0</v>
      </c>
      <c r="AD925" s="103">
        <f>(((L926/(L926-1)-1)*(1-_xlfn.XLOOKUP(K926,'Fevereiro 2023 - Valor Real'!A3:A15,'Fevereiro 2023 - Valor Real'!C3:C15,0))+1))/(((L925-1)*(1-_xlfn.XLOOKUP(K925,'Fevereiro 2023 - Valor Real'!A3:A15,'Fevereiro 2023 - Valor Real'!C3:C15,0))+1)+((L926/(L926-1)-1)*(1-_xlfn.XLOOKUP(K926,'Fevereiro 2023 - Valor Real'!A3:A15,'Fevereiro 2023 - Valor Real'!C3:C15,0))+1))</f>
        <v>0.44254104211277662</v>
      </c>
      <c r="AE925" s="104">
        <f>IF(L925="","",IF(L927&gt;0,(SUM(((L925-1)*(1-_xlfn.XLOOKUP(K925,'Fevereiro 2023 - Valor Real'!A3:A15,'Fevereiro 2023 - Valor Real'!C3:C15,0))+1),((L926-1)*(1-_xlfn.XLOOKUP(K926,'Fevereiro 2023 - Valor Real'!A3:A15,'Fevereiro 2023 - Valor Real'!C3:C15,0))+1),((L927-1)*(1-_xlfn.XLOOKUP(K927,'Fevereiro 2023 - Valor Real'!A3:A15,'Fevereiro 2023 - Valor Real'!C3:C15,0))+1))/((L925-1)*(1-_xlfn.XLOOKUP(K925,'Fevereiro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Real'!C3:C15,0))+1))/((L925-1)*(1-_xlfn.XLOOKUP(K925,'Fevereiro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Real'!C3:C15,0))+1))/((L926-1)*(1-_xlfn.XLOOKUP(K926,'Fevereiro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Real'!C3:C15,0))+1))/((L927-1)*(1-_xlfn.XLOOKUP(K927,'Fevereiro 2023 - Valor Real'!A3:A15,'Fevereiro 2023 - Valor Real'!C3:C15,0))+1)),IF(I925="Lay",IF(I926="Lay",((L926/(L926-1)-1)*(1-_xlfn.XLOOKUP(K926,'Fevereiro 2023 - Valor Real'!A3:A15,'Fevereiro 2023 - Valor Real'!C3:C15,0))+1)/(((L926/(L926-1)-1)*(1-_xlfn.XLOOKUP(K926,'Fevereiro 2023 - Valor Real'!A3:A15,'Fevereiro 2023 - Valor Real'!C3:C15,0))+1)+((L925/(L925-1)-1)*(1-_xlfn.XLOOKUP(K925,'Fevereiro 2023 - Valor Real'!A3:A15,'Fevereiro 2023 - Valor Real'!C3:C15,0))+1)),((L926-1)*(1-_xlfn.XLOOKUP(K926,'Fevereiro 2023 - Valor Real'!A3:A15,'Fevereiro 2023 - Valor Real'!C3:C15,0))+1)/(((L926-1)*(1-_xlfn.XLOOKUP(K926,'Fevereiro 2023 - Valor Real'!A3:A15,'Fevereiro 2023 - Valor Real'!C3:C15,0))+1)+((L925/(L925-1)-1)*(1-_xlfn.XLOOKUP(K925,'Fevereiro 2023 - Valor Real'!A3:A15,'Fevereiro 2023 - Valor Real'!C3:C15,0))+1))),IF(I926="Lay",(((L926/(L926-1)-1)*(1-_xlfn.XLOOKUP(K926,'Fevereiro 2023 - Valor Real'!A3:A15,'Fevereiro 2023 - Valor Real'!C3:C15,0))+1))/(((L925-1)*(1-_xlfn.XLOOKUP(K925,'Fevereiro 2023 - Valor Real'!A3:A15,'Fevereiro 2023 - Valor Real'!C3:C15,0))+1)+((L926/(L926-1)-1)*(1-_xlfn.XLOOKUP(K926,'Fevereiro 2023 - Valor Real'!A3:A15,'Fevereiro 2023 - Valor Real'!C3:C15,0))+1)),((L926-1)*(1-_xlfn.XLOOKUP(K926,'Fevereiro 2023 - Valor Real'!A3:A15,'Fevereiro 2023 - Valor Real'!C3:C15,0))+1)/(((L926-1)*(1-_xlfn.XLOOKUP(K926,'Fevereiro 2023 - Valor Real'!A3:A15,'Fevereiro 2023 - Valor Real'!C3:C15,0))+1)+((L925-1)*(1-_xlfn.XLOOKUP(K925,'Fevereiro 2023 - Valor Real'!A3:A15,'Fevereiro 2023 - Valor Real'!C3:C15,0))+1))))))</f>
        <v>0.30392156862745101</v>
      </c>
      <c r="AF925" s="105">
        <f t="shared" si="1861"/>
        <v>0</v>
      </c>
      <c r="AG925" s="106">
        <f t="shared" si="1861"/>
        <v>0</v>
      </c>
      <c r="AH925" s="106">
        <f t="shared" si="1861"/>
        <v>0</v>
      </c>
      <c r="AI925" s="106">
        <f t="shared" si="1861"/>
        <v>0</v>
      </c>
      <c r="AJ925" s="106">
        <f t="shared" si="1861"/>
        <v>-4.41</v>
      </c>
      <c r="AK925" s="106">
        <f t="shared" si="1861"/>
        <v>0</v>
      </c>
      <c r="AL925" s="106">
        <f t="shared" si="1861"/>
        <v>0</v>
      </c>
      <c r="AM925" s="106">
        <f t="shared" si="1861"/>
        <v>0</v>
      </c>
      <c r="AN925" s="106">
        <f t="shared" si="1861"/>
        <v>0</v>
      </c>
      <c r="AO925" s="106">
        <f t="shared" si="1861"/>
        <v>0</v>
      </c>
      <c r="AP925" s="106">
        <f t="shared" si="1861"/>
        <v>0</v>
      </c>
      <c r="AQ925" s="106">
        <f t="shared" si="1861"/>
        <v>0</v>
      </c>
      <c r="AR925" s="107">
        <f t="shared" si="1861"/>
        <v>0</v>
      </c>
      <c r="AS925" s="105">
        <f t="shared" ref="AS925:BE925" si="1864">IF(AND($B925=" ",$K925=AS$3),$O925,0)</f>
        <v>0</v>
      </c>
      <c r="AT925" s="106">
        <f t="shared" si="1864"/>
        <v>0</v>
      </c>
      <c r="AU925" s="106">
        <f t="shared" si="1864"/>
        <v>0</v>
      </c>
      <c r="AV925" s="106">
        <f t="shared" si="1864"/>
        <v>0</v>
      </c>
      <c r="AW925" s="106">
        <f t="shared" si="1864"/>
        <v>0</v>
      </c>
      <c r="AX925" s="106">
        <f t="shared" si="1864"/>
        <v>0</v>
      </c>
      <c r="AY925" s="108">
        <f t="shared" si="1864"/>
        <v>0</v>
      </c>
      <c r="AZ925" s="109">
        <f t="shared" si="1864"/>
        <v>0</v>
      </c>
      <c r="BA925" s="109">
        <f t="shared" si="1864"/>
        <v>0</v>
      </c>
      <c r="BB925" s="109">
        <f t="shared" si="1864"/>
        <v>0</v>
      </c>
      <c r="BC925" s="110">
        <f t="shared" si="1864"/>
        <v>0</v>
      </c>
      <c r="BD925" s="106">
        <f t="shared" si="1864"/>
        <v>0</v>
      </c>
      <c r="BE925" s="107">
        <f t="shared" si="1864"/>
        <v>0</v>
      </c>
      <c r="BF925" s="111">
        <f t="shared" si="1863"/>
        <v>0</v>
      </c>
      <c r="BG925" s="106">
        <f t="shared" si="1863"/>
        <v>0</v>
      </c>
      <c r="BH925" s="106">
        <f t="shared" si="1863"/>
        <v>0</v>
      </c>
      <c r="BI925" s="106">
        <f t="shared" si="1863"/>
        <v>0</v>
      </c>
      <c r="BJ925" s="106">
        <f t="shared" si="1863"/>
        <v>4.41</v>
      </c>
      <c r="BK925" s="106">
        <f t="shared" si="1863"/>
        <v>0</v>
      </c>
      <c r="BL925" s="106">
        <f t="shared" si="1863"/>
        <v>0</v>
      </c>
      <c r="BM925" s="108">
        <f t="shared" si="1863"/>
        <v>0</v>
      </c>
      <c r="BN925" s="109">
        <f t="shared" si="1863"/>
        <v>0</v>
      </c>
      <c r="BO925" s="109">
        <f t="shared" si="1863"/>
        <v>0</v>
      </c>
      <c r="BP925" s="109">
        <f t="shared" si="1863"/>
        <v>0</v>
      </c>
      <c r="BQ925" s="110">
        <f t="shared" si="1863"/>
        <v>0</v>
      </c>
      <c r="BR925" s="107">
        <f t="shared" si="1863"/>
        <v>0</v>
      </c>
      <c r="BS925" s="463">
        <f>IF($B925="LOSS",IF(AND($K925=BS$3,$C925="L"),-$O925,0)+IF(AND($K926=BS$3,$C926="L"),-$O926,0)+IF(AND($K927=BS$3,$C927="L"),-$O927,0),IF(OR(AND($K925=BS$3,OR($C925="W",$C925="1/2W")),AND($K926=BS$3,OR($C926="W",$C926="1/2W")),AND($K927=BS$3,OR($C927="W",$C927="1/2W"))),$S925,0))</f>
        <v>0</v>
      </c>
      <c r="BT925" s="462">
        <f>IF($B925="LOSS",IF(AND($K925=BT$3,$C925="L"),-$O925,0)+IF(AND($K926=BT$3,$C926="L"),-$O926,0)+IF(AND($K926=BT$3,$C927="L"),-$O927,0),IF(OR(AND($K926=BT$3,OR($C925="W",$C925="1/2W")),AND($K926=BT$3,OR($C926="W",$C926="1/2W")),AND($K926=BT$3,OR($C927="W",$C927="1/2W"))),$S925,0))</f>
        <v>0</v>
      </c>
      <c r="BU925" s="462">
        <f>IF($B925="LOSS",IF(AND($K925=BU$3,$C925="L"),-$O925,0)+IF(AND($K926=BU$3,$C926="L"),-$O926,0)+IF(AND($K926=BU$3,$C927="L"),-$O927,0),IF(OR(AND($K926=BU$3,OR($C925="W",$C925="1/2W")),AND($K926=BU$3,OR($C926="W",$C926="1/2W")),AND($K926=BU$3,OR($C927="W",$C927="1/2W"))),$S925,0))</f>
        <v>0</v>
      </c>
      <c r="BV925" s="462">
        <f t="shared" ref="BV925:CE925" si="1865">IF($B925="LOSS",IF(AND($K925=BV$3,$C925="L"),-$O925,0)+IF(AND($K926=BV$3,$C926="L"),-$O926,0)+IF(AND($K927=BV$3,$C927="L"),-$O927,0),IF(OR(AND($K925=BV$3,OR($C925="W",$C925="1/2W")),AND($K926=BV$3,OR($C926="W",$C926="1/2W")),AND($K927=BV$3,OR($C927="W",$C927="1/2W"))),$S925,0))</f>
        <v>0</v>
      </c>
      <c r="BW925" s="462">
        <f t="shared" si="1865"/>
        <v>0</v>
      </c>
      <c r="BX925" s="462">
        <f t="shared" si="1865"/>
        <v>0</v>
      </c>
      <c r="BY925" s="462">
        <f t="shared" si="1865"/>
        <v>0</v>
      </c>
      <c r="BZ925" s="460">
        <f t="shared" si="1865"/>
        <v>0</v>
      </c>
      <c r="CA925" s="460">
        <f t="shared" si="1865"/>
        <v>0</v>
      </c>
      <c r="CB925" s="460">
        <f t="shared" si="1865"/>
        <v>0</v>
      </c>
      <c r="CC925" s="460">
        <f t="shared" si="1865"/>
        <v>0</v>
      </c>
      <c r="CD925" s="473">
        <f t="shared" si="1865"/>
        <v>1.1499999999999999</v>
      </c>
      <c r="CE925" s="479">
        <f t="shared" si="1865"/>
        <v>0</v>
      </c>
      <c r="CF925" s="113">
        <f t="shared" si="1796"/>
        <v>0</v>
      </c>
      <c r="CG925" s="114">
        <f t="shared" si="1797"/>
        <v>0</v>
      </c>
      <c r="CH925" s="114">
        <f t="shared" si="1798"/>
        <v>0</v>
      </c>
      <c r="CI925" s="114">
        <f t="shared" si="1799"/>
        <v>0</v>
      </c>
      <c r="CJ925" s="114">
        <f t="shared" si="1800"/>
        <v>0</v>
      </c>
      <c r="CK925" s="114">
        <f t="shared" si="1801"/>
        <v>0</v>
      </c>
      <c r="CL925" s="114">
        <f t="shared" si="1802"/>
        <v>0</v>
      </c>
      <c r="CM925" s="114">
        <f t="shared" si="1803"/>
        <v>0</v>
      </c>
      <c r="CN925" s="114">
        <f t="shared" si="1804"/>
        <v>0</v>
      </c>
      <c r="CO925" s="114">
        <f t="shared" si="1805"/>
        <v>1</v>
      </c>
      <c r="CP925" s="114">
        <f t="shared" si="1806"/>
        <v>0</v>
      </c>
      <c r="CQ925" s="114">
        <f t="shared" si="1807"/>
        <v>0</v>
      </c>
      <c r="CR925" s="114">
        <f t="shared" si="1808"/>
        <v>0</v>
      </c>
      <c r="CS925" s="114">
        <f t="shared" si="1809"/>
        <v>0</v>
      </c>
      <c r="CT925" s="115">
        <f t="shared" si="1810"/>
        <v>0</v>
      </c>
      <c r="CU925" s="116">
        <f t="shared" si="1811"/>
        <v>0</v>
      </c>
      <c r="CV925" s="116">
        <f t="shared" si="1812"/>
        <v>0</v>
      </c>
      <c r="CW925" s="116">
        <f t="shared" si="1813"/>
        <v>0</v>
      </c>
      <c r="CX925" s="116">
        <f t="shared" si="1814"/>
        <v>0</v>
      </c>
      <c r="CY925" s="116">
        <f t="shared" si="1815"/>
        <v>0</v>
      </c>
      <c r="CZ925" s="116">
        <f t="shared" si="1816"/>
        <v>0</v>
      </c>
      <c r="DA925" s="116">
        <f t="shared" si="1817"/>
        <v>0</v>
      </c>
      <c r="DB925" s="116">
        <f t="shared" si="1818"/>
        <v>0</v>
      </c>
      <c r="DC925" s="116">
        <f t="shared" si="1819"/>
        <v>0</v>
      </c>
      <c r="DD925" s="116">
        <f t="shared" si="1820"/>
        <v>0</v>
      </c>
      <c r="DE925" s="117">
        <f t="shared" si="1821"/>
        <v>0</v>
      </c>
      <c r="DF925" s="118">
        <f t="shared" si="1824"/>
        <v>56</v>
      </c>
      <c r="DG925" s="106">
        <f t="shared" si="1825"/>
        <v>75.483000000000004</v>
      </c>
      <c r="DH925" s="116">
        <f t="shared" si="1826"/>
        <v>19</v>
      </c>
      <c r="DI925" s="106">
        <f t="shared" si="1827"/>
        <v>81.47</v>
      </c>
      <c r="DJ925" s="201" t="str">
        <f>IF($D925="","",$D925)</f>
        <v>31</v>
      </c>
      <c r="DK925" s="465">
        <f>IF(AND($B925=" ",$D925&lt;&gt;""),1,0)</f>
        <v>0</v>
      </c>
    </row>
    <row r="926" spans="1:115" ht="14.5" customHeight="1" x14ac:dyDescent="0.2">
      <c r="A926" s="389"/>
      <c r="B926" s="456"/>
      <c r="C926" s="120" t="s">
        <v>54</v>
      </c>
      <c r="D926" s="374"/>
      <c r="E926" s="386"/>
      <c r="F926" s="377"/>
      <c r="G926" s="483"/>
      <c r="H926" s="476"/>
      <c r="I926" s="121" t="s">
        <v>52</v>
      </c>
      <c r="J926" s="122">
        <f>IF(OR(I925="TO",I925="TU",I925="TO1",I925="TU1",I925="TO2",I925="TU2"),J925,IF(OR(I925="AH1",I925="AH2"),IF(OR(I926="AH1",I926="AH2"),-J925,IF(OR(I926="EH1",I926="EH2"),-J925+0.5,"")),IF(OR(I925="EH1",I925="EH2"),IF(OR(I926="AH1",I926="AH2"),-J925+0.5,IF(OR(I926="EH1",I926="EH2"),-J925+1,"")),IF(AND(OR(I925="DNB1",I925="DNB2"),OR(I926="AH1",I926="AH2")),0,IF(AND(I925="Not ScoreBoth",OR(I926="TO1",I926="TO2")),0.5,"")))))</f>
        <v>1</v>
      </c>
      <c r="K926" s="123" t="s">
        <v>47</v>
      </c>
      <c r="L926" s="124">
        <v>1.55</v>
      </c>
      <c r="M926" s="125"/>
      <c r="N926" s="406"/>
      <c r="O926" s="126">
        <f>IF(OR(AE925="",AE926=""),"",ROUND(IF(L927&gt;0,IF(M926&gt;0,M926,IF(M925&gt;0,IF(N925=TRUE,ROUND((M925*AE926)/AE925,0),(M925*AE926)/AE925),IF(M926&gt;0,ROUND(M926,IF(N925=0,2,IF(N925=0.1,1,0))),IF(M927&gt;0,ROUND(O927*AE926/AE927,IF(N925=0,2,IF(N925=0.1,1,0))),0)))),IF(M926&gt;0,M926,ROUND((M925*AE926)/AE925,IF(N925=0,2,IF(N925=0.1,1,0))))),2))</f>
        <v>10.1</v>
      </c>
      <c r="P926" s="127">
        <f>IF(OR(L926="",O926=""),"",IF($C926="1/2W",O926/2+O926/2*L926,IF($C926="1/2L",O926/2,IF(I926="Lay",((O926*(L926/(L926-1)))-O926)*(1-_xlfn.XLOOKUP(K926,'Fevereiro 2023 - Valor Real'!A3:A15,'Fevereiro 2023 - Valor Real'!C3:C15,0))+O926,(O926*L926-O926)*(1-_xlfn.XLOOKUP(K926,'Fevereiro 2023 - Valor Real'!A3:A15,'Fevereiro 2023 - Valor Real'!C3:C15,0))+O926))))</f>
        <v>15.654999999999999</v>
      </c>
      <c r="Q926" s="128">
        <f>IF(K926="","",IF(_xlfn.XLOOKUP(K926,K$4:K925,$DJ$4:DJ925,0,,-1)=DJ926,_xlfn.XLOOKUP(K926,K$4:K925,Q$4:Q925,1,,-1)+1,1))</f>
        <v>2</v>
      </c>
      <c r="R926" s="129">
        <f>IF(K926="","",_xlfn.XLOOKUP(K926,K$4:K925,R$4:R925,0,,-1)+IF($C926=" ",1,0))</f>
        <v>0</v>
      </c>
      <c r="S926" s="403"/>
      <c r="T926" s="380"/>
      <c r="U926" s="380"/>
      <c r="V926" s="481"/>
      <c r="W926" s="380"/>
      <c r="X926" s="452"/>
      <c r="Y926" s="383"/>
      <c r="Z926" s="384"/>
      <c r="AA926" s="384"/>
      <c r="AB926" s="384"/>
      <c r="AC926" s="384"/>
      <c r="AD926" s="130">
        <f>(((L926/(L926-1)-1)*(1-_xlfn.XLOOKUP(K926,'Fevereiro 2023 - Valor Real'!A3:A15,'Fevereiro 2023 - Valor Real'!C3:C15,0))+1))</f>
        <v>2.8181818181818179</v>
      </c>
      <c r="AE926" s="131">
        <f>IF(L926="","",IF(L927&gt;0,(SUM(((L925-1)*(1-_xlfn.XLOOKUP(K925,'Fevereiro 2023 - Valor Real'!A3:A15,'Fevereiro 2023 - Valor Real'!C3:C15,0))+1),((L926-1)*(1-_xlfn.XLOOKUP(K926,'Fevereiro 2023 - Valor Real'!A3:A15,'Fevereiro 2023 - Valor Real'!C3:C15,0))+1),((L927-1)*(1-_xlfn.XLOOKUP(K927,'Fevereiro 2023 - Valor Real'!A3:A15,'Fevereiro 2023 - Valor Real'!C3:C15,0))+1))/((L926-1)*(1-_xlfn.XLOOKUP(K926,'Fevereiro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Real'!C3:C15,0))+1))/((L925-1)*(1-_xlfn.XLOOKUP(K925,'Fevereiro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Real'!C3:C15,0))+1))/((L926-1)*(1-_xlfn.XLOOKUP(K926,'Fevereiro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Real'!C3:C15,0))+1))/((L927-1)*(1-_xlfn.XLOOKUP(K927,'Fevereiro 2023 - Valor Real'!A3:A15,'Fevereiro 2023 - Valor Real'!C3:C15,0))+1)),IF(I926="Lay",IF(I925="Lay",((L925/(L925-1)-1)*(1-_xlfn.XLOOKUP(K925,'Fevereiro 2023 - Valor Real'!A3:A15,'Fevereiro 2023 - Valor Real'!C3:C15,0))+1)/(((L925/(L925-1)-1)*(1-_xlfn.XLOOKUP(K925,'Fevereiro 2023 - Valor Real'!A3:A15,'Fevereiro 2023 - Valor Real'!C3:C15,0))+1)+((L926/(L926-1)-1)*(1-_xlfn.XLOOKUP(K926,'Fevereiro 2023 - Valor Real'!A3:A15,'Fevereiro 2023 - Valor Real'!C3:C15,0))+1)),((L925-1)*(1-_xlfn.XLOOKUP(K925,'Fevereiro 2023 - Valor Real'!A3:A15,'Fevereiro 2023 - Valor Real'!C3:C15,0))+1)/(((L925-1)*(1-_xlfn.XLOOKUP(K925,'Fevereiro 2023 - Valor Real'!A3:A15,'Fevereiro 2023 - Valor Real'!C3:C15,0))+1)+((L926/(L926-1)-1)*(1-_xlfn.XLOOKUP(K926,'Fevereiro 2023 - Valor Real'!A3:A15,'Fevereiro 2023 - Valor Real'!C3:C15,0))+1))),IF(I925="Lay",((L925/(L925-1)-1)*(1-_xlfn.XLOOKUP(K925,'Fevereiro 2023 - Valor Real'!A3:A15,'Fevereiro 2023 - Valor Real'!C3:C15,0))+1)/((((L925/(L925-1)-1)*(1-_xlfn.XLOOKUP(K925,'Fevereiro 2023 - Valor Real'!A3:A15,'Fevereiro 2023 - Valor Real'!C3:C15,0))+1))+((L926-1)*(1-_xlfn.XLOOKUP(K926,'Fevereiro 2023 - Valor Real'!A3:A15,'Fevereiro 2023 - Valor Real'!C3:C15,0))+1)),((L925-1)*(1-_xlfn.XLOOKUP(K925,'Fevereiro 2023 - Valor Real'!A3:A15,'Fevereiro 2023 - Valor Real'!C3:C15,0))+1)/(((L925-1)*(1-_xlfn.XLOOKUP(K925,'Fevereiro 2023 - Valor Real'!A3:A15,'Fevereiro 2023 - Valor Real'!C3:C15,0))+1)+((L926-1)*(1-_xlfn.XLOOKUP(K926,'Fevereiro 2023 - Valor Real'!A3:A15,'Fevereiro 2023 - Valor Real'!C3:C15,0))+1))))))</f>
        <v>0.69607843137254899</v>
      </c>
      <c r="AF926" s="105">
        <f t="shared" si="1861"/>
        <v>0</v>
      </c>
      <c r="AG926" s="106">
        <f t="shared" si="1861"/>
        <v>0</v>
      </c>
      <c r="AH926" s="106">
        <f t="shared" si="1861"/>
        <v>0</v>
      </c>
      <c r="AI926" s="106">
        <f t="shared" si="1861"/>
        <v>0</v>
      </c>
      <c r="AJ926" s="106">
        <f t="shared" si="1861"/>
        <v>0</v>
      </c>
      <c r="AK926" s="106">
        <f t="shared" si="1861"/>
        <v>0</v>
      </c>
      <c r="AL926" s="106">
        <f t="shared" si="1861"/>
        <v>0</v>
      </c>
      <c r="AM926" s="106">
        <f t="shared" si="1861"/>
        <v>0</v>
      </c>
      <c r="AN926" s="106">
        <f t="shared" si="1861"/>
        <v>0</v>
      </c>
      <c r="AO926" s="106">
        <f t="shared" si="1861"/>
        <v>0</v>
      </c>
      <c r="AP926" s="106">
        <f t="shared" si="1861"/>
        <v>0</v>
      </c>
      <c r="AQ926" s="106">
        <f t="shared" si="1861"/>
        <v>5.56</v>
      </c>
      <c r="AR926" s="107">
        <f t="shared" si="1861"/>
        <v>0</v>
      </c>
      <c r="AS926" s="105">
        <f>IF(AND($B925=" ",$K926=AS$3),$O926,0)</f>
        <v>0</v>
      </c>
      <c r="AT926" s="106">
        <f>IF(AND($B925=" ",K926=AT$3),$O926,0)</f>
        <v>0</v>
      </c>
      <c r="AU926" s="106">
        <f t="shared" ref="AU926:BE926" si="1866">IF(AND($B925=" ",$K926=AU$3),$O926,0)</f>
        <v>0</v>
      </c>
      <c r="AV926" s="106">
        <f t="shared" si="1866"/>
        <v>0</v>
      </c>
      <c r="AW926" s="106">
        <f t="shared" si="1866"/>
        <v>0</v>
      </c>
      <c r="AX926" s="106">
        <f t="shared" si="1866"/>
        <v>0</v>
      </c>
      <c r="AY926" s="108">
        <f t="shared" si="1866"/>
        <v>0</v>
      </c>
      <c r="AZ926" s="109">
        <f t="shared" si="1866"/>
        <v>0</v>
      </c>
      <c r="BA926" s="109">
        <f t="shared" si="1866"/>
        <v>0</v>
      </c>
      <c r="BB926" s="109">
        <f t="shared" si="1866"/>
        <v>0</v>
      </c>
      <c r="BC926" s="110">
        <f t="shared" si="1866"/>
        <v>0</v>
      </c>
      <c r="BD926" s="106">
        <f t="shared" si="1866"/>
        <v>0</v>
      </c>
      <c r="BE926" s="107">
        <f t="shared" si="1866"/>
        <v>0</v>
      </c>
      <c r="BF926" s="105">
        <f t="shared" si="1863"/>
        <v>0</v>
      </c>
      <c r="BG926" s="106">
        <f t="shared" si="1863"/>
        <v>0</v>
      </c>
      <c r="BH926" s="106">
        <f t="shared" si="1863"/>
        <v>0</v>
      </c>
      <c r="BI926" s="106">
        <f t="shared" si="1863"/>
        <v>0</v>
      </c>
      <c r="BJ926" s="106">
        <f t="shared" si="1863"/>
        <v>0</v>
      </c>
      <c r="BK926" s="106">
        <f t="shared" si="1863"/>
        <v>0</v>
      </c>
      <c r="BL926" s="106">
        <f t="shared" si="1863"/>
        <v>0</v>
      </c>
      <c r="BM926" s="132">
        <f t="shared" si="1863"/>
        <v>0</v>
      </c>
      <c r="BN926" s="112">
        <f t="shared" si="1863"/>
        <v>0</v>
      </c>
      <c r="BO926" s="112">
        <f t="shared" si="1863"/>
        <v>0</v>
      </c>
      <c r="BP926" s="112">
        <f t="shared" si="1863"/>
        <v>0</v>
      </c>
      <c r="BQ926" s="110">
        <f t="shared" si="1863"/>
        <v>10.1</v>
      </c>
      <c r="BR926" s="107">
        <f t="shared" si="1863"/>
        <v>0</v>
      </c>
      <c r="BS926" s="464"/>
      <c r="BT926" s="461"/>
      <c r="BU926" s="392"/>
      <c r="BV926" s="461"/>
      <c r="BW926" s="392"/>
      <c r="BX926" s="392"/>
      <c r="BY926" s="392"/>
      <c r="BZ926" s="461"/>
      <c r="CA926" s="392"/>
      <c r="CB926" s="392"/>
      <c r="CC926" s="392"/>
      <c r="CD926" s="401"/>
      <c r="CE926" s="409"/>
      <c r="CF926" s="133">
        <f t="shared" si="1796"/>
        <v>0</v>
      </c>
      <c r="CG926" s="134">
        <f t="shared" si="1797"/>
        <v>0</v>
      </c>
      <c r="CH926" s="134">
        <f t="shared" si="1798"/>
        <v>0</v>
      </c>
      <c r="CI926" s="134">
        <f t="shared" si="1799"/>
        <v>0</v>
      </c>
      <c r="CJ926" s="134">
        <f t="shared" si="1800"/>
        <v>0</v>
      </c>
      <c r="CK926" s="134">
        <f t="shared" si="1801"/>
        <v>0</v>
      </c>
      <c r="CL926" s="134">
        <f t="shared" si="1802"/>
        <v>0</v>
      </c>
      <c r="CM926" s="134">
        <f t="shared" si="1803"/>
        <v>0</v>
      </c>
      <c r="CN926" s="134">
        <f t="shared" si="1804"/>
        <v>0</v>
      </c>
      <c r="CO926" s="134">
        <f t="shared" si="1805"/>
        <v>0</v>
      </c>
      <c r="CP926" s="134">
        <f t="shared" si="1806"/>
        <v>0</v>
      </c>
      <c r="CQ926" s="134">
        <f t="shared" si="1807"/>
        <v>0</v>
      </c>
      <c r="CR926" s="134">
        <f t="shared" si="1808"/>
        <v>0</v>
      </c>
      <c r="CS926" s="134">
        <f t="shared" si="1809"/>
        <v>0</v>
      </c>
      <c r="CT926" s="115">
        <f t="shared" si="1810"/>
        <v>0</v>
      </c>
      <c r="CU926" s="116">
        <f t="shared" si="1811"/>
        <v>0</v>
      </c>
      <c r="CV926" s="116">
        <f t="shared" si="1812"/>
        <v>0</v>
      </c>
      <c r="CW926" s="116">
        <f t="shared" si="1813"/>
        <v>0</v>
      </c>
      <c r="CX926" s="116">
        <f t="shared" si="1814"/>
        <v>0</v>
      </c>
      <c r="CY926" s="116">
        <f t="shared" si="1815"/>
        <v>0</v>
      </c>
      <c r="CZ926" s="116">
        <f t="shared" si="1816"/>
        <v>0</v>
      </c>
      <c r="DA926" s="116">
        <f t="shared" si="1817"/>
        <v>0</v>
      </c>
      <c r="DB926" s="116">
        <f t="shared" si="1818"/>
        <v>1</v>
      </c>
      <c r="DC926" s="116">
        <f t="shared" si="1819"/>
        <v>0</v>
      </c>
      <c r="DD926" s="116">
        <f t="shared" si="1820"/>
        <v>0</v>
      </c>
      <c r="DE926" s="117">
        <f t="shared" si="1821"/>
        <v>0</v>
      </c>
      <c r="DF926" s="118">
        <f t="shared" si="1824"/>
        <v>56</v>
      </c>
      <c r="DG926" s="106">
        <f t="shared" si="1825"/>
        <v>75.483000000000004</v>
      </c>
      <c r="DH926" s="116">
        <f t="shared" si="1826"/>
        <v>19</v>
      </c>
      <c r="DI926" s="106">
        <f t="shared" si="1827"/>
        <v>81.47</v>
      </c>
      <c r="DJ926" s="201" t="str">
        <f>IF($D925="","",$D925)</f>
        <v>31</v>
      </c>
      <c r="DK926" s="466"/>
    </row>
    <row r="927" spans="1:115" ht="14.5" customHeight="1" x14ac:dyDescent="0.2">
      <c r="A927" s="390"/>
      <c r="B927" s="457"/>
      <c r="C927" s="135" t="s">
        <v>53</v>
      </c>
      <c r="D927" s="375"/>
      <c r="E927" s="387"/>
      <c r="F927" s="378"/>
      <c r="G927" s="484"/>
      <c r="H927" s="477"/>
      <c r="I927" s="136"/>
      <c r="J927" s="137"/>
      <c r="K927" s="138"/>
      <c r="L927" s="139"/>
      <c r="M927" s="140"/>
      <c r="N927" s="407"/>
      <c r="O927" s="141" t="str">
        <f>IF(OR(AE925="",AE926=""),"",IF(L927&gt;0,ROUND(IF(M927&gt;0,M927,IF(M925&gt;0,ROUND((M925*AE927)/AE925,IF(N925=0,2,IF(N925=0.1,1,0))),IF(M926&gt;0,ROUND((M926*AE927)/AE926,IF(N925=0,2,IF(N925=0.1,1,0))),IF(M927&gt;0,M927,0)))),2),""))</f>
        <v/>
      </c>
      <c r="P927" s="142" t="str">
        <f>IF(I926="Lay",O926*(L926/(L926-1))-O926,IF(I925="Lay",O925*(L925/(L925-1))-O925,IF(OR(L927="",O927=""),"",IF($C927="1/2W",O927/2+O927/2*L927,IF($C927="1/2L",O927/2,(O927*L927-O927)*(1-_xlfn.XLOOKUP(K927,'Fevereiro 2023 - Valor Real'!A3:A15,'Fevereiro 2023 - Valor Real'!C3:C15,0))+O927)))))</f>
        <v/>
      </c>
      <c r="Q927" s="221" t="str">
        <f>IF(K927="","",IF(_xlfn.XLOOKUP(K927,K$4:K926,$DJ$4:DJ926,0,,-1)=DJ927,_xlfn.XLOOKUP(K927,K$4:K926,Q$4:Q926,1,,-1)+1,1))</f>
        <v/>
      </c>
      <c r="R927" s="144" t="str">
        <f>IF(K927="","",_xlfn.XLOOKUP(K927,K$4:K926,R$4:R926,0,,-1)+IF($C927=" ",1,0))</f>
        <v/>
      </c>
      <c r="S927" s="404"/>
      <c r="T927" s="378"/>
      <c r="U927" s="378"/>
      <c r="V927" s="404"/>
      <c r="W927" s="378"/>
      <c r="X927" s="453"/>
      <c r="Y927" s="383"/>
      <c r="Z927" s="384"/>
      <c r="AA927" s="384"/>
      <c r="AB927" s="384"/>
      <c r="AC927" s="384"/>
      <c r="AD927" s="145">
        <f>((L926/(L926-1)-1))</f>
        <v>1.8181818181818179</v>
      </c>
      <c r="AE927" s="146" t="str">
        <f>IF(L927="","",(SUM(((L925-1)*(1-_xlfn.XLOOKUP(K925,'Fevereiro 2023 - Valor Real'!A3:A15,'Fevereiro 2023 - Valor Real'!C3:C15,0))+1),((L926-1)*(1-_xlfn.XLOOKUP(K926,'Fevereiro 2023 - Valor Real'!A3:A15,'Fevereiro 2023 - Valor Real'!C3:C15,0))+1),((L927-1)*(1-_xlfn.XLOOKUP(K927,'Fevereiro 2023 - Valor Real'!A3:A15,'Fevereiro 2023 - Valor Real'!C3:C15,0))+1))/((L927-1)*(1-_xlfn.XLOOKUP(K927,'Fevereiro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Real'!C3:C15,0))+1))/((L925-1)*(1-_xlfn.XLOOKUP(K925,'Fevereiro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Real'!C3:C15,0))+1))/((L926-1)*(1-_xlfn.XLOOKUP(K926,'Fevereiro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Real'!C3:C15,0))+1))/((L927-1)*(1-_xlfn.XLOOKUP(K927,'Fevereiro 2023 - Valor Real'!A3:A15,'Fevereiro 2023 - Valor Real'!C3:C15,0))+1)))</f>
        <v/>
      </c>
      <c r="AF927" s="105">
        <f t="shared" si="1861"/>
        <v>0</v>
      </c>
      <c r="AG927" s="106">
        <f t="shared" si="1861"/>
        <v>0</v>
      </c>
      <c r="AH927" s="106">
        <f t="shared" si="1861"/>
        <v>0</v>
      </c>
      <c r="AI927" s="106">
        <f t="shared" si="1861"/>
        <v>0</v>
      </c>
      <c r="AJ927" s="106">
        <f t="shared" si="1861"/>
        <v>0</v>
      </c>
      <c r="AK927" s="106">
        <f t="shared" si="1861"/>
        <v>0</v>
      </c>
      <c r="AL927" s="106">
        <f t="shared" si="1861"/>
        <v>0</v>
      </c>
      <c r="AM927" s="106">
        <f t="shared" si="1861"/>
        <v>0</v>
      </c>
      <c r="AN927" s="106">
        <f t="shared" si="1861"/>
        <v>0</v>
      </c>
      <c r="AO927" s="106">
        <f t="shared" si="1861"/>
        <v>0</v>
      </c>
      <c r="AP927" s="106">
        <f t="shared" si="1861"/>
        <v>0</v>
      </c>
      <c r="AQ927" s="106">
        <f t="shared" si="1861"/>
        <v>0</v>
      </c>
      <c r="AR927" s="107">
        <f t="shared" si="1861"/>
        <v>0</v>
      </c>
      <c r="AS927" s="105">
        <f>IF(AND($B925=" ",$K927=AS$3),$O927,0)</f>
        <v>0</v>
      </c>
      <c r="AT927" s="106">
        <f>IF(AND($B925=" ",K927=AT$3),$O927,0)</f>
        <v>0</v>
      </c>
      <c r="AU927" s="106">
        <f t="shared" ref="AU927:BE927" si="1867">IF(AND($B925=" ",$K927=AU$3),$O927,0)</f>
        <v>0</v>
      </c>
      <c r="AV927" s="106">
        <f t="shared" si="1867"/>
        <v>0</v>
      </c>
      <c r="AW927" s="106">
        <f t="shared" si="1867"/>
        <v>0</v>
      </c>
      <c r="AX927" s="106">
        <f t="shared" si="1867"/>
        <v>0</v>
      </c>
      <c r="AY927" s="108">
        <f t="shared" si="1867"/>
        <v>0</v>
      </c>
      <c r="AZ927" s="109">
        <f t="shared" si="1867"/>
        <v>0</v>
      </c>
      <c r="BA927" s="109">
        <f t="shared" si="1867"/>
        <v>0</v>
      </c>
      <c r="BB927" s="109">
        <f t="shared" si="1867"/>
        <v>0</v>
      </c>
      <c r="BC927" s="110">
        <f t="shared" si="1867"/>
        <v>0</v>
      </c>
      <c r="BD927" s="106">
        <f t="shared" si="1867"/>
        <v>0</v>
      </c>
      <c r="BE927" s="107">
        <f t="shared" si="1867"/>
        <v>0</v>
      </c>
      <c r="BF927" s="105">
        <f t="shared" si="1863"/>
        <v>0</v>
      </c>
      <c r="BG927" s="106">
        <f t="shared" si="1863"/>
        <v>0</v>
      </c>
      <c r="BH927" s="106">
        <f t="shared" si="1863"/>
        <v>0</v>
      </c>
      <c r="BI927" s="106">
        <f t="shared" si="1863"/>
        <v>0</v>
      </c>
      <c r="BJ927" s="106">
        <f t="shared" si="1863"/>
        <v>0</v>
      </c>
      <c r="BK927" s="106">
        <f t="shared" si="1863"/>
        <v>0</v>
      </c>
      <c r="BL927" s="106">
        <f t="shared" si="1863"/>
        <v>0</v>
      </c>
      <c r="BM927" s="108">
        <f t="shared" si="1863"/>
        <v>0</v>
      </c>
      <c r="BN927" s="109">
        <f t="shared" si="1863"/>
        <v>0</v>
      </c>
      <c r="BO927" s="109">
        <f t="shared" si="1863"/>
        <v>0</v>
      </c>
      <c r="BP927" s="109">
        <f t="shared" si="1863"/>
        <v>0</v>
      </c>
      <c r="BQ927" s="110">
        <f t="shared" si="1863"/>
        <v>0</v>
      </c>
      <c r="BR927" s="107">
        <f t="shared" si="1863"/>
        <v>0</v>
      </c>
      <c r="BS927" s="464"/>
      <c r="BT927" s="461"/>
      <c r="BU927" s="392"/>
      <c r="BV927" s="461"/>
      <c r="BW927" s="392"/>
      <c r="BX927" s="392"/>
      <c r="BY927" s="392"/>
      <c r="BZ927" s="461"/>
      <c r="CA927" s="392"/>
      <c r="CB927" s="392"/>
      <c r="CC927" s="392"/>
      <c r="CD927" s="401"/>
      <c r="CE927" s="409"/>
      <c r="CF927" s="133">
        <f t="shared" si="1796"/>
        <v>0</v>
      </c>
      <c r="CG927" s="134">
        <f t="shared" si="1797"/>
        <v>0</v>
      </c>
      <c r="CH927" s="134">
        <f t="shared" si="1798"/>
        <v>0</v>
      </c>
      <c r="CI927" s="134">
        <f t="shared" si="1799"/>
        <v>0</v>
      </c>
      <c r="CJ927" s="134">
        <f t="shared" si="1800"/>
        <v>0</v>
      </c>
      <c r="CK927" s="134">
        <f t="shared" si="1801"/>
        <v>0</v>
      </c>
      <c r="CL927" s="134">
        <f t="shared" si="1802"/>
        <v>0</v>
      </c>
      <c r="CM927" s="134">
        <f t="shared" si="1803"/>
        <v>0</v>
      </c>
      <c r="CN927" s="134">
        <f t="shared" si="1804"/>
        <v>0</v>
      </c>
      <c r="CO927" s="134">
        <f t="shared" si="1805"/>
        <v>0</v>
      </c>
      <c r="CP927" s="134">
        <f t="shared" si="1806"/>
        <v>0</v>
      </c>
      <c r="CQ927" s="134">
        <f t="shared" si="1807"/>
        <v>0</v>
      </c>
      <c r="CR927" s="134">
        <f t="shared" si="1808"/>
        <v>0</v>
      </c>
      <c r="CS927" s="134">
        <f t="shared" si="1809"/>
        <v>0</v>
      </c>
      <c r="CT927" s="115">
        <f t="shared" si="1810"/>
        <v>0</v>
      </c>
      <c r="CU927" s="116">
        <f t="shared" si="1811"/>
        <v>0</v>
      </c>
      <c r="CV927" s="116">
        <f t="shared" si="1812"/>
        <v>0</v>
      </c>
      <c r="CW927" s="116">
        <f t="shared" si="1813"/>
        <v>0</v>
      </c>
      <c r="CX927" s="116">
        <f t="shared" si="1814"/>
        <v>0</v>
      </c>
      <c r="CY927" s="116">
        <f t="shared" si="1815"/>
        <v>0</v>
      </c>
      <c r="CZ927" s="116">
        <f t="shared" si="1816"/>
        <v>0</v>
      </c>
      <c r="DA927" s="116">
        <f t="shared" si="1817"/>
        <v>0</v>
      </c>
      <c r="DB927" s="116">
        <f t="shared" si="1818"/>
        <v>0</v>
      </c>
      <c r="DC927" s="116">
        <f t="shared" si="1819"/>
        <v>0</v>
      </c>
      <c r="DD927" s="116">
        <f t="shared" si="1820"/>
        <v>0</v>
      </c>
      <c r="DE927" s="117">
        <f t="shared" si="1821"/>
        <v>0</v>
      </c>
      <c r="DF927" s="118">
        <f t="shared" si="1824"/>
        <v>56</v>
      </c>
      <c r="DG927" s="106">
        <f t="shared" si="1825"/>
        <v>75.483000000000004</v>
      </c>
      <c r="DH927" s="116">
        <f t="shared" si="1826"/>
        <v>19</v>
      </c>
      <c r="DI927" s="106">
        <f t="shared" si="1827"/>
        <v>81.47</v>
      </c>
      <c r="DJ927" s="201" t="str">
        <f>IF($D925="","",$D925)</f>
        <v>31</v>
      </c>
      <c r="DK927" s="466"/>
    </row>
    <row r="928" spans="1:115" ht="14.5" customHeight="1" x14ac:dyDescent="0.2">
      <c r="A928" s="487">
        <f>$A925+1</f>
        <v>309</v>
      </c>
      <c r="B928" s="506" t="str">
        <f>IF(OR(C928="W",C929="W",C930="W",C928="1/2W",C929="1/2W",C930="1/2W",C928="1/2L",C929="1/2L",C930="1/2L"),"OK",IF(OR(C928="L",C929="L",C930="L"),"LOSS",IF(OR(C928="X",C929="X",C930="X"),"Anulado"," ")))</f>
        <v>OK</v>
      </c>
      <c r="C928" s="147" t="s">
        <v>55</v>
      </c>
      <c r="D928" s="494" t="str">
        <f>IF(G928="","",$D925)</f>
        <v>31</v>
      </c>
      <c r="E928" s="511" t="str">
        <f>IF(G928=""," ","– "&amp;COUNTIF(D$4:D930,$D928))</f>
        <v>– 5</v>
      </c>
      <c r="F928" s="510" t="str">
        <f ca="1">IF(G928="","",IF(OR(AND($C928&lt;&gt;" ",$C929=" "),AND($C929&lt;&gt;" ",$C928=" "),AND(L930&gt;0,OR(AND($C930&lt;&gt;" ",OR($C928=" ",$C929=" ")),AND($C930=" ",OR($C928&lt;&gt;" ",$C929&lt;&gt;" "))))),IF(SUM(F$4:F927)=0,1,LARGE(F$4:F927,1)+1),IF(MONTH(G928)=MONTH(TODAY()),IF(AND(DAY(G928)&lt;DAY(TODAY()),$B928=" "),IF(SUM(F$4:F927)=0,1,LARGE(F$4:F927,1)+1),IF($B928=" ",IF(AND(DAY(G928)=DAY(TODAY()),HOUR(G928)&lt;=HOUR(NOW())+1),IF(AND(HOUR(G928)+2&lt;=HOUR(NOW()),DAY(G928)&lt;=DAY(TODAY()),MINUTE(G928)&lt;=MINUTE(NOW())),IF(SUM(F$4:F927)=0,1,LARGE(F$4:F927,1)+1),IF(OR(MINUTE(G928)&lt;=MINUTE(NOW()),HOUR(G928)&lt;=HOUR(NOW())),"!!!","")),""),"")),"")))</f>
        <v/>
      </c>
      <c r="G928" s="517">
        <f>IF(H928="","",_xlfn.XLOOKUP(H928,$H$4:H927,$G$4:G927,""))</f>
        <v>45016.645833333336</v>
      </c>
      <c r="H928" s="516" t="s">
        <v>306</v>
      </c>
      <c r="I928" s="222" t="s">
        <v>52</v>
      </c>
      <c r="J928" s="223">
        <v>10.5</v>
      </c>
      <c r="K928" s="224" t="s">
        <v>40</v>
      </c>
      <c r="L928" s="225">
        <v>1.61</v>
      </c>
      <c r="M928" s="226">
        <v>22.13</v>
      </c>
      <c r="N928" s="503">
        <v>0</v>
      </c>
      <c r="O928" s="153">
        <f>IF(OR(AE928="",AE929=""),"",ROUND(IF(L930&gt;0,IF(M928&gt;0,M928,IF(M929&gt;0,ROUND((M929*AE928)/AE929,IF(N928=0,2,IF(N928=0.1,1,0))),ROUND((M930*AE928)/AE930,IF(N928=0,2,IF(N928=0.1,1,0))))),IF(M928&gt;0,M928,ROUND((M929*AE928)/AE929,IF(N928=0,2,IF(N928=0.1,1,0))))),2))</f>
        <v>22.13</v>
      </c>
      <c r="P928" s="227">
        <f>IF(OR(L928="",O928=""),"",IF($C928="1/2W",O928/2+O928/2*L928,IF($C928="1/2L",O928/2,IF(I928="Lay",(O928*(L928/(L928-1))-O928)*(1-_xlfn.XLOOKUP(K928,'Fevereiro 2023 - Valor Real'!A3:A15,'Fevereiro 2023 - Valor Real'!C3:C15,0))+O928,(O928*L928-O928)*(1-_xlfn.XLOOKUP(K928,'Fevereiro 2023 - Valor Real'!A3:A15,'Fevereiro 2023 - Valor Real'!C3:C15,0))+O928))))</f>
        <v>35.629300000000001</v>
      </c>
      <c r="Q928" s="228">
        <f>IF(K928="","",IF(_xlfn.XLOOKUP(K928,K$4:K927,$DJ$4:DJ927,0,,-1)=DJ928,_xlfn.XLOOKUP(K928,K$4:K927,Q$4:Q927,1,,-1)+1,1))</f>
        <v>5</v>
      </c>
      <c r="R928" s="229">
        <f>IF(K928="","",_xlfn.XLOOKUP(K928,K$4:K927,R$4:R927,0,,-1)+IF($C928=" ",1,0))</f>
        <v>0</v>
      </c>
      <c r="S928" s="501">
        <f>IF($B928="Anulado",0,ROUND(IF(OR($B928="LOSS",$B928="OK"),IF(OR($C928="W",$C928="1/2W",$C928="1/2L"),P928-O928,IF($C928="L",-O928,0))+IF(OR($C929="W",$C929="1/2W",$C929="1/2L"),P929-O929,IF($C929="L",-O929,0))+IF(OR($C930="W",$C930="1/2W",$C930="1/2L"),P930-O930,IF($C930="L",-O930,0)),IF(AND(OR($C928="W",$C928="1/2W",$C928="1/2L"),C929="W"),P928+P929-SUM(O928:O930)+_xlfn.XLOOKUP("X",C928:C930,O928:O930,0),IF(AND(C928=TRUE,C930="W"),P928+P930-SUM(O928:O930),IF(AND(C929="W",C930="W"),P929+P930-SUM(O928:O930)+_xlfn.XLOOKUP("X",C928:C930,O928:O930,0),IF(L930&gt;0,IF(OR($C928="W",$C928="1/2W",$C928="1/2L"),P928-SUM(O928:O930)+_xlfn.XLOOKUP("X",C928:C930,O928:O930,0),IF(OR($C928="W",$C928="1/2W",$C928="1/2L"),P929-SUM(O928:O930)+_xlfn.XLOOKUP("X",C928:C930,O928:O930,0),IF(OR($C928="W",$C928="1/2W",$C928="1/2L"),P930-SUM(O928:O930)+_xlfn.XLOOKUP("X",C928:C930,O928:O930,0),IF(SUM(P928:P930)/3-SUM(O928:O930)+_xlfn.XLOOKUP("X",C928:C930,O928:O930,0)&gt;0,SUM(P928:P930)/3-SUM(O928:O930)+_xlfn.XLOOKUP("X",C928:C930,O928:O930,0),LARGE(P928:P930,1)-SUM(O928:O930))))),IF(OR($C928="W",$C928="1/2W",$C928="1/2L"),P928-SUM(O928:O929)+_xlfn.XLOOKUP("X",C928:C930,O928:O930,0),IF(OR($C928="W",$C928="1/2W",$C928="1/2L"),P929-SUM(O928:O929)+_xlfn.XLOOKUP("X",C928:C930,O928:O930,0),SUM(P928:P929)/2-SUM(O928:O929)+_xlfn.XLOOKUP("X",C928:C930,O928:O930,0)))))))),2))</f>
        <v>1.42</v>
      </c>
      <c r="T928" s="486">
        <f>IF(S928=0,0,S928/SUM(O928:O930))</f>
        <v>4.1496201052016367E-2</v>
      </c>
      <c r="U928" s="496">
        <f>IF($D928=$D925,IF(OR($B928="LOSS",$B928="OK",$B928="Anulada"),S928,0)+U925,IF(OR($B928="LOSS",$B928="OK",$B928="Anulada"),S928,0))</f>
        <v>5.35</v>
      </c>
      <c r="V928" s="496">
        <f>IF($D928="",0,IF($D928=$D925,IF($B928=" ",IF(I930="",IF(OR(AND(I928="DNB1",I929="DNB2"),AND(OR(I928="DNB1",I928="DNB2"),J929=0),AND(OR(I929="DNB1",I929="DNB2"),J928=0),AND(I928="DNB2",I929="DNB1"),AND(IF(J928=0,(J928+1)/ROUND(J928+1,0),J928/ROUND(J928,0))=1,IF(J929=0,(J929+1)/ROUND(IF(J929="",0,J929)+1,0),IF(J929="",0,J929)/ROUND(IF(J929="",1,J929),0))=1,OR(J928&lt;&gt;""),J929&lt;&gt;"")),0,IF(S928&lt;0,IF(I930="",SMALL(P928:P929,1)-SUM(O928:O929),0),SMALL(P928:P929,1)-SUM(O928:O929))),IF(S928&lt;0,IF(I930="",SMALL(P928:P930,1)-SUM(O928:O930),0),LARGE(P928:P930,1)-SUM(O928:O930))),S928)+V925,IF(I930="",IF(OR(AND(I928="DNB1",I929="DNB2"),AND(OR(I928="DNB1",I928="DNB2"),J929=0),AND(OR(I929="DNB1",I929="DNB2"),J928=0),AND(I928="DNB2",I929="DNB1"),AND(IF(J928=0,(J928+1)/ROUND(J928+1,0),J928/ROUND(J928,0))=1,IF(J929=0,(IF(J929="",0,J929)+1)/ROUND(IF(J929="",0,J929)+1,0),IF(J929="",0,J929)/ROUND(IF(J929="",0,J929)+1,0))=1,OR(J928&lt;&gt;""),J929&lt;&gt;"")),0,IF(S928&lt;0,IF(I930="",SMALL(P928:P929,1)-SUM(O928:O929),0),SMALL(P928:P930,1)-SUM(O928:O930))),IF(S928&lt;0,IF(I930="",SMALL(P928:P930,1)-SUM(O928:O930),0),LARGE(P928:P930,1)-SUM(O928:O930)))))</f>
        <v>5.352999999999998</v>
      </c>
      <c r="W928" s="496">
        <f>IF($D928=$D925,IF(S928&lt;0,IF(I930="",S928,0),S928)+W925,S928)</f>
        <v>5.35</v>
      </c>
      <c r="X928" s="505" t="str">
        <f>IF(OR(SUM(R928:R930)=0,V928=W928),ROUND(IF(W928=0,0,W928/Y928)*100,2)&amp;"%",ROUND(IF(V928=0,0,V928/Y928)*100,2)&amp;"% a "&amp;ROUND(IF(W928=0,0,W928/Y928)*100,2)&amp;"%")</f>
        <v>4,56%</v>
      </c>
      <c r="Y928" s="497">
        <f>IF($D928=$D925,Y925+SUM(O928:O930),SUM(O928:O930))</f>
        <v>117.39</v>
      </c>
      <c r="Z928" s="496">
        <f>IF($B928=" ",SUM(O928:O930),0)+Z925</f>
        <v>0</v>
      </c>
      <c r="AA928" s="496">
        <f>IF(G928="","",IF($B928="Anulado",LARGE(P928:P930,1)-SUM(O928:O930)+AA925,AA925))</f>
        <v>14.77109999999999</v>
      </c>
      <c r="AB928" s="496">
        <f>IF($D928="","",AB925+S928)</f>
        <v>1031.1500000000012</v>
      </c>
      <c r="AC928" s="499">
        <f ca="1">IF($D928="","",IF($B928=" ",IF(DAY(G928)=DAY(TODAY()),1+AC925,0+AC925),0+AC925))</f>
        <v>0</v>
      </c>
      <c r="AD928" s="157">
        <f>(((L929/(L929-1)-1)*(1-_xlfn.XLOOKUP(K929,'Fevereiro 2023 - Valor Real'!A3:A15,'Fevereiro 2023 - Valor Real'!C3:C15,0))+1))/(((L928-1)*(1-_xlfn.XLOOKUP(K928,'Fevereiro 2023 - Valor Real'!A3:A15,'Fevereiro 2023 - Valor Real'!C3:C15,0))+1)+((L929/(L929-1)-1)*(1-_xlfn.XLOOKUP(K929,'Fevereiro 2023 - Valor Real'!A3:A15,'Fevereiro 2023 - Valor Real'!C3:C15,0))+1))</f>
        <v>0.64676844318493465</v>
      </c>
      <c r="AE928" s="158">
        <f>IF(L928="","",IF(L930&gt;0,(SUM(((L928-1)*(1-_xlfn.XLOOKUP(K928,'Fevereiro 2023 - Valor Real'!A3:A15,'Fevereiro 2023 - Valor Real'!C3:C15,0))+1),((L929-1)*(1-_xlfn.XLOOKUP(K929,'Fevereiro 2023 - Valor Real'!A3:A15,'Fevereiro 2023 - Valor Real'!C3:C15,0))+1),((L930-1)*(1-_xlfn.XLOOKUP(K930,'Fevereiro 2023 - Valor Real'!A3:A15,'Fevereiro 2023 - Valor Real'!C3:C15,0))+1))/((L928-1)*(1-_xlfn.XLOOKUP(K928,'Fevereiro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Real'!C3:C15,0))+1))/((L928-1)*(1-_xlfn.XLOOKUP(K928,'Fevereiro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Real'!C3:C15,0))+1))/((L929-1)*(1-_xlfn.XLOOKUP(K929,'Fevereiro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Real'!C3:C15,0))+1))/((L930-1)*(1-_xlfn.XLOOKUP(K930,'Fevereiro 2023 - Valor Real'!A3:A15,'Fevereiro 2023 - Valor Real'!C3:C15,0))+1)),IF(I928="Lay",IF(I929="Lay",((L929/(L929-1)-1)*(1-_xlfn.XLOOKUP(K929,'Fevereiro 2023 - Valor Real'!A3:A15,'Fevereiro 2023 - Valor Real'!C3:C15,0))+1)/(((L929/(L929-1)-1)*(1-_xlfn.XLOOKUP(K929,'Fevereiro 2023 - Valor Real'!A3:A15,'Fevereiro 2023 - Valor Real'!C3:C15,0))+1)+((L928/(L928-1)-1)*(1-_xlfn.XLOOKUP(K928,'Fevereiro 2023 - Valor Real'!A3:A15,'Fevereiro 2023 - Valor Real'!C3:C15,0))+1)),((L929-1)*(1-_xlfn.XLOOKUP(K929,'Fevereiro 2023 - Valor Real'!A3:A15,'Fevereiro 2023 - Valor Real'!C3:C15,0))+1)/(((L929-1)*(1-_xlfn.XLOOKUP(K929,'Fevereiro 2023 - Valor Real'!A3:A15,'Fevereiro 2023 - Valor Real'!C3:C15,0))+1)+((L928/(L928-1)-1)*(1-_xlfn.XLOOKUP(K928,'Fevereiro 2023 - Valor Real'!A3:A15,'Fevereiro 2023 - Valor Real'!C3:C15,0))+1))),IF(I929="Lay",(((L929/(L929-1)-1)*(1-_xlfn.XLOOKUP(K929,'Fevereiro 2023 - Valor Real'!A3:A15,'Fevereiro 2023 - Valor Real'!C3:C15,0))+1))/(((L928-1)*(1-_xlfn.XLOOKUP(K928,'Fevereiro 2023 - Valor Real'!A3:A15,'Fevereiro 2023 - Valor Real'!C3:C15,0))+1)+((L929/(L929-1)-1)*(1-_xlfn.XLOOKUP(K929,'Fevereiro 2023 - Valor Real'!A3:A15,'Fevereiro 2023 - Valor Real'!C3:C15,0))+1)),((L929-1)*(1-_xlfn.XLOOKUP(K929,'Fevereiro 2023 - Valor Real'!A3:A15,'Fevereiro 2023 - Valor Real'!C3:C15,0))+1)/(((L929-1)*(1-_xlfn.XLOOKUP(K929,'Fevereiro 2023 - Valor Real'!A3:A15,'Fevereiro 2023 - Valor Real'!C3:C15,0))+1)+((L928-1)*(1-_xlfn.XLOOKUP(K928,'Fevereiro 2023 - Valor Real'!A3:A15,'Fevereiro 2023 - Valor Real'!C3:C15,0))+1))))))</f>
        <v>0.64676844318493465</v>
      </c>
      <c r="AF928" s="66">
        <f t="shared" si="1861"/>
        <v>0</v>
      </c>
      <c r="AG928" s="67">
        <f t="shared" si="1861"/>
        <v>0</v>
      </c>
      <c r="AH928" s="67">
        <f t="shared" si="1861"/>
        <v>0</v>
      </c>
      <c r="AI928" s="67">
        <f t="shared" si="1861"/>
        <v>0</v>
      </c>
      <c r="AJ928" s="67">
        <f t="shared" si="1861"/>
        <v>-22.13</v>
      </c>
      <c r="AK928" s="67">
        <f t="shared" si="1861"/>
        <v>0</v>
      </c>
      <c r="AL928" s="67">
        <f t="shared" si="1861"/>
        <v>0</v>
      </c>
      <c r="AM928" s="67">
        <f t="shared" si="1861"/>
        <v>0</v>
      </c>
      <c r="AN928" s="67">
        <f t="shared" si="1861"/>
        <v>0</v>
      </c>
      <c r="AO928" s="67">
        <f t="shared" si="1861"/>
        <v>0</v>
      </c>
      <c r="AP928" s="67">
        <f t="shared" si="1861"/>
        <v>0</v>
      </c>
      <c r="AQ928" s="67">
        <f t="shared" si="1861"/>
        <v>0</v>
      </c>
      <c r="AR928" s="68">
        <f t="shared" si="1861"/>
        <v>0</v>
      </c>
      <c r="AS928" s="66">
        <f t="shared" ref="AS928:BE928" si="1868">IF(AND($B928=" ",$K928=AS$3),$O928,0)</f>
        <v>0</v>
      </c>
      <c r="AT928" s="67">
        <f t="shared" si="1868"/>
        <v>0</v>
      </c>
      <c r="AU928" s="67">
        <f t="shared" si="1868"/>
        <v>0</v>
      </c>
      <c r="AV928" s="67">
        <f t="shared" si="1868"/>
        <v>0</v>
      </c>
      <c r="AW928" s="67">
        <f t="shared" si="1868"/>
        <v>0</v>
      </c>
      <c r="AX928" s="67">
        <f t="shared" si="1868"/>
        <v>0</v>
      </c>
      <c r="AY928" s="69">
        <f t="shared" si="1868"/>
        <v>0</v>
      </c>
      <c r="AZ928" s="70">
        <f t="shared" si="1868"/>
        <v>0</v>
      </c>
      <c r="BA928" s="70">
        <f t="shared" si="1868"/>
        <v>0</v>
      </c>
      <c r="BB928" s="70">
        <f t="shared" si="1868"/>
        <v>0</v>
      </c>
      <c r="BC928" s="71">
        <f t="shared" si="1868"/>
        <v>0</v>
      </c>
      <c r="BD928" s="67">
        <f t="shared" si="1868"/>
        <v>0</v>
      </c>
      <c r="BE928" s="68">
        <f t="shared" si="1868"/>
        <v>0</v>
      </c>
      <c r="BF928" s="230">
        <f t="shared" si="1863"/>
        <v>0</v>
      </c>
      <c r="BG928" s="67">
        <f t="shared" si="1863"/>
        <v>0</v>
      </c>
      <c r="BH928" s="67">
        <f t="shared" si="1863"/>
        <v>0</v>
      </c>
      <c r="BI928" s="67">
        <f t="shared" si="1863"/>
        <v>0</v>
      </c>
      <c r="BJ928" s="67">
        <f t="shared" si="1863"/>
        <v>22.13</v>
      </c>
      <c r="BK928" s="67">
        <f t="shared" si="1863"/>
        <v>0</v>
      </c>
      <c r="BL928" s="67">
        <f t="shared" si="1863"/>
        <v>0</v>
      </c>
      <c r="BM928" s="69">
        <f t="shared" si="1863"/>
        <v>0</v>
      </c>
      <c r="BN928" s="70">
        <f t="shared" si="1863"/>
        <v>0</v>
      </c>
      <c r="BO928" s="70">
        <f t="shared" si="1863"/>
        <v>0</v>
      </c>
      <c r="BP928" s="70">
        <f t="shared" si="1863"/>
        <v>0</v>
      </c>
      <c r="BQ928" s="71">
        <f t="shared" si="1863"/>
        <v>0</v>
      </c>
      <c r="BR928" s="68">
        <f t="shared" si="1863"/>
        <v>0</v>
      </c>
      <c r="BS928" s="490">
        <f>IF($B928="LOSS",IF(AND($K928=BS$3,$C928="L"),-$O928,0)+IF(AND($K929=BS$3,$C929="L"),-$O929,0)+IF(AND($K930=BS$3,$C930="L"),-$O930,0),IF(OR(AND($K928=BS$3,OR($C928="W",$C928="1/2W")),AND($K929=BS$3,OR($C929="W",$C929="1/2W")),AND($K930=BS$3,OR($C930="W",$C930="1/2W"))),$S928,0))</f>
        <v>0</v>
      </c>
      <c r="BT928" s="488">
        <f>IF($B928="LOSS",IF(AND($K928=BT$3,$C928="L"),-$O928,0)+IF(AND($K929=BT$3,$C929="L"),-$O929,0)+IF(AND($K929=BT$3,$C930="L"),-$O930,0),IF(OR(AND($K929=BT$3,OR($C928="W",$C928="1/2W")),AND($K929=BT$3,OR($C929="W",$C929="1/2W")),AND($K929=BT$3,OR($C930="W",$C930="1/2W"))),$S928,0))</f>
        <v>0</v>
      </c>
      <c r="BU928" s="488">
        <f>IF($B928="LOSS",IF(AND($K928=BU$3,$C928="L"),-$O928,0)+IF(AND($K929=BU$3,$C929="L"),-$O929,0)+IF(AND($K929=BU$3,$C930="L"),-$O930,0),IF(OR(AND($K929=BU$3,OR($C928="W",$C928="1/2W")),AND($K929=BU$3,OR($C929="W",$C929="1/2W")),AND($K929=BU$3,OR($C930="W",$C930="1/2W"))),$S928,0))</f>
        <v>1.42</v>
      </c>
      <c r="BV928" s="488">
        <f t="shared" ref="BV928:CE928" si="1869">IF($B928="LOSS",IF(AND($K928=BV$3,$C928="L"),-$O928,0)+IF(AND($K929=BV$3,$C929="L"),-$O929,0)+IF(AND($K930=BV$3,$C930="L"),-$O930,0),IF(OR(AND($K928=BV$3,OR($C928="W",$C928="1/2W")),AND($K929=BV$3,OR($C929="W",$C929="1/2W")),AND($K930=BV$3,OR($C930="W",$C930="1/2W"))),$S928,0))</f>
        <v>0</v>
      </c>
      <c r="BW928" s="488">
        <f t="shared" si="1869"/>
        <v>0</v>
      </c>
      <c r="BX928" s="488">
        <f t="shared" si="1869"/>
        <v>0</v>
      </c>
      <c r="BY928" s="488">
        <f t="shared" si="1869"/>
        <v>0</v>
      </c>
      <c r="BZ928" s="498">
        <f t="shared" si="1869"/>
        <v>0</v>
      </c>
      <c r="CA928" s="498">
        <f t="shared" si="1869"/>
        <v>0</v>
      </c>
      <c r="CB928" s="498">
        <f t="shared" si="1869"/>
        <v>0</v>
      </c>
      <c r="CC928" s="498">
        <f t="shared" si="1869"/>
        <v>0</v>
      </c>
      <c r="CD928" s="500">
        <f t="shared" si="1869"/>
        <v>0</v>
      </c>
      <c r="CE928" s="504">
        <f t="shared" si="1869"/>
        <v>0</v>
      </c>
      <c r="CF928" s="160">
        <f t="shared" si="1796"/>
        <v>0</v>
      </c>
      <c r="CG928" s="161">
        <f t="shared" si="1797"/>
        <v>0</v>
      </c>
      <c r="CH928" s="161">
        <f t="shared" si="1798"/>
        <v>0</v>
      </c>
      <c r="CI928" s="161">
        <f t="shared" si="1799"/>
        <v>0</v>
      </c>
      <c r="CJ928" s="161">
        <f t="shared" si="1800"/>
        <v>0</v>
      </c>
      <c r="CK928" s="161">
        <f t="shared" si="1801"/>
        <v>0</v>
      </c>
      <c r="CL928" s="161">
        <f t="shared" si="1802"/>
        <v>0</v>
      </c>
      <c r="CM928" s="161">
        <f t="shared" si="1803"/>
        <v>0</v>
      </c>
      <c r="CN928" s="161">
        <f t="shared" si="1804"/>
        <v>0</v>
      </c>
      <c r="CO928" s="161">
        <f t="shared" si="1805"/>
        <v>1</v>
      </c>
      <c r="CP928" s="161">
        <f t="shared" si="1806"/>
        <v>0</v>
      </c>
      <c r="CQ928" s="161">
        <f t="shared" si="1807"/>
        <v>0</v>
      </c>
      <c r="CR928" s="161">
        <f t="shared" si="1808"/>
        <v>0</v>
      </c>
      <c r="CS928" s="161">
        <f t="shared" si="1809"/>
        <v>0</v>
      </c>
      <c r="CT928" s="75">
        <f t="shared" si="1810"/>
        <v>0</v>
      </c>
      <c r="CU928" s="76">
        <f t="shared" si="1811"/>
        <v>0</v>
      </c>
      <c r="CV928" s="76">
        <f t="shared" si="1812"/>
        <v>0</v>
      </c>
      <c r="CW928" s="76">
        <f t="shared" si="1813"/>
        <v>0</v>
      </c>
      <c r="CX928" s="76">
        <f t="shared" si="1814"/>
        <v>0</v>
      </c>
      <c r="CY928" s="76">
        <f t="shared" si="1815"/>
        <v>0</v>
      </c>
      <c r="CZ928" s="76">
        <f t="shared" si="1816"/>
        <v>0</v>
      </c>
      <c r="DA928" s="76">
        <f t="shared" si="1817"/>
        <v>0</v>
      </c>
      <c r="DB928" s="76">
        <f t="shared" si="1818"/>
        <v>0</v>
      </c>
      <c r="DC928" s="76">
        <f t="shared" si="1819"/>
        <v>0</v>
      </c>
      <c r="DD928" s="76">
        <f t="shared" si="1820"/>
        <v>0</v>
      </c>
      <c r="DE928" s="77">
        <f t="shared" si="1821"/>
        <v>0</v>
      </c>
      <c r="DF928" s="73">
        <f t="shared" si="1824"/>
        <v>56</v>
      </c>
      <c r="DG928" s="67">
        <f t="shared" si="1825"/>
        <v>75.483000000000004</v>
      </c>
      <c r="DH928" s="76">
        <f t="shared" si="1826"/>
        <v>19</v>
      </c>
      <c r="DI928" s="67">
        <f t="shared" si="1827"/>
        <v>81.47</v>
      </c>
      <c r="DJ928" s="202" t="str">
        <f>IF($D928="","",$D928)</f>
        <v>31</v>
      </c>
      <c r="DK928" s="492">
        <f>IF(AND($B928=" ",$D928&lt;&gt;""),1,0)</f>
        <v>0</v>
      </c>
    </row>
    <row r="929" spans="1:115" ht="14.5" customHeight="1" x14ac:dyDescent="0.2">
      <c r="A929" s="389"/>
      <c r="B929" s="456"/>
      <c r="C929" s="53" t="s">
        <v>54</v>
      </c>
      <c r="D929" s="374"/>
      <c r="E929" s="386"/>
      <c r="F929" s="377"/>
      <c r="G929" s="483"/>
      <c r="H929" s="476"/>
      <c r="I929" s="55" t="s">
        <v>88</v>
      </c>
      <c r="J929" s="231">
        <f>IF(OR(I928="TO",I928="TU",I928="TO1",I928="TU1",I928="TO2",I928="TU2"),J928,IF(OR(I928="AH1",I928="AH2"),IF(OR(I929="AH1",I929="AH2"),-J928,IF(OR(I929="EH1",I929="EH2"),-J928+0.5,"")),IF(OR(I928="EH1",I928="EH2"),IF(OR(I929="AH1",I929="AH2"),-J928+0.5,IF(OR(I929="EH1",I929="EH2"),-J928+1,"")),IF(AND(OR(I928="DNB1",I928="DNB2"),OR(I929="AH1",I929="AH2")),0,IF(AND(I928="Not ScoreBoth",OR(I929="TO1",I929="TO2")),0.5,"")))))</f>
        <v>10.5</v>
      </c>
      <c r="K929" s="232" t="s">
        <v>38</v>
      </c>
      <c r="L929" s="58">
        <v>1.48</v>
      </c>
      <c r="M929" s="59"/>
      <c r="N929" s="406"/>
      <c r="O929" s="60">
        <f>IF(OR(AE928="",AE929=""),"",ROUND(IF(L930&gt;0,IF(M929&gt;0,M929,IF(M928&gt;0,IF(N928=TRUE,ROUND((M928*AE929)/AE928,0),(M928*AE929)/AE928),IF(M929&gt;0,ROUND(M929,IF(N928=0,2,IF(N928=0.1,1,0))),IF(M930&gt;0,ROUND(O930*AE929/AE930,IF(N928=0,2,IF(N928=0.1,1,0))),0)))),IF(M929&gt;0,M929,ROUND((M928*AE929)/AE928,IF(N928=0,2,IF(N928=0.1,1,0))))),2))</f>
        <v>12.09</v>
      </c>
      <c r="P929" s="61">
        <f>IF(OR(L929="",O929=""),"",IF($C929="1/2W",O929/2+O929/2*L929,IF($C929="1/2L",O929/2,IF(I929="Lay",((O929*(L929/(L929-1)))-O929)*(1-_xlfn.XLOOKUP(K929,'Fevereiro 2023 - Valor Real'!A3:A15,'Fevereiro 2023 - Valor Real'!C3:C15,0))+O929,(O929*L929-O929)*(1-_xlfn.XLOOKUP(K929,'Fevereiro 2023 - Valor Real'!A3:A15,'Fevereiro 2023 - Valor Real'!C3:C15,0))+O929))))</f>
        <v>35.640312500000007</v>
      </c>
      <c r="Q929" s="233">
        <f>IF(K929="","",IF(_xlfn.XLOOKUP(K929,K$4:K928,$DJ$4:DJ928,0,,-1)=DJ929,_xlfn.XLOOKUP(K929,K$4:K928,Q$4:Q928,1,,-1)+1,1))</f>
        <v>1</v>
      </c>
      <c r="R929" s="234">
        <f>IF(K929="","",_xlfn.XLOOKUP(K929,K$4:K928,R$4:R928,0,,-1)+IF($C929=" ",1,0))</f>
        <v>0</v>
      </c>
      <c r="S929" s="403"/>
      <c r="T929" s="380"/>
      <c r="U929" s="380"/>
      <c r="V929" s="481"/>
      <c r="W929" s="380"/>
      <c r="X929" s="452"/>
      <c r="Y929" s="383"/>
      <c r="Z929" s="384"/>
      <c r="AA929" s="384"/>
      <c r="AB929" s="384"/>
      <c r="AC929" s="384"/>
      <c r="AD929" s="64">
        <f>(((L929/(L929-1)-1)*(1-_xlfn.XLOOKUP(K929,'Fevereiro 2023 - Valor Real'!A3:A15,'Fevereiro 2023 - Valor Real'!C3:C15,0))+1))</f>
        <v>2.947916666666667</v>
      </c>
      <c r="AE929" s="65">
        <f>IF(L929="","",IF(L930&gt;0,(SUM(((L928-1)*(1-_xlfn.XLOOKUP(K928,'Fevereiro 2023 - Valor Real'!A3:A15,'Fevereiro 2023 - Valor Real'!C3:C15,0))+1),((L929-1)*(1-_xlfn.XLOOKUP(K929,'Fevereiro 2023 - Valor Real'!A3:A15,'Fevereiro 2023 - Valor Real'!C3:C15,0))+1),((L930-1)*(1-_xlfn.XLOOKUP(K930,'Fevereiro 2023 - Valor Real'!A3:A15,'Fevereiro 2023 - Valor Real'!C3:C15,0))+1))/((L929-1)*(1-_xlfn.XLOOKUP(K929,'Fevereiro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Real'!C3:C15,0))+1))/((L928-1)*(1-_xlfn.XLOOKUP(K928,'Fevereiro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Real'!C3:C15,0))+1))/((L929-1)*(1-_xlfn.XLOOKUP(K929,'Fevereiro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Real'!C3:C15,0))+1))/((L930-1)*(1-_xlfn.XLOOKUP(K930,'Fevereiro 2023 - Valor Real'!A3:A15,'Fevereiro 2023 - Valor Real'!C3:C15,0))+1)),IF(I929="Lay",IF(I928="Lay",((L928/(L928-1)-1)*(1-_xlfn.XLOOKUP(K928,'Fevereiro 2023 - Valor Real'!A3:A15,'Fevereiro 2023 - Valor Real'!C3:C15,0))+1)/(((L928/(L928-1)-1)*(1-_xlfn.XLOOKUP(K928,'Fevereiro 2023 - Valor Real'!A3:A15,'Fevereiro 2023 - Valor Real'!C3:C15,0))+1)+((L929/(L929-1)-1)*(1-_xlfn.XLOOKUP(K929,'Fevereiro 2023 - Valor Real'!A3:A15,'Fevereiro 2023 - Valor Real'!C3:C15,0))+1)),((L928-1)*(1-_xlfn.XLOOKUP(K928,'Fevereiro 2023 - Valor Real'!A3:A15,'Fevereiro 2023 - Valor Real'!C3:C15,0))+1)/(((L928-1)*(1-_xlfn.XLOOKUP(K928,'Fevereiro 2023 - Valor Real'!A3:A15,'Fevereiro 2023 - Valor Real'!C3:C15,0))+1)+((L929/(L929-1)-1)*(1-_xlfn.XLOOKUP(K929,'Fevereiro 2023 - Valor Real'!A3:A15,'Fevereiro 2023 - Valor Real'!C3:C15,0))+1))),IF(I928="Lay",((L928/(L928-1)-1)*(1-_xlfn.XLOOKUP(K928,'Fevereiro 2023 - Valor Real'!A3:A15,'Fevereiro 2023 - Valor Real'!C3:C15,0))+1)/((((L928/(L928-1)-1)*(1-_xlfn.XLOOKUP(K928,'Fevereiro 2023 - Valor Real'!A3:A15,'Fevereiro 2023 - Valor Real'!C3:C15,0))+1))+((L929-1)*(1-_xlfn.XLOOKUP(K929,'Fevereiro 2023 - Valor Real'!A3:A15,'Fevereiro 2023 - Valor Real'!C3:C15,0))+1)),((L928-1)*(1-_xlfn.XLOOKUP(K928,'Fevereiro 2023 - Valor Real'!A3:A15,'Fevereiro 2023 - Valor Real'!C3:C15,0))+1)/(((L928-1)*(1-_xlfn.XLOOKUP(K928,'Fevereiro 2023 - Valor Real'!A3:A15,'Fevereiro 2023 - Valor Real'!C3:C15,0))+1)+((L929-1)*(1-_xlfn.XLOOKUP(K929,'Fevereiro 2023 - Valor Real'!A3:A15,'Fevereiro 2023 - Valor Real'!C3:C15,0))+1))))))</f>
        <v>0.35323155681506535</v>
      </c>
      <c r="AF929" s="66">
        <f t="shared" si="1861"/>
        <v>0</v>
      </c>
      <c r="AG929" s="67">
        <f t="shared" si="1861"/>
        <v>0</v>
      </c>
      <c r="AH929" s="67">
        <f t="shared" si="1861"/>
        <v>23.55</v>
      </c>
      <c r="AI929" s="67">
        <f t="shared" si="1861"/>
        <v>0</v>
      </c>
      <c r="AJ929" s="67">
        <f t="shared" si="1861"/>
        <v>0</v>
      </c>
      <c r="AK929" s="67">
        <f t="shared" si="1861"/>
        <v>0</v>
      </c>
      <c r="AL929" s="67">
        <f t="shared" si="1861"/>
        <v>0</v>
      </c>
      <c r="AM929" s="67">
        <f t="shared" si="1861"/>
        <v>0</v>
      </c>
      <c r="AN929" s="67">
        <f t="shared" si="1861"/>
        <v>0</v>
      </c>
      <c r="AO929" s="67">
        <f t="shared" si="1861"/>
        <v>0</v>
      </c>
      <c r="AP929" s="67">
        <f t="shared" si="1861"/>
        <v>0</v>
      </c>
      <c r="AQ929" s="67">
        <f t="shared" si="1861"/>
        <v>0</v>
      </c>
      <c r="AR929" s="68">
        <f t="shared" si="1861"/>
        <v>0</v>
      </c>
      <c r="AS929" s="66">
        <f>IF(AND($B928=" ",$K929=AS$3),$O929,0)</f>
        <v>0</v>
      </c>
      <c r="AT929" s="67">
        <f>IF(AND($B928=" ",K929=AT$3),$O929,0)</f>
        <v>0</v>
      </c>
      <c r="AU929" s="67">
        <f t="shared" ref="AU929:BE929" si="1870">IF(AND($B928=" ",$K929=AU$3),$O929,0)</f>
        <v>0</v>
      </c>
      <c r="AV929" s="67">
        <f t="shared" si="1870"/>
        <v>0</v>
      </c>
      <c r="AW929" s="67">
        <f t="shared" si="1870"/>
        <v>0</v>
      </c>
      <c r="AX929" s="67">
        <f t="shared" si="1870"/>
        <v>0</v>
      </c>
      <c r="AY929" s="69">
        <f t="shared" si="1870"/>
        <v>0</v>
      </c>
      <c r="AZ929" s="70">
        <f t="shared" si="1870"/>
        <v>0</v>
      </c>
      <c r="BA929" s="70">
        <f t="shared" si="1870"/>
        <v>0</v>
      </c>
      <c r="BB929" s="70">
        <f t="shared" si="1870"/>
        <v>0</v>
      </c>
      <c r="BC929" s="71">
        <f t="shared" si="1870"/>
        <v>0</v>
      </c>
      <c r="BD929" s="67">
        <f t="shared" si="1870"/>
        <v>0</v>
      </c>
      <c r="BE929" s="68">
        <f t="shared" si="1870"/>
        <v>0</v>
      </c>
      <c r="BF929" s="66">
        <f t="shared" si="1863"/>
        <v>0</v>
      </c>
      <c r="BG929" s="67">
        <f t="shared" si="1863"/>
        <v>0</v>
      </c>
      <c r="BH929" s="67">
        <f t="shared" si="1863"/>
        <v>12.09</v>
      </c>
      <c r="BI929" s="67">
        <f t="shared" si="1863"/>
        <v>0</v>
      </c>
      <c r="BJ929" s="67">
        <f t="shared" si="1863"/>
        <v>0</v>
      </c>
      <c r="BK929" s="67">
        <f t="shared" si="1863"/>
        <v>0</v>
      </c>
      <c r="BL929" s="67">
        <f t="shared" si="1863"/>
        <v>0</v>
      </c>
      <c r="BM929" s="235">
        <f t="shared" si="1863"/>
        <v>0</v>
      </c>
      <c r="BN929" s="159">
        <f t="shared" si="1863"/>
        <v>0</v>
      </c>
      <c r="BO929" s="159">
        <f t="shared" si="1863"/>
        <v>0</v>
      </c>
      <c r="BP929" s="159">
        <f t="shared" si="1863"/>
        <v>0</v>
      </c>
      <c r="BQ929" s="71">
        <f t="shared" si="1863"/>
        <v>0</v>
      </c>
      <c r="BR929" s="68">
        <f t="shared" si="1863"/>
        <v>0</v>
      </c>
      <c r="BS929" s="464"/>
      <c r="BT929" s="461"/>
      <c r="BU929" s="392"/>
      <c r="BV929" s="461"/>
      <c r="BW929" s="392"/>
      <c r="BX929" s="392"/>
      <c r="BY929" s="392"/>
      <c r="BZ929" s="461"/>
      <c r="CA929" s="392"/>
      <c r="CB929" s="392"/>
      <c r="CC929" s="392"/>
      <c r="CD929" s="401"/>
      <c r="CE929" s="409"/>
      <c r="CF929" s="236">
        <f t="shared" si="1796"/>
        <v>0</v>
      </c>
      <c r="CG929" s="237">
        <f t="shared" si="1797"/>
        <v>0</v>
      </c>
      <c r="CH929" s="237">
        <f t="shared" si="1798"/>
        <v>0</v>
      </c>
      <c r="CI929" s="237">
        <f t="shared" si="1799"/>
        <v>0</v>
      </c>
      <c r="CJ929" s="237">
        <f t="shared" si="1800"/>
        <v>1</v>
      </c>
      <c r="CK929" s="237">
        <f t="shared" si="1801"/>
        <v>0</v>
      </c>
      <c r="CL929" s="237">
        <f t="shared" si="1802"/>
        <v>0</v>
      </c>
      <c r="CM929" s="237">
        <f t="shared" si="1803"/>
        <v>0</v>
      </c>
      <c r="CN929" s="237">
        <f t="shared" si="1804"/>
        <v>0</v>
      </c>
      <c r="CO929" s="237">
        <f t="shared" si="1805"/>
        <v>0</v>
      </c>
      <c r="CP929" s="237">
        <f t="shared" si="1806"/>
        <v>0</v>
      </c>
      <c r="CQ929" s="237">
        <f t="shared" si="1807"/>
        <v>0</v>
      </c>
      <c r="CR929" s="237">
        <f t="shared" si="1808"/>
        <v>0</v>
      </c>
      <c r="CS929" s="237">
        <f t="shared" si="1809"/>
        <v>0</v>
      </c>
      <c r="CT929" s="75">
        <f t="shared" si="1810"/>
        <v>0</v>
      </c>
      <c r="CU929" s="76">
        <f t="shared" si="1811"/>
        <v>0</v>
      </c>
      <c r="CV929" s="76">
        <f t="shared" si="1812"/>
        <v>0</v>
      </c>
      <c r="CW929" s="76">
        <f t="shared" si="1813"/>
        <v>0</v>
      </c>
      <c r="CX929" s="76">
        <f t="shared" si="1814"/>
        <v>0</v>
      </c>
      <c r="CY929" s="76">
        <f t="shared" si="1815"/>
        <v>0</v>
      </c>
      <c r="CZ929" s="76">
        <f t="shared" si="1816"/>
        <v>0</v>
      </c>
      <c r="DA929" s="76">
        <f t="shared" si="1817"/>
        <v>0</v>
      </c>
      <c r="DB929" s="76">
        <f t="shared" si="1818"/>
        <v>0</v>
      </c>
      <c r="DC929" s="76">
        <f t="shared" si="1819"/>
        <v>0</v>
      </c>
      <c r="DD929" s="76">
        <f t="shared" si="1820"/>
        <v>0</v>
      </c>
      <c r="DE929" s="77">
        <f t="shared" si="1821"/>
        <v>0</v>
      </c>
      <c r="DF929" s="73">
        <f t="shared" si="1824"/>
        <v>57</v>
      </c>
      <c r="DG929" s="67">
        <f t="shared" si="1825"/>
        <v>76.963000000000008</v>
      </c>
      <c r="DH929" s="76">
        <f t="shared" si="1826"/>
        <v>19</v>
      </c>
      <c r="DI929" s="67">
        <f t="shared" si="1827"/>
        <v>81.47</v>
      </c>
      <c r="DJ929" s="202" t="str">
        <f>IF($D928="","",$D928)</f>
        <v>31</v>
      </c>
      <c r="DK929" s="466"/>
    </row>
    <row r="930" spans="1:115" ht="14.5" customHeight="1" x14ac:dyDescent="0.2">
      <c r="A930" s="390"/>
      <c r="B930" s="457"/>
      <c r="C930" s="79" t="s">
        <v>53</v>
      </c>
      <c r="D930" s="375"/>
      <c r="E930" s="387"/>
      <c r="F930" s="378"/>
      <c r="G930" s="484"/>
      <c r="H930" s="514"/>
      <c r="I930" s="82"/>
      <c r="J930" s="83"/>
      <c r="K930" s="90"/>
      <c r="L930" s="84"/>
      <c r="M930" s="85"/>
      <c r="N930" s="407"/>
      <c r="O930" s="86" t="str">
        <f>IF(OR(AE928="",AE929=""),"",IF(L930&gt;0,ROUND(IF(M930&gt;0,M930,IF(M928&gt;0,ROUND((M928*AE930)/AE928,IF(N928=0,2,IF(N928=0.1,1,0))),IF(M929&gt;0,ROUND((M929*AE930)/AE929,IF(N928=0,2,IF(N928=0.1,1,0))),IF(M930&gt;0,M930,0)))),2),""))</f>
        <v/>
      </c>
      <c r="P930" s="188">
        <f>IF(I929="Lay",O929*(L929/(L929-1))-O929,IF(I928="Lay",O928*(L928/(L928-1))-O928,IF(OR(L930="",O930=""),"",IF($C930="1/2W",O930/2+O930/2*L930,IF($C930="1/2L",O930/2,(O930*L930-O930)*(1-_xlfn.XLOOKUP(K930,'Fevereiro 2023 - Valor Real'!A3:A15,'Fevereiro 2023 - Valor Real'!C3:C15,0))+O930)))))</f>
        <v>25.187500000000004</v>
      </c>
      <c r="Q930" s="238" t="str">
        <f>IF(K930="","",IF(_xlfn.XLOOKUP(K930,K$4:K929,$DJ$4:DJ929,0,,-1)=DJ930,_xlfn.XLOOKUP(K930,K$4:K929,Q$4:Q929,1,,-1)+1,1))</f>
        <v/>
      </c>
      <c r="R930" s="239" t="str">
        <f>IF(K930="","",_xlfn.XLOOKUP(K930,K$4:K929,R$4:R929,0,,-1)+IF($C930=" ",1,0))</f>
        <v/>
      </c>
      <c r="S930" s="404"/>
      <c r="T930" s="378"/>
      <c r="U930" s="378"/>
      <c r="V930" s="404"/>
      <c r="W930" s="378"/>
      <c r="X930" s="453"/>
      <c r="Y930" s="383"/>
      <c r="Z930" s="384"/>
      <c r="AA930" s="384"/>
      <c r="AB930" s="384"/>
      <c r="AC930" s="384"/>
      <c r="AD930" s="240">
        <f>((L929/(L929-1)-1))</f>
        <v>2.0833333333333335</v>
      </c>
      <c r="AE930" s="91" t="str">
        <f>IF(L930="","",(SUM(((L928-1)*(1-_xlfn.XLOOKUP(K928,'Fevereiro 2023 - Valor Real'!A3:A15,'Fevereiro 2023 - Valor Real'!C3:C15,0))+1),((L929-1)*(1-_xlfn.XLOOKUP(K929,'Fevereiro 2023 - Valor Real'!A3:A15,'Fevereiro 2023 - Valor Real'!C3:C15,0))+1),((L930-1)*(1-_xlfn.XLOOKUP(K930,'Fevereiro 2023 - Valor Real'!A3:A15,'Fevereiro 2023 - Valor Real'!C3:C15,0))+1))/((L930-1)*(1-_xlfn.XLOOKUP(K930,'Fevereiro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Real'!C3:C15,0))+1))/((L928-1)*(1-_xlfn.XLOOKUP(K928,'Fevereiro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Real'!C3:C15,0))+1))/((L929-1)*(1-_xlfn.XLOOKUP(K929,'Fevereiro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Real'!C3:C15,0))+1))/((L930-1)*(1-_xlfn.XLOOKUP(K930,'Fevereiro 2023 - Valor Real'!A3:A15,'Fevereiro 2023 - Valor Real'!C3:C15,0))+1)))</f>
        <v/>
      </c>
      <c r="AF930" s="66">
        <f t="shared" si="1861"/>
        <v>0</v>
      </c>
      <c r="AG930" s="67">
        <f t="shared" si="1861"/>
        <v>0</v>
      </c>
      <c r="AH930" s="67">
        <f t="shared" si="1861"/>
        <v>0</v>
      </c>
      <c r="AI930" s="67">
        <f t="shared" si="1861"/>
        <v>0</v>
      </c>
      <c r="AJ930" s="67">
        <f t="shared" si="1861"/>
        <v>0</v>
      </c>
      <c r="AK930" s="67">
        <f t="shared" si="1861"/>
        <v>0</v>
      </c>
      <c r="AL930" s="67">
        <f t="shared" si="1861"/>
        <v>0</v>
      </c>
      <c r="AM930" s="67">
        <f t="shared" si="1861"/>
        <v>0</v>
      </c>
      <c r="AN930" s="67">
        <f t="shared" si="1861"/>
        <v>0</v>
      </c>
      <c r="AO930" s="67">
        <f t="shared" si="1861"/>
        <v>0</v>
      </c>
      <c r="AP930" s="67">
        <f t="shared" si="1861"/>
        <v>0</v>
      </c>
      <c r="AQ930" s="67">
        <f t="shared" si="1861"/>
        <v>0</v>
      </c>
      <c r="AR930" s="68">
        <f t="shared" si="1861"/>
        <v>0</v>
      </c>
      <c r="AS930" s="66">
        <f>IF(AND($B928=" ",$K930=AS$3),$O930,0)</f>
        <v>0</v>
      </c>
      <c r="AT930" s="67">
        <f>IF(AND($B928=" ",K930=AT$3),$O930,0)</f>
        <v>0</v>
      </c>
      <c r="AU930" s="67">
        <f t="shared" ref="AU930:BE930" si="1871">IF(AND($B928=" ",$K930=AU$3),$O930,0)</f>
        <v>0</v>
      </c>
      <c r="AV930" s="67">
        <f t="shared" si="1871"/>
        <v>0</v>
      </c>
      <c r="AW930" s="67">
        <f t="shared" si="1871"/>
        <v>0</v>
      </c>
      <c r="AX930" s="67">
        <f t="shared" si="1871"/>
        <v>0</v>
      </c>
      <c r="AY930" s="69">
        <f t="shared" si="1871"/>
        <v>0</v>
      </c>
      <c r="AZ930" s="70">
        <f t="shared" si="1871"/>
        <v>0</v>
      </c>
      <c r="BA930" s="70">
        <f t="shared" si="1871"/>
        <v>0</v>
      </c>
      <c r="BB930" s="70">
        <f t="shared" si="1871"/>
        <v>0</v>
      </c>
      <c r="BC930" s="71">
        <f t="shared" si="1871"/>
        <v>0</v>
      </c>
      <c r="BD930" s="67">
        <f t="shared" si="1871"/>
        <v>0</v>
      </c>
      <c r="BE930" s="68">
        <f t="shared" si="1871"/>
        <v>0</v>
      </c>
      <c r="BF930" s="66">
        <f t="shared" si="1863"/>
        <v>0</v>
      </c>
      <c r="BG930" s="67">
        <f t="shared" si="1863"/>
        <v>0</v>
      </c>
      <c r="BH930" s="67">
        <f t="shared" si="1863"/>
        <v>0</v>
      </c>
      <c r="BI930" s="67">
        <f t="shared" si="1863"/>
        <v>0</v>
      </c>
      <c r="BJ930" s="67">
        <f t="shared" si="1863"/>
        <v>0</v>
      </c>
      <c r="BK930" s="67">
        <f t="shared" si="1863"/>
        <v>0</v>
      </c>
      <c r="BL930" s="67">
        <f t="shared" si="1863"/>
        <v>0</v>
      </c>
      <c r="BM930" s="69">
        <f t="shared" si="1863"/>
        <v>0</v>
      </c>
      <c r="BN930" s="70">
        <f t="shared" si="1863"/>
        <v>0</v>
      </c>
      <c r="BO930" s="70">
        <f t="shared" si="1863"/>
        <v>0</v>
      </c>
      <c r="BP930" s="70">
        <f t="shared" si="1863"/>
        <v>0</v>
      </c>
      <c r="BQ930" s="71">
        <f t="shared" si="1863"/>
        <v>0</v>
      </c>
      <c r="BR930" s="68">
        <f t="shared" si="1863"/>
        <v>0</v>
      </c>
      <c r="BS930" s="464"/>
      <c r="BT930" s="461"/>
      <c r="BU930" s="392"/>
      <c r="BV930" s="461"/>
      <c r="BW930" s="392"/>
      <c r="BX930" s="392"/>
      <c r="BY930" s="392"/>
      <c r="BZ930" s="461"/>
      <c r="CA930" s="392"/>
      <c r="CB930" s="392"/>
      <c r="CC930" s="392"/>
      <c r="CD930" s="401"/>
      <c r="CE930" s="409"/>
      <c r="CF930" s="236">
        <f t="shared" si="1796"/>
        <v>0</v>
      </c>
      <c r="CG930" s="237">
        <f t="shared" si="1797"/>
        <v>0</v>
      </c>
      <c r="CH930" s="237">
        <f t="shared" si="1798"/>
        <v>0</v>
      </c>
      <c r="CI930" s="237">
        <f t="shared" si="1799"/>
        <v>0</v>
      </c>
      <c r="CJ930" s="237">
        <f t="shared" si="1800"/>
        <v>0</v>
      </c>
      <c r="CK930" s="237">
        <f t="shared" si="1801"/>
        <v>0</v>
      </c>
      <c r="CL930" s="237">
        <f t="shared" si="1802"/>
        <v>0</v>
      </c>
      <c r="CM930" s="237">
        <f t="shared" si="1803"/>
        <v>0</v>
      </c>
      <c r="CN930" s="237">
        <f t="shared" si="1804"/>
        <v>0</v>
      </c>
      <c r="CO930" s="237">
        <f t="shared" si="1805"/>
        <v>0</v>
      </c>
      <c r="CP930" s="237">
        <f t="shared" si="1806"/>
        <v>0</v>
      </c>
      <c r="CQ930" s="237">
        <f t="shared" si="1807"/>
        <v>0</v>
      </c>
      <c r="CR930" s="237">
        <f t="shared" si="1808"/>
        <v>0</v>
      </c>
      <c r="CS930" s="237">
        <f t="shared" si="1809"/>
        <v>0</v>
      </c>
      <c r="CT930" s="75">
        <f t="shared" si="1810"/>
        <v>0</v>
      </c>
      <c r="CU930" s="76">
        <f t="shared" si="1811"/>
        <v>0</v>
      </c>
      <c r="CV930" s="76">
        <f t="shared" si="1812"/>
        <v>0</v>
      </c>
      <c r="CW930" s="76">
        <f t="shared" si="1813"/>
        <v>0</v>
      </c>
      <c r="CX930" s="76">
        <f t="shared" si="1814"/>
        <v>0</v>
      </c>
      <c r="CY930" s="76">
        <f t="shared" si="1815"/>
        <v>0</v>
      </c>
      <c r="CZ930" s="76">
        <f t="shared" si="1816"/>
        <v>0</v>
      </c>
      <c r="DA930" s="76">
        <f t="shared" si="1817"/>
        <v>0</v>
      </c>
      <c r="DB930" s="76">
        <f t="shared" si="1818"/>
        <v>0</v>
      </c>
      <c r="DC930" s="76">
        <f t="shared" si="1819"/>
        <v>0</v>
      </c>
      <c r="DD930" s="76">
        <f t="shared" si="1820"/>
        <v>0</v>
      </c>
      <c r="DE930" s="77">
        <f t="shared" si="1821"/>
        <v>0</v>
      </c>
      <c r="DF930" s="73">
        <f t="shared" si="1824"/>
        <v>57</v>
      </c>
      <c r="DG930" s="67">
        <f t="shared" si="1825"/>
        <v>76.963000000000008</v>
      </c>
      <c r="DH930" s="76">
        <f t="shared" si="1826"/>
        <v>19</v>
      </c>
      <c r="DI930" s="67">
        <f t="shared" si="1827"/>
        <v>81.47</v>
      </c>
      <c r="DJ930" s="202" t="str">
        <f>IF($D928="","",$D928)</f>
        <v>31</v>
      </c>
      <c r="DK930" s="466"/>
    </row>
    <row r="931" spans="1:115" ht="14.5" customHeight="1" x14ac:dyDescent="0.2">
      <c r="A931" s="459">
        <f>$A928+1</f>
        <v>310</v>
      </c>
      <c r="B931" s="507" t="str">
        <f>IF(OR(C931="W",C932="W",C933="W",C931="1/2W",C932="1/2W",C933="1/2W",C931="1/2L",C932="1/2L",C933="1/2L"),"OK",IF(OR(C931="L",C932="L",C933="L"),"LOSS",IF(OR(C931="X",C932="X",C933="X"),"Anulado"," ")))</f>
        <v>OK</v>
      </c>
      <c r="C931" s="93" t="s">
        <v>54</v>
      </c>
      <c r="D931" s="468" t="str">
        <f>IF(G931="","",$D928)</f>
        <v>31</v>
      </c>
      <c r="E931" s="485" t="str">
        <f>IF(G931=""," ","– "&amp;COUNTIF(D$4:D933,$D931))</f>
        <v>– 6</v>
      </c>
      <c r="F931" s="509" t="str">
        <f ca="1">IF(G931="","",IF(OR(AND($C931&lt;&gt;" ",$C932=" "),AND($C932&lt;&gt;" ",$C931=" "),AND(L933&gt;0,OR(AND($C933&lt;&gt;" ",OR($C931=" ",$C932=" ")),AND($C933=" ",OR($C931&lt;&gt;" ",$C932&lt;&gt;" "))))),IF(SUM(F$4:F930)=0,1,LARGE(F$4:F930,1)+1),IF(MONTH(G931)=MONTH(TODAY()),IF(AND(DAY(G931)&lt;DAY(TODAY()),$B931=" "),IF(SUM(F$4:F930)=0,1,LARGE(F$4:F930,1)+1),IF($B931=" ",IF(AND(DAY(G931)=DAY(TODAY()),HOUR(G931)&lt;=HOUR(NOW())+1),IF(AND(HOUR(G931)+2&lt;=HOUR(NOW()),DAY(G931)&lt;=DAY(TODAY()),MINUTE(G931)&lt;=MINUTE(NOW())),IF(SUM(F$4:F930)=0,1,LARGE(F$4:F930,1)+1),IF(OR(MINUTE(G931)&lt;=MINUTE(NOW()),HOUR(G931)&lt;=HOUR(NOW())),"!!!","")),""),"")),"")))</f>
        <v/>
      </c>
      <c r="G931" s="482">
        <v>45016.583333333336</v>
      </c>
      <c r="H931" s="518" t="s">
        <v>309</v>
      </c>
      <c r="I931" s="94" t="s">
        <v>61</v>
      </c>
      <c r="J931" s="176"/>
      <c r="K931" s="96" t="s">
        <v>43</v>
      </c>
      <c r="L931" s="97">
        <v>2.08</v>
      </c>
      <c r="M931" s="98">
        <v>58.58</v>
      </c>
      <c r="N931" s="478">
        <v>0</v>
      </c>
      <c r="O931" s="99">
        <f>IF(OR(AE931="",AE932=""),"",ROUND(IF(L933&gt;0,IF(M931&gt;0,M931,IF(M932&gt;0,ROUND((M932*AE931)/AE932,IF(N931=0,2,IF(N931=0.1,1,0))),ROUND((M933*AE931)/AE933,IF(N931=0,2,IF(N931=0.1,1,0))))),IF(M931&gt;0,M931,ROUND((M932*AE931)/AE932,IF(N931=0,2,IF(N931=0.1,1,0))))),2))</f>
        <v>58.58</v>
      </c>
      <c r="P931" s="100">
        <f>IF(OR(L931="",O931=""),"",IF($C931="1/2W",O931/2+O931/2*L931,IF($C931="1/2L",O931/2,IF(I931="Lay",(O931*(L931/(L931-1))-O931)*(1-_xlfn.XLOOKUP(K931,'Fevereiro 2023 - Valor Real'!A3:A15,'Fevereiro 2023 - Valor Real'!C3:C15,0))+O931,(O931*L931-O931)*(1-_xlfn.XLOOKUP(K931,'Fevereiro 2023 - Valor Real'!A3:A15,'Fevereiro 2023 - Valor Real'!C3:C15,0))+O931))))</f>
        <v>121.8464</v>
      </c>
      <c r="Q931" s="101">
        <f>IF(K931="","",IF(_xlfn.XLOOKUP(K931,K$4:K930,$DJ$4:DJ930,0,,-1)=DJ931,_xlfn.XLOOKUP(K931,K$4:K930,Q$4:Q930,1,,-1)+1,1))</f>
        <v>2</v>
      </c>
      <c r="R931" s="102">
        <f>IF(K931="","",_xlfn.XLOOKUP(K931,K$4:K930,R$4:R930,0,,-1)+IF($C931=" ",1,0))</f>
        <v>0</v>
      </c>
      <c r="S931" s="474">
        <f>IF($B931="Anulado",0,ROUND(IF(OR($B931="LOSS",$B931="OK"),IF(OR($C931="W",$C931="1/2W",$C931="1/2L"),P931-O931,IF($C931="L",-O931,0))+IF(OR($C932="W",$C932="1/2W",$C932="1/2L"),P932-O932,IF($C932="L",-O932,0))+IF(OR($C933="W",$C933="1/2W",$C933="1/2L"),P933-O933,IF($C933="L",-O933,0)),IF(AND(OR($C931="W",$C931="1/2W",$C931="1/2L"),C932="W"),P931+P932-SUM(O931:O933)+_xlfn.XLOOKUP("X",C931:C933,O931:O933,0),IF(AND(C931=TRUE,C933="W"),P931+P933-SUM(O931:O933),IF(AND(C932="W",C933="W"),P932+P933-SUM(O931:O933)+_xlfn.XLOOKUP("X",C931:C933,O931:O933,0),IF(L933&gt;0,IF(OR($C931="W",$C931="1/2W",$C931="1/2L"),P931-SUM(O931:O933)+_xlfn.XLOOKUP("X",C931:C933,O931:O933,0),IF(OR($C931="W",$C931="1/2W",$C931="1/2L"),P932-SUM(O931:O933)+_xlfn.XLOOKUP("X",C931:C933,O931:O933,0),IF(OR($C931="W",$C931="1/2W",$C931="1/2L"),P933-SUM(O931:O933)+_xlfn.XLOOKUP("X",C931:C933,O931:O933,0),IF(SUM(P931:P933)/3-SUM(O931:O933)+_xlfn.XLOOKUP("X",C931:C933,O931:O933,0)&gt;0,SUM(P931:P933)/3-SUM(O931:O933)+_xlfn.XLOOKUP("X",C931:C933,O931:O933,0),LARGE(P931:P933,1)-SUM(O931:O933))))),IF(OR($C931="W",$C931="1/2W",$C931="1/2L"),P931-SUM(O931:O932)+_xlfn.XLOOKUP("X",C931:C933,O931:O933,0),IF(OR($C931="W",$C931="1/2W",$C931="1/2L"),P932-SUM(O931:O932)+_xlfn.XLOOKUP("X",C931:C933,O931:O933,0),SUM(P931:P932)/2-SUM(O931:O932)+_xlfn.XLOOKUP("X",C931:C933,O931:O933,0)))))))),2))</f>
        <v>29.8</v>
      </c>
      <c r="T931" s="458">
        <f>IF(S931=0,0,S931/SUM(O931:O933))</f>
        <v>0.32373709940249867</v>
      </c>
      <c r="U931" s="470">
        <f>IF($D931=$D928,IF(OR($B931="LOSS",$B931="OK",$B931="Anulada"),S931,0)+U928,IF(OR($B931="LOSS",$B931="OK",$B931="Anulada"),S931,0))</f>
        <v>35.15</v>
      </c>
      <c r="V931" s="470">
        <f>IF($D931="",0,IF($D931=$D928,IF($B931=" ",IF(I933="",IF(OR(AND(I931="DNB1",I932="DNB2"),AND(OR(I931="DNB1",I931="DNB2"),J932=0),AND(OR(I932="DNB1",I932="DNB2"),J931=0),AND(I931="DNB2",I932="DNB1"),AND(IF(J931=0,(J931+1)/ROUND(J931+1,0),J931/ROUND(J931,0))=1,IF(J932=0,(J932+1)/ROUND(IF(J932="",0,J932)+1,0),IF(J932="",0,J932)/ROUND(IF(J932="",1,J932),0))=1,OR(J931&lt;&gt;""),J932&lt;&gt;"")),0,IF(S931&lt;0,IF(I933="",SMALL(P931:P932,1)-SUM(O931:O932),0),SMALL(P931:P932,1)-SUM(O931:O932))),IF(S931&lt;0,IF(I933="",SMALL(P931:P933,1)-SUM(O931:O933),0),LARGE(P931:P933,1)-SUM(O931:O933))),S931)+V928,IF(I933="",IF(OR(AND(I931="DNB1",I932="DNB2"),AND(OR(I931="DNB1",I931="DNB2"),J932=0),AND(OR(I932="DNB1",I932="DNB2"),J931=0),AND(I931="DNB2",I932="DNB1"),AND(IF(J931=0,(J931+1)/ROUND(J931+1,0),J931/ROUND(J931,0))=1,IF(J932=0,(IF(J932="",0,J932)+1)/ROUND(IF(J932="",0,J932)+1,0),IF(J932="",0,J932)/ROUND(IF(J932="",0,J932)+1,0))=1,OR(J931&lt;&gt;""),J932&lt;&gt;"")),0,IF(S931&lt;0,IF(I933="",SMALL(P931:P932,1)-SUM(O931:O932),0),SMALL(P931:P933,1)-SUM(O931:O933))),IF(S931&lt;0,IF(I933="",SMALL(P931:P933,1)-SUM(O931:O933),0),LARGE(P931:P933,1)-SUM(O931:O933)))))</f>
        <v>35.152999999999999</v>
      </c>
      <c r="W931" s="470">
        <f>IF($D931=$D928,IF(S931&lt;0,IF(I933="",S931,0),S931)+W928,S931)</f>
        <v>35.15</v>
      </c>
      <c r="X931" s="480" t="str">
        <f>IF(OR(SUM(R931:R933)=0,V931=W931),ROUND(IF(W931=0,0,W931/Y931)*100,2)&amp;"%",ROUND(IF(V931=0,0,V931/Y931)*100,2)&amp;"% a "&amp;ROUND(IF(W931=0,0,W931/Y931)*100,2)&amp;"%")</f>
        <v>16,78%</v>
      </c>
      <c r="Y931" s="471">
        <f>IF($D931=$D928,Y928+SUM(O931:O933),SUM(O931:O933))</f>
        <v>209.44</v>
      </c>
      <c r="Z931" s="470">
        <f>IF($B931=" ",SUM(O931:O933),0)+Z928</f>
        <v>0</v>
      </c>
      <c r="AA931" s="470">
        <f>IF(G931="","",IF($B931="Anulado",LARGE(P931:P933,1)-SUM(O931:O933)+AA928,AA928))</f>
        <v>14.77109999999999</v>
      </c>
      <c r="AB931" s="470">
        <f>IF($D931="","",AB928+S931)</f>
        <v>1060.9500000000012</v>
      </c>
      <c r="AC931" s="472">
        <f ca="1">IF($D931="","",IF($B931=" ",IF(DAY(G931)=DAY(TODAY()),1+AC928,0+AC928),0+AC928))</f>
        <v>0</v>
      </c>
      <c r="AD931" s="103">
        <f>(((L932/(L932-1)-1)*(1-_xlfn.XLOOKUP(K932,'Fevereiro 2023 - Valor Real'!A3:A15,'Fevereiro 2023 - Valor Real'!C3:C15,0))+1))/(((L931-1)*(1-_xlfn.XLOOKUP(K931,'Fevereiro 2023 - Valor Real'!A3:A15,'Fevereiro 2023 - Valor Real'!C3:C15,0))+1)+((L932/(L932-1)-1)*(1-_xlfn.XLOOKUP(K932,'Fevereiro 2023 - Valor Real'!A3:A15,'Fevereiro 2023 - Valor Real'!C3:C15,0))+1))</f>
        <v>0.50668391548081071</v>
      </c>
      <c r="AE931" s="104">
        <f>IF(L931="","",IF(L933&gt;0,(SUM(((L931-1)*(1-_xlfn.XLOOKUP(K931,'Fevereiro 2023 - Valor Real'!A3:A15,'Fevereiro 2023 - Valor Real'!C3:C15,0))+1),((L932-1)*(1-_xlfn.XLOOKUP(K932,'Fevereiro 2023 - Valor Real'!A3:A15,'Fevereiro 2023 - Valor Real'!C3:C15,0))+1),((L933-1)*(1-_xlfn.XLOOKUP(K933,'Fevereiro 2023 - Valor Real'!A3:A15,'Fevereiro 2023 - Valor Real'!C3:C15,0))+1))/((L931-1)*(1-_xlfn.XLOOKUP(K931,'Fevereiro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Real'!C3:C15,0))+1))/((L931-1)*(1-_xlfn.XLOOKUP(K931,'Fevereiro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Real'!C3:C15,0))+1))/((L932-1)*(1-_xlfn.XLOOKUP(K932,'Fevereiro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Real'!C3:C15,0))+1))/((L933-1)*(1-_xlfn.XLOOKUP(K933,'Fevereiro 2023 - Valor Real'!A3:A15,'Fevereiro 2023 - Valor Real'!C3:C15,0))+1)),IF(I931="Lay",IF(I932="Lay",((L932/(L932-1)-1)*(1-_xlfn.XLOOKUP(K932,'Fevereiro 2023 - Valor Real'!A3:A15,'Fevereiro 2023 - Valor Real'!C3:C15,0))+1)/(((L932/(L932-1)-1)*(1-_xlfn.XLOOKUP(K932,'Fevereiro 2023 - Valor Real'!A3:A15,'Fevereiro 2023 - Valor Real'!C3:C15,0))+1)+((L931/(L931-1)-1)*(1-_xlfn.XLOOKUP(K931,'Fevereiro 2023 - Valor Real'!A3:A15,'Fevereiro 2023 - Valor Real'!C3:C15,0))+1)),((L932-1)*(1-_xlfn.XLOOKUP(K932,'Fevereiro 2023 - Valor Real'!A3:A15,'Fevereiro 2023 - Valor Real'!C3:C15,0))+1)/(((L932-1)*(1-_xlfn.XLOOKUP(K932,'Fevereiro 2023 - Valor Real'!A3:A15,'Fevereiro 2023 - Valor Real'!C3:C15,0))+1)+((L931/(L931-1)-1)*(1-_xlfn.XLOOKUP(K931,'Fevereiro 2023 - Valor Real'!A3:A15,'Fevereiro 2023 - Valor Real'!C3:C15,0))+1))),IF(I932="Lay",(((L932/(L932-1)-1)*(1-_xlfn.XLOOKUP(K932,'Fevereiro 2023 - Valor Real'!A3:A15,'Fevereiro 2023 - Valor Real'!C3:C15,0))+1))/(((L931-1)*(1-_xlfn.XLOOKUP(K931,'Fevereiro 2023 - Valor Real'!A3:A15,'Fevereiro 2023 - Valor Real'!C3:C15,0))+1)+((L932/(L932-1)-1)*(1-_xlfn.XLOOKUP(K932,'Fevereiro 2023 - Valor Real'!A3:A15,'Fevereiro 2023 - Valor Real'!C3:C15,0))+1)),((L932-1)*(1-_xlfn.XLOOKUP(K932,'Fevereiro 2023 - Valor Real'!A3:A15,'Fevereiro 2023 - Valor Real'!C3:C15,0))+1)/(((L932-1)*(1-_xlfn.XLOOKUP(K932,'Fevereiro 2023 - Valor Real'!A3:A15,'Fevereiro 2023 - Valor Real'!C3:C15,0))+1)+((L931-1)*(1-_xlfn.XLOOKUP(K931,'Fevereiro 2023 - Valor Real'!A3:A15,'Fevereiro 2023 - Valor Real'!C3:C15,0))+1))))))</f>
        <v>0.47474747474747475</v>
      </c>
      <c r="AF931" s="105">
        <f t="shared" si="1861"/>
        <v>0</v>
      </c>
      <c r="AG931" s="106">
        <f t="shared" si="1861"/>
        <v>0</v>
      </c>
      <c r="AH931" s="106">
        <f t="shared" si="1861"/>
        <v>0</v>
      </c>
      <c r="AI931" s="106">
        <f t="shared" si="1861"/>
        <v>0</v>
      </c>
      <c r="AJ931" s="106">
        <f t="shared" si="1861"/>
        <v>0</v>
      </c>
      <c r="AK931" s="106">
        <f t="shared" si="1861"/>
        <v>0</v>
      </c>
      <c r="AL931" s="106">
        <f t="shared" si="1861"/>
        <v>0</v>
      </c>
      <c r="AM931" s="106">
        <f t="shared" si="1861"/>
        <v>63.27</v>
      </c>
      <c r="AN931" s="106">
        <f t="shared" si="1861"/>
        <v>0</v>
      </c>
      <c r="AO931" s="106">
        <f t="shared" si="1861"/>
        <v>0</v>
      </c>
      <c r="AP931" s="106">
        <f t="shared" si="1861"/>
        <v>0</v>
      </c>
      <c r="AQ931" s="106">
        <f t="shared" si="1861"/>
        <v>0</v>
      </c>
      <c r="AR931" s="107">
        <f t="shared" si="1861"/>
        <v>0</v>
      </c>
      <c r="AS931" s="105">
        <f t="shared" ref="AS931:BE931" si="1872">IF(AND($B931=" ",$K931=AS$3),$O931,0)</f>
        <v>0</v>
      </c>
      <c r="AT931" s="106">
        <f t="shared" si="1872"/>
        <v>0</v>
      </c>
      <c r="AU931" s="106">
        <f t="shared" si="1872"/>
        <v>0</v>
      </c>
      <c r="AV931" s="106">
        <f t="shared" si="1872"/>
        <v>0</v>
      </c>
      <c r="AW931" s="106">
        <f t="shared" si="1872"/>
        <v>0</v>
      </c>
      <c r="AX931" s="106">
        <f t="shared" si="1872"/>
        <v>0</v>
      </c>
      <c r="AY931" s="108">
        <f t="shared" si="1872"/>
        <v>0</v>
      </c>
      <c r="AZ931" s="109">
        <f t="shared" si="1872"/>
        <v>0</v>
      </c>
      <c r="BA931" s="109">
        <f t="shared" si="1872"/>
        <v>0</v>
      </c>
      <c r="BB931" s="109">
        <f t="shared" si="1872"/>
        <v>0</v>
      </c>
      <c r="BC931" s="110">
        <f t="shared" si="1872"/>
        <v>0</v>
      </c>
      <c r="BD931" s="106">
        <f t="shared" si="1872"/>
        <v>0</v>
      </c>
      <c r="BE931" s="107">
        <f t="shared" si="1872"/>
        <v>0</v>
      </c>
      <c r="BF931" s="111">
        <f t="shared" si="1863"/>
        <v>0</v>
      </c>
      <c r="BG931" s="106">
        <f t="shared" si="1863"/>
        <v>0</v>
      </c>
      <c r="BH931" s="106">
        <f t="shared" si="1863"/>
        <v>0</v>
      </c>
      <c r="BI931" s="106">
        <f t="shared" si="1863"/>
        <v>0</v>
      </c>
      <c r="BJ931" s="106">
        <f t="shared" si="1863"/>
        <v>0</v>
      </c>
      <c r="BK931" s="106">
        <f t="shared" si="1863"/>
        <v>0</v>
      </c>
      <c r="BL931" s="106">
        <f t="shared" si="1863"/>
        <v>0</v>
      </c>
      <c r="BM931" s="108">
        <f t="shared" si="1863"/>
        <v>58.58</v>
      </c>
      <c r="BN931" s="109">
        <f t="shared" si="1863"/>
        <v>0</v>
      </c>
      <c r="BO931" s="109">
        <f t="shared" si="1863"/>
        <v>0</v>
      </c>
      <c r="BP931" s="109">
        <f t="shared" si="1863"/>
        <v>0</v>
      </c>
      <c r="BQ931" s="110">
        <f t="shared" si="1863"/>
        <v>0</v>
      </c>
      <c r="BR931" s="107">
        <f t="shared" si="1863"/>
        <v>0</v>
      </c>
      <c r="BS931" s="463">
        <f>IF($B931="LOSS",IF(AND($K931=BS$3,$C931="L"),-$O931,0)+IF(AND($K932=BS$3,$C932="L"),-$O932,0)+IF(AND($K933=BS$3,$C933="L"),-$O933,0),IF(OR(AND($K931=BS$3,OR($C931="W",$C931="1/2W")),AND($K932=BS$3,OR($C932="W",$C932="1/2W")),AND($K933=BS$3,OR($C933="W",$C933="1/2W"))),$S931,0))</f>
        <v>0</v>
      </c>
      <c r="BT931" s="462">
        <f>IF($B931="LOSS",IF(AND($K931=BT$3,$C931="L"),-$O931,0)+IF(AND($K932=BT$3,$C932="L"),-$O932,0)+IF(AND($K932=BT$3,$C933="L"),-$O933,0),IF(OR(AND($K932=BT$3,OR($C931="W",$C931="1/2W")),AND($K932=BT$3,OR($C932="W",$C932="1/2W")),AND($K932=BT$3,OR($C933="W",$C933="1/2W"))),$S931,0))</f>
        <v>0</v>
      </c>
      <c r="BU931" s="462">
        <f>IF($B931="LOSS",IF(AND($K931=BU$3,$C931="L"),-$O931,0)+IF(AND($K932=BU$3,$C932="L"),-$O932,0)+IF(AND($K932=BU$3,$C933="L"),-$O933,0),IF(OR(AND($K932=BU$3,OR($C931="W",$C931="1/2W")),AND($K932=BU$3,OR($C932="W",$C932="1/2W")),AND($K932=BU$3,OR($C933="W",$C933="1/2W"))),$S931,0))</f>
        <v>0</v>
      </c>
      <c r="BV931" s="462">
        <f t="shared" ref="BV931:CE931" si="1873">IF($B931="LOSS",IF(AND($K931=BV$3,$C931="L"),-$O931,0)+IF(AND($K932=BV$3,$C932="L"),-$O932,0)+IF(AND($K933=BV$3,$C933="L"),-$O933,0),IF(OR(AND($K931=BV$3,OR($C931="W",$C931="1/2W")),AND($K932=BV$3,OR($C932="W",$C932="1/2W")),AND($K933=BV$3,OR($C933="W",$C933="1/2W"))),$S931,0))</f>
        <v>0</v>
      </c>
      <c r="BW931" s="462">
        <f t="shared" si="1873"/>
        <v>0</v>
      </c>
      <c r="BX931" s="462">
        <f t="shared" si="1873"/>
        <v>0</v>
      </c>
      <c r="BY931" s="462">
        <f t="shared" si="1873"/>
        <v>0</v>
      </c>
      <c r="BZ931" s="460">
        <f t="shared" si="1873"/>
        <v>29.8</v>
      </c>
      <c r="CA931" s="460">
        <f t="shared" si="1873"/>
        <v>0</v>
      </c>
      <c r="CB931" s="460">
        <f t="shared" si="1873"/>
        <v>0</v>
      </c>
      <c r="CC931" s="460">
        <f t="shared" si="1873"/>
        <v>0</v>
      </c>
      <c r="CD931" s="473">
        <f t="shared" si="1873"/>
        <v>0</v>
      </c>
      <c r="CE931" s="479">
        <f t="shared" si="1873"/>
        <v>0</v>
      </c>
      <c r="CF931" s="113">
        <f t="shared" si="1796"/>
        <v>0</v>
      </c>
      <c r="CG931" s="114">
        <f t="shared" si="1797"/>
        <v>0</v>
      </c>
      <c r="CH931" s="114">
        <f t="shared" si="1798"/>
        <v>0</v>
      </c>
      <c r="CI931" s="114">
        <f t="shared" si="1799"/>
        <v>0</v>
      </c>
      <c r="CJ931" s="114">
        <f t="shared" si="1800"/>
        <v>0</v>
      </c>
      <c r="CK931" s="114">
        <f t="shared" si="1801"/>
        <v>0</v>
      </c>
      <c r="CL931" s="114">
        <f t="shared" si="1802"/>
        <v>0</v>
      </c>
      <c r="CM931" s="114">
        <f t="shared" si="1803"/>
        <v>0</v>
      </c>
      <c r="CN931" s="114">
        <f t="shared" si="1804"/>
        <v>0</v>
      </c>
      <c r="CO931" s="114">
        <f t="shared" si="1805"/>
        <v>0</v>
      </c>
      <c r="CP931" s="114">
        <f t="shared" si="1806"/>
        <v>0</v>
      </c>
      <c r="CQ931" s="114">
        <f t="shared" si="1807"/>
        <v>0</v>
      </c>
      <c r="CR931" s="114">
        <f t="shared" si="1808"/>
        <v>0</v>
      </c>
      <c r="CS931" s="114">
        <f t="shared" si="1809"/>
        <v>0</v>
      </c>
      <c r="CT931" s="115">
        <f t="shared" si="1810"/>
        <v>1</v>
      </c>
      <c r="CU931" s="116">
        <f t="shared" si="1811"/>
        <v>0</v>
      </c>
      <c r="CV931" s="116">
        <f t="shared" si="1812"/>
        <v>0</v>
      </c>
      <c r="CW931" s="116">
        <f t="shared" si="1813"/>
        <v>0</v>
      </c>
      <c r="CX931" s="116">
        <f t="shared" si="1814"/>
        <v>0</v>
      </c>
      <c r="CY931" s="116">
        <f t="shared" si="1815"/>
        <v>0</v>
      </c>
      <c r="CZ931" s="116">
        <f t="shared" si="1816"/>
        <v>0</v>
      </c>
      <c r="DA931" s="116">
        <f t="shared" si="1817"/>
        <v>0</v>
      </c>
      <c r="DB931" s="116">
        <f t="shared" si="1818"/>
        <v>0</v>
      </c>
      <c r="DC931" s="116">
        <f t="shared" si="1819"/>
        <v>0</v>
      </c>
      <c r="DD931" s="116">
        <f t="shared" si="1820"/>
        <v>0</v>
      </c>
      <c r="DE931" s="117">
        <f t="shared" si="1821"/>
        <v>0</v>
      </c>
      <c r="DF931" s="118">
        <f t="shared" si="1824"/>
        <v>57</v>
      </c>
      <c r="DG931" s="106">
        <f t="shared" si="1825"/>
        <v>76.963000000000008</v>
      </c>
      <c r="DH931" s="116">
        <f t="shared" si="1826"/>
        <v>19</v>
      </c>
      <c r="DI931" s="106">
        <f t="shared" si="1827"/>
        <v>81.47</v>
      </c>
      <c r="DJ931" s="201" t="str">
        <f>IF($D931="","",$D931)</f>
        <v>31</v>
      </c>
      <c r="DK931" s="465">
        <f>IF(AND($B931=" ",$D931&lt;&gt;""),1,0)</f>
        <v>0</v>
      </c>
    </row>
    <row r="932" spans="1:115" ht="14.5" customHeight="1" x14ac:dyDescent="0.2">
      <c r="A932" s="389"/>
      <c r="B932" s="456"/>
      <c r="C932" s="120" t="s">
        <v>55</v>
      </c>
      <c r="D932" s="374"/>
      <c r="E932" s="386"/>
      <c r="F932" s="377"/>
      <c r="G932" s="483"/>
      <c r="H932" s="476"/>
      <c r="I932" s="121" t="s">
        <v>66</v>
      </c>
      <c r="J932" s="122">
        <v>0.5</v>
      </c>
      <c r="K932" s="123" t="s">
        <v>40</v>
      </c>
      <c r="L932" s="124">
        <v>1.88</v>
      </c>
      <c r="M932" s="125">
        <v>33.47</v>
      </c>
      <c r="N932" s="406"/>
      <c r="O932" s="126">
        <f>IF(OR(AE931="",AE932=""),"",ROUND(IF(L933&gt;0,IF(M932&gt;0,M932,IF(M931&gt;0,IF(N931=TRUE,ROUND((M931*AE932)/AE931,0),(M931*AE932)/AE931),IF(M932&gt;0,ROUND(M932,IF(N931=0,2,IF(N931=0.1,1,0))),IF(M933&gt;0,ROUND(O933*AE932/AE933,IF(N931=0,2,IF(N931=0.1,1,0))),0)))),IF(M932&gt;0,M932,ROUND((M931*AE932)/AE931,IF(N931=0,2,IF(N931=0.1,1,0))))),2))</f>
        <v>33.47</v>
      </c>
      <c r="P932" s="127">
        <f>IF(OR(L932="",O932=""),"",IF($C932="1/2W",O932/2+O932/2*L932,IF($C932="1/2L",O932/2,IF(I932="Lay",((O932*(L932/(L932-1)))-O932)*(1-_xlfn.XLOOKUP(K932,'Fevereiro 2023 - Valor Real'!A3:A15,'Fevereiro 2023 - Valor Real'!C3:C15,0))+O932,(O932*L932-O932)*(1-_xlfn.XLOOKUP(K932,'Fevereiro 2023 - Valor Real'!A3:A15,'Fevereiro 2023 - Valor Real'!C3:C15,0))+O932))))</f>
        <v>62.923599999999993</v>
      </c>
      <c r="Q932" s="128">
        <f>IF(K932="","",IF(_xlfn.XLOOKUP(K932,K$4:K931,$DJ$4:DJ931,0,,-1)=DJ932,_xlfn.XLOOKUP(K932,K$4:K931,Q$4:Q931,1,,-1)+1,1))</f>
        <v>6</v>
      </c>
      <c r="R932" s="129">
        <f>IF(K932="","",_xlfn.XLOOKUP(K932,K$4:K931,R$4:R931,0,,-1)+IF($C932=" ",1,0))</f>
        <v>0</v>
      </c>
      <c r="S932" s="403"/>
      <c r="T932" s="380"/>
      <c r="U932" s="380"/>
      <c r="V932" s="481"/>
      <c r="W932" s="380"/>
      <c r="X932" s="452"/>
      <c r="Y932" s="383"/>
      <c r="Z932" s="384"/>
      <c r="AA932" s="384"/>
      <c r="AB932" s="384"/>
      <c r="AC932" s="384"/>
      <c r="AD932" s="130">
        <f>(((L932/(L932-1)-1)*(1-_xlfn.XLOOKUP(K932,'Fevereiro 2023 - Valor Real'!A3:A15,'Fevereiro 2023 - Valor Real'!C3:C15,0))+1))</f>
        <v>2.1363636363636367</v>
      </c>
      <c r="AE932" s="131">
        <f>IF(L932="","",IF(L933&gt;0,(SUM(((L931-1)*(1-_xlfn.XLOOKUP(K931,'Fevereiro 2023 - Valor Real'!A3:A15,'Fevereiro 2023 - Valor Real'!C3:C15,0))+1),((L932-1)*(1-_xlfn.XLOOKUP(K932,'Fevereiro 2023 - Valor Real'!A3:A15,'Fevereiro 2023 - Valor Real'!C3:C15,0))+1),((L933-1)*(1-_xlfn.XLOOKUP(K933,'Fevereiro 2023 - Valor Real'!A3:A15,'Fevereiro 2023 - Valor Real'!C3:C15,0))+1))/((L932-1)*(1-_xlfn.XLOOKUP(K932,'Fevereiro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Real'!C3:C15,0))+1))/((L931-1)*(1-_xlfn.XLOOKUP(K931,'Fevereiro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Real'!C3:C15,0))+1))/((L932-1)*(1-_xlfn.XLOOKUP(K932,'Fevereiro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Real'!C3:C15,0))+1))/((L933-1)*(1-_xlfn.XLOOKUP(K933,'Fevereiro 2023 - Valor Real'!A3:A15,'Fevereiro 2023 - Valor Real'!C3:C15,0))+1)),IF(I932="Lay",IF(I931="Lay",((L931/(L931-1)-1)*(1-_xlfn.XLOOKUP(K931,'Fevereiro 2023 - Valor Real'!A3:A15,'Fevereiro 2023 - Valor Real'!C3:C15,0))+1)/(((L931/(L931-1)-1)*(1-_xlfn.XLOOKUP(K931,'Fevereiro 2023 - Valor Real'!A3:A15,'Fevereiro 2023 - Valor Real'!C3:C15,0))+1)+((L932/(L932-1)-1)*(1-_xlfn.XLOOKUP(K932,'Fevereiro 2023 - Valor Real'!A3:A15,'Fevereiro 2023 - Valor Real'!C3:C15,0))+1)),((L931-1)*(1-_xlfn.XLOOKUP(K931,'Fevereiro 2023 - Valor Real'!A3:A15,'Fevereiro 2023 - Valor Real'!C3:C15,0))+1)/(((L931-1)*(1-_xlfn.XLOOKUP(K931,'Fevereiro 2023 - Valor Real'!A3:A15,'Fevereiro 2023 - Valor Real'!C3:C15,0))+1)+((L932/(L932-1)-1)*(1-_xlfn.XLOOKUP(K932,'Fevereiro 2023 - Valor Real'!A3:A15,'Fevereiro 2023 - Valor Real'!C3:C15,0))+1))),IF(I931="Lay",((L931/(L931-1)-1)*(1-_xlfn.XLOOKUP(K931,'Fevereiro 2023 - Valor Real'!A3:A15,'Fevereiro 2023 - Valor Real'!C3:C15,0))+1)/((((L931/(L931-1)-1)*(1-_xlfn.XLOOKUP(K931,'Fevereiro 2023 - Valor Real'!A3:A15,'Fevereiro 2023 - Valor Real'!C3:C15,0))+1))+((L932-1)*(1-_xlfn.XLOOKUP(K932,'Fevereiro 2023 - Valor Real'!A3:A15,'Fevereiro 2023 - Valor Real'!C3:C15,0))+1)),((L931-1)*(1-_xlfn.XLOOKUP(K931,'Fevereiro 2023 - Valor Real'!A3:A15,'Fevereiro 2023 - Valor Real'!C3:C15,0))+1)/(((L931-1)*(1-_xlfn.XLOOKUP(K931,'Fevereiro 2023 - Valor Real'!A3:A15,'Fevereiro 2023 - Valor Real'!C3:C15,0))+1)+((L932-1)*(1-_xlfn.XLOOKUP(K932,'Fevereiro 2023 - Valor Real'!A3:A15,'Fevereiro 2023 - Valor Real'!C3:C15,0))+1))))))</f>
        <v>0.5252525252525253</v>
      </c>
      <c r="AF932" s="105">
        <f t="shared" si="1861"/>
        <v>0</v>
      </c>
      <c r="AG932" s="106">
        <f t="shared" si="1861"/>
        <v>0</v>
      </c>
      <c r="AH932" s="106">
        <f t="shared" si="1861"/>
        <v>0</v>
      </c>
      <c r="AI932" s="106">
        <f t="shared" si="1861"/>
        <v>0</v>
      </c>
      <c r="AJ932" s="106">
        <f t="shared" si="1861"/>
        <v>-33.47</v>
      </c>
      <c r="AK932" s="106">
        <f t="shared" si="1861"/>
        <v>0</v>
      </c>
      <c r="AL932" s="106">
        <f t="shared" si="1861"/>
        <v>0</v>
      </c>
      <c r="AM932" s="106">
        <f t="shared" si="1861"/>
        <v>0</v>
      </c>
      <c r="AN932" s="106">
        <f t="shared" si="1861"/>
        <v>0</v>
      </c>
      <c r="AO932" s="106">
        <f t="shared" si="1861"/>
        <v>0</v>
      </c>
      <c r="AP932" s="106">
        <f t="shared" si="1861"/>
        <v>0</v>
      </c>
      <c r="AQ932" s="106">
        <f t="shared" si="1861"/>
        <v>0</v>
      </c>
      <c r="AR932" s="107">
        <f t="shared" si="1861"/>
        <v>0</v>
      </c>
      <c r="AS932" s="105">
        <f>IF(AND($B931=" ",$K932=AS$3),$O932,0)</f>
        <v>0</v>
      </c>
      <c r="AT932" s="106">
        <f>IF(AND($B931=" ",K932=AT$3),$O932,0)</f>
        <v>0</v>
      </c>
      <c r="AU932" s="106">
        <f t="shared" ref="AU932:BE932" si="1874">IF(AND($B931=" ",$K932=AU$3),$O932,0)</f>
        <v>0</v>
      </c>
      <c r="AV932" s="106">
        <f t="shared" si="1874"/>
        <v>0</v>
      </c>
      <c r="AW932" s="106">
        <f t="shared" si="1874"/>
        <v>0</v>
      </c>
      <c r="AX932" s="106">
        <f t="shared" si="1874"/>
        <v>0</v>
      </c>
      <c r="AY932" s="108">
        <f t="shared" si="1874"/>
        <v>0</v>
      </c>
      <c r="AZ932" s="109">
        <f t="shared" si="1874"/>
        <v>0</v>
      </c>
      <c r="BA932" s="109">
        <f t="shared" si="1874"/>
        <v>0</v>
      </c>
      <c r="BB932" s="109">
        <f t="shared" si="1874"/>
        <v>0</v>
      </c>
      <c r="BC932" s="110">
        <f t="shared" si="1874"/>
        <v>0</v>
      </c>
      <c r="BD932" s="106">
        <f t="shared" si="1874"/>
        <v>0</v>
      </c>
      <c r="BE932" s="107">
        <f t="shared" si="1874"/>
        <v>0</v>
      </c>
      <c r="BF932" s="105">
        <f t="shared" si="1863"/>
        <v>0</v>
      </c>
      <c r="BG932" s="106">
        <f t="shared" si="1863"/>
        <v>0</v>
      </c>
      <c r="BH932" s="106">
        <f t="shared" si="1863"/>
        <v>0</v>
      </c>
      <c r="BI932" s="106">
        <f t="shared" si="1863"/>
        <v>0</v>
      </c>
      <c r="BJ932" s="106">
        <f t="shared" si="1863"/>
        <v>33.47</v>
      </c>
      <c r="BK932" s="106">
        <f t="shared" si="1863"/>
        <v>0</v>
      </c>
      <c r="BL932" s="106">
        <f t="shared" si="1863"/>
        <v>0</v>
      </c>
      <c r="BM932" s="132">
        <f t="shared" si="1863"/>
        <v>0</v>
      </c>
      <c r="BN932" s="112">
        <f t="shared" si="1863"/>
        <v>0</v>
      </c>
      <c r="BO932" s="112">
        <f t="shared" si="1863"/>
        <v>0</v>
      </c>
      <c r="BP932" s="112">
        <f t="shared" si="1863"/>
        <v>0</v>
      </c>
      <c r="BQ932" s="110">
        <f t="shared" si="1863"/>
        <v>0</v>
      </c>
      <c r="BR932" s="107">
        <f t="shared" si="1863"/>
        <v>0</v>
      </c>
      <c r="BS932" s="464"/>
      <c r="BT932" s="461"/>
      <c r="BU932" s="392"/>
      <c r="BV932" s="461"/>
      <c r="BW932" s="392"/>
      <c r="BX932" s="392"/>
      <c r="BY932" s="392"/>
      <c r="BZ932" s="461"/>
      <c r="CA932" s="392"/>
      <c r="CB932" s="392"/>
      <c r="CC932" s="392"/>
      <c r="CD932" s="401"/>
      <c r="CE932" s="409"/>
      <c r="CF932" s="133">
        <f t="shared" si="1796"/>
        <v>0</v>
      </c>
      <c r="CG932" s="134">
        <f t="shared" si="1797"/>
        <v>0</v>
      </c>
      <c r="CH932" s="134">
        <f t="shared" si="1798"/>
        <v>0</v>
      </c>
      <c r="CI932" s="134">
        <f t="shared" si="1799"/>
        <v>0</v>
      </c>
      <c r="CJ932" s="134">
        <f t="shared" si="1800"/>
        <v>0</v>
      </c>
      <c r="CK932" s="134">
        <f t="shared" si="1801"/>
        <v>0</v>
      </c>
      <c r="CL932" s="134">
        <f t="shared" si="1802"/>
        <v>0</v>
      </c>
      <c r="CM932" s="134">
        <f t="shared" si="1803"/>
        <v>0</v>
      </c>
      <c r="CN932" s="134">
        <f t="shared" si="1804"/>
        <v>0</v>
      </c>
      <c r="CO932" s="134">
        <f t="shared" si="1805"/>
        <v>1</v>
      </c>
      <c r="CP932" s="134">
        <f t="shared" si="1806"/>
        <v>0</v>
      </c>
      <c r="CQ932" s="134">
        <f t="shared" si="1807"/>
        <v>0</v>
      </c>
      <c r="CR932" s="134">
        <f t="shared" si="1808"/>
        <v>0</v>
      </c>
      <c r="CS932" s="134">
        <f t="shared" si="1809"/>
        <v>0</v>
      </c>
      <c r="CT932" s="115">
        <f t="shared" si="1810"/>
        <v>0</v>
      </c>
      <c r="CU932" s="116">
        <f t="shared" si="1811"/>
        <v>0</v>
      </c>
      <c r="CV932" s="116">
        <f t="shared" si="1812"/>
        <v>0</v>
      </c>
      <c r="CW932" s="116">
        <f t="shared" si="1813"/>
        <v>0</v>
      </c>
      <c r="CX932" s="116">
        <f t="shared" si="1814"/>
        <v>0</v>
      </c>
      <c r="CY932" s="116">
        <f t="shared" si="1815"/>
        <v>0</v>
      </c>
      <c r="CZ932" s="116">
        <f t="shared" si="1816"/>
        <v>0</v>
      </c>
      <c r="DA932" s="116">
        <f t="shared" si="1817"/>
        <v>0</v>
      </c>
      <c r="DB932" s="116">
        <f t="shared" si="1818"/>
        <v>0</v>
      </c>
      <c r="DC932" s="116">
        <f t="shared" si="1819"/>
        <v>0</v>
      </c>
      <c r="DD932" s="116">
        <f t="shared" si="1820"/>
        <v>0</v>
      </c>
      <c r="DE932" s="117">
        <f t="shared" si="1821"/>
        <v>0</v>
      </c>
      <c r="DF932" s="118">
        <f t="shared" si="1824"/>
        <v>57</v>
      </c>
      <c r="DG932" s="106">
        <f t="shared" si="1825"/>
        <v>76.963000000000008</v>
      </c>
      <c r="DH932" s="116">
        <f t="shared" si="1826"/>
        <v>19</v>
      </c>
      <c r="DI932" s="106">
        <f t="shared" si="1827"/>
        <v>81.47</v>
      </c>
      <c r="DJ932" s="201" t="str">
        <f>IF($D931="","",$D931)</f>
        <v>31</v>
      </c>
      <c r="DK932" s="466"/>
    </row>
    <row r="933" spans="1:115" ht="14.5" customHeight="1" x14ac:dyDescent="0.2">
      <c r="A933" s="390"/>
      <c r="B933" s="457"/>
      <c r="C933" s="135" t="s">
        <v>53</v>
      </c>
      <c r="D933" s="375"/>
      <c r="E933" s="387"/>
      <c r="F933" s="378"/>
      <c r="G933" s="484"/>
      <c r="H933" s="477"/>
      <c r="I933" s="136"/>
      <c r="J933" s="137"/>
      <c r="K933" s="138"/>
      <c r="L933" s="139"/>
      <c r="M933" s="140"/>
      <c r="N933" s="407"/>
      <c r="O933" s="141" t="str">
        <f>IF(OR(AE931="",AE932=""),"",IF(L933&gt;0,ROUND(IF(M933&gt;0,M933,IF(M931&gt;0,ROUND((M931*AE933)/AE931,IF(N931=0,2,IF(N931=0.1,1,0))),IF(M932&gt;0,ROUND((M932*AE933)/AE932,IF(N931=0,2,IF(N931=0.1,1,0))),IF(M933&gt;0,M933,0)))),2),""))</f>
        <v/>
      </c>
      <c r="P933" s="142" t="str">
        <f>IF(I932="Lay",O932*(L932/(L932-1))-O932,IF(I931="Lay",O931*(L931/(L931-1))-O931,IF(OR(L933="",O933=""),"",IF($C933="1/2W",O933/2+O933/2*L933,IF($C933="1/2L",O933/2,(O933*L933-O933)*(1-_xlfn.XLOOKUP(K933,'Fevereiro 2023 - Valor Real'!A3:A15,'Fevereiro 2023 - Valor Real'!C3:C15,0))+O933)))))</f>
        <v/>
      </c>
      <c r="Q933" s="221" t="str">
        <f>IF(K933="","",IF(_xlfn.XLOOKUP(K933,K$4:K932,$DJ$4:DJ932,0,,-1)=DJ933,_xlfn.XLOOKUP(K933,K$4:K932,Q$4:Q932,1,,-1)+1,1))</f>
        <v/>
      </c>
      <c r="R933" s="144" t="str">
        <f>IF(K933="","",_xlfn.XLOOKUP(K933,K$4:K932,R$4:R932,0,,-1)+IF($C933=" ",1,0))</f>
        <v/>
      </c>
      <c r="S933" s="404"/>
      <c r="T933" s="378"/>
      <c r="U933" s="378"/>
      <c r="V933" s="404"/>
      <c r="W933" s="378"/>
      <c r="X933" s="453"/>
      <c r="Y933" s="383"/>
      <c r="Z933" s="384"/>
      <c r="AA933" s="384"/>
      <c r="AB933" s="384"/>
      <c r="AC933" s="384"/>
      <c r="AD933" s="145">
        <f>((L932/(L932-1)-1))</f>
        <v>1.1363636363636367</v>
      </c>
      <c r="AE933" s="146" t="str">
        <f>IF(L933="","",(SUM(((L931-1)*(1-_xlfn.XLOOKUP(K931,'Fevereiro 2023 - Valor Real'!A3:A15,'Fevereiro 2023 - Valor Real'!C3:C15,0))+1),((L932-1)*(1-_xlfn.XLOOKUP(K932,'Fevereiro 2023 - Valor Real'!A3:A15,'Fevereiro 2023 - Valor Real'!C3:C15,0))+1),((L933-1)*(1-_xlfn.XLOOKUP(K933,'Fevereiro 2023 - Valor Real'!A3:A15,'Fevereiro 2023 - Valor Real'!C3:C15,0))+1))/((L933-1)*(1-_xlfn.XLOOKUP(K933,'Fevereiro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Real'!C3:C15,0))+1))/((L931-1)*(1-_xlfn.XLOOKUP(K931,'Fevereiro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Real'!C3:C15,0))+1))/((L932-1)*(1-_xlfn.XLOOKUP(K932,'Fevereiro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Real'!C3:C15,0))+1))/((L933-1)*(1-_xlfn.XLOOKUP(K933,'Fevereiro 2023 - Valor Real'!A3:A15,'Fevereiro 2023 - Valor Real'!C3:C15,0))+1)))</f>
        <v/>
      </c>
      <c r="AF933" s="105">
        <f t="shared" si="1861"/>
        <v>0</v>
      </c>
      <c r="AG933" s="106">
        <f t="shared" si="1861"/>
        <v>0</v>
      </c>
      <c r="AH933" s="106">
        <f t="shared" si="1861"/>
        <v>0</v>
      </c>
      <c r="AI933" s="106">
        <f t="shared" si="1861"/>
        <v>0</v>
      </c>
      <c r="AJ933" s="106">
        <f t="shared" si="1861"/>
        <v>0</v>
      </c>
      <c r="AK933" s="106">
        <f t="shared" si="1861"/>
        <v>0</v>
      </c>
      <c r="AL933" s="106">
        <f t="shared" si="1861"/>
        <v>0</v>
      </c>
      <c r="AM933" s="106">
        <f t="shared" si="1861"/>
        <v>0</v>
      </c>
      <c r="AN933" s="106">
        <f t="shared" si="1861"/>
        <v>0</v>
      </c>
      <c r="AO933" s="106">
        <f t="shared" si="1861"/>
        <v>0</v>
      </c>
      <c r="AP933" s="106">
        <f t="shared" si="1861"/>
        <v>0</v>
      </c>
      <c r="AQ933" s="106">
        <f t="shared" si="1861"/>
        <v>0</v>
      </c>
      <c r="AR933" s="107">
        <f t="shared" si="1861"/>
        <v>0</v>
      </c>
      <c r="AS933" s="105">
        <f>IF(AND($B931=" ",$K933=AS$3),$O933,0)</f>
        <v>0</v>
      </c>
      <c r="AT933" s="106">
        <f>IF(AND($B931=" ",K933=AT$3),$O933,0)</f>
        <v>0</v>
      </c>
      <c r="AU933" s="106">
        <f t="shared" ref="AU933:BE933" si="1875">IF(AND($B931=" ",$K933=AU$3),$O933,0)</f>
        <v>0</v>
      </c>
      <c r="AV933" s="106">
        <f t="shared" si="1875"/>
        <v>0</v>
      </c>
      <c r="AW933" s="106">
        <f t="shared" si="1875"/>
        <v>0</v>
      </c>
      <c r="AX933" s="106">
        <f t="shared" si="1875"/>
        <v>0</v>
      </c>
      <c r="AY933" s="108">
        <f t="shared" si="1875"/>
        <v>0</v>
      </c>
      <c r="AZ933" s="109">
        <f t="shared" si="1875"/>
        <v>0</v>
      </c>
      <c r="BA933" s="109">
        <f t="shared" si="1875"/>
        <v>0</v>
      </c>
      <c r="BB933" s="109">
        <f t="shared" si="1875"/>
        <v>0</v>
      </c>
      <c r="BC933" s="110">
        <f t="shared" si="1875"/>
        <v>0</v>
      </c>
      <c r="BD933" s="106">
        <f t="shared" si="1875"/>
        <v>0</v>
      </c>
      <c r="BE933" s="107">
        <f t="shared" si="1875"/>
        <v>0</v>
      </c>
      <c r="BF933" s="105">
        <f t="shared" si="1863"/>
        <v>0</v>
      </c>
      <c r="BG933" s="106">
        <f t="shared" si="1863"/>
        <v>0</v>
      </c>
      <c r="BH933" s="106">
        <f t="shared" si="1863"/>
        <v>0</v>
      </c>
      <c r="BI933" s="106">
        <f t="shared" si="1863"/>
        <v>0</v>
      </c>
      <c r="BJ933" s="106">
        <f t="shared" si="1863"/>
        <v>0</v>
      </c>
      <c r="BK933" s="106">
        <f t="shared" si="1863"/>
        <v>0</v>
      </c>
      <c r="BL933" s="106">
        <f t="shared" si="1863"/>
        <v>0</v>
      </c>
      <c r="BM933" s="108">
        <f t="shared" si="1863"/>
        <v>0</v>
      </c>
      <c r="BN933" s="109">
        <f t="shared" si="1863"/>
        <v>0</v>
      </c>
      <c r="BO933" s="109">
        <f t="shared" si="1863"/>
        <v>0</v>
      </c>
      <c r="BP933" s="109">
        <f t="shared" si="1863"/>
        <v>0</v>
      </c>
      <c r="BQ933" s="110">
        <f t="shared" si="1863"/>
        <v>0</v>
      </c>
      <c r="BR933" s="107">
        <f t="shared" si="1863"/>
        <v>0</v>
      </c>
      <c r="BS933" s="464"/>
      <c r="BT933" s="461"/>
      <c r="BU933" s="392"/>
      <c r="BV933" s="461"/>
      <c r="BW933" s="392"/>
      <c r="BX933" s="392"/>
      <c r="BY933" s="392"/>
      <c r="BZ933" s="461"/>
      <c r="CA933" s="392"/>
      <c r="CB933" s="392"/>
      <c r="CC933" s="392"/>
      <c r="CD933" s="401"/>
      <c r="CE933" s="409"/>
      <c r="CF933" s="133">
        <f t="shared" si="1796"/>
        <v>0</v>
      </c>
      <c r="CG933" s="134">
        <f t="shared" si="1797"/>
        <v>0</v>
      </c>
      <c r="CH933" s="134">
        <f t="shared" si="1798"/>
        <v>0</v>
      </c>
      <c r="CI933" s="134">
        <f t="shared" si="1799"/>
        <v>0</v>
      </c>
      <c r="CJ933" s="134">
        <f t="shared" si="1800"/>
        <v>0</v>
      </c>
      <c r="CK933" s="134">
        <f t="shared" si="1801"/>
        <v>0</v>
      </c>
      <c r="CL933" s="134">
        <f t="shared" si="1802"/>
        <v>0</v>
      </c>
      <c r="CM933" s="134">
        <f t="shared" si="1803"/>
        <v>0</v>
      </c>
      <c r="CN933" s="134">
        <f t="shared" si="1804"/>
        <v>0</v>
      </c>
      <c r="CO933" s="134">
        <f t="shared" si="1805"/>
        <v>0</v>
      </c>
      <c r="CP933" s="134">
        <f t="shared" si="1806"/>
        <v>0</v>
      </c>
      <c r="CQ933" s="134">
        <f t="shared" si="1807"/>
        <v>0</v>
      </c>
      <c r="CR933" s="134">
        <f t="shared" si="1808"/>
        <v>0</v>
      </c>
      <c r="CS933" s="134">
        <f t="shared" si="1809"/>
        <v>0</v>
      </c>
      <c r="CT933" s="115">
        <f t="shared" si="1810"/>
        <v>0</v>
      </c>
      <c r="CU933" s="116">
        <f t="shared" si="1811"/>
        <v>0</v>
      </c>
      <c r="CV933" s="116">
        <f t="shared" si="1812"/>
        <v>0</v>
      </c>
      <c r="CW933" s="116">
        <f t="shared" si="1813"/>
        <v>0</v>
      </c>
      <c r="CX933" s="116">
        <f t="shared" si="1814"/>
        <v>0</v>
      </c>
      <c r="CY933" s="116">
        <f t="shared" si="1815"/>
        <v>0</v>
      </c>
      <c r="CZ933" s="116">
        <f t="shared" si="1816"/>
        <v>0</v>
      </c>
      <c r="DA933" s="116">
        <f t="shared" si="1817"/>
        <v>0</v>
      </c>
      <c r="DB933" s="116">
        <f t="shared" si="1818"/>
        <v>0</v>
      </c>
      <c r="DC933" s="116">
        <f t="shared" si="1819"/>
        <v>0</v>
      </c>
      <c r="DD933" s="116">
        <f t="shared" si="1820"/>
        <v>0</v>
      </c>
      <c r="DE933" s="117">
        <f t="shared" si="1821"/>
        <v>0</v>
      </c>
      <c r="DF933" s="118">
        <f t="shared" si="1824"/>
        <v>57</v>
      </c>
      <c r="DG933" s="106">
        <f t="shared" si="1825"/>
        <v>76.963000000000008</v>
      </c>
      <c r="DH933" s="116">
        <f t="shared" si="1826"/>
        <v>19</v>
      </c>
      <c r="DI933" s="106">
        <f t="shared" si="1827"/>
        <v>81.47</v>
      </c>
      <c r="DJ933" s="201" t="str">
        <f>IF($D931="","",$D931)</f>
        <v>31</v>
      </c>
      <c r="DK933" s="466"/>
    </row>
    <row r="934" spans="1:115" ht="14.5" customHeight="1" x14ac:dyDescent="0.2">
      <c r="A934" s="487">
        <f>$A931+1</f>
        <v>311</v>
      </c>
      <c r="B934" s="506" t="str">
        <f>IF(OR(C934="W",C935="W",C936="W",C934="1/2W",C935="1/2W",C936="1/2W",C934="1/2L",C935="1/2L",C936="1/2L"),"OK",IF(OR(C934="L",C935="L",C936="L"),"LOSS",IF(OR(C934="X",C935="X",C936="X"),"Anulado"," ")))</f>
        <v>OK</v>
      </c>
      <c r="C934" s="147" t="s">
        <v>55</v>
      </c>
      <c r="D934" s="494" t="str">
        <f>IF(G934="","",$D931)</f>
        <v>31</v>
      </c>
      <c r="E934" s="511" t="str">
        <f>IF(G934=""," ","– "&amp;COUNTIF(D$4:D936,$D934))</f>
        <v>– 7</v>
      </c>
      <c r="F934" s="510" t="str">
        <f ca="1">IF(G934="","",IF(OR(AND($C934&lt;&gt;" ",$C935=" "),AND($C935&lt;&gt;" ",$C934=" "),AND(L936&gt;0,OR(AND($C936&lt;&gt;" ",OR($C934=" ",$C935=" ")),AND($C936=" ",OR($C934&lt;&gt;" ",$C935&lt;&gt;" "))))),IF(SUM(F$4:F933)=0,1,LARGE(F$4:F933,1)+1),IF(MONTH(G934)=MONTH(TODAY()),IF(AND(DAY(G934)&lt;DAY(TODAY()),$B934=" "),IF(SUM(F$4:F933)=0,1,LARGE(F$4:F933,1)+1),IF($B934=" ",IF(AND(DAY(G934)=DAY(TODAY()),HOUR(G934)&lt;=HOUR(NOW())+1),IF(AND(HOUR(G934)+2&lt;=HOUR(NOW()),DAY(G934)&lt;=DAY(TODAY()),MINUTE(G934)&lt;=MINUTE(NOW())),IF(SUM(F$4:F933)=0,1,LARGE(F$4:F933,1)+1),IF(OR(MINUTE(G934)&lt;=MINUTE(NOW()),HOUR(G934)&lt;=HOUR(NOW())),"!!!","")),""),"")),"")))</f>
        <v/>
      </c>
      <c r="G934" s="517">
        <f>IF(H934="","",_xlfn.XLOOKUP(H934,$H$4:H933,$G$4:G933,""))</f>
        <v>45016.583333333336</v>
      </c>
      <c r="H934" s="516" t="s">
        <v>309</v>
      </c>
      <c r="I934" s="249">
        <v>1</v>
      </c>
      <c r="J934" s="241"/>
      <c r="K934" s="224" t="s">
        <v>40</v>
      </c>
      <c r="L934" s="225">
        <v>2.36</v>
      </c>
      <c r="M934" s="226">
        <v>3.04</v>
      </c>
      <c r="N934" s="503">
        <v>0</v>
      </c>
      <c r="O934" s="153">
        <f>IF(OR(AE934="",AE935=""),"",ROUND(IF(L936&gt;0,IF(M934&gt;0,M934,IF(M935&gt;0,ROUND((M935*AE934)/AE935,IF(N934=0,2,IF(N934=0.1,1,0))),ROUND((M936*AE934)/AE936,IF(N934=0,2,IF(N934=0.1,1,0))))),IF(M934&gt;0,M934,ROUND((M935*AE934)/AE935,IF(N934=0,2,IF(N934=0.1,1,0))))),2))</f>
        <v>3.04</v>
      </c>
      <c r="P934" s="227">
        <f>IF(OR(L934="",O934=""),"",IF($C934="1/2W",O934/2+O934/2*L934,IF($C934="1/2L",O934/2,IF(I934="Lay",(O934*(L934/(L934-1))-O934)*(1-_xlfn.XLOOKUP(K934,'Fevereiro 2023 - Valor Real'!A3:A15,'Fevereiro 2023 - Valor Real'!C3:C15,0))+O934,(O934*L934-O934)*(1-_xlfn.XLOOKUP(K934,'Fevereiro 2023 - Valor Real'!A3:A15,'Fevereiro 2023 - Valor Real'!C3:C15,0))+O934))))</f>
        <v>7.1743999999999994</v>
      </c>
      <c r="Q934" s="228">
        <f>IF(K934="","",IF(_xlfn.XLOOKUP(K934,K$4:K933,$DJ$4:DJ933,0,,-1)=DJ934,_xlfn.XLOOKUP(K934,K$4:K933,Q$4:Q933,1,,-1)+1,1))</f>
        <v>7</v>
      </c>
      <c r="R934" s="229">
        <f>IF(K934="","",_xlfn.XLOOKUP(K934,K$4:K933,R$4:R933,0,,-1)+IF($C934=" ",1,0))</f>
        <v>0</v>
      </c>
      <c r="S934" s="501">
        <f>IF($B934="Anulado",0,ROUND(IF(OR($B934="LOSS",$B934="OK"),IF(OR($C934="W",$C934="1/2W",$C934="1/2L"),P934-O934,IF($C934="L",-O934,0))+IF(OR($C935="W",$C935="1/2W",$C935="1/2L"),P935-O935,IF($C935="L",-O935,0))+IF(OR($C936="W",$C936="1/2W",$C936="1/2L"),P936-O936,IF($C936="L",-O936,0)),IF(AND(OR($C934="W",$C934="1/2W",$C934="1/2L"),C935="W"),P934+P935-SUM(O934:O936)+_xlfn.XLOOKUP("X",C934:C936,O934:O936,0),IF(AND(C934=TRUE,C936="W"),P934+P936-SUM(O934:O936),IF(AND(C935="W",C936="W"),P935+P936-SUM(O934:O936)+_xlfn.XLOOKUP("X",C934:C936,O934:O936,0),IF(L936&gt;0,IF(OR($C934="W",$C934="1/2W",$C934="1/2L"),P934-SUM(O934:O936)+_xlfn.XLOOKUP("X",C934:C936,O934:O936,0),IF(OR($C934="W",$C934="1/2W",$C934="1/2L"),P935-SUM(O934:O936)+_xlfn.XLOOKUP("X",C934:C936,O934:O936,0),IF(OR($C934="W",$C934="1/2W",$C934="1/2L"),P936-SUM(O934:O936)+_xlfn.XLOOKUP("X",C934:C936,O934:O936,0),IF(SUM(P934:P936)/3-SUM(O934:O936)+_xlfn.XLOOKUP("X",C934:C936,O934:O936,0)&gt;0,SUM(P934:P936)/3-SUM(O934:O936)+_xlfn.XLOOKUP("X",C934:C936,O934:O936,0),LARGE(P934:P936,1)-SUM(O934:O936))))),IF(OR($C934="W",$C934="1/2W",$C934="1/2L"),P934-SUM(O934:O935)+_xlfn.XLOOKUP("X",C934:C936,O934:O936,0),IF(OR($C934="W",$C934="1/2W",$C934="1/2L"),P935-SUM(O934:O935)+_xlfn.XLOOKUP("X",C934:C936,O934:O936,0),SUM(P934:P935)/2-SUM(O934:O935)+_xlfn.XLOOKUP("X",C934:C936,O934:O936,0)))))))),2))</f>
        <v>22.18</v>
      </c>
      <c r="T934" s="486">
        <f>IF(S934=0,0,S934/SUM(O934:O936))</f>
        <v>0.76377410468319562</v>
      </c>
      <c r="U934" s="496">
        <f>IF($D934=$D931,IF(OR($B934="LOSS",$B934="OK",$B934="Anulada"),S934,0)+U931,IF(OR($B934="LOSS",$B934="OK",$B934="Anulada"),S934,0))</f>
        <v>57.33</v>
      </c>
      <c r="V934" s="496">
        <f>IF($D934="",0,IF($D934=$D931,IF($B934=" ",IF(I936="",IF(OR(AND(I934="DNB1",I935="DNB2"),AND(OR(I934="DNB1",I934="DNB2"),J935=0),AND(OR(I935="DNB1",I935="DNB2"),J934=0),AND(I934="DNB2",I935="DNB1"),AND(IF(J934=0,(J934+1)/ROUND(J934+1,0),J934/ROUND(J934,0))=1,IF(J935=0,(J935+1)/ROUND(IF(J935="",0,J935)+1,0),IF(J935="",0,J935)/ROUND(IF(J935="",1,J935),0))=1,OR(J934&lt;&gt;""),J935&lt;&gt;"")),0,IF(S934&lt;0,IF(I936="",SMALL(P934:P935,1)-SUM(O934:O935),0),SMALL(P934:P935,1)-SUM(O934:O935))),IF(S934&lt;0,IF(I936="",SMALL(P934:P936,1)-SUM(O934:O936),0),LARGE(P934:P936,1)-SUM(O934:O936))),S934)+V931,IF(I936="",IF(OR(AND(I934="DNB1",I935="DNB2"),AND(OR(I934="DNB1",I934="DNB2"),J935=0),AND(OR(I935="DNB1",I935="DNB2"),J934=0),AND(I934="DNB2",I935="DNB1"),AND(IF(J934=0,(J934+1)/ROUND(J934+1,0),J934/ROUND(J934,0))=1,IF(J935=0,(IF(J935="",0,J935)+1)/ROUND(IF(J935="",0,J935)+1,0),IF(J935="",0,J935)/ROUND(IF(J935="",0,J935)+1,0))=1,OR(J934&lt;&gt;""),J935&lt;&gt;"")),0,IF(S934&lt;0,IF(I936="",SMALL(P934:P935,1)-SUM(O934:O935),0),SMALL(P934:P936,1)-SUM(O934:O936))),IF(S934&lt;0,IF(I936="",SMALL(P934:P936,1)-SUM(O934:O936),0),LARGE(P934:P936,1)-SUM(O934:O936)))))</f>
        <v>57.332999999999998</v>
      </c>
      <c r="W934" s="496">
        <f>IF($D934=$D931,IF(S934&lt;0,IF(I936="",S934,0),S934)+W931,S934)</f>
        <v>57.33</v>
      </c>
      <c r="X934" s="505" t="str">
        <f>IF(OR(SUM(R934:R936)=0,V934=W934),ROUND(IF(W934=0,0,W934/Y934)*100,2)&amp;"%",ROUND(IF(V934=0,0,V934/Y934)*100,2)&amp;"% a "&amp;ROUND(IF(W934=0,0,W934/Y934)*100,2)&amp;"%")</f>
        <v>24,04%</v>
      </c>
      <c r="Y934" s="497">
        <f>IF($D934=$D931,Y931+SUM(O934:O936),SUM(O934:O936))</f>
        <v>238.48</v>
      </c>
      <c r="Z934" s="496">
        <f>IF($B934=" ",SUM(O934:O936),0)+Z931</f>
        <v>0</v>
      </c>
      <c r="AA934" s="496">
        <f>IF(G934="","",IF($B934="Anulado",LARGE(P934:P936,1)-SUM(O934:O936)+AA931,AA931))</f>
        <v>14.77109999999999</v>
      </c>
      <c r="AB934" s="496">
        <f>IF($D934="","",AB931+S934)</f>
        <v>1083.1300000000012</v>
      </c>
      <c r="AC934" s="499">
        <f ca="1">IF($D934="","",IF($B934=" ",IF(DAY(G934)=DAY(TODAY()),1+AC931,0+AC931),0+AC931))</f>
        <v>0</v>
      </c>
      <c r="AD934" s="157">
        <f>(((L935/(L935-1)-1)*(1-_xlfn.XLOOKUP(K935,'Fevereiro 2023 - Valor Real'!A3:A15,'Fevereiro 2023 - Valor Real'!C3:C15,0))+1))/(((L934-1)*(1-_xlfn.XLOOKUP(K934,'Fevereiro 2023 - Valor Real'!A3:A15,'Fevereiro 2023 - Valor Real'!C3:C15,0))+1)+((L935/(L935-1)-1)*(1-_xlfn.XLOOKUP(K935,'Fevereiro 2023 - Valor Real'!A3:A15,'Fevereiro 2023 - Valor Real'!C3:C15,0))+1))</f>
        <v>0.46252817430503385</v>
      </c>
      <c r="AE934" s="158">
        <f>IF(L934="","",IF(L936&gt;0,(SUM(((L934-1)*(1-_xlfn.XLOOKUP(K934,'Fevereiro 2023 - Valor Real'!A3:A15,'Fevereiro 2023 - Valor Real'!C3:C15,0))+1),((L935-1)*(1-_xlfn.XLOOKUP(K935,'Fevereiro 2023 - Valor Real'!A3:A15,'Fevereiro 2023 - Valor Real'!C3:C15,0))+1),((L936-1)*(1-_xlfn.XLOOKUP(K936,'Fevereiro 2023 - Valor Real'!A3:A15,'Fevereiro 2023 - Valor Real'!C3:C15,0))+1))/((L934-1)*(1-_xlfn.XLOOKUP(K934,'Fevereiro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Real'!C3:C15,0))+1))/((L934-1)*(1-_xlfn.XLOOKUP(K934,'Fevereiro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Real'!C3:C15,0))+1))/((L935-1)*(1-_xlfn.XLOOKUP(K935,'Fevereiro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Real'!C3:C15,0))+1))/((L936-1)*(1-_xlfn.XLOOKUP(K936,'Fevereiro 2023 - Valor Real'!A3:A15,'Fevereiro 2023 - Valor Real'!C3:C15,0))+1)),IF(I934="Lay",IF(I935="Lay",((L935/(L935-1)-1)*(1-_xlfn.XLOOKUP(K935,'Fevereiro 2023 - Valor Real'!A3:A15,'Fevereiro 2023 - Valor Real'!C3:C15,0))+1)/(((L935/(L935-1)-1)*(1-_xlfn.XLOOKUP(K935,'Fevereiro 2023 - Valor Real'!A3:A15,'Fevereiro 2023 - Valor Real'!C3:C15,0))+1)+((L934/(L934-1)-1)*(1-_xlfn.XLOOKUP(K934,'Fevereiro 2023 - Valor Real'!A3:A15,'Fevereiro 2023 - Valor Real'!C3:C15,0))+1)),((L935-1)*(1-_xlfn.XLOOKUP(K935,'Fevereiro 2023 - Valor Real'!A3:A15,'Fevereiro 2023 - Valor Real'!C3:C15,0))+1)/(((L935-1)*(1-_xlfn.XLOOKUP(K935,'Fevereiro 2023 - Valor Real'!A3:A15,'Fevereiro 2023 - Valor Real'!C3:C15,0))+1)+((L934/(L934-1)-1)*(1-_xlfn.XLOOKUP(K934,'Fevereiro 2023 - Valor Real'!A3:A15,'Fevereiro 2023 - Valor Real'!C3:C15,0))+1))),IF(I935="Lay",(((L935/(L935-1)-1)*(1-_xlfn.XLOOKUP(K935,'Fevereiro 2023 - Valor Real'!A3:A15,'Fevereiro 2023 - Valor Real'!C3:C15,0))+1))/(((L934-1)*(1-_xlfn.XLOOKUP(K934,'Fevereiro 2023 - Valor Real'!A3:A15,'Fevereiro 2023 - Valor Real'!C3:C15,0))+1)+((L935/(L935-1)-1)*(1-_xlfn.XLOOKUP(K935,'Fevereiro 2023 - Valor Real'!A3:A15,'Fevereiro 2023 - Valor Real'!C3:C15,0))+1)),((L935-1)*(1-_xlfn.XLOOKUP(K935,'Fevereiro 2023 - Valor Real'!A3:A15,'Fevereiro 2023 - Valor Real'!C3:C15,0))+1)/(((L935-1)*(1-_xlfn.XLOOKUP(K935,'Fevereiro 2023 - Valor Real'!A3:A15,'Fevereiro 2023 - Valor Real'!C3:C15,0))+1)+((L934-1)*(1-_xlfn.XLOOKUP(K934,'Fevereiro 2023 - Valor Real'!A3:A15,'Fevereiro 2023 - Valor Real'!C3:C15,0))+1))))))</f>
        <v>0.45496535796766741</v>
      </c>
      <c r="AF934" s="66">
        <f t="shared" ref="AF934:AR943" si="1876">IF($K934=AF$3,ROUND(IF(OR($C934="W",$C934="1/2W",$C934="1/2L"),$P934-$O934,IF($C934="X",0,-$O934)),2),0)</f>
        <v>0</v>
      </c>
      <c r="AG934" s="67">
        <f t="shared" si="1876"/>
        <v>0</v>
      </c>
      <c r="AH934" s="67">
        <f t="shared" si="1876"/>
        <v>0</v>
      </c>
      <c r="AI934" s="67">
        <f t="shared" si="1876"/>
        <v>0</v>
      </c>
      <c r="AJ934" s="67">
        <f t="shared" si="1876"/>
        <v>-3.04</v>
      </c>
      <c r="AK934" s="67">
        <f t="shared" si="1876"/>
        <v>0</v>
      </c>
      <c r="AL934" s="67">
        <f t="shared" si="1876"/>
        <v>0</v>
      </c>
      <c r="AM934" s="67">
        <f t="shared" si="1876"/>
        <v>0</v>
      </c>
      <c r="AN934" s="67">
        <f t="shared" si="1876"/>
        <v>0</v>
      </c>
      <c r="AO934" s="67">
        <f t="shared" si="1876"/>
        <v>0</v>
      </c>
      <c r="AP934" s="67">
        <f t="shared" si="1876"/>
        <v>0</v>
      </c>
      <c r="AQ934" s="67">
        <f t="shared" si="1876"/>
        <v>0</v>
      </c>
      <c r="AR934" s="68">
        <f t="shared" si="1876"/>
        <v>0</v>
      </c>
      <c r="AS934" s="66">
        <f t="shared" ref="AS934:BE934" si="1877">IF(AND($B934=" ",$K934=AS$3),$O934,0)</f>
        <v>0</v>
      </c>
      <c r="AT934" s="67">
        <f t="shared" si="1877"/>
        <v>0</v>
      </c>
      <c r="AU934" s="67">
        <f t="shared" si="1877"/>
        <v>0</v>
      </c>
      <c r="AV934" s="67">
        <f t="shared" si="1877"/>
        <v>0</v>
      </c>
      <c r="AW934" s="67">
        <f t="shared" si="1877"/>
        <v>0</v>
      </c>
      <c r="AX934" s="67">
        <f t="shared" si="1877"/>
        <v>0</v>
      </c>
      <c r="AY934" s="69">
        <f t="shared" si="1877"/>
        <v>0</v>
      </c>
      <c r="AZ934" s="70">
        <f t="shared" si="1877"/>
        <v>0</v>
      </c>
      <c r="BA934" s="70">
        <f t="shared" si="1877"/>
        <v>0</v>
      </c>
      <c r="BB934" s="70">
        <f t="shared" si="1877"/>
        <v>0</v>
      </c>
      <c r="BC934" s="71">
        <f t="shared" si="1877"/>
        <v>0</v>
      </c>
      <c r="BD934" s="67">
        <f t="shared" si="1877"/>
        <v>0</v>
      </c>
      <c r="BE934" s="68">
        <f t="shared" si="1877"/>
        <v>0</v>
      </c>
      <c r="BF934" s="230">
        <f t="shared" ref="BF934:BR943" si="1878">IF($K934=BF$3,IF($C934="X",0,$O934),0)</f>
        <v>0</v>
      </c>
      <c r="BG934" s="67">
        <f t="shared" si="1878"/>
        <v>0</v>
      </c>
      <c r="BH934" s="67">
        <f t="shared" si="1878"/>
        <v>0</v>
      </c>
      <c r="BI934" s="67">
        <f t="shared" si="1878"/>
        <v>0</v>
      </c>
      <c r="BJ934" s="67">
        <f t="shared" si="1878"/>
        <v>3.04</v>
      </c>
      <c r="BK934" s="67">
        <f t="shared" si="1878"/>
        <v>0</v>
      </c>
      <c r="BL934" s="67">
        <f t="shared" si="1878"/>
        <v>0</v>
      </c>
      <c r="BM934" s="69">
        <f t="shared" si="1878"/>
        <v>0</v>
      </c>
      <c r="BN934" s="70">
        <f t="shared" si="1878"/>
        <v>0</v>
      </c>
      <c r="BO934" s="70">
        <f t="shared" si="1878"/>
        <v>0</v>
      </c>
      <c r="BP934" s="70">
        <f t="shared" si="1878"/>
        <v>0</v>
      </c>
      <c r="BQ934" s="71">
        <f t="shared" si="1878"/>
        <v>0</v>
      </c>
      <c r="BR934" s="68">
        <f t="shared" si="1878"/>
        <v>0</v>
      </c>
      <c r="BS934" s="490">
        <f>IF($B934="LOSS",IF(AND($K934=BS$3,$C934="L"),-$O934,0)+IF(AND($K935=BS$3,$C935="L"),-$O935,0)+IF(AND($K936=BS$3,$C936="L"),-$O936,0),IF(OR(AND($K934=BS$3,OR($C934="W",$C934="1/2W")),AND($K935=BS$3,OR($C935="W",$C935="1/2W")),AND($K936=BS$3,OR($C936="W",$C936="1/2W"))),$S934,0))</f>
        <v>0</v>
      </c>
      <c r="BT934" s="488">
        <f>IF($B934="LOSS",IF(AND($K934=BT$3,$C934="L"),-$O934,0)+IF(AND($K935=BT$3,$C935="L"),-$O935,0)+IF(AND($K935=BT$3,$C936="L"),-$O936,0),IF(OR(AND($K935=BT$3,OR($C934="W",$C934="1/2W")),AND($K935=BT$3,OR($C935="W",$C935="1/2W")),AND($K935=BT$3,OR($C936="W",$C936="1/2W"))),$S934,0))</f>
        <v>0</v>
      </c>
      <c r="BU934" s="488">
        <f>IF($B934="LOSS",IF(AND($K934=BU$3,$C934="L"),-$O934,0)+IF(AND($K935=BU$3,$C935="L"),-$O935,0)+IF(AND($K935=BU$3,$C936="L"),-$O936,0),IF(OR(AND($K935=BU$3,OR($C934="W",$C934="1/2W")),AND($K935=BU$3,OR($C935="W",$C935="1/2W")),AND($K935=BU$3,OR($C936="W",$C936="1/2W"))),$S934,0))</f>
        <v>0</v>
      </c>
      <c r="BV934" s="488">
        <f t="shared" ref="BV934:CE934" si="1879">IF($B934="LOSS",IF(AND($K934=BV$3,$C934="L"),-$O934,0)+IF(AND($K935=BV$3,$C935="L"),-$O935,0)+IF(AND($K936=BV$3,$C936="L"),-$O936,0),IF(OR(AND($K934=BV$3,OR($C934="W",$C934="1/2W")),AND($K935=BV$3,OR($C935="W",$C935="1/2W")),AND($K936=BV$3,OR($C936="W",$C936="1/2W"))),$S934,0))</f>
        <v>0</v>
      </c>
      <c r="BW934" s="488">
        <f t="shared" si="1879"/>
        <v>0</v>
      </c>
      <c r="BX934" s="488">
        <f t="shared" si="1879"/>
        <v>0</v>
      </c>
      <c r="BY934" s="488">
        <f t="shared" si="1879"/>
        <v>0</v>
      </c>
      <c r="BZ934" s="498">
        <f t="shared" si="1879"/>
        <v>0</v>
      </c>
      <c r="CA934" s="498">
        <f t="shared" si="1879"/>
        <v>0</v>
      </c>
      <c r="CB934" s="498">
        <f t="shared" si="1879"/>
        <v>0</v>
      </c>
      <c r="CC934" s="498">
        <f t="shared" si="1879"/>
        <v>0</v>
      </c>
      <c r="CD934" s="500">
        <f t="shared" si="1879"/>
        <v>22.18</v>
      </c>
      <c r="CE934" s="504">
        <f t="shared" si="1879"/>
        <v>0</v>
      </c>
      <c r="CF934" s="160">
        <f t="shared" si="1796"/>
        <v>0</v>
      </c>
      <c r="CG934" s="161">
        <f t="shared" si="1797"/>
        <v>0</v>
      </c>
      <c r="CH934" s="161">
        <f t="shared" si="1798"/>
        <v>0</v>
      </c>
      <c r="CI934" s="161">
        <f t="shared" si="1799"/>
        <v>0</v>
      </c>
      <c r="CJ934" s="161">
        <f t="shared" si="1800"/>
        <v>0</v>
      </c>
      <c r="CK934" s="161">
        <f t="shared" si="1801"/>
        <v>0</v>
      </c>
      <c r="CL934" s="161">
        <f t="shared" si="1802"/>
        <v>0</v>
      </c>
      <c r="CM934" s="161">
        <f t="shared" si="1803"/>
        <v>0</v>
      </c>
      <c r="CN934" s="161">
        <f t="shared" si="1804"/>
        <v>0</v>
      </c>
      <c r="CO934" s="161">
        <f t="shared" si="1805"/>
        <v>1</v>
      </c>
      <c r="CP934" s="161">
        <f t="shared" si="1806"/>
        <v>0</v>
      </c>
      <c r="CQ934" s="161">
        <f t="shared" si="1807"/>
        <v>0</v>
      </c>
      <c r="CR934" s="161">
        <f t="shared" si="1808"/>
        <v>0</v>
      </c>
      <c r="CS934" s="161">
        <f t="shared" si="1809"/>
        <v>0</v>
      </c>
      <c r="CT934" s="75">
        <f t="shared" si="1810"/>
        <v>0</v>
      </c>
      <c r="CU934" s="76">
        <f t="shared" si="1811"/>
        <v>0</v>
      </c>
      <c r="CV934" s="76">
        <f t="shared" si="1812"/>
        <v>0</v>
      </c>
      <c r="CW934" s="76">
        <f t="shared" si="1813"/>
        <v>0</v>
      </c>
      <c r="CX934" s="76">
        <f t="shared" si="1814"/>
        <v>0</v>
      </c>
      <c r="CY934" s="76">
        <f t="shared" si="1815"/>
        <v>0</v>
      </c>
      <c r="CZ934" s="76">
        <f t="shared" si="1816"/>
        <v>0</v>
      </c>
      <c r="DA934" s="76">
        <f t="shared" si="1817"/>
        <v>0</v>
      </c>
      <c r="DB934" s="76">
        <f t="shared" si="1818"/>
        <v>0</v>
      </c>
      <c r="DC934" s="76">
        <f t="shared" si="1819"/>
        <v>0</v>
      </c>
      <c r="DD934" s="76">
        <f t="shared" si="1820"/>
        <v>0</v>
      </c>
      <c r="DE934" s="77">
        <f t="shared" si="1821"/>
        <v>0</v>
      </c>
      <c r="DF934" s="73">
        <f t="shared" si="1824"/>
        <v>57</v>
      </c>
      <c r="DG934" s="67">
        <f t="shared" si="1825"/>
        <v>76.963000000000008</v>
      </c>
      <c r="DH934" s="76">
        <f t="shared" si="1826"/>
        <v>19</v>
      </c>
      <c r="DI934" s="67">
        <f t="shared" si="1827"/>
        <v>81.47</v>
      </c>
      <c r="DJ934" s="202" t="str">
        <f>IF($D934="","",$D934)</f>
        <v>31</v>
      </c>
      <c r="DK934" s="492">
        <f>IF(AND($B934=" ",$D934&lt;&gt;""),1,0)</f>
        <v>0</v>
      </c>
    </row>
    <row r="935" spans="1:115" ht="14.5" customHeight="1" x14ac:dyDescent="0.2">
      <c r="A935" s="389"/>
      <c r="B935" s="456"/>
      <c r="C935" s="53" t="s">
        <v>54</v>
      </c>
      <c r="D935" s="374"/>
      <c r="E935" s="386"/>
      <c r="F935" s="377"/>
      <c r="G935" s="483"/>
      <c r="H935" s="476"/>
      <c r="I935" s="248">
        <v>1</v>
      </c>
      <c r="J935" s="242" t="str">
        <f>IF(OR(I934="TO",I934="TU",I934="TO1",I934="TU1",I934="TO2",I934="TU2"),J934,IF(OR(I934="AH1",I934="AH2"),IF(OR(I935="AH1",I935="AH2"),-J934,IF(OR(I935="EH1",I935="EH2"),-J934+0.5,"")),IF(OR(I934="EH1",I934="EH2"),IF(OR(I935="AH1",I935="AH2"),-J934+0.5,IF(OR(I935="EH1",I935="EH2"),-J934+1,"")),IF(AND(OR(I934="DNB1",I934="DNB2"),OR(I935="AH1",I935="AH2")),0,IF(AND(I934="Not ScoreBoth",OR(I935="TO1",I935="TO2")),0.5,"")))))</f>
        <v/>
      </c>
      <c r="K935" s="232" t="s">
        <v>47</v>
      </c>
      <c r="L935" s="58">
        <v>1.97</v>
      </c>
      <c r="M935" s="59">
        <v>26</v>
      </c>
      <c r="N935" s="406"/>
      <c r="O935" s="60">
        <f>IF(OR(AE934="",AE935=""),"",ROUND(IF(L936&gt;0,IF(M935&gt;0,M935,IF(M934&gt;0,IF(N934=TRUE,ROUND((M934*AE935)/AE934,0),(M934*AE935)/AE934),IF(M935&gt;0,ROUND(M935,IF(N934=0,2,IF(N934=0.1,1,0))),IF(M936&gt;0,ROUND(O936*AE935/AE936,IF(N934=0,2,IF(N934=0.1,1,0))),0)))),IF(M935&gt;0,M935,ROUND((M934*AE935)/AE934,IF(N934=0,2,IF(N934=0.1,1,0))))),2))</f>
        <v>26</v>
      </c>
      <c r="P935" s="61">
        <f>IF(OR(L935="",O935=""),"",IF($C935="1/2W",O935/2+O935/2*L935,IF($C935="1/2L",O935/2,IF(I935="Lay",((O935*(L935/(L935-1)))-O935)*(1-_xlfn.XLOOKUP(K935,'Fevereiro 2023 - Valor Real'!A3:A15,'Fevereiro 2023 - Valor Real'!C3:C15,0))+O935,(O935*L935-O935)*(1-_xlfn.XLOOKUP(K935,'Fevereiro 2023 - Valor Real'!A3:A15,'Fevereiro 2023 - Valor Real'!C3:C15,0))+O935))))</f>
        <v>51.22</v>
      </c>
      <c r="Q935" s="233">
        <f>IF(K935="","",IF(_xlfn.XLOOKUP(K935,K$4:K934,$DJ$4:DJ934,0,,-1)=DJ935,_xlfn.XLOOKUP(K935,K$4:K934,Q$4:Q934,1,,-1)+1,1))</f>
        <v>3</v>
      </c>
      <c r="R935" s="234">
        <f>IF(K935="","",_xlfn.XLOOKUP(K935,K$4:K934,R$4:R934,0,,-1)+IF($C935=" ",1,0))</f>
        <v>0</v>
      </c>
      <c r="S935" s="403"/>
      <c r="T935" s="380"/>
      <c r="U935" s="380"/>
      <c r="V935" s="481"/>
      <c r="W935" s="380"/>
      <c r="X935" s="452"/>
      <c r="Y935" s="383"/>
      <c r="Z935" s="384"/>
      <c r="AA935" s="384"/>
      <c r="AB935" s="384"/>
      <c r="AC935" s="384"/>
      <c r="AD935" s="64">
        <f>(((L935/(L935-1)-1)*(1-_xlfn.XLOOKUP(K935,'Fevereiro 2023 - Valor Real'!A3:A15,'Fevereiro 2023 - Valor Real'!C3:C15,0))+1))</f>
        <v>2.0309278350515463</v>
      </c>
      <c r="AE935" s="65">
        <f>IF(L935="","",IF(L936&gt;0,(SUM(((L934-1)*(1-_xlfn.XLOOKUP(K934,'Fevereiro 2023 - Valor Real'!A3:A15,'Fevereiro 2023 - Valor Real'!C3:C15,0))+1),((L935-1)*(1-_xlfn.XLOOKUP(K935,'Fevereiro 2023 - Valor Real'!A3:A15,'Fevereiro 2023 - Valor Real'!C3:C15,0))+1),((L936-1)*(1-_xlfn.XLOOKUP(K936,'Fevereiro 2023 - Valor Real'!A3:A15,'Fevereiro 2023 - Valor Real'!C3:C15,0))+1))/((L935-1)*(1-_xlfn.XLOOKUP(K935,'Fevereiro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Real'!C3:C15,0))+1))/((L934-1)*(1-_xlfn.XLOOKUP(K934,'Fevereiro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Real'!C3:C15,0))+1))/((L935-1)*(1-_xlfn.XLOOKUP(K935,'Fevereiro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Real'!C3:C15,0))+1))/((L936-1)*(1-_xlfn.XLOOKUP(K936,'Fevereiro 2023 - Valor Real'!A3:A15,'Fevereiro 2023 - Valor Real'!C3:C15,0))+1)),IF(I935="Lay",IF(I934="Lay",((L934/(L934-1)-1)*(1-_xlfn.XLOOKUP(K934,'Fevereiro 2023 - Valor Real'!A3:A15,'Fevereiro 2023 - Valor Real'!C3:C15,0))+1)/(((L934/(L934-1)-1)*(1-_xlfn.XLOOKUP(K934,'Fevereiro 2023 - Valor Real'!A3:A15,'Fevereiro 2023 - Valor Real'!C3:C15,0))+1)+((L935/(L935-1)-1)*(1-_xlfn.XLOOKUP(K935,'Fevereiro 2023 - Valor Real'!A3:A15,'Fevereiro 2023 - Valor Real'!C3:C15,0))+1)),((L934-1)*(1-_xlfn.XLOOKUP(K934,'Fevereiro 2023 - Valor Real'!A3:A15,'Fevereiro 2023 - Valor Real'!C3:C15,0))+1)/(((L934-1)*(1-_xlfn.XLOOKUP(K934,'Fevereiro 2023 - Valor Real'!A3:A15,'Fevereiro 2023 - Valor Real'!C3:C15,0))+1)+((L935/(L935-1)-1)*(1-_xlfn.XLOOKUP(K935,'Fevereiro 2023 - Valor Real'!A3:A15,'Fevereiro 2023 - Valor Real'!C3:C15,0))+1))),IF(I934="Lay",((L934/(L934-1)-1)*(1-_xlfn.XLOOKUP(K934,'Fevereiro 2023 - Valor Real'!A3:A15,'Fevereiro 2023 - Valor Real'!C3:C15,0))+1)/((((L934/(L934-1)-1)*(1-_xlfn.XLOOKUP(K934,'Fevereiro 2023 - Valor Real'!A3:A15,'Fevereiro 2023 - Valor Real'!C3:C15,0))+1))+((L935-1)*(1-_xlfn.XLOOKUP(K935,'Fevereiro 2023 - Valor Real'!A3:A15,'Fevereiro 2023 - Valor Real'!C3:C15,0))+1)),((L934-1)*(1-_xlfn.XLOOKUP(K934,'Fevereiro 2023 - Valor Real'!A3:A15,'Fevereiro 2023 - Valor Real'!C3:C15,0))+1)/(((L934-1)*(1-_xlfn.XLOOKUP(K934,'Fevereiro 2023 - Valor Real'!A3:A15,'Fevereiro 2023 - Valor Real'!C3:C15,0))+1)+((L935-1)*(1-_xlfn.XLOOKUP(K935,'Fevereiro 2023 - Valor Real'!A3:A15,'Fevereiro 2023 - Valor Real'!C3:C15,0))+1))))))</f>
        <v>0.54503464203233254</v>
      </c>
      <c r="AF935" s="66">
        <f t="shared" si="1876"/>
        <v>0</v>
      </c>
      <c r="AG935" s="67">
        <f t="shared" si="1876"/>
        <v>0</v>
      </c>
      <c r="AH935" s="67">
        <f t="shared" si="1876"/>
        <v>0</v>
      </c>
      <c r="AI935" s="67">
        <f t="shared" si="1876"/>
        <v>0</v>
      </c>
      <c r="AJ935" s="67">
        <f t="shared" si="1876"/>
        <v>0</v>
      </c>
      <c r="AK935" s="67">
        <f t="shared" si="1876"/>
        <v>0</v>
      </c>
      <c r="AL935" s="67">
        <f t="shared" si="1876"/>
        <v>0</v>
      </c>
      <c r="AM935" s="67">
        <f t="shared" si="1876"/>
        <v>0</v>
      </c>
      <c r="AN935" s="67">
        <f t="shared" si="1876"/>
        <v>0</v>
      </c>
      <c r="AO935" s="67">
        <f t="shared" si="1876"/>
        <v>0</v>
      </c>
      <c r="AP935" s="67">
        <f t="shared" si="1876"/>
        <v>0</v>
      </c>
      <c r="AQ935" s="67">
        <f t="shared" si="1876"/>
        <v>25.22</v>
      </c>
      <c r="AR935" s="68">
        <f t="shared" si="1876"/>
        <v>0</v>
      </c>
      <c r="AS935" s="66">
        <f>IF(AND($B934=" ",$K935=AS$3),$O935,0)</f>
        <v>0</v>
      </c>
      <c r="AT935" s="67">
        <f>IF(AND($B934=" ",K935=AT$3),$O935,0)</f>
        <v>0</v>
      </c>
      <c r="AU935" s="67">
        <f t="shared" ref="AU935:BE935" si="1880">IF(AND($B934=" ",$K935=AU$3),$O935,0)</f>
        <v>0</v>
      </c>
      <c r="AV935" s="67">
        <f t="shared" si="1880"/>
        <v>0</v>
      </c>
      <c r="AW935" s="67">
        <f t="shared" si="1880"/>
        <v>0</v>
      </c>
      <c r="AX935" s="67">
        <f t="shared" si="1880"/>
        <v>0</v>
      </c>
      <c r="AY935" s="69">
        <f t="shared" si="1880"/>
        <v>0</v>
      </c>
      <c r="AZ935" s="70">
        <f t="shared" si="1880"/>
        <v>0</v>
      </c>
      <c r="BA935" s="70">
        <f t="shared" si="1880"/>
        <v>0</v>
      </c>
      <c r="BB935" s="70">
        <f t="shared" si="1880"/>
        <v>0</v>
      </c>
      <c r="BC935" s="71">
        <f t="shared" si="1880"/>
        <v>0</v>
      </c>
      <c r="BD935" s="67">
        <f t="shared" si="1880"/>
        <v>0</v>
      </c>
      <c r="BE935" s="68">
        <f t="shared" si="1880"/>
        <v>0</v>
      </c>
      <c r="BF935" s="66">
        <f t="shared" si="1878"/>
        <v>0</v>
      </c>
      <c r="BG935" s="67">
        <f t="shared" si="1878"/>
        <v>0</v>
      </c>
      <c r="BH935" s="67">
        <f t="shared" si="1878"/>
        <v>0</v>
      </c>
      <c r="BI935" s="67">
        <f t="shared" si="1878"/>
        <v>0</v>
      </c>
      <c r="BJ935" s="67">
        <f t="shared" si="1878"/>
        <v>0</v>
      </c>
      <c r="BK935" s="67">
        <f t="shared" si="1878"/>
        <v>0</v>
      </c>
      <c r="BL935" s="67">
        <f t="shared" si="1878"/>
        <v>0</v>
      </c>
      <c r="BM935" s="235">
        <f t="shared" si="1878"/>
        <v>0</v>
      </c>
      <c r="BN935" s="159">
        <f t="shared" si="1878"/>
        <v>0</v>
      </c>
      <c r="BO935" s="159">
        <f t="shared" si="1878"/>
        <v>0</v>
      </c>
      <c r="BP935" s="159">
        <f t="shared" si="1878"/>
        <v>0</v>
      </c>
      <c r="BQ935" s="71">
        <f t="shared" si="1878"/>
        <v>26</v>
      </c>
      <c r="BR935" s="68">
        <f t="shared" si="1878"/>
        <v>0</v>
      </c>
      <c r="BS935" s="464"/>
      <c r="BT935" s="461"/>
      <c r="BU935" s="392"/>
      <c r="BV935" s="461"/>
      <c r="BW935" s="392"/>
      <c r="BX935" s="392"/>
      <c r="BY935" s="392"/>
      <c r="BZ935" s="461"/>
      <c r="CA935" s="392"/>
      <c r="CB935" s="392"/>
      <c r="CC935" s="392"/>
      <c r="CD935" s="401"/>
      <c r="CE935" s="409"/>
      <c r="CF935" s="236">
        <f t="shared" si="1796"/>
        <v>0</v>
      </c>
      <c r="CG935" s="237">
        <f t="shared" si="1797"/>
        <v>0</v>
      </c>
      <c r="CH935" s="237">
        <f t="shared" si="1798"/>
        <v>0</v>
      </c>
      <c r="CI935" s="237">
        <f t="shared" si="1799"/>
        <v>0</v>
      </c>
      <c r="CJ935" s="237">
        <f t="shared" si="1800"/>
        <v>0</v>
      </c>
      <c r="CK935" s="237">
        <f t="shared" si="1801"/>
        <v>0</v>
      </c>
      <c r="CL935" s="237">
        <f t="shared" si="1802"/>
        <v>0</v>
      </c>
      <c r="CM935" s="237">
        <f t="shared" si="1803"/>
        <v>0</v>
      </c>
      <c r="CN935" s="237">
        <f t="shared" si="1804"/>
        <v>0</v>
      </c>
      <c r="CO935" s="237">
        <f t="shared" si="1805"/>
        <v>0</v>
      </c>
      <c r="CP935" s="237">
        <f t="shared" si="1806"/>
        <v>0</v>
      </c>
      <c r="CQ935" s="237">
        <f t="shared" si="1807"/>
        <v>0</v>
      </c>
      <c r="CR935" s="237">
        <f t="shared" si="1808"/>
        <v>0</v>
      </c>
      <c r="CS935" s="237">
        <f t="shared" si="1809"/>
        <v>0</v>
      </c>
      <c r="CT935" s="75">
        <f t="shared" si="1810"/>
        <v>0</v>
      </c>
      <c r="CU935" s="76">
        <f t="shared" si="1811"/>
        <v>0</v>
      </c>
      <c r="CV935" s="76">
        <f t="shared" si="1812"/>
        <v>0</v>
      </c>
      <c r="CW935" s="76">
        <f t="shared" si="1813"/>
        <v>0</v>
      </c>
      <c r="CX935" s="76">
        <f t="shared" si="1814"/>
        <v>0</v>
      </c>
      <c r="CY935" s="76">
        <f t="shared" si="1815"/>
        <v>0</v>
      </c>
      <c r="CZ935" s="76">
        <f t="shared" si="1816"/>
        <v>0</v>
      </c>
      <c r="DA935" s="76">
        <f t="shared" si="1817"/>
        <v>0</v>
      </c>
      <c r="DB935" s="76">
        <f t="shared" si="1818"/>
        <v>1</v>
      </c>
      <c r="DC935" s="76">
        <f t="shared" si="1819"/>
        <v>0</v>
      </c>
      <c r="DD935" s="76">
        <f t="shared" si="1820"/>
        <v>0</v>
      </c>
      <c r="DE935" s="77">
        <f t="shared" si="1821"/>
        <v>0</v>
      </c>
      <c r="DF935" s="73">
        <f t="shared" si="1824"/>
        <v>57</v>
      </c>
      <c r="DG935" s="67">
        <f t="shared" si="1825"/>
        <v>76.963000000000008</v>
      </c>
      <c r="DH935" s="76">
        <f t="shared" si="1826"/>
        <v>19</v>
      </c>
      <c r="DI935" s="67">
        <f t="shared" si="1827"/>
        <v>81.47</v>
      </c>
      <c r="DJ935" s="202" t="str">
        <f>IF($D934="","",$D934)</f>
        <v>31</v>
      </c>
      <c r="DK935" s="466"/>
    </row>
    <row r="936" spans="1:115" ht="14.5" customHeight="1" x14ac:dyDescent="0.2">
      <c r="A936" s="390"/>
      <c r="B936" s="457"/>
      <c r="C936" s="79" t="s">
        <v>53</v>
      </c>
      <c r="D936" s="375"/>
      <c r="E936" s="387"/>
      <c r="F936" s="378"/>
      <c r="G936" s="484"/>
      <c r="H936" s="477"/>
      <c r="I936" s="82"/>
      <c r="J936" s="83"/>
      <c r="K936" s="90"/>
      <c r="L936" s="84"/>
      <c r="M936" s="85"/>
      <c r="N936" s="407"/>
      <c r="O936" s="86" t="str">
        <f>IF(OR(AE934="",AE935=""),"",IF(L936&gt;0,ROUND(IF(M936&gt;0,M936,IF(M934&gt;0,ROUND((M934*AE936)/AE934,IF(N934=0,2,IF(N934=0.1,1,0))),IF(M935&gt;0,ROUND((M935*AE936)/AE935,IF(N934=0,2,IF(N934=0.1,1,0))),IF(M936&gt;0,M936,0)))),2),""))</f>
        <v/>
      </c>
      <c r="P936" s="87" t="str">
        <f>IF(I935="Lay",O935*(L935/(L935-1))-O935,IF(I934="Lay",O934*(L934/(L934-1))-O934,IF(OR(L936="",O936=""),"",IF($C936="1/2W",O936/2+O936/2*L936,IF($C936="1/2L",O936/2,(O936*L936-O936)*(1-_xlfn.XLOOKUP(K936,'Fevereiro 2023 - Valor Real'!A3:A15,'Fevereiro 2023 - Valor Real'!C3:C15,0))+O936)))))</f>
        <v/>
      </c>
      <c r="Q936" s="238" t="str">
        <f>IF(K936="","",IF(_xlfn.XLOOKUP(K936,K$4:K935,$DJ$4:DJ935,0,,-1)=DJ936,_xlfn.XLOOKUP(K936,K$4:K935,Q$4:Q935,1,,-1)+1,1))</f>
        <v/>
      </c>
      <c r="R936" s="239" t="str">
        <f>IF(K936="","",_xlfn.XLOOKUP(K936,K$4:K935,R$4:R935,0,,-1)+IF($C936=" ",1,0))</f>
        <v/>
      </c>
      <c r="S936" s="404"/>
      <c r="T936" s="378"/>
      <c r="U936" s="378"/>
      <c r="V936" s="404"/>
      <c r="W936" s="378"/>
      <c r="X936" s="453"/>
      <c r="Y936" s="383"/>
      <c r="Z936" s="384"/>
      <c r="AA936" s="384"/>
      <c r="AB936" s="384"/>
      <c r="AC936" s="384"/>
      <c r="AD936" s="240">
        <f>((L935/(L935-1)-1))</f>
        <v>1.0309278350515463</v>
      </c>
      <c r="AE936" s="91" t="str">
        <f>IF(L936="","",(SUM(((L934-1)*(1-_xlfn.XLOOKUP(K934,'Fevereiro 2023 - Valor Real'!A3:A15,'Fevereiro 2023 - Valor Real'!C3:C15,0))+1),((L935-1)*(1-_xlfn.XLOOKUP(K935,'Fevereiro 2023 - Valor Real'!A3:A15,'Fevereiro 2023 - Valor Real'!C3:C15,0))+1),((L936-1)*(1-_xlfn.XLOOKUP(K936,'Fevereiro 2023 - Valor Real'!A3:A15,'Fevereiro 2023 - Valor Real'!C3:C15,0))+1))/((L936-1)*(1-_xlfn.XLOOKUP(K936,'Fevereiro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Real'!C3:C15,0))+1))/((L934-1)*(1-_xlfn.XLOOKUP(K934,'Fevereiro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Real'!C3:C15,0))+1))/((L935-1)*(1-_xlfn.XLOOKUP(K935,'Fevereiro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Real'!C3:C15,0))+1))/((L936-1)*(1-_xlfn.XLOOKUP(K936,'Fevereiro 2023 - Valor Real'!A3:A15,'Fevereiro 2023 - Valor Real'!C3:C15,0))+1)))</f>
        <v/>
      </c>
      <c r="AF936" s="66">
        <f t="shared" si="1876"/>
        <v>0</v>
      </c>
      <c r="AG936" s="67">
        <f t="shared" si="1876"/>
        <v>0</v>
      </c>
      <c r="AH936" s="67">
        <f t="shared" si="1876"/>
        <v>0</v>
      </c>
      <c r="AI936" s="67">
        <f t="shared" si="1876"/>
        <v>0</v>
      </c>
      <c r="AJ936" s="67">
        <f t="shared" si="1876"/>
        <v>0</v>
      </c>
      <c r="AK936" s="67">
        <f t="shared" si="1876"/>
        <v>0</v>
      </c>
      <c r="AL936" s="67">
        <f t="shared" si="1876"/>
        <v>0</v>
      </c>
      <c r="AM936" s="67">
        <f t="shared" si="1876"/>
        <v>0</v>
      </c>
      <c r="AN936" s="67">
        <f t="shared" si="1876"/>
        <v>0</v>
      </c>
      <c r="AO936" s="67">
        <f t="shared" si="1876"/>
        <v>0</v>
      </c>
      <c r="AP936" s="67">
        <f t="shared" si="1876"/>
        <v>0</v>
      </c>
      <c r="AQ936" s="67">
        <f t="shared" si="1876"/>
        <v>0</v>
      </c>
      <c r="AR936" s="68">
        <f t="shared" si="1876"/>
        <v>0</v>
      </c>
      <c r="AS936" s="66">
        <f>IF(AND($B934=" ",$K936=AS$3),$O936,0)</f>
        <v>0</v>
      </c>
      <c r="AT936" s="67">
        <f>IF(AND($B934=" ",K936=AT$3),$O936,0)</f>
        <v>0</v>
      </c>
      <c r="AU936" s="67">
        <f t="shared" ref="AU936:BE936" si="1881">IF(AND($B934=" ",$K936=AU$3),$O936,0)</f>
        <v>0</v>
      </c>
      <c r="AV936" s="67">
        <f t="shared" si="1881"/>
        <v>0</v>
      </c>
      <c r="AW936" s="67">
        <f t="shared" si="1881"/>
        <v>0</v>
      </c>
      <c r="AX936" s="67">
        <f t="shared" si="1881"/>
        <v>0</v>
      </c>
      <c r="AY936" s="69">
        <f t="shared" si="1881"/>
        <v>0</v>
      </c>
      <c r="AZ936" s="70">
        <f t="shared" si="1881"/>
        <v>0</v>
      </c>
      <c r="BA936" s="70">
        <f t="shared" si="1881"/>
        <v>0</v>
      </c>
      <c r="BB936" s="70">
        <f t="shared" si="1881"/>
        <v>0</v>
      </c>
      <c r="BC936" s="71">
        <f t="shared" si="1881"/>
        <v>0</v>
      </c>
      <c r="BD936" s="67">
        <f t="shared" si="1881"/>
        <v>0</v>
      </c>
      <c r="BE936" s="68">
        <f t="shared" si="1881"/>
        <v>0</v>
      </c>
      <c r="BF936" s="66">
        <f t="shared" si="1878"/>
        <v>0</v>
      </c>
      <c r="BG936" s="67">
        <f t="shared" si="1878"/>
        <v>0</v>
      </c>
      <c r="BH936" s="67">
        <f t="shared" si="1878"/>
        <v>0</v>
      </c>
      <c r="BI936" s="67">
        <f t="shared" si="1878"/>
        <v>0</v>
      </c>
      <c r="BJ936" s="67">
        <f t="shared" si="1878"/>
        <v>0</v>
      </c>
      <c r="BK936" s="67">
        <f t="shared" si="1878"/>
        <v>0</v>
      </c>
      <c r="BL936" s="67">
        <f t="shared" si="1878"/>
        <v>0</v>
      </c>
      <c r="BM936" s="69">
        <f t="shared" si="1878"/>
        <v>0</v>
      </c>
      <c r="BN936" s="70">
        <f t="shared" si="1878"/>
        <v>0</v>
      </c>
      <c r="BO936" s="70">
        <f t="shared" si="1878"/>
        <v>0</v>
      </c>
      <c r="BP936" s="70">
        <f t="shared" si="1878"/>
        <v>0</v>
      </c>
      <c r="BQ936" s="71">
        <f t="shared" si="1878"/>
        <v>0</v>
      </c>
      <c r="BR936" s="68">
        <f t="shared" si="1878"/>
        <v>0</v>
      </c>
      <c r="BS936" s="464"/>
      <c r="BT936" s="461"/>
      <c r="BU936" s="392"/>
      <c r="BV936" s="461"/>
      <c r="BW936" s="392"/>
      <c r="BX936" s="392"/>
      <c r="BY936" s="392"/>
      <c r="BZ936" s="461"/>
      <c r="CA936" s="392"/>
      <c r="CB936" s="392"/>
      <c r="CC936" s="392"/>
      <c r="CD936" s="401"/>
      <c r="CE936" s="409"/>
      <c r="CF936" s="236">
        <f t="shared" si="1796"/>
        <v>0</v>
      </c>
      <c r="CG936" s="237">
        <f t="shared" si="1797"/>
        <v>0</v>
      </c>
      <c r="CH936" s="237">
        <f t="shared" si="1798"/>
        <v>0</v>
      </c>
      <c r="CI936" s="237">
        <f t="shared" si="1799"/>
        <v>0</v>
      </c>
      <c r="CJ936" s="237">
        <f t="shared" si="1800"/>
        <v>0</v>
      </c>
      <c r="CK936" s="237">
        <f t="shared" si="1801"/>
        <v>0</v>
      </c>
      <c r="CL936" s="237">
        <f t="shared" si="1802"/>
        <v>0</v>
      </c>
      <c r="CM936" s="237">
        <f t="shared" si="1803"/>
        <v>0</v>
      </c>
      <c r="CN936" s="237">
        <f t="shared" si="1804"/>
        <v>0</v>
      </c>
      <c r="CO936" s="237">
        <f t="shared" si="1805"/>
        <v>0</v>
      </c>
      <c r="CP936" s="237">
        <f t="shared" si="1806"/>
        <v>0</v>
      </c>
      <c r="CQ936" s="237">
        <f t="shared" si="1807"/>
        <v>0</v>
      </c>
      <c r="CR936" s="237">
        <f t="shared" si="1808"/>
        <v>0</v>
      </c>
      <c r="CS936" s="237">
        <f t="shared" si="1809"/>
        <v>0</v>
      </c>
      <c r="CT936" s="75">
        <f t="shared" si="1810"/>
        <v>0</v>
      </c>
      <c r="CU936" s="76">
        <f t="shared" si="1811"/>
        <v>0</v>
      </c>
      <c r="CV936" s="76">
        <f t="shared" si="1812"/>
        <v>0</v>
      </c>
      <c r="CW936" s="76">
        <f t="shared" si="1813"/>
        <v>0</v>
      </c>
      <c r="CX936" s="76">
        <f t="shared" si="1814"/>
        <v>0</v>
      </c>
      <c r="CY936" s="76">
        <f t="shared" si="1815"/>
        <v>0</v>
      </c>
      <c r="CZ936" s="76">
        <f t="shared" si="1816"/>
        <v>0</v>
      </c>
      <c r="DA936" s="76">
        <f t="shared" si="1817"/>
        <v>0</v>
      </c>
      <c r="DB936" s="76">
        <f t="shared" si="1818"/>
        <v>0</v>
      </c>
      <c r="DC936" s="76">
        <f t="shared" si="1819"/>
        <v>0</v>
      </c>
      <c r="DD936" s="76">
        <f t="shared" si="1820"/>
        <v>0</v>
      </c>
      <c r="DE936" s="77">
        <f t="shared" si="1821"/>
        <v>0</v>
      </c>
      <c r="DF936" s="73">
        <f t="shared" si="1824"/>
        <v>57</v>
      </c>
      <c r="DG936" s="67">
        <f t="shared" si="1825"/>
        <v>76.963000000000008</v>
      </c>
      <c r="DH936" s="76">
        <f t="shared" si="1826"/>
        <v>19</v>
      </c>
      <c r="DI936" s="67">
        <f t="shared" si="1827"/>
        <v>81.47</v>
      </c>
      <c r="DJ936" s="202" t="str">
        <f>IF($D934="","",$D934)</f>
        <v>31</v>
      </c>
      <c r="DK936" s="466"/>
    </row>
    <row r="937" spans="1:115" ht="14.5" customHeight="1" x14ac:dyDescent="0.2">
      <c r="A937" s="459">
        <f>$A934+1</f>
        <v>312</v>
      </c>
      <c r="B937" s="507" t="str">
        <f>IF(OR(C937="W",C938="W",C939="W",C937="1/2W",C938="1/2W",C939="1/2W",C937="1/2L",C938="1/2L",C939="1/2L"),"OK",IF(OR(C937="L",C938="L",C939="L"),"LOSS",IF(OR(C937="X",C938="X",C939="X"),"Anulado"," ")))</f>
        <v>OK</v>
      </c>
      <c r="C937" s="93" t="s">
        <v>310</v>
      </c>
      <c r="D937" s="468" t="str">
        <f>IF(G937="","",$D934)</f>
        <v>31</v>
      </c>
      <c r="E937" s="485" t="str">
        <f>IF(G937=""," ","– "&amp;COUNTIF(D$4:D939,$D937))</f>
        <v>– 8</v>
      </c>
      <c r="F937" s="509" t="str">
        <f ca="1">IF(G937="","",IF(OR(AND($C937&lt;&gt;" ",$C938=" "),AND($C938&lt;&gt;" ",$C937=" "),AND(L939&gt;0,OR(AND($C939&lt;&gt;" ",OR($C937=" ",$C938=" ")),AND($C939=" ",OR($C937&lt;&gt;" ",$C938&lt;&gt;" "))))),IF(SUM(F$4:F936)=0,1,LARGE(F$4:F936,1)+1),IF(MONTH(G937)=MONTH(TODAY()),IF(AND(DAY(G937)&lt;DAY(TODAY()),$B937=" "),IF(SUM(F$4:F936)=0,1,LARGE(F$4:F936,1)+1),IF($B937=" ",IF(AND(DAY(G937)=DAY(TODAY()),HOUR(G937)&lt;=HOUR(NOW())+1),IF(AND(HOUR(G937)+2&lt;=HOUR(NOW()),DAY(G937)&lt;=DAY(TODAY()),MINUTE(G937)&lt;=MINUTE(NOW())),IF(SUM(F$4:F936)=0,1,LARGE(F$4:F936,1)+1),IF(OR(MINUTE(G937)&lt;=MINUTE(NOW()),HOUR(G937)&lt;=HOUR(NOW())),"!!!","")),""),"")),"")))</f>
        <v/>
      </c>
      <c r="G937" s="482">
        <v>45016.385416666664</v>
      </c>
      <c r="H937" s="475" t="s">
        <v>311</v>
      </c>
      <c r="I937" s="94" t="s">
        <v>66</v>
      </c>
      <c r="J937" s="95">
        <v>-1.25</v>
      </c>
      <c r="K937" s="96" t="s">
        <v>43</v>
      </c>
      <c r="L937" s="97">
        <v>2.6</v>
      </c>
      <c r="M937" s="98"/>
      <c r="N937" s="478">
        <v>0</v>
      </c>
      <c r="O937" s="99">
        <f>IF(OR(AE937="",AE938=""),"",ROUND(IF(L939&gt;0,IF(M937&gt;0,M937,IF(M938&gt;0,ROUND((M938*AE937)/AE938,IF(N937=0,2,IF(N937=0.1,1,0))),ROUND((M939*AE937)/AE939,IF(N937=0,2,IF(N937=0.1,1,0))))),IF(M937&gt;0,M937,ROUND((M938*AE937)/AE938,IF(N937=0,2,IF(N937=0.1,1,0))))),2))</f>
        <v>22.17</v>
      </c>
      <c r="P937" s="100">
        <f>IF(OR(L937="",O937=""),"",IF($C937="1/2W",O937/2+O937/2*L937,IF($C937="1/2L",O937/2,IF(I937="Lay",(O937*(L937/(L937-1))-O937)*(1-_xlfn.XLOOKUP(K937,'Fevereiro 2023 - Valor Real'!A3:A15,'Fevereiro 2023 - Valor Real'!C3:C15,0))+O937,(O937*L937-O937)*(1-_xlfn.XLOOKUP(K937,'Fevereiro 2023 - Valor Real'!A3:A15,'Fevereiro 2023 - Valor Real'!C3:C15,0))+O937))))</f>
        <v>11.085000000000001</v>
      </c>
      <c r="Q937" s="101">
        <f>IF(K937="","",IF(_xlfn.XLOOKUP(K937,K$4:K936,$DJ$4:DJ936,0,,-1)=DJ937,_xlfn.XLOOKUP(K937,K$4:K936,Q$4:Q936,1,,-1)+1,1))</f>
        <v>3</v>
      </c>
      <c r="R937" s="102">
        <f>IF(K937="","",_xlfn.XLOOKUP(K937,K$4:K936,R$4:R936,0,,-1)+IF($C937=" ",1,0))</f>
        <v>0</v>
      </c>
      <c r="S937" s="474">
        <f>IF($B937="Anulado",0,ROUND(IF(OR($B937="LOSS",$B937="OK"),IF(OR($C937="W",$C937="1/2W",$C937="1/2L"),P937-O937,IF($C937="L",-O937,0))+IF(OR($C938="W",$C938="1/2W",$C938="1/2L"),P938-O938,IF($C938="L",-O938,0))+IF(OR($C939="W",$C939="1/2W",$C939="1/2L"),P939-O939,IF($C939="L",-O939,0)),IF(AND(OR($C937="W",$C937="1/2W",$C937="1/2L"),C938="W"),P937+P938-SUM(O937:O939)+_xlfn.XLOOKUP("X",C937:C939,O937:O939,0),IF(AND(C937=TRUE,C939="W"),P937+P939-SUM(O937:O939),IF(AND(C938="W",C939="W"),P938+P939-SUM(O937:O939)+_xlfn.XLOOKUP("X",C937:C939,O937:O939,0),IF(L939&gt;0,IF(OR($C937="W",$C937="1/2W",$C937="1/2L"),P937-SUM(O937:O939)+_xlfn.XLOOKUP("X",C937:C939,O937:O939,0),IF(OR($C937="W",$C937="1/2W",$C937="1/2L"),P938-SUM(O937:O939)+_xlfn.XLOOKUP("X",C937:C939,O937:O939,0),IF(OR($C937="W",$C937="1/2W",$C937="1/2L"),P939-SUM(O937:O939)+_xlfn.XLOOKUP("X",C937:C939,O937:O939,0),IF(SUM(P937:P939)/3-SUM(O937:O939)+_xlfn.XLOOKUP("X",C937:C939,O937:O939,0)&gt;0,SUM(P937:P939)/3-SUM(O937:O939)+_xlfn.XLOOKUP("X",C937:C939,O937:O939,0),LARGE(P937:P939,1)-SUM(O937:O939))))),IF(OR($C937="W",$C937="1/2W",$C937="1/2L"),P937-SUM(O937:O938)+_xlfn.XLOOKUP("X",C937:C939,O937:O939,0),IF(OR($C937="W",$C937="1/2W",$C937="1/2L"),P938-SUM(O937:O938)+_xlfn.XLOOKUP("X",C937:C939,O937:O939,0),SUM(P937:P938)/2-SUM(O937:O938)+_xlfn.XLOOKUP("X",C937:C939,O937:O939,0)))))))),2))</f>
        <v>1.99</v>
      </c>
      <c r="T937" s="458">
        <f>IF(S937=0,0,S937/SUM(O937:O939))</f>
        <v>3.707844233277436E-2</v>
      </c>
      <c r="U937" s="470">
        <f>IF($D937=$D934,IF(OR($B937="LOSS",$B937="OK",$B937="Anulada"),S937,0)+U934,IF(OR($B937="LOSS",$B937="OK",$B937="Anulada"),S937,0))</f>
        <v>59.32</v>
      </c>
      <c r="V937" s="470">
        <f>IF($D937="",0,IF($D937=$D934,IF($B937=" ",IF(I939="",IF(OR(AND(I937="DNB1",I938="DNB2"),AND(OR(I937="DNB1",I937="DNB2"),J938=0),AND(OR(I938="DNB1",I938="DNB2"),J937=0),AND(I937="DNB2",I938="DNB1"),AND(IF(J937=0,(J937+1)/ROUND(J937+1,0),J937/ROUND(J937,0))=1,IF(J938=0,(J938+1)/ROUND(IF(J938="",0,J938)+1,0),IF(J938="",0,J938)/ROUND(IF(J938="",1,J938),0))=1,OR(J937&lt;&gt;""),J938&lt;&gt;"")),0,IF(S937&lt;0,IF(I939="",SMALL(P937:P938,1)-SUM(O937:O938),0),SMALL(P937:P938,1)-SUM(O937:O938))),IF(S937&lt;0,IF(I939="",SMALL(P937:P939,1)-SUM(O937:O939),0),LARGE(P937:P939,1)-SUM(O937:O939))),S937)+V934,IF(I939="",IF(OR(AND(I937="DNB1",I938="DNB2"),AND(OR(I937="DNB1",I937="DNB2"),J938=0),AND(OR(I938="DNB1",I938="DNB2"),J937=0),AND(I937="DNB2",I938="DNB1"),AND(IF(J937=0,(J937+1)/ROUND(J937+1,0),J937/ROUND(J937,0))=1,IF(J938=0,(IF(J938="",0,J938)+1)/ROUND(IF(J938="",0,J938)+1,0),IF(J938="",0,J938)/ROUND(IF(J938="",0,J938)+1,0))=1,OR(J937&lt;&gt;""),J938&lt;&gt;"")),0,IF(S937&lt;0,IF(I939="",SMALL(P937:P938,1)-SUM(O937:O938),0),SMALL(P937:P939,1)-SUM(O937:O939))),IF(S937&lt;0,IF(I939="",SMALL(P937:P939,1)-SUM(O937:O939),0),LARGE(P937:P939,1)-SUM(O937:O939)))))</f>
        <v>59.323</v>
      </c>
      <c r="W937" s="470">
        <f>IF($D937=$D934,IF(S937&lt;0,IF(I939="",S937,0),S937)+W934,S937)</f>
        <v>59.32</v>
      </c>
      <c r="X937" s="480" t="str">
        <f>IF(OR(SUM(R937:R939)=0,V937=W937),ROUND(IF(W937=0,0,W937/Y937)*100,2)&amp;"%",ROUND(IF(V937=0,0,V937/Y937)*100,2)&amp;"% a "&amp;ROUND(IF(W937=0,0,W937/Y937)*100,2)&amp;"%")</f>
        <v>20,3%</v>
      </c>
      <c r="Y937" s="471">
        <f>IF($D937=$D934,Y934+SUM(O937:O939),SUM(O937:O939))</f>
        <v>292.14999999999998</v>
      </c>
      <c r="Z937" s="470">
        <f>IF($B937=" ",SUM(O937:O939),0)+Z934</f>
        <v>0</v>
      </c>
      <c r="AA937" s="470">
        <f>IF(G937="","",IF($B937="Anulado",LARGE(P937:P939,1)-SUM(O937:O939)+AA934,AA934))</f>
        <v>14.77109999999999</v>
      </c>
      <c r="AB937" s="470">
        <f>IF($D937="","",AB934+S937)</f>
        <v>1085.1200000000013</v>
      </c>
      <c r="AC937" s="472">
        <f ca="1">IF($D937="","",IF($B937=" ",IF(DAY(G937)=DAY(TODAY()),1+AC934,0+AC934),0+AC934))</f>
        <v>0</v>
      </c>
      <c r="AD937" s="103">
        <f>(((L938/(L938-1)-1)*(1-_xlfn.XLOOKUP(K938,'Fevereiro 2023 - Valor Real'!A3:A15,'Fevereiro 2023 - Valor Real'!C3:C15,0))+1))/(((L937-1)*(1-_xlfn.XLOOKUP(K937,'Fevereiro 2023 - Valor Real'!A3:A15,'Fevereiro 2023 - Valor Real'!C3:C15,0))+1)+((L938/(L938-1)-1)*(1-_xlfn.XLOOKUP(K938,'Fevereiro 2023 - Valor Real'!A3:A15,'Fevereiro 2023 - Valor Real'!C3:C15,0))+1))</f>
        <v>0.45887662988966893</v>
      </c>
      <c r="AE937" s="104">
        <f>IF(L937="","",IF(L939&gt;0,(SUM(((L937-1)*(1-_xlfn.XLOOKUP(K937,'Fevereiro 2023 - Valor Real'!A3:A15,'Fevereiro 2023 - Valor Real'!C3:C15,0))+1),((L938-1)*(1-_xlfn.XLOOKUP(K938,'Fevereiro 2023 - Valor Real'!A3:A15,'Fevereiro 2023 - Valor Real'!C3:C15,0))+1),((L939-1)*(1-_xlfn.XLOOKUP(K939,'Fevereiro 2023 - Valor Real'!A3:A15,'Fevereiro 2023 - Valor Real'!C3:C15,0))+1))/((L937-1)*(1-_xlfn.XLOOKUP(K937,'Fevereiro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Real'!C3:C15,0))+1))/((L937-1)*(1-_xlfn.XLOOKUP(K937,'Fevereiro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Real'!C3:C15,0))+1))/((L938-1)*(1-_xlfn.XLOOKUP(K938,'Fevereiro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Real'!C3:C15,0))+1))/((L939-1)*(1-_xlfn.XLOOKUP(K939,'Fevereiro 2023 - Valor Real'!A3:A15,'Fevereiro 2023 - Valor Real'!C3:C15,0))+1)),IF(I937="Lay",IF(I938="Lay",((L938/(L938-1)-1)*(1-_xlfn.XLOOKUP(K938,'Fevereiro 2023 - Valor Real'!A3:A15,'Fevereiro 2023 - Valor Real'!C3:C15,0))+1)/(((L938/(L938-1)-1)*(1-_xlfn.XLOOKUP(K938,'Fevereiro 2023 - Valor Real'!A3:A15,'Fevereiro 2023 - Valor Real'!C3:C15,0))+1)+((L937/(L937-1)-1)*(1-_xlfn.XLOOKUP(K937,'Fevereiro 2023 - Valor Real'!A3:A15,'Fevereiro 2023 - Valor Real'!C3:C15,0))+1)),((L938-1)*(1-_xlfn.XLOOKUP(K938,'Fevereiro 2023 - Valor Real'!A3:A15,'Fevereiro 2023 - Valor Real'!C3:C15,0))+1)/(((L938-1)*(1-_xlfn.XLOOKUP(K938,'Fevereiro 2023 - Valor Real'!A3:A15,'Fevereiro 2023 - Valor Real'!C3:C15,0))+1)+((L937/(L937-1)-1)*(1-_xlfn.XLOOKUP(K937,'Fevereiro 2023 - Valor Real'!A3:A15,'Fevereiro 2023 - Valor Real'!C3:C15,0))+1))),IF(I938="Lay",(((L938/(L938-1)-1)*(1-_xlfn.XLOOKUP(K938,'Fevereiro 2023 - Valor Real'!A3:A15,'Fevereiro 2023 - Valor Real'!C3:C15,0))+1))/(((L937-1)*(1-_xlfn.XLOOKUP(K937,'Fevereiro 2023 - Valor Real'!A3:A15,'Fevereiro 2023 - Valor Real'!C3:C15,0))+1)+((L938/(L938-1)-1)*(1-_xlfn.XLOOKUP(K938,'Fevereiro 2023 - Valor Real'!A3:A15,'Fevereiro 2023 - Valor Real'!C3:C15,0))+1)),((L938-1)*(1-_xlfn.XLOOKUP(K938,'Fevereiro 2023 - Valor Real'!A3:A15,'Fevereiro 2023 - Valor Real'!C3:C15,0))+1)/(((L938-1)*(1-_xlfn.XLOOKUP(K938,'Fevereiro 2023 - Valor Real'!A3:A15,'Fevereiro 2023 - Valor Real'!C3:C15,0))+1)+((L937-1)*(1-_xlfn.XLOOKUP(K937,'Fevereiro 2023 - Valor Real'!A3:A15,'Fevereiro 2023 - Valor Real'!C3:C15,0))+1))))))</f>
        <v>0.41309255079006774</v>
      </c>
      <c r="AF937" s="105">
        <f t="shared" si="1876"/>
        <v>0</v>
      </c>
      <c r="AG937" s="106">
        <f t="shared" si="1876"/>
        <v>0</v>
      </c>
      <c r="AH937" s="106">
        <f t="shared" si="1876"/>
        <v>0</v>
      </c>
      <c r="AI937" s="106">
        <f t="shared" si="1876"/>
        <v>0</v>
      </c>
      <c r="AJ937" s="106">
        <f t="shared" si="1876"/>
        <v>0</v>
      </c>
      <c r="AK937" s="106">
        <f t="shared" si="1876"/>
        <v>0</v>
      </c>
      <c r="AL937" s="106">
        <f t="shared" si="1876"/>
        <v>0</v>
      </c>
      <c r="AM937" s="106">
        <f t="shared" si="1876"/>
        <v>-11.09</v>
      </c>
      <c r="AN937" s="106">
        <f t="shared" si="1876"/>
        <v>0</v>
      </c>
      <c r="AO937" s="106">
        <f t="shared" si="1876"/>
        <v>0</v>
      </c>
      <c r="AP937" s="106">
        <f t="shared" si="1876"/>
        <v>0</v>
      </c>
      <c r="AQ937" s="106">
        <f t="shared" si="1876"/>
        <v>0</v>
      </c>
      <c r="AR937" s="107">
        <f t="shared" si="1876"/>
        <v>0</v>
      </c>
      <c r="AS937" s="105">
        <f t="shared" ref="AS937:BE937" si="1882">IF(AND($B937=" ",$K937=AS$3),$O937,0)</f>
        <v>0</v>
      </c>
      <c r="AT937" s="106">
        <f t="shared" si="1882"/>
        <v>0</v>
      </c>
      <c r="AU937" s="106">
        <f t="shared" si="1882"/>
        <v>0</v>
      </c>
      <c r="AV937" s="106">
        <f t="shared" si="1882"/>
        <v>0</v>
      </c>
      <c r="AW937" s="106">
        <f t="shared" si="1882"/>
        <v>0</v>
      </c>
      <c r="AX937" s="106">
        <f t="shared" si="1882"/>
        <v>0</v>
      </c>
      <c r="AY937" s="108">
        <f t="shared" si="1882"/>
        <v>0</v>
      </c>
      <c r="AZ937" s="109">
        <f t="shared" si="1882"/>
        <v>0</v>
      </c>
      <c r="BA937" s="109">
        <f t="shared" si="1882"/>
        <v>0</v>
      </c>
      <c r="BB937" s="109">
        <f t="shared" si="1882"/>
        <v>0</v>
      </c>
      <c r="BC937" s="110">
        <f t="shared" si="1882"/>
        <v>0</v>
      </c>
      <c r="BD937" s="106">
        <f t="shared" si="1882"/>
        <v>0</v>
      </c>
      <c r="BE937" s="107">
        <f t="shared" si="1882"/>
        <v>0</v>
      </c>
      <c r="BF937" s="111">
        <f t="shared" si="1878"/>
        <v>0</v>
      </c>
      <c r="BG937" s="106">
        <f t="shared" si="1878"/>
        <v>0</v>
      </c>
      <c r="BH937" s="106">
        <f t="shared" si="1878"/>
        <v>0</v>
      </c>
      <c r="BI937" s="106">
        <f t="shared" si="1878"/>
        <v>0</v>
      </c>
      <c r="BJ937" s="106">
        <f t="shared" si="1878"/>
        <v>0</v>
      </c>
      <c r="BK937" s="106">
        <f t="shared" si="1878"/>
        <v>0</v>
      </c>
      <c r="BL937" s="106">
        <f t="shared" si="1878"/>
        <v>0</v>
      </c>
      <c r="BM937" s="108">
        <f t="shared" si="1878"/>
        <v>22.17</v>
      </c>
      <c r="BN937" s="109">
        <f t="shared" si="1878"/>
        <v>0</v>
      </c>
      <c r="BO937" s="109">
        <f t="shared" si="1878"/>
        <v>0</v>
      </c>
      <c r="BP937" s="109">
        <f t="shared" si="1878"/>
        <v>0</v>
      </c>
      <c r="BQ937" s="110">
        <f t="shared" si="1878"/>
        <v>0</v>
      </c>
      <c r="BR937" s="107">
        <f t="shared" si="1878"/>
        <v>0</v>
      </c>
      <c r="BS937" s="463">
        <f>IF($B937="LOSS",IF(AND($K937=BS$3,$C937="L"),-$O937,0)+IF(AND($K938=BS$3,$C938="L"),-$O938,0)+IF(AND($K939=BS$3,$C939="L"),-$O939,0),IF(OR(AND($K937=BS$3,OR($C937="W",$C937="1/2W")),AND($K938=BS$3,OR($C938="W",$C938="1/2W")),AND($K939=BS$3,OR($C939="W",$C939="1/2W"))),$S937,0))</f>
        <v>0</v>
      </c>
      <c r="BT937" s="462">
        <f>IF($B937="LOSS",IF(AND($K937=BT$3,$C937="L"),-$O937,0)+IF(AND($K938=BT$3,$C938="L"),-$O938,0)+IF(AND($K938=BT$3,$C939="L"),-$O939,0),IF(OR(AND($K938=BT$3,OR($C937="W",$C937="1/2W")),AND($K938=BT$3,OR($C938="W",$C938="1/2W")),AND($K938=BT$3,OR($C939="W",$C939="1/2W"))),$S937,0))</f>
        <v>0</v>
      </c>
      <c r="BU937" s="462">
        <f>IF($B937="LOSS",IF(AND($K937=BU$3,$C937="L"),-$O937,0)+IF(AND($K938=BU$3,$C938="L"),-$O938,0)+IF(AND($K938=BU$3,$C939="L"),-$O939,0),IF(OR(AND($K938=BU$3,OR($C937="W",$C937="1/2W")),AND($K938=BU$3,OR($C938="W",$C938="1/2W")),AND($K938=BU$3,OR($C939="W",$C939="1/2W"))),$S937,0))</f>
        <v>0</v>
      </c>
      <c r="BV937" s="462">
        <f t="shared" ref="BV937:CE937" si="1883">IF($B937="LOSS",IF(AND($K937=BV$3,$C937="L"),-$O937,0)+IF(AND($K938=BV$3,$C938="L"),-$O938,0)+IF(AND($K939=BV$3,$C939="L"),-$O939,0),IF(OR(AND($K937=BV$3,OR($C937="W",$C937="1/2W")),AND($K938=BV$3,OR($C938="W",$C938="1/2W")),AND($K939=BV$3,OR($C939="W",$C939="1/2W"))),$S937,0))</f>
        <v>0</v>
      </c>
      <c r="BW937" s="462">
        <f t="shared" si="1883"/>
        <v>0</v>
      </c>
      <c r="BX937" s="462">
        <f t="shared" si="1883"/>
        <v>0</v>
      </c>
      <c r="BY937" s="462">
        <f t="shared" si="1883"/>
        <v>0</v>
      </c>
      <c r="BZ937" s="460">
        <f t="shared" si="1883"/>
        <v>0</v>
      </c>
      <c r="CA937" s="460">
        <f t="shared" si="1883"/>
        <v>0</v>
      </c>
      <c r="CB937" s="460">
        <f t="shared" si="1883"/>
        <v>0</v>
      </c>
      <c r="CC937" s="460">
        <f t="shared" si="1883"/>
        <v>0</v>
      </c>
      <c r="CD937" s="473">
        <f t="shared" si="1883"/>
        <v>1.99</v>
      </c>
      <c r="CE937" s="479">
        <f t="shared" si="1883"/>
        <v>0</v>
      </c>
      <c r="CF937" s="113">
        <f t="shared" si="1796"/>
        <v>0</v>
      </c>
      <c r="CG937" s="114">
        <f t="shared" si="1797"/>
        <v>0</v>
      </c>
      <c r="CH937" s="114">
        <f t="shared" si="1798"/>
        <v>0</v>
      </c>
      <c r="CI937" s="114">
        <f t="shared" si="1799"/>
        <v>0</v>
      </c>
      <c r="CJ937" s="114">
        <f t="shared" si="1800"/>
        <v>0</v>
      </c>
      <c r="CK937" s="114">
        <f t="shared" si="1801"/>
        <v>0</v>
      </c>
      <c r="CL937" s="114">
        <f t="shared" si="1802"/>
        <v>0</v>
      </c>
      <c r="CM937" s="114">
        <f t="shared" si="1803"/>
        <v>0</v>
      </c>
      <c r="CN937" s="114">
        <f t="shared" si="1804"/>
        <v>0</v>
      </c>
      <c r="CO937" s="114">
        <f t="shared" si="1805"/>
        <v>0</v>
      </c>
      <c r="CP937" s="114">
        <f t="shared" si="1806"/>
        <v>0</v>
      </c>
      <c r="CQ937" s="114">
        <f t="shared" si="1807"/>
        <v>0</v>
      </c>
      <c r="CR937" s="114">
        <f t="shared" si="1808"/>
        <v>0</v>
      </c>
      <c r="CS937" s="114">
        <f t="shared" si="1809"/>
        <v>0</v>
      </c>
      <c r="CT937" s="115">
        <f t="shared" si="1810"/>
        <v>0</v>
      </c>
      <c r="CU937" s="116">
        <f t="shared" si="1811"/>
        <v>0.5</v>
      </c>
      <c r="CV937" s="116">
        <f t="shared" si="1812"/>
        <v>0</v>
      </c>
      <c r="CW937" s="116">
        <f t="shared" si="1813"/>
        <v>0</v>
      </c>
      <c r="CX937" s="116">
        <f t="shared" si="1814"/>
        <v>0</v>
      </c>
      <c r="CY937" s="116">
        <f t="shared" si="1815"/>
        <v>0</v>
      </c>
      <c r="CZ937" s="116">
        <f t="shared" si="1816"/>
        <v>0</v>
      </c>
      <c r="DA937" s="116">
        <f t="shared" si="1817"/>
        <v>0</v>
      </c>
      <c r="DB937" s="116">
        <f t="shared" si="1818"/>
        <v>0</v>
      </c>
      <c r="DC937" s="116">
        <f t="shared" si="1819"/>
        <v>0</v>
      </c>
      <c r="DD937" s="116">
        <f t="shared" si="1820"/>
        <v>0</v>
      </c>
      <c r="DE937" s="117">
        <f t="shared" si="1821"/>
        <v>0</v>
      </c>
      <c r="DF937" s="118">
        <f t="shared" si="1824"/>
        <v>57</v>
      </c>
      <c r="DG937" s="106">
        <f t="shared" si="1825"/>
        <v>76.963000000000008</v>
      </c>
      <c r="DH937" s="116">
        <f t="shared" si="1826"/>
        <v>19</v>
      </c>
      <c r="DI937" s="106">
        <f t="shared" si="1827"/>
        <v>81.47</v>
      </c>
      <c r="DJ937" s="201" t="str">
        <f>IF($D937="","",$D937)</f>
        <v>31</v>
      </c>
      <c r="DK937" s="465">
        <f>IF(AND($B937=" ",$D937&lt;&gt;""),1,0)</f>
        <v>0</v>
      </c>
    </row>
    <row r="938" spans="1:115" ht="14.5" customHeight="1" x14ac:dyDescent="0.2">
      <c r="A938" s="389"/>
      <c r="B938" s="456"/>
      <c r="C938" s="120" t="s">
        <v>184</v>
      </c>
      <c r="D938" s="374"/>
      <c r="E938" s="386"/>
      <c r="F938" s="377"/>
      <c r="G938" s="483"/>
      <c r="H938" s="476"/>
      <c r="I938" s="121" t="s">
        <v>76</v>
      </c>
      <c r="J938" s="122">
        <f>IF(OR(I937="TO",I937="TU",I937="TO1",I937="TU1",I937="TO2",I937="TU2"),J937,IF(OR(I937="AH1",I937="AH2"),IF(OR(I938="AH1",I938="AH2"),-J937,IF(OR(I938="EH1",I938="EH2"),-J937+0.5,"")),IF(OR(I937="EH1",I937="EH2"),IF(OR(I938="AH1",I938="AH2"),-J937+0.5,IF(OR(I938="EH1",I938="EH2"),-J937+1,"")),IF(AND(OR(I937="DNB1",I937="DNB2"),OR(I938="AH1",I938="AH2")),0,IF(AND(I937="Not ScoreBoth",OR(I938="TO1",I938="TO2")),0.5,"")))))</f>
        <v>1.25</v>
      </c>
      <c r="K938" s="123" t="s">
        <v>47</v>
      </c>
      <c r="L938" s="124">
        <v>1.83</v>
      </c>
      <c r="M938" s="125">
        <v>31.5</v>
      </c>
      <c r="N938" s="406"/>
      <c r="O938" s="126">
        <f>IF(OR(AE937="",AE938=""),"",ROUND(IF(L939&gt;0,IF(M938&gt;0,M938,IF(M937&gt;0,IF(N937=TRUE,ROUND((M937*AE938)/AE937,0),(M937*AE938)/AE937),IF(M938&gt;0,ROUND(M938,IF(N937=0,2,IF(N937=0.1,1,0))),IF(M939&gt;0,ROUND(O939*AE938/AE939,IF(N937=0,2,IF(N937=0.1,1,0))),0)))),IF(M938&gt;0,M938,ROUND((M937*AE938)/AE937,IF(N937=0,2,IF(N937=0.1,1,0))))),2))</f>
        <v>31.5</v>
      </c>
      <c r="P938" s="127">
        <f>IF(OR(L938="",O938=""),"",IF($C938="1/2W",O938/2+O938/2*L938,IF($C938="1/2L",O938/2,IF(I938="Lay",((O938*(L938/(L938-1)))-O938)*(1-_xlfn.XLOOKUP(K938,'Fevereiro 2023 - Valor Real'!A3:A15,'Fevereiro 2023 - Valor Real'!C3:C15,0))+O938,(O938*L938-O938)*(1-_xlfn.XLOOKUP(K938,'Fevereiro 2023 - Valor Real'!A3:A15,'Fevereiro 2023 - Valor Real'!C3:C15,0))+O938))))</f>
        <v>44.572500000000005</v>
      </c>
      <c r="Q938" s="128">
        <f>IF(K938="","",IF(_xlfn.XLOOKUP(K938,K$4:K937,$DJ$4:DJ937,0,,-1)=DJ938,_xlfn.XLOOKUP(K938,K$4:K937,Q$4:Q937,1,,-1)+1,1))</f>
        <v>4</v>
      </c>
      <c r="R938" s="129">
        <f>IF(K938="","",_xlfn.XLOOKUP(K938,K$4:K937,R$4:R937,0,,-1)+IF($C938=" ",1,0))</f>
        <v>0</v>
      </c>
      <c r="S938" s="403"/>
      <c r="T938" s="380"/>
      <c r="U938" s="380"/>
      <c r="V938" s="481"/>
      <c r="W938" s="380"/>
      <c r="X938" s="452"/>
      <c r="Y938" s="383"/>
      <c r="Z938" s="384"/>
      <c r="AA938" s="384"/>
      <c r="AB938" s="384"/>
      <c r="AC938" s="384"/>
      <c r="AD938" s="130">
        <f>(((L938/(L938-1)-1)*(1-_xlfn.XLOOKUP(K938,'Fevereiro 2023 - Valor Real'!A3:A15,'Fevereiro 2023 - Valor Real'!C3:C15,0))+1))</f>
        <v>2.2048192771084336</v>
      </c>
      <c r="AE938" s="131">
        <f>IF(L938="","",IF(L939&gt;0,(SUM(((L937-1)*(1-_xlfn.XLOOKUP(K937,'Fevereiro 2023 - Valor Real'!A3:A15,'Fevereiro 2023 - Valor Real'!C3:C15,0))+1),((L938-1)*(1-_xlfn.XLOOKUP(K938,'Fevereiro 2023 - Valor Real'!A3:A15,'Fevereiro 2023 - Valor Real'!C3:C15,0))+1),((L939-1)*(1-_xlfn.XLOOKUP(K939,'Fevereiro 2023 - Valor Real'!A3:A15,'Fevereiro 2023 - Valor Real'!C3:C15,0))+1))/((L938-1)*(1-_xlfn.XLOOKUP(K938,'Fevereiro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Real'!C3:C15,0))+1))/((L937-1)*(1-_xlfn.XLOOKUP(K937,'Fevereiro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Real'!C3:C15,0))+1))/((L938-1)*(1-_xlfn.XLOOKUP(K938,'Fevereiro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Real'!C3:C15,0))+1))/((L939-1)*(1-_xlfn.XLOOKUP(K939,'Fevereiro 2023 - Valor Real'!A3:A15,'Fevereiro 2023 - Valor Real'!C3:C15,0))+1)),IF(I938="Lay",IF(I937="Lay",((L937/(L937-1)-1)*(1-_xlfn.XLOOKUP(K937,'Fevereiro 2023 - Valor Real'!A3:A15,'Fevereiro 2023 - Valor Real'!C3:C15,0))+1)/(((L937/(L937-1)-1)*(1-_xlfn.XLOOKUP(K937,'Fevereiro 2023 - Valor Real'!A3:A15,'Fevereiro 2023 - Valor Real'!C3:C15,0))+1)+((L938/(L938-1)-1)*(1-_xlfn.XLOOKUP(K938,'Fevereiro 2023 - Valor Real'!A3:A15,'Fevereiro 2023 - Valor Real'!C3:C15,0))+1)),((L937-1)*(1-_xlfn.XLOOKUP(K937,'Fevereiro 2023 - Valor Real'!A3:A15,'Fevereiro 2023 - Valor Real'!C3:C15,0))+1)/(((L937-1)*(1-_xlfn.XLOOKUP(K937,'Fevereiro 2023 - Valor Real'!A3:A15,'Fevereiro 2023 - Valor Real'!C3:C15,0))+1)+((L938/(L938-1)-1)*(1-_xlfn.XLOOKUP(K938,'Fevereiro 2023 - Valor Real'!A3:A15,'Fevereiro 2023 - Valor Real'!C3:C15,0))+1))),IF(I937="Lay",((L937/(L937-1)-1)*(1-_xlfn.XLOOKUP(K937,'Fevereiro 2023 - Valor Real'!A3:A15,'Fevereiro 2023 - Valor Real'!C3:C15,0))+1)/((((L937/(L937-1)-1)*(1-_xlfn.XLOOKUP(K937,'Fevereiro 2023 - Valor Real'!A3:A15,'Fevereiro 2023 - Valor Real'!C3:C15,0))+1))+((L938-1)*(1-_xlfn.XLOOKUP(K938,'Fevereiro 2023 - Valor Real'!A3:A15,'Fevereiro 2023 - Valor Real'!C3:C15,0))+1)),((L937-1)*(1-_xlfn.XLOOKUP(K937,'Fevereiro 2023 - Valor Real'!A3:A15,'Fevereiro 2023 - Valor Real'!C3:C15,0))+1)/(((L937-1)*(1-_xlfn.XLOOKUP(K937,'Fevereiro 2023 - Valor Real'!A3:A15,'Fevereiro 2023 - Valor Real'!C3:C15,0))+1)+((L938-1)*(1-_xlfn.XLOOKUP(K938,'Fevereiro 2023 - Valor Real'!A3:A15,'Fevereiro 2023 - Valor Real'!C3:C15,0))+1))))))</f>
        <v>0.58690744920993232</v>
      </c>
      <c r="AF938" s="105">
        <f t="shared" si="1876"/>
        <v>0</v>
      </c>
      <c r="AG938" s="106">
        <f t="shared" si="1876"/>
        <v>0</v>
      </c>
      <c r="AH938" s="106">
        <f t="shared" si="1876"/>
        <v>0</v>
      </c>
      <c r="AI938" s="106">
        <f t="shared" si="1876"/>
        <v>0</v>
      </c>
      <c r="AJ938" s="106">
        <f t="shared" si="1876"/>
        <v>0</v>
      </c>
      <c r="AK938" s="106">
        <f t="shared" si="1876"/>
        <v>0</v>
      </c>
      <c r="AL938" s="106">
        <f t="shared" si="1876"/>
        <v>0</v>
      </c>
      <c r="AM938" s="106">
        <f t="shared" si="1876"/>
        <v>0</v>
      </c>
      <c r="AN938" s="106">
        <f t="shared" si="1876"/>
        <v>0</v>
      </c>
      <c r="AO938" s="106">
        <f t="shared" si="1876"/>
        <v>0</v>
      </c>
      <c r="AP938" s="106">
        <f t="shared" si="1876"/>
        <v>0</v>
      </c>
      <c r="AQ938" s="106">
        <f t="shared" si="1876"/>
        <v>13.07</v>
      </c>
      <c r="AR938" s="107">
        <f t="shared" si="1876"/>
        <v>0</v>
      </c>
      <c r="AS938" s="105">
        <f>IF(AND($B937=" ",$K938=AS$3),$O938,0)</f>
        <v>0</v>
      </c>
      <c r="AT938" s="106">
        <f>IF(AND($B937=" ",K938=AT$3),$O938,0)</f>
        <v>0</v>
      </c>
      <c r="AU938" s="106">
        <f t="shared" ref="AU938:BE938" si="1884">IF(AND($B937=" ",$K938=AU$3),$O938,0)</f>
        <v>0</v>
      </c>
      <c r="AV938" s="106">
        <f t="shared" si="1884"/>
        <v>0</v>
      </c>
      <c r="AW938" s="106">
        <f t="shared" si="1884"/>
        <v>0</v>
      </c>
      <c r="AX938" s="106">
        <f t="shared" si="1884"/>
        <v>0</v>
      </c>
      <c r="AY938" s="108">
        <f t="shared" si="1884"/>
        <v>0</v>
      </c>
      <c r="AZ938" s="109">
        <f t="shared" si="1884"/>
        <v>0</v>
      </c>
      <c r="BA938" s="109">
        <f t="shared" si="1884"/>
        <v>0</v>
      </c>
      <c r="BB938" s="109">
        <f t="shared" si="1884"/>
        <v>0</v>
      </c>
      <c r="BC938" s="110">
        <f t="shared" si="1884"/>
        <v>0</v>
      </c>
      <c r="BD938" s="106">
        <f t="shared" si="1884"/>
        <v>0</v>
      </c>
      <c r="BE938" s="107">
        <f t="shared" si="1884"/>
        <v>0</v>
      </c>
      <c r="BF938" s="105">
        <f t="shared" si="1878"/>
        <v>0</v>
      </c>
      <c r="BG938" s="106">
        <f t="shared" si="1878"/>
        <v>0</v>
      </c>
      <c r="BH938" s="106">
        <f t="shared" si="1878"/>
        <v>0</v>
      </c>
      <c r="BI938" s="106">
        <f t="shared" si="1878"/>
        <v>0</v>
      </c>
      <c r="BJ938" s="106">
        <f t="shared" si="1878"/>
        <v>0</v>
      </c>
      <c r="BK938" s="106">
        <f t="shared" si="1878"/>
        <v>0</v>
      </c>
      <c r="BL938" s="106">
        <f t="shared" si="1878"/>
        <v>0</v>
      </c>
      <c r="BM938" s="132">
        <f t="shared" si="1878"/>
        <v>0</v>
      </c>
      <c r="BN938" s="112">
        <f t="shared" si="1878"/>
        <v>0</v>
      </c>
      <c r="BO938" s="112">
        <f t="shared" si="1878"/>
        <v>0</v>
      </c>
      <c r="BP938" s="112">
        <f t="shared" si="1878"/>
        <v>0</v>
      </c>
      <c r="BQ938" s="110">
        <f t="shared" si="1878"/>
        <v>31.5</v>
      </c>
      <c r="BR938" s="107">
        <f t="shared" si="1878"/>
        <v>0</v>
      </c>
      <c r="BS938" s="464"/>
      <c r="BT938" s="461"/>
      <c r="BU938" s="392"/>
      <c r="BV938" s="461"/>
      <c r="BW938" s="392"/>
      <c r="BX938" s="392"/>
      <c r="BY938" s="392"/>
      <c r="BZ938" s="461"/>
      <c r="CA938" s="392"/>
      <c r="CB938" s="392"/>
      <c r="CC938" s="392"/>
      <c r="CD938" s="401"/>
      <c r="CE938" s="409"/>
      <c r="CF938" s="133">
        <f t="shared" si="1796"/>
        <v>0</v>
      </c>
      <c r="CG938" s="134">
        <f t="shared" si="1797"/>
        <v>0</v>
      </c>
      <c r="CH938" s="134">
        <f t="shared" si="1798"/>
        <v>0</v>
      </c>
      <c r="CI938" s="134">
        <f t="shared" si="1799"/>
        <v>0</v>
      </c>
      <c r="CJ938" s="134">
        <f t="shared" si="1800"/>
        <v>0</v>
      </c>
      <c r="CK938" s="134">
        <f t="shared" si="1801"/>
        <v>0</v>
      </c>
      <c r="CL938" s="134">
        <f t="shared" si="1802"/>
        <v>0</v>
      </c>
      <c r="CM938" s="134">
        <f t="shared" si="1803"/>
        <v>0</v>
      </c>
      <c r="CN938" s="134">
        <f t="shared" si="1804"/>
        <v>0</v>
      </c>
      <c r="CO938" s="134">
        <f t="shared" si="1805"/>
        <v>0</v>
      </c>
      <c r="CP938" s="134">
        <f t="shared" si="1806"/>
        <v>0</v>
      </c>
      <c r="CQ938" s="134">
        <f t="shared" si="1807"/>
        <v>0</v>
      </c>
      <c r="CR938" s="134">
        <f t="shared" si="1808"/>
        <v>0</v>
      </c>
      <c r="CS938" s="134">
        <f t="shared" si="1809"/>
        <v>0</v>
      </c>
      <c r="CT938" s="115">
        <f t="shared" si="1810"/>
        <v>0</v>
      </c>
      <c r="CU938" s="116">
        <f t="shared" si="1811"/>
        <v>0</v>
      </c>
      <c r="CV938" s="116">
        <f t="shared" si="1812"/>
        <v>0</v>
      </c>
      <c r="CW938" s="116">
        <f t="shared" si="1813"/>
        <v>0</v>
      </c>
      <c r="CX938" s="116">
        <f t="shared" si="1814"/>
        <v>0</v>
      </c>
      <c r="CY938" s="116">
        <f t="shared" si="1815"/>
        <v>0</v>
      </c>
      <c r="CZ938" s="116">
        <f t="shared" si="1816"/>
        <v>0</v>
      </c>
      <c r="DA938" s="116">
        <f t="shared" si="1817"/>
        <v>0</v>
      </c>
      <c r="DB938" s="116">
        <f t="shared" si="1818"/>
        <v>0.5</v>
      </c>
      <c r="DC938" s="116">
        <f t="shared" si="1819"/>
        <v>0</v>
      </c>
      <c r="DD938" s="116">
        <f t="shared" si="1820"/>
        <v>0</v>
      </c>
      <c r="DE938" s="117">
        <f t="shared" si="1821"/>
        <v>0</v>
      </c>
      <c r="DF938" s="118">
        <f t="shared" si="1824"/>
        <v>57</v>
      </c>
      <c r="DG938" s="106">
        <f t="shared" si="1825"/>
        <v>76.963000000000008</v>
      </c>
      <c r="DH938" s="116">
        <f t="shared" si="1826"/>
        <v>19</v>
      </c>
      <c r="DI938" s="106">
        <f t="shared" si="1827"/>
        <v>81.47</v>
      </c>
      <c r="DJ938" s="201" t="str">
        <f>IF($D937="","",$D937)</f>
        <v>31</v>
      </c>
      <c r="DK938" s="466"/>
    </row>
    <row r="939" spans="1:115" ht="14.5" customHeight="1" x14ac:dyDescent="0.2">
      <c r="A939" s="390"/>
      <c r="B939" s="457"/>
      <c r="C939" s="135" t="s">
        <v>53</v>
      </c>
      <c r="D939" s="375"/>
      <c r="E939" s="387"/>
      <c r="F939" s="378"/>
      <c r="G939" s="484"/>
      <c r="H939" s="477"/>
      <c r="I939" s="136"/>
      <c r="J939" s="137"/>
      <c r="K939" s="138"/>
      <c r="L939" s="139"/>
      <c r="M939" s="140"/>
      <c r="N939" s="407"/>
      <c r="O939" s="141" t="str">
        <f>IF(OR(AE937="",AE938=""),"",IF(L939&gt;0,ROUND(IF(M939&gt;0,M939,IF(M937&gt;0,ROUND((M937*AE939)/AE937,IF(N937=0,2,IF(N937=0.1,1,0))),IF(M938&gt;0,ROUND((M938*AE939)/AE938,IF(N937=0,2,IF(N937=0.1,1,0))),IF(M939&gt;0,M939,0)))),2),""))</f>
        <v/>
      </c>
      <c r="P939" s="142" t="str">
        <f>IF(I938="Lay",O938*(L938/(L938-1))-O938,IF(I937="Lay",O937*(L937/(L937-1))-O937,IF(OR(L939="",O939=""),"",IF($C939="1/2W",O939/2+O939/2*L939,IF($C939="1/2L",O939/2,(O939*L939-O939)*(1-_xlfn.XLOOKUP(K939,'Fevereiro 2023 - Valor Real'!A3:A15,'Fevereiro 2023 - Valor Real'!C3:C15,0))+O939)))))</f>
        <v/>
      </c>
      <c r="Q939" s="221" t="str">
        <f>IF(K939="","",IF(_xlfn.XLOOKUP(K939,K$4:K938,$DJ$4:DJ938,0,,-1)=DJ939,_xlfn.XLOOKUP(K939,K$4:K938,Q$4:Q938,1,,-1)+1,1))</f>
        <v/>
      </c>
      <c r="R939" s="144" t="str">
        <f>IF(K939="","",_xlfn.XLOOKUP(K939,K$4:K938,R$4:R938,0,,-1)+IF($C939=" ",1,0))</f>
        <v/>
      </c>
      <c r="S939" s="404"/>
      <c r="T939" s="378"/>
      <c r="U939" s="378"/>
      <c r="V939" s="404"/>
      <c r="W939" s="378"/>
      <c r="X939" s="453"/>
      <c r="Y939" s="383"/>
      <c r="Z939" s="384"/>
      <c r="AA939" s="384"/>
      <c r="AB939" s="384"/>
      <c r="AC939" s="384"/>
      <c r="AD939" s="145">
        <f>((L938/(L938-1)-1))</f>
        <v>1.2048192771084336</v>
      </c>
      <c r="AE939" s="146" t="str">
        <f>IF(L939="","",(SUM(((L937-1)*(1-_xlfn.XLOOKUP(K937,'Fevereiro 2023 - Valor Real'!A3:A15,'Fevereiro 2023 - Valor Real'!C3:C15,0))+1),((L938-1)*(1-_xlfn.XLOOKUP(K938,'Fevereiro 2023 - Valor Real'!A3:A15,'Fevereiro 2023 - Valor Real'!C3:C15,0))+1),((L939-1)*(1-_xlfn.XLOOKUP(K939,'Fevereiro 2023 - Valor Real'!A3:A15,'Fevereiro 2023 - Valor Real'!C3:C15,0))+1))/((L939-1)*(1-_xlfn.XLOOKUP(K939,'Fevereiro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Real'!C3:C15,0))+1))/((L937-1)*(1-_xlfn.XLOOKUP(K937,'Fevereiro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Real'!C3:C15,0))+1))/((L938-1)*(1-_xlfn.XLOOKUP(K938,'Fevereiro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Real'!C3:C15,0))+1))/((L939-1)*(1-_xlfn.XLOOKUP(K939,'Fevereiro 2023 - Valor Real'!A3:A15,'Fevereiro 2023 - Valor Real'!C3:C15,0))+1)))</f>
        <v/>
      </c>
      <c r="AF939" s="105">
        <f t="shared" si="1876"/>
        <v>0</v>
      </c>
      <c r="AG939" s="106">
        <f t="shared" si="1876"/>
        <v>0</v>
      </c>
      <c r="AH939" s="106">
        <f t="shared" si="1876"/>
        <v>0</v>
      </c>
      <c r="AI939" s="106">
        <f t="shared" si="1876"/>
        <v>0</v>
      </c>
      <c r="AJ939" s="106">
        <f t="shared" si="1876"/>
        <v>0</v>
      </c>
      <c r="AK939" s="106">
        <f t="shared" si="1876"/>
        <v>0</v>
      </c>
      <c r="AL939" s="106">
        <f t="shared" si="1876"/>
        <v>0</v>
      </c>
      <c r="AM939" s="106">
        <f t="shared" si="1876"/>
        <v>0</v>
      </c>
      <c r="AN939" s="106">
        <f t="shared" si="1876"/>
        <v>0</v>
      </c>
      <c r="AO939" s="106">
        <f t="shared" si="1876"/>
        <v>0</v>
      </c>
      <c r="AP939" s="106">
        <f t="shared" si="1876"/>
        <v>0</v>
      </c>
      <c r="AQ939" s="106">
        <f t="shared" si="1876"/>
        <v>0</v>
      </c>
      <c r="AR939" s="107">
        <f t="shared" si="1876"/>
        <v>0</v>
      </c>
      <c r="AS939" s="105">
        <f>IF(AND($B937=" ",$K939=AS$3),$O939,0)</f>
        <v>0</v>
      </c>
      <c r="AT939" s="106">
        <f>IF(AND($B937=" ",K939=AT$3),$O939,0)</f>
        <v>0</v>
      </c>
      <c r="AU939" s="106">
        <f t="shared" ref="AU939:BE939" si="1885">IF(AND($B937=" ",$K939=AU$3),$O939,0)</f>
        <v>0</v>
      </c>
      <c r="AV939" s="106">
        <f t="shared" si="1885"/>
        <v>0</v>
      </c>
      <c r="AW939" s="106">
        <f t="shared" si="1885"/>
        <v>0</v>
      </c>
      <c r="AX939" s="106">
        <f t="shared" si="1885"/>
        <v>0</v>
      </c>
      <c r="AY939" s="108">
        <f t="shared" si="1885"/>
        <v>0</v>
      </c>
      <c r="AZ939" s="109">
        <f t="shared" si="1885"/>
        <v>0</v>
      </c>
      <c r="BA939" s="109">
        <f t="shared" si="1885"/>
        <v>0</v>
      </c>
      <c r="BB939" s="109">
        <f t="shared" si="1885"/>
        <v>0</v>
      </c>
      <c r="BC939" s="110">
        <f t="shared" si="1885"/>
        <v>0</v>
      </c>
      <c r="BD939" s="106">
        <f t="shared" si="1885"/>
        <v>0</v>
      </c>
      <c r="BE939" s="107">
        <f t="shared" si="1885"/>
        <v>0</v>
      </c>
      <c r="BF939" s="105">
        <f t="shared" si="1878"/>
        <v>0</v>
      </c>
      <c r="BG939" s="106">
        <f t="shared" si="1878"/>
        <v>0</v>
      </c>
      <c r="BH939" s="106">
        <f t="shared" si="1878"/>
        <v>0</v>
      </c>
      <c r="BI939" s="106">
        <f t="shared" si="1878"/>
        <v>0</v>
      </c>
      <c r="BJ939" s="106">
        <f t="shared" si="1878"/>
        <v>0</v>
      </c>
      <c r="BK939" s="106">
        <f t="shared" si="1878"/>
        <v>0</v>
      </c>
      <c r="BL939" s="106">
        <f t="shared" si="1878"/>
        <v>0</v>
      </c>
      <c r="BM939" s="108">
        <f t="shared" si="1878"/>
        <v>0</v>
      </c>
      <c r="BN939" s="109">
        <f t="shared" si="1878"/>
        <v>0</v>
      </c>
      <c r="BO939" s="109">
        <f t="shared" si="1878"/>
        <v>0</v>
      </c>
      <c r="BP939" s="109">
        <f t="shared" si="1878"/>
        <v>0</v>
      </c>
      <c r="BQ939" s="110">
        <f t="shared" si="1878"/>
        <v>0</v>
      </c>
      <c r="BR939" s="107">
        <f t="shared" si="1878"/>
        <v>0</v>
      </c>
      <c r="BS939" s="464"/>
      <c r="BT939" s="461"/>
      <c r="BU939" s="392"/>
      <c r="BV939" s="461"/>
      <c r="BW939" s="392"/>
      <c r="BX939" s="392"/>
      <c r="BY939" s="392"/>
      <c r="BZ939" s="461"/>
      <c r="CA939" s="392"/>
      <c r="CB939" s="392"/>
      <c r="CC939" s="392"/>
      <c r="CD939" s="401"/>
      <c r="CE939" s="409"/>
      <c r="CF939" s="133">
        <f t="shared" si="1796"/>
        <v>0</v>
      </c>
      <c r="CG939" s="134">
        <f t="shared" si="1797"/>
        <v>0</v>
      </c>
      <c r="CH939" s="134">
        <f t="shared" si="1798"/>
        <v>0</v>
      </c>
      <c r="CI939" s="134">
        <f t="shared" si="1799"/>
        <v>0</v>
      </c>
      <c r="CJ939" s="134">
        <f t="shared" si="1800"/>
        <v>0</v>
      </c>
      <c r="CK939" s="134">
        <f t="shared" si="1801"/>
        <v>0</v>
      </c>
      <c r="CL939" s="134">
        <f t="shared" si="1802"/>
        <v>0</v>
      </c>
      <c r="CM939" s="134">
        <f t="shared" si="1803"/>
        <v>0</v>
      </c>
      <c r="CN939" s="134">
        <f t="shared" si="1804"/>
        <v>0</v>
      </c>
      <c r="CO939" s="134">
        <f t="shared" si="1805"/>
        <v>0</v>
      </c>
      <c r="CP939" s="134">
        <f t="shared" si="1806"/>
        <v>0</v>
      </c>
      <c r="CQ939" s="134">
        <f t="shared" si="1807"/>
        <v>0</v>
      </c>
      <c r="CR939" s="134">
        <f t="shared" si="1808"/>
        <v>0</v>
      </c>
      <c r="CS939" s="134">
        <f t="shared" si="1809"/>
        <v>0</v>
      </c>
      <c r="CT939" s="115">
        <f t="shared" si="1810"/>
        <v>0</v>
      </c>
      <c r="CU939" s="116">
        <f t="shared" si="1811"/>
        <v>0</v>
      </c>
      <c r="CV939" s="116">
        <f t="shared" si="1812"/>
        <v>0</v>
      </c>
      <c r="CW939" s="116">
        <f t="shared" si="1813"/>
        <v>0</v>
      </c>
      <c r="CX939" s="116">
        <f t="shared" si="1814"/>
        <v>0</v>
      </c>
      <c r="CY939" s="116">
        <f t="shared" si="1815"/>
        <v>0</v>
      </c>
      <c r="CZ939" s="116">
        <f t="shared" si="1816"/>
        <v>0</v>
      </c>
      <c r="DA939" s="116">
        <f t="shared" si="1817"/>
        <v>0</v>
      </c>
      <c r="DB939" s="116">
        <f t="shared" si="1818"/>
        <v>0</v>
      </c>
      <c r="DC939" s="116">
        <f t="shared" si="1819"/>
        <v>0</v>
      </c>
      <c r="DD939" s="116">
        <f t="shared" si="1820"/>
        <v>0</v>
      </c>
      <c r="DE939" s="117">
        <f t="shared" si="1821"/>
        <v>0</v>
      </c>
      <c r="DF939" s="118">
        <f t="shared" si="1824"/>
        <v>57</v>
      </c>
      <c r="DG939" s="106">
        <f t="shared" si="1825"/>
        <v>76.963000000000008</v>
      </c>
      <c r="DH939" s="116">
        <f t="shared" si="1826"/>
        <v>19</v>
      </c>
      <c r="DI939" s="106">
        <f t="shared" si="1827"/>
        <v>81.47</v>
      </c>
      <c r="DJ939" s="201" t="str">
        <f>IF($D937="","",$D937)</f>
        <v>31</v>
      </c>
      <c r="DK939" s="466"/>
    </row>
    <row r="940" spans="1:115" ht="14.5" customHeight="1" x14ac:dyDescent="0.2">
      <c r="A940" s="487">
        <f>$A937+1</f>
        <v>313</v>
      </c>
      <c r="B940" s="506" t="str">
        <f>IF(OR(C940="W",C941="W",C942="W",C940="1/2W",C941="1/2W",C942="1/2W",C940="1/2L",C941="1/2L",C942="1/2L"),"OK",IF(OR(C940="L",C941="L",C942="L"),"LOSS",IF(OR(C940="X",C941="X",C942="X"),"Anulado"," ")))</f>
        <v>OK</v>
      </c>
      <c r="C940" s="147" t="s">
        <v>310</v>
      </c>
      <c r="D940" s="494" t="str">
        <f>IF(G940="","",$D937)</f>
        <v>31</v>
      </c>
      <c r="E940" s="511" t="str">
        <f>IF(G940=""," ","– "&amp;COUNTIF(D$4:D942,$D940))</f>
        <v>– 9</v>
      </c>
      <c r="F940" s="510" t="str">
        <f ca="1">IF(G940="","",IF(OR(AND($C940&lt;&gt;" ",$C941=" "),AND($C941&lt;&gt;" ",$C940=" "),AND(L942&gt;0,OR(AND($C942&lt;&gt;" ",OR($C940=" ",$C941=" ")),AND($C942=" ",OR($C940&lt;&gt;" ",$C941&lt;&gt;" "))))),IF(SUM(F$4:F939)=0,1,LARGE(F$4:F939,1)+1),IF(MONTH(G940)=MONTH(TODAY()),IF(AND(DAY(G940)&lt;DAY(TODAY()),$B940=" "),IF(SUM(F$4:F939)=0,1,LARGE(F$4:F939,1)+1),IF($B940=" ",IF(AND(DAY(G940)=DAY(TODAY()),HOUR(G940)&lt;=HOUR(NOW())+1),IF(AND(HOUR(G940)+2&lt;=HOUR(NOW()),DAY(G940)&lt;=DAY(TODAY()),MINUTE(G940)&lt;=MINUTE(NOW())),IF(SUM(F$4:F939)=0,1,LARGE(F$4:F939,1)+1),IF(OR(MINUTE(G940)&lt;=MINUTE(NOW()),HOUR(G940)&lt;=HOUR(NOW())),"!!!","")),""),"")),"")))</f>
        <v/>
      </c>
      <c r="G940" s="517">
        <f>IF(H940="","",_xlfn.XLOOKUP(H940,$H$4:H939,$G$4:G939,""))</f>
        <v>45016.385416666664</v>
      </c>
      <c r="H940" s="516" t="s">
        <v>311</v>
      </c>
      <c r="I940" s="222" t="s">
        <v>66</v>
      </c>
      <c r="J940" s="223">
        <v>-1.25</v>
      </c>
      <c r="K940" s="224" t="s">
        <v>43</v>
      </c>
      <c r="L940" s="225">
        <v>2.4700000000000002</v>
      </c>
      <c r="M940" s="226">
        <v>33.08</v>
      </c>
      <c r="N940" s="503">
        <v>0</v>
      </c>
      <c r="O940" s="153">
        <f>IF(OR(AE940="",AE941=""),"",ROUND(IF(L942&gt;0,IF(M940&gt;0,M940,IF(M941&gt;0,ROUND((M941*AE940)/AE941,IF(N940=0,2,IF(N940=0.1,1,0))),ROUND((M942*AE940)/AE942,IF(N940=0,2,IF(N940=0.1,1,0))))),IF(M940&gt;0,M940,ROUND((M941*AE940)/AE941,IF(N940=0,2,IF(N940=0.1,1,0))))),2))</f>
        <v>33.08</v>
      </c>
      <c r="P940" s="227">
        <f>IF(OR(L940="",O940=""),"",IF($C940="1/2W",O940/2+O940/2*L940,IF($C940="1/2L",O940/2,IF(I940="Lay",(O940*(L940/(L940-1))-O940)*(1-_xlfn.XLOOKUP(K940,'Fevereiro 2023 - Valor Real'!A3:A15,'Fevereiro 2023 - Valor Real'!C3:C15,0))+O940,(O940*L940-O940)*(1-_xlfn.XLOOKUP(K940,'Fevereiro 2023 - Valor Real'!A3:A15,'Fevereiro 2023 - Valor Real'!C3:C15,0))+O940))))</f>
        <v>16.54</v>
      </c>
      <c r="Q940" s="228">
        <f>IF(K940="","",IF(_xlfn.XLOOKUP(K940,K$4:K939,$DJ$4:DJ939,0,,-1)=DJ940,_xlfn.XLOOKUP(K940,K$4:K939,Q$4:Q939,1,,-1)+1,1))</f>
        <v>4</v>
      </c>
      <c r="R940" s="229">
        <f>IF(K940="","",_xlfn.XLOOKUP(K940,K$4:K939,R$4:R939,0,,-1)+IF($C940=" ",1,0))</f>
        <v>0</v>
      </c>
      <c r="S940" s="501">
        <f>IF($B940="Anulado",0,ROUND(IF(OR($B940="LOSS",$B940="OK"),IF(OR($C940="W",$C940="1/2W",$C940="1/2L"),P940-O940,IF($C940="L",-O940,0))+IF(OR($C941="W",$C941="1/2W",$C941="1/2L"),P941-O941,IF($C941="L",-O941,0))+IF(OR($C942="W",$C942="1/2W",$C942="1/2L"),P942-O942,IF($C942="L",-O942,0)),IF(AND(OR($C940="W",$C940="1/2W",$C940="1/2L"),C941="W"),P940+P941-SUM(O940:O942)+_xlfn.XLOOKUP("X",C940:C942,O940:O942,0),IF(AND(C940=TRUE,C942="W"),P940+P942-SUM(O940:O942),IF(AND(C941="W",C942="W"),P941+P942-SUM(O940:O942)+_xlfn.XLOOKUP("X",C940:C942,O940:O942,0),IF(L942&gt;0,IF(OR($C940="W",$C940="1/2W",$C940="1/2L"),P940-SUM(O940:O942)+_xlfn.XLOOKUP("X",C940:C942,O940:O942,0),IF(OR($C940="W",$C940="1/2W",$C940="1/2L"),P941-SUM(O940:O942)+_xlfn.XLOOKUP("X",C940:C942,O940:O942,0),IF(OR($C940="W",$C940="1/2W",$C940="1/2L"),P942-SUM(O940:O942)+_xlfn.XLOOKUP("X",C940:C942,O940:O942,0),IF(SUM(P940:P942)/3-SUM(O940:O942)+_xlfn.XLOOKUP("X",C940:C942,O940:O942,0)&gt;0,SUM(P940:P942)/3-SUM(O940:O942)+_xlfn.XLOOKUP("X",C940:C942,O940:O942,0),LARGE(P940:P942,1)-SUM(O940:O942))))),IF(OR($C940="W",$C940="1/2W",$C940="1/2L"),P940-SUM(O940:O941)+_xlfn.XLOOKUP("X",C940:C942,O940:O942,0),IF(OR($C940="W",$C940="1/2W",$C940="1/2L"),P941-SUM(O940:O941)+_xlfn.XLOOKUP("X",C940:C942,O940:O942,0),SUM(P940:P941)/2-SUM(O940:O941)+_xlfn.XLOOKUP("X",C940:C942,O940:O942,0)))))))),2))</f>
        <v>3.3</v>
      </c>
      <c r="T940" s="486">
        <f>IF(S940=0,0,S940/SUM(O940:O942))</f>
        <v>4.2091836734693883E-2</v>
      </c>
      <c r="U940" s="496">
        <f>IF($D940=$D937,IF(OR($B940="LOSS",$B940="OK",$B940="Anulada"),S940,0)+U937,IF(OR($B940="LOSS",$B940="OK",$B940="Anulada"),S940,0))</f>
        <v>62.62</v>
      </c>
      <c r="V940" s="496">
        <f>IF($D940="",0,IF($D940=$D937,IF($B940=" ",IF(I942="",IF(OR(AND(I940="DNB1",I941="DNB2"),AND(OR(I940="DNB1",I940="DNB2"),J941=0),AND(OR(I941="DNB1",I941="DNB2"),J940=0),AND(I940="DNB2",I941="DNB1"),AND(IF(J940=0,(J940+1)/ROUND(J940+1,0),J940/ROUND(J940,0))=1,IF(J941=0,(J941+1)/ROUND(IF(J941="",0,J941)+1,0),IF(J941="",0,J941)/ROUND(IF(J941="",1,J941),0))=1,OR(J940&lt;&gt;""),J941&lt;&gt;"")),0,IF(S940&lt;0,IF(I942="",SMALL(P940:P941,1)-SUM(O940:O941),0),SMALL(P940:P941,1)-SUM(O940:O941))),IF(S940&lt;0,IF(I942="",SMALL(P940:P942,1)-SUM(O940:O942),0),LARGE(P940:P942,1)-SUM(O940:O942))),S940)+V937,IF(I942="",IF(OR(AND(I940="DNB1",I941="DNB2"),AND(OR(I940="DNB1",I940="DNB2"),J941=0),AND(OR(I941="DNB1",I941="DNB2"),J940=0),AND(I940="DNB2",I941="DNB1"),AND(IF(J940=0,(J940+1)/ROUND(J940+1,0),J940/ROUND(J940,0))=1,IF(J941=0,(IF(J941="",0,J941)+1)/ROUND(IF(J941="",0,J941)+1,0),IF(J941="",0,J941)/ROUND(IF(J941="",0,J941)+1,0))=1,OR(J940&lt;&gt;""),J941&lt;&gt;"")),0,IF(S940&lt;0,IF(I942="",SMALL(P940:P941,1)-SUM(O940:O941),0),SMALL(P940:P942,1)-SUM(O940:O942))),IF(S940&lt;0,IF(I942="",SMALL(P940:P942,1)-SUM(O940:O942),0),LARGE(P940:P942,1)-SUM(O940:O942)))))</f>
        <v>62.622999999999998</v>
      </c>
      <c r="W940" s="496">
        <f>IF($D940=$D937,IF(S940&lt;0,IF(I942="",S940,0),S940)+W937,S940)</f>
        <v>62.62</v>
      </c>
      <c r="X940" s="505" t="str">
        <f>IF(OR(SUM(R940:R942)=0,V940=W940),ROUND(IF(W940=0,0,W940/Y940)*100,2)&amp;"%",ROUND(IF(V940=0,0,V940/Y940)*100,2)&amp;"% a "&amp;ROUND(IF(W940=0,0,W940/Y940)*100,2)&amp;"%")</f>
        <v>16,9%</v>
      </c>
      <c r="Y940" s="497">
        <f>IF($D940=$D937,Y937+SUM(O940:O942),SUM(O940:O942))</f>
        <v>370.54999999999995</v>
      </c>
      <c r="Z940" s="496">
        <f>IF($B940=" ",SUM(O940:O942),0)+Z937</f>
        <v>0</v>
      </c>
      <c r="AA940" s="496">
        <f>IF(G940="","",IF($B940="Anulado",LARGE(P940:P942,1)-SUM(O940:O942)+AA937,AA937))</f>
        <v>14.77109999999999</v>
      </c>
      <c r="AB940" s="496">
        <f>IF($D940="","",AB937+S940)</f>
        <v>1088.4200000000012</v>
      </c>
      <c r="AC940" s="499">
        <f ca="1">IF($D940="","",IF($B940=" ",IF(DAY(G940)=DAY(TODAY()),1+AC937,0+AC937),0+AC937))</f>
        <v>0</v>
      </c>
      <c r="AD940" s="157">
        <f>(((L941/(L941-1)-1)*(1-_xlfn.XLOOKUP(K941,'Fevereiro 2023 - Valor Real'!A3:A15,'Fevereiro 2023 - Valor Real'!C3:C15,0))+1))/(((L940-1)*(1-_xlfn.XLOOKUP(K940,'Fevereiro 2023 - Valor Real'!A3:A15,'Fevereiro 2023 - Valor Real'!C3:C15,0))+1)+((L941/(L941-1)-1)*(1-_xlfn.XLOOKUP(K941,'Fevereiro 2023 - Valor Real'!A3:A15,'Fevereiro 2023 - Valor Real'!C3:C15,0))+1))</f>
        <v>0.50227074498481161</v>
      </c>
      <c r="AE940" s="158">
        <f>IF(L940="","",IF(L942&gt;0,(SUM(((L940-1)*(1-_xlfn.XLOOKUP(K940,'Fevereiro 2023 - Valor Real'!A3:A15,'Fevereiro 2023 - Valor Real'!C3:C15,0))+1),((L941-1)*(1-_xlfn.XLOOKUP(K941,'Fevereiro 2023 - Valor Real'!A3:A15,'Fevereiro 2023 - Valor Real'!C3:C15,0))+1),((L942-1)*(1-_xlfn.XLOOKUP(K942,'Fevereiro 2023 - Valor Real'!A3:A15,'Fevereiro 2023 - Valor Real'!C3:C15,0))+1))/((L940-1)*(1-_xlfn.XLOOKUP(K940,'Fevereiro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Real'!C3:C15,0))+1))/((L940-1)*(1-_xlfn.XLOOKUP(K940,'Fevereiro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Real'!C3:C15,0))+1))/((L941-1)*(1-_xlfn.XLOOKUP(K941,'Fevereiro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Real'!C3:C15,0))+1))/((L942-1)*(1-_xlfn.XLOOKUP(K942,'Fevereiro 2023 - Valor Real'!A3:A15,'Fevereiro 2023 - Valor Real'!C3:C15,0))+1)),IF(I940="Lay",IF(I941="Lay",((L941/(L941-1)-1)*(1-_xlfn.XLOOKUP(K941,'Fevereiro 2023 - Valor Real'!A3:A15,'Fevereiro 2023 - Valor Real'!C3:C15,0))+1)/(((L941/(L941-1)-1)*(1-_xlfn.XLOOKUP(K941,'Fevereiro 2023 - Valor Real'!A3:A15,'Fevereiro 2023 - Valor Real'!C3:C15,0))+1)+((L940/(L940-1)-1)*(1-_xlfn.XLOOKUP(K940,'Fevereiro 2023 - Valor Real'!A3:A15,'Fevereiro 2023 - Valor Real'!C3:C15,0))+1)),((L941-1)*(1-_xlfn.XLOOKUP(K941,'Fevereiro 2023 - Valor Real'!A3:A15,'Fevereiro 2023 - Valor Real'!C3:C15,0))+1)/(((L941-1)*(1-_xlfn.XLOOKUP(K941,'Fevereiro 2023 - Valor Real'!A3:A15,'Fevereiro 2023 - Valor Real'!C3:C15,0))+1)+((L940/(L940-1)-1)*(1-_xlfn.XLOOKUP(K940,'Fevereiro 2023 - Valor Real'!A3:A15,'Fevereiro 2023 - Valor Real'!C3:C15,0))+1))),IF(I941="Lay",(((L941/(L941-1)-1)*(1-_xlfn.XLOOKUP(K941,'Fevereiro 2023 - Valor Real'!A3:A15,'Fevereiro 2023 - Valor Real'!C3:C15,0))+1))/(((L940-1)*(1-_xlfn.XLOOKUP(K940,'Fevereiro 2023 - Valor Real'!A3:A15,'Fevereiro 2023 - Valor Real'!C3:C15,0))+1)+((L941/(L941-1)-1)*(1-_xlfn.XLOOKUP(K941,'Fevereiro 2023 - Valor Real'!A3:A15,'Fevereiro 2023 - Valor Real'!C3:C15,0))+1)),((L941-1)*(1-_xlfn.XLOOKUP(K941,'Fevereiro 2023 - Valor Real'!A3:A15,'Fevereiro 2023 - Valor Real'!C3:C15,0))+1)/(((L941-1)*(1-_xlfn.XLOOKUP(K941,'Fevereiro 2023 - Valor Real'!A3:A15,'Fevereiro 2023 - Valor Real'!C3:C15,0))+1)+((L940-1)*(1-_xlfn.XLOOKUP(K940,'Fevereiro 2023 - Valor Real'!A3:A15,'Fevereiro 2023 - Valor Real'!C3:C15,0))+1))))))</f>
        <v>0.29255117197647384</v>
      </c>
      <c r="AF940" s="66">
        <f t="shared" si="1876"/>
        <v>0</v>
      </c>
      <c r="AG940" s="67">
        <f t="shared" si="1876"/>
        <v>0</v>
      </c>
      <c r="AH940" s="67">
        <f t="shared" si="1876"/>
        <v>0</v>
      </c>
      <c r="AI940" s="67">
        <f t="shared" si="1876"/>
        <v>0</v>
      </c>
      <c r="AJ940" s="67">
        <f t="shared" si="1876"/>
        <v>0</v>
      </c>
      <c r="AK940" s="67">
        <f t="shared" si="1876"/>
        <v>0</v>
      </c>
      <c r="AL940" s="67">
        <f t="shared" si="1876"/>
        <v>0</v>
      </c>
      <c r="AM940" s="67">
        <f t="shared" si="1876"/>
        <v>-16.54</v>
      </c>
      <c r="AN940" s="67">
        <f t="shared" si="1876"/>
        <v>0</v>
      </c>
      <c r="AO940" s="67">
        <f t="shared" si="1876"/>
        <v>0</v>
      </c>
      <c r="AP940" s="67">
        <f t="shared" si="1876"/>
        <v>0</v>
      </c>
      <c r="AQ940" s="67">
        <f t="shared" si="1876"/>
        <v>0</v>
      </c>
      <c r="AR940" s="68">
        <f t="shared" si="1876"/>
        <v>0</v>
      </c>
      <c r="AS940" s="66">
        <f t="shared" ref="AS940:BE940" si="1886">IF(AND($B940=" ",$K940=AS$3),$O940,0)</f>
        <v>0</v>
      </c>
      <c r="AT940" s="67">
        <f t="shared" si="1886"/>
        <v>0</v>
      </c>
      <c r="AU940" s="67">
        <f t="shared" si="1886"/>
        <v>0</v>
      </c>
      <c r="AV940" s="67">
        <f t="shared" si="1886"/>
        <v>0</v>
      </c>
      <c r="AW940" s="67">
        <f t="shared" si="1886"/>
        <v>0</v>
      </c>
      <c r="AX940" s="67">
        <f t="shared" si="1886"/>
        <v>0</v>
      </c>
      <c r="AY940" s="69">
        <f t="shared" si="1886"/>
        <v>0</v>
      </c>
      <c r="AZ940" s="70">
        <f t="shared" si="1886"/>
        <v>0</v>
      </c>
      <c r="BA940" s="70">
        <f t="shared" si="1886"/>
        <v>0</v>
      </c>
      <c r="BB940" s="70">
        <f t="shared" si="1886"/>
        <v>0</v>
      </c>
      <c r="BC940" s="71">
        <f t="shared" si="1886"/>
        <v>0</v>
      </c>
      <c r="BD940" s="67">
        <f t="shared" si="1886"/>
        <v>0</v>
      </c>
      <c r="BE940" s="68">
        <f t="shared" si="1886"/>
        <v>0</v>
      </c>
      <c r="BF940" s="230">
        <f t="shared" si="1878"/>
        <v>0</v>
      </c>
      <c r="BG940" s="67">
        <f t="shared" si="1878"/>
        <v>0</v>
      </c>
      <c r="BH940" s="67">
        <f t="shared" si="1878"/>
        <v>0</v>
      </c>
      <c r="BI940" s="67">
        <f t="shared" si="1878"/>
        <v>0</v>
      </c>
      <c r="BJ940" s="67">
        <f t="shared" si="1878"/>
        <v>0</v>
      </c>
      <c r="BK940" s="67">
        <f t="shared" si="1878"/>
        <v>0</v>
      </c>
      <c r="BL940" s="67">
        <f t="shared" si="1878"/>
        <v>0</v>
      </c>
      <c r="BM940" s="69">
        <f t="shared" si="1878"/>
        <v>33.08</v>
      </c>
      <c r="BN940" s="70">
        <f t="shared" si="1878"/>
        <v>0</v>
      </c>
      <c r="BO940" s="70">
        <f t="shared" si="1878"/>
        <v>0</v>
      </c>
      <c r="BP940" s="70">
        <f t="shared" si="1878"/>
        <v>0</v>
      </c>
      <c r="BQ940" s="71">
        <f t="shared" si="1878"/>
        <v>0</v>
      </c>
      <c r="BR940" s="68">
        <f t="shared" si="1878"/>
        <v>0</v>
      </c>
      <c r="BS940" s="490">
        <f>IF($B940="LOSS",IF(AND($K940=BS$3,$C940="L"),-$O940,0)+IF(AND($K941=BS$3,$C941="L"),-$O941,0)+IF(AND($K942=BS$3,$C942="L"),-$O942,0),IF(OR(AND($K940=BS$3,OR($C940="W",$C940="1/2W")),AND($K941=BS$3,OR($C941="W",$C941="1/2W")),AND($K942=BS$3,OR($C942="W",$C942="1/2W"))),$S940,0))</f>
        <v>0</v>
      </c>
      <c r="BT940" s="488">
        <f>IF($B940="LOSS",IF(AND($K940=BT$3,$C940="L"),-$O940,0)+IF(AND($K941=BT$3,$C941="L"),-$O941,0)+IF(AND($K941=BT$3,$C942="L"),-$O942,0),IF(OR(AND($K941=BT$3,OR($C940="W",$C940="1/2W")),AND($K941=BT$3,OR($C941="W",$C941="1/2W")),AND($K941=BT$3,OR($C942="W",$C942="1/2W"))),$S940,0))</f>
        <v>0</v>
      </c>
      <c r="BU940" s="488">
        <f>IF($B940="LOSS",IF(AND($K940=BU$3,$C940="L"),-$O940,0)+IF(AND($K941=BU$3,$C941="L"),-$O941,0)+IF(AND($K941=BU$3,$C942="L"),-$O942,0),IF(OR(AND($K941=BU$3,OR($C940="W",$C940="1/2W")),AND($K941=BU$3,OR($C941="W",$C941="1/2W")),AND($K941=BU$3,OR($C942="W",$C942="1/2W"))),$S940,0))</f>
        <v>0</v>
      </c>
      <c r="BV940" s="488">
        <f t="shared" ref="BV940:CE940" si="1887">IF($B940="LOSS",IF(AND($K940=BV$3,$C940="L"),-$O940,0)+IF(AND($K941=BV$3,$C941="L"),-$O941,0)+IF(AND($K942=BV$3,$C942="L"),-$O942,0),IF(OR(AND($K940=BV$3,OR($C940="W",$C940="1/2W")),AND($K941=BV$3,OR($C941="W",$C941="1/2W")),AND($K942=BV$3,OR($C942="W",$C942="1/2W"))),$S940,0))</f>
        <v>0</v>
      </c>
      <c r="BW940" s="488">
        <f t="shared" si="1887"/>
        <v>0</v>
      </c>
      <c r="BX940" s="488">
        <f t="shared" si="1887"/>
        <v>0</v>
      </c>
      <c r="BY940" s="488">
        <f t="shared" si="1887"/>
        <v>0</v>
      </c>
      <c r="BZ940" s="498">
        <f t="shared" si="1887"/>
        <v>0</v>
      </c>
      <c r="CA940" s="498">
        <f t="shared" si="1887"/>
        <v>0</v>
      </c>
      <c r="CB940" s="498">
        <f t="shared" si="1887"/>
        <v>0</v>
      </c>
      <c r="CC940" s="498">
        <f t="shared" si="1887"/>
        <v>0</v>
      </c>
      <c r="CD940" s="500">
        <f t="shared" si="1887"/>
        <v>3.3</v>
      </c>
      <c r="CE940" s="504">
        <f t="shared" si="1887"/>
        <v>0</v>
      </c>
      <c r="CF940" s="160">
        <f t="shared" si="1796"/>
        <v>0</v>
      </c>
      <c r="CG940" s="161">
        <f t="shared" si="1797"/>
        <v>0</v>
      </c>
      <c r="CH940" s="161">
        <f t="shared" si="1798"/>
        <v>0</v>
      </c>
      <c r="CI940" s="161">
        <f t="shared" si="1799"/>
        <v>0</v>
      </c>
      <c r="CJ940" s="161">
        <f t="shared" si="1800"/>
        <v>0</v>
      </c>
      <c r="CK940" s="161">
        <f t="shared" si="1801"/>
        <v>0</v>
      </c>
      <c r="CL940" s="161">
        <f t="shared" si="1802"/>
        <v>0</v>
      </c>
      <c r="CM940" s="161">
        <f t="shared" si="1803"/>
        <v>0</v>
      </c>
      <c r="CN940" s="161">
        <f t="shared" si="1804"/>
        <v>0</v>
      </c>
      <c r="CO940" s="161">
        <f t="shared" si="1805"/>
        <v>0</v>
      </c>
      <c r="CP940" s="161">
        <f t="shared" si="1806"/>
        <v>0</v>
      </c>
      <c r="CQ940" s="161">
        <f t="shared" si="1807"/>
        <v>0</v>
      </c>
      <c r="CR940" s="161">
        <f t="shared" si="1808"/>
        <v>0</v>
      </c>
      <c r="CS940" s="161">
        <f t="shared" si="1809"/>
        <v>0</v>
      </c>
      <c r="CT940" s="75">
        <f t="shared" si="1810"/>
        <v>0</v>
      </c>
      <c r="CU940" s="76">
        <f t="shared" si="1811"/>
        <v>0.5</v>
      </c>
      <c r="CV940" s="76">
        <f t="shared" si="1812"/>
        <v>0</v>
      </c>
      <c r="CW940" s="76">
        <f t="shared" si="1813"/>
        <v>0</v>
      </c>
      <c r="CX940" s="76">
        <f t="shared" si="1814"/>
        <v>0</v>
      </c>
      <c r="CY940" s="76">
        <f t="shared" si="1815"/>
        <v>0</v>
      </c>
      <c r="CZ940" s="76">
        <f t="shared" si="1816"/>
        <v>0</v>
      </c>
      <c r="DA940" s="76">
        <f t="shared" si="1817"/>
        <v>0</v>
      </c>
      <c r="DB940" s="76">
        <f t="shared" si="1818"/>
        <v>0</v>
      </c>
      <c r="DC940" s="76">
        <f t="shared" si="1819"/>
        <v>0</v>
      </c>
      <c r="DD940" s="76">
        <f t="shared" si="1820"/>
        <v>0</v>
      </c>
      <c r="DE940" s="77">
        <f t="shared" si="1821"/>
        <v>0</v>
      </c>
      <c r="DF940" s="73">
        <f t="shared" si="1824"/>
        <v>57</v>
      </c>
      <c r="DG940" s="67">
        <f t="shared" si="1825"/>
        <v>76.963000000000008</v>
      </c>
      <c r="DH940" s="76">
        <f t="shared" si="1826"/>
        <v>19</v>
      </c>
      <c r="DI940" s="67">
        <f t="shared" si="1827"/>
        <v>81.47</v>
      </c>
      <c r="DJ940" s="202" t="str">
        <f>IF($D940="","",$D940)</f>
        <v>31</v>
      </c>
      <c r="DK940" s="492">
        <f>IF(AND($B940=" ",$D940&lt;&gt;""),1,0)</f>
        <v>0</v>
      </c>
    </row>
    <row r="941" spans="1:115" ht="14.5" customHeight="1" x14ac:dyDescent="0.2">
      <c r="A941" s="389"/>
      <c r="B941" s="456"/>
      <c r="C941" s="53" t="s">
        <v>54</v>
      </c>
      <c r="D941" s="374"/>
      <c r="E941" s="386"/>
      <c r="F941" s="377"/>
      <c r="G941" s="483"/>
      <c r="H941" s="476"/>
      <c r="I941" s="55" t="s">
        <v>67</v>
      </c>
      <c r="J941" s="231">
        <v>2</v>
      </c>
      <c r="K941" s="232" t="s">
        <v>47</v>
      </c>
      <c r="L941" s="58">
        <v>1.67</v>
      </c>
      <c r="M941" s="59">
        <v>39.020000000000003</v>
      </c>
      <c r="N941" s="406"/>
      <c r="O941" s="60">
        <f>IF(OR(AE940="",AE941=""),"",ROUND(IF(L942&gt;0,IF(M941&gt;0,M941,IF(M940&gt;0,IF(N940=TRUE,ROUND((M940*AE941)/AE940,0),(M940*AE941)/AE940),IF(M941&gt;0,ROUND(M941,IF(N940=0,2,IF(N940=0.1,1,0))),IF(M942&gt;0,ROUND(O942*AE941/AE942,IF(N940=0,2,IF(N940=0.1,1,0))),0)))),IF(M941&gt;0,M941,ROUND((M940*AE941)/AE940,IF(N940=0,2,IF(N940=0.1,1,0))))),2))</f>
        <v>39.020000000000003</v>
      </c>
      <c r="P941" s="61">
        <f>IF(OR(L941="",O941=""),"",IF($C941="1/2W",O941/2+O941/2*L941,IF($C941="1/2L",O941/2,IF(I941="Lay",((O941*(L941/(L941-1)))-O941)*(1-_xlfn.XLOOKUP(K941,'Fevereiro 2023 - Valor Real'!A3:A15,'Fevereiro 2023 - Valor Real'!C3:C15,0))+O941,(O941*L941-O941)*(1-_xlfn.XLOOKUP(K941,'Fevereiro 2023 - Valor Real'!A3:A15,'Fevereiro 2023 - Valor Real'!C3:C15,0))+O941))))</f>
        <v>65.163399999999996</v>
      </c>
      <c r="Q941" s="233">
        <f>IF(K941="","",IF(_xlfn.XLOOKUP(K941,K$4:K940,$DJ$4:DJ940,0,,-1)=DJ941,_xlfn.XLOOKUP(K941,K$4:K940,Q$4:Q940,1,,-1)+1,1))</f>
        <v>5</v>
      </c>
      <c r="R941" s="234">
        <f>IF(K941="","",_xlfn.XLOOKUP(K941,K$4:K940,R$4:R940,0,,-1)+IF($C941=" ",1,0))</f>
        <v>0</v>
      </c>
      <c r="S941" s="403"/>
      <c r="T941" s="380"/>
      <c r="U941" s="380"/>
      <c r="V941" s="481"/>
      <c r="W941" s="380"/>
      <c r="X941" s="452"/>
      <c r="Y941" s="383"/>
      <c r="Z941" s="384"/>
      <c r="AA941" s="384"/>
      <c r="AB941" s="384"/>
      <c r="AC941" s="384"/>
      <c r="AD941" s="64">
        <f>(((L941/(L941-1)-1)*(1-_xlfn.XLOOKUP(K941,'Fevereiro 2023 - Valor Real'!A3:A15,'Fevereiro 2023 - Valor Real'!C3:C15,0))+1))</f>
        <v>2.4925373134328361</v>
      </c>
      <c r="AE941" s="65">
        <f>IF(L941="","",IF(L942&gt;0,(SUM(((L940-1)*(1-_xlfn.XLOOKUP(K940,'Fevereiro 2023 - Valor Real'!A3:A15,'Fevereiro 2023 - Valor Real'!C3:C15,0))+1),((L941-1)*(1-_xlfn.XLOOKUP(K941,'Fevereiro 2023 - Valor Real'!A3:A15,'Fevereiro 2023 - Valor Real'!C3:C15,0))+1),((L942-1)*(1-_xlfn.XLOOKUP(K942,'Fevereiro 2023 - Valor Real'!A3:A15,'Fevereiro 2023 - Valor Real'!C3:C15,0))+1))/((L941-1)*(1-_xlfn.XLOOKUP(K941,'Fevereiro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Real'!C3:C15,0))+1))/((L940-1)*(1-_xlfn.XLOOKUP(K940,'Fevereiro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Real'!C3:C15,0))+1))/((L941-1)*(1-_xlfn.XLOOKUP(K941,'Fevereiro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Real'!C3:C15,0))+1))/((L942-1)*(1-_xlfn.XLOOKUP(K942,'Fevereiro 2023 - Valor Real'!A3:A15,'Fevereiro 2023 - Valor Real'!C3:C15,0))+1)),IF(I941="Lay",IF(I940="Lay",((L940/(L940-1)-1)*(1-_xlfn.XLOOKUP(K940,'Fevereiro 2023 - Valor Real'!A3:A15,'Fevereiro 2023 - Valor Real'!C3:C15,0))+1)/(((L940/(L940-1)-1)*(1-_xlfn.XLOOKUP(K940,'Fevereiro 2023 - Valor Real'!A3:A15,'Fevereiro 2023 - Valor Real'!C3:C15,0))+1)+((L941/(L941-1)-1)*(1-_xlfn.XLOOKUP(K941,'Fevereiro 2023 - Valor Real'!A3:A15,'Fevereiro 2023 - Valor Real'!C3:C15,0))+1)),((L940-1)*(1-_xlfn.XLOOKUP(K940,'Fevereiro 2023 - Valor Real'!A3:A15,'Fevereiro 2023 - Valor Real'!C3:C15,0))+1)/(((L940-1)*(1-_xlfn.XLOOKUP(K940,'Fevereiro 2023 - Valor Real'!A3:A15,'Fevereiro 2023 - Valor Real'!C3:C15,0))+1)+((L941/(L941-1)-1)*(1-_xlfn.XLOOKUP(K941,'Fevereiro 2023 - Valor Real'!A3:A15,'Fevereiro 2023 - Valor Real'!C3:C15,0))+1))),IF(I940="Lay",((L940/(L940-1)-1)*(1-_xlfn.XLOOKUP(K940,'Fevereiro 2023 - Valor Real'!A3:A15,'Fevereiro 2023 - Valor Real'!C3:C15,0))+1)/((((L940/(L940-1)-1)*(1-_xlfn.XLOOKUP(K940,'Fevereiro 2023 - Valor Real'!A3:A15,'Fevereiro 2023 - Valor Real'!C3:C15,0))+1))+((L941-1)*(1-_xlfn.XLOOKUP(K941,'Fevereiro 2023 - Valor Real'!A3:A15,'Fevereiro 2023 - Valor Real'!C3:C15,0))+1)),((L940-1)*(1-_xlfn.XLOOKUP(K940,'Fevereiro 2023 - Valor Real'!A3:A15,'Fevereiro 2023 - Valor Real'!C3:C15,0))+1)/(((L940-1)*(1-_xlfn.XLOOKUP(K940,'Fevereiro 2023 - Valor Real'!A3:A15,'Fevereiro 2023 - Valor Real'!C3:C15,0))+1)+((L941-1)*(1-_xlfn.XLOOKUP(K941,'Fevereiro 2023 - Valor Real'!A3:A15,'Fevereiro 2023 - Valor Real'!C3:C15,0))+1))))))</f>
        <v>0.43269544597717996</v>
      </c>
      <c r="AF941" s="66">
        <f t="shared" si="1876"/>
        <v>0</v>
      </c>
      <c r="AG941" s="67">
        <f t="shared" si="1876"/>
        <v>0</v>
      </c>
      <c r="AH941" s="67">
        <f t="shared" si="1876"/>
        <v>0</v>
      </c>
      <c r="AI941" s="67">
        <f t="shared" si="1876"/>
        <v>0</v>
      </c>
      <c r="AJ941" s="67">
        <f t="shared" si="1876"/>
        <v>0</v>
      </c>
      <c r="AK941" s="67">
        <f t="shared" si="1876"/>
        <v>0</v>
      </c>
      <c r="AL941" s="67">
        <f t="shared" si="1876"/>
        <v>0</v>
      </c>
      <c r="AM941" s="67">
        <f t="shared" si="1876"/>
        <v>0</v>
      </c>
      <c r="AN941" s="67">
        <f t="shared" si="1876"/>
        <v>0</v>
      </c>
      <c r="AO941" s="67">
        <f t="shared" si="1876"/>
        <v>0</v>
      </c>
      <c r="AP941" s="67">
        <f t="shared" si="1876"/>
        <v>0</v>
      </c>
      <c r="AQ941" s="67">
        <f t="shared" si="1876"/>
        <v>26.14</v>
      </c>
      <c r="AR941" s="68">
        <f t="shared" si="1876"/>
        <v>0</v>
      </c>
      <c r="AS941" s="66">
        <f>IF(AND($B940=" ",$K941=AS$3),$O941,0)</f>
        <v>0</v>
      </c>
      <c r="AT941" s="67">
        <f>IF(AND($B940=" ",K941=AT$3),$O941,0)</f>
        <v>0</v>
      </c>
      <c r="AU941" s="67">
        <f t="shared" ref="AU941:BE941" si="1888">IF(AND($B940=" ",$K941=AU$3),$O941,0)</f>
        <v>0</v>
      </c>
      <c r="AV941" s="67">
        <f t="shared" si="1888"/>
        <v>0</v>
      </c>
      <c r="AW941" s="67">
        <f t="shared" si="1888"/>
        <v>0</v>
      </c>
      <c r="AX941" s="67">
        <f t="shared" si="1888"/>
        <v>0</v>
      </c>
      <c r="AY941" s="69">
        <f t="shared" si="1888"/>
        <v>0</v>
      </c>
      <c r="AZ941" s="70">
        <f t="shared" si="1888"/>
        <v>0</v>
      </c>
      <c r="BA941" s="70">
        <f t="shared" si="1888"/>
        <v>0</v>
      </c>
      <c r="BB941" s="70">
        <f t="shared" si="1888"/>
        <v>0</v>
      </c>
      <c r="BC941" s="71">
        <f t="shared" si="1888"/>
        <v>0</v>
      </c>
      <c r="BD941" s="67">
        <f t="shared" si="1888"/>
        <v>0</v>
      </c>
      <c r="BE941" s="68">
        <f t="shared" si="1888"/>
        <v>0</v>
      </c>
      <c r="BF941" s="66">
        <f t="shared" si="1878"/>
        <v>0</v>
      </c>
      <c r="BG941" s="67">
        <f t="shared" si="1878"/>
        <v>0</v>
      </c>
      <c r="BH941" s="67">
        <f t="shared" si="1878"/>
        <v>0</v>
      </c>
      <c r="BI941" s="67">
        <f t="shared" si="1878"/>
        <v>0</v>
      </c>
      <c r="BJ941" s="67">
        <f t="shared" si="1878"/>
        <v>0</v>
      </c>
      <c r="BK941" s="67">
        <f t="shared" si="1878"/>
        <v>0</v>
      </c>
      <c r="BL941" s="67">
        <f t="shared" si="1878"/>
        <v>0</v>
      </c>
      <c r="BM941" s="235">
        <f t="shared" si="1878"/>
        <v>0</v>
      </c>
      <c r="BN941" s="159">
        <f t="shared" si="1878"/>
        <v>0</v>
      </c>
      <c r="BO941" s="159">
        <f t="shared" si="1878"/>
        <v>0</v>
      </c>
      <c r="BP941" s="159">
        <f t="shared" si="1878"/>
        <v>0</v>
      </c>
      <c r="BQ941" s="71">
        <f t="shared" si="1878"/>
        <v>39.020000000000003</v>
      </c>
      <c r="BR941" s="68">
        <f t="shared" si="1878"/>
        <v>0</v>
      </c>
      <c r="BS941" s="464"/>
      <c r="BT941" s="461"/>
      <c r="BU941" s="392"/>
      <c r="BV941" s="461"/>
      <c r="BW941" s="392"/>
      <c r="BX941" s="392"/>
      <c r="BY941" s="392"/>
      <c r="BZ941" s="461"/>
      <c r="CA941" s="392"/>
      <c r="CB941" s="392"/>
      <c r="CC941" s="392"/>
      <c r="CD941" s="401"/>
      <c r="CE941" s="409"/>
      <c r="CF941" s="236">
        <f t="shared" si="1796"/>
        <v>0</v>
      </c>
      <c r="CG941" s="237">
        <f t="shared" si="1797"/>
        <v>0</v>
      </c>
      <c r="CH941" s="237">
        <f t="shared" si="1798"/>
        <v>0</v>
      </c>
      <c r="CI941" s="237">
        <f t="shared" si="1799"/>
        <v>0</v>
      </c>
      <c r="CJ941" s="237">
        <f t="shared" si="1800"/>
        <v>0</v>
      </c>
      <c r="CK941" s="237">
        <f t="shared" si="1801"/>
        <v>0</v>
      </c>
      <c r="CL941" s="237">
        <f t="shared" si="1802"/>
        <v>0</v>
      </c>
      <c r="CM941" s="237">
        <f t="shared" si="1803"/>
        <v>0</v>
      </c>
      <c r="CN941" s="237">
        <f t="shared" si="1804"/>
        <v>0</v>
      </c>
      <c r="CO941" s="237">
        <f t="shared" si="1805"/>
        <v>0</v>
      </c>
      <c r="CP941" s="237">
        <f t="shared" si="1806"/>
        <v>0</v>
      </c>
      <c r="CQ941" s="237">
        <f t="shared" si="1807"/>
        <v>0</v>
      </c>
      <c r="CR941" s="237">
        <f t="shared" si="1808"/>
        <v>0</v>
      </c>
      <c r="CS941" s="237">
        <f t="shared" si="1809"/>
        <v>0</v>
      </c>
      <c r="CT941" s="75">
        <f t="shared" si="1810"/>
        <v>0</v>
      </c>
      <c r="CU941" s="76">
        <f t="shared" si="1811"/>
        <v>0</v>
      </c>
      <c r="CV941" s="76">
        <f t="shared" si="1812"/>
        <v>0</v>
      </c>
      <c r="CW941" s="76">
        <f t="shared" si="1813"/>
        <v>0</v>
      </c>
      <c r="CX941" s="76">
        <f t="shared" si="1814"/>
        <v>0</v>
      </c>
      <c r="CY941" s="76">
        <f t="shared" si="1815"/>
        <v>0</v>
      </c>
      <c r="CZ941" s="76">
        <f t="shared" si="1816"/>
        <v>0</v>
      </c>
      <c r="DA941" s="76">
        <f t="shared" si="1817"/>
        <v>0</v>
      </c>
      <c r="DB941" s="76">
        <f t="shared" si="1818"/>
        <v>1</v>
      </c>
      <c r="DC941" s="76">
        <f t="shared" si="1819"/>
        <v>0</v>
      </c>
      <c r="DD941" s="76">
        <f t="shared" si="1820"/>
        <v>0</v>
      </c>
      <c r="DE941" s="77">
        <f t="shared" si="1821"/>
        <v>0</v>
      </c>
      <c r="DF941" s="73">
        <f t="shared" si="1824"/>
        <v>57</v>
      </c>
      <c r="DG941" s="67">
        <f t="shared" si="1825"/>
        <v>76.963000000000008</v>
      </c>
      <c r="DH941" s="76">
        <f t="shared" si="1826"/>
        <v>19</v>
      </c>
      <c r="DI941" s="67">
        <f t="shared" si="1827"/>
        <v>81.47</v>
      </c>
      <c r="DJ941" s="202" t="str">
        <f>IF($D940="","",$D940)</f>
        <v>31</v>
      </c>
      <c r="DK941" s="466"/>
    </row>
    <row r="942" spans="1:115" ht="14.5" customHeight="1" x14ac:dyDescent="0.2">
      <c r="A942" s="390"/>
      <c r="B942" s="457"/>
      <c r="C942" s="79" t="s">
        <v>55</v>
      </c>
      <c r="D942" s="375"/>
      <c r="E942" s="387"/>
      <c r="F942" s="378"/>
      <c r="G942" s="484"/>
      <c r="H942" s="477"/>
      <c r="I942" s="243" t="s">
        <v>67</v>
      </c>
      <c r="J942" s="244">
        <v>1</v>
      </c>
      <c r="K942" s="245" t="s">
        <v>47</v>
      </c>
      <c r="L942" s="246">
        <v>2.63</v>
      </c>
      <c r="M942" s="85">
        <v>6.3</v>
      </c>
      <c r="N942" s="407"/>
      <c r="O942" s="187">
        <f>IF(OR(AE940="",AE941=""),"",IF(L942&gt;0,ROUND(IF(M942&gt;0,M942,IF(M940&gt;0,ROUND((M940*AE942)/AE940,IF(N940=0,2,IF(N940=0.1,1,0))),IF(M941&gt;0,ROUND((M941*AE942)/AE941,IF(N940=0,2,IF(N940=0.1,1,0))),IF(M942&gt;0,M942,0)))),2),""))</f>
        <v>6.3</v>
      </c>
      <c r="P942" s="188">
        <f>IF(I941="Lay",O941*(L941/(L941-1))-O941,IF(I940="Lay",O940*(L940/(L940-1))-O940,IF(OR(L942="",O942=""),"",IF($C942="1/2W",O942/2+O942/2*L942,IF($C942="1/2L",O942/2,(O942*L942-O942)*(1-_xlfn.XLOOKUP(K942,'Fevereiro 2023 - Valor Real'!A3:A15,'Fevereiro 2023 - Valor Real'!C3:C15,0))+O942)))))</f>
        <v>16.568999999999999</v>
      </c>
      <c r="Q942" s="233">
        <f>IF(K942="","",IF(_xlfn.XLOOKUP(K942,K$4:K941,$DJ$4:DJ941,0,,-1)=DJ942,_xlfn.XLOOKUP(K942,K$4:K941,Q$4:Q941,1,,-1)+1,1))</f>
        <v>6</v>
      </c>
      <c r="R942" s="247">
        <f>IF(K942="","",_xlfn.XLOOKUP(K942,K$4:K941,R$4:R941,0,,-1)+IF($C942=" ",1,0))</f>
        <v>0</v>
      </c>
      <c r="S942" s="404"/>
      <c r="T942" s="378"/>
      <c r="U942" s="378"/>
      <c r="V942" s="404"/>
      <c r="W942" s="378"/>
      <c r="X942" s="453"/>
      <c r="Y942" s="383"/>
      <c r="Z942" s="384"/>
      <c r="AA942" s="384"/>
      <c r="AB942" s="384"/>
      <c r="AC942" s="384"/>
      <c r="AD942" s="240">
        <f>((L941/(L941-1)-1))</f>
        <v>1.4925373134328361</v>
      </c>
      <c r="AE942" s="190">
        <f>IF(L942="","",(SUM(((L940-1)*(1-_xlfn.XLOOKUP(K940,'Fevereiro 2023 - Valor Real'!A3:A15,'Fevereiro 2023 - Valor Real'!C3:C15,0))+1),((L941-1)*(1-_xlfn.XLOOKUP(K941,'Fevereiro 2023 - Valor Real'!A3:A15,'Fevereiro 2023 - Valor Real'!C3:C15,0))+1),((L942-1)*(1-_xlfn.XLOOKUP(K942,'Fevereiro 2023 - Valor Real'!A3:A15,'Fevereiro 2023 - Valor Real'!C3:C15,0))+1))/((L942-1)*(1-_xlfn.XLOOKUP(K942,'Fevereiro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Real'!C3:C15,0))+1))/((L940-1)*(1-_xlfn.XLOOKUP(K940,'Fevereiro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Real'!C3:C15,0))+1))/((L941-1)*(1-_xlfn.XLOOKUP(K941,'Fevereiro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Real'!C3:C15,0))+1))/((L942-1)*(1-_xlfn.XLOOKUP(K942,'Fevereiro 2023 - Valor Real'!A3:A15,'Fevereiro 2023 - Valor Real'!C3:C15,0))+1)))</f>
        <v>0.2747533820463462</v>
      </c>
      <c r="AF942" s="66">
        <f t="shared" si="1876"/>
        <v>0</v>
      </c>
      <c r="AG942" s="67">
        <f t="shared" si="1876"/>
        <v>0</v>
      </c>
      <c r="AH942" s="67">
        <f t="shared" si="1876"/>
        <v>0</v>
      </c>
      <c r="AI942" s="67">
        <f t="shared" si="1876"/>
        <v>0</v>
      </c>
      <c r="AJ942" s="67">
        <f t="shared" si="1876"/>
        <v>0</v>
      </c>
      <c r="AK942" s="67">
        <f t="shared" si="1876"/>
        <v>0</v>
      </c>
      <c r="AL942" s="67">
        <f t="shared" si="1876"/>
        <v>0</v>
      </c>
      <c r="AM942" s="67">
        <f t="shared" si="1876"/>
        <v>0</v>
      </c>
      <c r="AN942" s="67">
        <f t="shared" si="1876"/>
        <v>0</v>
      </c>
      <c r="AO942" s="67">
        <f t="shared" si="1876"/>
        <v>0</v>
      </c>
      <c r="AP942" s="67">
        <f t="shared" si="1876"/>
        <v>0</v>
      </c>
      <c r="AQ942" s="67">
        <f t="shared" si="1876"/>
        <v>-6.3</v>
      </c>
      <c r="AR942" s="68">
        <f t="shared" si="1876"/>
        <v>0</v>
      </c>
      <c r="AS942" s="66">
        <f>IF(AND($B940=" ",$K942=AS$3),$O942,0)</f>
        <v>0</v>
      </c>
      <c r="AT942" s="67">
        <f>IF(AND($B940=" ",K942=AT$3),$O942,0)</f>
        <v>0</v>
      </c>
      <c r="AU942" s="67">
        <f t="shared" ref="AU942:BE942" si="1889">IF(AND($B940=" ",$K942=AU$3),$O942,0)</f>
        <v>0</v>
      </c>
      <c r="AV942" s="67">
        <f t="shared" si="1889"/>
        <v>0</v>
      </c>
      <c r="AW942" s="67">
        <f t="shared" si="1889"/>
        <v>0</v>
      </c>
      <c r="AX942" s="67">
        <f t="shared" si="1889"/>
        <v>0</v>
      </c>
      <c r="AY942" s="69">
        <f t="shared" si="1889"/>
        <v>0</v>
      </c>
      <c r="AZ942" s="70">
        <f t="shared" si="1889"/>
        <v>0</v>
      </c>
      <c r="BA942" s="70">
        <f t="shared" si="1889"/>
        <v>0</v>
      </c>
      <c r="BB942" s="70">
        <f t="shared" si="1889"/>
        <v>0</v>
      </c>
      <c r="BC942" s="71">
        <f t="shared" si="1889"/>
        <v>0</v>
      </c>
      <c r="BD942" s="67">
        <f t="shared" si="1889"/>
        <v>0</v>
      </c>
      <c r="BE942" s="68">
        <f t="shared" si="1889"/>
        <v>0</v>
      </c>
      <c r="BF942" s="66">
        <f t="shared" si="1878"/>
        <v>0</v>
      </c>
      <c r="BG942" s="67">
        <f t="shared" si="1878"/>
        <v>0</v>
      </c>
      <c r="BH942" s="67">
        <f t="shared" si="1878"/>
        <v>0</v>
      </c>
      <c r="BI942" s="67">
        <f t="shared" si="1878"/>
        <v>0</v>
      </c>
      <c r="BJ942" s="67">
        <f t="shared" si="1878"/>
        <v>0</v>
      </c>
      <c r="BK942" s="67">
        <f t="shared" si="1878"/>
        <v>0</v>
      </c>
      <c r="BL942" s="67">
        <f t="shared" si="1878"/>
        <v>0</v>
      </c>
      <c r="BM942" s="69">
        <f t="shared" si="1878"/>
        <v>0</v>
      </c>
      <c r="BN942" s="70">
        <f t="shared" si="1878"/>
        <v>0</v>
      </c>
      <c r="BO942" s="70">
        <f t="shared" si="1878"/>
        <v>0</v>
      </c>
      <c r="BP942" s="70">
        <f t="shared" si="1878"/>
        <v>0</v>
      </c>
      <c r="BQ942" s="71">
        <f t="shared" si="1878"/>
        <v>6.3</v>
      </c>
      <c r="BR942" s="68">
        <f t="shared" si="1878"/>
        <v>0</v>
      </c>
      <c r="BS942" s="464"/>
      <c r="BT942" s="461"/>
      <c r="BU942" s="392"/>
      <c r="BV942" s="461"/>
      <c r="BW942" s="392"/>
      <c r="BX942" s="392"/>
      <c r="BY942" s="392"/>
      <c r="BZ942" s="461"/>
      <c r="CA942" s="392"/>
      <c r="CB942" s="392"/>
      <c r="CC942" s="392"/>
      <c r="CD942" s="401"/>
      <c r="CE942" s="409"/>
      <c r="CF942" s="236">
        <f t="shared" si="1796"/>
        <v>0</v>
      </c>
      <c r="CG942" s="237">
        <f t="shared" si="1797"/>
        <v>0</v>
      </c>
      <c r="CH942" s="237">
        <f t="shared" si="1798"/>
        <v>0</v>
      </c>
      <c r="CI942" s="237">
        <f t="shared" si="1799"/>
        <v>0</v>
      </c>
      <c r="CJ942" s="237">
        <f t="shared" si="1800"/>
        <v>0</v>
      </c>
      <c r="CK942" s="237">
        <f t="shared" si="1801"/>
        <v>0</v>
      </c>
      <c r="CL942" s="237">
        <f t="shared" si="1802"/>
        <v>0</v>
      </c>
      <c r="CM942" s="237">
        <f t="shared" si="1803"/>
        <v>0</v>
      </c>
      <c r="CN942" s="237">
        <f t="shared" si="1804"/>
        <v>0</v>
      </c>
      <c r="CO942" s="237">
        <f t="shared" si="1805"/>
        <v>0</v>
      </c>
      <c r="CP942" s="237">
        <f t="shared" si="1806"/>
        <v>0</v>
      </c>
      <c r="CQ942" s="237">
        <f t="shared" si="1807"/>
        <v>0</v>
      </c>
      <c r="CR942" s="237">
        <f t="shared" si="1808"/>
        <v>0</v>
      </c>
      <c r="CS942" s="237">
        <f t="shared" si="1809"/>
        <v>0</v>
      </c>
      <c r="CT942" s="75">
        <f t="shared" si="1810"/>
        <v>0</v>
      </c>
      <c r="CU942" s="76">
        <f t="shared" si="1811"/>
        <v>0</v>
      </c>
      <c r="CV942" s="76">
        <f t="shared" si="1812"/>
        <v>0</v>
      </c>
      <c r="CW942" s="76">
        <f t="shared" si="1813"/>
        <v>0</v>
      </c>
      <c r="CX942" s="76">
        <f t="shared" si="1814"/>
        <v>0</v>
      </c>
      <c r="CY942" s="76">
        <f t="shared" si="1815"/>
        <v>0</v>
      </c>
      <c r="CZ942" s="76">
        <f t="shared" si="1816"/>
        <v>0</v>
      </c>
      <c r="DA942" s="76">
        <f t="shared" si="1817"/>
        <v>0</v>
      </c>
      <c r="DB942" s="76">
        <f t="shared" si="1818"/>
        <v>0</v>
      </c>
      <c r="DC942" s="76">
        <f t="shared" si="1819"/>
        <v>1</v>
      </c>
      <c r="DD942" s="76">
        <f t="shared" si="1820"/>
        <v>0</v>
      </c>
      <c r="DE942" s="77">
        <f t="shared" si="1821"/>
        <v>0</v>
      </c>
      <c r="DF942" s="73">
        <f t="shared" si="1824"/>
        <v>57</v>
      </c>
      <c r="DG942" s="67">
        <f t="shared" si="1825"/>
        <v>76.963000000000008</v>
      </c>
      <c r="DH942" s="76">
        <f t="shared" si="1826"/>
        <v>19</v>
      </c>
      <c r="DI942" s="67">
        <f t="shared" si="1827"/>
        <v>81.47</v>
      </c>
      <c r="DJ942" s="202" t="str">
        <f>IF($D940="","",$D940)</f>
        <v>31</v>
      </c>
      <c r="DK942" s="466"/>
    </row>
    <row r="943" spans="1:115" ht="14.5" customHeight="1" x14ac:dyDescent="0.2">
      <c r="A943" s="459">
        <f>$A940+1</f>
        <v>314</v>
      </c>
      <c r="B943" s="507" t="str">
        <f>IF(OR(C943="W",C944="W",C945="W",C943="1/2W",C944="1/2W",C945="1/2W",C943="1/2L",C944="1/2L",C945="1/2L"),"OK",IF(OR(C943="L",C944="L",C945="L"),"LOSS",IF(OR(C943="X",C944="X",C945="X"),"Anulado"," ")))</f>
        <v>OK</v>
      </c>
      <c r="C943" s="93" t="s">
        <v>310</v>
      </c>
      <c r="D943" s="468" t="str">
        <f>IF(G943="","",$D940)</f>
        <v>31</v>
      </c>
      <c r="E943" s="485" t="str">
        <f>IF(G943=""," ","– "&amp;COUNTIF(D$4:D945,$D943))</f>
        <v>– 10</v>
      </c>
      <c r="F943" s="509" t="str">
        <f ca="1">IF(G943="","",IF(OR(AND($C943&lt;&gt;" ",$C944=" "),AND($C944&lt;&gt;" ",$C943=" "),AND(L945&gt;0,OR(AND($C945&lt;&gt;" ",OR($C943=" ",$C944=" ")),AND($C945=" ",OR($C943&lt;&gt;" ",$C944&lt;&gt;" "))))),IF(SUM(F$4:F942)=0,1,LARGE(F$4:F942,1)+1),IF(MONTH(G943)=MONTH(TODAY()),IF(AND(DAY(G943)&lt;DAY(TODAY()),$B943=" "),IF(SUM(F$4:F942)=0,1,LARGE(F$4:F942,1)+1),IF($B943=" ",IF(AND(DAY(G943)=DAY(TODAY()),HOUR(G943)&lt;=HOUR(NOW())+1),IF(AND(HOUR(G943)+2&lt;=HOUR(NOW()),DAY(G943)&lt;=DAY(TODAY()),MINUTE(G943)&lt;=MINUTE(NOW())),IF(SUM(F$4:F942)=0,1,LARGE(F$4:F942,1)+1),IF(OR(MINUTE(G943)&lt;=MINUTE(NOW()),HOUR(G943)&lt;=HOUR(NOW())),"!!!","")),""),"")),"")))</f>
        <v/>
      </c>
      <c r="G943" s="482">
        <f>IF(H943="","",_xlfn.XLOOKUP(H943,$H$4:H942,$G$4:G942,""))</f>
        <v>45016.385416666664</v>
      </c>
      <c r="H943" s="475" t="s">
        <v>311</v>
      </c>
      <c r="I943" s="94" t="s">
        <v>66</v>
      </c>
      <c r="J943" s="95">
        <v>-1.25</v>
      </c>
      <c r="K943" s="96" t="s">
        <v>43</v>
      </c>
      <c r="L943" s="97">
        <v>2.38</v>
      </c>
      <c r="M943" s="98">
        <v>34.659999999999997</v>
      </c>
      <c r="N943" s="478">
        <v>0</v>
      </c>
      <c r="O943" s="99">
        <f>IF(OR(AE943="",AE944=""),"",ROUND(IF(L945&gt;0,IF(M943&gt;0,M943,IF(M944&gt;0,ROUND((M944*AE943)/AE944,IF(N943=0,2,IF(N943=0.1,1,0))),ROUND((M945*AE943)/AE945,IF(N943=0,2,IF(N943=0.1,1,0))))),IF(M943&gt;0,M943,ROUND((M944*AE943)/AE944,IF(N943=0,2,IF(N943=0.1,1,0))))),2))</f>
        <v>34.659999999999997</v>
      </c>
      <c r="P943" s="100">
        <f>IF(OR(L943="",O943=""),"",IF($C943="1/2W",O943/2+O943/2*L943,IF($C943="1/2L",O943/2,IF(I943="Lay",(O943*(L943/(L943-1))-O943)*(1-_xlfn.XLOOKUP(K943,'Fevereiro 2023 - Valor Real'!A3:A15,'Fevereiro 2023 - Valor Real'!C3:C15,0))+O943,(O943*L943-O943)*(1-_xlfn.XLOOKUP(K943,'Fevereiro 2023 - Valor Real'!A3:A15,'Fevereiro 2023 - Valor Real'!C3:C15,0))+O943))))</f>
        <v>17.329999999999998</v>
      </c>
      <c r="Q943" s="101">
        <f>IF(K943="","",IF(_xlfn.XLOOKUP(K943,K$4:K942,$DJ$4:DJ942,0,,-1)=DJ943,_xlfn.XLOOKUP(K943,K$4:K942,Q$4:Q942,1,,-1)+1,1))</f>
        <v>5</v>
      </c>
      <c r="R943" s="102">
        <f>IF(K943="","",_xlfn.XLOOKUP(K943,K$4:K942,R$4:R942,0,,-1)+IF($C943=" ",1,0))</f>
        <v>0</v>
      </c>
      <c r="S943" s="474">
        <f>IF($B943="Anulado",0,ROUND(IF(OR($B943="LOSS",$B943="OK"),IF(OR($C943="W",$C943="1/2W",$C943="1/2L"),P943-O943,IF($C943="L",-O943,0))+IF(OR($C944="W",$C944="1/2W",$C944="1/2L"),P944-O944,IF($C944="L",-O944,0))+IF(OR($C945="W",$C945="1/2W",$C945="1/2L"),P945-O945,IF($C945="L",-O945,0)),IF(AND(OR($C943="W",$C943="1/2W",$C943="1/2L"),C944="W"),P943+P944-SUM(O943:O945)+_xlfn.XLOOKUP("X",C943:C945,O943:O945,0),IF(AND(C943=TRUE,C945="W"),P943+P945-SUM(O943:O945),IF(AND(C944="W",C945="W"),P944+P945-SUM(O943:O945)+_xlfn.XLOOKUP("X",C943:C945,O943:O945,0),IF(L945&gt;0,IF(OR($C943="W",$C943="1/2W",$C943="1/2L"),P943-SUM(O943:O945)+_xlfn.XLOOKUP("X",C943:C945,O943:O945,0),IF(OR($C943="W",$C943="1/2W",$C943="1/2L"),P944-SUM(O943:O945)+_xlfn.XLOOKUP("X",C943:C945,O943:O945,0),IF(OR($C943="W",$C943="1/2W",$C943="1/2L"),P945-SUM(O943:O945)+_xlfn.XLOOKUP("X",C943:C945,O943:O945,0),IF(SUM(P943:P945)/3-SUM(O943:O945)+_xlfn.XLOOKUP("X",C943:C945,O943:O945,0)&gt;0,SUM(P943:P945)/3-SUM(O943:O945)+_xlfn.XLOOKUP("X",C943:C945,O943:O945,0),LARGE(P943:P945,1)-SUM(O943:O945))))),IF(OR($C943="W",$C943="1/2W",$C943="1/2L"),P943-SUM(O943:O944)+_xlfn.XLOOKUP("X",C943:C945,O943:O945,0),IF(OR($C943="W",$C943="1/2W",$C943="1/2L"),P944-SUM(O943:O944)+_xlfn.XLOOKUP("X",C943:C945,O943:O945,0),SUM(P943:P944)/2-SUM(O943:O944)+_xlfn.XLOOKUP("X",C943:C945,O943:O945,0)))))))),2))</f>
        <v>3.44</v>
      </c>
      <c r="T943" s="458">
        <f>IF(S943=0,0,S943/SUM(O943:O945))</f>
        <v>4.2177538008827863E-2</v>
      </c>
      <c r="U943" s="470">
        <f>IF($D943=$D940,IF(OR($B943="LOSS",$B943="OK",$B943="Anulada"),S943,0)+U940,IF(OR($B943="LOSS",$B943="OK",$B943="Anulada"),S943,0))</f>
        <v>66.06</v>
      </c>
      <c r="V943" s="470">
        <f>IF($D943="",0,IF($D943=$D940,IF($B943=" ",IF(I945="",IF(OR(AND(I943="DNB1",I944="DNB2"),AND(OR(I943="DNB1",I943="DNB2"),J944=0),AND(OR(I944="DNB1",I944="DNB2"),J943=0),AND(I943="DNB2",I944="DNB1"),AND(IF(J943=0,(J943+1)/ROUND(J943+1,0),J943/ROUND(J943,0))=1,IF(J944=0,(J944+1)/ROUND(IF(J944="",0,J944)+1,0),IF(J944="",0,J944)/ROUND(IF(J944="",1,J944),0))=1,OR(J943&lt;&gt;""),J944&lt;&gt;"")),0,IF(S943&lt;0,IF(I945="",SMALL(P943:P944,1)-SUM(O943:O944),0),SMALL(P943:P944,1)-SUM(O943:O944))),IF(S943&lt;0,IF(I945="",SMALL(P943:P945,1)-SUM(O943:O945),0),LARGE(P943:P945,1)-SUM(O943:O945))),S943)+V940,IF(I945="",IF(OR(AND(I943="DNB1",I944="DNB2"),AND(OR(I943="DNB1",I943="DNB2"),J944=0),AND(OR(I944="DNB1",I944="DNB2"),J943=0),AND(I943="DNB2",I944="DNB1"),AND(IF(J943=0,(J943+1)/ROUND(J943+1,0),J943/ROUND(J943,0))=1,IF(J944=0,(IF(J944="",0,J944)+1)/ROUND(IF(J944="",0,J944)+1,0),IF(J944="",0,J944)/ROUND(IF(J944="",0,J944)+1,0))=1,OR(J943&lt;&gt;""),J944&lt;&gt;"")),0,IF(S943&lt;0,IF(I945="",SMALL(P943:P944,1)-SUM(O943:O944),0),SMALL(P943:P945,1)-SUM(O943:O945))),IF(S943&lt;0,IF(I945="",SMALL(P943:P945,1)-SUM(O943:O945),0),LARGE(P943:P945,1)-SUM(O943:O945)))))</f>
        <v>66.063000000000002</v>
      </c>
      <c r="W943" s="470">
        <f>IF($D943=$D940,IF(S943&lt;0,IF(I945="",S943,0),S943)+W940,S943)</f>
        <v>66.06</v>
      </c>
      <c r="X943" s="480" t="str">
        <f>IF(OR(SUM(R943:R945)=0,V943=W943),ROUND(IF(W943=0,0,W943/Y943)*100,2)&amp;"%",ROUND(IF(V943=0,0,V943/Y943)*100,2)&amp;"% a "&amp;ROUND(IF(W943=0,0,W943/Y943)*100,2)&amp;"%")</f>
        <v>14,61%</v>
      </c>
      <c r="Y943" s="471">
        <f>IF($D943=$D940,Y940+SUM(O943:O945),SUM(O943:O945))</f>
        <v>452.10999999999996</v>
      </c>
      <c r="Z943" s="470">
        <f>IF($B943=" ",SUM(O943:O945),0)+Z940</f>
        <v>0</v>
      </c>
      <c r="AA943" s="470">
        <f>IF(G943="","",IF($B943="Anulado",LARGE(P943:P945,1)-SUM(O943:O945)+AA940,AA940))</f>
        <v>14.77109999999999</v>
      </c>
      <c r="AB943" s="470">
        <f>IF($D943="","",AB940+S943)</f>
        <v>1091.8600000000013</v>
      </c>
      <c r="AC943" s="472">
        <f ca="1">IF($D943="","",IF($B943=" ",IF(DAY(G943)=DAY(TODAY()),1+AC940,0+AC940),0+AC940))</f>
        <v>0</v>
      </c>
      <c r="AD943" s="103">
        <f>(((L944/(L944-1)-1)*(1-_xlfn.XLOOKUP(K944,'Fevereiro 2023 - Valor Real'!A3:A15,'Fevereiro 2023 - Valor Real'!C3:C15,0))+1))/(((L943-1)*(1-_xlfn.XLOOKUP(K943,'Fevereiro 2023 - Valor Real'!A3:A15,'Fevereiro 2023 - Valor Real'!C3:C15,0))+1)+((L944/(L944-1)-1)*(1-_xlfn.XLOOKUP(K944,'Fevereiro 2023 - Valor Real'!A3:A15,'Fevereiro 2023 - Valor Real'!C3:C15,0))+1))</f>
        <v>0.55861127073802364</v>
      </c>
      <c r="AE943" s="104">
        <f>IF(L943="","",IF(L945&gt;0,(SUM(((L943-1)*(1-_xlfn.XLOOKUP(K943,'Fevereiro 2023 - Valor Real'!A3:A15,'Fevereiro 2023 - Valor Real'!C3:C15,0))+1),((L944-1)*(1-_xlfn.XLOOKUP(K944,'Fevereiro 2023 - Valor Real'!A3:A15,'Fevereiro 2023 - Valor Real'!C3:C15,0))+1),((L945-1)*(1-_xlfn.XLOOKUP(K945,'Fevereiro 2023 - Valor Real'!A3:A15,'Fevereiro 2023 - Valor Real'!C3:C15,0))+1))/((L943-1)*(1-_xlfn.XLOOKUP(K943,'Fevereiro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Real'!C3:C15,0))+1))/((L943-1)*(1-_xlfn.XLOOKUP(K943,'Fevereiro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Real'!C3:C15,0))+1))/((L944-1)*(1-_xlfn.XLOOKUP(K944,'Fevereiro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Real'!C3:C15,0))+1))/((L945-1)*(1-_xlfn.XLOOKUP(K945,'Fevereiro 2023 - Valor Real'!A3:A15,'Fevereiro 2023 - Valor Real'!C3:C15,0))+1)),IF(I943="Lay",IF(I944="Lay",((L944/(L944-1)-1)*(1-_xlfn.XLOOKUP(K944,'Fevereiro 2023 - Valor Real'!A3:A15,'Fevereiro 2023 - Valor Real'!C3:C15,0))+1)/(((L944/(L944-1)-1)*(1-_xlfn.XLOOKUP(K944,'Fevereiro 2023 - Valor Real'!A3:A15,'Fevereiro 2023 - Valor Real'!C3:C15,0))+1)+((L943/(L943-1)-1)*(1-_xlfn.XLOOKUP(K943,'Fevereiro 2023 - Valor Real'!A3:A15,'Fevereiro 2023 - Valor Real'!C3:C15,0))+1)),((L944-1)*(1-_xlfn.XLOOKUP(K944,'Fevereiro 2023 - Valor Real'!A3:A15,'Fevereiro 2023 - Valor Real'!C3:C15,0))+1)/(((L944-1)*(1-_xlfn.XLOOKUP(K944,'Fevereiro 2023 - Valor Real'!A3:A15,'Fevereiro 2023 - Valor Real'!C3:C15,0))+1)+((L943/(L943-1)-1)*(1-_xlfn.XLOOKUP(K943,'Fevereiro 2023 - Valor Real'!A3:A15,'Fevereiro 2023 - Valor Real'!C3:C15,0))+1))),IF(I944="Lay",(((L944/(L944-1)-1)*(1-_xlfn.XLOOKUP(K944,'Fevereiro 2023 - Valor Real'!A3:A15,'Fevereiro 2023 - Valor Real'!C3:C15,0))+1))/(((L943-1)*(1-_xlfn.XLOOKUP(K943,'Fevereiro 2023 - Valor Real'!A3:A15,'Fevereiro 2023 - Valor Real'!C3:C15,0))+1)+((L944/(L944-1)-1)*(1-_xlfn.XLOOKUP(K944,'Fevereiro 2023 - Valor Real'!A3:A15,'Fevereiro 2023 - Valor Real'!C3:C15,0))+1)),((L944-1)*(1-_xlfn.XLOOKUP(K944,'Fevereiro 2023 - Valor Real'!A3:A15,'Fevereiro 2023 - Valor Real'!C3:C15,0))+1)/(((L944-1)*(1-_xlfn.XLOOKUP(K944,'Fevereiro 2023 - Valor Real'!A3:A15,'Fevereiro 2023 - Valor Real'!C3:C15,0))+1)+((L943-1)*(1-_xlfn.XLOOKUP(K943,'Fevereiro 2023 - Valor Real'!A3:A15,'Fevereiro 2023 - Valor Real'!C3:C15,0))+1))))))</f>
        <v>0.28614028113205764</v>
      </c>
      <c r="AF943" s="105">
        <f t="shared" si="1876"/>
        <v>0</v>
      </c>
      <c r="AG943" s="106">
        <f t="shared" si="1876"/>
        <v>0</v>
      </c>
      <c r="AH943" s="106">
        <f t="shared" si="1876"/>
        <v>0</v>
      </c>
      <c r="AI943" s="106">
        <f t="shared" si="1876"/>
        <v>0</v>
      </c>
      <c r="AJ943" s="106">
        <f t="shared" si="1876"/>
        <v>0</v>
      </c>
      <c r="AK943" s="106">
        <f t="shared" si="1876"/>
        <v>0</v>
      </c>
      <c r="AL943" s="106">
        <f t="shared" si="1876"/>
        <v>0</v>
      </c>
      <c r="AM943" s="106">
        <f t="shared" si="1876"/>
        <v>-17.329999999999998</v>
      </c>
      <c r="AN943" s="106">
        <f t="shared" si="1876"/>
        <v>0</v>
      </c>
      <c r="AO943" s="106">
        <f t="shared" si="1876"/>
        <v>0</v>
      </c>
      <c r="AP943" s="106">
        <f t="shared" si="1876"/>
        <v>0</v>
      </c>
      <c r="AQ943" s="106">
        <f t="shared" si="1876"/>
        <v>0</v>
      </c>
      <c r="AR943" s="107">
        <f t="shared" si="1876"/>
        <v>0</v>
      </c>
      <c r="AS943" s="105">
        <f t="shared" ref="AS943:BE943" si="1890">IF(AND($B943=" ",$K943=AS$3),$O943,0)</f>
        <v>0</v>
      </c>
      <c r="AT943" s="106">
        <f t="shared" si="1890"/>
        <v>0</v>
      </c>
      <c r="AU943" s="106">
        <f t="shared" si="1890"/>
        <v>0</v>
      </c>
      <c r="AV943" s="106">
        <f t="shared" si="1890"/>
        <v>0</v>
      </c>
      <c r="AW943" s="106">
        <f t="shared" si="1890"/>
        <v>0</v>
      </c>
      <c r="AX943" s="106">
        <f t="shared" si="1890"/>
        <v>0</v>
      </c>
      <c r="AY943" s="108">
        <f t="shared" si="1890"/>
        <v>0</v>
      </c>
      <c r="AZ943" s="109">
        <f t="shared" si="1890"/>
        <v>0</v>
      </c>
      <c r="BA943" s="109">
        <f t="shared" si="1890"/>
        <v>0</v>
      </c>
      <c r="BB943" s="109">
        <f t="shared" si="1890"/>
        <v>0</v>
      </c>
      <c r="BC943" s="110">
        <f t="shared" si="1890"/>
        <v>0</v>
      </c>
      <c r="BD943" s="106">
        <f t="shared" si="1890"/>
        <v>0</v>
      </c>
      <c r="BE943" s="107">
        <f t="shared" si="1890"/>
        <v>0</v>
      </c>
      <c r="BF943" s="111">
        <f t="shared" si="1878"/>
        <v>0</v>
      </c>
      <c r="BG943" s="106">
        <f t="shared" si="1878"/>
        <v>0</v>
      </c>
      <c r="BH943" s="106">
        <f t="shared" si="1878"/>
        <v>0</v>
      </c>
      <c r="BI943" s="106">
        <f t="shared" si="1878"/>
        <v>0</v>
      </c>
      <c r="BJ943" s="106">
        <f t="shared" si="1878"/>
        <v>0</v>
      </c>
      <c r="BK943" s="106">
        <f t="shared" si="1878"/>
        <v>0</v>
      </c>
      <c r="BL943" s="106">
        <f t="shared" si="1878"/>
        <v>0</v>
      </c>
      <c r="BM943" s="108">
        <f t="shared" si="1878"/>
        <v>34.659999999999997</v>
      </c>
      <c r="BN943" s="109">
        <f t="shared" si="1878"/>
        <v>0</v>
      </c>
      <c r="BO943" s="109">
        <f t="shared" si="1878"/>
        <v>0</v>
      </c>
      <c r="BP943" s="109">
        <f t="shared" si="1878"/>
        <v>0</v>
      </c>
      <c r="BQ943" s="110">
        <f t="shared" si="1878"/>
        <v>0</v>
      </c>
      <c r="BR943" s="107">
        <f t="shared" si="1878"/>
        <v>0</v>
      </c>
      <c r="BS943" s="463">
        <f>IF($B943="LOSS",IF(AND($K943=BS$3,$C943="L"),-$O943,0)+IF(AND($K944=BS$3,$C944="L"),-$O944,0)+IF(AND($K945=BS$3,$C945="L"),-$O945,0),IF(OR(AND($K943=BS$3,OR($C943="W",$C943="1/2W")),AND($K944=BS$3,OR($C944="W",$C944="1/2W")),AND($K945=BS$3,OR($C945="W",$C945="1/2W"))),$S943,0))</f>
        <v>0</v>
      </c>
      <c r="BT943" s="462">
        <f>IF($B943="LOSS",IF(AND($K943=BT$3,$C943="L"),-$O943,0)+IF(AND($K944=BT$3,$C944="L"),-$O944,0)+IF(AND($K944=BT$3,$C945="L"),-$O945,0),IF(OR(AND($K944=BT$3,OR($C943="W",$C943="1/2W")),AND($K944=BT$3,OR($C944="W",$C944="1/2W")),AND($K944=BT$3,OR($C945="W",$C945="1/2W"))),$S943,0))</f>
        <v>0</v>
      </c>
      <c r="BU943" s="462">
        <f>IF($B943="LOSS",IF(AND($K943=BU$3,$C943="L"),-$O943,0)+IF(AND($K944=BU$3,$C944="L"),-$O944,0)+IF(AND($K944=BU$3,$C945="L"),-$O945,0),IF(OR(AND($K944=BU$3,OR($C943="W",$C943="1/2W")),AND($K944=BU$3,OR($C944="W",$C944="1/2W")),AND($K944=BU$3,OR($C945="W",$C945="1/2W"))),$S943,0))</f>
        <v>0</v>
      </c>
      <c r="BV943" s="462">
        <f t="shared" ref="BV943:CE943" si="1891">IF($B943="LOSS",IF(AND($K943=BV$3,$C943="L"),-$O943,0)+IF(AND($K944=BV$3,$C944="L"),-$O944,0)+IF(AND($K945=BV$3,$C945="L"),-$O945,0),IF(OR(AND($K943=BV$3,OR($C943="W",$C943="1/2W")),AND($K944=BV$3,OR($C944="W",$C944="1/2W")),AND($K945=BV$3,OR($C945="W",$C945="1/2W"))),$S943,0))</f>
        <v>0</v>
      </c>
      <c r="BW943" s="462">
        <f t="shared" si="1891"/>
        <v>0</v>
      </c>
      <c r="BX943" s="462">
        <f t="shared" si="1891"/>
        <v>0</v>
      </c>
      <c r="BY943" s="462">
        <f t="shared" si="1891"/>
        <v>0</v>
      </c>
      <c r="BZ943" s="460">
        <f t="shared" si="1891"/>
        <v>3.44</v>
      </c>
      <c r="CA943" s="460">
        <f t="shared" si="1891"/>
        <v>0</v>
      </c>
      <c r="CB943" s="460">
        <f t="shared" si="1891"/>
        <v>0</v>
      </c>
      <c r="CC943" s="460">
        <f t="shared" si="1891"/>
        <v>0</v>
      </c>
      <c r="CD943" s="473">
        <f t="shared" si="1891"/>
        <v>3.44</v>
      </c>
      <c r="CE943" s="479">
        <f t="shared" si="1891"/>
        <v>0</v>
      </c>
      <c r="CF943" s="113">
        <f t="shared" si="1796"/>
        <v>0</v>
      </c>
      <c r="CG943" s="114">
        <f t="shared" si="1797"/>
        <v>0</v>
      </c>
      <c r="CH943" s="114">
        <f t="shared" si="1798"/>
        <v>0</v>
      </c>
      <c r="CI943" s="114">
        <f t="shared" si="1799"/>
        <v>0</v>
      </c>
      <c r="CJ943" s="114">
        <f t="shared" si="1800"/>
        <v>0</v>
      </c>
      <c r="CK943" s="114">
        <f t="shared" si="1801"/>
        <v>0</v>
      </c>
      <c r="CL943" s="114">
        <f t="shared" si="1802"/>
        <v>0</v>
      </c>
      <c r="CM943" s="114">
        <f t="shared" si="1803"/>
        <v>0</v>
      </c>
      <c r="CN943" s="114">
        <f t="shared" si="1804"/>
        <v>0</v>
      </c>
      <c r="CO943" s="114">
        <f t="shared" si="1805"/>
        <v>0</v>
      </c>
      <c r="CP943" s="114">
        <f t="shared" si="1806"/>
        <v>0</v>
      </c>
      <c r="CQ943" s="114">
        <f t="shared" si="1807"/>
        <v>0</v>
      </c>
      <c r="CR943" s="114">
        <f t="shared" si="1808"/>
        <v>0</v>
      </c>
      <c r="CS943" s="114">
        <f t="shared" si="1809"/>
        <v>0</v>
      </c>
      <c r="CT943" s="115">
        <f t="shared" si="1810"/>
        <v>0</v>
      </c>
      <c r="CU943" s="116">
        <f t="shared" si="1811"/>
        <v>0.5</v>
      </c>
      <c r="CV943" s="116">
        <f t="shared" si="1812"/>
        <v>0</v>
      </c>
      <c r="CW943" s="116">
        <f t="shared" si="1813"/>
        <v>0</v>
      </c>
      <c r="CX943" s="116">
        <f t="shared" si="1814"/>
        <v>0</v>
      </c>
      <c r="CY943" s="116">
        <f t="shared" si="1815"/>
        <v>0</v>
      </c>
      <c r="CZ943" s="116">
        <f t="shared" si="1816"/>
        <v>0</v>
      </c>
      <c r="DA943" s="116">
        <f t="shared" si="1817"/>
        <v>0</v>
      </c>
      <c r="DB943" s="116">
        <f t="shared" si="1818"/>
        <v>0</v>
      </c>
      <c r="DC943" s="116">
        <f t="shared" si="1819"/>
        <v>0</v>
      </c>
      <c r="DD943" s="116">
        <f t="shared" si="1820"/>
        <v>0</v>
      </c>
      <c r="DE943" s="117">
        <f t="shared" si="1821"/>
        <v>0</v>
      </c>
      <c r="DF943" s="118">
        <f t="shared" si="1824"/>
        <v>57</v>
      </c>
      <c r="DG943" s="106">
        <f t="shared" si="1825"/>
        <v>76.963000000000008</v>
      </c>
      <c r="DH943" s="116">
        <f t="shared" si="1826"/>
        <v>19</v>
      </c>
      <c r="DI943" s="106">
        <f t="shared" si="1827"/>
        <v>81.47</v>
      </c>
      <c r="DJ943" s="201" t="str">
        <f>IF($D943="","",$D943)</f>
        <v>31</v>
      </c>
      <c r="DK943" s="465">
        <f>IF(AND($B943=" ",$D943&lt;&gt;""),1,0)</f>
        <v>0</v>
      </c>
    </row>
    <row r="944" spans="1:115" ht="14.5" customHeight="1" x14ac:dyDescent="0.2">
      <c r="A944" s="389"/>
      <c r="B944" s="456"/>
      <c r="C944" s="120" t="s">
        <v>184</v>
      </c>
      <c r="D944" s="374"/>
      <c r="E944" s="386"/>
      <c r="F944" s="377"/>
      <c r="G944" s="483"/>
      <c r="H944" s="476"/>
      <c r="I944" s="121" t="s">
        <v>76</v>
      </c>
      <c r="J944" s="122">
        <v>1.25</v>
      </c>
      <c r="K944" s="123" t="s">
        <v>43</v>
      </c>
      <c r="L944" s="124">
        <v>1.4970000000000001</v>
      </c>
      <c r="M944" s="125">
        <v>40.299999999999997</v>
      </c>
      <c r="N944" s="406"/>
      <c r="O944" s="126">
        <f>IF(OR(AE943="",AE944=""),"",ROUND(IF(L945&gt;0,IF(M944&gt;0,M944,IF(M943&gt;0,IF(N943=TRUE,ROUND((M943*AE944)/AE943,0),(M943*AE944)/AE943),IF(M944&gt;0,ROUND(M944,IF(N943=0,2,IF(N943=0.1,1,0))),IF(M945&gt;0,ROUND(O945*AE944/AE945,IF(N943=0,2,IF(N943=0.1,1,0))),0)))),IF(M944&gt;0,M944,ROUND((M943*AE944)/AE943,IF(N943=0,2,IF(N943=0.1,1,0))))),2))</f>
        <v>40.299999999999997</v>
      </c>
      <c r="P944" s="127">
        <f>IF(OR(L944="",O944=""),"",IF($C944="1/2W",O944/2+O944/2*L944,IF($C944="1/2L",O944/2,IF(I944="Lay",((O944*(L944/(L944-1)))-O944)*(1-_xlfn.XLOOKUP(K944,'Fevereiro 2023 - Valor Real'!A3:A15,'Fevereiro 2023 - Valor Real'!C3:C15,0))+O944,(O944*L944-O944)*(1-_xlfn.XLOOKUP(K944,'Fevereiro 2023 - Valor Real'!A3:A15,'Fevereiro 2023 - Valor Real'!C3:C15,0))+O944))))</f>
        <v>50.314549999999997</v>
      </c>
      <c r="Q944" s="128">
        <f>IF(K944="","",IF(_xlfn.XLOOKUP(K944,K$4:K943,$DJ$4:DJ943,0,,-1)=DJ944,_xlfn.XLOOKUP(K944,K$4:K943,Q$4:Q943,1,,-1)+1,1))</f>
        <v>6</v>
      </c>
      <c r="R944" s="129">
        <f>IF(K944="","",_xlfn.XLOOKUP(K944,K$4:K943,R$4:R943,0,,-1)+IF($C944=" ",1,0))</f>
        <v>0</v>
      </c>
      <c r="S944" s="403"/>
      <c r="T944" s="380"/>
      <c r="U944" s="380"/>
      <c r="V944" s="481"/>
      <c r="W944" s="380"/>
      <c r="X944" s="452"/>
      <c r="Y944" s="383"/>
      <c r="Z944" s="384"/>
      <c r="AA944" s="384"/>
      <c r="AB944" s="384"/>
      <c r="AC944" s="384"/>
      <c r="AD944" s="130">
        <f>(((L944/(L944-1)-1)*(1-_xlfn.XLOOKUP(K944,'Fevereiro 2023 - Valor Real'!A3:A15,'Fevereiro 2023 - Valor Real'!C3:C15,0))+1))</f>
        <v>3.0120724346076453</v>
      </c>
      <c r="AE944" s="131">
        <f>IF(L944="","",IF(L945&gt;0,(SUM(((L943-1)*(1-_xlfn.XLOOKUP(K943,'Fevereiro 2023 - Valor Real'!A3:A15,'Fevereiro 2023 - Valor Real'!C3:C15,0))+1),((L944-1)*(1-_xlfn.XLOOKUP(K944,'Fevereiro 2023 - Valor Real'!A3:A15,'Fevereiro 2023 - Valor Real'!C3:C15,0))+1),((L945-1)*(1-_xlfn.XLOOKUP(K945,'Fevereiro 2023 - Valor Real'!A3:A15,'Fevereiro 2023 - Valor Real'!C3:C15,0))+1))/((L944-1)*(1-_xlfn.XLOOKUP(K944,'Fevereiro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Real'!C3:C15,0))+1))/((L943-1)*(1-_xlfn.XLOOKUP(K943,'Fevereiro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Real'!C3:C15,0))+1))/((L944-1)*(1-_xlfn.XLOOKUP(K944,'Fevereiro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Real'!C3:C15,0))+1))/((L945-1)*(1-_xlfn.XLOOKUP(K945,'Fevereiro 2023 - Valor Real'!A3:A15,'Fevereiro 2023 - Valor Real'!C3:C15,0))+1)),IF(I944="Lay",IF(I943="Lay",((L943/(L943-1)-1)*(1-_xlfn.XLOOKUP(K943,'Fevereiro 2023 - Valor Real'!A3:A15,'Fevereiro 2023 - Valor Real'!C3:C15,0))+1)/(((L943/(L943-1)-1)*(1-_xlfn.XLOOKUP(K943,'Fevereiro 2023 - Valor Real'!A3:A15,'Fevereiro 2023 - Valor Real'!C3:C15,0))+1)+((L944/(L944-1)-1)*(1-_xlfn.XLOOKUP(K944,'Fevereiro 2023 - Valor Real'!A3:A15,'Fevereiro 2023 - Valor Real'!C3:C15,0))+1)),((L943-1)*(1-_xlfn.XLOOKUP(K943,'Fevereiro 2023 - Valor Real'!A3:A15,'Fevereiro 2023 - Valor Real'!C3:C15,0))+1)/(((L943-1)*(1-_xlfn.XLOOKUP(K943,'Fevereiro 2023 - Valor Real'!A3:A15,'Fevereiro 2023 - Valor Real'!C3:C15,0))+1)+((L944/(L944-1)-1)*(1-_xlfn.XLOOKUP(K944,'Fevereiro 2023 - Valor Real'!A3:A15,'Fevereiro 2023 - Valor Real'!C3:C15,0))+1))),IF(I943="Lay",((L943/(L943-1)-1)*(1-_xlfn.XLOOKUP(K943,'Fevereiro 2023 - Valor Real'!A3:A15,'Fevereiro 2023 - Valor Real'!C3:C15,0))+1)/((((L943/(L943-1)-1)*(1-_xlfn.XLOOKUP(K943,'Fevereiro 2023 - Valor Real'!A3:A15,'Fevereiro 2023 - Valor Real'!C3:C15,0))+1))+((L944-1)*(1-_xlfn.XLOOKUP(K944,'Fevereiro 2023 - Valor Real'!A3:A15,'Fevereiro 2023 - Valor Real'!C3:C15,0))+1)),((L943-1)*(1-_xlfn.XLOOKUP(K943,'Fevereiro 2023 - Valor Real'!A3:A15,'Fevereiro 2023 - Valor Real'!C3:C15,0))+1)/(((L943-1)*(1-_xlfn.XLOOKUP(K943,'Fevereiro 2023 - Valor Real'!A3:A15,'Fevereiro 2023 - Valor Real'!C3:C15,0))+1)+((L944-1)*(1-_xlfn.XLOOKUP(K944,'Fevereiro 2023 - Valor Real'!A3:A15,'Fevereiro 2023 - Valor Real'!C3:C15,0))+1))))))</f>
        <v>0.45491908423132743</v>
      </c>
      <c r="AF944" s="105">
        <f t="shared" ref="AF944:AR954" si="1892">IF($K944=AF$3,ROUND(IF(OR($C944="W",$C944="1/2W",$C944="1/2L"),$P944-$O944,IF($C944="X",0,-$O944)),2),0)</f>
        <v>0</v>
      </c>
      <c r="AG944" s="106">
        <f t="shared" si="1892"/>
        <v>0</v>
      </c>
      <c r="AH944" s="106">
        <f t="shared" si="1892"/>
        <v>0</v>
      </c>
      <c r="AI944" s="106">
        <f t="shared" si="1892"/>
        <v>0</v>
      </c>
      <c r="AJ944" s="106">
        <f t="shared" si="1892"/>
        <v>0</v>
      </c>
      <c r="AK944" s="106">
        <f t="shared" si="1892"/>
        <v>0</v>
      </c>
      <c r="AL944" s="106">
        <f t="shared" si="1892"/>
        <v>0</v>
      </c>
      <c r="AM944" s="106">
        <f t="shared" si="1892"/>
        <v>10.01</v>
      </c>
      <c r="AN944" s="106">
        <f t="shared" si="1892"/>
        <v>0</v>
      </c>
      <c r="AO944" s="106">
        <f t="shared" si="1892"/>
        <v>0</v>
      </c>
      <c r="AP944" s="106">
        <f t="shared" si="1892"/>
        <v>0</v>
      </c>
      <c r="AQ944" s="106">
        <f t="shared" si="1892"/>
        <v>0</v>
      </c>
      <c r="AR944" s="107">
        <f t="shared" si="1892"/>
        <v>0</v>
      </c>
      <c r="AS944" s="105">
        <f>IF(AND($B943=" ",$K944=AS$3),$O944,0)</f>
        <v>0</v>
      </c>
      <c r="AT944" s="106">
        <f>IF(AND($B943=" ",K944=AT$3),$O944,0)</f>
        <v>0</v>
      </c>
      <c r="AU944" s="106">
        <f t="shared" ref="AU944:BE944" si="1893">IF(AND($B943=" ",$K944=AU$3),$O944,0)</f>
        <v>0</v>
      </c>
      <c r="AV944" s="106">
        <f t="shared" si="1893"/>
        <v>0</v>
      </c>
      <c r="AW944" s="106">
        <f t="shared" si="1893"/>
        <v>0</v>
      </c>
      <c r="AX944" s="106">
        <f t="shared" si="1893"/>
        <v>0</v>
      </c>
      <c r="AY944" s="108">
        <f t="shared" si="1893"/>
        <v>0</v>
      </c>
      <c r="AZ944" s="109">
        <f t="shared" si="1893"/>
        <v>0</v>
      </c>
      <c r="BA944" s="109">
        <f t="shared" si="1893"/>
        <v>0</v>
      </c>
      <c r="BB944" s="109">
        <f t="shared" si="1893"/>
        <v>0</v>
      </c>
      <c r="BC944" s="110">
        <f t="shared" si="1893"/>
        <v>0</v>
      </c>
      <c r="BD944" s="106">
        <f t="shared" si="1893"/>
        <v>0</v>
      </c>
      <c r="BE944" s="107">
        <f t="shared" si="1893"/>
        <v>0</v>
      </c>
      <c r="BF944" s="105">
        <f t="shared" ref="BF944:BR954" si="1894">IF($K944=BF$3,IF($C944="X",0,$O944),0)</f>
        <v>0</v>
      </c>
      <c r="BG944" s="106">
        <f t="shared" si="1894"/>
        <v>0</v>
      </c>
      <c r="BH944" s="106">
        <f t="shared" si="1894"/>
        <v>0</v>
      </c>
      <c r="BI944" s="106">
        <f t="shared" si="1894"/>
        <v>0</v>
      </c>
      <c r="BJ944" s="106">
        <f t="shared" si="1894"/>
        <v>0</v>
      </c>
      <c r="BK944" s="106">
        <f t="shared" si="1894"/>
        <v>0</v>
      </c>
      <c r="BL944" s="106">
        <f t="shared" si="1894"/>
        <v>0</v>
      </c>
      <c r="BM944" s="132">
        <f t="shared" si="1894"/>
        <v>40.299999999999997</v>
      </c>
      <c r="BN944" s="112">
        <f t="shared" si="1894"/>
        <v>0</v>
      </c>
      <c r="BO944" s="112">
        <f t="shared" si="1894"/>
        <v>0</v>
      </c>
      <c r="BP944" s="112">
        <f t="shared" si="1894"/>
        <v>0</v>
      </c>
      <c r="BQ944" s="110">
        <f t="shared" si="1894"/>
        <v>0</v>
      </c>
      <c r="BR944" s="107">
        <f t="shared" si="1894"/>
        <v>0</v>
      </c>
      <c r="BS944" s="464"/>
      <c r="BT944" s="461"/>
      <c r="BU944" s="392"/>
      <c r="BV944" s="461"/>
      <c r="BW944" s="392"/>
      <c r="BX944" s="392"/>
      <c r="BY944" s="392"/>
      <c r="BZ944" s="461"/>
      <c r="CA944" s="392"/>
      <c r="CB944" s="392"/>
      <c r="CC944" s="392"/>
      <c r="CD944" s="401"/>
      <c r="CE944" s="409"/>
      <c r="CF944" s="133">
        <f t="shared" si="1796"/>
        <v>0</v>
      </c>
      <c r="CG944" s="134">
        <f t="shared" si="1797"/>
        <v>0</v>
      </c>
      <c r="CH944" s="134">
        <f t="shared" si="1798"/>
        <v>0</v>
      </c>
      <c r="CI944" s="134">
        <f t="shared" si="1799"/>
        <v>0</v>
      </c>
      <c r="CJ944" s="134">
        <f t="shared" si="1800"/>
        <v>0</v>
      </c>
      <c r="CK944" s="134">
        <f t="shared" si="1801"/>
        <v>0</v>
      </c>
      <c r="CL944" s="134">
        <f t="shared" si="1802"/>
        <v>0</v>
      </c>
      <c r="CM944" s="134">
        <f t="shared" si="1803"/>
        <v>0</v>
      </c>
      <c r="CN944" s="134">
        <f t="shared" si="1804"/>
        <v>0</v>
      </c>
      <c r="CO944" s="134">
        <f t="shared" si="1805"/>
        <v>0</v>
      </c>
      <c r="CP944" s="134">
        <f t="shared" si="1806"/>
        <v>0</v>
      </c>
      <c r="CQ944" s="134">
        <f t="shared" si="1807"/>
        <v>0</v>
      </c>
      <c r="CR944" s="134">
        <f t="shared" si="1808"/>
        <v>0</v>
      </c>
      <c r="CS944" s="134">
        <f t="shared" si="1809"/>
        <v>0</v>
      </c>
      <c r="CT944" s="115">
        <f t="shared" si="1810"/>
        <v>0.5</v>
      </c>
      <c r="CU944" s="116">
        <f t="shared" si="1811"/>
        <v>0</v>
      </c>
      <c r="CV944" s="116">
        <f t="shared" si="1812"/>
        <v>0</v>
      </c>
      <c r="CW944" s="116">
        <f t="shared" si="1813"/>
        <v>0</v>
      </c>
      <c r="CX944" s="116">
        <f t="shared" si="1814"/>
        <v>0</v>
      </c>
      <c r="CY944" s="116">
        <f t="shared" si="1815"/>
        <v>0</v>
      </c>
      <c r="CZ944" s="116">
        <f t="shared" si="1816"/>
        <v>0</v>
      </c>
      <c r="DA944" s="116">
        <f t="shared" si="1817"/>
        <v>0</v>
      </c>
      <c r="DB944" s="116">
        <f t="shared" si="1818"/>
        <v>0</v>
      </c>
      <c r="DC944" s="116">
        <f t="shared" si="1819"/>
        <v>0</v>
      </c>
      <c r="DD944" s="116">
        <f t="shared" si="1820"/>
        <v>0</v>
      </c>
      <c r="DE944" s="117">
        <f t="shared" si="1821"/>
        <v>0</v>
      </c>
      <c r="DF944" s="118">
        <f t="shared" si="1824"/>
        <v>57</v>
      </c>
      <c r="DG944" s="106">
        <f t="shared" si="1825"/>
        <v>76.963000000000008</v>
      </c>
      <c r="DH944" s="116">
        <f t="shared" si="1826"/>
        <v>19</v>
      </c>
      <c r="DI944" s="106">
        <f t="shared" si="1827"/>
        <v>81.47</v>
      </c>
      <c r="DJ944" s="201" t="str">
        <f>IF($D943="","",$D943)</f>
        <v>31</v>
      </c>
      <c r="DK944" s="466"/>
    </row>
    <row r="945" spans="1:115" ht="14.5" customHeight="1" x14ac:dyDescent="0.2">
      <c r="A945" s="390"/>
      <c r="B945" s="457"/>
      <c r="C945" s="135" t="s">
        <v>54</v>
      </c>
      <c r="D945" s="375"/>
      <c r="E945" s="387"/>
      <c r="F945" s="378"/>
      <c r="G945" s="484"/>
      <c r="H945" s="477"/>
      <c r="I945" s="203" t="s">
        <v>64</v>
      </c>
      <c r="J945" s="137"/>
      <c r="K945" s="193" t="s">
        <v>47</v>
      </c>
      <c r="L945" s="194">
        <v>2.63</v>
      </c>
      <c r="M945" s="140">
        <v>6.6</v>
      </c>
      <c r="N945" s="407"/>
      <c r="O945" s="195">
        <f>IF(OR(AE943="",AE944=""),"",IF(L945&gt;0,ROUND(IF(M945&gt;0,M945,IF(M943&gt;0,ROUND((M943*AE945)/AE943,IF(N943=0,2,IF(N943=0.1,1,0))),IF(M944&gt;0,ROUND((M944*AE945)/AE944,IF(N943=0,2,IF(N943=0.1,1,0))),IF(M945&gt;0,M945,0)))),2),""))</f>
        <v>6.6</v>
      </c>
      <c r="P945" s="196">
        <f>IF(I944="Lay",O944*(L944/(L944-1))-O944,IF(I943="Lay",O943*(L943/(L943-1))-O943,IF(OR(L945="",O945=""),"",IF($C945="1/2W",O945/2+O945/2*L945,IF($C945="1/2L",O945/2,(O945*L945-O945)*(1-_xlfn.XLOOKUP(K945,'Fevereiro 2023 - Valor Real'!A3:A15,'Fevereiro 2023 - Valor Real'!C3:C15,0))+O945)))))</f>
        <v>17.357999999999997</v>
      </c>
      <c r="Q945" s="128">
        <f>IF(K945="","",IF(_xlfn.XLOOKUP(K945,K$4:K944,$DJ$4:DJ944,0,,-1)=DJ945,_xlfn.XLOOKUP(K945,K$4:K944,Q$4:Q944,1,,-1)+1,1))</f>
        <v>7</v>
      </c>
      <c r="R945" s="198">
        <f>IF(K945="","",_xlfn.XLOOKUP(K945,K$4:K944,R$4:R944,0,,-1)+IF($C945=" ",1,0))</f>
        <v>0</v>
      </c>
      <c r="S945" s="404"/>
      <c r="T945" s="378"/>
      <c r="U945" s="378"/>
      <c r="V945" s="404"/>
      <c r="W945" s="378"/>
      <c r="X945" s="453"/>
      <c r="Y945" s="383"/>
      <c r="Z945" s="384"/>
      <c r="AA945" s="384"/>
      <c r="AB945" s="384"/>
      <c r="AC945" s="384"/>
      <c r="AD945" s="145">
        <f>((L944/(L944-1)-1))</f>
        <v>2.0120724346076453</v>
      </c>
      <c r="AE945" s="199">
        <f>IF(L945="","",(SUM(((L943-1)*(1-_xlfn.XLOOKUP(K943,'Fevereiro 2023 - Valor Real'!A3:A15,'Fevereiro 2023 - Valor Real'!C3:C15,0))+1),((L944-1)*(1-_xlfn.XLOOKUP(K944,'Fevereiro 2023 - Valor Real'!A3:A15,'Fevereiro 2023 - Valor Real'!C3:C15,0))+1),((L945-1)*(1-_xlfn.XLOOKUP(K945,'Fevereiro 2023 - Valor Real'!A3:A15,'Fevereiro 2023 - Valor Real'!C3:C15,0))+1))/((L945-1)*(1-_xlfn.XLOOKUP(K945,'Fevereiro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Real'!C3:C15,0))+1))/((L943-1)*(1-_xlfn.XLOOKUP(K943,'Fevereiro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Real'!C3:C15,0))+1))/((L944-1)*(1-_xlfn.XLOOKUP(K944,'Fevereiro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Real'!C3:C15,0))+1))/((L945-1)*(1-_xlfn.XLOOKUP(K945,'Fevereiro 2023 - Valor Real'!A3:A15,'Fevereiro 2023 - Valor Real'!C3:C15,0))+1)))</f>
        <v>0.25894063463661487</v>
      </c>
      <c r="AF945" s="105">
        <f t="shared" si="1892"/>
        <v>0</v>
      </c>
      <c r="AG945" s="106">
        <f t="shared" si="1892"/>
        <v>0</v>
      </c>
      <c r="AH945" s="106">
        <f t="shared" si="1892"/>
        <v>0</v>
      </c>
      <c r="AI945" s="106">
        <f t="shared" si="1892"/>
        <v>0</v>
      </c>
      <c r="AJ945" s="106">
        <f t="shared" si="1892"/>
        <v>0</v>
      </c>
      <c r="AK945" s="106">
        <f t="shared" si="1892"/>
        <v>0</v>
      </c>
      <c r="AL945" s="106">
        <f t="shared" si="1892"/>
        <v>0</v>
      </c>
      <c r="AM945" s="106">
        <f t="shared" si="1892"/>
        <v>0</v>
      </c>
      <c r="AN945" s="106">
        <f t="shared" si="1892"/>
        <v>0</v>
      </c>
      <c r="AO945" s="106">
        <f t="shared" si="1892"/>
        <v>0</v>
      </c>
      <c r="AP945" s="106">
        <f t="shared" si="1892"/>
        <v>0</v>
      </c>
      <c r="AQ945" s="106">
        <f t="shared" si="1892"/>
        <v>10.76</v>
      </c>
      <c r="AR945" s="107">
        <f t="shared" si="1892"/>
        <v>0</v>
      </c>
      <c r="AS945" s="105">
        <f>IF(AND($B943=" ",$K945=AS$3),$O945,0)</f>
        <v>0</v>
      </c>
      <c r="AT945" s="106">
        <f>IF(AND($B943=" ",K945=AT$3),$O945,0)</f>
        <v>0</v>
      </c>
      <c r="AU945" s="106">
        <f t="shared" ref="AU945:BE945" si="1895">IF(AND($B943=" ",$K945=AU$3),$O945,0)</f>
        <v>0</v>
      </c>
      <c r="AV945" s="106">
        <f t="shared" si="1895"/>
        <v>0</v>
      </c>
      <c r="AW945" s="106">
        <f t="shared" si="1895"/>
        <v>0</v>
      </c>
      <c r="AX945" s="106">
        <f t="shared" si="1895"/>
        <v>0</v>
      </c>
      <c r="AY945" s="108">
        <f t="shared" si="1895"/>
        <v>0</v>
      </c>
      <c r="AZ945" s="109">
        <f t="shared" si="1895"/>
        <v>0</v>
      </c>
      <c r="BA945" s="109">
        <f t="shared" si="1895"/>
        <v>0</v>
      </c>
      <c r="BB945" s="109">
        <f t="shared" si="1895"/>
        <v>0</v>
      </c>
      <c r="BC945" s="110">
        <f t="shared" si="1895"/>
        <v>0</v>
      </c>
      <c r="BD945" s="106">
        <f t="shared" si="1895"/>
        <v>0</v>
      </c>
      <c r="BE945" s="107">
        <f t="shared" si="1895"/>
        <v>0</v>
      </c>
      <c r="BF945" s="105">
        <f t="shared" si="1894"/>
        <v>0</v>
      </c>
      <c r="BG945" s="106">
        <f t="shared" si="1894"/>
        <v>0</v>
      </c>
      <c r="BH945" s="106">
        <f t="shared" si="1894"/>
        <v>0</v>
      </c>
      <c r="BI945" s="106">
        <f t="shared" si="1894"/>
        <v>0</v>
      </c>
      <c r="BJ945" s="106">
        <f t="shared" si="1894"/>
        <v>0</v>
      </c>
      <c r="BK945" s="106">
        <f t="shared" si="1894"/>
        <v>0</v>
      </c>
      <c r="BL945" s="106">
        <f t="shared" si="1894"/>
        <v>0</v>
      </c>
      <c r="BM945" s="108">
        <f t="shared" si="1894"/>
        <v>0</v>
      </c>
      <c r="BN945" s="109">
        <f t="shared" si="1894"/>
        <v>0</v>
      </c>
      <c r="BO945" s="109">
        <f t="shared" si="1894"/>
        <v>0</v>
      </c>
      <c r="BP945" s="109">
        <f t="shared" si="1894"/>
        <v>0</v>
      </c>
      <c r="BQ945" s="110">
        <f t="shared" si="1894"/>
        <v>6.6</v>
      </c>
      <c r="BR945" s="107">
        <f t="shared" si="1894"/>
        <v>0</v>
      </c>
      <c r="BS945" s="464"/>
      <c r="BT945" s="461"/>
      <c r="BU945" s="392"/>
      <c r="BV945" s="461"/>
      <c r="BW945" s="392"/>
      <c r="BX945" s="392"/>
      <c r="BY945" s="392"/>
      <c r="BZ945" s="461"/>
      <c r="CA945" s="392"/>
      <c r="CB945" s="392"/>
      <c r="CC945" s="392"/>
      <c r="CD945" s="401"/>
      <c r="CE945" s="409"/>
      <c r="CF945" s="133">
        <f t="shared" si="1796"/>
        <v>0</v>
      </c>
      <c r="CG945" s="134">
        <f t="shared" si="1797"/>
        <v>0</v>
      </c>
      <c r="CH945" s="134">
        <f t="shared" si="1798"/>
        <v>0</v>
      </c>
      <c r="CI945" s="134">
        <f t="shared" si="1799"/>
        <v>0</v>
      </c>
      <c r="CJ945" s="134">
        <f t="shared" si="1800"/>
        <v>0</v>
      </c>
      <c r="CK945" s="134">
        <f t="shared" si="1801"/>
        <v>0</v>
      </c>
      <c r="CL945" s="134">
        <f t="shared" si="1802"/>
        <v>0</v>
      </c>
      <c r="CM945" s="134">
        <f t="shared" si="1803"/>
        <v>0</v>
      </c>
      <c r="CN945" s="134">
        <f t="shared" si="1804"/>
        <v>0</v>
      </c>
      <c r="CO945" s="134">
        <f t="shared" si="1805"/>
        <v>0</v>
      </c>
      <c r="CP945" s="134">
        <f t="shared" si="1806"/>
        <v>0</v>
      </c>
      <c r="CQ945" s="134">
        <f t="shared" si="1807"/>
        <v>0</v>
      </c>
      <c r="CR945" s="134">
        <f t="shared" si="1808"/>
        <v>0</v>
      </c>
      <c r="CS945" s="134">
        <f t="shared" si="1809"/>
        <v>0</v>
      </c>
      <c r="CT945" s="115">
        <f t="shared" si="1810"/>
        <v>0</v>
      </c>
      <c r="CU945" s="116">
        <f t="shared" si="1811"/>
        <v>0</v>
      </c>
      <c r="CV945" s="116">
        <f t="shared" si="1812"/>
        <v>0</v>
      </c>
      <c r="CW945" s="116">
        <f t="shared" si="1813"/>
        <v>0</v>
      </c>
      <c r="CX945" s="116">
        <f t="shared" si="1814"/>
        <v>0</v>
      </c>
      <c r="CY945" s="116">
        <f t="shared" si="1815"/>
        <v>0</v>
      </c>
      <c r="CZ945" s="116">
        <f t="shared" si="1816"/>
        <v>0</v>
      </c>
      <c r="DA945" s="116">
        <f t="shared" si="1817"/>
        <v>0</v>
      </c>
      <c r="DB945" s="116">
        <f t="shared" si="1818"/>
        <v>1</v>
      </c>
      <c r="DC945" s="116">
        <f t="shared" si="1819"/>
        <v>0</v>
      </c>
      <c r="DD945" s="116">
        <f t="shared" si="1820"/>
        <v>0</v>
      </c>
      <c r="DE945" s="117">
        <f t="shared" si="1821"/>
        <v>0</v>
      </c>
      <c r="DF945" s="118">
        <f t="shared" si="1824"/>
        <v>57</v>
      </c>
      <c r="DG945" s="106">
        <f t="shared" si="1825"/>
        <v>76.963000000000008</v>
      </c>
      <c r="DH945" s="116">
        <f t="shared" si="1826"/>
        <v>19</v>
      </c>
      <c r="DI945" s="106">
        <f t="shared" si="1827"/>
        <v>81.47</v>
      </c>
      <c r="DJ945" s="201" t="str">
        <f>IF($D943="","",$D943)</f>
        <v>31</v>
      </c>
      <c r="DK945" s="466"/>
    </row>
    <row r="946" spans="1:115" ht="14.5" customHeight="1" x14ac:dyDescent="0.2">
      <c r="A946" s="487">
        <f>$A943+1</f>
        <v>315</v>
      </c>
      <c r="B946" s="506" t="str">
        <f>IF(OR(C946="W",C947="W",C948="W",C946="1/2W",C947="1/2W",C948="1/2W",C946="1/2L",C947="1/2L",C948="1/2L"),"OK",IF(OR(C946="L",C947="L",C948="L"),"LOSS",IF(OR(C946="X",C947="X",C948="X"),"Anulado"," ")))</f>
        <v>OK</v>
      </c>
      <c r="C946" s="147" t="s">
        <v>55</v>
      </c>
      <c r="D946" s="494" t="str">
        <f>IF(G946="","",$D943)</f>
        <v>31</v>
      </c>
      <c r="E946" s="511" t="str">
        <f>IF(G946=""," ","– "&amp;COUNTIF(D$4:D948,$D946))</f>
        <v>– 11</v>
      </c>
      <c r="F946" s="510" t="str">
        <f ca="1">IF(G946="","",IF(OR(AND($C946&lt;&gt;" ",$C947=" "),AND($C947&lt;&gt;" ",$C946=" "),AND(L948&gt;0,OR(AND($C948&lt;&gt;" ",OR($C946=" ",$C947=" ")),AND($C948=" ",OR($C946&lt;&gt;" ",$C947&lt;&gt;" "))))),IF(SUM(F$4:F945)=0,1,LARGE(F$4:F945,1)+1),IF(MONTH(G946)=MONTH(TODAY()),IF(AND(DAY(G946)&lt;DAY(TODAY()),$B946=" "),IF(SUM(F$4:F945)=0,1,LARGE(F$4:F945,1)+1),IF($B946=" ",IF(AND(DAY(G946)=DAY(TODAY()),HOUR(G946)&lt;=HOUR(NOW())+1),IF(AND(HOUR(G946)+2&lt;=HOUR(NOW()),DAY(G946)&lt;=DAY(TODAY()),MINUTE(G946)&lt;=MINUTE(NOW())),IF(SUM(F$4:F945)=0,1,LARGE(F$4:F945,1)+1),IF(OR(MINUTE(G946)&lt;=MINUTE(NOW()),HOUR(G946)&lt;=HOUR(NOW())),"!!!","")),""),"")),"")))</f>
        <v/>
      </c>
      <c r="G946" s="517">
        <v>45017.541666666664</v>
      </c>
      <c r="H946" s="516" t="s">
        <v>312</v>
      </c>
      <c r="I946" s="222" t="s">
        <v>51</v>
      </c>
      <c r="J946" s="223">
        <v>3.5</v>
      </c>
      <c r="K946" s="224" t="s">
        <v>43</v>
      </c>
      <c r="L946" s="225">
        <v>1.5640000000000001</v>
      </c>
      <c r="M946" s="226"/>
      <c r="N946" s="503">
        <v>0</v>
      </c>
      <c r="O946" s="153">
        <f>IF(OR(AE946="",AE947=""),"",ROUND(IF(L948&gt;0,IF(M946&gt;0,M946,IF(M947&gt;0,ROUND((M947*AE946)/AE947,IF(N946=0,2,IF(N946=0.1,1,0))),ROUND((M948*AE946)/AE948,IF(N946=0,2,IF(N946=0.1,1,0))))),IF(M946&gt;0,M946,ROUND((M947*AE946)/AE947,IF(N946=0,2,IF(N946=0.1,1,0))))),2))</f>
        <v>10.07</v>
      </c>
      <c r="P946" s="227">
        <f>IF(OR(L946="",O946=""),"",IF($C946="1/2W",O946/2+O946/2*L946,IF($C946="1/2L",O946/2,IF(I946="Lay",(O946*(L946/(L946-1))-O946)*(1-_xlfn.XLOOKUP(K946,'Fevereiro 2023 - Valor Real'!A3:A15,'Fevereiro 2023 - Valor Real'!C3:C15,0))+O946,(O946*L946-O946)*(1-_xlfn.XLOOKUP(K946,'Fevereiro 2023 - Valor Real'!A3:A15,'Fevereiro 2023 - Valor Real'!C3:C15,0))+O946))))</f>
        <v>15.74948</v>
      </c>
      <c r="Q946" s="228">
        <f>IF(K946="","",IF(_xlfn.XLOOKUP(K946,K$4:K945,$DJ$4:DJ945,0,,-1)=DJ946,_xlfn.XLOOKUP(K946,K$4:K945,Q$4:Q945,1,,-1)+1,1))</f>
        <v>7</v>
      </c>
      <c r="R946" s="229">
        <f>IF(K946="","",_xlfn.XLOOKUP(K946,K$4:K945,R$4:R945,0,,-1)+IF($C946=" ",1,0))</f>
        <v>0</v>
      </c>
      <c r="S946" s="501">
        <f>IF($B946="Anulado",0,ROUND(IF(OR($B946="LOSS",$B946="OK"),IF(OR($C946="W",$C946="1/2W",$C946="1/2L"),P946-O946,IF($C946="L",-O946,0))+IF(OR($C947="W",$C947="1/2W",$C947="1/2L"),P947-O947,IF($C947="L",-O947,0))+IF(OR($C948="W",$C948="1/2W",$C948="1/2L"),P948-O948,IF($C948="L",-O948,0)),IF(AND(OR($C946="W",$C946="1/2W",$C946="1/2L"),C947="W"),P946+P947-SUM(O946:O948)+_xlfn.XLOOKUP("X",C946:C948,O946:O948,0),IF(AND(C946=TRUE,C948="W"),P946+P948-SUM(O946:O948),IF(AND(C947="W",C948="W"),P947+P948-SUM(O946:O948)+_xlfn.XLOOKUP("X",C946:C948,O946:O948,0),IF(L948&gt;0,IF(OR($C946="W",$C946="1/2W",$C946="1/2L"),P946-SUM(O946:O948)+_xlfn.XLOOKUP("X",C946:C948,O946:O948,0),IF(OR($C946="W",$C946="1/2W",$C946="1/2L"),P947-SUM(O946:O948)+_xlfn.XLOOKUP("X",C946:C948,O946:O948,0),IF(OR($C946="W",$C946="1/2W",$C946="1/2L"),P948-SUM(O946:O948)+_xlfn.XLOOKUP("X",C946:C948,O946:O948,0),IF(SUM(P946:P948)/3-SUM(O946:O948)+_xlfn.XLOOKUP("X",C946:C948,O946:O948,0)&gt;0,SUM(P946:P948)/3-SUM(O946:O948)+_xlfn.XLOOKUP("X",C946:C948,O946:O948,0),LARGE(P946:P948,1)-SUM(O946:O948))))),IF(OR($C946="W",$C946="1/2W",$C946="1/2L"),P946-SUM(O946:O947)+_xlfn.XLOOKUP("X",C946:C948,O946:O948,0),IF(OR($C946="W",$C946="1/2W",$C946="1/2L"),P947-SUM(O946:O947)+_xlfn.XLOOKUP("X",C946:C948,O946:O948,0),SUM(P946:P947)/2-SUM(O946:O947)+_xlfn.XLOOKUP("X",C946:C948,O946:O948,0)))))))),2))</f>
        <v>1.18</v>
      </c>
      <c r="T946" s="486">
        <f>IF(S946=0,0,S946/SUM(O946:O948))</f>
        <v>8.0988332189430329E-2</v>
      </c>
      <c r="U946" s="496">
        <f>IF($D946=$D943,IF(OR($B946="LOSS",$B946="OK",$B946="Anulada"),S946,0)+U943,IF(OR($B946="LOSS",$B946="OK",$B946="Anulada"),S946,0))</f>
        <v>67.240000000000009</v>
      </c>
      <c r="V946" s="496">
        <f>IF($D946="",0,IF($D946=$D943,IF($B946=" ",IF(I948="",IF(OR(AND(I946="DNB1",I947="DNB2"),AND(OR(I946="DNB1",I946="DNB2"),J947=0),AND(OR(I947="DNB1",I947="DNB2"),J946=0),AND(I946="DNB2",I947="DNB1"),AND(IF(J946=0,(J946+1)/ROUND(J946+1,0),J946/ROUND(J946,0))=1,IF(J947=0,(J947+1)/ROUND(IF(J947="",0,J947)+1,0),IF(J947="",0,J947)/ROUND(IF(J947="",1,J947),0))=1,OR(J946&lt;&gt;""),J947&lt;&gt;"")),0,IF(S946&lt;0,IF(I948="",SMALL(P946:P947,1)-SUM(O946:O947),0),SMALL(P946:P947,1)-SUM(O946:O947))),IF(S946&lt;0,IF(I948="",SMALL(P946:P948,1)-SUM(O946:O948),0),LARGE(P946:P948,1)-SUM(O946:O948))),S946)+V943,IF(I948="",IF(OR(AND(I946="DNB1",I947="DNB2"),AND(OR(I946="DNB1",I946="DNB2"),J947=0),AND(OR(I947="DNB1",I947="DNB2"),J946=0),AND(I946="DNB2",I947="DNB1"),AND(IF(J946=0,(J946+1)/ROUND(J946+1,0),J946/ROUND(J946,0))=1,IF(J947=0,(IF(J947="",0,J947)+1)/ROUND(IF(J947="",0,J947)+1,0),IF(J947="",0,J947)/ROUND(IF(J947="",0,J947)+1,0))=1,OR(J946&lt;&gt;""),J947&lt;&gt;"")),0,IF(S946&lt;0,IF(I948="",SMALL(P946:P947,1)-SUM(O946:O947),0),SMALL(P946:P948,1)-SUM(O946:O948))),IF(S946&lt;0,IF(I948="",SMALL(P946:P948,1)-SUM(O946:O948),0),LARGE(P946:P948,1)-SUM(O946:O948)))))</f>
        <v>67.243000000000009</v>
      </c>
      <c r="W946" s="496">
        <f>IF($D946=$D943,IF(S946&lt;0,IF(I948="",S946,0),S946)+W943,S946)</f>
        <v>67.240000000000009</v>
      </c>
      <c r="X946" s="505" t="str">
        <f>IF(OR(SUM(R946:R948)=0,V946=W946),ROUND(IF(W946=0,0,W946/Y946)*100,2)&amp;"%",ROUND(IF(V946=0,0,V946/Y946)*100,2)&amp;"% a "&amp;ROUND(IF(W946=0,0,W946/Y946)*100,2)&amp;"%")</f>
        <v>14,41%</v>
      </c>
      <c r="Y946" s="497">
        <f>IF($D946=$D943,Y943+SUM(O946:O948),SUM(O946:O948))</f>
        <v>466.67999999999995</v>
      </c>
      <c r="Z946" s="496">
        <f>IF($B946=" ",SUM(O946:O948),0)+Z943</f>
        <v>0</v>
      </c>
      <c r="AA946" s="496">
        <f>IF(G946="","",IF($B946="Anulado",LARGE(P946:P948,1)-SUM(O946:O948)+AA943,AA943))</f>
        <v>14.77109999999999</v>
      </c>
      <c r="AB946" s="496">
        <f>IF($D946="","",AB943+S946)</f>
        <v>1093.0400000000013</v>
      </c>
      <c r="AC946" s="499">
        <f ca="1">IF($D946="","",IF($B946=" ",IF(DAY(G946)=DAY(TODAY()),1+AC943,0+AC943),0+AC943))</f>
        <v>0</v>
      </c>
      <c r="AD946" s="157">
        <f>(((L947/(L947-1)-1)*(1-_xlfn.XLOOKUP(K947,'Fevereiro 2023 - Valor Real'!A3:A15,'Fevereiro 2023 - Valor Real'!C3:C15,0))+1))/(((L946-1)*(1-_xlfn.XLOOKUP(K946,'Fevereiro 2023 - Valor Real'!A3:A15,'Fevereiro 2023 - Valor Real'!C3:C15,0))+1)+((L947/(L947-1)-1)*(1-_xlfn.XLOOKUP(K947,'Fevereiro 2023 - Valor Real'!A3:A15,'Fevereiro 2023 - Valor Real'!C3:C15,0))+1))</f>
        <v>0.47233468286099861</v>
      </c>
      <c r="AE946" s="158">
        <f>IF(L946="","",IF(L948&gt;0,(SUM(((L946-1)*(1-_xlfn.XLOOKUP(K946,'Fevereiro 2023 - Valor Real'!A3:A15,'Fevereiro 2023 - Valor Real'!C3:C15,0))+1),((L947-1)*(1-_xlfn.XLOOKUP(K947,'Fevereiro 2023 - Valor Real'!A3:A15,'Fevereiro 2023 - Valor Real'!C3:C15,0))+1),((L948-1)*(1-_xlfn.XLOOKUP(K948,'Fevereiro 2023 - Valor Real'!A3:A15,'Fevereiro 2023 - Valor Real'!C3:C15,0))+1))/((L946-1)*(1-_xlfn.XLOOKUP(K946,'Fevereiro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Real'!C3:C15,0))+1))/((L946-1)*(1-_xlfn.XLOOKUP(K946,'Fevereiro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Real'!C3:C15,0))+1))/((L947-1)*(1-_xlfn.XLOOKUP(K947,'Fevereiro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Real'!C3:C15,0))+1))/((L948-1)*(1-_xlfn.XLOOKUP(K948,'Fevereiro 2023 - Valor Real'!A3:A15,'Fevereiro 2023 - Valor Real'!C3:C15,0))+1)),IF(I946="Lay",IF(I947="Lay",((L947/(L947-1)-1)*(1-_xlfn.XLOOKUP(K947,'Fevereiro 2023 - Valor Real'!A3:A15,'Fevereiro 2023 - Valor Real'!C3:C15,0))+1)/(((L947/(L947-1)-1)*(1-_xlfn.XLOOKUP(K947,'Fevereiro 2023 - Valor Real'!A3:A15,'Fevereiro 2023 - Valor Real'!C3:C15,0))+1)+((L946/(L946-1)-1)*(1-_xlfn.XLOOKUP(K946,'Fevereiro 2023 - Valor Real'!A3:A15,'Fevereiro 2023 - Valor Real'!C3:C15,0))+1)),((L947-1)*(1-_xlfn.XLOOKUP(K947,'Fevereiro 2023 - Valor Real'!A3:A15,'Fevereiro 2023 - Valor Real'!C3:C15,0))+1)/(((L947-1)*(1-_xlfn.XLOOKUP(K947,'Fevereiro 2023 - Valor Real'!A3:A15,'Fevereiro 2023 - Valor Real'!C3:C15,0))+1)+((L946/(L946-1)-1)*(1-_xlfn.XLOOKUP(K946,'Fevereiro 2023 - Valor Real'!A3:A15,'Fevereiro 2023 - Valor Real'!C3:C15,0))+1))),IF(I947="Lay",(((L947/(L947-1)-1)*(1-_xlfn.XLOOKUP(K947,'Fevereiro 2023 - Valor Real'!A3:A15,'Fevereiro 2023 - Valor Real'!C3:C15,0))+1))/(((L946-1)*(1-_xlfn.XLOOKUP(K946,'Fevereiro 2023 - Valor Real'!A3:A15,'Fevereiro 2023 - Valor Real'!C3:C15,0))+1)+((L947/(L947-1)-1)*(1-_xlfn.XLOOKUP(K947,'Fevereiro 2023 - Valor Real'!A3:A15,'Fevereiro 2023 - Valor Real'!C3:C15,0))+1)),((L947-1)*(1-_xlfn.XLOOKUP(K947,'Fevereiro 2023 - Valor Real'!A3:A15,'Fevereiro 2023 - Valor Real'!C3:C15,0))+1)/(((L947-1)*(1-_xlfn.XLOOKUP(K947,'Fevereiro 2023 - Valor Real'!A3:A15,'Fevereiro 2023 - Valor Real'!C3:C15,0))+1)+((L946-1)*(1-_xlfn.XLOOKUP(K946,'Fevereiro 2023 - Valor Real'!A3:A15,'Fevereiro 2023 - Valor Real'!C3:C15,0))+1))))))</f>
        <v>0.69115323854660349</v>
      </c>
      <c r="AF946" s="66">
        <f t="shared" si="1892"/>
        <v>0</v>
      </c>
      <c r="AG946" s="67">
        <f t="shared" si="1892"/>
        <v>0</v>
      </c>
      <c r="AH946" s="67">
        <f t="shared" si="1892"/>
        <v>0</v>
      </c>
      <c r="AI946" s="67">
        <f t="shared" si="1892"/>
        <v>0</v>
      </c>
      <c r="AJ946" s="67">
        <f t="shared" si="1892"/>
        <v>0</v>
      </c>
      <c r="AK946" s="67">
        <f t="shared" si="1892"/>
        <v>0</v>
      </c>
      <c r="AL946" s="67">
        <f t="shared" si="1892"/>
        <v>0</v>
      </c>
      <c r="AM946" s="67">
        <f t="shared" si="1892"/>
        <v>-10.07</v>
      </c>
      <c r="AN946" s="67">
        <f t="shared" si="1892"/>
        <v>0</v>
      </c>
      <c r="AO946" s="67">
        <f t="shared" si="1892"/>
        <v>0</v>
      </c>
      <c r="AP946" s="67">
        <f t="shared" si="1892"/>
        <v>0</v>
      </c>
      <c r="AQ946" s="67">
        <f t="shared" si="1892"/>
        <v>0</v>
      </c>
      <c r="AR946" s="68">
        <f t="shared" si="1892"/>
        <v>0</v>
      </c>
      <c r="AS946" s="66">
        <f t="shared" ref="AS946:BE946" si="1896">IF(AND($B946=" ",$K946=AS$3),$O946,0)</f>
        <v>0</v>
      </c>
      <c r="AT946" s="67">
        <f t="shared" si="1896"/>
        <v>0</v>
      </c>
      <c r="AU946" s="67">
        <f t="shared" si="1896"/>
        <v>0</v>
      </c>
      <c r="AV946" s="67">
        <f t="shared" si="1896"/>
        <v>0</v>
      </c>
      <c r="AW946" s="67">
        <f t="shared" si="1896"/>
        <v>0</v>
      </c>
      <c r="AX946" s="67">
        <f t="shared" si="1896"/>
        <v>0</v>
      </c>
      <c r="AY946" s="69">
        <f t="shared" si="1896"/>
        <v>0</v>
      </c>
      <c r="AZ946" s="70">
        <f t="shared" si="1896"/>
        <v>0</v>
      </c>
      <c r="BA946" s="70">
        <f t="shared" si="1896"/>
        <v>0</v>
      </c>
      <c r="BB946" s="70">
        <f t="shared" si="1896"/>
        <v>0</v>
      </c>
      <c r="BC946" s="71">
        <f t="shared" si="1896"/>
        <v>0</v>
      </c>
      <c r="BD946" s="67">
        <f t="shared" si="1896"/>
        <v>0</v>
      </c>
      <c r="BE946" s="68">
        <f t="shared" si="1896"/>
        <v>0</v>
      </c>
      <c r="BF946" s="230">
        <f t="shared" si="1894"/>
        <v>0</v>
      </c>
      <c r="BG946" s="67">
        <f t="shared" si="1894"/>
        <v>0</v>
      </c>
      <c r="BH946" s="67">
        <f t="shared" si="1894"/>
        <v>0</v>
      </c>
      <c r="BI946" s="67">
        <f t="shared" si="1894"/>
        <v>0</v>
      </c>
      <c r="BJ946" s="67">
        <f t="shared" si="1894"/>
        <v>0</v>
      </c>
      <c r="BK946" s="67">
        <f t="shared" si="1894"/>
        <v>0</v>
      </c>
      <c r="BL946" s="67">
        <f t="shared" si="1894"/>
        <v>0</v>
      </c>
      <c r="BM946" s="69">
        <f t="shared" si="1894"/>
        <v>10.07</v>
      </c>
      <c r="BN946" s="70">
        <f t="shared" si="1894"/>
        <v>0</v>
      </c>
      <c r="BO946" s="70">
        <f t="shared" si="1894"/>
        <v>0</v>
      </c>
      <c r="BP946" s="70">
        <f t="shared" si="1894"/>
        <v>0</v>
      </c>
      <c r="BQ946" s="71">
        <f t="shared" si="1894"/>
        <v>0</v>
      </c>
      <c r="BR946" s="68">
        <f t="shared" si="1894"/>
        <v>0</v>
      </c>
      <c r="BS946" s="490">
        <f>IF($B946="LOSS",IF(AND($K946=BS$3,$C946="L"),-$O946,0)+IF(AND($K947=BS$3,$C947="L"),-$O947,0)+IF(AND($K948=BS$3,$C948="L"),-$O948,0),IF(OR(AND($K946=BS$3,OR($C946="W",$C946="1/2W")),AND($K947=BS$3,OR($C947="W",$C947="1/2W")),AND($K948=BS$3,OR($C948="W",$C948="1/2W"))),$S946,0))</f>
        <v>0</v>
      </c>
      <c r="BT946" s="488">
        <f>IF($B946="LOSS",IF(AND($K946=BT$3,$C946="L"),-$O946,0)+IF(AND($K947=BT$3,$C947="L"),-$O947,0)+IF(AND($K947=BT$3,$C948="L"),-$O948,0),IF(OR(AND($K947=BT$3,OR($C946="W",$C946="1/2W")),AND($K947=BT$3,OR($C947="W",$C947="1/2W")),AND($K947=BT$3,OR($C948="W",$C948="1/2W"))),$S946,0))</f>
        <v>0</v>
      </c>
      <c r="BU946" s="488">
        <f>IF($B946="LOSS",IF(AND($K946=BU$3,$C946="L"),-$O946,0)+IF(AND($K947=BU$3,$C947="L"),-$O947,0)+IF(AND($K947=BU$3,$C948="L"),-$O948,0),IF(OR(AND($K947=BU$3,OR($C946="W",$C946="1/2W")),AND($K947=BU$3,OR($C947="W",$C947="1/2W")),AND($K947=BU$3,OR($C948="W",$C948="1/2W"))),$S946,0))</f>
        <v>0</v>
      </c>
      <c r="BV946" s="488">
        <f t="shared" ref="BV946:CE946" si="1897">IF($B946="LOSS",IF(AND($K946=BV$3,$C946="L"),-$O946,0)+IF(AND($K947=BV$3,$C947="L"),-$O947,0)+IF(AND($K948=BV$3,$C948="L"),-$O948,0),IF(OR(AND($K946=BV$3,OR($C946="W",$C946="1/2W")),AND($K947=BV$3,OR($C947="W",$C947="1/2W")),AND($K948=BV$3,OR($C948="W",$C948="1/2W"))),$S946,0))</f>
        <v>0</v>
      </c>
      <c r="BW946" s="488">
        <f t="shared" si="1897"/>
        <v>1.18</v>
      </c>
      <c r="BX946" s="488">
        <f t="shared" si="1897"/>
        <v>0</v>
      </c>
      <c r="BY946" s="488">
        <f t="shared" si="1897"/>
        <v>0</v>
      </c>
      <c r="BZ946" s="498">
        <f t="shared" si="1897"/>
        <v>0</v>
      </c>
      <c r="CA946" s="498">
        <f t="shared" si="1897"/>
        <v>0</v>
      </c>
      <c r="CB946" s="498">
        <f t="shared" si="1897"/>
        <v>0</v>
      </c>
      <c r="CC946" s="498">
        <f t="shared" si="1897"/>
        <v>0</v>
      </c>
      <c r="CD946" s="500">
        <f t="shared" si="1897"/>
        <v>0</v>
      </c>
      <c r="CE946" s="504">
        <f t="shared" si="1897"/>
        <v>0</v>
      </c>
      <c r="CF946" s="160">
        <f t="shared" si="1796"/>
        <v>0</v>
      </c>
      <c r="CG946" s="161">
        <f t="shared" si="1797"/>
        <v>0</v>
      </c>
      <c r="CH946" s="161">
        <f t="shared" si="1798"/>
        <v>0</v>
      </c>
      <c r="CI946" s="161">
        <f t="shared" si="1799"/>
        <v>0</v>
      </c>
      <c r="CJ946" s="161">
        <f t="shared" si="1800"/>
        <v>0</v>
      </c>
      <c r="CK946" s="161">
        <f t="shared" si="1801"/>
        <v>0</v>
      </c>
      <c r="CL946" s="161">
        <f t="shared" si="1802"/>
        <v>0</v>
      </c>
      <c r="CM946" s="161">
        <f t="shared" si="1803"/>
        <v>0</v>
      </c>
      <c r="CN946" s="161">
        <f t="shared" si="1804"/>
        <v>0</v>
      </c>
      <c r="CO946" s="161">
        <f t="shared" si="1805"/>
        <v>0</v>
      </c>
      <c r="CP946" s="161">
        <f t="shared" si="1806"/>
        <v>0</v>
      </c>
      <c r="CQ946" s="161">
        <f t="shared" si="1807"/>
        <v>0</v>
      </c>
      <c r="CR946" s="161">
        <f t="shared" si="1808"/>
        <v>0</v>
      </c>
      <c r="CS946" s="161">
        <f t="shared" si="1809"/>
        <v>0</v>
      </c>
      <c r="CT946" s="75">
        <f t="shared" si="1810"/>
        <v>0</v>
      </c>
      <c r="CU946" s="76">
        <f t="shared" si="1811"/>
        <v>1</v>
      </c>
      <c r="CV946" s="76">
        <f t="shared" si="1812"/>
        <v>0</v>
      </c>
      <c r="CW946" s="76">
        <f t="shared" si="1813"/>
        <v>0</v>
      </c>
      <c r="CX946" s="76">
        <f t="shared" si="1814"/>
        <v>0</v>
      </c>
      <c r="CY946" s="76">
        <f t="shared" si="1815"/>
        <v>0</v>
      </c>
      <c r="CZ946" s="76">
        <f t="shared" si="1816"/>
        <v>0</v>
      </c>
      <c r="DA946" s="76">
        <f t="shared" si="1817"/>
        <v>0</v>
      </c>
      <c r="DB946" s="76">
        <f t="shared" si="1818"/>
        <v>0</v>
      </c>
      <c r="DC946" s="76">
        <f t="shared" si="1819"/>
        <v>0</v>
      </c>
      <c r="DD946" s="76">
        <f t="shared" si="1820"/>
        <v>0</v>
      </c>
      <c r="DE946" s="77">
        <f t="shared" si="1821"/>
        <v>0</v>
      </c>
      <c r="DF946" s="73">
        <f t="shared" si="1824"/>
        <v>57</v>
      </c>
      <c r="DG946" s="67">
        <f t="shared" si="1825"/>
        <v>76.963000000000008</v>
      </c>
      <c r="DH946" s="76">
        <f t="shared" si="1826"/>
        <v>19</v>
      </c>
      <c r="DI946" s="67">
        <f t="shared" si="1827"/>
        <v>81.47</v>
      </c>
      <c r="DJ946" s="202" t="str">
        <f>IF($D946="","",$D946)</f>
        <v>31</v>
      </c>
      <c r="DK946" s="492">
        <f>IF(AND($B946=" ",$D946&lt;&gt;""),1,0)</f>
        <v>0</v>
      </c>
    </row>
    <row r="947" spans="1:115" ht="14.5" customHeight="1" x14ac:dyDescent="0.2">
      <c r="A947" s="389"/>
      <c r="B947" s="456"/>
      <c r="C947" s="53" t="s">
        <v>54</v>
      </c>
      <c r="D947" s="374"/>
      <c r="E947" s="386"/>
      <c r="F947" s="377"/>
      <c r="G947" s="483"/>
      <c r="H947" s="476"/>
      <c r="I947" s="55" t="s">
        <v>52</v>
      </c>
      <c r="J947" s="231">
        <f>IF(OR(I946="TO",I946="TU",I946="TO1",I946="TU1",I946="TO2",I946="TU2"),J946,IF(OR(I946="AH1",I946="AH2"),IF(OR(I947="AH1",I947="AH2"),-J946,IF(OR(I947="EH1",I947="EH2"),-J946+0.5,"")),IF(OR(I946="EH1",I946="EH2"),IF(OR(I947="AH1",I947="AH2"),-J946+0.5,IF(OR(I947="EH1",I947="EH2"),-J946+1,"")),IF(AND(OR(I946="DNB1",I946="DNB2"),OR(I947="AH1",I947="AH2")),0,IF(AND(I946="Not ScoreBoth",OR(I947="TO1",I947="TO2")),0.5,"")))))</f>
        <v>3.5</v>
      </c>
      <c r="K947" s="232" t="s">
        <v>40</v>
      </c>
      <c r="L947" s="58">
        <v>3.5</v>
      </c>
      <c r="M947" s="59">
        <v>4.5</v>
      </c>
      <c r="N947" s="406"/>
      <c r="O947" s="60">
        <f>IF(OR(AE946="",AE947=""),"",ROUND(IF(L948&gt;0,IF(M947&gt;0,M947,IF(M946&gt;0,IF(N946=TRUE,ROUND((M946*AE947)/AE946,0),(M946*AE947)/AE946),IF(M947&gt;0,ROUND(M947,IF(N946=0,2,IF(N946=0.1,1,0))),IF(M948&gt;0,ROUND(O948*AE947/AE948,IF(N946=0,2,IF(N946=0.1,1,0))),0)))),IF(M947&gt;0,M947,ROUND((M946*AE947)/AE946,IF(N946=0,2,IF(N946=0.1,1,0))))),2))</f>
        <v>4.5</v>
      </c>
      <c r="P947" s="61">
        <f>IF(OR(L947="",O947=""),"",IF($C947="1/2W",O947/2+O947/2*L947,IF($C947="1/2L",O947/2,IF(I947="Lay",((O947*(L947/(L947-1)))-O947)*(1-_xlfn.XLOOKUP(K947,'Fevereiro 2023 - Valor Real'!A3:A15,'Fevereiro 2023 - Valor Real'!C3:C15,0))+O947,(O947*L947-O947)*(1-_xlfn.XLOOKUP(K947,'Fevereiro 2023 - Valor Real'!A3:A15,'Fevereiro 2023 - Valor Real'!C3:C15,0))+O947))))</f>
        <v>15.75</v>
      </c>
      <c r="Q947" s="233">
        <f>IF(K947="","",IF(_xlfn.XLOOKUP(K947,K$4:K946,$DJ$4:DJ946,0,,-1)=DJ947,_xlfn.XLOOKUP(K947,K$4:K946,Q$4:Q946,1,,-1)+1,1))</f>
        <v>8</v>
      </c>
      <c r="R947" s="234">
        <f>IF(K947="","",_xlfn.XLOOKUP(K947,K$4:K946,R$4:R946,0,,-1)+IF($C947=" ",1,0))</f>
        <v>0</v>
      </c>
      <c r="S947" s="403"/>
      <c r="T947" s="380"/>
      <c r="U947" s="380"/>
      <c r="V947" s="481"/>
      <c r="W947" s="380"/>
      <c r="X947" s="452"/>
      <c r="Y947" s="383"/>
      <c r="Z947" s="384"/>
      <c r="AA947" s="384"/>
      <c r="AB947" s="384"/>
      <c r="AC947" s="384"/>
      <c r="AD947" s="64">
        <f>(((L947/(L947-1)-1)*(1-_xlfn.XLOOKUP(K947,'Fevereiro 2023 - Valor Real'!A3:A15,'Fevereiro 2023 - Valor Real'!C3:C15,0))+1))</f>
        <v>1.4</v>
      </c>
      <c r="AE947" s="65">
        <f>IF(L947="","",IF(L948&gt;0,(SUM(((L946-1)*(1-_xlfn.XLOOKUP(K946,'Fevereiro 2023 - Valor Real'!A3:A15,'Fevereiro 2023 - Valor Real'!C3:C15,0))+1),((L947-1)*(1-_xlfn.XLOOKUP(K947,'Fevereiro 2023 - Valor Real'!A3:A15,'Fevereiro 2023 - Valor Real'!C3:C15,0))+1),((L948-1)*(1-_xlfn.XLOOKUP(K948,'Fevereiro 2023 - Valor Real'!A3:A15,'Fevereiro 2023 - Valor Real'!C3:C15,0))+1))/((L947-1)*(1-_xlfn.XLOOKUP(K947,'Fevereiro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Real'!C3:C15,0))+1))/((L946-1)*(1-_xlfn.XLOOKUP(K946,'Fevereiro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Real'!C3:C15,0))+1))/((L947-1)*(1-_xlfn.XLOOKUP(K947,'Fevereiro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Real'!C3:C15,0))+1))/((L948-1)*(1-_xlfn.XLOOKUP(K948,'Fevereiro 2023 - Valor Real'!A3:A15,'Fevereiro 2023 - Valor Real'!C3:C15,0))+1)),IF(I947="Lay",IF(I946="Lay",((L946/(L946-1)-1)*(1-_xlfn.XLOOKUP(K946,'Fevereiro 2023 - Valor Real'!A3:A15,'Fevereiro 2023 - Valor Real'!C3:C15,0))+1)/(((L946/(L946-1)-1)*(1-_xlfn.XLOOKUP(K946,'Fevereiro 2023 - Valor Real'!A3:A15,'Fevereiro 2023 - Valor Real'!C3:C15,0))+1)+((L947/(L947-1)-1)*(1-_xlfn.XLOOKUP(K947,'Fevereiro 2023 - Valor Real'!A3:A15,'Fevereiro 2023 - Valor Real'!C3:C15,0))+1)),((L946-1)*(1-_xlfn.XLOOKUP(K946,'Fevereiro 2023 - Valor Real'!A3:A15,'Fevereiro 2023 - Valor Real'!C3:C15,0))+1)/(((L946-1)*(1-_xlfn.XLOOKUP(K946,'Fevereiro 2023 - Valor Real'!A3:A15,'Fevereiro 2023 - Valor Real'!C3:C15,0))+1)+((L947/(L947-1)-1)*(1-_xlfn.XLOOKUP(K947,'Fevereiro 2023 - Valor Real'!A3:A15,'Fevereiro 2023 - Valor Real'!C3:C15,0))+1))),IF(I946="Lay",((L946/(L946-1)-1)*(1-_xlfn.XLOOKUP(K946,'Fevereiro 2023 - Valor Real'!A3:A15,'Fevereiro 2023 - Valor Real'!C3:C15,0))+1)/((((L946/(L946-1)-1)*(1-_xlfn.XLOOKUP(K946,'Fevereiro 2023 - Valor Real'!A3:A15,'Fevereiro 2023 - Valor Real'!C3:C15,0))+1))+((L947-1)*(1-_xlfn.XLOOKUP(K947,'Fevereiro 2023 - Valor Real'!A3:A15,'Fevereiro 2023 - Valor Real'!C3:C15,0))+1)),((L946-1)*(1-_xlfn.XLOOKUP(K946,'Fevereiro 2023 - Valor Real'!A3:A15,'Fevereiro 2023 - Valor Real'!C3:C15,0))+1)/(((L946-1)*(1-_xlfn.XLOOKUP(K946,'Fevereiro 2023 - Valor Real'!A3:A15,'Fevereiro 2023 - Valor Real'!C3:C15,0))+1)+((L947-1)*(1-_xlfn.XLOOKUP(K947,'Fevereiro 2023 - Valor Real'!A3:A15,'Fevereiro 2023 - Valor Real'!C3:C15,0))+1))))))</f>
        <v>0.30884676145339651</v>
      </c>
      <c r="AF947" s="66">
        <f t="shared" si="1892"/>
        <v>0</v>
      </c>
      <c r="AG947" s="67">
        <f t="shared" si="1892"/>
        <v>0</v>
      </c>
      <c r="AH947" s="67">
        <f t="shared" si="1892"/>
        <v>0</v>
      </c>
      <c r="AI947" s="67">
        <f t="shared" si="1892"/>
        <v>0</v>
      </c>
      <c r="AJ947" s="67">
        <f t="shared" si="1892"/>
        <v>11.25</v>
      </c>
      <c r="AK947" s="67">
        <f t="shared" si="1892"/>
        <v>0</v>
      </c>
      <c r="AL947" s="67">
        <f t="shared" si="1892"/>
        <v>0</v>
      </c>
      <c r="AM947" s="67">
        <f t="shared" si="1892"/>
        <v>0</v>
      </c>
      <c r="AN947" s="67">
        <f t="shared" si="1892"/>
        <v>0</v>
      </c>
      <c r="AO947" s="67">
        <f t="shared" si="1892"/>
        <v>0</v>
      </c>
      <c r="AP947" s="67">
        <f t="shared" si="1892"/>
        <v>0</v>
      </c>
      <c r="AQ947" s="67">
        <f t="shared" si="1892"/>
        <v>0</v>
      </c>
      <c r="AR947" s="68">
        <f t="shared" si="1892"/>
        <v>0</v>
      </c>
      <c r="AS947" s="66">
        <f>IF(AND($B946=" ",$K947=AS$3),$O947,0)</f>
        <v>0</v>
      </c>
      <c r="AT947" s="67">
        <f>IF(AND($B946=" ",K947=AT$3),$O947,0)</f>
        <v>0</v>
      </c>
      <c r="AU947" s="67">
        <f t="shared" ref="AU947:BE947" si="1898">IF(AND($B946=" ",$K947=AU$3),$O947,0)</f>
        <v>0</v>
      </c>
      <c r="AV947" s="67">
        <f t="shared" si="1898"/>
        <v>0</v>
      </c>
      <c r="AW947" s="67">
        <f t="shared" si="1898"/>
        <v>0</v>
      </c>
      <c r="AX947" s="67">
        <f t="shared" si="1898"/>
        <v>0</v>
      </c>
      <c r="AY947" s="69">
        <f t="shared" si="1898"/>
        <v>0</v>
      </c>
      <c r="AZ947" s="70">
        <f t="shared" si="1898"/>
        <v>0</v>
      </c>
      <c r="BA947" s="70">
        <f t="shared" si="1898"/>
        <v>0</v>
      </c>
      <c r="BB947" s="70">
        <f t="shared" si="1898"/>
        <v>0</v>
      </c>
      <c r="BC947" s="71">
        <f t="shared" si="1898"/>
        <v>0</v>
      </c>
      <c r="BD947" s="67">
        <f t="shared" si="1898"/>
        <v>0</v>
      </c>
      <c r="BE947" s="68">
        <f t="shared" si="1898"/>
        <v>0</v>
      </c>
      <c r="BF947" s="66">
        <f t="shared" si="1894"/>
        <v>0</v>
      </c>
      <c r="BG947" s="67">
        <f t="shared" si="1894"/>
        <v>0</v>
      </c>
      <c r="BH947" s="67">
        <f t="shared" si="1894"/>
        <v>0</v>
      </c>
      <c r="BI947" s="67">
        <f t="shared" si="1894"/>
        <v>0</v>
      </c>
      <c r="BJ947" s="67">
        <f t="shared" si="1894"/>
        <v>4.5</v>
      </c>
      <c r="BK947" s="67">
        <f t="shared" si="1894"/>
        <v>0</v>
      </c>
      <c r="BL947" s="67">
        <f t="shared" si="1894"/>
        <v>0</v>
      </c>
      <c r="BM947" s="235">
        <f t="shared" si="1894"/>
        <v>0</v>
      </c>
      <c r="BN947" s="159">
        <f t="shared" si="1894"/>
        <v>0</v>
      </c>
      <c r="BO947" s="159">
        <f t="shared" si="1894"/>
        <v>0</v>
      </c>
      <c r="BP947" s="159">
        <f t="shared" si="1894"/>
        <v>0</v>
      </c>
      <c r="BQ947" s="71">
        <f t="shared" si="1894"/>
        <v>0</v>
      </c>
      <c r="BR947" s="68">
        <f t="shared" si="1894"/>
        <v>0</v>
      </c>
      <c r="BS947" s="464"/>
      <c r="BT947" s="461"/>
      <c r="BU947" s="392"/>
      <c r="BV947" s="461"/>
      <c r="BW947" s="392"/>
      <c r="BX947" s="392"/>
      <c r="BY947" s="392"/>
      <c r="BZ947" s="461"/>
      <c r="CA947" s="392"/>
      <c r="CB947" s="392"/>
      <c r="CC947" s="392"/>
      <c r="CD947" s="401"/>
      <c r="CE947" s="409"/>
      <c r="CF947" s="236">
        <f t="shared" si="1796"/>
        <v>0</v>
      </c>
      <c r="CG947" s="237">
        <f t="shared" si="1797"/>
        <v>0</v>
      </c>
      <c r="CH947" s="237">
        <f t="shared" si="1798"/>
        <v>0</v>
      </c>
      <c r="CI947" s="237">
        <f t="shared" si="1799"/>
        <v>0</v>
      </c>
      <c r="CJ947" s="237">
        <f t="shared" si="1800"/>
        <v>0</v>
      </c>
      <c r="CK947" s="237">
        <f t="shared" si="1801"/>
        <v>0</v>
      </c>
      <c r="CL947" s="237">
        <f t="shared" si="1802"/>
        <v>0</v>
      </c>
      <c r="CM947" s="237">
        <f t="shared" si="1803"/>
        <v>0</v>
      </c>
      <c r="CN947" s="237">
        <f t="shared" si="1804"/>
        <v>1</v>
      </c>
      <c r="CO947" s="237">
        <f t="shared" si="1805"/>
        <v>0</v>
      </c>
      <c r="CP947" s="237">
        <f t="shared" si="1806"/>
        <v>0</v>
      </c>
      <c r="CQ947" s="237">
        <f t="shared" si="1807"/>
        <v>0</v>
      </c>
      <c r="CR947" s="237">
        <f t="shared" si="1808"/>
        <v>0</v>
      </c>
      <c r="CS947" s="237">
        <f t="shared" si="1809"/>
        <v>0</v>
      </c>
      <c r="CT947" s="75">
        <f t="shared" si="1810"/>
        <v>0</v>
      </c>
      <c r="CU947" s="76">
        <f t="shared" si="1811"/>
        <v>0</v>
      </c>
      <c r="CV947" s="76">
        <f t="shared" si="1812"/>
        <v>0</v>
      </c>
      <c r="CW947" s="76">
        <f t="shared" si="1813"/>
        <v>0</v>
      </c>
      <c r="CX947" s="76">
        <f t="shared" si="1814"/>
        <v>0</v>
      </c>
      <c r="CY947" s="76">
        <f t="shared" si="1815"/>
        <v>0</v>
      </c>
      <c r="CZ947" s="76">
        <f t="shared" si="1816"/>
        <v>0</v>
      </c>
      <c r="DA947" s="76">
        <f t="shared" si="1817"/>
        <v>0</v>
      </c>
      <c r="DB947" s="76">
        <f t="shared" si="1818"/>
        <v>0</v>
      </c>
      <c r="DC947" s="76">
        <f t="shared" si="1819"/>
        <v>0</v>
      </c>
      <c r="DD947" s="76">
        <f t="shared" si="1820"/>
        <v>0</v>
      </c>
      <c r="DE947" s="77">
        <f t="shared" si="1821"/>
        <v>0</v>
      </c>
      <c r="DF947" s="73">
        <f t="shared" si="1824"/>
        <v>57</v>
      </c>
      <c r="DG947" s="67">
        <f t="shared" si="1825"/>
        <v>76.963000000000008</v>
      </c>
      <c r="DH947" s="76">
        <f t="shared" si="1826"/>
        <v>19</v>
      </c>
      <c r="DI947" s="67">
        <f t="shared" si="1827"/>
        <v>81.47</v>
      </c>
      <c r="DJ947" s="202" t="str">
        <f>IF($D946="","",$D946)</f>
        <v>31</v>
      </c>
      <c r="DK947" s="466"/>
    </row>
    <row r="948" spans="1:115" ht="14.5" customHeight="1" x14ac:dyDescent="0.2">
      <c r="A948" s="390"/>
      <c r="B948" s="457"/>
      <c r="C948" s="79" t="s">
        <v>53</v>
      </c>
      <c r="D948" s="375"/>
      <c r="E948" s="387"/>
      <c r="F948" s="378"/>
      <c r="G948" s="484"/>
      <c r="H948" s="477"/>
      <c r="I948" s="82"/>
      <c r="J948" s="83"/>
      <c r="K948" s="90"/>
      <c r="L948" s="84"/>
      <c r="M948" s="85"/>
      <c r="N948" s="407"/>
      <c r="O948" s="86" t="str">
        <f>IF(OR(AE946="",AE947=""),"",IF(L948&gt;0,ROUND(IF(M948&gt;0,M948,IF(M946&gt;0,ROUND((M946*AE948)/AE946,IF(N946=0,2,IF(N946=0.1,1,0))),IF(M947&gt;0,ROUND((M947*AE948)/AE947,IF(N946=0,2,IF(N946=0.1,1,0))),IF(M948&gt;0,M948,0)))),2),""))</f>
        <v/>
      </c>
      <c r="P948" s="87" t="str">
        <f>IF(I947="Lay",O947*(L947/(L947-1))-O947,IF(I946="Lay",O946*(L946/(L946-1))-O946,IF(OR(L948="",O948=""),"",IF($C948="1/2W",O948/2+O948/2*L948,IF($C948="1/2L",O948/2,(O948*L948-O948)*(1-_xlfn.XLOOKUP(K948,'Fevereiro 2023 - Valor Real'!A3:A15,'Fevereiro 2023 - Valor Real'!C3:C15,0))+O948)))))</f>
        <v/>
      </c>
      <c r="Q948" s="238" t="str">
        <f>IF(K948="","",IF(_xlfn.XLOOKUP(K948,K$4:K947,$DJ$4:DJ947,0,,-1)=DJ948,_xlfn.XLOOKUP(K948,K$4:K947,Q$4:Q947,1,,-1)+1,1))</f>
        <v/>
      </c>
      <c r="R948" s="239" t="str">
        <f>IF(K948="","",_xlfn.XLOOKUP(K948,K$4:K947,R$4:R947,0,,-1)+IF($C948=" ",1,0))</f>
        <v/>
      </c>
      <c r="S948" s="404"/>
      <c r="T948" s="378"/>
      <c r="U948" s="378"/>
      <c r="V948" s="404"/>
      <c r="W948" s="378"/>
      <c r="X948" s="453"/>
      <c r="Y948" s="383"/>
      <c r="Z948" s="384"/>
      <c r="AA948" s="384"/>
      <c r="AB948" s="384"/>
      <c r="AC948" s="384"/>
      <c r="AD948" s="240">
        <f>((L947/(L947-1)-1))</f>
        <v>0.39999999999999991</v>
      </c>
      <c r="AE948" s="91" t="str">
        <f>IF(L948="","",(SUM(((L946-1)*(1-_xlfn.XLOOKUP(K946,'Fevereiro 2023 - Valor Real'!A3:A15,'Fevereiro 2023 - Valor Real'!C3:C15,0))+1),((L947-1)*(1-_xlfn.XLOOKUP(K947,'Fevereiro 2023 - Valor Real'!A3:A15,'Fevereiro 2023 - Valor Real'!C3:C15,0))+1),((L948-1)*(1-_xlfn.XLOOKUP(K948,'Fevereiro 2023 - Valor Real'!A3:A15,'Fevereiro 2023 - Valor Real'!C3:C15,0))+1))/((L948-1)*(1-_xlfn.XLOOKUP(K948,'Fevereiro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Real'!C3:C15,0))+1))/((L946-1)*(1-_xlfn.XLOOKUP(K946,'Fevereiro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Real'!C3:C15,0))+1))/((L947-1)*(1-_xlfn.XLOOKUP(K947,'Fevereiro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Real'!C3:C15,0))+1))/((L948-1)*(1-_xlfn.XLOOKUP(K948,'Fevereiro 2023 - Valor Real'!A3:A15,'Fevereiro 2023 - Valor Real'!C3:C15,0))+1)))</f>
        <v/>
      </c>
      <c r="AF948" s="66">
        <f t="shared" si="1892"/>
        <v>0</v>
      </c>
      <c r="AG948" s="67">
        <f t="shared" si="1892"/>
        <v>0</v>
      </c>
      <c r="AH948" s="67">
        <f t="shared" si="1892"/>
        <v>0</v>
      </c>
      <c r="AI948" s="67">
        <f t="shared" si="1892"/>
        <v>0</v>
      </c>
      <c r="AJ948" s="67">
        <f t="shared" si="1892"/>
        <v>0</v>
      </c>
      <c r="AK948" s="67">
        <f t="shared" si="1892"/>
        <v>0</v>
      </c>
      <c r="AL948" s="67">
        <f t="shared" si="1892"/>
        <v>0</v>
      </c>
      <c r="AM948" s="67">
        <f t="shared" si="1892"/>
        <v>0</v>
      </c>
      <c r="AN948" s="67">
        <f t="shared" si="1892"/>
        <v>0</v>
      </c>
      <c r="AO948" s="67">
        <f t="shared" si="1892"/>
        <v>0</v>
      </c>
      <c r="AP948" s="67">
        <f t="shared" si="1892"/>
        <v>0</v>
      </c>
      <c r="AQ948" s="67">
        <f t="shared" si="1892"/>
        <v>0</v>
      </c>
      <c r="AR948" s="68">
        <f t="shared" si="1892"/>
        <v>0</v>
      </c>
      <c r="AS948" s="66">
        <f>IF(AND($B946=" ",$K948=AS$3),$O948,0)</f>
        <v>0</v>
      </c>
      <c r="AT948" s="67">
        <f>IF(AND($B946=" ",K948=AT$3),$O948,0)</f>
        <v>0</v>
      </c>
      <c r="AU948" s="67">
        <f t="shared" ref="AU948:BE948" si="1899">IF(AND($B946=" ",$K948=AU$3),$O948,0)</f>
        <v>0</v>
      </c>
      <c r="AV948" s="67">
        <f t="shared" si="1899"/>
        <v>0</v>
      </c>
      <c r="AW948" s="67">
        <f t="shared" si="1899"/>
        <v>0</v>
      </c>
      <c r="AX948" s="67">
        <f t="shared" si="1899"/>
        <v>0</v>
      </c>
      <c r="AY948" s="69">
        <f t="shared" si="1899"/>
        <v>0</v>
      </c>
      <c r="AZ948" s="70">
        <f t="shared" si="1899"/>
        <v>0</v>
      </c>
      <c r="BA948" s="70">
        <f t="shared" si="1899"/>
        <v>0</v>
      </c>
      <c r="BB948" s="70">
        <f t="shared" si="1899"/>
        <v>0</v>
      </c>
      <c r="BC948" s="71">
        <f t="shared" si="1899"/>
        <v>0</v>
      </c>
      <c r="BD948" s="67">
        <f t="shared" si="1899"/>
        <v>0</v>
      </c>
      <c r="BE948" s="68">
        <f t="shared" si="1899"/>
        <v>0</v>
      </c>
      <c r="BF948" s="66">
        <f t="shared" si="1894"/>
        <v>0</v>
      </c>
      <c r="BG948" s="67">
        <f t="shared" si="1894"/>
        <v>0</v>
      </c>
      <c r="BH948" s="67">
        <f t="shared" si="1894"/>
        <v>0</v>
      </c>
      <c r="BI948" s="67">
        <f t="shared" si="1894"/>
        <v>0</v>
      </c>
      <c r="BJ948" s="67">
        <f t="shared" si="1894"/>
        <v>0</v>
      </c>
      <c r="BK948" s="67">
        <f t="shared" si="1894"/>
        <v>0</v>
      </c>
      <c r="BL948" s="67">
        <f t="shared" si="1894"/>
        <v>0</v>
      </c>
      <c r="BM948" s="69">
        <f t="shared" si="1894"/>
        <v>0</v>
      </c>
      <c r="BN948" s="70">
        <f t="shared" si="1894"/>
        <v>0</v>
      </c>
      <c r="BO948" s="70">
        <f t="shared" si="1894"/>
        <v>0</v>
      </c>
      <c r="BP948" s="70">
        <f t="shared" si="1894"/>
        <v>0</v>
      </c>
      <c r="BQ948" s="71">
        <f t="shared" si="1894"/>
        <v>0</v>
      </c>
      <c r="BR948" s="68">
        <f t="shared" si="1894"/>
        <v>0</v>
      </c>
      <c r="BS948" s="464"/>
      <c r="BT948" s="461"/>
      <c r="BU948" s="392"/>
      <c r="BV948" s="461"/>
      <c r="BW948" s="392"/>
      <c r="BX948" s="392"/>
      <c r="BY948" s="392"/>
      <c r="BZ948" s="461"/>
      <c r="CA948" s="392"/>
      <c r="CB948" s="392"/>
      <c r="CC948" s="392"/>
      <c r="CD948" s="401"/>
      <c r="CE948" s="409"/>
      <c r="CF948" s="236">
        <f t="shared" si="1796"/>
        <v>0</v>
      </c>
      <c r="CG948" s="237">
        <f t="shared" si="1797"/>
        <v>0</v>
      </c>
      <c r="CH948" s="237">
        <f t="shared" si="1798"/>
        <v>0</v>
      </c>
      <c r="CI948" s="237">
        <f t="shared" si="1799"/>
        <v>0</v>
      </c>
      <c r="CJ948" s="237">
        <f t="shared" si="1800"/>
        <v>0</v>
      </c>
      <c r="CK948" s="237">
        <f t="shared" si="1801"/>
        <v>0</v>
      </c>
      <c r="CL948" s="237">
        <f t="shared" si="1802"/>
        <v>0</v>
      </c>
      <c r="CM948" s="237">
        <f t="shared" si="1803"/>
        <v>0</v>
      </c>
      <c r="CN948" s="237">
        <f t="shared" si="1804"/>
        <v>0</v>
      </c>
      <c r="CO948" s="237">
        <f t="shared" si="1805"/>
        <v>0</v>
      </c>
      <c r="CP948" s="237">
        <f t="shared" si="1806"/>
        <v>0</v>
      </c>
      <c r="CQ948" s="237">
        <f t="shared" si="1807"/>
        <v>0</v>
      </c>
      <c r="CR948" s="237">
        <f t="shared" si="1808"/>
        <v>0</v>
      </c>
      <c r="CS948" s="237">
        <f t="shared" si="1809"/>
        <v>0</v>
      </c>
      <c r="CT948" s="75">
        <f t="shared" si="1810"/>
        <v>0</v>
      </c>
      <c r="CU948" s="76">
        <f t="shared" si="1811"/>
        <v>0</v>
      </c>
      <c r="CV948" s="76">
        <f t="shared" si="1812"/>
        <v>0</v>
      </c>
      <c r="CW948" s="76">
        <f t="shared" si="1813"/>
        <v>0</v>
      </c>
      <c r="CX948" s="76">
        <f t="shared" si="1814"/>
        <v>0</v>
      </c>
      <c r="CY948" s="76">
        <f t="shared" si="1815"/>
        <v>0</v>
      </c>
      <c r="CZ948" s="76">
        <f t="shared" si="1816"/>
        <v>0</v>
      </c>
      <c r="DA948" s="76">
        <f t="shared" si="1817"/>
        <v>0</v>
      </c>
      <c r="DB948" s="76">
        <f t="shared" si="1818"/>
        <v>0</v>
      </c>
      <c r="DC948" s="76">
        <f t="shared" si="1819"/>
        <v>0</v>
      </c>
      <c r="DD948" s="76">
        <f t="shared" si="1820"/>
        <v>0</v>
      </c>
      <c r="DE948" s="77">
        <f t="shared" si="1821"/>
        <v>0</v>
      </c>
      <c r="DF948" s="73">
        <f t="shared" si="1824"/>
        <v>57</v>
      </c>
      <c r="DG948" s="67">
        <f t="shared" si="1825"/>
        <v>76.963000000000008</v>
      </c>
      <c r="DH948" s="76">
        <f t="shared" si="1826"/>
        <v>19</v>
      </c>
      <c r="DI948" s="67">
        <f t="shared" si="1827"/>
        <v>81.47</v>
      </c>
      <c r="DJ948" s="202" t="str">
        <f>IF($D946="","",$D946)</f>
        <v>31</v>
      </c>
      <c r="DK948" s="466"/>
    </row>
    <row r="949" spans="1:115" ht="14.5" customHeight="1" x14ac:dyDescent="0.2">
      <c r="A949" s="487">
        <f>$A946+1</f>
        <v>316</v>
      </c>
      <c r="B949" s="506" t="str">
        <f>IF(OR(C949="W",C950="W",C951="W",C949="1/2W",C950="1/2W",C951="1/2W",C949="1/2L",C950="1/2L",C951="1/2L"),"OK",IF(OR(C949="L",C950="L",C951="L"),"LOSS",IF(OR(C949="X",C950="X",C951="X"),"Anulado"," ")))</f>
        <v>OK</v>
      </c>
      <c r="C949" s="147" t="s">
        <v>49</v>
      </c>
      <c r="D949" s="494" t="str">
        <f>IF(G949="","",$D946)</f>
        <v>31</v>
      </c>
      <c r="E949" s="511" t="str">
        <f>IF(G949=""," ","– "&amp;COUNTIF(D$4:D951,$D949))</f>
        <v>– 12</v>
      </c>
      <c r="F949" s="510" t="str">
        <f ca="1">IF(G949="","",IF(OR(AND($C949&lt;&gt;" ",$C950=" "),AND($C950&lt;&gt;" ",$C949=" "),AND(L951&gt;0,OR(AND($C951&lt;&gt;" ",OR($C949=" ",$C950=" ")),AND($C951=" ",OR($C949&lt;&gt;" ",$C950&lt;&gt;" "))))),IF(SUM(F$4:F948)=0,1,LARGE(F$4:F948,1)+1),IF(MONTH(G949)=MONTH(TODAY()),IF(AND(DAY(G949)&lt;DAY(TODAY()),$B949=" "),IF(SUM(F$4:F948)=0,1,LARGE(F$4:F948,1)+1),IF($B949=" ",IF(AND(DAY(G949)=DAY(TODAY()),HOUR(G949)&lt;=HOUR(NOW())+1),IF(AND(HOUR(G949)+2&lt;=HOUR(NOW()),DAY(G949)&lt;=DAY(TODAY()),MINUTE(G949)&lt;=MINUTE(NOW())),IF(SUM(F$4:F948)=0,1,LARGE(F$4:F948,1)+1),IF(OR(MINUTE(G949)&lt;=MINUTE(NOW()),HOUR(G949)&lt;=HOUR(NOW())),"!!!","")),""),"")),"")))</f>
        <v/>
      </c>
      <c r="G949" s="517">
        <v>45014.65625</v>
      </c>
      <c r="H949" s="516" t="s">
        <v>284</v>
      </c>
      <c r="I949" s="222" t="s">
        <v>66</v>
      </c>
      <c r="J949" s="223">
        <v>0</v>
      </c>
      <c r="K949" s="224" t="s">
        <v>43</v>
      </c>
      <c r="L949" s="225">
        <v>1.492</v>
      </c>
      <c r="M949" s="226">
        <v>27.38</v>
      </c>
      <c r="N949" s="503">
        <v>0</v>
      </c>
      <c r="O949" s="153">
        <f>IF(OR(AE949="",AE950=""),"",ROUND(IF(L951&gt;0,IF(M949&gt;0,M949,IF(M950&gt;0,ROUND((M950*AE949)/AE950,IF(N949=0,2,IF(N949=0.1,1,0))),ROUND((M951*AE949)/AE951,IF(N949=0,2,IF(N949=0.1,1,0))))),IF(M949&gt;0,M949,ROUND((M950*AE949)/AE950,IF(N949=0,2,IF(N949=0.1,1,0))))),2))</f>
        <v>27.38</v>
      </c>
      <c r="P949" s="227">
        <f>IF(OR(L949="",O949=""),"",IF($C949="1/2W",O949/2+O949/2*L949,IF($C949="1/2L",O949/2,IF(I949="Lay",(O949*(L949/(L949-1))-O949)*(1-_xlfn.XLOOKUP(K949,'Fevereiro 2023 - Valor Real'!A3:A15,'Fevereiro 2023 - Valor Real'!C3:C15,0))+O949,(O949*L949-O949)*(1-_xlfn.XLOOKUP(K949,'Fevereiro 2023 - Valor Real'!A3:A15,'Fevereiro 2023 - Valor Real'!C3:C15,0))+O949))))</f>
        <v>40.850960000000001</v>
      </c>
      <c r="Q949" s="228">
        <f>IF(K949="","",IF(_xlfn.XLOOKUP(K949,K$4:K948,$DJ$4:DJ948,0,,-1)=DJ949,_xlfn.XLOOKUP(K949,K$4:K948,Q$4:Q948,1,,-1)+1,1))</f>
        <v>8</v>
      </c>
      <c r="R949" s="229">
        <f>IF(K949="","",_xlfn.XLOOKUP(K949,K$4:K948,R$4:R948,0,,-1)+IF($C949=" ",1,0))</f>
        <v>0</v>
      </c>
      <c r="S949" s="501">
        <f>IF($B949="Anulado",0,ROUND(IF(OR($B949="LOSS",$B949="OK"),IF(OR($C949="W",$C949="1/2W",$C949="1/2L"),P949-O949,IF($C949="L",-O949,0))+IF(OR($C950="W",$C950="1/2W",$C950="1/2L"),P950-O950,IF($C950="L",-O950,0))+IF(OR($C951="W",$C951="1/2W",$C951="1/2L"),P951-O951,IF($C951="L",-O951,0)),IF(AND(OR($C949="W",$C949="1/2W",$C949="1/2L"),C950="W"),P949+P950-SUM(O949:O951)+_xlfn.XLOOKUP("X",C949:C951,O949:O951,0),IF(AND(C949=TRUE,C951="W"),P949+P951-SUM(O949:O951),IF(AND(C950="W",C951="W"),P950+P951-SUM(O949:O951)+_xlfn.XLOOKUP("X",C949:C951,O949:O951,0),IF(L951&gt;0,IF(OR($C949="W",$C949="1/2W",$C949="1/2L"),P949-SUM(O949:O951)+_xlfn.XLOOKUP("X",C949:C951,O949:O951,0),IF(OR($C949="W",$C949="1/2W",$C949="1/2L"),P950-SUM(O949:O951)+_xlfn.XLOOKUP("X",C949:C951,O949:O951,0),IF(OR($C949="W",$C949="1/2W",$C949="1/2L"),P951-SUM(O949:O951)+_xlfn.XLOOKUP("X",C949:C951,O949:O951,0),IF(SUM(P949:P951)/3-SUM(O949:O951)+_xlfn.XLOOKUP("X",C949:C951,O949:O951,0)&gt;0,SUM(P949:P951)/3-SUM(O949:O951)+_xlfn.XLOOKUP("X",C949:C951,O949:O951,0),LARGE(P949:P951,1)-SUM(O949:O951))))),IF(OR($C949="W",$C949="1/2W",$C949="1/2L"),P949-SUM(O949:O950)+_xlfn.XLOOKUP("X",C949:C951,O949:O951,0),IF(OR($C949="W",$C949="1/2W",$C949="1/2L"),P950-SUM(O949:O950)+_xlfn.XLOOKUP("X",C949:C951,O949:O951,0),SUM(P949:P950)/2-SUM(O949:O950)+_xlfn.XLOOKUP("X",C949:C951,O949:O951,0)))))))),2))</f>
        <v>2.2599999999999998</v>
      </c>
      <c r="T949" s="486">
        <f>IF(S949=0,0,S949/SUM(O949:O951))</f>
        <v>5.8473479948253554E-2</v>
      </c>
      <c r="U949" s="496">
        <f>IF($D949=$D946,IF(OR($B949="LOSS",$B949="OK",$B949="Anulada"),S949,0)+U946,IF(OR($B949="LOSS",$B949="OK",$B949="Anulada"),S949,0))</f>
        <v>69.500000000000014</v>
      </c>
      <c r="V949" s="496">
        <f>IF($D949="",0,IF($D949=$D946,IF($B949=" ",IF(I951="",IF(OR(AND(I949="DNB1",I950="DNB2"),AND(OR(I949="DNB1",I949="DNB2"),J950=0),AND(OR(I950="DNB1",I950="DNB2"),J949=0),AND(I949="DNB2",I950="DNB1"),AND(IF(J949=0,(J949+1)/ROUND(J949+1,0),J949/ROUND(J949,0))=1,IF(J950=0,(J950+1)/ROUND(IF(J950="",0,J950)+1,0),IF(J950="",0,J950)/ROUND(IF(J950="",1,J950),0))=1,OR(J949&lt;&gt;""),J950&lt;&gt;"")),0,IF(S949&lt;0,IF(I951="",SMALL(P949:P950,1)-SUM(O949:O950),0),SMALL(P949:P950,1)-SUM(O949:O950))),IF(S949&lt;0,IF(I951="",SMALL(P949:P951,1)-SUM(O949:O951),0),LARGE(P949:P951,1)-SUM(O949:O951))),S949)+V946,IF(I951="",IF(OR(AND(I949="DNB1",I950="DNB2"),AND(OR(I949="DNB1",I949="DNB2"),J950=0),AND(OR(I950="DNB1",I950="DNB2"),J949=0),AND(I949="DNB2",I950="DNB1"),AND(IF(J949=0,(J949+1)/ROUND(J949+1,0),J949/ROUND(J949,0))=1,IF(J950=0,(IF(J950="",0,J950)+1)/ROUND(IF(J950="",0,J950)+1,0),IF(J950="",0,J950)/ROUND(IF(J950="",0,J950)+1,0))=1,OR(J949&lt;&gt;""),J950&lt;&gt;"")),0,IF(S949&lt;0,IF(I951="",SMALL(P949:P950,1)-SUM(O949:O950),0),SMALL(P949:P951,1)-SUM(O949:O951))),IF(S949&lt;0,IF(I951="",SMALL(P949:P951,1)-SUM(O949:O951),0),LARGE(P949:P951,1)-SUM(O949:O951)))))</f>
        <v>69.503000000000014</v>
      </c>
      <c r="W949" s="496">
        <f>IF($D949=$D946,IF(S949&lt;0,IF(I951="",S949,0),S949)+W946,S949)</f>
        <v>69.500000000000014</v>
      </c>
      <c r="X949" s="505" t="str">
        <f>IF(OR(SUM(R949:R951)=0,V949=W949),ROUND(IF(W949=0,0,W949/Y949)*100,2)&amp;"%",ROUND(IF(V949=0,0,V949/Y949)*100,2)&amp;"% a "&amp;ROUND(IF(W949=0,0,W949/Y949)*100,2)&amp;"%")</f>
        <v>13,75%</v>
      </c>
      <c r="Y949" s="497">
        <f>IF($D949=$D946,Y946+SUM(O949:O951),SUM(O949:O951))</f>
        <v>505.32999999999993</v>
      </c>
      <c r="Z949" s="496">
        <f>IF($B949=" ",SUM(O949:O951),0)+Z946</f>
        <v>0</v>
      </c>
      <c r="AA949" s="496">
        <f>IF(G949="","",IF($B949="Anulado",LARGE(P949:P951,1)-SUM(O949:O951)+AA946,AA946))</f>
        <v>14.77109999999999</v>
      </c>
      <c r="AB949" s="496">
        <f>IF($D949="","",AB946+S949)</f>
        <v>1095.3000000000013</v>
      </c>
      <c r="AC949" s="499">
        <f ca="1">IF($D949="","",IF($B949=" ",IF(DAY(G949)=DAY(TODAY()),1+AC946,0+AC946),0+AC946))</f>
        <v>0</v>
      </c>
      <c r="AD949" s="157">
        <f>(((L950/(L950-1)-1)*(1-_xlfn.XLOOKUP(K950,'Fevereiro 2023 - Valor Real'!A3:A15,'Fevereiro 2023 - Valor Real'!C3:C15,0))+1))/(((L949-1)*(1-_xlfn.XLOOKUP(K949,'Fevereiro 2023 - Valor Real'!A3:A15,'Fevereiro 2023 - Valor Real'!C3:C15,0))+1)+((L950/(L950-1)-1)*(1-_xlfn.XLOOKUP(K950,'Fevereiro 2023 - Valor Real'!A3:A15,'Fevereiro 2023 - Valor Real'!C3:C15,0))+1))</f>
        <v>0.55921330294589344</v>
      </c>
      <c r="AE949" s="158">
        <f>IF(L949="","",IF(L951&gt;0,(SUM(((L949-1)*(1-_xlfn.XLOOKUP(K949,'Fevereiro 2023 - Valor Real'!A3:A15,'Fevereiro 2023 - Valor Real'!C3:C15,0))+1),((L950-1)*(1-_xlfn.XLOOKUP(K950,'Fevereiro 2023 - Valor Real'!A3:A15,'Fevereiro 2023 - Valor Real'!C3:C15,0))+1),((L951-1)*(1-_xlfn.XLOOKUP(K951,'Fevereiro 2023 - Valor Real'!A3:A15,'Fevereiro 2023 - Valor Real'!C3:C15,0))+1))/((L949-1)*(1-_xlfn.XLOOKUP(K949,'Fevereiro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Real'!C3:C15,0))+1))/((L949-1)*(1-_xlfn.XLOOKUP(K949,'Fevereiro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Real'!C3:C15,0))+1))/((L950-1)*(1-_xlfn.XLOOKUP(K950,'Fevereiro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Real'!C3:C15,0))+1))/((L951-1)*(1-_xlfn.XLOOKUP(K951,'Fevereiro 2023 - Valor Real'!A3:A15,'Fevereiro 2023 - Valor Real'!C3:C15,0))+1)),IF(I949="Lay",IF(I950="Lay",((L950/(L950-1)-1)*(1-_xlfn.XLOOKUP(K950,'Fevereiro 2023 - Valor Real'!A3:A15,'Fevereiro 2023 - Valor Real'!C3:C15,0))+1)/(((L950/(L950-1)-1)*(1-_xlfn.XLOOKUP(K950,'Fevereiro 2023 - Valor Real'!A3:A15,'Fevereiro 2023 - Valor Real'!C3:C15,0))+1)+((L949/(L949-1)-1)*(1-_xlfn.XLOOKUP(K949,'Fevereiro 2023 - Valor Real'!A3:A15,'Fevereiro 2023 - Valor Real'!C3:C15,0))+1)),((L950-1)*(1-_xlfn.XLOOKUP(K950,'Fevereiro 2023 - Valor Real'!A3:A15,'Fevereiro 2023 - Valor Real'!C3:C15,0))+1)/(((L950-1)*(1-_xlfn.XLOOKUP(K950,'Fevereiro 2023 - Valor Real'!A3:A15,'Fevereiro 2023 - Valor Real'!C3:C15,0))+1)+((L949/(L949-1)-1)*(1-_xlfn.XLOOKUP(K949,'Fevereiro 2023 - Valor Real'!A3:A15,'Fevereiro 2023 - Valor Real'!C3:C15,0))+1))),IF(I950="Lay",(((L950/(L950-1)-1)*(1-_xlfn.XLOOKUP(K950,'Fevereiro 2023 - Valor Real'!A3:A15,'Fevereiro 2023 - Valor Real'!C3:C15,0))+1))/(((L949-1)*(1-_xlfn.XLOOKUP(K949,'Fevereiro 2023 - Valor Real'!A3:A15,'Fevereiro 2023 - Valor Real'!C3:C15,0))+1)+((L950/(L950-1)-1)*(1-_xlfn.XLOOKUP(K950,'Fevereiro 2023 - Valor Real'!A3:A15,'Fevereiro 2023 - Valor Real'!C3:C15,0))+1)),((L950-1)*(1-_xlfn.XLOOKUP(K950,'Fevereiro 2023 - Valor Real'!A3:A15,'Fevereiro 2023 - Valor Real'!C3:C15,0))+1)/(((L950-1)*(1-_xlfn.XLOOKUP(K950,'Fevereiro 2023 - Valor Real'!A3:A15,'Fevereiro 2023 - Valor Real'!C3:C15,0))+1)+((L949-1)*(1-_xlfn.XLOOKUP(K949,'Fevereiro 2023 - Valor Real'!A3:A15,'Fevereiro 2023 - Valor Real'!C3:C15,0))+1))))))</f>
        <v>0.50756212847751891</v>
      </c>
      <c r="AF949" s="66">
        <f t="shared" si="1892"/>
        <v>0</v>
      </c>
      <c r="AG949" s="67">
        <f t="shared" si="1892"/>
        <v>0</v>
      </c>
      <c r="AH949" s="67">
        <f t="shared" si="1892"/>
        <v>0</v>
      </c>
      <c r="AI949" s="67">
        <f t="shared" si="1892"/>
        <v>0</v>
      </c>
      <c r="AJ949" s="67">
        <f t="shared" si="1892"/>
        <v>0</v>
      </c>
      <c r="AK949" s="67">
        <f t="shared" si="1892"/>
        <v>0</v>
      </c>
      <c r="AL949" s="67">
        <f t="shared" si="1892"/>
        <v>0</v>
      </c>
      <c r="AM949" s="67">
        <f t="shared" si="1892"/>
        <v>0</v>
      </c>
      <c r="AN949" s="67">
        <f t="shared" si="1892"/>
        <v>0</v>
      </c>
      <c r="AO949" s="67">
        <f t="shared" si="1892"/>
        <v>0</v>
      </c>
      <c r="AP949" s="67">
        <f t="shared" si="1892"/>
        <v>0</v>
      </c>
      <c r="AQ949" s="67">
        <f t="shared" si="1892"/>
        <v>0</v>
      </c>
      <c r="AR949" s="68">
        <f t="shared" si="1892"/>
        <v>0</v>
      </c>
      <c r="AS949" s="66">
        <f t="shared" ref="AS949:BE949" si="1900">IF(AND($B949=" ",$K949=AS$3),$O949,0)</f>
        <v>0</v>
      </c>
      <c r="AT949" s="67">
        <f t="shared" si="1900"/>
        <v>0</v>
      </c>
      <c r="AU949" s="67">
        <f t="shared" si="1900"/>
        <v>0</v>
      </c>
      <c r="AV949" s="67">
        <f t="shared" si="1900"/>
        <v>0</v>
      </c>
      <c r="AW949" s="67">
        <f t="shared" si="1900"/>
        <v>0</v>
      </c>
      <c r="AX949" s="67">
        <f t="shared" si="1900"/>
        <v>0</v>
      </c>
      <c r="AY949" s="69">
        <f t="shared" si="1900"/>
        <v>0</v>
      </c>
      <c r="AZ949" s="70">
        <f t="shared" si="1900"/>
        <v>0</v>
      </c>
      <c r="BA949" s="70">
        <f t="shared" si="1900"/>
        <v>0</v>
      </c>
      <c r="BB949" s="70">
        <f t="shared" si="1900"/>
        <v>0</v>
      </c>
      <c r="BC949" s="71">
        <f t="shared" si="1900"/>
        <v>0</v>
      </c>
      <c r="BD949" s="67">
        <f t="shared" si="1900"/>
        <v>0</v>
      </c>
      <c r="BE949" s="68">
        <f t="shared" si="1900"/>
        <v>0</v>
      </c>
      <c r="BF949" s="230">
        <f t="shared" si="1894"/>
        <v>0</v>
      </c>
      <c r="BG949" s="67">
        <f t="shared" si="1894"/>
        <v>0</v>
      </c>
      <c r="BH949" s="67">
        <f t="shared" si="1894"/>
        <v>0</v>
      </c>
      <c r="BI949" s="67">
        <f t="shared" si="1894"/>
        <v>0</v>
      </c>
      <c r="BJ949" s="67">
        <f t="shared" si="1894"/>
        <v>0</v>
      </c>
      <c r="BK949" s="67">
        <f t="shared" si="1894"/>
        <v>0</v>
      </c>
      <c r="BL949" s="67">
        <f t="shared" si="1894"/>
        <v>0</v>
      </c>
      <c r="BM949" s="69">
        <f t="shared" si="1894"/>
        <v>0</v>
      </c>
      <c r="BN949" s="70">
        <f t="shared" si="1894"/>
        <v>0</v>
      </c>
      <c r="BO949" s="70">
        <f t="shared" si="1894"/>
        <v>0</v>
      </c>
      <c r="BP949" s="70">
        <f t="shared" si="1894"/>
        <v>0</v>
      </c>
      <c r="BQ949" s="71">
        <f t="shared" si="1894"/>
        <v>0</v>
      </c>
      <c r="BR949" s="68">
        <f t="shared" si="1894"/>
        <v>0</v>
      </c>
      <c r="BS949" s="490">
        <f>IF($B949="LOSS",IF(AND($K949=BS$3,$C949="L"),-$O949,0)+IF(AND($K950=BS$3,$C950="L"),-$O950,0)+IF(AND($K951=BS$3,$C951="L"),-$O951,0),IF(OR(AND($K949=BS$3,OR($C949="W",$C949="1/2W")),AND($K950=BS$3,OR($C950="W",$C950="1/2W")),AND($K951=BS$3,OR($C951="W",$C951="1/2W"))),$S949,0))</f>
        <v>0</v>
      </c>
      <c r="BT949" s="488">
        <f>IF($B949="LOSS",IF(AND($K949=BT$3,$C949="L"),-$O949,0)+IF(AND($K950=BT$3,$C950="L"),-$O950,0)+IF(AND($K950=BT$3,$C951="L"),-$O951,0),IF(OR(AND($K950=BT$3,OR($C949="W",$C949="1/2W")),AND($K950=BT$3,OR($C950="W",$C950="1/2W")),AND($K950=BT$3,OR($C951="W",$C951="1/2W"))),$S949,0))</f>
        <v>0</v>
      </c>
      <c r="BU949" s="488">
        <f>IF($B949="LOSS",IF(AND($K949=BU$3,$C949="L"),-$O949,0)+IF(AND($K950=BU$3,$C950="L"),-$O950,0)+IF(AND($K950=BU$3,$C951="L"),-$O951,0),IF(OR(AND($K950=BU$3,OR($C949="W",$C949="1/2W")),AND($K950=BU$3,OR($C950="W",$C950="1/2W")),AND($K950=BU$3,OR($C951="W",$C951="1/2W"))),$S949,0))</f>
        <v>0</v>
      </c>
      <c r="BV949" s="488">
        <f t="shared" ref="BV949:CE949" si="1901">IF($B949="LOSS",IF(AND($K949=BV$3,$C949="L"),-$O949,0)+IF(AND($K950=BV$3,$C950="L"),-$O950,0)+IF(AND($K951=BV$3,$C951="L"),-$O951,0),IF(OR(AND($K949=BV$3,OR($C949="W",$C949="1/2W")),AND($K950=BV$3,OR($C950="W",$C950="1/2W")),AND($K951=BV$3,OR($C951="W",$C951="1/2W"))),$S949,0))</f>
        <v>0</v>
      </c>
      <c r="BW949" s="488">
        <f t="shared" si="1901"/>
        <v>2.2599999999999998</v>
      </c>
      <c r="BX949" s="488">
        <f t="shared" si="1901"/>
        <v>0</v>
      </c>
      <c r="BY949" s="488">
        <f t="shared" si="1901"/>
        <v>0</v>
      </c>
      <c r="BZ949" s="498">
        <f t="shared" si="1901"/>
        <v>0</v>
      </c>
      <c r="CA949" s="498">
        <f t="shared" si="1901"/>
        <v>0</v>
      </c>
      <c r="CB949" s="498">
        <f t="shared" si="1901"/>
        <v>0</v>
      </c>
      <c r="CC949" s="498">
        <f t="shared" si="1901"/>
        <v>0</v>
      </c>
      <c r="CD949" s="500">
        <f t="shared" si="1901"/>
        <v>0</v>
      </c>
      <c r="CE949" s="504">
        <f t="shared" si="1901"/>
        <v>0</v>
      </c>
      <c r="CF949" s="160">
        <f t="shared" si="1796"/>
        <v>0</v>
      </c>
      <c r="CG949" s="161">
        <f t="shared" si="1797"/>
        <v>0</v>
      </c>
      <c r="CH949" s="161">
        <f t="shared" si="1798"/>
        <v>0</v>
      </c>
      <c r="CI949" s="161">
        <f t="shared" si="1799"/>
        <v>0</v>
      </c>
      <c r="CJ949" s="161">
        <f t="shared" si="1800"/>
        <v>0</v>
      </c>
      <c r="CK949" s="161">
        <f t="shared" si="1801"/>
        <v>0</v>
      </c>
      <c r="CL949" s="161">
        <f t="shared" si="1802"/>
        <v>0</v>
      </c>
      <c r="CM949" s="161">
        <f t="shared" si="1803"/>
        <v>0</v>
      </c>
      <c r="CN949" s="161">
        <f t="shared" si="1804"/>
        <v>0</v>
      </c>
      <c r="CO949" s="161">
        <f t="shared" si="1805"/>
        <v>0</v>
      </c>
      <c r="CP949" s="161">
        <f t="shared" si="1806"/>
        <v>0</v>
      </c>
      <c r="CQ949" s="161">
        <f t="shared" si="1807"/>
        <v>0</v>
      </c>
      <c r="CR949" s="161">
        <f t="shared" si="1808"/>
        <v>0</v>
      </c>
      <c r="CS949" s="161">
        <f t="shared" si="1809"/>
        <v>0</v>
      </c>
      <c r="CT949" s="75">
        <f t="shared" si="1810"/>
        <v>0</v>
      </c>
      <c r="CU949" s="76">
        <f t="shared" si="1811"/>
        <v>0</v>
      </c>
      <c r="CV949" s="76">
        <f t="shared" si="1812"/>
        <v>0</v>
      </c>
      <c r="CW949" s="76">
        <f t="shared" si="1813"/>
        <v>0</v>
      </c>
      <c r="CX949" s="76">
        <f t="shared" si="1814"/>
        <v>0</v>
      </c>
      <c r="CY949" s="76">
        <f t="shared" si="1815"/>
        <v>0</v>
      </c>
      <c r="CZ949" s="76">
        <f t="shared" si="1816"/>
        <v>0</v>
      </c>
      <c r="DA949" s="76">
        <f t="shared" si="1817"/>
        <v>0</v>
      </c>
      <c r="DB949" s="76">
        <f t="shared" si="1818"/>
        <v>0</v>
      </c>
      <c r="DC949" s="76">
        <f t="shared" si="1819"/>
        <v>0</v>
      </c>
      <c r="DD949" s="76">
        <f t="shared" si="1820"/>
        <v>0</v>
      </c>
      <c r="DE949" s="77">
        <f t="shared" si="1821"/>
        <v>0</v>
      </c>
      <c r="DF949" s="73">
        <f t="shared" si="1824"/>
        <v>57</v>
      </c>
      <c r="DG949" s="67">
        <f t="shared" si="1825"/>
        <v>76.963000000000008</v>
      </c>
      <c r="DH949" s="76">
        <f t="shared" si="1826"/>
        <v>19</v>
      </c>
      <c r="DI949" s="67">
        <f t="shared" si="1827"/>
        <v>81.47</v>
      </c>
      <c r="DJ949" s="202" t="str">
        <f>IF($D949="","",$D949)</f>
        <v>31</v>
      </c>
      <c r="DK949" s="492">
        <f>IF(AND($B949=" ",$D949&lt;&gt;""),1,0)</f>
        <v>0</v>
      </c>
    </row>
    <row r="950" spans="1:115" ht="14.5" customHeight="1" x14ac:dyDescent="0.2">
      <c r="A950" s="389"/>
      <c r="B950" s="456"/>
      <c r="C950" s="53" t="s">
        <v>54</v>
      </c>
      <c r="D950" s="374"/>
      <c r="E950" s="386"/>
      <c r="F950" s="377"/>
      <c r="G950" s="483"/>
      <c r="H950" s="476"/>
      <c r="I950" s="55" t="s">
        <v>76</v>
      </c>
      <c r="J950" s="231">
        <v>0.5</v>
      </c>
      <c r="K950" s="232" t="s">
        <v>40</v>
      </c>
      <c r="L950" s="58">
        <v>2.12</v>
      </c>
      <c r="M950" s="59">
        <v>6.38</v>
      </c>
      <c r="N950" s="406"/>
      <c r="O950" s="60">
        <f>IF(OR(AE949="",AE950=""),"",ROUND(IF(L951&gt;0,IF(M950&gt;0,M950,IF(M949&gt;0,IF(N949=TRUE,ROUND((M949*AE950)/AE949,0),(M949*AE950)/AE949),IF(M950&gt;0,ROUND(M950,IF(N949=0,2,IF(N949=0.1,1,0))),IF(M951&gt;0,ROUND(O951*AE950/AE951,IF(N949=0,2,IF(N949=0.1,1,0))),0)))),IF(M950&gt;0,M950,ROUND((M949*AE950)/AE949,IF(N949=0,2,IF(N949=0.1,1,0))))),2))</f>
        <v>6.38</v>
      </c>
      <c r="P950" s="61">
        <f>IF(OR(L950="",O950=""),"",IF($C950="1/2W",O950/2+O950/2*L950,IF($C950="1/2L",O950/2,IF(I950="Lay",((O950*(L950/(L950-1)))-O950)*(1-_xlfn.XLOOKUP(K950,'Fevereiro 2023 - Valor Real'!A3:A15,'Fevereiro 2023 - Valor Real'!C3:C15,0))+O950,(O950*L950-O950)*(1-_xlfn.XLOOKUP(K950,'Fevereiro 2023 - Valor Real'!A3:A15,'Fevereiro 2023 - Valor Real'!C3:C15,0))+O950))))</f>
        <v>13.525600000000001</v>
      </c>
      <c r="Q950" s="233">
        <f>IF(K950="","",IF(_xlfn.XLOOKUP(K950,K$4:K949,$DJ$4:DJ949,0,,-1)=DJ950,_xlfn.XLOOKUP(K950,K$4:K949,Q$4:Q949,1,,-1)+1,1))</f>
        <v>9</v>
      </c>
      <c r="R950" s="234">
        <f>IF(K950="","",_xlfn.XLOOKUP(K950,K$4:K949,R$4:R949,0,,-1)+IF($C950=" ",1,0))</f>
        <v>0</v>
      </c>
      <c r="S950" s="403"/>
      <c r="T950" s="380"/>
      <c r="U950" s="380"/>
      <c r="V950" s="481"/>
      <c r="W950" s="380"/>
      <c r="X950" s="452"/>
      <c r="Y950" s="383"/>
      <c r="Z950" s="384"/>
      <c r="AA950" s="384"/>
      <c r="AB950" s="384"/>
      <c r="AC950" s="384"/>
      <c r="AD950" s="64">
        <f>(((L950/(L950-1)-1)*(1-_xlfn.XLOOKUP(K950,'Fevereiro 2023 - Valor Real'!A3:A15,'Fevereiro 2023 - Valor Real'!C3:C15,0))+1))</f>
        <v>1.8928571428571428</v>
      </c>
      <c r="AE950" s="65">
        <f>IF(L950="","",IF(L951&gt;0,(SUM(((L949-1)*(1-_xlfn.XLOOKUP(K949,'Fevereiro 2023 - Valor Real'!A3:A15,'Fevereiro 2023 - Valor Real'!C3:C15,0))+1),((L950-1)*(1-_xlfn.XLOOKUP(K950,'Fevereiro 2023 - Valor Real'!A3:A15,'Fevereiro 2023 - Valor Real'!C3:C15,0))+1),((L951-1)*(1-_xlfn.XLOOKUP(K951,'Fevereiro 2023 - Valor Real'!A3:A15,'Fevereiro 2023 - Valor Real'!C3:C15,0))+1))/((L950-1)*(1-_xlfn.XLOOKUP(K950,'Fevereiro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Real'!C3:C15,0))+1))/((L949-1)*(1-_xlfn.XLOOKUP(K949,'Fevereiro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Real'!C3:C15,0))+1))/((L950-1)*(1-_xlfn.XLOOKUP(K950,'Fevereiro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Real'!C3:C15,0))+1))/((L951-1)*(1-_xlfn.XLOOKUP(K951,'Fevereiro 2023 - Valor Real'!A3:A15,'Fevereiro 2023 - Valor Real'!C3:C15,0))+1)),IF(I950="Lay",IF(I949="Lay",((L949/(L949-1)-1)*(1-_xlfn.XLOOKUP(K949,'Fevereiro 2023 - Valor Real'!A3:A15,'Fevereiro 2023 - Valor Real'!C3:C15,0))+1)/(((L949/(L949-1)-1)*(1-_xlfn.XLOOKUP(K949,'Fevereiro 2023 - Valor Real'!A3:A15,'Fevereiro 2023 - Valor Real'!C3:C15,0))+1)+((L950/(L950-1)-1)*(1-_xlfn.XLOOKUP(K950,'Fevereiro 2023 - Valor Real'!A3:A15,'Fevereiro 2023 - Valor Real'!C3:C15,0))+1)),((L949-1)*(1-_xlfn.XLOOKUP(K949,'Fevereiro 2023 - Valor Real'!A3:A15,'Fevereiro 2023 - Valor Real'!C3:C15,0))+1)/(((L949-1)*(1-_xlfn.XLOOKUP(K949,'Fevereiro 2023 - Valor Real'!A3:A15,'Fevereiro 2023 - Valor Real'!C3:C15,0))+1)+((L950/(L950-1)-1)*(1-_xlfn.XLOOKUP(K950,'Fevereiro 2023 - Valor Real'!A3:A15,'Fevereiro 2023 - Valor Real'!C3:C15,0))+1))),IF(I949="Lay",((L949/(L949-1)-1)*(1-_xlfn.XLOOKUP(K949,'Fevereiro 2023 - Valor Real'!A3:A15,'Fevereiro 2023 - Valor Real'!C3:C15,0))+1)/((((L949/(L949-1)-1)*(1-_xlfn.XLOOKUP(K949,'Fevereiro 2023 - Valor Real'!A3:A15,'Fevereiro 2023 - Valor Real'!C3:C15,0))+1))+((L950-1)*(1-_xlfn.XLOOKUP(K950,'Fevereiro 2023 - Valor Real'!A3:A15,'Fevereiro 2023 - Valor Real'!C3:C15,0))+1)),((L949-1)*(1-_xlfn.XLOOKUP(K949,'Fevereiro 2023 - Valor Real'!A3:A15,'Fevereiro 2023 - Valor Real'!C3:C15,0))+1)/(((L949-1)*(1-_xlfn.XLOOKUP(K949,'Fevereiro 2023 - Valor Real'!A3:A15,'Fevereiro 2023 - Valor Real'!C3:C15,0))+1)+((L950-1)*(1-_xlfn.XLOOKUP(K950,'Fevereiro 2023 - Valor Real'!A3:A15,'Fevereiro 2023 - Valor Real'!C3:C15,0))+1))))))</f>
        <v>0.35720881872097082</v>
      </c>
      <c r="AF950" s="66">
        <f t="shared" si="1892"/>
        <v>0</v>
      </c>
      <c r="AG950" s="67">
        <f t="shared" si="1892"/>
        <v>0</v>
      </c>
      <c r="AH950" s="67">
        <f t="shared" si="1892"/>
        <v>0</v>
      </c>
      <c r="AI950" s="67">
        <f t="shared" si="1892"/>
        <v>0</v>
      </c>
      <c r="AJ950" s="67">
        <f t="shared" si="1892"/>
        <v>7.15</v>
      </c>
      <c r="AK950" s="67">
        <f t="shared" si="1892"/>
        <v>0</v>
      </c>
      <c r="AL950" s="67">
        <f t="shared" si="1892"/>
        <v>0</v>
      </c>
      <c r="AM950" s="67">
        <f t="shared" si="1892"/>
        <v>0</v>
      </c>
      <c r="AN950" s="67">
        <f t="shared" si="1892"/>
        <v>0</v>
      </c>
      <c r="AO950" s="67">
        <f t="shared" si="1892"/>
        <v>0</v>
      </c>
      <c r="AP950" s="67">
        <f t="shared" si="1892"/>
        <v>0</v>
      </c>
      <c r="AQ950" s="67">
        <f t="shared" si="1892"/>
        <v>0</v>
      </c>
      <c r="AR950" s="68">
        <f t="shared" si="1892"/>
        <v>0</v>
      </c>
      <c r="AS950" s="66">
        <f>IF(AND($B949=" ",$K950=AS$3),$O950,0)</f>
        <v>0</v>
      </c>
      <c r="AT950" s="67">
        <f>IF(AND($B949=" ",K950=AT$3),$O950,0)</f>
        <v>0</v>
      </c>
      <c r="AU950" s="67">
        <f t="shared" ref="AU950:BE950" si="1902">IF(AND($B949=" ",$K950=AU$3),$O950,0)</f>
        <v>0</v>
      </c>
      <c r="AV950" s="67">
        <f t="shared" si="1902"/>
        <v>0</v>
      </c>
      <c r="AW950" s="67">
        <f t="shared" si="1902"/>
        <v>0</v>
      </c>
      <c r="AX950" s="67">
        <f t="shared" si="1902"/>
        <v>0</v>
      </c>
      <c r="AY950" s="69">
        <f t="shared" si="1902"/>
        <v>0</v>
      </c>
      <c r="AZ950" s="70">
        <f t="shared" si="1902"/>
        <v>0</v>
      </c>
      <c r="BA950" s="70">
        <f t="shared" si="1902"/>
        <v>0</v>
      </c>
      <c r="BB950" s="70">
        <f t="shared" si="1902"/>
        <v>0</v>
      </c>
      <c r="BC950" s="71">
        <f t="shared" si="1902"/>
        <v>0</v>
      </c>
      <c r="BD950" s="67">
        <f t="shared" si="1902"/>
        <v>0</v>
      </c>
      <c r="BE950" s="68">
        <f t="shared" si="1902"/>
        <v>0</v>
      </c>
      <c r="BF950" s="66">
        <f t="shared" si="1894"/>
        <v>0</v>
      </c>
      <c r="BG950" s="67">
        <f t="shared" si="1894"/>
        <v>0</v>
      </c>
      <c r="BH950" s="67">
        <f t="shared" si="1894"/>
        <v>0</v>
      </c>
      <c r="BI950" s="67">
        <f t="shared" si="1894"/>
        <v>0</v>
      </c>
      <c r="BJ950" s="67">
        <f t="shared" si="1894"/>
        <v>6.38</v>
      </c>
      <c r="BK950" s="67">
        <f t="shared" si="1894"/>
        <v>0</v>
      </c>
      <c r="BL950" s="67">
        <f t="shared" si="1894"/>
        <v>0</v>
      </c>
      <c r="BM950" s="235">
        <f t="shared" si="1894"/>
        <v>0</v>
      </c>
      <c r="BN950" s="159">
        <f t="shared" si="1894"/>
        <v>0</v>
      </c>
      <c r="BO950" s="159">
        <f t="shared" si="1894"/>
        <v>0</v>
      </c>
      <c r="BP950" s="159">
        <f t="shared" si="1894"/>
        <v>0</v>
      </c>
      <c r="BQ950" s="71">
        <f t="shared" si="1894"/>
        <v>0</v>
      </c>
      <c r="BR950" s="68">
        <f t="shared" si="1894"/>
        <v>0</v>
      </c>
      <c r="BS950" s="464"/>
      <c r="BT950" s="461"/>
      <c r="BU950" s="392"/>
      <c r="BV950" s="461"/>
      <c r="BW950" s="392"/>
      <c r="BX950" s="392"/>
      <c r="BY950" s="392"/>
      <c r="BZ950" s="461"/>
      <c r="CA950" s="392"/>
      <c r="CB950" s="392"/>
      <c r="CC950" s="392"/>
      <c r="CD950" s="401"/>
      <c r="CE950" s="409"/>
      <c r="CF950" s="236">
        <f t="shared" si="1796"/>
        <v>0</v>
      </c>
      <c r="CG950" s="237">
        <f t="shared" si="1797"/>
        <v>0</v>
      </c>
      <c r="CH950" s="237">
        <f t="shared" si="1798"/>
        <v>0</v>
      </c>
      <c r="CI950" s="237">
        <f t="shared" si="1799"/>
        <v>0</v>
      </c>
      <c r="CJ950" s="237">
        <f t="shared" si="1800"/>
        <v>0</v>
      </c>
      <c r="CK950" s="237">
        <f t="shared" si="1801"/>
        <v>0</v>
      </c>
      <c r="CL950" s="237">
        <f t="shared" si="1802"/>
        <v>0</v>
      </c>
      <c r="CM950" s="237">
        <f t="shared" si="1803"/>
        <v>0</v>
      </c>
      <c r="CN950" s="237">
        <f t="shared" si="1804"/>
        <v>1</v>
      </c>
      <c r="CO950" s="237">
        <f t="shared" si="1805"/>
        <v>0</v>
      </c>
      <c r="CP950" s="237">
        <f t="shared" si="1806"/>
        <v>0</v>
      </c>
      <c r="CQ950" s="237">
        <f t="shared" si="1807"/>
        <v>0</v>
      </c>
      <c r="CR950" s="237">
        <f t="shared" si="1808"/>
        <v>0</v>
      </c>
      <c r="CS950" s="237">
        <f t="shared" si="1809"/>
        <v>0</v>
      </c>
      <c r="CT950" s="75">
        <f t="shared" si="1810"/>
        <v>0</v>
      </c>
      <c r="CU950" s="76">
        <f t="shared" si="1811"/>
        <v>0</v>
      </c>
      <c r="CV950" s="76">
        <f t="shared" si="1812"/>
        <v>0</v>
      </c>
      <c r="CW950" s="76">
        <f t="shared" si="1813"/>
        <v>0</v>
      </c>
      <c r="CX950" s="76">
        <f t="shared" si="1814"/>
        <v>0</v>
      </c>
      <c r="CY950" s="76">
        <f t="shared" si="1815"/>
        <v>0</v>
      </c>
      <c r="CZ950" s="76">
        <f t="shared" si="1816"/>
        <v>0</v>
      </c>
      <c r="DA950" s="76">
        <f t="shared" si="1817"/>
        <v>0</v>
      </c>
      <c r="DB950" s="76">
        <f t="shared" si="1818"/>
        <v>0</v>
      </c>
      <c r="DC950" s="76">
        <f t="shared" si="1819"/>
        <v>0</v>
      </c>
      <c r="DD950" s="76">
        <f t="shared" si="1820"/>
        <v>0</v>
      </c>
      <c r="DE950" s="77">
        <f t="shared" si="1821"/>
        <v>0</v>
      </c>
      <c r="DF950" s="73">
        <f t="shared" si="1824"/>
        <v>57</v>
      </c>
      <c r="DG950" s="67">
        <f t="shared" si="1825"/>
        <v>76.963000000000008</v>
      </c>
      <c r="DH950" s="76">
        <f t="shared" si="1826"/>
        <v>19</v>
      </c>
      <c r="DI950" s="67">
        <f t="shared" si="1827"/>
        <v>81.47</v>
      </c>
      <c r="DJ950" s="202" t="str">
        <f>IF($D949="","",$D949)</f>
        <v>31</v>
      </c>
      <c r="DK950" s="466"/>
    </row>
    <row r="951" spans="1:115" ht="14.5" customHeight="1" x14ac:dyDescent="0.2">
      <c r="A951" s="390"/>
      <c r="B951" s="457"/>
      <c r="C951" s="251" t="s">
        <v>55</v>
      </c>
      <c r="D951" s="375"/>
      <c r="E951" s="387"/>
      <c r="F951" s="378"/>
      <c r="G951" s="484"/>
      <c r="H951" s="477"/>
      <c r="I951" s="252">
        <v>2</v>
      </c>
      <c r="J951" s="253"/>
      <c r="K951" s="254" t="s">
        <v>40</v>
      </c>
      <c r="L951" s="255">
        <v>5.6</v>
      </c>
      <c r="M951" s="256">
        <v>4.8899999999999997</v>
      </c>
      <c r="N951" s="407"/>
      <c r="O951" s="187">
        <f>IF(OR(AE949="",AE950=""),"",IF(L951&gt;0,ROUND(IF(M951&gt;0,M951,IF(M949&gt;0,ROUND((M949*AE951)/AE949,IF(N949=0,2,IF(N949=0.1,1,0))),IF(M950&gt;0,ROUND((M950*AE951)/AE950,IF(N949=0,2,IF(N949=0.1,1,0))),IF(M951&gt;0,M951,0)))),2),""))</f>
        <v>4.8899999999999997</v>
      </c>
      <c r="P951" s="188">
        <f>IF(I950="Lay",O950*(L950/(L950-1))-O950,IF(I949="Lay",O949*(L949/(L949-1))-O949,IF(OR(L951="",O951=""),"",IF($C951="1/2W",O951/2+O951/2*L951,IF($C951="1/2L",O951/2,(O951*L951-O951)*(1-_xlfn.XLOOKUP(K951,'Fevereiro 2023 - Valor Real'!A3:A15,'Fevereiro 2023 - Valor Real'!C3:C15,0))+O951)))))</f>
        <v>27.383999999999997</v>
      </c>
      <c r="Q951" s="257">
        <f>IF(K951="","",IF(_xlfn.XLOOKUP(K951,K$4:K950,$DJ$4:DJ950,0,,-1)=DJ951,_xlfn.XLOOKUP(K951,K$4:K950,Q$4:Q950,1,,-1)+1,1))</f>
        <v>10</v>
      </c>
      <c r="R951" s="247">
        <f>IF(K951="","",_xlfn.XLOOKUP(K951,K$4:K950,R$4:R950,0,,-1)+IF($C951=" ",1,0))</f>
        <v>0</v>
      </c>
      <c r="S951" s="404"/>
      <c r="T951" s="378"/>
      <c r="U951" s="378"/>
      <c r="V951" s="404"/>
      <c r="W951" s="378"/>
      <c r="X951" s="453"/>
      <c r="Y951" s="383"/>
      <c r="Z951" s="384"/>
      <c r="AA951" s="384"/>
      <c r="AB951" s="384"/>
      <c r="AC951" s="384"/>
      <c r="AD951" s="240">
        <f>((L950/(L950-1)-1))</f>
        <v>0.89285714285714279</v>
      </c>
      <c r="AE951" s="190">
        <f>IF(L951="","",(SUM(((L949-1)*(1-_xlfn.XLOOKUP(K949,'Fevereiro 2023 - Valor Real'!A3:A15,'Fevereiro 2023 - Valor Real'!C3:C15,0))+1),((L950-1)*(1-_xlfn.XLOOKUP(K950,'Fevereiro 2023 - Valor Real'!A3:A15,'Fevereiro 2023 - Valor Real'!C3:C15,0))+1),((L951-1)*(1-_xlfn.XLOOKUP(K951,'Fevereiro 2023 - Valor Real'!A3:A15,'Fevereiro 2023 - Valor Real'!C3:C15,0))+1))/((L951-1)*(1-_xlfn.XLOOKUP(K951,'Fevereiro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Real'!C3:C15,0))+1))/((L949-1)*(1-_xlfn.XLOOKUP(K949,'Fevereiro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Real'!C3:C15,0))+1))/((L950-1)*(1-_xlfn.XLOOKUP(K950,'Fevereiro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Real'!C3:C15,0))+1))/((L951-1)*(1-_xlfn.XLOOKUP(K951,'Fevereiro 2023 - Valor Real'!A3:A15,'Fevereiro 2023 - Valor Real'!C3:C15,0))+1)))</f>
        <v>0.1352290528015104</v>
      </c>
      <c r="AF951" s="66">
        <f t="shared" si="1892"/>
        <v>0</v>
      </c>
      <c r="AG951" s="67">
        <f t="shared" si="1892"/>
        <v>0</v>
      </c>
      <c r="AH951" s="67">
        <f t="shared" si="1892"/>
        <v>0</v>
      </c>
      <c r="AI951" s="67">
        <f t="shared" si="1892"/>
        <v>0</v>
      </c>
      <c r="AJ951" s="67">
        <f t="shared" si="1892"/>
        <v>-4.8899999999999997</v>
      </c>
      <c r="AK951" s="67">
        <f t="shared" si="1892"/>
        <v>0</v>
      </c>
      <c r="AL951" s="67">
        <f t="shared" si="1892"/>
        <v>0</v>
      </c>
      <c r="AM951" s="67">
        <f t="shared" si="1892"/>
        <v>0</v>
      </c>
      <c r="AN951" s="67">
        <f t="shared" si="1892"/>
        <v>0</v>
      </c>
      <c r="AO951" s="67">
        <f t="shared" si="1892"/>
        <v>0</v>
      </c>
      <c r="AP951" s="67">
        <f t="shared" si="1892"/>
        <v>0</v>
      </c>
      <c r="AQ951" s="67">
        <f t="shared" si="1892"/>
        <v>0</v>
      </c>
      <c r="AR951" s="68">
        <f t="shared" si="1892"/>
        <v>0</v>
      </c>
      <c r="AS951" s="66">
        <f>IF(AND($B949=" ",$K951=AS$3),$O951,0)</f>
        <v>0</v>
      </c>
      <c r="AT951" s="67">
        <f>IF(AND($B949=" ",K951=AT$3),$O951,0)</f>
        <v>0</v>
      </c>
      <c r="AU951" s="67">
        <f t="shared" ref="AU951:BE951" si="1903">IF(AND($B949=" ",$K951=AU$3),$O951,0)</f>
        <v>0</v>
      </c>
      <c r="AV951" s="67">
        <f t="shared" si="1903"/>
        <v>0</v>
      </c>
      <c r="AW951" s="67">
        <f t="shared" si="1903"/>
        <v>0</v>
      </c>
      <c r="AX951" s="67">
        <f t="shared" si="1903"/>
        <v>0</v>
      </c>
      <c r="AY951" s="69">
        <f t="shared" si="1903"/>
        <v>0</v>
      </c>
      <c r="AZ951" s="70">
        <f t="shared" si="1903"/>
        <v>0</v>
      </c>
      <c r="BA951" s="70">
        <f t="shared" si="1903"/>
        <v>0</v>
      </c>
      <c r="BB951" s="70">
        <f t="shared" si="1903"/>
        <v>0</v>
      </c>
      <c r="BC951" s="71">
        <f t="shared" si="1903"/>
        <v>0</v>
      </c>
      <c r="BD951" s="67">
        <f t="shared" si="1903"/>
        <v>0</v>
      </c>
      <c r="BE951" s="68">
        <f t="shared" si="1903"/>
        <v>0</v>
      </c>
      <c r="BF951" s="66">
        <f t="shared" si="1894"/>
        <v>0</v>
      </c>
      <c r="BG951" s="67">
        <f t="shared" si="1894"/>
        <v>0</v>
      </c>
      <c r="BH951" s="67">
        <f t="shared" si="1894"/>
        <v>0</v>
      </c>
      <c r="BI951" s="67">
        <f t="shared" si="1894"/>
        <v>0</v>
      </c>
      <c r="BJ951" s="67">
        <f t="shared" si="1894"/>
        <v>4.8899999999999997</v>
      </c>
      <c r="BK951" s="67">
        <f t="shared" si="1894"/>
        <v>0</v>
      </c>
      <c r="BL951" s="67">
        <f t="shared" si="1894"/>
        <v>0</v>
      </c>
      <c r="BM951" s="69">
        <f t="shared" si="1894"/>
        <v>0</v>
      </c>
      <c r="BN951" s="70">
        <f t="shared" si="1894"/>
        <v>0</v>
      </c>
      <c r="BO951" s="70">
        <f t="shared" si="1894"/>
        <v>0</v>
      </c>
      <c r="BP951" s="70">
        <f t="shared" si="1894"/>
        <v>0</v>
      </c>
      <c r="BQ951" s="71">
        <f t="shared" si="1894"/>
        <v>0</v>
      </c>
      <c r="BR951" s="68">
        <f t="shared" si="1894"/>
        <v>0</v>
      </c>
      <c r="BS951" s="464"/>
      <c r="BT951" s="461"/>
      <c r="BU951" s="392"/>
      <c r="BV951" s="461"/>
      <c r="BW951" s="392"/>
      <c r="BX951" s="392"/>
      <c r="BY951" s="392"/>
      <c r="BZ951" s="461"/>
      <c r="CA951" s="392"/>
      <c r="CB951" s="392"/>
      <c r="CC951" s="392"/>
      <c r="CD951" s="401"/>
      <c r="CE951" s="409"/>
      <c r="CF951" s="236">
        <f t="shared" si="1796"/>
        <v>0</v>
      </c>
      <c r="CG951" s="237">
        <f t="shared" si="1797"/>
        <v>0</v>
      </c>
      <c r="CH951" s="237">
        <f t="shared" si="1798"/>
        <v>0</v>
      </c>
      <c r="CI951" s="237">
        <f t="shared" si="1799"/>
        <v>0</v>
      </c>
      <c r="CJ951" s="237">
        <f t="shared" si="1800"/>
        <v>0</v>
      </c>
      <c r="CK951" s="237">
        <f t="shared" si="1801"/>
        <v>0</v>
      </c>
      <c r="CL951" s="237">
        <f t="shared" si="1802"/>
        <v>0</v>
      </c>
      <c r="CM951" s="237">
        <f t="shared" si="1803"/>
        <v>0</v>
      </c>
      <c r="CN951" s="237">
        <f t="shared" si="1804"/>
        <v>0</v>
      </c>
      <c r="CO951" s="237">
        <f t="shared" si="1805"/>
        <v>1</v>
      </c>
      <c r="CP951" s="237">
        <f t="shared" si="1806"/>
        <v>0</v>
      </c>
      <c r="CQ951" s="237">
        <f t="shared" si="1807"/>
        <v>0</v>
      </c>
      <c r="CR951" s="237">
        <f t="shared" si="1808"/>
        <v>0</v>
      </c>
      <c r="CS951" s="237">
        <f t="shared" si="1809"/>
        <v>0</v>
      </c>
      <c r="CT951" s="75">
        <f t="shared" si="1810"/>
        <v>0</v>
      </c>
      <c r="CU951" s="76">
        <f t="shared" si="1811"/>
        <v>0</v>
      </c>
      <c r="CV951" s="76">
        <f t="shared" si="1812"/>
        <v>0</v>
      </c>
      <c r="CW951" s="76">
        <f t="shared" si="1813"/>
        <v>0</v>
      </c>
      <c r="CX951" s="76">
        <f t="shared" si="1814"/>
        <v>0</v>
      </c>
      <c r="CY951" s="76">
        <f t="shared" si="1815"/>
        <v>0</v>
      </c>
      <c r="CZ951" s="76">
        <f t="shared" si="1816"/>
        <v>0</v>
      </c>
      <c r="DA951" s="76">
        <f t="shared" si="1817"/>
        <v>0</v>
      </c>
      <c r="DB951" s="76">
        <f t="shared" si="1818"/>
        <v>0</v>
      </c>
      <c r="DC951" s="76">
        <f t="shared" si="1819"/>
        <v>0</v>
      </c>
      <c r="DD951" s="76">
        <f t="shared" si="1820"/>
        <v>0</v>
      </c>
      <c r="DE951" s="77">
        <f t="shared" si="1821"/>
        <v>0</v>
      </c>
      <c r="DF951" s="73">
        <f t="shared" si="1824"/>
        <v>57</v>
      </c>
      <c r="DG951" s="67">
        <f t="shared" si="1825"/>
        <v>76.963000000000008</v>
      </c>
      <c r="DH951" s="76">
        <f t="shared" si="1826"/>
        <v>19</v>
      </c>
      <c r="DI951" s="67">
        <f t="shared" si="1827"/>
        <v>81.47</v>
      </c>
      <c r="DJ951" s="202" t="str">
        <f>IF($D949="","",$D949)</f>
        <v>31</v>
      </c>
      <c r="DK951" s="466"/>
    </row>
    <row r="952" spans="1:115" ht="14.5" customHeight="1" x14ac:dyDescent="0.2">
      <c r="A952" s="519">
        <f>$A949+1</f>
        <v>317</v>
      </c>
      <c r="B952" s="526" t="str">
        <f>IF(OR(C952="W",C953="W",C954="W",C952="1/2W",C953="1/2W",C954="1/2W",C952="1/2L",C953="1/2L",C954="1/2L"),"OK",IF(OR(C952="L",C953="L",C954="L"),"LOSS",IF(OR(C952="X",C953="X",C954="X"),"Anulado"," ")))</f>
        <v>OK</v>
      </c>
      <c r="C952" s="258" t="s">
        <v>49</v>
      </c>
      <c r="D952" s="494" t="str">
        <f>IF(G952="","",$D949)</f>
        <v>31</v>
      </c>
      <c r="E952" s="511" t="str">
        <f>IF(G952=""," ","– "&amp;COUNTIF(D$4:D954,$D952))</f>
        <v>– 13</v>
      </c>
      <c r="F952" s="527" t="str">
        <f ca="1">IF(G952="","",IF(OR(AND($C952&lt;&gt;" ",$C953=" "),AND($C953&lt;&gt;" ",$C952=" "),AND(L954&gt;0,OR(AND($C954&lt;&gt;" ",OR($C952=" ",$C953=" ")),AND($C954=" ",OR($C952&lt;&gt;" ",$C953&lt;&gt;" "))))),IF(SUM(F$4:F951)=0,1,LARGE(F$4:F951,1)+1),IF(MONTH(G952)=MONTH(TODAY()),IF(AND(DAY(G952)&lt;DAY(TODAY()),$B952=" "),IF(SUM(F$4:F951)=0,1,LARGE(F$4:F951,1)+1),IF($B952=" ",IF(AND(DAY(G952)=DAY(TODAY()),HOUR(G952)&lt;=HOUR(NOW())+1),IF(AND(HOUR(G952)+2&lt;=HOUR(NOW()),DAY(G952)&lt;=DAY(TODAY()),MINUTE(G952)&lt;=MINUTE(NOW())),IF(SUM(F$4:F951)=0,1,LARGE(F$4:F951,1)+1),IF(OR(MINUTE(G952)&lt;=MINUTE(NOW()),HOUR(G952)&lt;=HOUR(NOW())),"!!!","")),""),"")),"")))</f>
        <v/>
      </c>
      <c r="G952" s="508">
        <v>45014.65625</v>
      </c>
      <c r="H952" s="521" t="s">
        <v>284</v>
      </c>
      <c r="I952" s="259" t="s">
        <v>63</v>
      </c>
      <c r="J952" s="260"/>
      <c r="K952" s="261" t="s">
        <v>47</v>
      </c>
      <c r="L952" s="262">
        <v>3.83</v>
      </c>
      <c r="M952" s="263">
        <v>9.24</v>
      </c>
      <c r="N952" s="523">
        <v>0</v>
      </c>
      <c r="O952" s="264">
        <f>IF(OR(AE952="",AE953=""),"",ROUND(IF(L954&gt;0,IF(M952&gt;0,M952,IF(M953&gt;0,ROUND((M953*AE952)/AE953,IF(N952=0,2,IF(N952=0.1,1,0))),ROUND((M954*AE952)/AE954,IF(N952=0,2,IF(N952=0.1,1,0))))),IF(M952&gt;0,M952,ROUND((M953*AE952)/AE953,IF(N952=0,2,IF(N952=0.1,1,0))))),2))</f>
        <v>9.24</v>
      </c>
      <c r="P952" s="265">
        <f>IF(OR(L952="",O952=""),"",IF($C952="1/2W",O952/2+O952/2*L952,IF($C952="1/2L",O952/2,IF(I952="Lay",(O952*(L952/(L952-1))-O952)*(1-_xlfn.XLOOKUP(K952,'Fevereiro 2023 - Valor Real'!A3:A15,'Fevereiro 2023 - Valor Real'!C3:C15,0))+O952,(O952*L952-O952)*(1-_xlfn.XLOOKUP(K952,'Fevereiro 2023 - Valor Real'!A3:A15,'Fevereiro 2023 - Valor Real'!C3:C15,0))+O952))))</f>
        <v>35.389200000000002</v>
      </c>
      <c r="Q952" s="266">
        <f>IF(K952="","",IF(_xlfn.XLOOKUP(K952,K$4:K951,$DJ$4:DJ951,0,,-1)=DJ952,_xlfn.XLOOKUP(K952,K$4:K951,Q$4:Q951,1,,-1)+1,1))</f>
        <v>8</v>
      </c>
      <c r="R952" s="267">
        <f>IF(K952="","",_xlfn.XLOOKUP(K952,K$4:K951,R$4:R951,0,,-1)+IF($C952=" ",1,0))</f>
        <v>0</v>
      </c>
      <c r="S952" s="496">
        <f>IF($B952="Anulado",0,ROUND(IF(OR($B952="LOSS",$B952="OK"),IF(OR($C952="W",$C952="1/2W",$C952="1/2L"),P952-O952,IF($C952="L",-O952,0))+IF(OR($C953="W",$C953="1/2W",$C953="1/2L"),P953-O953,IF($C953="L",-O953,0))+IF(OR($C954="W",$C954="1/2W",$C954="1/2L"),P954-O954,IF($C954="L",-O954,0)),IF(AND(OR($C952="W",$C952="1/2W",$C952="1/2L"),C953="W"),P952+P953-SUM(O952:O954)+_xlfn.XLOOKUP("X",C952:C954,O952:O954,0),IF(AND(C952=TRUE,C954="W"),P952+P954-SUM(O952:O954),IF(AND(C953="W",C954="W"),P953+P954-SUM(O952:O954)+_xlfn.XLOOKUP("X",C952:C954,O952:O954,0),IF(L954&gt;0,IF(OR($C952="W",$C952="1/2W",$C952="1/2L"),P952-SUM(O952:O954)+_xlfn.XLOOKUP("X",C952:C954,O952:O954,0),IF(OR($C952="W",$C952="1/2W",$C952="1/2L"),P953-SUM(O952:O954)+_xlfn.XLOOKUP("X",C952:C954,O952:O954,0),IF(OR($C952="W",$C952="1/2W",$C952="1/2L"),P954-SUM(O952:O954)+_xlfn.XLOOKUP("X",C952:C954,O952:O954,0),IF(SUM(P952:P954)/3-SUM(O952:O954)+_xlfn.XLOOKUP("X",C952:C954,O952:O954,0)&gt;0,SUM(P952:P954)/3-SUM(O952:O954)+_xlfn.XLOOKUP("X",C952:C954,O952:O954,0),LARGE(P952:P954,1)-SUM(O952:O954))))),IF(OR($C952="W",$C952="1/2W",$C952="1/2L"),P952-SUM(O952:O953)+_xlfn.XLOOKUP("X",C952:C954,O952:O954,0),IF(OR($C952="W",$C952="1/2W",$C952="1/2L"),P953-SUM(O952:O953)+_xlfn.XLOOKUP("X",C952:C954,O952:O954,0),SUM(P952:P953)/2-SUM(O952:O953)+_xlfn.XLOOKUP("X",C952:C954,O952:O954,0)))))))),2))</f>
        <v>1.56</v>
      </c>
      <c r="T952" s="486">
        <f>IF(S952=0,0,S952/SUM(O952:O954))</f>
        <v>4.6112917528820574E-2</v>
      </c>
      <c r="U952" s="496">
        <f>IF($D952=$D949,IF(OR($B952="LOSS",$B952="OK",$B952="Anulada"),S952,0)+U949,IF(OR($B952="LOSS",$B952="OK",$B952="Anulada"),S952,0))</f>
        <v>71.060000000000016</v>
      </c>
      <c r="V952" s="496">
        <f>IF($D952="",0,IF($D952=$D949,IF($B952=" ",IF(I954="",IF(OR(AND(I952="DNB1",I953="DNB2"),AND(OR(I952="DNB1",I952="DNB2"),J953=0),AND(OR(I953="DNB1",I953="DNB2"),J952=0),AND(I952="DNB2",I953="DNB1"),AND(IF(J952=0,(J952+1)/ROUND(J952+1,0),J952/ROUND(J952,0))=1,IF(J953=0,(J953+1)/ROUND(IF(J953="",0,J953)+1,0),IF(J953="",0,J953)/ROUND(IF(J953="",1,J953),0))=1,OR(J952&lt;&gt;""),J953&lt;&gt;"")),0,IF(S952&lt;0,IF(I954="",SMALL(P952:P953,1)-SUM(O952:O953),0),SMALL(P952:P953,1)-SUM(O952:O953))),IF(S952&lt;0,IF(I954="",SMALL(P952:P954,1)-SUM(O952:O954),0),LARGE(P952:P954,1)-SUM(O952:O954))),S952)+V949,IF(I954="",IF(OR(AND(I952="DNB1",I953="DNB2"),AND(OR(I952="DNB1",I952="DNB2"),J953=0),AND(OR(I953="DNB1",I953="DNB2"),J952=0),AND(I952="DNB2",I953="DNB1"),AND(IF(J952=0,(J952+1)/ROUND(J952+1,0),J952/ROUND(J952,0))=1,IF(J953=0,(IF(J953="",0,J953)+1)/ROUND(IF(J953="",0,J953)+1,0),IF(J953="",0,J953)/ROUND(IF(J953="",0,J953)+1,0))=1,OR(J952&lt;&gt;""),J953&lt;&gt;"")),0,IF(S952&lt;0,IF(I954="",SMALL(P952:P953,1)-SUM(O952:O953),0),SMALL(P952:P954,1)-SUM(O952:O954))),IF(S952&lt;0,IF(I954="",SMALL(P952:P954,1)-SUM(O952:O954),0),LARGE(P952:P954,1)-SUM(O952:O954)))))</f>
        <v>71.063000000000017</v>
      </c>
      <c r="W952" s="496">
        <f>IF($D952=$D949,IF(S952&lt;0,IF(I954="",S952,0),S952)+W949,S952)</f>
        <v>71.060000000000016</v>
      </c>
      <c r="X952" s="524" t="str">
        <f>IF(OR(SUM(R952:R954)=0,V952=W952),ROUND(IF(W952=0,0,W952/Y952)*100,2)&amp;"%",ROUND(IF(V952=0,0,V952/Y952)*100,2)&amp;"% a "&amp;ROUND(IF(W952=0,0,W952/Y952)*100,2)&amp;"%")</f>
        <v>13,18%</v>
      </c>
      <c r="Y952" s="497">
        <f>IF($D952=$D949,Y949+SUM(O952:O954),SUM(O952:O954))</f>
        <v>539.16</v>
      </c>
      <c r="Z952" s="496">
        <f>IF($B952=" ",SUM(O952:O954),0)+Z949</f>
        <v>0</v>
      </c>
      <c r="AA952" s="496">
        <f>IF(G952="","",IF($B952="Anulado",LARGE(P952:P954,1)-SUM(O952:O954)+AA949,AA949))</f>
        <v>14.77109999999999</v>
      </c>
      <c r="AB952" s="496">
        <f>IF($D952="","",AB949+S952)</f>
        <v>1096.8600000000013</v>
      </c>
      <c r="AC952" s="499">
        <f ca="1">IF($D952="","",IF($B952=" ",IF(DAY(G952)=DAY(TODAY()),1+AC949,0+AC949),0+AC949))</f>
        <v>0</v>
      </c>
      <c r="AD952" s="268">
        <f>(((L953/(L953-1)-1)*(1-_xlfn.XLOOKUP(K953,'Fevereiro 2023 - Valor Real'!A3:A15,'Fevereiro 2023 - Valor Real'!C3:C15,0))+1))/(((L952-1)*(1-_xlfn.XLOOKUP(K952,'Fevereiro 2023 - Valor Real'!A3:A15,'Fevereiro 2023 - Valor Real'!C3:C15,0))+1)+((L953/(L953-1)-1)*(1-_xlfn.XLOOKUP(K953,'Fevereiro 2023 - Valor Real'!A3:A15,'Fevereiro 2023 - Valor Real'!C3:C15,0))+1))</f>
        <v>0.48670381604006496</v>
      </c>
      <c r="AE952" s="269">
        <f>IF(L952="","",IF(L954&gt;0,(SUM(((L952-1)*(1-_xlfn.XLOOKUP(K952,'Fevereiro 2023 - Valor Real'!A3:A15,'Fevereiro 2023 - Valor Real'!C3:C15,0))+1),((L953-1)*(1-_xlfn.XLOOKUP(K953,'Fevereiro 2023 - Valor Real'!A3:A15,'Fevereiro 2023 - Valor Real'!C3:C15,0))+1),((L954-1)*(1-_xlfn.XLOOKUP(K954,'Fevereiro 2023 - Valor Real'!A3:A15,'Fevereiro 2023 - Valor Real'!C3:C15,0))+1))/((L952-1)*(1-_xlfn.XLOOKUP(K952,'Fevereiro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Real'!C3:C15,0))+1))/((L952-1)*(1-_xlfn.XLOOKUP(K952,'Fevereiro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Real'!C3:C15,0))+1))/((L953-1)*(1-_xlfn.XLOOKUP(K953,'Fevereiro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Real'!C3:C15,0))+1))/((L954-1)*(1-_xlfn.XLOOKUP(K954,'Fevereiro 2023 - Valor Real'!A3:A15,'Fevereiro 2023 - Valor Real'!C3:C15,0))+1)),IF(I952="Lay",IF(I953="Lay",((L953/(L953-1)-1)*(1-_xlfn.XLOOKUP(K953,'Fevereiro 2023 - Valor Real'!A3:A15,'Fevereiro 2023 - Valor Real'!C3:C15,0))+1)/(((L953/(L953-1)-1)*(1-_xlfn.XLOOKUP(K953,'Fevereiro 2023 - Valor Real'!A3:A15,'Fevereiro 2023 - Valor Real'!C3:C15,0))+1)+((L952/(L952-1)-1)*(1-_xlfn.XLOOKUP(K952,'Fevereiro 2023 - Valor Real'!A3:A15,'Fevereiro 2023 - Valor Real'!C3:C15,0))+1)),((L953-1)*(1-_xlfn.XLOOKUP(K953,'Fevereiro 2023 - Valor Real'!A3:A15,'Fevereiro 2023 - Valor Real'!C3:C15,0))+1)/(((L953-1)*(1-_xlfn.XLOOKUP(K953,'Fevereiro 2023 - Valor Real'!A3:A15,'Fevereiro 2023 - Valor Real'!C3:C15,0))+1)+((L952/(L952-1)-1)*(1-_xlfn.XLOOKUP(K952,'Fevereiro 2023 - Valor Real'!A3:A15,'Fevereiro 2023 - Valor Real'!C3:C15,0))+1))),IF(I953="Lay",(((L953/(L953-1)-1)*(1-_xlfn.XLOOKUP(K953,'Fevereiro 2023 - Valor Real'!A3:A15,'Fevereiro 2023 - Valor Real'!C3:C15,0))+1))/(((L952-1)*(1-_xlfn.XLOOKUP(K952,'Fevereiro 2023 - Valor Real'!A3:A15,'Fevereiro 2023 - Valor Real'!C3:C15,0))+1)+((L953/(L953-1)-1)*(1-_xlfn.XLOOKUP(K953,'Fevereiro 2023 - Valor Real'!A3:A15,'Fevereiro 2023 - Valor Real'!C3:C15,0))+1)),((L953-1)*(1-_xlfn.XLOOKUP(K953,'Fevereiro 2023 - Valor Real'!A3:A15,'Fevereiro 2023 - Valor Real'!C3:C15,0))+1)/(((L953-1)*(1-_xlfn.XLOOKUP(K953,'Fevereiro 2023 - Valor Real'!A3:A15,'Fevereiro 2023 - Valor Real'!C3:C15,0))+1)+((L952-1)*(1-_xlfn.XLOOKUP(K952,'Fevereiro 2023 - Valor Real'!A3:A15,'Fevereiro 2023 - Valor Real'!C3:C15,0))+1))))))</f>
        <v>0.16364661817235243</v>
      </c>
      <c r="AF952" s="66">
        <f t="shared" si="1892"/>
        <v>0</v>
      </c>
      <c r="AG952" s="67">
        <f t="shared" si="1892"/>
        <v>0</v>
      </c>
      <c r="AH952" s="67">
        <f t="shared" si="1892"/>
        <v>0</v>
      </c>
      <c r="AI952" s="67">
        <f t="shared" si="1892"/>
        <v>0</v>
      </c>
      <c r="AJ952" s="67">
        <f t="shared" si="1892"/>
        <v>0</v>
      </c>
      <c r="AK952" s="67">
        <f t="shared" si="1892"/>
        <v>0</v>
      </c>
      <c r="AL952" s="67">
        <f t="shared" si="1892"/>
        <v>0</v>
      </c>
      <c r="AM952" s="67">
        <f t="shared" si="1892"/>
        <v>0</v>
      </c>
      <c r="AN952" s="67">
        <f t="shared" si="1892"/>
        <v>0</v>
      </c>
      <c r="AO952" s="67">
        <f t="shared" si="1892"/>
        <v>0</v>
      </c>
      <c r="AP952" s="67">
        <f t="shared" si="1892"/>
        <v>0</v>
      </c>
      <c r="AQ952" s="67">
        <f t="shared" si="1892"/>
        <v>0</v>
      </c>
      <c r="AR952" s="68">
        <f t="shared" si="1892"/>
        <v>0</v>
      </c>
      <c r="AS952" s="66">
        <f t="shared" ref="AS952:BE952" si="1904">IF(AND($B952=" ",$K952=AS$3),$O952,0)</f>
        <v>0</v>
      </c>
      <c r="AT952" s="67">
        <f t="shared" si="1904"/>
        <v>0</v>
      </c>
      <c r="AU952" s="67">
        <f t="shared" si="1904"/>
        <v>0</v>
      </c>
      <c r="AV952" s="67">
        <f t="shared" si="1904"/>
        <v>0</v>
      </c>
      <c r="AW952" s="67">
        <f t="shared" si="1904"/>
        <v>0</v>
      </c>
      <c r="AX952" s="67">
        <f t="shared" si="1904"/>
        <v>0</v>
      </c>
      <c r="AY952" s="69">
        <f t="shared" si="1904"/>
        <v>0</v>
      </c>
      <c r="AZ952" s="70">
        <f t="shared" si="1904"/>
        <v>0</v>
      </c>
      <c r="BA952" s="70">
        <f t="shared" si="1904"/>
        <v>0</v>
      </c>
      <c r="BB952" s="70">
        <f t="shared" si="1904"/>
        <v>0</v>
      </c>
      <c r="BC952" s="71">
        <f t="shared" si="1904"/>
        <v>0</v>
      </c>
      <c r="BD952" s="67">
        <f t="shared" si="1904"/>
        <v>0</v>
      </c>
      <c r="BE952" s="68">
        <f t="shared" si="1904"/>
        <v>0</v>
      </c>
      <c r="BF952" s="66">
        <f t="shared" si="1894"/>
        <v>0</v>
      </c>
      <c r="BG952" s="67">
        <f t="shared" si="1894"/>
        <v>0</v>
      </c>
      <c r="BH952" s="67">
        <f t="shared" si="1894"/>
        <v>0</v>
      </c>
      <c r="BI952" s="67">
        <f t="shared" si="1894"/>
        <v>0</v>
      </c>
      <c r="BJ952" s="67">
        <f t="shared" si="1894"/>
        <v>0</v>
      </c>
      <c r="BK952" s="67">
        <f t="shared" si="1894"/>
        <v>0</v>
      </c>
      <c r="BL952" s="67">
        <f t="shared" si="1894"/>
        <v>0</v>
      </c>
      <c r="BM952" s="69">
        <f t="shared" si="1894"/>
        <v>0</v>
      </c>
      <c r="BN952" s="70">
        <f t="shared" si="1894"/>
        <v>0</v>
      </c>
      <c r="BO952" s="70">
        <f t="shared" si="1894"/>
        <v>0</v>
      </c>
      <c r="BP952" s="70">
        <f t="shared" si="1894"/>
        <v>0</v>
      </c>
      <c r="BQ952" s="71">
        <f t="shared" si="1894"/>
        <v>0</v>
      </c>
      <c r="BR952" s="68">
        <f t="shared" si="1894"/>
        <v>0</v>
      </c>
      <c r="BS952" s="490">
        <f>IF($B952="LOSS",IF(AND($K952=BS$3,$C952="L"),-$O952,0)+IF(AND($K953=BS$3,$C953="L"),-$O953,0)+IF(AND($K954=BS$3,$C954="L"),-$O954,0),IF(OR(AND($K952=BS$3,OR($C952="W",$C952="1/2W")),AND($K953=BS$3,OR($C953="W",$C953="1/2W")),AND($K954=BS$3,OR($C954="W",$C954="1/2W"))),$S952,0))</f>
        <v>0</v>
      </c>
      <c r="BT952" s="488">
        <f>IF($B952="LOSS",IF(AND($K952=BT$3,$C952="L"),-$O952,0)+IF(AND($K953=BT$3,$C953="L"),-$O953,0)+IF(AND($K953=BT$3,$C954="L"),-$O954,0),IF(OR(AND($K953=BT$3,OR($C952="W",$C952="1/2W")),AND($K953=BT$3,OR($C953="W",$C953="1/2W")),AND($K953=BT$3,OR($C954="W",$C954="1/2W"))),$S952,0))</f>
        <v>0</v>
      </c>
      <c r="BU952" s="488">
        <f>IF($B952="LOSS",IF(AND($K952=BU$3,$C952="L"),-$O952,0)+IF(AND($K953=BU$3,$C953="L"),-$O953,0)+IF(AND($K953=BU$3,$C954="L"),-$O954,0),IF(OR(AND($K953=BU$3,OR($C952="W",$C952="1/2W")),AND($K953=BU$3,OR($C953="W",$C953="1/2W")),AND($K953=BU$3,OR($C954="W",$C954="1/2W"))),$S952,0))</f>
        <v>0</v>
      </c>
      <c r="BV952" s="488">
        <f t="shared" ref="BV952:CE952" si="1905">IF($B952="LOSS",IF(AND($K952=BV$3,$C952="L"),-$O952,0)+IF(AND($K953=BV$3,$C953="L"),-$O953,0)+IF(AND($K954=BV$3,$C954="L"),-$O954,0),IF(OR(AND($K952=BV$3,OR($C952="W",$C952="1/2W")),AND($K953=BV$3,OR($C953="W",$C953="1/2W")),AND($K954=BV$3,OR($C954="W",$C954="1/2W"))),$S952,0))</f>
        <v>0</v>
      </c>
      <c r="BW952" s="488">
        <f t="shared" si="1905"/>
        <v>1.56</v>
      </c>
      <c r="BX952" s="488">
        <f t="shared" si="1905"/>
        <v>0</v>
      </c>
      <c r="BY952" s="488">
        <f t="shared" si="1905"/>
        <v>0</v>
      </c>
      <c r="BZ952" s="498">
        <f t="shared" si="1905"/>
        <v>0</v>
      </c>
      <c r="CA952" s="498">
        <f t="shared" si="1905"/>
        <v>0</v>
      </c>
      <c r="CB952" s="498">
        <f t="shared" si="1905"/>
        <v>0</v>
      </c>
      <c r="CC952" s="498">
        <f t="shared" si="1905"/>
        <v>0</v>
      </c>
      <c r="CD952" s="500">
        <f t="shared" si="1905"/>
        <v>0</v>
      </c>
      <c r="CE952" s="504">
        <f t="shared" si="1905"/>
        <v>0</v>
      </c>
      <c r="CF952" s="236">
        <f t="shared" si="1796"/>
        <v>0</v>
      </c>
      <c r="CG952" s="237">
        <f t="shared" si="1797"/>
        <v>0</v>
      </c>
      <c r="CH952" s="237">
        <f t="shared" si="1798"/>
        <v>0</v>
      </c>
      <c r="CI952" s="237">
        <f t="shared" si="1799"/>
        <v>0</v>
      </c>
      <c r="CJ952" s="237">
        <f t="shared" si="1800"/>
        <v>0</v>
      </c>
      <c r="CK952" s="237">
        <f t="shared" si="1801"/>
        <v>0</v>
      </c>
      <c r="CL952" s="237">
        <f t="shared" si="1802"/>
        <v>0</v>
      </c>
      <c r="CM952" s="237">
        <f t="shared" si="1803"/>
        <v>0</v>
      </c>
      <c r="CN952" s="237">
        <f t="shared" si="1804"/>
        <v>0</v>
      </c>
      <c r="CO952" s="237">
        <f t="shared" si="1805"/>
        <v>0</v>
      </c>
      <c r="CP952" s="237">
        <f t="shared" si="1806"/>
        <v>0</v>
      </c>
      <c r="CQ952" s="237">
        <f t="shared" si="1807"/>
        <v>0</v>
      </c>
      <c r="CR952" s="237">
        <f t="shared" si="1808"/>
        <v>0</v>
      </c>
      <c r="CS952" s="237">
        <f t="shared" si="1809"/>
        <v>0</v>
      </c>
      <c r="CT952" s="75">
        <f t="shared" si="1810"/>
        <v>0</v>
      </c>
      <c r="CU952" s="76">
        <f t="shared" si="1811"/>
        <v>0</v>
      </c>
      <c r="CV952" s="76">
        <f t="shared" si="1812"/>
        <v>0</v>
      </c>
      <c r="CW952" s="76">
        <f t="shared" si="1813"/>
        <v>0</v>
      </c>
      <c r="CX952" s="76">
        <f t="shared" si="1814"/>
        <v>0</v>
      </c>
      <c r="CY952" s="76">
        <f t="shared" si="1815"/>
        <v>0</v>
      </c>
      <c r="CZ952" s="76">
        <f t="shared" si="1816"/>
        <v>0</v>
      </c>
      <c r="DA952" s="76">
        <f t="shared" si="1817"/>
        <v>0</v>
      </c>
      <c r="DB952" s="76">
        <f t="shared" si="1818"/>
        <v>0</v>
      </c>
      <c r="DC952" s="76">
        <f t="shared" si="1819"/>
        <v>0</v>
      </c>
      <c r="DD952" s="76">
        <f t="shared" si="1820"/>
        <v>0</v>
      </c>
      <c r="DE952" s="77">
        <f t="shared" si="1821"/>
        <v>0</v>
      </c>
      <c r="DF952" s="73">
        <f t="shared" si="1824"/>
        <v>57</v>
      </c>
      <c r="DG952" s="67">
        <f t="shared" si="1825"/>
        <v>76.963000000000008</v>
      </c>
      <c r="DH952" s="76">
        <f t="shared" si="1826"/>
        <v>19</v>
      </c>
      <c r="DI952" s="67">
        <f t="shared" si="1827"/>
        <v>81.47</v>
      </c>
      <c r="DJ952" s="202" t="str">
        <f>IF($D952="","",$D952)</f>
        <v>31</v>
      </c>
      <c r="DK952" s="492">
        <f>IF(AND($B952=" ",$D952&lt;&gt;""),1,0)</f>
        <v>0</v>
      </c>
    </row>
    <row r="953" spans="1:115" ht="14.5" customHeight="1" x14ac:dyDescent="0.2">
      <c r="A953" s="519"/>
      <c r="B953" s="526"/>
      <c r="C953" s="258" t="s">
        <v>54</v>
      </c>
      <c r="D953" s="494"/>
      <c r="E953" s="511"/>
      <c r="F953" s="527"/>
      <c r="G953" s="508"/>
      <c r="H953" s="522"/>
      <c r="I953" s="259" t="s">
        <v>64</v>
      </c>
      <c r="J953" s="270" t="str">
        <f>IF(OR(I952="TO",I952="TU",I952="TO1",I952="TU1",I952="TO2",I952="TU2"),J952,IF(OR(I952="AH1",I952="AH2"),IF(OR(I953="AH1",I953="AH2"),-J952,IF(OR(I953="EH1",I953="EH2"),-J952+0.5,"")),IF(OR(I952="EH1",I952="EH2"),IF(OR(I953="AH1",I953="AH2"),-J952+0.5,IF(OR(I953="EH1",I953="EH2"),-J952+1,"")),IF(AND(OR(I952="DNB1",I952="DNB2"),OR(I953="AH1",I953="AH2")),0,IF(AND(I952="Not ScoreBoth",OR(I953="TO1",I953="TO2")),0.5,"")))))</f>
        <v/>
      </c>
      <c r="K953" s="261" t="s">
        <v>40</v>
      </c>
      <c r="L953" s="262">
        <v>1.38</v>
      </c>
      <c r="M953" s="263">
        <v>18.95</v>
      </c>
      <c r="N953" s="523"/>
      <c r="O953" s="264">
        <f>IF(OR(AE952="",AE953=""),"",ROUND(IF(L954&gt;0,IF(M953&gt;0,M953,IF(M952&gt;0,IF(N952=TRUE,ROUND((M952*AE953)/AE952,0),(M952*AE953)/AE952),IF(M953&gt;0,ROUND(M953,IF(N952=0,2,IF(N952=0.1,1,0))),IF(M954&gt;0,ROUND(O954*AE953/AE954,IF(N952=0,2,IF(N952=0.1,1,0))),0)))),IF(M953&gt;0,M953,ROUND((M952*AE953)/AE952,IF(N952=0,2,IF(N952=0.1,1,0))))),2))</f>
        <v>18.95</v>
      </c>
      <c r="P953" s="265">
        <f>IF(OR(L953="",O953=""),"",IF($C953="1/2W",O953/2+O953/2*L953,IF($C953="1/2L",O953/2,IF(I953="Lay",((O953*(L953/(L953-1)))-O953)*(1-_xlfn.XLOOKUP(K953,'Fevereiro 2023 - Valor Real'!A3:A15,'Fevereiro 2023 - Valor Real'!C3:C15,0))+O953,(O953*L953-O953)*(1-_xlfn.XLOOKUP(K953,'Fevereiro 2023 - Valor Real'!A3:A15,'Fevereiro 2023 - Valor Real'!C3:C15,0))+O953))))</f>
        <v>26.150999999999996</v>
      </c>
      <c r="Q953" s="266">
        <f>IF(K953="","",IF(_xlfn.XLOOKUP(K953,K$4:K952,$DJ$4:DJ952,0,,-1)=DJ953,_xlfn.XLOOKUP(K953,K$4:K952,Q$4:Q952,1,,-1)+1,1))</f>
        <v>11</v>
      </c>
      <c r="R953" s="267">
        <f>IF(K953="","",_xlfn.XLOOKUP(K953,K$4:K952,R$4:R952,0,,-1)+IF($C953=" ",1,0))</f>
        <v>0</v>
      </c>
      <c r="S953" s="496"/>
      <c r="T953" s="486"/>
      <c r="U953" s="496"/>
      <c r="V953" s="496"/>
      <c r="W953" s="496"/>
      <c r="X953" s="525"/>
      <c r="Y953" s="520"/>
      <c r="Z953" s="496"/>
      <c r="AA953" s="496"/>
      <c r="AB953" s="496"/>
      <c r="AC953" s="499"/>
      <c r="AD953" s="268">
        <f>(((L953/(L953-1)-1)*(1-_xlfn.XLOOKUP(K953,'Fevereiro 2023 - Valor Real'!A3:A15,'Fevereiro 2023 - Valor Real'!C3:C15,0))+1))</f>
        <v>3.6315789473684217</v>
      </c>
      <c r="AE953" s="269">
        <f>IF(L953="","",IF(L954&gt;0,(SUM(((L952-1)*(1-_xlfn.XLOOKUP(K952,'Fevereiro 2023 - Valor Real'!A3:A15,'Fevereiro 2023 - Valor Real'!C3:C15,0))+1),((L953-1)*(1-_xlfn.XLOOKUP(K953,'Fevereiro 2023 - Valor Real'!A3:A15,'Fevereiro 2023 - Valor Real'!C3:C15,0))+1),((L954-1)*(1-_xlfn.XLOOKUP(K954,'Fevereiro 2023 - Valor Real'!A3:A15,'Fevereiro 2023 - Valor Real'!C3:C15,0))+1))/((L953-1)*(1-_xlfn.XLOOKUP(K953,'Fevereiro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Real'!C3:C15,0))+1))/((L952-1)*(1-_xlfn.XLOOKUP(K952,'Fevereiro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Real'!C3:C15,0))+1))/((L953-1)*(1-_xlfn.XLOOKUP(K953,'Fevereiro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Real'!C3:C15,0))+1))/((L954-1)*(1-_xlfn.XLOOKUP(K954,'Fevereiro 2023 - Valor Real'!A3:A15,'Fevereiro 2023 - Valor Real'!C3:C15,0))+1)),IF(I953="Lay",IF(I952="Lay",((L952/(L952-1)-1)*(1-_xlfn.XLOOKUP(K952,'Fevereiro 2023 - Valor Real'!A3:A15,'Fevereiro 2023 - Valor Real'!C3:C15,0))+1)/(((L952/(L952-1)-1)*(1-_xlfn.XLOOKUP(K952,'Fevereiro 2023 - Valor Real'!A3:A15,'Fevereiro 2023 - Valor Real'!C3:C15,0))+1)+((L953/(L953-1)-1)*(1-_xlfn.XLOOKUP(K953,'Fevereiro 2023 - Valor Real'!A3:A15,'Fevereiro 2023 - Valor Real'!C3:C15,0))+1)),((L952-1)*(1-_xlfn.XLOOKUP(K952,'Fevereiro 2023 - Valor Real'!A3:A15,'Fevereiro 2023 - Valor Real'!C3:C15,0))+1)/(((L952-1)*(1-_xlfn.XLOOKUP(K952,'Fevereiro 2023 - Valor Real'!A3:A15,'Fevereiro 2023 - Valor Real'!C3:C15,0))+1)+((L953/(L953-1)-1)*(1-_xlfn.XLOOKUP(K953,'Fevereiro 2023 - Valor Real'!A3:A15,'Fevereiro 2023 - Valor Real'!C3:C15,0))+1))),IF(I952="Lay",((L952/(L952-1)-1)*(1-_xlfn.XLOOKUP(K952,'Fevereiro 2023 - Valor Real'!A3:A15,'Fevereiro 2023 - Valor Real'!C3:C15,0))+1)/((((L952/(L952-1)-1)*(1-_xlfn.XLOOKUP(K952,'Fevereiro 2023 - Valor Real'!A3:A15,'Fevereiro 2023 - Valor Real'!C3:C15,0))+1))+((L953-1)*(1-_xlfn.XLOOKUP(K953,'Fevereiro 2023 - Valor Real'!A3:A15,'Fevereiro 2023 - Valor Real'!C3:C15,0))+1)),((L952-1)*(1-_xlfn.XLOOKUP(K952,'Fevereiro 2023 - Valor Real'!A3:A15,'Fevereiro 2023 - Valor Real'!C3:C15,0))+1)/(((L952-1)*(1-_xlfn.XLOOKUP(K952,'Fevereiro 2023 - Valor Real'!A3:A15,'Fevereiro 2023 - Valor Real'!C3:C15,0))+1)+((L953-1)*(1-_xlfn.XLOOKUP(K953,'Fevereiro 2023 - Valor Real'!A3:A15,'Fevereiro 2023 - Valor Real'!C3:C15,0))+1))))))</f>
        <v>0.45417865768123905</v>
      </c>
      <c r="AF953" s="66">
        <f t="shared" si="1892"/>
        <v>0</v>
      </c>
      <c r="AG953" s="67">
        <f t="shared" si="1892"/>
        <v>0</v>
      </c>
      <c r="AH953" s="67">
        <f t="shared" si="1892"/>
        <v>0</v>
      </c>
      <c r="AI953" s="67">
        <f t="shared" si="1892"/>
        <v>0</v>
      </c>
      <c r="AJ953" s="67">
        <f t="shared" si="1892"/>
        <v>7.2</v>
      </c>
      <c r="AK953" s="67">
        <f t="shared" si="1892"/>
        <v>0</v>
      </c>
      <c r="AL953" s="67">
        <f t="shared" si="1892"/>
        <v>0</v>
      </c>
      <c r="AM953" s="67">
        <f t="shared" si="1892"/>
        <v>0</v>
      </c>
      <c r="AN953" s="67">
        <f t="shared" si="1892"/>
        <v>0</v>
      </c>
      <c r="AO953" s="67">
        <f t="shared" si="1892"/>
        <v>0</v>
      </c>
      <c r="AP953" s="67">
        <f t="shared" si="1892"/>
        <v>0</v>
      </c>
      <c r="AQ953" s="67">
        <f t="shared" si="1892"/>
        <v>0</v>
      </c>
      <c r="AR953" s="68">
        <f t="shared" si="1892"/>
        <v>0</v>
      </c>
      <c r="AS953" s="66">
        <f>IF(AND($B952=" ",$K953=AS$3),$O953,0)</f>
        <v>0</v>
      </c>
      <c r="AT953" s="67">
        <f>IF(AND($B952=" ",K953=AT$3),$O953,0)</f>
        <v>0</v>
      </c>
      <c r="AU953" s="67">
        <f t="shared" ref="AU953:BE953" si="1906">IF(AND($B952=" ",$K953=AU$3),$O953,0)</f>
        <v>0</v>
      </c>
      <c r="AV953" s="67">
        <f t="shared" si="1906"/>
        <v>0</v>
      </c>
      <c r="AW953" s="67">
        <f t="shared" si="1906"/>
        <v>0</v>
      </c>
      <c r="AX953" s="67">
        <f t="shared" si="1906"/>
        <v>0</v>
      </c>
      <c r="AY953" s="69">
        <f t="shared" si="1906"/>
        <v>0</v>
      </c>
      <c r="AZ953" s="70">
        <f t="shared" si="1906"/>
        <v>0</v>
      </c>
      <c r="BA953" s="70">
        <f t="shared" si="1906"/>
        <v>0</v>
      </c>
      <c r="BB953" s="70">
        <f t="shared" si="1906"/>
        <v>0</v>
      </c>
      <c r="BC953" s="71">
        <f t="shared" si="1906"/>
        <v>0</v>
      </c>
      <c r="BD953" s="67">
        <f t="shared" si="1906"/>
        <v>0</v>
      </c>
      <c r="BE953" s="68">
        <f t="shared" si="1906"/>
        <v>0</v>
      </c>
      <c r="BF953" s="66">
        <f t="shared" si="1894"/>
        <v>0</v>
      </c>
      <c r="BG953" s="67">
        <f t="shared" si="1894"/>
        <v>0</v>
      </c>
      <c r="BH953" s="67">
        <f t="shared" si="1894"/>
        <v>0</v>
      </c>
      <c r="BI953" s="67">
        <f t="shared" si="1894"/>
        <v>0</v>
      </c>
      <c r="BJ953" s="67">
        <f t="shared" si="1894"/>
        <v>18.95</v>
      </c>
      <c r="BK953" s="67">
        <f t="shared" si="1894"/>
        <v>0</v>
      </c>
      <c r="BL953" s="67">
        <f t="shared" si="1894"/>
        <v>0</v>
      </c>
      <c r="BM953" s="69">
        <f t="shared" si="1894"/>
        <v>0</v>
      </c>
      <c r="BN953" s="70">
        <f t="shared" si="1894"/>
        <v>0</v>
      </c>
      <c r="BO953" s="70">
        <f t="shared" si="1894"/>
        <v>0</v>
      </c>
      <c r="BP953" s="70">
        <f t="shared" si="1894"/>
        <v>0</v>
      </c>
      <c r="BQ953" s="71">
        <f t="shared" si="1894"/>
        <v>0</v>
      </c>
      <c r="BR953" s="68">
        <f t="shared" si="1894"/>
        <v>0</v>
      </c>
      <c r="BS953" s="490"/>
      <c r="BT953" s="488"/>
      <c r="BU953" s="488"/>
      <c r="BV953" s="488"/>
      <c r="BW953" s="488"/>
      <c r="BX953" s="488"/>
      <c r="BY953" s="488"/>
      <c r="BZ953" s="498"/>
      <c r="CA953" s="498"/>
      <c r="CB953" s="498"/>
      <c r="CC953" s="498"/>
      <c r="CD953" s="500"/>
      <c r="CE953" s="504"/>
      <c r="CF953" s="236">
        <f t="shared" si="1796"/>
        <v>0</v>
      </c>
      <c r="CG953" s="237">
        <f t="shared" si="1797"/>
        <v>0</v>
      </c>
      <c r="CH953" s="237">
        <f t="shared" si="1798"/>
        <v>0</v>
      </c>
      <c r="CI953" s="237">
        <f t="shared" si="1799"/>
        <v>0</v>
      </c>
      <c r="CJ953" s="237">
        <f t="shared" si="1800"/>
        <v>0</v>
      </c>
      <c r="CK953" s="237">
        <f t="shared" si="1801"/>
        <v>0</v>
      </c>
      <c r="CL953" s="237">
        <f t="shared" si="1802"/>
        <v>0</v>
      </c>
      <c r="CM953" s="237">
        <f t="shared" si="1803"/>
        <v>0</v>
      </c>
      <c r="CN953" s="237">
        <f t="shared" si="1804"/>
        <v>1</v>
      </c>
      <c r="CO953" s="237">
        <f t="shared" si="1805"/>
        <v>0</v>
      </c>
      <c r="CP953" s="237">
        <f t="shared" si="1806"/>
        <v>0</v>
      </c>
      <c r="CQ953" s="237">
        <f t="shared" si="1807"/>
        <v>0</v>
      </c>
      <c r="CR953" s="237">
        <f t="shared" si="1808"/>
        <v>0</v>
      </c>
      <c r="CS953" s="237">
        <f t="shared" si="1809"/>
        <v>0</v>
      </c>
      <c r="CT953" s="75">
        <f t="shared" si="1810"/>
        <v>0</v>
      </c>
      <c r="CU953" s="76">
        <f t="shared" si="1811"/>
        <v>0</v>
      </c>
      <c r="CV953" s="76">
        <f t="shared" si="1812"/>
        <v>0</v>
      </c>
      <c r="CW953" s="76">
        <f t="shared" si="1813"/>
        <v>0</v>
      </c>
      <c r="CX953" s="76">
        <f t="shared" si="1814"/>
        <v>0</v>
      </c>
      <c r="CY953" s="76">
        <f t="shared" si="1815"/>
        <v>0</v>
      </c>
      <c r="CZ953" s="76">
        <f t="shared" si="1816"/>
        <v>0</v>
      </c>
      <c r="DA953" s="76">
        <f t="shared" si="1817"/>
        <v>0</v>
      </c>
      <c r="DB953" s="76">
        <f t="shared" si="1818"/>
        <v>0</v>
      </c>
      <c r="DC953" s="76">
        <f t="shared" si="1819"/>
        <v>0</v>
      </c>
      <c r="DD953" s="76">
        <f t="shared" si="1820"/>
        <v>0</v>
      </c>
      <c r="DE953" s="77">
        <f t="shared" si="1821"/>
        <v>0</v>
      </c>
      <c r="DF953" s="73">
        <f t="shared" si="1824"/>
        <v>58</v>
      </c>
      <c r="DG953" s="67">
        <f t="shared" si="1825"/>
        <v>78.343000000000004</v>
      </c>
      <c r="DH953" s="76">
        <f t="shared" si="1826"/>
        <v>19</v>
      </c>
      <c r="DI953" s="67">
        <f t="shared" si="1827"/>
        <v>81.47</v>
      </c>
      <c r="DJ953" s="202" t="str">
        <f>IF($D952="","",$D952)</f>
        <v>31</v>
      </c>
      <c r="DK953" s="493"/>
    </row>
    <row r="954" spans="1:115" ht="14.5" customHeight="1" x14ac:dyDescent="0.2">
      <c r="A954" s="519"/>
      <c r="B954" s="526"/>
      <c r="C954" s="258" t="s">
        <v>55</v>
      </c>
      <c r="D954" s="494"/>
      <c r="E954" s="511"/>
      <c r="F954" s="527"/>
      <c r="G954" s="508"/>
      <c r="H954" s="522"/>
      <c r="I954" s="271">
        <v>2</v>
      </c>
      <c r="J954" s="260"/>
      <c r="K954" s="261" t="s">
        <v>40</v>
      </c>
      <c r="L954" s="262">
        <v>1.64</v>
      </c>
      <c r="M954" s="263">
        <v>5.64</v>
      </c>
      <c r="N954" s="523"/>
      <c r="O954" s="264">
        <f>IF(OR(AE952="",AE953=""),"",IF(L954&gt;0,ROUND(IF(M954&gt;0,M954,IF(M952&gt;0,ROUND((M952*AE954)/AE952,IF(N952=0,2,IF(N952=0.1,1,0))),IF(M953&gt;0,ROUND((M953*AE954)/AE953,IF(N952=0,2,IF(N952=0.1,1,0))),IF(M954&gt;0,M954,0)))),2),""))</f>
        <v>5.64</v>
      </c>
      <c r="P954" s="265">
        <f>IF(I953="Lay",O953*(L953/(L953-1))-O953,IF(I952="Lay",O952*(L952/(L952-1))-O952,IF(OR(L954="",O954=""),"",IF($C954="1/2W",O954/2+O954/2*L954,IF($C954="1/2L",O954/2,(O954*L954-O954)*(1-_xlfn.XLOOKUP(K954,'Fevereiro 2023 - Valor Real'!A3:A15,'Fevereiro 2023 - Valor Real'!C3:C15,0))+O954)))))</f>
        <v>9.2495999999999992</v>
      </c>
      <c r="Q954" s="266">
        <f>IF(K954="","",IF(_xlfn.XLOOKUP(K954,K$4:K953,$DJ$4:DJ953,0,,-1)=DJ954,_xlfn.XLOOKUP(K954,K$4:K953,Q$4:Q953,1,,-1)+1,1))</f>
        <v>12</v>
      </c>
      <c r="R954" s="267">
        <f>IF(K954="","",_xlfn.XLOOKUP(K954,K$4:K953,R$4:R953,0,,-1)+IF($C954=" ",1,0))</f>
        <v>0</v>
      </c>
      <c r="S954" s="496"/>
      <c r="T954" s="486"/>
      <c r="U954" s="496"/>
      <c r="V954" s="496"/>
      <c r="W954" s="496"/>
      <c r="X954" s="525"/>
      <c r="Y954" s="520"/>
      <c r="Z954" s="496"/>
      <c r="AA954" s="496"/>
      <c r="AB954" s="496"/>
      <c r="AC954" s="499"/>
      <c r="AD954" s="268">
        <f>((L953/(L953-1)-1))</f>
        <v>2.6315789473684217</v>
      </c>
      <c r="AE954" s="269">
        <f>IF(L954="","",(SUM(((L952-1)*(1-_xlfn.XLOOKUP(K952,'Fevereiro 2023 - Valor Real'!A3:A15,'Fevereiro 2023 - Valor Real'!C3:C15,0))+1),((L953-1)*(1-_xlfn.XLOOKUP(K953,'Fevereiro 2023 - Valor Real'!A3:A15,'Fevereiro 2023 - Valor Real'!C3:C15,0))+1),((L954-1)*(1-_xlfn.XLOOKUP(K954,'Fevereiro 2023 - Valor Real'!A3:A15,'Fevereiro 2023 - Valor Real'!C3:C15,0))+1))/((L954-1)*(1-_xlfn.XLOOKUP(K954,'Fevereiro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Real'!C3:C15,0))+1))/((L952-1)*(1-_xlfn.XLOOKUP(K952,'Fevereiro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Real'!C3:C15,0))+1))/((L953-1)*(1-_xlfn.XLOOKUP(K953,'Fevereiro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Real'!C3:C15,0))+1))/((L954-1)*(1-_xlfn.XLOOKUP(K954,'Fevereiro 2023 - Valor Real'!A3:A15,'Fevereiro 2023 - Valor Real'!C3:C15,0))+1)))</f>
        <v>0.38217472414640846</v>
      </c>
      <c r="AF954" s="66">
        <f t="shared" si="1892"/>
        <v>0</v>
      </c>
      <c r="AG954" s="67">
        <f t="shared" si="1892"/>
        <v>0</v>
      </c>
      <c r="AH954" s="67">
        <f t="shared" si="1892"/>
        <v>0</v>
      </c>
      <c r="AI954" s="67">
        <f t="shared" si="1892"/>
        <v>0</v>
      </c>
      <c r="AJ954" s="67">
        <f t="shared" si="1892"/>
        <v>-5.64</v>
      </c>
      <c r="AK954" s="67">
        <f t="shared" si="1892"/>
        <v>0</v>
      </c>
      <c r="AL954" s="67">
        <f t="shared" si="1892"/>
        <v>0</v>
      </c>
      <c r="AM954" s="67">
        <f t="shared" si="1892"/>
        <v>0</v>
      </c>
      <c r="AN954" s="67">
        <f t="shared" si="1892"/>
        <v>0</v>
      </c>
      <c r="AO954" s="67">
        <f t="shared" si="1892"/>
        <v>0</v>
      </c>
      <c r="AP954" s="67">
        <f t="shared" si="1892"/>
        <v>0</v>
      </c>
      <c r="AQ954" s="67">
        <f t="shared" si="1892"/>
        <v>0</v>
      </c>
      <c r="AR954" s="68">
        <f t="shared" si="1892"/>
        <v>0</v>
      </c>
      <c r="AS954" s="66">
        <f>IF(AND($B952=" ",$K954=AS$3),$O954,0)</f>
        <v>0</v>
      </c>
      <c r="AT954" s="67">
        <f>IF(AND($B952=" ",K954=AT$3),$O954,0)</f>
        <v>0</v>
      </c>
      <c r="AU954" s="67">
        <f t="shared" ref="AU954:BE954" si="1907">IF(AND($B952=" ",$K954=AU$3),$O954,0)</f>
        <v>0</v>
      </c>
      <c r="AV954" s="67">
        <f t="shared" si="1907"/>
        <v>0</v>
      </c>
      <c r="AW954" s="67">
        <f t="shared" si="1907"/>
        <v>0</v>
      </c>
      <c r="AX954" s="67">
        <f t="shared" si="1907"/>
        <v>0</v>
      </c>
      <c r="AY954" s="69">
        <f t="shared" si="1907"/>
        <v>0</v>
      </c>
      <c r="AZ954" s="70">
        <f t="shared" si="1907"/>
        <v>0</v>
      </c>
      <c r="BA954" s="70">
        <f t="shared" si="1907"/>
        <v>0</v>
      </c>
      <c r="BB954" s="70">
        <f t="shared" si="1907"/>
        <v>0</v>
      </c>
      <c r="BC954" s="71">
        <f t="shared" si="1907"/>
        <v>0</v>
      </c>
      <c r="BD954" s="67">
        <f t="shared" si="1907"/>
        <v>0</v>
      </c>
      <c r="BE954" s="68">
        <f t="shared" si="1907"/>
        <v>0</v>
      </c>
      <c r="BF954" s="66">
        <f t="shared" si="1894"/>
        <v>0</v>
      </c>
      <c r="BG954" s="67">
        <f t="shared" si="1894"/>
        <v>0</v>
      </c>
      <c r="BH954" s="67">
        <f t="shared" si="1894"/>
        <v>0</v>
      </c>
      <c r="BI954" s="67">
        <f t="shared" si="1894"/>
        <v>0</v>
      </c>
      <c r="BJ954" s="67">
        <f t="shared" si="1894"/>
        <v>5.64</v>
      </c>
      <c r="BK954" s="67">
        <f t="shared" si="1894"/>
        <v>0</v>
      </c>
      <c r="BL954" s="67">
        <f t="shared" si="1894"/>
        <v>0</v>
      </c>
      <c r="BM954" s="69">
        <f t="shared" si="1894"/>
        <v>0</v>
      </c>
      <c r="BN954" s="70">
        <f t="shared" si="1894"/>
        <v>0</v>
      </c>
      <c r="BO954" s="70">
        <f t="shared" si="1894"/>
        <v>0</v>
      </c>
      <c r="BP954" s="70">
        <f t="shared" si="1894"/>
        <v>0</v>
      </c>
      <c r="BQ954" s="71">
        <f t="shared" si="1894"/>
        <v>0</v>
      </c>
      <c r="BR954" s="68">
        <f t="shared" si="1894"/>
        <v>0</v>
      </c>
      <c r="BS954" s="490"/>
      <c r="BT954" s="488"/>
      <c r="BU954" s="488"/>
      <c r="BV954" s="488"/>
      <c r="BW954" s="488"/>
      <c r="BX954" s="488"/>
      <c r="BY954" s="488"/>
      <c r="BZ954" s="498"/>
      <c r="CA954" s="498"/>
      <c r="CB954" s="498"/>
      <c r="CC954" s="498"/>
      <c r="CD954" s="500"/>
      <c r="CE954" s="504"/>
      <c r="CF954" s="236">
        <f t="shared" si="1796"/>
        <v>0</v>
      </c>
      <c r="CG954" s="237">
        <f t="shared" si="1797"/>
        <v>0</v>
      </c>
      <c r="CH954" s="237">
        <f t="shared" si="1798"/>
        <v>0</v>
      </c>
      <c r="CI954" s="237">
        <f t="shared" si="1799"/>
        <v>0</v>
      </c>
      <c r="CJ954" s="237">
        <f t="shared" si="1800"/>
        <v>0</v>
      </c>
      <c r="CK954" s="237">
        <f t="shared" si="1801"/>
        <v>0</v>
      </c>
      <c r="CL954" s="237">
        <f t="shared" si="1802"/>
        <v>0</v>
      </c>
      <c r="CM954" s="237">
        <f t="shared" si="1803"/>
        <v>0</v>
      </c>
      <c r="CN954" s="237">
        <f t="shared" si="1804"/>
        <v>0</v>
      </c>
      <c r="CO954" s="237">
        <f t="shared" si="1805"/>
        <v>1</v>
      </c>
      <c r="CP954" s="237">
        <f t="shared" si="1806"/>
        <v>0</v>
      </c>
      <c r="CQ954" s="237">
        <f t="shared" si="1807"/>
        <v>0</v>
      </c>
      <c r="CR954" s="237">
        <f t="shared" si="1808"/>
        <v>0</v>
      </c>
      <c r="CS954" s="237">
        <f t="shared" si="1809"/>
        <v>0</v>
      </c>
      <c r="CT954" s="75">
        <f t="shared" si="1810"/>
        <v>0</v>
      </c>
      <c r="CU954" s="76">
        <f t="shared" si="1811"/>
        <v>0</v>
      </c>
      <c r="CV954" s="76">
        <f t="shared" si="1812"/>
        <v>0</v>
      </c>
      <c r="CW954" s="76">
        <f t="shared" si="1813"/>
        <v>0</v>
      </c>
      <c r="CX954" s="76">
        <f t="shared" si="1814"/>
        <v>0</v>
      </c>
      <c r="CY954" s="76">
        <f t="shared" si="1815"/>
        <v>0</v>
      </c>
      <c r="CZ954" s="76">
        <f t="shared" si="1816"/>
        <v>0</v>
      </c>
      <c r="DA954" s="76">
        <f t="shared" si="1817"/>
        <v>0</v>
      </c>
      <c r="DB954" s="76">
        <f t="shared" si="1818"/>
        <v>0</v>
      </c>
      <c r="DC954" s="76">
        <f t="shared" si="1819"/>
        <v>0</v>
      </c>
      <c r="DD954" s="76">
        <f t="shared" si="1820"/>
        <v>0</v>
      </c>
      <c r="DE954" s="77">
        <f t="shared" si="1821"/>
        <v>0</v>
      </c>
      <c r="DF954" s="73">
        <f t="shared" si="1824"/>
        <v>58</v>
      </c>
      <c r="DG954" s="67">
        <f t="shared" si="1825"/>
        <v>78.343000000000004</v>
      </c>
      <c r="DH954" s="76">
        <f t="shared" si="1826"/>
        <v>19</v>
      </c>
      <c r="DI954" s="67">
        <f t="shared" si="1827"/>
        <v>81.47</v>
      </c>
      <c r="DJ954" s="202" t="str">
        <f>IF($D952="","",$D952)</f>
        <v>31</v>
      </c>
      <c r="DK954" s="493"/>
    </row>
  </sheetData>
  <mergeCells count="10507">
    <mergeCell ref="H4:H6"/>
    <mergeCell ref="H7:H9"/>
    <mergeCell ref="T952:T954"/>
    <mergeCell ref="A952:A954"/>
    <mergeCell ref="BZ952:BZ954"/>
    <mergeCell ref="BV952:BV954"/>
    <mergeCell ref="BS952:BS954"/>
    <mergeCell ref="DK952:DK954"/>
    <mergeCell ref="D952:D954"/>
    <mergeCell ref="U952:U954"/>
    <mergeCell ref="W952:W954"/>
    <mergeCell ref="Y952:Y954"/>
    <mergeCell ref="Z952:Z954"/>
    <mergeCell ref="AB952:AB954"/>
    <mergeCell ref="BU952:BU954"/>
    <mergeCell ref="BT952:BT954"/>
    <mergeCell ref="AC952:AC954"/>
    <mergeCell ref="CD952:CD954"/>
    <mergeCell ref="S952:S954"/>
    <mergeCell ref="BW952:BW954"/>
    <mergeCell ref="BX952:BX954"/>
    <mergeCell ref="BY952:BY954"/>
    <mergeCell ref="H952:H954"/>
    <mergeCell ref="N952:N954"/>
    <mergeCell ref="CB952:CB954"/>
    <mergeCell ref="CE952:CE954"/>
    <mergeCell ref="CA952:CA954"/>
    <mergeCell ref="CC952:CC954"/>
    <mergeCell ref="AA952:AA954"/>
    <mergeCell ref="X952:X954"/>
    <mergeCell ref="V952:V954"/>
    <mergeCell ref="B952:B954"/>
    <mergeCell ref="G952:G954"/>
    <mergeCell ref="E952:E954"/>
    <mergeCell ref="F952:F954"/>
    <mergeCell ref="T949:T951"/>
    <mergeCell ref="A949:A951"/>
    <mergeCell ref="BZ949:BZ951"/>
    <mergeCell ref="BV949:BV951"/>
    <mergeCell ref="BS949:BS951"/>
    <mergeCell ref="DK949:DK951"/>
    <mergeCell ref="D949:D951"/>
    <mergeCell ref="U949:U951"/>
    <mergeCell ref="W949:W951"/>
    <mergeCell ref="Y949:Y951"/>
    <mergeCell ref="Z949:Z951"/>
    <mergeCell ref="AB949:AB951"/>
    <mergeCell ref="BU949:BU951"/>
    <mergeCell ref="BT949:BT951"/>
    <mergeCell ref="AC949:AC951"/>
    <mergeCell ref="CD949:CD951"/>
    <mergeCell ref="S949:S951"/>
    <mergeCell ref="BW949:BW951"/>
    <mergeCell ref="BX949:BX951"/>
    <mergeCell ref="BY949:BY951"/>
    <mergeCell ref="H949:H951"/>
    <mergeCell ref="N949:N951"/>
    <mergeCell ref="CB949:CB951"/>
    <mergeCell ref="CE949:CE951"/>
    <mergeCell ref="CA949:CA951"/>
    <mergeCell ref="CC949:CC951"/>
    <mergeCell ref="AA949:AA951"/>
    <mergeCell ref="X949:X951"/>
    <mergeCell ref="V949:V951"/>
    <mergeCell ref="B949:B951"/>
    <mergeCell ref="G949:G951"/>
    <mergeCell ref="E949:E951"/>
    <mergeCell ref="F949:F951"/>
    <mergeCell ref="T946:T948"/>
    <mergeCell ref="A946:A948"/>
    <mergeCell ref="BZ946:BZ948"/>
    <mergeCell ref="BV946:BV948"/>
    <mergeCell ref="BS946:BS948"/>
    <mergeCell ref="DK946:DK948"/>
    <mergeCell ref="D946:D948"/>
    <mergeCell ref="U946:U948"/>
    <mergeCell ref="W946:W948"/>
    <mergeCell ref="Y946:Y948"/>
    <mergeCell ref="Z946:Z948"/>
    <mergeCell ref="AB946:AB948"/>
    <mergeCell ref="BU946:BU948"/>
    <mergeCell ref="BT946:BT948"/>
    <mergeCell ref="AC946:AC948"/>
    <mergeCell ref="CD946:CD948"/>
    <mergeCell ref="S946:S948"/>
    <mergeCell ref="BW946:BW948"/>
    <mergeCell ref="BX946:BX948"/>
    <mergeCell ref="BY946:BY948"/>
    <mergeCell ref="H946:H948"/>
    <mergeCell ref="N946:N948"/>
    <mergeCell ref="CB946:CB948"/>
    <mergeCell ref="CE946:CE948"/>
    <mergeCell ref="CA946:CA948"/>
    <mergeCell ref="CC946:CC948"/>
    <mergeCell ref="AA946:AA948"/>
    <mergeCell ref="X946:X948"/>
    <mergeCell ref="V946:V948"/>
    <mergeCell ref="B946:B948"/>
    <mergeCell ref="G946:G948"/>
    <mergeCell ref="E946:E948"/>
    <mergeCell ref="F946:F948"/>
    <mergeCell ref="T943:T945"/>
    <mergeCell ref="A943:A945"/>
    <mergeCell ref="BZ943:BZ945"/>
    <mergeCell ref="BV943:BV945"/>
    <mergeCell ref="BS943:BS945"/>
    <mergeCell ref="DK943:DK945"/>
    <mergeCell ref="D943:D945"/>
    <mergeCell ref="U943:U945"/>
    <mergeCell ref="W943:W945"/>
    <mergeCell ref="Y943:Y945"/>
    <mergeCell ref="Z943:Z945"/>
    <mergeCell ref="AB943:AB945"/>
    <mergeCell ref="BU943:BU945"/>
    <mergeCell ref="BT943:BT945"/>
    <mergeCell ref="AC943:AC945"/>
    <mergeCell ref="CD943:CD945"/>
    <mergeCell ref="S943:S945"/>
    <mergeCell ref="BW943:BW945"/>
    <mergeCell ref="BX943:BX945"/>
    <mergeCell ref="BY943:BY945"/>
    <mergeCell ref="H943:H945"/>
    <mergeCell ref="N943:N945"/>
    <mergeCell ref="CB943:CB945"/>
    <mergeCell ref="CE943:CE945"/>
    <mergeCell ref="CA943:CA945"/>
    <mergeCell ref="CC943:CC945"/>
    <mergeCell ref="AA943:AA945"/>
    <mergeCell ref="X943:X945"/>
    <mergeCell ref="V943:V945"/>
    <mergeCell ref="B943:B945"/>
    <mergeCell ref="G943:G945"/>
    <mergeCell ref="E943:E945"/>
    <mergeCell ref="F943:F945"/>
    <mergeCell ref="T940:T942"/>
    <mergeCell ref="A940:A942"/>
    <mergeCell ref="BZ940:BZ942"/>
    <mergeCell ref="BV940:BV942"/>
    <mergeCell ref="BS940:BS942"/>
    <mergeCell ref="DK940:DK942"/>
    <mergeCell ref="D940:D942"/>
    <mergeCell ref="U940:U942"/>
    <mergeCell ref="W940:W942"/>
    <mergeCell ref="Y940:Y942"/>
    <mergeCell ref="Z940:Z942"/>
    <mergeCell ref="AB940:AB942"/>
    <mergeCell ref="BU940:BU942"/>
    <mergeCell ref="BT940:BT942"/>
    <mergeCell ref="AC940:AC942"/>
    <mergeCell ref="CD940:CD942"/>
    <mergeCell ref="S940:S942"/>
    <mergeCell ref="BW940:BW942"/>
    <mergeCell ref="BX940:BX942"/>
    <mergeCell ref="BY940:BY942"/>
    <mergeCell ref="H940:H942"/>
    <mergeCell ref="N940:N942"/>
    <mergeCell ref="CB940:CB942"/>
    <mergeCell ref="CE940:CE942"/>
    <mergeCell ref="CA940:CA942"/>
    <mergeCell ref="CC940:CC942"/>
    <mergeCell ref="AA940:AA942"/>
    <mergeCell ref="X940:X942"/>
    <mergeCell ref="V940:V942"/>
    <mergeCell ref="B940:B942"/>
    <mergeCell ref="G940:G942"/>
    <mergeCell ref="E940:E942"/>
    <mergeCell ref="F940:F942"/>
    <mergeCell ref="T937:T939"/>
    <mergeCell ref="A937:A939"/>
    <mergeCell ref="BZ937:BZ939"/>
    <mergeCell ref="BV937:BV939"/>
    <mergeCell ref="BS937:BS939"/>
    <mergeCell ref="DK937:DK939"/>
    <mergeCell ref="D937:D939"/>
    <mergeCell ref="U937:U939"/>
    <mergeCell ref="W937:W939"/>
    <mergeCell ref="Y937:Y939"/>
    <mergeCell ref="Z937:Z939"/>
    <mergeCell ref="AB937:AB939"/>
    <mergeCell ref="BU937:BU939"/>
    <mergeCell ref="BT937:BT939"/>
    <mergeCell ref="AC937:AC939"/>
    <mergeCell ref="CD937:CD939"/>
    <mergeCell ref="S937:S939"/>
    <mergeCell ref="BW937:BW939"/>
    <mergeCell ref="BX937:BX939"/>
    <mergeCell ref="BY937:BY939"/>
    <mergeCell ref="H937:H939"/>
    <mergeCell ref="N937:N939"/>
    <mergeCell ref="CB937:CB939"/>
    <mergeCell ref="CE937:CE939"/>
    <mergeCell ref="CA937:CA939"/>
    <mergeCell ref="CC937:CC939"/>
    <mergeCell ref="AA937:AA939"/>
    <mergeCell ref="X937:X939"/>
    <mergeCell ref="V937:V939"/>
    <mergeCell ref="B937:B939"/>
    <mergeCell ref="G937:G939"/>
    <mergeCell ref="E937:E939"/>
    <mergeCell ref="F937:F939"/>
    <mergeCell ref="T934:T936"/>
    <mergeCell ref="A934:A936"/>
    <mergeCell ref="BZ934:BZ936"/>
    <mergeCell ref="BV934:BV936"/>
    <mergeCell ref="BS934:BS936"/>
    <mergeCell ref="DK934:DK936"/>
    <mergeCell ref="D934:D936"/>
    <mergeCell ref="U934:U936"/>
    <mergeCell ref="W934:W936"/>
    <mergeCell ref="Y934:Y936"/>
    <mergeCell ref="Z934:Z936"/>
    <mergeCell ref="AB934:AB936"/>
    <mergeCell ref="BU934:BU936"/>
    <mergeCell ref="BT934:BT936"/>
    <mergeCell ref="AC934:AC936"/>
    <mergeCell ref="CD934:CD936"/>
    <mergeCell ref="S934:S936"/>
    <mergeCell ref="BW934:BW936"/>
    <mergeCell ref="BX934:BX936"/>
    <mergeCell ref="BY934:BY936"/>
    <mergeCell ref="H934:H936"/>
    <mergeCell ref="N934:N936"/>
    <mergeCell ref="CB934:CB936"/>
    <mergeCell ref="CE934:CE936"/>
    <mergeCell ref="CA934:CA936"/>
    <mergeCell ref="CC934:CC936"/>
    <mergeCell ref="AA934:AA936"/>
    <mergeCell ref="X934:X936"/>
    <mergeCell ref="V934:V936"/>
    <mergeCell ref="B934:B936"/>
    <mergeCell ref="G934:G936"/>
    <mergeCell ref="E934:E936"/>
    <mergeCell ref="F934:F936"/>
    <mergeCell ref="T931:T933"/>
    <mergeCell ref="A931:A933"/>
    <mergeCell ref="BZ931:BZ933"/>
    <mergeCell ref="BV931:BV933"/>
    <mergeCell ref="BS931:BS933"/>
    <mergeCell ref="DK931:DK933"/>
    <mergeCell ref="D931:D933"/>
    <mergeCell ref="U931:U933"/>
    <mergeCell ref="W931:W933"/>
    <mergeCell ref="Y931:Y933"/>
    <mergeCell ref="Z931:Z933"/>
    <mergeCell ref="AB931:AB933"/>
    <mergeCell ref="BU931:BU933"/>
    <mergeCell ref="BT931:BT933"/>
    <mergeCell ref="AC931:AC933"/>
    <mergeCell ref="CD931:CD933"/>
    <mergeCell ref="S931:S933"/>
    <mergeCell ref="BW931:BW933"/>
    <mergeCell ref="BX931:BX933"/>
    <mergeCell ref="BY931:BY933"/>
    <mergeCell ref="H931:H933"/>
    <mergeCell ref="N931:N933"/>
    <mergeCell ref="CB931:CB933"/>
    <mergeCell ref="CE931:CE933"/>
    <mergeCell ref="CA931:CA933"/>
    <mergeCell ref="CC931:CC933"/>
    <mergeCell ref="AA931:AA933"/>
    <mergeCell ref="X931:X933"/>
    <mergeCell ref="V931:V933"/>
    <mergeCell ref="B931:B933"/>
    <mergeCell ref="G931:G933"/>
    <mergeCell ref="E931:E933"/>
    <mergeCell ref="F931:F933"/>
    <mergeCell ref="T928:T930"/>
    <mergeCell ref="A928:A930"/>
    <mergeCell ref="BZ928:BZ930"/>
    <mergeCell ref="BV928:BV930"/>
    <mergeCell ref="BS928:BS930"/>
    <mergeCell ref="DK928:DK930"/>
    <mergeCell ref="D928:D930"/>
    <mergeCell ref="U928:U930"/>
    <mergeCell ref="W928:W930"/>
    <mergeCell ref="Y928:Y930"/>
    <mergeCell ref="Z928:Z930"/>
    <mergeCell ref="AB928:AB930"/>
    <mergeCell ref="BU928:BU930"/>
    <mergeCell ref="BT928:BT930"/>
    <mergeCell ref="AC928:AC930"/>
    <mergeCell ref="CD928:CD930"/>
    <mergeCell ref="S928:S930"/>
    <mergeCell ref="BW928:BW930"/>
    <mergeCell ref="BX928:BX930"/>
    <mergeCell ref="BY928:BY930"/>
    <mergeCell ref="H928:H930"/>
    <mergeCell ref="N928:N930"/>
    <mergeCell ref="CB928:CB930"/>
    <mergeCell ref="CE928:CE930"/>
    <mergeCell ref="CA928:CA930"/>
    <mergeCell ref="CC928:CC930"/>
    <mergeCell ref="AA928:AA930"/>
    <mergeCell ref="X928:X930"/>
    <mergeCell ref="V928:V930"/>
    <mergeCell ref="B928:B930"/>
    <mergeCell ref="G928:G930"/>
    <mergeCell ref="E928:E930"/>
    <mergeCell ref="F928:F930"/>
    <mergeCell ref="T925:T927"/>
    <mergeCell ref="A925:A927"/>
    <mergeCell ref="BZ925:BZ927"/>
    <mergeCell ref="BV925:BV927"/>
    <mergeCell ref="BS925:BS927"/>
    <mergeCell ref="DK925:DK927"/>
    <mergeCell ref="D925:D927"/>
    <mergeCell ref="U925:U927"/>
    <mergeCell ref="W925:W927"/>
    <mergeCell ref="Y925:Y927"/>
    <mergeCell ref="Z925:Z927"/>
    <mergeCell ref="AB925:AB927"/>
    <mergeCell ref="BU925:BU927"/>
    <mergeCell ref="BT925:BT927"/>
    <mergeCell ref="AC925:AC927"/>
    <mergeCell ref="CD925:CD927"/>
    <mergeCell ref="S925:S927"/>
    <mergeCell ref="BW925:BW927"/>
    <mergeCell ref="BX925:BX927"/>
    <mergeCell ref="BY925:BY927"/>
    <mergeCell ref="H925:H927"/>
    <mergeCell ref="N925:N927"/>
    <mergeCell ref="CB925:CB927"/>
    <mergeCell ref="CE925:CE927"/>
    <mergeCell ref="CA925:CA927"/>
    <mergeCell ref="CC925:CC927"/>
    <mergeCell ref="AA925:AA927"/>
    <mergeCell ref="X925:X927"/>
    <mergeCell ref="V925:V927"/>
    <mergeCell ref="B925:B927"/>
    <mergeCell ref="G925:G927"/>
    <mergeCell ref="E925:E927"/>
    <mergeCell ref="F925:F927"/>
    <mergeCell ref="H877:H879"/>
    <mergeCell ref="H889:H891"/>
    <mergeCell ref="T922:T924"/>
    <mergeCell ref="A922:A924"/>
    <mergeCell ref="BZ922:BZ924"/>
    <mergeCell ref="BV922:BV924"/>
    <mergeCell ref="BS922:BS924"/>
    <mergeCell ref="DK922:DK924"/>
    <mergeCell ref="D922:D924"/>
    <mergeCell ref="U922:U924"/>
    <mergeCell ref="W922:W924"/>
    <mergeCell ref="Y922:Y924"/>
    <mergeCell ref="Z922:Z924"/>
    <mergeCell ref="AB922:AB924"/>
    <mergeCell ref="BU922:BU924"/>
    <mergeCell ref="BT922:BT924"/>
    <mergeCell ref="AC922:AC924"/>
    <mergeCell ref="CD922:CD924"/>
    <mergeCell ref="S922:S924"/>
    <mergeCell ref="BW922:BW924"/>
    <mergeCell ref="BX922:BX924"/>
    <mergeCell ref="BY922:BY924"/>
    <mergeCell ref="H922:H924"/>
    <mergeCell ref="N922:N924"/>
    <mergeCell ref="CB922:CB924"/>
    <mergeCell ref="CE922:CE924"/>
    <mergeCell ref="CA922:CA924"/>
    <mergeCell ref="CC922:CC924"/>
    <mergeCell ref="AA922:AA924"/>
    <mergeCell ref="X922:X924"/>
    <mergeCell ref="V922:V924"/>
    <mergeCell ref="B922:B924"/>
    <mergeCell ref="G922:G924"/>
    <mergeCell ref="E922:E924"/>
    <mergeCell ref="F922:F924"/>
    <mergeCell ref="T919:T921"/>
    <mergeCell ref="A919:A921"/>
    <mergeCell ref="BZ919:BZ921"/>
    <mergeCell ref="BV919:BV921"/>
    <mergeCell ref="BS919:BS921"/>
    <mergeCell ref="DK919:DK921"/>
    <mergeCell ref="D919:D921"/>
    <mergeCell ref="U919:U921"/>
    <mergeCell ref="W919:W921"/>
    <mergeCell ref="Y919:Y921"/>
    <mergeCell ref="Z919:Z921"/>
    <mergeCell ref="AB919:AB921"/>
    <mergeCell ref="BU919:BU921"/>
    <mergeCell ref="BT919:BT921"/>
    <mergeCell ref="AC919:AC921"/>
    <mergeCell ref="CD919:CD921"/>
    <mergeCell ref="S919:S921"/>
    <mergeCell ref="BW919:BW921"/>
    <mergeCell ref="BX919:BX921"/>
    <mergeCell ref="BY919:BY921"/>
    <mergeCell ref="H919:H921"/>
    <mergeCell ref="N919:N921"/>
    <mergeCell ref="CB919:CB921"/>
    <mergeCell ref="CE919:CE921"/>
    <mergeCell ref="CA919:CA921"/>
    <mergeCell ref="CC919:CC921"/>
    <mergeCell ref="AA919:AA921"/>
    <mergeCell ref="X919:X921"/>
    <mergeCell ref="V919:V921"/>
    <mergeCell ref="B919:B921"/>
    <mergeCell ref="G919:G921"/>
    <mergeCell ref="E919:E921"/>
    <mergeCell ref="F919:F921"/>
    <mergeCell ref="T916:T918"/>
    <mergeCell ref="A916:A918"/>
    <mergeCell ref="BZ916:BZ918"/>
    <mergeCell ref="BV916:BV918"/>
    <mergeCell ref="BS916:BS918"/>
    <mergeCell ref="DK916:DK918"/>
    <mergeCell ref="D916:D918"/>
    <mergeCell ref="U916:U918"/>
    <mergeCell ref="W916:W918"/>
    <mergeCell ref="Y916:Y918"/>
    <mergeCell ref="Z916:Z918"/>
    <mergeCell ref="AB916:AB918"/>
    <mergeCell ref="BU916:BU918"/>
    <mergeCell ref="BT916:BT918"/>
    <mergeCell ref="AC916:AC918"/>
    <mergeCell ref="CD916:CD918"/>
    <mergeCell ref="S916:S918"/>
    <mergeCell ref="BW916:BW918"/>
    <mergeCell ref="BX916:BX918"/>
    <mergeCell ref="BY916:BY918"/>
    <mergeCell ref="H916:H918"/>
    <mergeCell ref="N916:N918"/>
    <mergeCell ref="CB916:CB918"/>
    <mergeCell ref="CE916:CE918"/>
    <mergeCell ref="CA916:CA918"/>
    <mergeCell ref="CC916:CC918"/>
    <mergeCell ref="AA916:AA918"/>
    <mergeCell ref="X916:X918"/>
    <mergeCell ref="V916:V918"/>
    <mergeCell ref="B916:B918"/>
    <mergeCell ref="G916:G918"/>
    <mergeCell ref="E916:E918"/>
    <mergeCell ref="F916:F918"/>
    <mergeCell ref="T913:T915"/>
    <mergeCell ref="A913:A915"/>
    <mergeCell ref="BZ913:BZ915"/>
    <mergeCell ref="BV913:BV915"/>
    <mergeCell ref="BS913:BS915"/>
    <mergeCell ref="DK913:DK915"/>
    <mergeCell ref="D913:D915"/>
    <mergeCell ref="U913:U915"/>
    <mergeCell ref="W913:W915"/>
    <mergeCell ref="Y913:Y915"/>
    <mergeCell ref="Z913:Z915"/>
    <mergeCell ref="AB913:AB915"/>
    <mergeCell ref="BU913:BU915"/>
    <mergeCell ref="BT913:BT915"/>
    <mergeCell ref="AC913:AC915"/>
    <mergeCell ref="CD913:CD915"/>
    <mergeCell ref="S913:S915"/>
    <mergeCell ref="BW913:BW915"/>
    <mergeCell ref="BX913:BX915"/>
    <mergeCell ref="BY913:BY915"/>
    <mergeCell ref="H913:H915"/>
    <mergeCell ref="N913:N915"/>
    <mergeCell ref="CB913:CB915"/>
    <mergeCell ref="CE913:CE915"/>
    <mergeCell ref="CA913:CA915"/>
    <mergeCell ref="CC913:CC915"/>
    <mergeCell ref="AA913:AA915"/>
    <mergeCell ref="X913:X915"/>
    <mergeCell ref="V913:V915"/>
    <mergeCell ref="B913:B915"/>
    <mergeCell ref="G913:G915"/>
    <mergeCell ref="E913:E915"/>
    <mergeCell ref="F913:F915"/>
    <mergeCell ref="T910:T912"/>
    <mergeCell ref="A910:A912"/>
    <mergeCell ref="BZ910:BZ912"/>
    <mergeCell ref="BV910:BV912"/>
    <mergeCell ref="BS910:BS912"/>
    <mergeCell ref="DK910:DK912"/>
    <mergeCell ref="D910:D912"/>
    <mergeCell ref="U910:U912"/>
    <mergeCell ref="W910:W912"/>
    <mergeCell ref="Y910:Y912"/>
    <mergeCell ref="Z910:Z912"/>
    <mergeCell ref="AB910:AB912"/>
    <mergeCell ref="BU910:BU912"/>
    <mergeCell ref="BT910:BT912"/>
    <mergeCell ref="AC910:AC912"/>
    <mergeCell ref="CD910:CD912"/>
    <mergeCell ref="S910:S912"/>
    <mergeCell ref="BW910:BW912"/>
    <mergeCell ref="BX910:BX912"/>
    <mergeCell ref="BY910:BY912"/>
    <mergeCell ref="H910:H912"/>
    <mergeCell ref="N910:N912"/>
    <mergeCell ref="CB910:CB912"/>
    <mergeCell ref="CE910:CE912"/>
    <mergeCell ref="CA910:CA912"/>
    <mergeCell ref="CC910:CC912"/>
    <mergeCell ref="AA910:AA912"/>
    <mergeCell ref="X910:X912"/>
    <mergeCell ref="V910:V912"/>
    <mergeCell ref="B910:B912"/>
    <mergeCell ref="G910:G912"/>
    <mergeCell ref="E910:E912"/>
    <mergeCell ref="F910:F912"/>
    <mergeCell ref="T907:T909"/>
    <mergeCell ref="A907:A909"/>
    <mergeCell ref="BZ907:BZ909"/>
    <mergeCell ref="BV907:BV909"/>
    <mergeCell ref="BS907:BS909"/>
    <mergeCell ref="DK907:DK909"/>
    <mergeCell ref="D907:D909"/>
    <mergeCell ref="U907:U909"/>
    <mergeCell ref="W907:W909"/>
    <mergeCell ref="Y907:Y909"/>
    <mergeCell ref="Z907:Z909"/>
    <mergeCell ref="AB907:AB909"/>
    <mergeCell ref="BU907:BU909"/>
    <mergeCell ref="BT907:BT909"/>
    <mergeCell ref="AC907:AC909"/>
    <mergeCell ref="CD907:CD909"/>
    <mergeCell ref="S907:S909"/>
    <mergeCell ref="BW907:BW909"/>
    <mergeCell ref="BX907:BX909"/>
    <mergeCell ref="BY907:BY909"/>
    <mergeCell ref="H907:H909"/>
    <mergeCell ref="N907:N909"/>
    <mergeCell ref="CB907:CB909"/>
    <mergeCell ref="CE907:CE909"/>
    <mergeCell ref="CA907:CA909"/>
    <mergeCell ref="CC907:CC909"/>
    <mergeCell ref="AA907:AA909"/>
    <mergeCell ref="X907:X909"/>
    <mergeCell ref="V907:V909"/>
    <mergeCell ref="B907:B909"/>
    <mergeCell ref="G907:G909"/>
    <mergeCell ref="E907:E909"/>
    <mergeCell ref="F907:F909"/>
    <mergeCell ref="T904:T906"/>
    <mergeCell ref="A904:A906"/>
    <mergeCell ref="BZ904:BZ906"/>
    <mergeCell ref="BV904:BV906"/>
    <mergeCell ref="BS904:BS906"/>
    <mergeCell ref="DK904:DK906"/>
    <mergeCell ref="D904:D906"/>
    <mergeCell ref="U904:U906"/>
    <mergeCell ref="W904:W906"/>
    <mergeCell ref="Y904:Y906"/>
    <mergeCell ref="Z904:Z906"/>
    <mergeCell ref="AB904:AB906"/>
    <mergeCell ref="BU904:BU906"/>
    <mergeCell ref="BT904:BT906"/>
    <mergeCell ref="AC904:AC906"/>
    <mergeCell ref="CD904:CD906"/>
    <mergeCell ref="S904:S906"/>
    <mergeCell ref="BW904:BW906"/>
    <mergeCell ref="BX904:BX906"/>
    <mergeCell ref="BY904:BY906"/>
    <mergeCell ref="H904:H906"/>
    <mergeCell ref="N904:N906"/>
    <mergeCell ref="CB904:CB906"/>
    <mergeCell ref="CE904:CE906"/>
    <mergeCell ref="CA904:CA906"/>
    <mergeCell ref="CC904:CC906"/>
    <mergeCell ref="AA904:AA906"/>
    <mergeCell ref="X904:X906"/>
    <mergeCell ref="V904:V906"/>
    <mergeCell ref="B904:B906"/>
    <mergeCell ref="G904:G906"/>
    <mergeCell ref="E904:E906"/>
    <mergeCell ref="F904:F906"/>
    <mergeCell ref="T901:T903"/>
    <mergeCell ref="A901:A903"/>
    <mergeCell ref="BZ901:BZ903"/>
    <mergeCell ref="BV901:BV903"/>
    <mergeCell ref="BS901:BS903"/>
    <mergeCell ref="DK901:DK903"/>
    <mergeCell ref="D901:D903"/>
    <mergeCell ref="U901:U903"/>
    <mergeCell ref="W901:W903"/>
    <mergeCell ref="Y901:Y903"/>
    <mergeCell ref="Z901:Z903"/>
    <mergeCell ref="AB901:AB903"/>
    <mergeCell ref="BU901:BU903"/>
    <mergeCell ref="BT901:BT903"/>
    <mergeCell ref="AC901:AC903"/>
    <mergeCell ref="CD901:CD903"/>
    <mergeCell ref="S901:S903"/>
    <mergeCell ref="BW901:BW903"/>
    <mergeCell ref="BX901:BX903"/>
    <mergeCell ref="BY901:BY903"/>
    <mergeCell ref="H901:H903"/>
    <mergeCell ref="N901:N903"/>
    <mergeCell ref="CB901:CB903"/>
    <mergeCell ref="CE901:CE903"/>
    <mergeCell ref="CA901:CA903"/>
    <mergeCell ref="CC901:CC903"/>
    <mergeCell ref="AA901:AA903"/>
    <mergeCell ref="X901:X903"/>
    <mergeCell ref="V901:V903"/>
    <mergeCell ref="B901:B903"/>
    <mergeCell ref="G901:G903"/>
    <mergeCell ref="E901:E903"/>
    <mergeCell ref="F901:F903"/>
    <mergeCell ref="T898:T900"/>
    <mergeCell ref="A898:A900"/>
    <mergeCell ref="BZ898:BZ900"/>
    <mergeCell ref="BV898:BV900"/>
    <mergeCell ref="BS898:BS900"/>
    <mergeCell ref="DK898:DK900"/>
    <mergeCell ref="D898:D900"/>
    <mergeCell ref="U898:U900"/>
    <mergeCell ref="W898:W900"/>
    <mergeCell ref="Y898:Y900"/>
    <mergeCell ref="Z898:Z900"/>
    <mergeCell ref="AB898:AB900"/>
    <mergeCell ref="BU898:BU900"/>
    <mergeCell ref="BT898:BT900"/>
    <mergeCell ref="AC898:AC900"/>
    <mergeCell ref="CD898:CD900"/>
    <mergeCell ref="S898:S900"/>
    <mergeCell ref="BW898:BW900"/>
    <mergeCell ref="BX898:BX900"/>
    <mergeCell ref="BY898:BY900"/>
    <mergeCell ref="H898:H900"/>
    <mergeCell ref="N898:N900"/>
    <mergeCell ref="CB898:CB900"/>
    <mergeCell ref="CE898:CE900"/>
    <mergeCell ref="CA898:CA900"/>
    <mergeCell ref="CC898:CC900"/>
    <mergeCell ref="AA898:AA900"/>
    <mergeCell ref="X898:X900"/>
    <mergeCell ref="V898:V900"/>
    <mergeCell ref="B898:B900"/>
    <mergeCell ref="G898:G900"/>
    <mergeCell ref="E898:E900"/>
    <mergeCell ref="F898:F900"/>
    <mergeCell ref="F892:F894"/>
    <mergeCell ref="T895:T897"/>
    <mergeCell ref="A895:A897"/>
    <mergeCell ref="BZ895:BZ897"/>
    <mergeCell ref="BV895:BV897"/>
    <mergeCell ref="BS895:BS897"/>
    <mergeCell ref="DK895:DK897"/>
    <mergeCell ref="D895:D897"/>
    <mergeCell ref="U895:U897"/>
    <mergeCell ref="W895:W897"/>
    <mergeCell ref="Y895:Y897"/>
    <mergeCell ref="Z895:Z897"/>
    <mergeCell ref="AB895:AB897"/>
    <mergeCell ref="BU895:BU897"/>
    <mergeCell ref="BT895:BT897"/>
    <mergeCell ref="AC895:AC897"/>
    <mergeCell ref="CD895:CD897"/>
    <mergeCell ref="S895:S897"/>
    <mergeCell ref="BW895:BW897"/>
    <mergeCell ref="BX895:BX897"/>
    <mergeCell ref="BY895:BY897"/>
    <mergeCell ref="H895:H897"/>
    <mergeCell ref="N895:N897"/>
    <mergeCell ref="CB895:CB897"/>
    <mergeCell ref="CE895:CE897"/>
    <mergeCell ref="CA895:CA897"/>
    <mergeCell ref="CC895:CC897"/>
    <mergeCell ref="AA895:AA897"/>
    <mergeCell ref="X895:X897"/>
    <mergeCell ref="V895:V897"/>
    <mergeCell ref="B895:B897"/>
    <mergeCell ref="G895:G897"/>
    <mergeCell ref="E895:E897"/>
    <mergeCell ref="F895:F897"/>
    <mergeCell ref="T889:T891"/>
    <mergeCell ref="A889:A891"/>
    <mergeCell ref="BZ889:BZ891"/>
    <mergeCell ref="BV889:BV891"/>
    <mergeCell ref="BS889:BS891"/>
    <mergeCell ref="DK889:DK891"/>
    <mergeCell ref="D889:D891"/>
    <mergeCell ref="U889:U891"/>
    <mergeCell ref="W889:W891"/>
    <mergeCell ref="Y889:Y891"/>
    <mergeCell ref="Z889:Z891"/>
    <mergeCell ref="AB889:AB891"/>
    <mergeCell ref="BU889:BU891"/>
    <mergeCell ref="BT889:BT891"/>
    <mergeCell ref="AC889:AC891"/>
    <mergeCell ref="CD889:CD891"/>
    <mergeCell ref="S889:S891"/>
    <mergeCell ref="BW889:BW891"/>
    <mergeCell ref="BX889:BX891"/>
    <mergeCell ref="BY889:BY891"/>
    <mergeCell ref="N889:N891"/>
    <mergeCell ref="CB889:CB891"/>
    <mergeCell ref="CE889:CE891"/>
    <mergeCell ref="CA889:CA891"/>
    <mergeCell ref="CC889:CC891"/>
    <mergeCell ref="AA889:AA891"/>
    <mergeCell ref="X889:X891"/>
    <mergeCell ref="V889:V891"/>
    <mergeCell ref="B889:B891"/>
    <mergeCell ref="G889:G891"/>
    <mergeCell ref="E889:E891"/>
    <mergeCell ref="F889:F891"/>
    <mergeCell ref="T892:T894"/>
    <mergeCell ref="A892:A894"/>
    <mergeCell ref="BZ892:BZ894"/>
    <mergeCell ref="BV892:BV894"/>
    <mergeCell ref="BS892:BS894"/>
    <mergeCell ref="DK892:DK894"/>
    <mergeCell ref="D892:D894"/>
    <mergeCell ref="U892:U894"/>
    <mergeCell ref="W892:W894"/>
    <mergeCell ref="Y892:Y894"/>
    <mergeCell ref="Z892:Z894"/>
    <mergeCell ref="AB892:AB894"/>
    <mergeCell ref="BU892:BU894"/>
    <mergeCell ref="BT892:BT894"/>
    <mergeCell ref="AC892:AC894"/>
    <mergeCell ref="CD892:CD894"/>
    <mergeCell ref="S892:S894"/>
    <mergeCell ref="BW892:BW894"/>
    <mergeCell ref="BX892:BX894"/>
    <mergeCell ref="BY892:BY894"/>
    <mergeCell ref="H892:H894"/>
    <mergeCell ref="N892:N894"/>
    <mergeCell ref="CB892:CB894"/>
    <mergeCell ref="CE892:CE894"/>
    <mergeCell ref="CA892:CA894"/>
    <mergeCell ref="CC892:CC894"/>
    <mergeCell ref="AA892:AA894"/>
    <mergeCell ref="X892:X894"/>
    <mergeCell ref="V892:V894"/>
    <mergeCell ref="B892:B894"/>
    <mergeCell ref="G892:G894"/>
    <mergeCell ref="E892:E894"/>
    <mergeCell ref="T886:T888"/>
    <mergeCell ref="A886:A888"/>
    <mergeCell ref="BZ886:BZ888"/>
    <mergeCell ref="BV886:BV888"/>
    <mergeCell ref="BS886:BS888"/>
    <mergeCell ref="DK886:DK888"/>
    <mergeCell ref="D886:D888"/>
    <mergeCell ref="U886:U888"/>
    <mergeCell ref="W886:W888"/>
    <mergeCell ref="Y886:Y888"/>
    <mergeCell ref="Z886:Z888"/>
    <mergeCell ref="AB886:AB888"/>
    <mergeCell ref="BU886:BU888"/>
    <mergeCell ref="BT886:BT888"/>
    <mergeCell ref="AC886:AC888"/>
    <mergeCell ref="CD886:CD888"/>
    <mergeCell ref="S886:S888"/>
    <mergeCell ref="BW886:BW888"/>
    <mergeCell ref="BX886:BX888"/>
    <mergeCell ref="BY886:BY888"/>
    <mergeCell ref="H886:H888"/>
    <mergeCell ref="N886:N888"/>
    <mergeCell ref="CB886:CB888"/>
    <mergeCell ref="CE886:CE888"/>
    <mergeCell ref="CA886:CA888"/>
    <mergeCell ref="CC886:CC888"/>
    <mergeCell ref="AA886:AA888"/>
    <mergeCell ref="X886:X888"/>
    <mergeCell ref="V886:V888"/>
    <mergeCell ref="B886:B888"/>
    <mergeCell ref="G886:G888"/>
    <mergeCell ref="E886:E888"/>
    <mergeCell ref="F886:F888"/>
    <mergeCell ref="F880:F882"/>
    <mergeCell ref="T883:T885"/>
    <mergeCell ref="A883:A885"/>
    <mergeCell ref="BZ883:BZ885"/>
    <mergeCell ref="BV883:BV885"/>
    <mergeCell ref="BS883:BS885"/>
    <mergeCell ref="DK883:DK885"/>
    <mergeCell ref="D883:D885"/>
    <mergeCell ref="U883:U885"/>
    <mergeCell ref="W883:W885"/>
    <mergeCell ref="Y883:Y885"/>
    <mergeCell ref="Z883:Z885"/>
    <mergeCell ref="AB883:AB885"/>
    <mergeCell ref="BU883:BU885"/>
    <mergeCell ref="BT883:BT885"/>
    <mergeCell ref="AC883:AC885"/>
    <mergeCell ref="CD883:CD885"/>
    <mergeCell ref="S883:S885"/>
    <mergeCell ref="BW883:BW885"/>
    <mergeCell ref="BX883:BX885"/>
    <mergeCell ref="BY883:BY885"/>
    <mergeCell ref="H883:H885"/>
    <mergeCell ref="N883:N885"/>
    <mergeCell ref="CB883:CB885"/>
    <mergeCell ref="CE883:CE885"/>
    <mergeCell ref="CA883:CA885"/>
    <mergeCell ref="CC883:CC885"/>
    <mergeCell ref="AA883:AA885"/>
    <mergeCell ref="X883:X885"/>
    <mergeCell ref="V883:V885"/>
    <mergeCell ref="B883:B885"/>
    <mergeCell ref="G883:G885"/>
    <mergeCell ref="E883:E885"/>
    <mergeCell ref="F883:F885"/>
    <mergeCell ref="T877:T879"/>
    <mergeCell ref="A877:A879"/>
    <mergeCell ref="BZ877:BZ879"/>
    <mergeCell ref="BV877:BV879"/>
    <mergeCell ref="BS877:BS879"/>
    <mergeCell ref="DK877:DK879"/>
    <mergeCell ref="D877:D879"/>
    <mergeCell ref="U877:U879"/>
    <mergeCell ref="W877:W879"/>
    <mergeCell ref="Y877:Y879"/>
    <mergeCell ref="Z877:Z879"/>
    <mergeCell ref="AB877:AB879"/>
    <mergeCell ref="BU877:BU879"/>
    <mergeCell ref="BT877:BT879"/>
    <mergeCell ref="AC877:AC879"/>
    <mergeCell ref="CD877:CD879"/>
    <mergeCell ref="S877:S879"/>
    <mergeCell ref="BW877:BW879"/>
    <mergeCell ref="BX877:BX879"/>
    <mergeCell ref="BY877:BY879"/>
    <mergeCell ref="N877:N879"/>
    <mergeCell ref="CB877:CB879"/>
    <mergeCell ref="CE877:CE879"/>
    <mergeCell ref="CA877:CA879"/>
    <mergeCell ref="CC877:CC879"/>
    <mergeCell ref="AA877:AA879"/>
    <mergeCell ref="X877:X879"/>
    <mergeCell ref="V877:V879"/>
    <mergeCell ref="B877:B879"/>
    <mergeCell ref="G877:G879"/>
    <mergeCell ref="E877:E879"/>
    <mergeCell ref="F877:F879"/>
    <mergeCell ref="T880:T882"/>
    <mergeCell ref="A880:A882"/>
    <mergeCell ref="BZ880:BZ882"/>
    <mergeCell ref="BV880:BV882"/>
    <mergeCell ref="BS880:BS882"/>
    <mergeCell ref="DK880:DK882"/>
    <mergeCell ref="D880:D882"/>
    <mergeCell ref="U880:U882"/>
    <mergeCell ref="W880:W882"/>
    <mergeCell ref="Y880:Y882"/>
    <mergeCell ref="Z880:Z882"/>
    <mergeCell ref="AB880:AB882"/>
    <mergeCell ref="BU880:BU882"/>
    <mergeCell ref="BT880:BT882"/>
    <mergeCell ref="AC880:AC882"/>
    <mergeCell ref="CD880:CD882"/>
    <mergeCell ref="S880:S882"/>
    <mergeCell ref="BW880:BW882"/>
    <mergeCell ref="BX880:BX882"/>
    <mergeCell ref="BY880:BY882"/>
    <mergeCell ref="H880:H882"/>
    <mergeCell ref="N880:N882"/>
    <mergeCell ref="CB880:CB882"/>
    <mergeCell ref="CE880:CE882"/>
    <mergeCell ref="CA880:CA882"/>
    <mergeCell ref="CC880:CC882"/>
    <mergeCell ref="AA880:AA882"/>
    <mergeCell ref="X880:X882"/>
    <mergeCell ref="V880:V882"/>
    <mergeCell ref="B880:B882"/>
    <mergeCell ref="G880:G882"/>
    <mergeCell ref="E880:E882"/>
    <mergeCell ref="T874:T876"/>
    <mergeCell ref="A874:A876"/>
    <mergeCell ref="BZ874:BZ876"/>
    <mergeCell ref="BV874:BV876"/>
    <mergeCell ref="BS874:BS876"/>
    <mergeCell ref="DK874:DK876"/>
    <mergeCell ref="D874:D876"/>
    <mergeCell ref="U874:U876"/>
    <mergeCell ref="W874:W876"/>
    <mergeCell ref="Y874:Y876"/>
    <mergeCell ref="Z874:Z876"/>
    <mergeCell ref="AB874:AB876"/>
    <mergeCell ref="BU874:BU876"/>
    <mergeCell ref="BT874:BT876"/>
    <mergeCell ref="AC874:AC876"/>
    <mergeCell ref="CD874:CD876"/>
    <mergeCell ref="S874:S876"/>
    <mergeCell ref="BW874:BW876"/>
    <mergeCell ref="BX874:BX876"/>
    <mergeCell ref="BY874:BY876"/>
    <mergeCell ref="H874:H876"/>
    <mergeCell ref="N874:N876"/>
    <mergeCell ref="CB874:CB876"/>
    <mergeCell ref="CE874:CE876"/>
    <mergeCell ref="CA874:CA876"/>
    <mergeCell ref="CC874:CC876"/>
    <mergeCell ref="AA874:AA876"/>
    <mergeCell ref="X874:X876"/>
    <mergeCell ref="V874:V876"/>
    <mergeCell ref="B874:B876"/>
    <mergeCell ref="G874:G876"/>
    <mergeCell ref="E874:E876"/>
    <mergeCell ref="F874:F876"/>
    <mergeCell ref="T871:T873"/>
    <mergeCell ref="A871:A873"/>
    <mergeCell ref="BZ871:BZ873"/>
    <mergeCell ref="BV871:BV873"/>
    <mergeCell ref="BS871:BS873"/>
    <mergeCell ref="DK871:DK873"/>
    <mergeCell ref="D871:D873"/>
    <mergeCell ref="U871:U873"/>
    <mergeCell ref="W871:W873"/>
    <mergeCell ref="Y871:Y873"/>
    <mergeCell ref="Z871:Z873"/>
    <mergeCell ref="AB871:AB873"/>
    <mergeCell ref="BU871:BU873"/>
    <mergeCell ref="BT871:BT873"/>
    <mergeCell ref="AC871:AC873"/>
    <mergeCell ref="CD871:CD873"/>
    <mergeCell ref="S871:S873"/>
    <mergeCell ref="BW871:BW873"/>
    <mergeCell ref="BX871:BX873"/>
    <mergeCell ref="BY871:BY873"/>
    <mergeCell ref="H871:H873"/>
    <mergeCell ref="N871:N873"/>
    <mergeCell ref="CB871:CB873"/>
    <mergeCell ref="CE871:CE873"/>
    <mergeCell ref="CA871:CA873"/>
    <mergeCell ref="CC871:CC873"/>
    <mergeCell ref="AA871:AA873"/>
    <mergeCell ref="X871:X873"/>
    <mergeCell ref="V871:V873"/>
    <mergeCell ref="B871:B873"/>
    <mergeCell ref="G871:G873"/>
    <mergeCell ref="E871:E873"/>
    <mergeCell ref="F871:F873"/>
    <mergeCell ref="T868:T870"/>
    <mergeCell ref="A868:A870"/>
    <mergeCell ref="BZ868:BZ870"/>
    <mergeCell ref="BV868:BV870"/>
    <mergeCell ref="BS868:BS870"/>
    <mergeCell ref="DK868:DK870"/>
    <mergeCell ref="D868:D870"/>
    <mergeCell ref="U868:U870"/>
    <mergeCell ref="W868:W870"/>
    <mergeCell ref="Y868:Y870"/>
    <mergeCell ref="Z868:Z870"/>
    <mergeCell ref="AB868:AB870"/>
    <mergeCell ref="BU868:BU870"/>
    <mergeCell ref="BT868:BT870"/>
    <mergeCell ref="AC868:AC870"/>
    <mergeCell ref="CD868:CD870"/>
    <mergeCell ref="S868:S870"/>
    <mergeCell ref="BW868:BW870"/>
    <mergeCell ref="BX868:BX870"/>
    <mergeCell ref="BY868:BY870"/>
    <mergeCell ref="H868:H870"/>
    <mergeCell ref="N868:N870"/>
    <mergeCell ref="CB868:CB870"/>
    <mergeCell ref="CE868:CE870"/>
    <mergeCell ref="CA868:CA870"/>
    <mergeCell ref="CC868:CC870"/>
    <mergeCell ref="AA868:AA870"/>
    <mergeCell ref="X868:X870"/>
    <mergeCell ref="V868:V870"/>
    <mergeCell ref="B868:B870"/>
    <mergeCell ref="G868:G870"/>
    <mergeCell ref="E868:E870"/>
    <mergeCell ref="F868:F870"/>
    <mergeCell ref="T865:T867"/>
    <mergeCell ref="A865:A867"/>
    <mergeCell ref="BZ865:BZ867"/>
    <mergeCell ref="BV865:BV867"/>
    <mergeCell ref="BS865:BS867"/>
    <mergeCell ref="DK865:DK867"/>
    <mergeCell ref="D865:D867"/>
    <mergeCell ref="U865:U867"/>
    <mergeCell ref="W865:W867"/>
    <mergeCell ref="Y865:Y867"/>
    <mergeCell ref="Z865:Z867"/>
    <mergeCell ref="AB865:AB867"/>
    <mergeCell ref="BU865:BU867"/>
    <mergeCell ref="BT865:BT867"/>
    <mergeCell ref="AC865:AC867"/>
    <mergeCell ref="CD865:CD867"/>
    <mergeCell ref="S865:S867"/>
    <mergeCell ref="BW865:BW867"/>
    <mergeCell ref="BX865:BX867"/>
    <mergeCell ref="BY865:BY867"/>
    <mergeCell ref="H865:H867"/>
    <mergeCell ref="N865:N867"/>
    <mergeCell ref="CB865:CB867"/>
    <mergeCell ref="CE865:CE867"/>
    <mergeCell ref="CA865:CA867"/>
    <mergeCell ref="CC865:CC867"/>
    <mergeCell ref="AA865:AA867"/>
    <mergeCell ref="X865:X867"/>
    <mergeCell ref="V865:V867"/>
    <mergeCell ref="B865:B867"/>
    <mergeCell ref="G865:G867"/>
    <mergeCell ref="E865:E867"/>
    <mergeCell ref="F865:F867"/>
    <mergeCell ref="T862:T864"/>
    <mergeCell ref="A862:A864"/>
    <mergeCell ref="BZ862:BZ864"/>
    <mergeCell ref="BV862:BV864"/>
    <mergeCell ref="BS862:BS864"/>
    <mergeCell ref="DK862:DK864"/>
    <mergeCell ref="D862:D864"/>
    <mergeCell ref="U862:U864"/>
    <mergeCell ref="W862:W864"/>
    <mergeCell ref="Y862:Y864"/>
    <mergeCell ref="Z862:Z864"/>
    <mergeCell ref="AB862:AB864"/>
    <mergeCell ref="BU862:BU864"/>
    <mergeCell ref="BT862:BT864"/>
    <mergeCell ref="AC862:AC864"/>
    <mergeCell ref="CD862:CD864"/>
    <mergeCell ref="S862:S864"/>
    <mergeCell ref="BW862:BW864"/>
    <mergeCell ref="BX862:BX864"/>
    <mergeCell ref="BY862:BY864"/>
    <mergeCell ref="H862:H864"/>
    <mergeCell ref="N862:N864"/>
    <mergeCell ref="CB862:CB864"/>
    <mergeCell ref="CE862:CE864"/>
    <mergeCell ref="CA862:CA864"/>
    <mergeCell ref="CC862:CC864"/>
    <mergeCell ref="AA862:AA864"/>
    <mergeCell ref="X862:X864"/>
    <mergeCell ref="V862:V864"/>
    <mergeCell ref="B862:B864"/>
    <mergeCell ref="G862:G864"/>
    <mergeCell ref="E862:E864"/>
    <mergeCell ref="F862:F864"/>
    <mergeCell ref="T859:T861"/>
    <mergeCell ref="A859:A861"/>
    <mergeCell ref="BZ859:BZ861"/>
    <mergeCell ref="BV859:BV861"/>
    <mergeCell ref="BS859:BS861"/>
    <mergeCell ref="DK859:DK861"/>
    <mergeCell ref="D859:D861"/>
    <mergeCell ref="U859:U861"/>
    <mergeCell ref="W859:W861"/>
    <mergeCell ref="Y859:Y861"/>
    <mergeCell ref="Z859:Z861"/>
    <mergeCell ref="AB859:AB861"/>
    <mergeCell ref="BU859:BU861"/>
    <mergeCell ref="BT859:BT861"/>
    <mergeCell ref="AC859:AC861"/>
    <mergeCell ref="CD859:CD861"/>
    <mergeCell ref="S859:S861"/>
    <mergeCell ref="BW859:BW861"/>
    <mergeCell ref="BX859:BX861"/>
    <mergeCell ref="BY859:BY861"/>
    <mergeCell ref="H859:H861"/>
    <mergeCell ref="N859:N861"/>
    <mergeCell ref="CB859:CB861"/>
    <mergeCell ref="CE859:CE861"/>
    <mergeCell ref="CA859:CA861"/>
    <mergeCell ref="CC859:CC861"/>
    <mergeCell ref="AA859:AA861"/>
    <mergeCell ref="X859:X861"/>
    <mergeCell ref="V859:V861"/>
    <mergeCell ref="B859:B861"/>
    <mergeCell ref="G859:G861"/>
    <mergeCell ref="E859:E861"/>
    <mergeCell ref="F859:F861"/>
    <mergeCell ref="T856:T858"/>
    <mergeCell ref="A856:A858"/>
    <mergeCell ref="BZ856:BZ858"/>
    <mergeCell ref="BV856:BV858"/>
    <mergeCell ref="BS856:BS858"/>
    <mergeCell ref="DK856:DK858"/>
    <mergeCell ref="D856:D858"/>
    <mergeCell ref="U856:U858"/>
    <mergeCell ref="W856:W858"/>
    <mergeCell ref="Y856:Y858"/>
    <mergeCell ref="Z856:Z858"/>
    <mergeCell ref="AB856:AB858"/>
    <mergeCell ref="BU856:BU858"/>
    <mergeCell ref="BT856:BT858"/>
    <mergeCell ref="AC856:AC858"/>
    <mergeCell ref="CD856:CD858"/>
    <mergeCell ref="S856:S858"/>
    <mergeCell ref="BW856:BW858"/>
    <mergeCell ref="BX856:BX858"/>
    <mergeCell ref="BY856:BY858"/>
    <mergeCell ref="H856:H858"/>
    <mergeCell ref="N856:N858"/>
    <mergeCell ref="CB856:CB858"/>
    <mergeCell ref="CE856:CE858"/>
    <mergeCell ref="CA856:CA858"/>
    <mergeCell ref="CC856:CC858"/>
    <mergeCell ref="AA856:AA858"/>
    <mergeCell ref="X856:X858"/>
    <mergeCell ref="V856:V858"/>
    <mergeCell ref="B856:B858"/>
    <mergeCell ref="G856:G858"/>
    <mergeCell ref="E856:E858"/>
    <mergeCell ref="F856:F858"/>
    <mergeCell ref="T853:T855"/>
    <mergeCell ref="A853:A855"/>
    <mergeCell ref="BZ853:BZ855"/>
    <mergeCell ref="BV853:BV855"/>
    <mergeCell ref="BS853:BS855"/>
    <mergeCell ref="DK853:DK855"/>
    <mergeCell ref="D853:D855"/>
    <mergeCell ref="U853:U855"/>
    <mergeCell ref="W853:W855"/>
    <mergeCell ref="Y853:Y855"/>
    <mergeCell ref="Z853:Z855"/>
    <mergeCell ref="AB853:AB855"/>
    <mergeCell ref="BU853:BU855"/>
    <mergeCell ref="BT853:BT855"/>
    <mergeCell ref="AC853:AC855"/>
    <mergeCell ref="CD853:CD855"/>
    <mergeCell ref="S853:S855"/>
    <mergeCell ref="BW853:BW855"/>
    <mergeCell ref="BX853:BX855"/>
    <mergeCell ref="BY853:BY855"/>
    <mergeCell ref="H853:H855"/>
    <mergeCell ref="N853:N855"/>
    <mergeCell ref="CB853:CB855"/>
    <mergeCell ref="CE853:CE855"/>
    <mergeCell ref="CA853:CA855"/>
    <mergeCell ref="CC853:CC855"/>
    <mergeCell ref="AA853:AA855"/>
    <mergeCell ref="X853:X855"/>
    <mergeCell ref="V853:V855"/>
    <mergeCell ref="B853:B855"/>
    <mergeCell ref="G853:G855"/>
    <mergeCell ref="E853:E855"/>
    <mergeCell ref="F853:F855"/>
    <mergeCell ref="T850:T852"/>
    <mergeCell ref="A850:A852"/>
    <mergeCell ref="BZ850:BZ852"/>
    <mergeCell ref="BV850:BV852"/>
    <mergeCell ref="BS850:BS852"/>
    <mergeCell ref="DK850:DK852"/>
    <mergeCell ref="D850:D852"/>
    <mergeCell ref="U850:U852"/>
    <mergeCell ref="W850:W852"/>
    <mergeCell ref="Y850:Y852"/>
    <mergeCell ref="Z850:Z852"/>
    <mergeCell ref="AB850:AB852"/>
    <mergeCell ref="BU850:BU852"/>
    <mergeCell ref="BT850:BT852"/>
    <mergeCell ref="AC850:AC852"/>
    <mergeCell ref="CD850:CD852"/>
    <mergeCell ref="S850:S852"/>
    <mergeCell ref="BW850:BW852"/>
    <mergeCell ref="BX850:BX852"/>
    <mergeCell ref="BY850:BY852"/>
    <mergeCell ref="H850:H852"/>
    <mergeCell ref="N850:N852"/>
    <mergeCell ref="CB850:CB852"/>
    <mergeCell ref="CE850:CE852"/>
    <mergeCell ref="CA850:CA852"/>
    <mergeCell ref="CC850:CC852"/>
    <mergeCell ref="AA850:AA852"/>
    <mergeCell ref="X850:X852"/>
    <mergeCell ref="V850:V852"/>
    <mergeCell ref="B850:B852"/>
    <mergeCell ref="G850:G852"/>
    <mergeCell ref="E850:E852"/>
    <mergeCell ref="F850:F852"/>
    <mergeCell ref="T847:T849"/>
    <mergeCell ref="A847:A849"/>
    <mergeCell ref="BZ847:BZ849"/>
    <mergeCell ref="BV847:BV849"/>
    <mergeCell ref="BS847:BS849"/>
    <mergeCell ref="DK847:DK849"/>
    <mergeCell ref="D847:D849"/>
    <mergeCell ref="U847:U849"/>
    <mergeCell ref="W847:W849"/>
    <mergeCell ref="Y847:Y849"/>
    <mergeCell ref="Z847:Z849"/>
    <mergeCell ref="AB847:AB849"/>
    <mergeCell ref="BU847:BU849"/>
    <mergeCell ref="BT847:BT849"/>
    <mergeCell ref="AC847:AC849"/>
    <mergeCell ref="CD847:CD849"/>
    <mergeCell ref="S847:S849"/>
    <mergeCell ref="BW847:BW849"/>
    <mergeCell ref="BX847:BX849"/>
    <mergeCell ref="BY847:BY849"/>
    <mergeCell ref="H847:H849"/>
    <mergeCell ref="N847:N849"/>
    <mergeCell ref="CB847:CB849"/>
    <mergeCell ref="CE847:CE849"/>
    <mergeCell ref="CA847:CA849"/>
    <mergeCell ref="CC847:CC849"/>
    <mergeCell ref="AA847:AA849"/>
    <mergeCell ref="X847:X849"/>
    <mergeCell ref="V847:V849"/>
    <mergeCell ref="B847:B849"/>
    <mergeCell ref="G847:G849"/>
    <mergeCell ref="E847:E849"/>
    <mergeCell ref="F847:F849"/>
    <mergeCell ref="T844:T846"/>
    <mergeCell ref="A844:A846"/>
    <mergeCell ref="BZ844:BZ846"/>
    <mergeCell ref="BV844:BV846"/>
    <mergeCell ref="BS844:BS846"/>
    <mergeCell ref="DK844:DK846"/>
    <mergeCell ref="D844:D846"/>
    <mergeCell ref="U844:U846"/>
    <mergeCell ref="W844:W846"/>
    <mergeCell ref="Y844:Y846"/>
    <mergeCell ref="Z844:Z846"/>
    <mergeCell ref="AB844:AB846"/>
    <mergeCell ref="BU844:BU846"/>
    <mergeCell ref="BT844:BT846"/>
    <mergeCell ref="AC844:AC846"/>
    <mergeCell ref="CD844:CD846"/>
    <mergeCell ref="S844:S846"/>
    <mergeCell ref="BW844:BW846"/>
    <mergeCell ref="BX844:BX846"/>
    <mergeCell ref="BY844:BY846"/>
    <mergeCell ref="H844:H846"/>
    <mergeCell ref="N844:N846"/>
    <mergeCell ref="CB844:CB846"/>
    <mergeCell ref="CE844:CE846"/>
    <mergeCell ref="CA844:CA846"/>
    <mergeCell ref="CC844:CC846"/>
    <mergeCell ref="AA844:AA846"/>
    <mergeCell ref="X844:X846"/>
    <mergeCell ref="V844:V846"/>
    <mergeCell ref="B844:B846"/>
    <mergeCell ref="G844:G846"/>
    <mergeCell ref="E844:E846"/>
    <mergeCell ref="F844:F846"/>
    <mergeCell ref="T841:T843"/>
    <mergeCell ref="A841:A843"/>
    <mergeCell ref="BZ841:BZ843"/>
    <mergeCell ref="BV841:BV843"/>
    <mergeCell ref="BS841:BS843"/>
    <mergeCell ref="DK841:DK843"/>
    <mergeCell ref="D841:D843"/>
    <mergeCell ref="U841:U843"/>
    <mergeCell ref="W841:W843"/>
    <mergeCell ref="Y841:Y843"/>
    <mergeCell ref="Z841:Z843"/>
    <mergeCell ref="AB841:AB843"/>
    <mergeCell ref="BU841:BU843"/>
    <mergeCell ref="BT841:BT843"/>
    <mergeCell ref="AC841:AC843"/>
    <mergeCell ref="CD841:CD843"/>
    <mergeCell ref="S841:S843"/>
    <mergeCell ref="BW841:BW843"/>
    <mergeCell ref="BX841:BX843"/>
    <mergeCell ref="BY841:BY843"/>
    <mergeCell ref="H841:H843"/>
    <mergeCell ref="N841:N843"/>
    <mergeCell ref="CB841:CB843"/>
    <mergeCell ref="CE841:CE843"/>
    <mergeCell ref="CA841:CA843"/>
    <mergeCell ref="CC841:CC843"/>
    <mergeCell ref="AA841:AA843"/>
    <mergeCell ref="X841:X843"/>
    <mergeCell ref="V841:V843"/>
    <mergeCell ref="B841:B843"/>
    <mergeCell ref="G841:G843"/>
    <mergeCell ref="E841:E843"/>
    <mergeCell ref="F841:F843"/>
    <mergeCell ref="T838:T840"/>
    <mergeCell ref="A838:A840"/>
    <mergeCell ref="BZ838:BZ840"/>
    <mergeCell ref="BV838:BV840"/>
    <mergeCell ref="BS838:BS840"/>
    <mergeCell ref="DK838:DK840"/>
    <mergeCell ref="D838:D840"/>
    <mergeCell ref="U838:U840"/>
    <mergeCell ref="W838:W840"/>
    <mergeCell ref="Y838:Y840"/>
    <mergeCell ref="Z838:Z840"/>
    <mergeCell ref="AB838:AB840"/>
    <mergeCell ref="BU838:BU840"/>
    <mergeCell ref="BT838:BT840"/>
    <mergeCell ref="AC838:AC840"/>
    <mergeCell ref="CD838:CD840"/>
    <mergeCell ref="S838:S840"/>
    <mergeCell ref="BW838:BW840"/>
    <mergeCell ref="BX838:BX840"/>
    <mergeCell ref="BY838:BY840"/>
    <mergeCell ref="H838:H840"/>
    <mergeCell ref="N838:N840"/>
    <mergeCell ref="CB838:CB840"/>
    <mergeCell ref="CE838:CE840"/>
    <mergeCell ref="CA838:CA840"/>
    <mergeCell ref="CC838:CC840"/>
    <mergeCell ref="AA838:AA840"/>
    <mergeCell ref="X838:X840"/>
    <mergeCell ref="V838:V840"/>
    <mergeCell ref="B838:B840"/>
    <mergeCell ref="G838:G840"/>
    <mergeCell ref="E838:E840"/>
    <mergeCell ref="F838:F840"/>
    <mergeCell ref="T835:T837"/>
    <mergeCell ref="A835:A837"/>
    <mergeCell ref="BZ835:BZ837"/>
    <mergeCell ref="BV835:BV837"/>
    <mergeCell ref="BS835:BS837"/>
    <mergeCell ref="DK835:DK837"/>
    <mergeCell ref="D835:D837"/>
    <mergeCell ref="U835:U837"/>
    <mergeCell ref="W835:W837"/>
    <mergeCell ref="Y835:Y837"/>
    <mergeCell ref="Z835:Z837"/>
    <mergeCell ref="AB835:AB837"/>
    <mergeCell ref="BU835:BU837"/>
    <mergeCell ref="BT835:BT837"/>
    <mergeCell ref="AC835:AC837"/>
    <mergeCell ref="CD835:CD837"/>
    <mergeCell ref="S835:S837"/>
    <mergeCell ref="BW835:BW837"/>
    <mergeCell ref="BX835:BX837"/>
    <mergeCell ref="BY835:BY837"/>
    <mergeCell ref="H835:H837"/>
    <mergeCell ref="N835:N837"/>
    <mergeCell ref="CB835:CB837"/>
    <mergeCell ref="CE835:CE837"/>
    <mergeCell ref="CA835:CA837"/>
    <mergeCell ref="CC835:CC837"/>
    <mergeCell ref="AA835:AA837"/>
    <mergeCell ref="X835:X837"/>
    <mergeCell ref="V835:V837"/>
    <mergeCell ref="B835:B837"/>
    <mergeCell ref="G835:G837"/>
    <mergeCell ref="E835:E837"/>
    <mergeCell ref="F835:F837"/>
    <mergeCell ref="T832:T834"/>
    <mergeCell ref="A832:A834"/>
    <mergeCell ref="BZ832:BZ834"/>
    <mergeCell ref="BV832:BV834"/>
    <mergeCell ref="BS832:BS834"/>
    <mergeCell ref="DK832:DK834"/>
    <mergeCell ref="D832:D834"/>
    <mergeCell ref="U832:U834"/>
    <mergeCell ref="W832:W834"/>
    <mergeCell ref="Y832:Y834"/>
    <mergeCell ref="Z832:Z834"/>
    <mergeCell ref="AB832:AB834"/>
    <mergeCell ref="BU832:BU834"/>
    <mergeCell ref="BT832:BT834"/>
    <mergeCell ref="AC832:AC834"/>
    <mergeCell ref="CD832:CD834"/>
    <mergeCell ref="S832:S834"/>
    <mergeCell ref="BW832:BW834"/>
    <mergeCell ref="BX832:BX834"/>
    <mergeCell ref="BY832:BY834"/>
    <mergeCell ref="H832:H834"/>
    <mergeCell ref="N832:N834"/>
    <mergeCell ref="CB832:CB834"/>
    <mergeCell ref="CE832:CE834"/>
    <mergeCell ref="CA832:CA834"/>
    <mergeCell ref="CC832:CC834"/>
    <mergeCell ref="AA832:AA834"/>
    <mergeCell ref="X832:X834"/>
    <mergeCell ref="V832:V834"/>
    <mergeCell ref="B832:B834"/>
    <mergeCell ref="G832:G834"/>
    <mergeCell ref="E832:E834"/>
    <mergeCell ref="F832:F834"/>
    <mergeCell ref="T829:T831"/>
    <mergeCell ref="A829:A831"/>
    <mergeCell ref="BZ829:BZ831"/>
    <mergeCell ref="BV829:BV831"/>
    <mergeCell ref="BS829:BS831"/>
    <mergeCell ref="DK829:DK831"/>
    <mergeCell ref="D829:D831"/>
    <mergeCell ref="U829:U831"/>
    <mergeCell ref="W829:W831"/>
    <mergeCell ref="Y829:Y831"/>
    <mergeCell ref="Z829:Z831"/>
    <mergeCell ref="AB829:AB831"/>
    <mergeCell ref="BU829:BU831"/>
    <mergeCell ref="BT829:BT831"/>
    <mergeCell ref="AC829:AC831"/>
    <mergeCell ref="CD829:CD831"/>
    <mergeCell ref="S829:S831"/>
    <mergeCell ref="BW829:BW831"/>
    <mergeCell ref="BX829:BX831"/>
    <mergeCell ref="BY829:BY831"/>
    <mergeCell ref="H829:H831"/>
    <mergeCell ref="N829:N831"/>
    <mergeCell ref="CB829:CB831"/>
    <mergeCell ref="CE829:CE831"/>
    <mergeCell ref="CA829:CA831"/>
    <mergeCell ref="CC829:CC831"/>
    <mergeCell ref="AA829:AA831"/>
    <mergeCell ref="X829:X831"/>
    <mergeCell ref="V829:V831"/>
    <mergeCell ref="B829:B831"/>
    <mergeCell ref="G829:G831"/>
    <mergeCell ref="E829:E831"/>
    <mergeCell ref="F829:F831"/>
    <mergeCell ref="H769:H771"/>
    <mergeCell ref="H775:H777"/>
    <mergeCell ref="H781:H783"/>
    <mergeCell ref="T826:T828"/>
    <mergeCell ref="A826:A828"/>
    <mergeCell ref="BZ826:BZ828"/>
    <mergeCell ref="BV826:BV828"/>
    <mergeCell ref="BS826:BS828"/>
    <mergeCell ref="DK826:DK828"/>
    <mergeCell ref="D826:D828"/>
    <mergeCell ref="U826:U828"/>
    <mergeCell ref="W826:W828"/>
    <mergeCell ref="Y826:Y828"/>
    <mergeCell ref="Z826:Z828"/>
    <mergeCell ref="AB826:AB828"/>
    <mergeCell ref="BU826:BU828"/>
    <mergeCell ref="BT826:BT828"/>
    <mergeCell ref="AC826:AC828"/>
    <mergeCell ref="CD826:CD828"/>
    <mergeCell ref="S826:S828"/>
    <mergeCell ref="BW826:BW828"/>
    <mergeCell ref="BX826:BX828"/>
    <mergeCell ref="BY826:BY828"/>
    <mergeCell ref="H826:H828"/>
    <mergeCell ref="N826:N828"/>
    <mergeCell ref="CB826:CB828"/>
    <mergeCell ref="CE826:CE828"/>
    <mergeCell ref="CA826:CA828"/>
    <mergeCell ref="CC826:CC828"/>
    <mergeCell ref="AA826:AA828"/>
    <mergeCell ref="X826:X828"/>
    <mergeCell ref="V826:V828"/>
    <mergeCell ref="B826:B828"/>
    <mergeCell ref="G826:G828"/>
    <mergeCell ref="E826:E828"/>
    <mergeCell ref="F826:F828"/>
    <mergeCell ref="T823:T825"/>
    <mergeCell ref="A823:A825"/>
    <mergeCell ref="BZ823:BZ825"/>
    <mergeCell ref="BV823:BV825"/>
    <mergeCell ref="BS823:BS825"/>
    <mergeCell ref="DK823:DK825"/>
    <mergeCell ref="D823:D825"/>
    <mergeCell ref="U823:U825"/>
    <mergeCell ref="W823:W825"/>
    <mergeCell ref="Y823:Y825"/>
    <mergeCell ref="Z823:Z825"/>
    <mergeCell ref="AB823:AB825"/>
    <mergeCell ref="BU823:BU825"/>
    <mergeCell ref="BT823:BT825"/>
    <mergeCell ref="AC823:AC825"/>
    <mergeCell ref="CD823:CD825"/>
    <mergeCell ref="S823:S825"/>
    <mergeCell ref="BW823:BW825"/>
    <mergeCell ref="BX823:BX825"/>
    <mergeCell ref="BY823:BY825"/>
    <mergeCell ref="H823:H825"/>
    <mergeCell ref="N823:N825"/>
    <mergeCell ref="CB823:CB825"/>
    <mergeCell ref="CE823:CE825"/>
    <mergeCell ref="CA823:CA825"/>
    <mergeCell ref="CC823:CC825"/>
    <mergeCell ref="AA823:AA825"/>
    <mergeCell ref="X823:X825"/>
    <mergeCell ref="V823:V825"/>
    <mergeCell ref="B823:B825"/>
    <mergeCell ref="G823:G825"/>
    <mergeCell ref="E823:E825"/>
    <mergeCell ref="F823:F825"/>
    <mergeCell ref="T820:T822"/>
    <mergeCell ref="A820:A822"/>
    <mergeCell ref="BZ820:BZ822"/>
    <mergeCell ref="BV820:BV822"/>
    <mergeCell ref="BS820:BS822"/>
    <mergeCell ref="DK820:DK822"/>
    <mergeCell ref="D820:D822"/>
    <mergeCell ref="U820:U822"/>
    <mergeCell ref="W820:W822"/>
    <mergeCell ref="Y820:Y822"/>
    <mergeCell ref="Z820:Z822"/>
    <mergeCell ref="AB820:AB822"/>
    <mergeCell ref="BU820:BU822"/>
    <mergeCell ref="BT820:BT822"/>
    <mergeCell ref="AC820:AC822"/>
    <mergeCell ref="CD820:CD822"/>
    <mergeCell ref="S820:S822"/>
    <mergeCell ref="BW820:BW822"/>
    <mergeCell ref="BX820:BX822"/>
    <mergeCell ref="BY820:BY822"/>
    <mergeCell ref="H820:H822"/>
    <mergeCell ref="N820:N822"/>
    <mergeCell ref="CB820:CB822"/>
    <mergeCell ref="CE820:CE822"/>
    <mergeCell ref="CA820:CA822"/>
    <mergeCell ref="CC820:CC822"/>
    <mergeCell ref="AA820:AA822"/>
    <mergeCell ref="X820:X822"/>
    <mergeCell ref="V820:V822"/>
    <mergeCell ref="B820:B822"/>
    <mergeCell ref="G820:G822"/>
    <mergeCell ref="E820:E822"/>
    <mergeCell ref="F820:F822"/>
    <mergeCell ref="T817:T819"/>
    <mergeCell ref="A817:A819"/>
    <mergeCell ref="BZ817:BZ819"/>
    <mergeCell ref="BV817:BV819"/>
    <mergeCell ref="BS817:BS819"/>
    <mergeCell ref="DK817:DK819"/>
    <mergeCell ref="D817:D819"/>
    <mergeCell ref="U817:U819"/>
    <mergeCell ref="W817:W819"/>
    <mergeCell ref="Y817:Y819"/>
    <mergeCell ref="Z817:Z819"/>
    <mergeCell ref="AB817:AB819"/>
    <mergeCell ref="BU817:BU819"/>
    <mergeCell ref="BT817:BT819"/>
    <mergeCell ref="AC817:AC819"/>
    <mergeCell ref="CD817:CD819"/>
    <mergeCell ref="S817:S819"/>
    <mergeCell ref="BW817:BW819"/>
    <mergeCell ref="BX817:BX819"/>
    <mergeCell ref="BY817:BY819"/>
    <mergeCell ref="H817:H819"/>
    <mergeCell ref="N817:N819"/>
    <mergeCell ref="CB817:CB819"/>
    <mergeCell ref="CE817:CE819"/>
    <mergeCell ref="CA817:CA819"/>
    <mergeCell ref="CC817:CC819"/>
    <mergeCell ref="AA817:AA819"/>
    <mergeCell ref="X817:X819"/>
    <mergeCell ref="V817:V819"/>
    <mergeCell ref="B817:B819"/>
    <mergeCell ref="G817:G819"/>
    <mergeCell ref="E817:E819"/>
    <mergeCell ref="F817:F819"/>
    <mergeCell ref="T814:T816"/>
    <mergeCell ref="A814:A816"/>
    <mergeCell ref="BZ814:BZ816"/>
    <mergeCell ref="BV814:BV816"/>
    <mergeCell ref="BS814:BS816"/>
    <mergeCell ref="DK814:DK816"/>
    <mergeCell ref="D814:D816"/>
    <mergeCell ref="U814:U816"/>
    <mergeCell ref="W814:W816"/>
    <mergeCell ref="Y814:Y816"/>
    <mergeCell ref="Z814:Z816"/>
    <mergeCell ref="AB814:AB816"/>
    <mergeCell ref="BU814:BU816"/>
    <mergeCell ref="BT814:BT816"/>
    <mergeCell ref="AC814:AC816"/>
    <mergeCell ref="CD814:CD816"/>
    <mergeCell ref="S814:S816"/>
    <mergeCell ref="BW814:BW816"/>
    <mergeCell ref="BX814:BX816"/>
    <mergeCell ref="BY814:BY816"/>
    <mergeCell ref="H814:H816"/>
    <mergeCell ref="N814:N816"/>
    <mergeCell ref="CB814:CB816"/>
    <mergeCell ref="CE814:CE816"/>
    <mergeCell ref="CA814:CA816"/>
    <mergeCell ref="CC814:CC816"/>
    <mergeCell ref="AA814:AA816"/>
    <mergeCell ref="X814:X816"/>
    <mergeCell ref="V814:V816"/>
    <mergeCell ref="B814:B816"/>
    <mergeCell ref="G814:G816"/>
    <mergeCell ref="E814:E816"/>
    <mergeCell ref="F814:F816"/>
    <mergeCell ref="T811:T813"/>
    <mergeCell ref="A811:A813"/>
    <mergeCell ref="BZ811:BZ813"/>
    <mergeCell ref="BV811:BV813"/>
    <mergeCell ref="BS811:BS813"/>
    <mergeCell ref="DK811:DK813"/>
    <mergeCell ref="D811:D813"/>
    <mergeCell ref="U811:U813"/>
    <mergeCell ref="W811:W813"/>
    <mergeCell ref="Y811:Y813"/>
    <mergeCell ref="Z811:Z813"/>
    <mergeCell ref="AB811:AB813"/>
    <mergeCell ref="BU811:BU813"/>
    <mergeCell ref="BT811:BT813"/>
    <mergeCell ref="AC811:AC813"/>
    <mergeCell ref="CD811:CD813"/>
    <mergeCell ref="S811:S813"/>
    <mergeCell ref="BW811:BW813"/>
    <mergeCell ref="BX811:BX813"/>
    <mergeCell ref="BY811:BY813"/>
    <mergeCell ref="H811:H813"/>
    <mergeCell ref="N811:N813"/>
    <mergeCell ref="CB811:CB813"/>
    <mergeCell ref="CE811:CE813"/>
    <mergeCell ref="CA811:CA813"/>
    <mergeCell ref="CC811:CC813"/>
    <mergeCell ref="AA811:AA813"/>
    <mergeCell ref="X811:X813"/>
    <mergeCell ref="V811:V813"/>
    <mergeCell ref="B811:B813"/>
    <mergeCell ref="G811:G813"/>
    <mergeCell ref="E811:E813"/>
    <mergeCell ref="F811:F813"/>
    <mergeCell ref="T808:T810"/>
    <mergeCell ref="A808:A810"/>
    <mergeCell ref="BZ808:BZ810"/>
    <mergeCell ref="BV808:BV810"/>
    <mergeCell ref="BS808:BS810"/>
    <mergeCell ref="DK808:DK810"/>
    <mergeCell ref="D808:D810"/>
    <mergeCell ref="U808:U810"/>
    <mergeCell ref="W808:W810"/>
    <mergeCell ref="Y808:Y810"/>
    <mergeCell ref="Z808:Z810"/>
    <mergeCell ref="AB808:AB810"/>
    <mergeCell ref="BU808:BU810"/>
    <mergeCell ref="BT808:BT810"/>
    <mergeCell ref="AC808:AC810"/>
    <mergeCell ref="CD808:CD810"/>
    <mergeCell ref="S808:S810"/>
    <mergeCell ref="BW808:BW810"/>
    <mergeCell ref="BX808:BX810"/>
    <mergeCell ref="BY808:BY810"/>
    <mergeCell ref="H808:H810"/>
    <mergeCell ref="N808:N810"/>
    <mergeCell ref="CB808:CB810"/>
    <mergeCell ref="CE808:CE810"/>
    <mergeCell ref="CA808:CA810"/>
    <mergeCell ref="CC808:CC810"/>
    <mergeCell ref="AA808:AA810"/>
    <mergeCell ref="X808:X810"/>
    <mergeCell ref="V808:V810"/>
    <mergeCell ref="B808:B810"/>
    <mergeCell ref="G808:G810"/>
    <mergeCell ref="E808:E810"/>
    <mergeCell ref="F808:F810"/>
    <mergeCell ref="T805:T807"/>
    <mergeCell ref="A805:A807"/>
    <mergeCell ref="BZ805:BZ807"/>
    <mergeCell ref="BV805:BV807"/>
    <mergeCell ref="BS805:BS807"/>
    <mergeCell ref="DK805:DK807"/>
    <mergeCell ref="D805:D807"/>
    <mergeCell ref="U805:U807"/>
    <mergeCell ref="W805:W807"/>
    <mergeCell ref="Y805:Y807"/>
    <mergeCell ref="Z805:Z807"/>
    <mergeCell ref="AB805:AB807"/>
    <mergeCell ref="BU805:BU807"/>
    <mergeCell ref="BT805:BT807"/>
    <mergeCell ref="AC805:AC807"/>
    <mergeCell ref="CD805:CD807"/>
    <mergeCell ref="S805:S807"/>
    <mergeCell ref="BW805:BW807"/>
    <mergeCell ref="BX805:BX807"/>
    <mergeCell ref="BY805:BY807"/>
    <mergeCell ref="H805:H807"/>
    <mergeCell ref="N805:N807"/>
    <mergeCell ref="CB805:CB807"/>
    <mergeCell ref="CE805:CE807"/>
    <mergeCell ref="CA805:CA807"/>
    <mergeCell ref="CC805:CC807"/>
    <mergeCell ref="AA805:AA807"/>
    <mergeCell ref="X805:X807"/>
    <mergeCell ref="V805:V807"/>
    <mergeCell ref="B805:B807"/>
    <mergeCell ref="G805:G807"/>
    <mergeCell ref="E805:E807"/>
    <mergeCell ref="F805:F807"/>
    <mergeCell ref="T802:T804"/>
    <mergeCell ref="A802:A804"/>
    <mergeCell ref="BZ802:BZ804"/>
    <mergeCell ref="BV802:BV804"/>
    <mergeCell ref="BS802:BS804"/>
    <mergeCell ref="DK802:DK804"/>
    <mergeCell ref="D802:D804"/>
    <mergeCell ref="U802:U804"/>
    <mergeCell ref="W802:W804"/>
    <mergeCell ref="Y802:Y804"/>
    <mergeCell ref="Z802:Z804"/>
    <mergeCell ref="AB802:AB804"/>
    <mergeCell ref="BU802:BU804"/>
    <mergeCell ref="BT802:BT804"/>
    <mergeCell ref="AC802:AC804"/>
    <mergeCell ref="CD802:CD804"/>
    <mergeCell ref="S802:S804"/>
    <mergeCell ref="BW802:BW804"/>
    <mergeCell ref="BX802:BX804"/>
    <mergeCell ref="BY802:BY804"/>
    <mergeCell ref="H802:H804"/>
    <mergeCell ref="N802:N804"/>
    <mergeCell ref="CB802:CB804"/>
    <mergeCell ref="CE802:CE804"/>
    <mergeCell ref="CA802:CA804"/>
    <mergeCell ref="CC802:CC804"/>
    <mergeCell ref="AA802:AA804"/>
    <mergeCell ref="X802:X804"/>
    <mergeCell ref="V802:V804"/>
    <mergeCell ref="B802:B804"/>
    <mergeCell ref="G802:G804"/>
    <mergeCell ref="E802:E804"/>
    <mergeCell ref="F802:F804"/>
    <mergeCell ref="T799:T801"/>
    <mergeCell ref="A799:A801"/>
    <mergeCell ref="BZ799:BZ801"/>
    <mergeCell ref="BV799:BV801"/>
    <mergeCell ref="BS799:BS801"/>
    <mergeCell ref="DK799:DK801"/>
    <mergeCell ref="D799:D801"/>
    <mergeCell ref="U799:U801"/>
    <mergeCell ref="W799:W801"/>
    <mergeCell ref="Y799:Y801"/>
    <mergeCell ref="Z799:Z801"/>
    <mergeCell ref="AB799:AB801"/>
    <mergeCell ref="BU799:BU801"/>
    <mergeCell ref="BT799:BT801"/>
    <mergeCell ref="AC799:AC801"/>
    <mergeCell ref="CD799:CD801"/>
    <mergeCell ref="S799:S801"/>
    <mergeCell ref="BW799:BW801"/>
    <mergeCell ref="BX799:BX801"/>
    <mergeCell ref="BY799:BY801"/>
    <mergeCell ref="H799:H801"/>
    <mergeCell ref="N799:N801"/>
    <mergeCell ref="CB799:CB801"/>
    <mergeCell ref="CE799:CE801"/>
    <mergeCell ref="CA799:CA801"/>
    <mergeCell ref="CC799:CC801"/>
    <mergeCell ref="AA799:AA801"/>
    <mergeCell ref="X799:X801"/>
    <mergeCell ref="V799:V801"/>
    <mergeCell ref="B799:B801"/>
    <mergeCell ref="G799:G801"/>
    <mergeCell ref="E799:E801"/>
    <mergeCell ref="F799:F801"/>
    <mergeCell ref="T796:T798"/>
    <mergeCell ref="A796:A798"/>
    <mergeCell ref="BZ796:BZ798"/>
    <mergeCell ref="BV796:BV798"/>
    <mergeCell ref="BS796:BS798"/>
    <mergeCell ref="DK796:DK798"/>
    <mergeCell ref="D796:D798"/>
    <mergeCell ref="U796:U798"/>
    <mergeCell ref="W796:W798"/>
    <mergeCell ref="Y796:Y798"/>
    <mergeCell ref="Z796:Z798"/>
    <mergeCell ref="AB796:AB798"/>
    <mergeCell ref="BU796:BU798"/>
    <mergeCell ref="BT796:BT798"/>
    <mergeCell ref="AC796:AC798"/>
    <mergeCell ref="CD796:CD798"/>
    <mergeCell ref="S796:S798"/>
    <mergeCell ref="BW796:BW798"/>
    <mergeCell ref="BX796:BX798"/>
    <mergeCell ref="BY796:BY798"/>
    <mergeCell ref="H796:H798"/>
    <mergeCell ref="N796:N798"/>
    <mergeCell ref="CB796:CB798"/>
    <mergeCell ref="CE796:CE798"/>
    <mergeCell ref="CA796:CA798"/>
    <mergeCell ref="CC796:CC798"/>
    <mergeCell ref="AA796:AA798"/>
    <mergeCell ref="X796:X798"/>
    <mergeCell ref="V796:V798"/>
    <mergeCell ref="B796:B798"/>
    <mergeCell ref="G796:G798"/>
    <mergeCell ref="E796:E798"/>
    <mergeCell ref="F796:F798"/>
    <mergeCell ref="T793:T795"/>
    <mergeCell ref="A793:A795"/>
    <mergeCell ref="BZ793:BZ795"/>
    <mergeCell ref="BV793:BV795"/>
    <mergeCell ref="BS793:BS795"/>
    <mergeCell ref="DK793:DK795"/>
    <mergeCell ref="D793:D795"/>
    <mergeCell ref="U793:U795"/>
    <mergeCell ref="W793:W795"/>
    <mergeCell ref="Y793:Y795"/>
    <mergeCell ref="Z793:Z795"/>
    <mergeCell ref="AB793:AB795"/>
    <mergeCell ref="BU793:BU795"/>
    <mergeCell ref="BT793:BT795"/>
    <mergeCell ref="AC793:AC795"/>
    <mergeCell ref="CD793:CD795"/>
    <mergeCell ref="S793:S795"/>
    <mergeCell ref="BW793:BW795"/>
    <mergeCell ref="BX793:BX795"/>
    <mergeCell ref="BY793:BY795"/>
    <mergeCell ref="H793:H795"/>
    <mergeCell ref="N793:N795"/>
    <mergeCell ref="CB793:CB795"/>
    <mergeCell ref="CE793:CE795"/>
    <mergeCell ref="CA793:CA795"/>
    <mergeCell ref="CC793:CC795"/>
    <mergeCell ref="AA793:AA795"/>
    <mergeCell ref="X793:X795"/>
    <mergeCell ref="V793:V795"/>
    <mergeCell ref="B793:B795"/>
    <mergeCell ref="G793:G795"/>
    <mergeCell ref="E793:E795"/>
    <mergeCell ref="F793:F795"/>
    <mergeCell ref="T790:T792"/>
    <mergeCell ref="A790:A792"/>
    <mergeCell ref="BZ790:BZ792"/>
    <mergeCell ref="BV790:BV792"/>
    <mergeCell ref="BS790:BS792"/>
    <mergeCell ref="DK790:DK792"/>
    <mergeCell ref="D790:D792"/>
    <mergeCell ref="U790:U792"/>
    <mergeCell ref="W790:W792"/>
    <mergeCell ref="Y790:Y792"/>
    <mergeCell ref="Z790:Z792"/>
    <mergeCell ref="AB790:AB792"/>
    <mergeCell ref="BU790:BU792"/>
    <mergeCell ref="BT790:BT792"/>
    <mergeCell ref="AC790:AC792"/>
    <mergeCell ref="CD790:CD792"/>
    <mergeCell ref="S790:S792"/>
    <mergeCell ref="BW790:BW792"/>
    <mergeCell ref="BX790:BX792"/>
    <mergeCell ref="BY790:BY792"/>
    <mergeCell ref="H790:H792"/>
    <mergeCell ref="N790:N792"/>
    <mergeCell ref="CB790:CB792"/>
    <mergeCell ref="CE790:CE792"/>
    <mergeCell ref="CA790:CA792"/>
    <mergeCell ref="CC790:CC792"/>
    <mergeCell ref="AA790:AA792"/>
    <mergeCell ref="X790:X792"/>
    <mergeCell ref="V790:V792"/>
    <mergeCell ref="B790:B792"/>
    <mergeCell ref="G790:G792"/>
    <mergeCell ref="E790:E792"/>
    <mergeCell ref="F790:F792"/>
    <mergeCell ref="F784:F786"/>
    <mergeCell ref="T787:T789"/>
    <mergeCell ref="A787:A789"/>
    <mergeCell ref="BZ787:BZ789"/>
    <mergeCell ref="BV787:BV789"/>
    <mergeCell ref="BS787:BS789"/>
    <mergeCell ref="DK787:DK789"/>
    <mergeCell ref="D787:D789"/>
    <mergeCell ref="U787:U789"/>
    <mergeCell ref="W787:W789"/>
    <mergeCell ref="Y787:Y789"/>
    <mergeCell ref="Z787:Z789"/>
    <mergeCell ref="AB787:AB789"/>
    <mergeCell ref="BU787:BU789"/>
    <mergeCell ref="BT787:BT789"/>
    <mergeCell ref="AC787:AC789"/>
    <mergeCell ref="CD787:CD789"/>
    <mergeCell ref="S787:S789"/>
    <mergeCell ref="BW787:BW789"/>
    <mergeCell ref="BX787:BX789"/>
    <mergeCell ref="BY787:BY789"/>
    <mergeCell ref="H787:H789"/>
    <mergeCell ref="N787:N789"/>
    <mergeCell ref="CB787:CB789"/>
    <mergeCell ref="CE787:CE789"/>
    <mergeCell ref="CA787:CA789"/>
    <mergeCell ref="CC787:CC789"/>
    <mergeCell ref="AA787:AA789"/>
    <mergeCell ref="X787:X789"/>
    <mergeCell ref="V787:V789"/>
    <mergeCell ref="B787:B789"/>
    <mergeCell ref="G787:G789"/>
    <mergeCell ref="E787:E789"/>
    <mergeCell ref="F787:F789"/>
    <mergeCell ref="T781:T783"/>
    <mergeCell ref="A781:A783"/>
    <mergeCell ref="BZ781:BZ783"/>
    <mergeCell ref="BV781:BV783"/>
    <mergeCell ref="BS781:BS783"/>
    <mergeCell ref="DK781:DK783"/>
    <mergeCell ref="D781:D783"/>
    <mergeCell ref="U781:U783"/>
    <mergeCell ref="W781:W783"/>
    <mergeCell ref="Y781:Y783"/>
    <mergeCell ref="Z781:Z783"/>
    <mergeCell ref="AB781:AB783"/>
    <mergeCell ref="BU781:BU783"/>
    <mergeCell ref="BT781:BT783"/>
    <mergeCell ref="AC781:AC783"/>
    <mergeCell ref="CD781:CD783"/>
    <mergeCell ref="S781:S783"/>
    <mergeCell ref="BW781:BW783"/>
    <mergeCell ref="BX781:BX783"/>
    <mergeCell ref="BY781:BY783"/>
    <mergeCell ref="N781:N783"/>
    <mergeCell ref="CB781:CB783"/>
    <mergeCell ref="CE781:CE783"/>
    <mergeCell ref="CA781:CA783"/>
    <mergeCell ref="CC781:CC783"/>
    <mergeCell ref="AA781:AA783"/>
    <mergeCell ref="X781:X783"/>
    <mergeCell ref="V781:V783"/>
    <mergeCell ref="B781:B783"/>
    <mergeCell ref="G781:G783"/>
    <mergeCell ref="E781:E783"/>
    <mergeCell ref="F781:F783"/>
    <mergeCell ref="T784:T786"/>
    <mergeCell ref="A784:A786"/>
    <mergeCell ref="BZ784:BZ786"/>
    <mergeCell ref="BV784:BV786"/>
    <mergeCell ref="BS784:BS786"/>
    <mergeCell ref="DK784:DK786"/>
    <mergeCell ref="D784:D786"/>
    <mergeCell ref="U784:U786"/>
    <mergeCell ref="W784:W786"/>
    <mergeCell ref="Y784:Y786"/>
    <mergeCell ref="Z784:Z786"/>
    <mergeCell ref="AB784:AB786"/>
    <mergeCell ref="BU784:BU786"/>
    <mergeCell ref="BT784:BT786"/>
    <mergeCell ref="AC784:AC786"/>
    <mergeCell ref="CD784:CD786"/>
    <mergeCell ref="S784:S786"/>
    <mergeCell ref="BW784:BW786"/>
    <mergeCell ref="BX784:BX786"/>
    <mergeCell ref="BY784:BY786"/>
    <mergeCell ref="H784:H786"/>
    <mergeCell ref="N784:N786"/>
    <mergeCell ref="CB784:CB786"/>
    <mergeCell ref="CE784:CE786"/>
    <mergeCell ref="CA784:CA786"/>
    <mergeCell ref="CC784:CC786"/>
    <mergeCell ref="AA784:AA786"/>
    <mergeCell ref="X784:X786"/>
    <mergeCell ref="V784:V786"/>
    <mergeCell ref="B784:B786"/>
    <mergeCell ref="G784:G786"/>
    <mergeCell ref="E784:E786"/>
    <mergeCell ref="T778:T780"/>
    <mergeCell ref="A778:A780"/>
    <mergeCell ref="BZ778:BZ780"/>
    <mergeCell ref="BV778:BV780"/>
    <mergeCell ref="BS778:BS780"/>
    <mergeCell ref="DK778:DK780"/>
    <mergeCell ref="D778:D780"/>
    <mergeCell ref="U778:U780"/>
    <mergeCell ref="W778:W780"/>
    <mergeCell ref="Y778:Y780"/>
    <mergeCell ref="Z778:Z780"/>
    <mergeCell ref="AB778:AB780"/>
    <mergeCell ref="BU778:BU780"/>
    <mergeCell ref="BT778:BT780"/>
    <mergeCell ref="AC778:AC780"/>
    <mergeCell ref="CD778:CD780"/>
    <mergeCell ref="S778:S780"/>
    <mergeCell ref="BW778:BW780"/>
    <mergeCell ref="BX778:BX780"/>
    <mergeCell ref="BY778:BY780"/>
    <mergeCell ref="H778:H780"/>
    <mergeCell ref="N778:N780"/>
    <mergeCell ref="CB778:CB780"/>
    <mergeCell ref="CE778:CE780"/>
    <mergeCell ref="CA778:CA780"/>
    <mergeCell ref="CC778:CC780"/>
    <mergeCell ref="AA778:AA780"/>
    <mergeCell ref="X778:X780"/>
    <mergeCell ref="V778:V780"/>
    <mergeCell ref="B778:B780"/>
    <mergeCell ref="G778:G780"/>
    <mergeCell ref="E778:E780"/>
    <mergeCell ref="F778:F780"/>
    <mergeCell ref="F772:F774"/>
    <mergeCell ref="T775:T777"/>
    <mergeCell ref="A775:A777"/>
    <mergeCell ref="BZ775:BZ777"/>
    <mergeCell ref="BV775:BV777"/>
    <mergeCell ref="BS775:BS777"/>
    <mergeCell ref="DK775:DK777"/>
    <mergeCell ref="D775:D777"/>
    <mergeCell ref="U775:U777"/>
    <mergeCell ref="W775:W777"/>
    <mergeCell ref="Y775:Y777"/>
    <mergeCell ref="Z775:Z777"/>
    <mergeCell ref="AB775:AB777"/>
    <mergeCell ref="BU775:BU777"/>
    <mergeCell ref="BT775:BT777"/>
    <mergeCell ref="AC775:AC777"/>
    <mergeCell ref="CD775:CD777"/>
    <mergeCell ref="S775:S777"/>
    <mergeCell ref="BW775:BW777"/>
    <mergeCell ref="BX775:BX777"/>
    <mergeCell ref="BY775:BY777"/>
    <mergeCell ref="N775:N777"/>
    <mergeCell ref="CB775:CB777"/>
    <mergeCell ref="CE775:CE777"/>
    <mergeCell ref="CA775:CA777"/>
    <mergeCell ref="CC775:CC777"/>
    <mergeCell ref="AA775:AA777"/>
    <mergeCell ref="X775:X777"/>
    <mergeCell ref="V775:V777"/>
    <mergeCell ref="B775:B777"/>
    <mergeCell ref="G775:G777"/>
    <mergeCell ref="E775:E777"/>
    <mergeCell ref="F775:F777"/>
    <mergeCell ref="T769:T771"/>
    <mergeCell ref="A769:A771"/>
    <mergeCell ref="BZ769:BZ771"/>
    <mergeCell ref="BV769:BV771"/>
    <mergeCell ref="BS769:BS771"/>
    <mergeCell ref="DK769:DK771"/>
    <mergeCell ref="D769:D771"/>
    <mergeCell ref="U769:U771"/>
    <mergeCell ref="W769:W771"/>
    <mergeCell ref="Y769:Y771"/>
    <mergeCell ref="Z769:Z771"/>
    <mergeCell ref="AB769:AB771"/>
    <mergeCell ref="BU769:BU771"/>
    <mergeCell ref="BT769:BT771"/>
    <mergeCell ref="AC769:AC771"/>
    <mergeCell ref="CD769:CD771"/>
    <mergeCell ref="S769:S771"/>
    <mergeCell ref="BW769:BW771"/>
    <mergeCell ref="BX769:BX771"/>
    <mergeCell ref="BY769:BY771"/>
    <mergeCell ref="N769:N771"/>
    <mergeCell ref="CB769:CB771"/>
    <mergeCell ref="CE769:CE771"/>
    <mergeCell ref="CA769:CA771"/>
    <mergeCell ref="CC769:CC771"/>
    <mergeCell ref="AA769:AA771"/>
    <mergeCell ref="X769:X771"/>
    <mergeCell ref="V769:V771"/>
    <mergeCell ref="B769:B771"/>
    <mergeCell ref="G769:G771"/>
    <mergeCell ref="E769:E771"/>
    <mergeCell ref="F769:F771"/>
    <mergeCell ref="T772:T774"/>
    <mergeCell ref="A772:A774"/>
    <mergeCell ref="BZ772:BZ774"/>
    <mergeCell ref="BV772:BV774"/>
    <mergeCell ref="BS772:BS774"/>
    <mergeCell ref="DK772:DK774"/>
    <mergeCell ref="D772:D774"/>
    <mergeCell ref="U772:U774"/>
    <mergeCell ref="W772:W774"/>
    <mergeCell ref="Y772:Y774"/>
    <mergeCell ref="Z772:Z774"/>
    <mergeCell ref="AB772:AB774"/>
    <mergeCell ref="BU772:BU774"/>
    <mergeCell ref="BT772:BT774"/>
    <mergeCell ref="AC772:AC774"/>
    <mergeCell ref="CD772:CD774"/>
    <mergeCell ref="S772:S774"/>
    <mergeCell ref="BW772:BW774"/>
    <mergeCell ref="BX772:BX774"/>
    <mergeCell ref="BY772:BY774"/>
    <mergeCell ref="H772:H774"/>
    <mergeCell ref="N772:N774"/>
    <mergeCell ref="CB772:CB774"/>
    <mergeCell ref="CE772:CE774"/>
    <mergeCell ref="CA772:CA774"/>
    <mergeCell ref="CC772:CC774"/>
    <mergeCell ref="AA772:AA774"/>
    <mergeCell ref="X772:X774"/>
    <mergeCell ref="V772:V774"/>
    <mergeCell ref="B772:B774"/>
    <mergeCell ref="G772:G774"/>
    <mergeCell ref="E772:E774"/>
    <mergeCell ref="T766:T768"/>
    <mergeCell ref="A766:A768"/>
    <mergeCell ref="BZ766:BZ768"/>
    <mergeCell ref="BV766:BV768"/>
    <mergeCell ref="BS766:BS768"/>
    <mergeCell ref="DK766:DK768"/>
    <mergeCell ref="D766:D768"/>
    <mergeCell ref="U766:U768"/>
    <mergeCell ref="W766:W768"/>
    <mergeCell ref="Y766:Y768"/>
    <mergeCell ref="Z766:Z768"/>
    <mergeCell ref="AB766:AB768"/>
    <mergeCell ref="BU766:BU768"/>
    <mergeCell ref="BT766:BT768"/>
    <mergeCell ref="AC766:AC768"/>
    <mergeCell ref="CD766:CD768"/>
    <mergeCell ref="S766:S768"/>
    <mergeCell ref="BW766:BW768"/>
    <mergeCell ref="BX766:BX768"/>
    <mergeCell ref="BY766:BY768"/>
    <mergeCell ref="H766:H768"/>
    <mergeCell ref="N766:N768"/>
    <mergeCell ref="CB766:CB768"/>
    <mergeCell ref="CE766:CE768"/>
    <mergeCell ref="CA766:CA768"/>
    <mergeCell ref="CC766:CC768"/>
    <mergeCell ref="AA766:AA768"/>
    <mergeCell ref="X766:X768"/>
    <mergeCell ref="V766:V768"/>
    <mergeCell ref="B766:B768"/>
    <mergeCell ref="G766:G768"/>
    <mergeCell ref="E766:E768"/>
    <mergeCell ref="F766:F768"/>
    <mergeCell ref="T763:T765"/>
    <mergeCell ref="A763:A765"/>
    <mergeCell ref="BZ763:BZ765"/>
    <mergeCell ref="BV763:BV765"/>
    <mergeCell ref="BS763:BS765"/>
    <mergeCell ref="DK763:DK765"/>
    <mergeCell ref="D763:D765"/>
    <mergeCell ref="U763:U765"/>
    <mergeCell ref="W763:W765"/>
    <mergeCell ref="Y763:Y765"/>
    <mergeCell ref="Z763:Z765"/>
    <mergeCell ref="AB763:AB765"/>
    <mergeCell ref="BU763:BU765"/>
    <mergeCell ref="BT763:BT765"/>
    <mergeCell ref="AC763:AC765"/>
    <mergeCell ref="CD763:CD765"/>
    <mergeCell ref="S763:S765"/>
    <mergeCell ref="BW763:BW765"/>
    <mergeCell ref="BX763:BX765"/>
    <mergeCell ref="BY763:BY765"/>
    <mergeCell ref="H763:H765"/>
    <mergeCell ref="N763:N765"/>
    <mergeCell ref="CB763:CB765"/>
    <mergeCell ref="CE763:CE765"/>
    <mergeCell ref="CA763:CA765"/>
    <mergeCell ref="CC763:CC765"/>
    <mergeCell ref="AA763:AA765"/>
    <mergeCell ref="X763:X765"/>
    <mergeCell ref="V763:V765"/>
    <mergeCell ref="B763:B765"/>
    <mergeCell ref="G763:G765"/>
    <mergeCell ref="E763:E765"/>
    <mergeCell ref="F763:F765"/>
    <mergeCell ref="T760:T762"/>
    <mergeCell ref="A760:A762"/>
    <mergeCell ref="BZ760:BZ762"/>
    <mergeCell ref="BV760:BV762"/>
    <mergeCell ref="BS760:BS762"/>
    <mergeCell ref="DK760:DK762"/>
    <mergeCell ref="D760:D762"/>
    <mergeCell ref="U760:U762"/>
    <mergeCell ref="W760:W762"/>
    <mergeCell ref="Y760:Y762"/>
    <mergeCell ref="Z760:Z762"/>
    <mergeCell ref="AB760:AB762"/>
    <mergeCell ref="BU760:BU762"/>
    <mergeCell ref="BT760:BT762"/>
    <mergeCell ref="AC760:AC762"/>
    <mergeCell ref="CD760:CD762"/>
    <mergeCell ref="S760:S762"/>
    <mergeCell ref="BW760:BW762"/>
    <mergeCell ref="BX760:BX762"/>
    <mergeCell ref="BY760:BY762"/>
    <mergeCell ref="H760:H762"/>
    <mergeCell ref="N760:N762"/>
    <mergeCell ref="CB760:CB762"/>
    <mergeCell ref="CE760:CE762"/>
    <mergeCell ref="CA760:CA762"/>
    <mergeCell ref="CC760:CC762"/>
    <mergeCell ref="AA760:AA762"/>
    <mergeCell ref="X760:X762"/>
    <mergeCell ref="V760:V762"/>
    <mergeCell ref="B760:B762"/>
    <mergeCell ref="G760:G762"/>
    <mergeCell ref="E760:E762"/>
    <mergeCell ref="F760:F762"/>
    <mergeCell ref="T757:T759"/>
    <mergeCell ref="A757:A759"/>
    <mergeCell ref="BZ757:BZ759"/>
    <mergeCell ref="BV757:BV759"/>
    <mergeCell ref="BS757:BS759"/>
    <mergeCell ref="DK757:DK759"/>
    <mergeCell ref="D757:D759"/>
    <mergeCell ref="U757:U759"/>
    <mergeCell ref="W757:W759"/>
    <mergeCell ref="Y757:Y759"/>
    <mergeCell ref="Z757:Z759"/>
    <mergeCell ref="AB757:AB759"/>
    <mergeCell ref="BU757:BU759"/>
    <mergeCell ref="BT757:BT759"/>
    <mergeCell ref="AC757:AC759"/>
    <mergeCell ref="CD757:CD759"/>
    <mergeCell ref="S757:S759"/>
    <mergeCell ref="BW757:BW759"/>
    <mergeCell ref="BX757:BX759"/>
    <mergeCell ref="BY757:BY759"/>
    <mergeCell ref="H757:H759"/>
    <mergeCell ref="N757:N759"/>
    <mergeCell ref="CB757:CB759"/>
    <mergeCell ref="CE757:CE759"/>
    <mergeCell ref="CA757:CA759"/>
    <mergeCell ref="CC757:CC759"/>
    <mergeCell ref="AA757:AA759"/>
    <mergeCell ref="X757:X759"/>
    <mergeCell ref="V757:V759"/>
    <mergeCell ref="B757:B759"/>
    <mergeCell ref="G757:G759"/>
    <mergeCell ref="E757:E759"/>
    <mergeCell ref="F757:F759"/>
    <mergeCell ref="S748:S750"/>
    <mergeCell ref="BW748:BW750"/>
    <mergeCell ref="BX748:BX750"/>
    <mergeCell ref="BY748:BY750"/>
    <mergeCell ref="H748:H750"/>
    <mergeCell ref="N748:N750"/>
    <mergeCell ref="CB748:CB750"/>
    <mergeCell ref="CE748:CE750"/>
    <mergeCell ref="CA748:CA750"/>
    <mergeCell ref="CC748:CC750"/>
    <mergeCell ref="AA748:AA750"/>
    <mergeCell ref="X748:X750"/>
    <mergeCell ref="V748:V750"/>
    <mergeCell ref="B748:B750"/>
    <mergeCell ref="B751:B753"/>
    <mergeCell ref="G751:G753"/>
    <mergeCell ref="G748:G750"/>
    <mergeCell ref="E751:E753"/>
    <mergeCell ref="E748:E750"/>
    <mergeCell ref="F751:F753"/>
    <mergeCell ref="F748:F750"/>
    <mergeCell ref="H658:H660"/>
    <mergeCell ref="H679:H681"/>
    <mergeCell ref="H697:H699"/>
    <mergeCell ref="T754:T756"/>
    <mergeCell ref="A754:A756"/>
    <mergeCell ref="BZ754:BZ756"/>
    <mergeCell ref="BV754:BV756"/>
    <mergeCell ref="BS754:BS756"/>
    <mergeCell ref="DK754:DK756"/>
    <mergeCell ref="D754:D756"/>
    <mergeCell ref="U754:U756"/>
    <mergeCell ref="W754:W756"/>
    <mergeCell ref="Y754:Y756"/>
    <mergeCell ref="Z754:Z756"/>
    <mergeCell ref="AB754:AB756"/>
    <mergeCell ref="BU754:BU756"/>
    <mergeCell ref="BT754:BT756"/>
    <mergeCell ref="AC754:AC756"/>
    <mergeCell ref="CD754:CD756"/>
    <mergeCell ref="S754:S756"/>
    <mergeCell ref="BW754:BW756"/>
    <mergeCell ref="BX754:BX756"/>
    <mergeCell ref="BY754:BY756"/>
    <mergeCell ref="H754:H756"/>
    <mergeCell ref="N754:N756"/>
    <mergeCell ref="CB754:CB756"/>
    <mergeCell ref="CE754:CE756"/>
    <mergeCell ref="CA754:CA756"/>
    <mergeCell ref="CC754:CC756"/>
    <mergeCell ref="AA754:AA756"/>
    <mergeCell ref="X754:X756"/>
    <mergeCell ref="V754:V756"/>
    <mergeCell ref="B754:B756"/>
    <mergeCell ref="G754:G756"/>
    <mergeCell ref="E754:E756"/>
    <mergeCell ref="F754:F756"/>
    <mergeCell ref="BX742:BX744"/>
    <mergeCell ref="BY742:BY744"/>
    <mergeCell ref="H742:H744"/>
    <mergeCell ref="N742:N744"/>
    <mergeCell ref="CB742:CB744"/>
    <mergeCell ref="CE742:CE744"/>
    <mergeCell ref="CA742:CA744"/>
    <mergeCell ref="CC742:CC744"/>
    <mergeCell ref="AA742:AA744"/>
    <mergeCell ref="X742:X744"/>
    <mergeCell ref="V742:V744"/>
    <mergeCell ref="B742:B744"/>
    <mergeCell ref="B745:B747"/>
    <mergeCell ref="G745:G747"/>
    <mergeCell ref="G742:G744"/>
    <mergeCell ref="E745:E747"/>
    <mergeCell ref="E742:E744"/>
    <mergeCell ref="F745:F747"/>
    <mergeCell ref="F742:F744"/>
    <mergeCell ref="T751:T753"/>
    <mergeCell ref="A751:A753"/>
    <mergeCell ref="BZ751:BZ753"/>
    <mergeCell ref="BV751:BV753"/>
    <mergeCell ref="BS751:BS753"/>
    <mergeCell ref="DK751:DK753"/>
    <mergeCell ref="D751:D753"/>
    <mergeCell ref="U751:U753"/>
    <mergeCell ref="W751:W753"/>
    <mergeCell ref="Y751:Y753"/>
    <mergeCell ref="Z751:Z753"/>
    <mergeCell ref="AB751:AB753"/>
    <mergeCell ref="BU751:BU753"/>
    <mergeCell ref="BT751:BT753"/>
    <mergeCell ref="AC751:AC753"/>
    <mergeCell ref="CD751:CD753"/>
    <mergeCell ref="S751:S753"/>
    <mergeCell ref="BW751:BW753"/>
    <mergeCell ref="BX751:BX753"/>
    <mergeCell ref="BY751:BY753"/>
    <mergeCell ref="H751:H753"/>
    <mergeCell ref="N751:N753"/>
    <mergeCell ref="CB751:CB753"/>
    <mergeCell ref="CE751:CE753"/>
    <mergeCell ref="CA751:CA753"/>
    <mergeCell ref="CC751:CC753"/>
    <mergeCell ref="AA751:AA753"/>
    <mergeCell ref="X751:X753"/>
    <mergeCell ref="V751:V753"/>
    <mergeCell ref="T748:T750"/>
    <mergeCell ref="A748:A750"/>
    <mergeCell ref="BZ748:BZ750"/>
    <mergeCell ref="BV748:BV750"/>
    <mergeCell ref="BS748:BS750"/>
    <mergeCell ref="DK748:DK750"/>
    <mergeCell ref="D748:D750"/>
    <mergeCell ref="U748:U750"/>
    <mergeCell ref="W748:W750"/>
    <mergeCell ref="Y748:Y750"/>
    <mergeCell ref="Z748:Z750"/>
    <mergeCell ref="AB748:AB750"/>
    <mergeCell ref="BU748:BU750"/>
    <mergeCell ref="BT748:BT750"/>
    <mergeCell ref="AC748:AC750"/>
    <mergeCell ref="CD748:CD750"/>
    <mergeCell ref="H736:H738"/>
    <mergeCell ref="N736:N738"/>
    <mergeCell ref="CB736:CB738"/>
    <mergeCell ref="CE736:CE738"/>
    <mergeCell ref="CA736:CA738"/>
    <mergeCell ref="CC736:CC738"/>
    <mergeCell ref="AA736:AA738"/>
    <mergeCell ref="X736:X738"/>
    <mergeCell ref="V736:V738"/>
    <mergeCell ref="B736:B738"/>
    <mergeCell ref="B739:B741"/>
    <mergeCell ref="G739:G741"/>
    <mergeCell ref="G736:G738"/>
    <mergeCell ref="E739:E741"/>
    <mergeCell ref="E736:E738"/>
    <mergeCell ref="F739:F741"/>
    <mergeCell ref="F736:F738"/>
    <mergeCell ref="T745:T747"/>
    <mergeCell ref="A745:A747"/>
    <mergeCell ref="BZ745:BZ747"/>
    <mergeCell ref="BV745:BV747"/>
    <mergeCell ref="BS745:BS747"/>
    <mergeCell ref="DK745:DK747"/>
    <mergeCell ref="D745:D747"/>
    <mergeCell ref="U745:U747"/>
    <mergeCell ref="W745:W747"/>
    <mergeCell ref="Y745:Y747"/>
    <mergeCell ref="Z745:Z747"/>
    <mergeCell ref="AB745:AB747"/>
    <mergeCell ref="BU745:BU747"/>
    <mergeCell ref="BT745:BT747"/>
    <mergeCell ref="AC745:AC747"/>
    <mergeCell ref="CD745:CD747"/>
    <mergeCell ref="S745:S747"/>
    <mergeCell ref="BW745:BW747"/>
    <mergeCell ref="BX745:BX747"/>
    <mergeCell ref="BY745:BY747"/>
    <mergeCell ref="H745:H747"/>
    <mergeCell ref="N745:N747"/>
    <mergeCell ref="CB745:CB747"/>
    <mergeCell ref="CE745:CE747"/>
    <mergeCell ref="CA745:CA747"/>
    <mergeCell ref="CC745:CC747"/>
    <mergeCell ref="AA745:AA747"/>
    <mergeCell ref="X745:X747"/>
    <mergeCell ref="V745:V747"/>
    <mergeCell ref="T742:T744"/>
    <mergeCell ref="A742:A744"/>
    <mergeCell ref="BZ742:BZ744"/>
    <mergeCell ref="BV742:BV744"/>
    <mergeCell ref="BS742:BS744"/>
    <mergeCell ref="DK742:DK744"/>
    <mergeCell ref="D742:D744"/>
    <mergeCell ref="U742:U744"/>
    <mergeCell ref="W742:W744"/>
    <mergeCell ref="Y742:Y744"/>
    <mergeCell ref="Z742:Z744"/>
    <mergeCell ref="AB742:AB744"/>
    <mergeCell ref="BU742:BU744"/>
    <mergeCell ref="BT742:BT744"/>
    <mergeCell ref="AC742:AC744"/>
    <mergeCell ref="CD742:CD744"/>
    <mergeCell ref="S742:S744"/>
    <mergeCell ref="BW742:BW744"/>
    <mergeCell ref="CB730:CB732"/>
    <mergeCell ref="CE730:CE732"/>
    <mergeCell ref="CA730:CA732"/>
    <mergeCell ref="CC730:CC732"/>
    <mergeCell ref="AA730:AA732"/>
    <mergeCell ref="X730:X732"/>
    <mergeCell ref="V730:V732"/>
    <mergeCell ref="B730:B732"/>
    <mergeCell ref="B733:B735"/>
    <mergeCell ref="G733:G735"/>
    <mergeCell ref="G730:G732"/>
    <mergeCell ref="E733:E735"/>
    <mergeCell ref="E730:E732"/>
    <mergeCell ref="F733:F735"/>
    <mergeCell ref="F730:F732"/>
    <mergeCell ref="T739:T741"/>
    <mergeCell ref="A739:A741"/>
    <mergeCell ref="BZ739:BZ741"/>
    <mergeCell ref="BV739:BV741"/>
    <mergeCell ref="BS739:BS741"/>
    <mergeCell ref="DK739:DK741"/>
    <mergeCell ref="D739:D741"/>
    <mergeCell ref="U739:U741"/>
    <mergeCell ref="W739:W741"/>
    <mergeCell ref="Y739:Y741"/>
    <mergeCell ref="Z739:Z741"/>
    <mergeCell ref="AB739:AB741"/>
    <mergeCell ref="BU739:BU741"/>
    <mergeCell ref="BT739:BT741"/>
    <mergeCell ref="AC739:AC741"/>
    <mergeCell ref="CD739:CD741"/>
    <mergeCell ref="S739:S741"/>
    <mergeCell ref="BW739:BW741"/>
    <mergeCell ref="BX739:BX741"/>
    <mergeCell ref="BY739:BY741"/>
    <mergeCell ref="H739:H741"/>
    <mergeCell ref="N739:N741"/>
    <mergeCell ref="CB739:CB741"/>
    <mergeCell ref="CE739:CE741"/>
    <mergeCell ref="CA739:CA741"/>
    <mergeCell ref="CC739:CC741"/>
    <mergeCell ref="AA739:AA741"/>
    <mergeCell ref="X739:X741"/>
    <mergeCell ref="V739:V741"/>
    <mergeCell ref="T736:T738"/>
    <mergeCell ref="A736:A738"/>
    <mergeCell ref="BZ736:BZ738"/>
    <mergeCell ref="BV736:BV738"/>
    <mergeCell ref="BS736:BS738"/>
    <mergeCell ref="DK736:DK738"/>
    <mergeCell ref="D736:D738"/>
    <mergeCell ref="U736:U738"/>
    <mergeCell ref="W736:W738"/>
    <mergeCell ref="Y736:Y738"/>
    <mergeCell ref="Z736:Z738"/>
    <mergeCell ref="AB736:AB738"/>
    <mergeCell ref="BU736:BU738"/>
    <mergeCell ref="BT736:BT738"/>
    <mergeCell ref="AC736:AC738"/>
    <mergeCell ref="CD736:CD738"/>
    <mergeCell ref="S736:S738"/>
    <mergeCell ref="BW736:BW738"/>
    <mergeCell ref="BX736:BX738"/>
    <mergeCell ref="BY736:BY738"/>
    <mergeCell ref="CA724:CA726"/>
    <mergeCell ref="CC724:CC726"/>
    <mergeCell ref="AA724:AA726"/>
    <mergeCell ref="X724:X726"/>
    <mergeCell ref="V724:V726"/>
    <mergeCell ref="B724:B726"/>
    <mergeCell ref="B727:B729"/>
    <mergeCell ref="G727:G729"/>
    <mergeCell ref="G724:G726"/>
    <mergeCell ref="E727:E729"/>
    <mergeCell ref="E724:E726"/>
    <mergeCell ref="F727:F729"/>
    <mergeCell ref="F724:F726"/>
    <mergeCell ref="T733:T735"/>
    <mergeCell ref="A733:A735"/>
    <mergeCell ref="BZ733:BZ735"/>
    <mergeCell ref="BV733:BV735"/>
    <mergeCell ref="BS733:BS735"/>
    <mergeCell ref="DK733:DK735"/>
    <mergeCell ref="D733:D735"/>
    <mergeCell ref="U733:U735"/>
    <mergeCell ref="W733:W735"/>
    <mergeCell ref="Y733:Y735"/>
    <mergeCell ref="Z733:Z735"/>
    <mergeCell ref="AB733:AB735"/>
    <mergeCell ref="BU733:BU735"/>
    <mergeCell ref="BT733:BT735"/>
    <mergeCell ref="AC733:AC735"/>
    <mergeCell ref="CD733:CD735"/>
    <mergeCell ref="S733:S735"/>
    <mergeCell ref="BW733:BW735"/>
    <mergeCell ref="BX733:BX735"/>
    <mergeCell ref="BY733:BY735"/>
    <mergeCell ref="H733:H735"/>
    <mergeCell ref="N733:N735"/>
    <mergeCell ref="CB733:CB735"/>
    <mergeCell ref="CE733:CE735"/>
    <mergeCell ref="CA733:CA735"/>
    <mergeCell ref="CC733:CC735"/>
    <mergeCell ref="AA733:AA735"/>
    <mergeCell ref="X733:X735"/>
    <mergeCell ref="V733:V735"/>
    <mergeCell ref="T730:T732"/>
    <mergeCell ref="A730:A732"/>
    <mergeCell ref="BZ730:BZ732"/>
    <mergeCell ref="BV730:BV732"/>
    <mergeCell ref="BS730:BS732"/>
    <mergeCell ref="DK730:DK732"/>
    <mergeCell ref="D730:D732"/>
    <mergeCell ref="U730:U732"/>
    <mergeCell ref="W730:W732"/>
    <mergeCell ref="Y730:Y732"/>
    <mergeCell ref="Z730:Z732"/>
    <mergeCell ref="AB730:AB732"/>
    <mergeCell ref="BU730:BU732"/>
    <mergeCell ref="BT730:BT732"/>
    <mergeCell ref="AC730:AC732"/>
    <mergeCell ref="CD730:CD732"/>
    <mergeCell ref="S730:S732"/>
    <mergeCell ref="BW730:BW732"/>
    <mergeCell ref="BX730:BX732"/>
    <mergeCell ref="BY730:BY732"/>
    <mergeCell ref="H730:H732"/>
    <mergeCell ref="N730:N732"/>
    <mergeCell ref="AA718:AA720"/>
    <mergeCell ref="X718:X720"/>
    <mergeCell ref="V718:V720"/>
    <mergeCell ref="B718:B720"/>
    <mergeCell ref="B721:B723"/>
    <mergeCell ref="G721:G723"/>
    <mergeCell ref="G718:G720"/>
    <mergeCell ref="E721:E723"/>
    <mergeCell ref="E718:E720"/>
    <mergeCell ref="F721:F723"/>
    <mergeCell ref="F718:F720"/>
    <mergeCell ref="T727:T729"/>
    <mergeCell ref="A727:A729"/>
    <mergeCell ref="BZ727:BZ729"/>
    <mergeCell ref="BV727:BV729"/>
    <mergeCell ref="BS727:BS729"/>
    <mergeCell ref="DK727:DK729"/>
    <mergeCell ref="D727:D729"/>
    <mergeCell ref="U727:U729"/>
    <mergeCell ref="W727:W729"/>
    <mergeCell ref="Y727:Y729"/>
    <mergeCell ref="Z727:Z729"/>
    <mergeCell ref="AB727:AB729"/>
    <mergeCell ref="BU727:BU729"/>
    <mergeCell ref="BT727:BT729"/>
    <mergeCell ref="AC727:AC729"/>
    <mergeCell ref="CD727:CD729"/>
    <mergeCell ref="S727:S729"/>
    <mergeCell ref="BW727:BW729"/>
    <mergeCell ref="BX727:BX729"/>
    <mergeCell ref="BY727:BY729"/>
    <mergeCell ref="H727:H729"/>
    <mergeCell ref="N727:N729"/>
    <mergeCell ref="CB727:CB729"/>
    <mergeCell ref="CE727:CE729"/>
    <mergeCell ref="CA727:CA729"/>
    <mergeCell ref="CC727:CC729"/>
    <mergeCell ref="AA727:AA729"/>
    <mergeCell ref="X727:X729"/>
    <mergeCell ref="V727:V729"/>
    <mergeCell ref="T724:T726"/>
    <mergeCell ref="A724:A726"/>
    <mergeCell ref="BZ724:BZ726"/>
    <mergeCell ref="BV724:BV726"/>
    <mergeCell ref="BS724:BS726"/>
    <mergeCell ref="DK724:DK726"/>
    <mergeCell ref="D724:D726"/>
    <mergeCell ref="U724:U726"/>
    <mergeCell ref="W724:W726"/>
    <mergeCell ref="Y724:Y726"/>
    <mergeCell ref="Z724:Z726"/>
    <mergeCell ref="AB724:AB726"/>
    <mergeCell ref="BU724:BU726"/>
    <mergeCell ref="BT724:BT726"/>
    <mergeCell ref="AC724:AC726"/>
    <mergeCell ref="CD724:CD726"/>
    <mergeCell ref="S724:S726"/>
    <mergeCell ref="BW724:BW726"/>
    <mergeCell ref="BX724:BX726"/>
    <mergeCell ref="BY724:BY726"/>
    <mergeCell ref="H724:H726"/>
    <mergeCell ref="N724:N726"/>
    <mergeCell ref="CB724:CB726"/>
    <mergeCell ref="CE724:CE726"/>
    <mergeCell ref="V712:V714"/>
    <mergeCell ref="B712:B714"/>
    <mergeCell ref="B715:B717"/>
    <mergeCell ref="G715:G717"/>
    <mergeCell ref="G712:G714"/>
    <mergeCell ref="E715:E717"/>
    <mergeCell ref="E712:E714"/>
    <mergeCell ref="F715:F717"/>
    <mergeCell ref="F712:F714"/>
    <mergeCell ref="T721:T723"/>
    <mergeCell ref="A721:A723"/>
    <mergeCell ref="BZ721:BZ723"/>
    <mergeCell ref="BV721:BV723"/>
    <mergeCell ref="BS721:BS723"/>
    <mergeCell ref="DK721:DK723"/>
    <mergeCell ref="D721:D723"/>
    <mergeCell ref="U721:U723"/>
    <mergeCell ref="W721:W723"/>
    <mergeCell ref="Y721:Y723"/>
    <mergeCell ref="Z721:Z723"/>
    <mergeCell ref="AB721:AB723"/>
    <mergeCell ref="BU721:BU723"/>
    <mergeCell ref="BT721:BT723"/>
    <mergeCell ref="AC721:AC723"/>
    <mergeCell ref="CD721:CD723"/>
    <mergeCell ref="S721:S723"/>
    <mergeCell ref="BW721:BW723"/>
    <mergeCell ref="BX721:BX723"/>
    <mergeCell ref="BY721:BY723"/>
    <mergeCell ref="H721:H723"/>
    <mergeCell ref="N721:N723"/>
    <mergeCell ref="CB721:CB723"/>
    <mergeCell ref="CE721:CE723"/>
    <mergeCell ref="CA721:CA723"/>
    <mergeCell ref="CC721:CC723"/>
    <mergeCell ref="AA721:AA723"/>
    <mergeCell ref="X721:X723"/>
    <mergeCell ref="V721:V723"/>
    <mergeCell ref="T718:T720"/>
    <mergeCell ref="A718:A720"/>
    <mergeCell ref="BZ718:BZ720"/>
    <mergeCell ref="BV718:BV720"/>
    <mergeCell ref="BS718:BS720"/>
    <mergeCell ref="DK718:DK720"/>
    <mergeCell ref="D718:D720"/>
    <mergeCell ref="U718:U720"/>
    <mergeCell ref="W718:W720"/>
    <mergeCell ref="Y718:Y720"/>
    <mergeCell ref="Z718:Z720"/>
    <mergeCell ref="AB718:AB720"/>
    <mergeCell ref="BU718:BU720"/>
    <mergeCell ref="BT718:BT720"/>
    <mergeCell ref="AC718:AC720"/>
    <mergeCell ref="CD718:CD720"/>
    <mergeCell ref="S718:S720"/>
    <mergeCell ref="BW718:BW720"/>
    <mergeCell ref="BX718:BX720"/>
    <mergeCell ref="BY718:BY720"/>
    <mergeCell ref="H718:H720"/>
    <mergeCell ref="N718:N720"/>
    <mergeCell ref="CB718:CB720"/>
    <mergeCell ref="CE718:CE720"/>
    <mergeCell ref="CA718:CA720"/>
    <mergeCell ref="CC718:CC720"/>
    <mergeCell ref="B709:B711"/>
    <mergeCell ref="G709:G711"/>
    <mergeCell ref="G706:G708"/>
    <mergeCell ref="E709:E711"/>
    <mergeCell ref="E706:E708"/>
    <mergeCell ref="F709:F711"/>
    <mergeCell ref="F706:F708"/>
    <mergeCell ref="T715:T717"/>
    <mergeCell ref="A715:A717"/>
    <mergeCell ref="BZ715:BZ717"/>
    <mergeCell ref="BV715:BV717"/>
    <mergeCell ref="BS715:BS717"/>
    <mergeCell ref="DK715:DK717"/>
    <mergeCell ref="D715:D717"/>
    <mergeCell ref="U715:U717"/>
    <mergeCell ref="W715:W717"/>
    <mergeCell ref="Y715:Y717"/>
    <mergeCell ref="Z715:Z717"/>
    <mergeCell ref="AB715:AB717"/>
    <mergeCell ref="BU715:BU717"/>
    <mergeCell ref="BT715:BT717"/>
    <mergeCell ref="AC715:AC717"/>
    <mergeCell ref="CD715:CD717"/>
    <mergeCell ref="S715:S717"/>
    <mergeCell ref="BW715:BW717"/>
    <mergeCell ref="BX715:BX717"/>
    <mergeCell ref="BY715:BY717"/>
    <mergeCell ref="H715:H717"/>
    <mergeCell ref="N715:N717"/>
    <mergeCell ref="CB715:CB717"/>
    <mergeCell ref="CE715:CE717"/>
    <mergeCell ref="CA715:CA717"/>
    <mergeCell ref="CC715:CC717"/>
    <mergeCell ref="AA715:AA717"/>
    <mergeCell ref="X715:X717"/>
    <mergeCell ref="V715:V717"/>
    <mergeCell ref="T712:T714"/>
    <mergeCell ref="A712:A714"/>
    <mergeCell ref="BZ712:BZ714"/>
    <mergeCell ref="BV712:BV714"/>
    <mergeCell ref="BS712:BS714"/>
    <mergeCell ref="DK712:DK714"/>
    <mergeCell ref="D712:D714"/>
    <mergeCell ref="U712:U714"/>
    <mergeCell ref="W712:W714"/>
    <mergeCell ref="Y712:Y714"/>
    <mergeCell ref="Z712:Z714"/>
    <mergeCell ref="AB712:AB714"/>
    <mergeCell ref="BU712:BU714"/>
    <mergeCell ref="BT712:BT714"/>
    <mergeCell ref="AC712:AC714"/>
    <mergeCell ref="CD712:CD714"/>
    <mergeCell ref="S712:S714"/>
    <mergeCell ref="BW712:BW714"/>
    <mergeCell ref="BX712:BX714"/>
    <mergeCell ref="BY712:BY714"/>
    <mergeCell ref="H712:H714"/>
    <mergeCell ref="N712:N714"/>
    <mergeCell ref="CB712:CB714"/>
    <mergeCell ref="CE712:CE714"/>
    <mergeCell ref="CA712:CA714"/>
    <mergeCell ref="CC712:CC714"/>
    <mergeCell ref="AA712:AA714"/>
    <mergeCell ref="X712:X714"/>
    <mergeCell ref="G700:G702"/>
    <mergeCell ref="E703:E705"/>
    <mergeCell ref="E700:E702"/>
    <mergeCell ref="F703:F705"/>
    <mergeCell ref="F700:F702"/>
    <mergeCell ref="T709:T711"/>
    <mergeCell ref="A709:A711"/>
    <mergeCell ref="BZ709:BZ711"/>
    <mergeCell ref="BV709:BV711"/>
    <mergeCell ref="BS709:BS711"/>
    <mergeCell ref="DK709:DK711"/>
    <mergeCell ref="D709:D711"/>
    <mergeCell ref="U709:U711"/>
    <mergeCell ref="W709:W711"/>
    <mergeCell ref="Y709:Y711"/>
    <mergeCell ref="Z709:Z711"/>
    <mergeCell ref="AB709:AB711"/>
    <mergeCell ref="BU709:BU711"/>
    <mergeCell ref="BT709:BT711"/>
    <mergeCell ref="AC709:AC711"/>
    <mergeCell ref="CD709:CD711"/>
    <mergeCell ref="S709:S711"/>
    <mergeCell ref="BW709:BW711"/>
    <mergeCell ref="BX709:BX711"/>
    <mergeCell ref="BY709:BY711"/>
    <mergeCell ref="H709:H711"/>
    <mergeCell ref="N709:N711"/>
    <mergeCell ref="CB709:CB711"/>
    <mergeCell ref="CE709:CE711"/>
    <mergeCell ref="CA709:CA711"/>
    <mergeCell ref="CC709:CC711"/>
    <mergeCell ref="AA709:AA711"/>
    <mergeCell ref="X709:X711"/>
    <mergeCell ref="V709:V711"/>
    <mergeCell ref="T706:T708"/>
    <mergeCell ref="A706:A708"/>
    <mergeCell ref="BZ706:BZ708"/>
    <mergeCell ref="BV706:BV708"/>
    <mergeCell ref="BS706:BS708"/>
    <mergeCell ref="DK706:DK708"/>
    <mergeCell ref="D706:D708"/>
    <mergeCell ref="U706:U708"/>
    <mergeCell ref="W706:W708"/>
    <mergeCell ref="Y706:Y708"/>
    <mergeCell ref="Z706:Z708"/>
    <mergeCell ref="AB706:AB708"/>
    <mergeCell ref="BU706:BU708"/>
    <mergeCell ref="BT706:BT708"/>
    <mergeCell ref="AC706:AC708"/>
    <mergeCell ref="CD706:CD708"/>
    <mergeCell ref="S706:S708"/>
    <mergeCell ref="BW706:BW708"/>
    <mergeCell ref="BX706:BX708"/>
    <mergeCell ref="BY706:BY708"/>
    <mergeCell ref="H706:H708"/>
    <mergeCell ref="N706:N708"/>
    <mergeCell ref="CB706:CB708"/>
    <mergeCell ref="CE706:CE708"/>
    <mergeCell ref="CA706:CA708"/>
    <mergeCell ref="CC706:CC708"/>
    <mergeCell ref="AA706:AA708"/>
    <mergeCell ref="X706:X708"/>
    <mergeCell ref="V706:V708"/>
    <mergeCell ref="B706:B708"/>
    <mergeCell ref="E694:E696"/>
    <mergeCell ref="F697:F699"/>
    <mergeCell ref="F694:F696"/>
    <mergeCell ref="T703:T705"/>
    <mergeCell ref="A703:A705"/>
    <mergeCell ref="BZ703:BZ705"/>
    <mergeCell ref="BV703:BV705"/>
    <mergeCell ref="BS703:BS705"/>
    <mergeCell ref="DK703:DK705"/>
    <mergeCell ref="D703:D705"/>
    <mergeCell ref="U703:U705"/>
    <mergeCell ref="W703:W705"/>
    <mergeCell ref="Y703:Y705"/>
    <mergeCell ref="Z703:Z705"/>
    <mergeCell ref="AB703:AB705"/>
    <mergeCell ref="BU703:BU705"/>
    <mergeCell ref="BT703:BT705"/>
    <mergeCell ref="AC703:AC705"/>
    <mergeCell ref="CD703:CD705"/>
    <mergeCell ref="S703:S705"/>
    <mergeCell ref="BW703:BW705"/>
    <mergeCell ref="BX703:BX705"/>
    <mergeCell ref="BY703:BY705"/>
    <mergeCell ref="H703:H705"/>
    <mergeCell ref="N703:N705"/>
    <mergeCell ref="CB703:CB705"/>
    <mergeCell ref="CE703:CE705"/>
    <mergeCell ref="CA703:CA705"/>
    <mergeCell ref="CC703:CC705"/>
    <mergeCell ref="AA703:AA705"/>
    <mergeCell ref="X703:X705"/>
    <mergeCell ref="V703:V705"/>
    <mergeCell ref="T700:T702"/>
    <mergeCell ref="A700:A702"/>
    <mergeCell ref="BZ700:BZ702"/>
    <mergeCell ref="BV700:BV702"/>
    <mergeCell ref="BS700:BS702"/>
    <mergeCell ref="DK700:DK702"/>
    <mergeCell ref="D700:D702"/>
    <mergeCell ref="U700:U702"/>
    <mergeCell ref="W700:W702"/>
    <mergeCell ref="Y700:Y702"/>
    <mergeCell ref="Z700:Z702"/>
    <mergeCell ref="AB700:AB702"/>
    <mergeCell ref="BU700:BU702"/>
    <mergeCell ref="BT700:BT702"/>
    <mergeCell ref="AC700:AC702"/>
    <mergeCell ref="CD700:CD702"/>
    <mergeCell ref="S700:S702"/>
    <mergeCell ref="BW700:BW702"/>
    <mergeCell ref="BX700:BX702"/>
    <mergeCell ref="BY700:BY702"/>
    <mergeCell ref="H700:H702"/>
    <mergeCell ref="N700:N702"/>
    <mergeCell ref="CB700:CB702"/>
    <mergeCell ref="CE700:CE702"/>
    <mergeCell ref="CA700:CA702"/>
    <mergeCell ref="CC700:CC702"/>
    <mergeCell ref="AA700:AA702"/>
    <mergeCell ref="X700:X702"/>
    <mergeCell ref="V700:V702"/>
    <mergeCell ref="B700:B702"/>
    <mergeCell ref="B703:B705"/>
    <mergeCell ref="G703:G705"/>
    <mergeCell ref="F691:F693"/>
    <mergeCell ref="F688:F690"/>
    <mergeCell ref="T697:T699"/>
    <mergeCell ref="A697:A699"/>
    <mergeCell ref="BZ697:BZ699"/>
    <mergeCell ref="BV697:BV699"/>
    <mergeCell ref="BS697:BS699"/>
    <mergeCell ref="DK697:DK699"/>
    <mergeCell ref="D697:D699"/>
    <mergeCell ref="U697:U699"/>
    <mergeCell ref="W697:W699"/>
    <mergeCell ref="Y697:Y699"/>
    <mergeCell ref="Z697:Z699"/>
    <mergeCell ref="AB697:AB699"/>
    <mergeCell ref="BU697:BU699"/>
    <mergeCell ref="BT697:BT699"/>
    <mergeCell ref="AC697:AC699"/>
    <mergeCell ref="CD697:CD699"/>
    <mergeCell ref="S697:S699"/>
    <mergeCell ref="BW697:BW699"/>
    <mergeCell ref="BX697:BX699"/>
    <mergeCell ref="BY697:BY699"/>
    <mergeCell ref="N697:N699"/>
    <mergeCell ref="CB697:CB699"/>
    <mergeCell ref="CE697:CE699"/>
    <mergeCell ref="CA697:CA699"/>
    <mergeCell ref="CC697:CC699"/>
    <mergeCell ref="AA697:AA699"/>
    <mergeCell ref="X697:X699"/>
    <mergeCell ref="V697:V699"/>
    <mergeCell ref="T694:T696"/>
    <mergeCell ref="A694:A696"/>
    <mergeCell ref="BZ694:BZ696"/>
    <mergeCell ref="BV694:BV696"/>
    <mergeCell ref="BS694:BS696"/>
    <mergeCell ref="DK694:DK696"/>
    <mergeCell ref="D694:D696"/>
    <mergeCell ref="U694:U696"/>
    <mergeCell ref="W694:W696"/>
    <mergeCell ref="Y694:Y696"/>
    <mergeCell ref="Z694:Z696"/>
    <mergeCell ref="AB694:AB696"/>
    <mergeCell ref="BU694:BU696"/>
    <mergeCell ref="BT694:BT696"/>
    <mergeCell ref="AC694:AC696"/>
    <mergeCell ref="CD694:CD696"/>
    <mergeCell ref="S694:S696"/>
    <mergeCell ref="BW694:BW696"/>
    <mergeCell ref="BX694:BX696"/>
    <mergeCell ref="BY694:BY696"/>
    <mergeCell ref="H694:H696"/>
    <mergeCell ref="N694:N696"/>
    <mergeCell ref="CB694:CB696"/>
    <mergeCell ref="CE694:CE696"/>
    <mergeCell ref="CA694:CA696"/>
    <mergeCell ref="CC694:CC696"/>
    <mergeCell ref="AA694:AA696"/>
    <mergeCell ref="X694:X696"/>
    <mergeCell ref="V694:V696"/>
    <mergeCell ref="B694:B696"/>
    <mergeCell ref="B697:B699"/>
    <mergeCell ref="G697:G699"/>
    <mergeCell ref="G694:G696"/>
    <mergeCell ref="E697:E699"/>
    <mergeCell ref="T691:T693"/>
    <mergeCell ref="A691:A693"/>
    <mergeCell ref="BZ691:BZ693"/>
    <mergeCell ref="BV691:BV693"/>
    <mergeCell ref="BS691:BS693"/>
    <mergeCell ref="DK691:DK693"/>
    <mergeCell ref="D691:D693"/>
    <mergeCell ref="U691:U693"/>
    <mergeCell ref="W691:W693"/>
    <mergeCell ref="Y691:Y693"/>
    <mergeCell ref="Z691:Z693"/>
    <mergeCell ref="AB691:AB693"/>
    <mergeCell ref="BU691:BU693"/>
    <mergeCell ref="BT691:BT693"/>
    <mergeCell ref="AC691:AC693"/>
    <mergeCell ref="CD691:CD693"/>
    <mergeCell ref="S691:S693"/>
    <mergeCell ref="BW691:BW693"/>
    <mergeCell ref="BX691:BX693"/>
    <mergeCell ref="BY691:BY693"/>
    <mergeCell ref="H691:H693"/>
    <mergeCell ref="N691:N693"/>
    <mergeCell ref="CB691:CB693"/>
    <mergeCell ref="CE691:CE693"/>
    <mergeCell ref="CA691:CA693"/>
    <mergeCell ref="CC691:CC693"/>
    <mergeCell ref="AA691:AA693"/>
    <mergeCell ref="X691:X693"/>
    <mergeCell ref="V691:V693"/>
    <mergeCell ref="T688:T690"/>
    <mergeCell ref="A688:A690"/>
    <mergeCell ref="BZ688:BZ690"/>
    <mergeCell ref="BV688:BV690"/>
    <mergeCell ref="BS688:BS690"/>
    <mergeCell ref="DK688:DK690"/>
    <mergeCell ref="D688:D690"/>
    <mergeCell ref="U688:U690"/>
    <mergeCell ref="W688:W690"/>
    <mergeCell ref="Y688:Y690"/>
    <mergeCell ref="Z688:Z690"/>
    <mergeCell ref="AB688:AB690"/>
    <mergeCell ref="BU688:BU690"/>
    <mergeCell ref="BT688:BT690"/>
    <mergeCell ref="AC688:AC690"/>
    <mergeCell ref="CD688:CD690"/>
    <mergeCell ref="S688:S690"/>
    <mergeCell ref="BW688:BW690"/>
    <mergeCell ref="BX688:BX690"/>
    <mergeCell ref="BY688:BY690"/>
    <mergeCell ref="H688:H690"/>
    <mergeCell ref="N688:N690"/>
    <mergeCell ref="CB688:CB690"/>
    <mergeCell ref="CE688:CE690"/>
    <mergeCell ref="CA688:CA690"/>
    <mergeCell ref="CC688:CC690"/>
    <mergeCell ref="AA688:AA690"/>
    <mergeCell ref="X688:X690"/>
    <mergeCell ref="V688:V690"/>
    <mergeCell ref="B688:B690"/>
    <mergeCell ref="B691:B693"/>
    <mergeCell ref="G691:G693"/>
    <mergeCell ref="G688:G690"/>
    <mergeCell ref="E691:E693"/>
    <mergeCell ref="E688:E690"/>
    <mergeCell ref="DK685:DK687"/>
    <mergeCell ref="D685:D687"/>
    <mergeCell ref="U685:U687"/>
    <mergeCell ref="W685:W687"/>
    <mergeCell ref="Y685:Y687"/>
    <mergeCell ref="Z685:Z687"/>
    <mergeCell ref="AB685:AB687"/>
    <mergeCell ref="BU685:BU687"/>
    <mergeCell ref="BT685:BT687"/>
    <mergeCell ref="AC685:AC687"/>
    <mergeCell ref="CD685:CD687"/>
    <mergeCell ref="S685:S687"/>
    <mergeCell ref="BW685:BW687"/>
    <mergeCell ref="BX685:BX687"/>
    <mergeCell ref="BY685:BY687"/>
    <mergeCell ref="H685:H687"/>
    <mergeCell ref="N685:N687"/>
    <mergeCell ref="CB685:CB687"/>
    <mergeCell ref="CE685:CE687"/>
    <mergeCell ref="CA685:CA687"/>
    <mergeCell ref="CC685:CC687"/>
    <mergeCell ref="AA685:AA687"/>
    <mergeCell ref="X685:X687"/>
    <mergeCell ref="V685:V687"/>
    <mergeCell ref="T682:T684"/>
    <mergeCell ref="A682:A684"/>
    <mergeCell ref="BZ682:BZ684"/>
    <mergeCell ref="BV682:BV684"/>
    <mergeCell ref="BS682:BS684"/>
    <mergeCell ref="DK682:DK684"/>
    <mergeCell ref="D682:D684"/>
    <mergeCell ref="U682:U684"/>
    <mergeCell ref="W682:W684"/>
    <mergeCell ref="Y682:Y684"/>
    <mergeCell ref="Z682:Z684"/>
    <mergeCell ref="AB682:AB684"/>
    <mergeCell ref="BU682:BU684"/>
    <mergeCell ref="BT682:BT684"/>
    <mergeCell ref="AC682:AC684"/>
    <mergeCell ref="CD682:CD684"/>
    <mergeCell ref="S682:S684"/>
    <mergeCell ref="BW682:BW684"/>
    <mergeCell ref="BX682:BX684"/>
    <mergeCell ref="BY682:BY684"/>
    <mergeCell ref="H682:H684"/>
    <mergeCell ref="N682:N684"/>
    <mergeCell ref="CB682:CB684"/>
    <mergeCell ref="CE682:CE684"/>
    <mergeCell ref="CA682:CA684"/>
    <mergeCell ref="CC682:CC684"/>
    <mergeCell ref="AA682:AA684"/>
    <mergeCell ref="X682:X684"/>
    <mergeCell ref="V682:V684"/>
    <mergeCell ref="B682:B684"/>
    <mergeCell ref="B685:B687"/>
    <mergeCell ref="G685:G687"/>
    <mergeCell ref="G682:G684"/>
    <mergeCell ref="E685:E687"/>
    <mergeCell ref="E682:E684"/>
    <mergeCell ref="F685:F687"/>
    <mergeCell ref="F682:F684"/>
    <mergeCell ref="Y676:Y678"/>
    <mergeCell ref="Z676:Z678"/>
    <mergeCell ref="AB676:AB678"/>
    <mergeCell ref="BU676:BU678"/>
    <mergeCell ref="BT676:BT678"/>
    <mergeCell ref="AC676:AC678"/>
    <mergeCell ref="CD676:CD678"/>
    <mergeCell ref="S676:S678"/>
    <mergeCell ref="BW676:BW678"/>
    <mergeCell ref="BX676:BX678"/>
    <mergeCell ref="BY676:BY678"/>
    <mergeCell ref="H676:H678"/>
    <mergeCell ref="N676:N678"/>
    <mergeCell ref="CB676:CB678"/>
    <mergeCell ref="CE676:CE678"/>
    <mergeCell ref="CA676:CA678"/>
    <mergeCell ref="CC676:CC678"/>
    <mergeCell ref="AA676:AA678"/>
    <mergeCell ref="X676:X678"/>
    <mergeCell ref="V676:V678"/>
    <mergeCell ref="B676:B678"/>
    <mergeCell ref="B679:B681"/>
    <mergeCell ref="G679:G681"/>
    <mergeCell ref="G676:G678"/>
    <mergeCell ref="E679:E681"/>
    <mergeCell ref="E676:E678"/>
    <mergeCell ref="F679:F681"/>
    <mergeCell ref="F676:F678"/>
    <mergeCell ref="T685:T687"/>
    <mergeCell ref="A685:A687"/>
    <mergeCell ref="BZ685:BZ687"/>
    <mergeCell ref="BV685:BV687"/>
    <mergeCell ref="BS685:BS687"/>
    <mergeCell ref="Z670:Z672"/>
    <mergeCell ref="AB670:AB672"/>
    <mergeCell ref="BU670:BU672"/>
    <mergeCell ref="BT670:BT672"/>
    <mergeCell ref="AC670:AC672"/>
    <mergeCell ref="CD670:CD672"/>
    <mergeCell ref="S670:S672"/>
    <mergeCell ref="BW670:BW672"/>
    <mergeCell ref="BX670:BX672"/>
    <mergeCell ref="BY670:BY672"/>
    <mergeCell ref="H670:H672"/>
    <mergeCell ref="N670:N672"/>
    <mergeCell ref="CB670:CB672"/>
    <mergeCell ref="CE670:CE672"/>
    <mergeCell ref="CA670:CA672"/>
    <mergeCell ref="CC670:CC672"/>
    <mergeCell ref="AA670:AA672"/>
    <mergeCell ref="X670:X672"/>
    <mergeCell ref="V670:V672"/>
    <mergeCell ref="B670:B672"/>
    <mergeCell ref="B673:B675"/>
    <mergeCell ref="G673:G675"/>
    <mergeCell ref="G670:G672"/>
    <mergeCell ref="E673:E675"/>
    <mergeCell ref="E670:E672"/>
    <mergeCell ref="F673:F675"/>
    <mergeCell ref="F670:F672"/>
    <mergeCell ref="T679:T681"/>
    <mergeCell ref="A679:A681"/>
    <mergeCell ref="BZ679:BZ681"/>
    <mergeCell ref="BV679:BV681"/>
    <mergeCell ref="BS679:BS681"/>
    <mergeCell ref="DK679:DK681"/>
    <mergeCell ref="D679:D681"/>
    <mergeCell ref="U679:U681"/>
    <mergeCell ref="W679:W681"/>
    <mergeCell ref="Y679:Y681"/>
    <mergeCell ref="Z679:Z681"/>
    <mergeCell ref="AB679:AB681"/>
    <mergeCell ref="BU679:BU681"/>
    <mergeCell ref="BT679:BT681"/>
    <mergeCell ref="AC679:AC681"/>
    <mergeCell ref="CD679:CD681"/>
    <mergeCell ref="S679:S681"/>
    <mergeCell ref="BW679:BW681"/>
    <mergeCell ref="BX679:BX681"/>
    <mergeCell ref="BY679:BY681"/>
    <mergeCell ref="N679:N681"/>
    <mergeCell ref="CB679:CB681"/>
    <mergeCell ref="CE679:CE681"/>
    <mergeCell ref="CA679:CA681"/>
    <mergeCell ref="CC679:CC681"/>
    <mergeCell ref="AA679:AA681"/>
    <mergeCell ref="X679:X681"/>
    <mergeCell ref="V679:V681"/>
    <mergeCell ref="T676:T678"/>
    <mergeCell ref="A676:A678"/>
    <mergeCell ref="BZ676:BZ678"/>
    <mergeCell ref="BV676:BV678"/>
    <mergeCell ref="BS676:BS678"/>
    <mergeCell ref="DK676:DK678"/>
    <mergeCell ref="D676:D678"/>
    <mergeCell ref="U676:U678"/>
    <mergeCell ref="W676:W678"/>
    <mergeCell ref="BU664:BU666"/>
    <mergeCell ref="BT664:BT666"/>
    <mergeCell ref="AC664:AC666"/>
    <mergeCell ref="CD664:CD666"/>
    <mergeCell ref="S664:S666"/>
    <mergeCell ref="BW664:BW666"/>
    <mergeCell ref="BX664:BX666"/>
    <mergeCell ref="BY664:BY666"/>
    <mergeCell ref="H664:H666"/>
    <mergeCell ref="N664:N666"/>
    <mergeCell ref="CB664:CB666"/>
    <mergeCell ref="CE664:CE666"/>
    <mergeCell ref="CA664:CA666"/>
    <mergeCell ref="CC664:CC666"/>
    <mergeCell ref="AA664:AA666"/>
    <mergeCell ref="X664:X666"/>
    <mergeCell ref="V664:V666"/>
    <mergeCell ref="B664:B666"/>
    <mergeCell ref="B667:B669"/>
    <mergeCell ref="G667:G669"/>
    <mergeCell ref="G664:G666"/>
    <mergeCell ref="E667:E669"/>
    <mergeCell ref="E664:E666"/>
    <mergeCell ref="F667:F669"/>
    <mergeCell ref="F664:F666"/>
    <mergeCell ref="T673:T675"/>
    <mergeCell ref="A673:A675"/>
    <mergeCell ref="BZ673:BZ675"/>
    <mergeCell ref="BV673:BV675"/>
    <mergeCell ref="BS673:BS675"/>
    <mergeCell ref="DK673:DK675"/>
    <mergeCell ref="D673:D675"/>
    <mergeCell ref="U673:U675"/>
    <mergeCell ref="W673:W675"/>
    <mergeCell ref="Y673:Y675"/>
    <mergeCell ref="Z673:Z675"/>
    <mergeCell ref="AB673:AB675"/>
    <mergeCell ref="BU673:BU675"/>
    <mergeCell ref="BT673:BT675"/>
    <mergeCell ref="AC673:AC675"/>
    <mergeCell ref="CD673:CD675"/>
    <mergeCell ref="S673:S675"/>
    <mergeCell ref="BW673:BW675"/>
    <mergeCell ref="BX673:BX675"/>
    <mergeCell ref="BY673:BY675"/>
    <mergeCell ref="H673:H675"/>
    <mergeCell ref="N673:N675"/>
    <mergeCell ref="CB673:CB675"/>
    <mergeCell ref="CE673:CE675"/>
    <mergeCell ref="CA673:CA675"/>
    <mergeCell ref="CC673:CC675"/>
    <mergeCell ref="AA673:AA675"/>
    <mergeCell ref="X673:X675"/>
    <mergeCell ref="V673:V675"/>
    <mergeCell ref="T670:T672"/>
    <mergeCell ref="A670:A672"/>
    <mergeCell ref="BZ670:BZ672"/>
    <mergeCell ref="BV670:BV672"/>
    <mergeCell ref="BS670:BS672"/>
    <mergeCell ref="DK670:DK672"/>
    <mergeCell ref="D670:D672"/>
    <mergeCell ref="U670:U672"/>
    <mergeCell ref="W670:W672"/>
    <mergeCell ref="Y670:Y672"/>
    <mergeCell ref="BT658:BT660"/>
    <mergeCell ref="AC658:AC660"/>
    <mergeCell ref="CD658:CD660"/>
    <mergeCell ref="S658:S660"/>
    <mergeCell ref="BW658:BW660"/>
    <mergeCell ref="BX658:BX660"/>
    <mergeCell ref="BY658:BY660"/>
    <mergeCell ref="N658:N660"/>
    <mergeCell ref="CB658:CB660"/>
    <mergeCell ref="CE658:CE660"/>
    <mergeCell ref="CA658:CA660"/>
    <mergeCell ref="CC658:CC660"/>
    <mergeCell ref="AA658:AA660"/>
    <mergeCell ref="X658:X660"/>
    <mergeCell ref="V658:V660"/>
    <mergeCell ref="B658:B660"/>
    <mergeCell ref="B661:B663"/>
    <mergeCell ref="G661:G663"/>
    <mergeCell ref="G658:G660"/>
    <mergeCell ref="E661:E663"/>
    <mergeCell ref="E658:E660"/>
    <mergeCell ref="F661:F663"/>
    <mergeCell ref="F658:F660"/>
    <mergeCell ref="T667:T669"/>
    <mergeCell ref="A667:A669"/>
    <mergeCell ref="BZ667:BZ669"/>
    <mergeCell ref="BV667:BV669"/>
    <mergeCell ref="BS667:BS669"/>
    <mergeCell ref="DK667:DK669"/>
    <mergeCell ref="D667:D669"/>
    <mergeCell ref="U667:U669"/>
    <mergeCell ref="W667:W669"/>
    <mergeCell ref="Y667:Y669"/>
    <mergeCell ref="Z667:Z669"/>
    <mergeCell ref="AB667:AB669"/>
    <mergeCell ref="BU667:BU669"/>
    <mergeCell ref="BT667:BT669"/>
    <mergeCell ref="AC667:AC669"/>
    <mergeCell ref="CD667:CD669"/>
    <mergeCell ref="S667:S669"/>
    <mergeCell ref="BW667:BW669"/>
    <mergeCell ref="BX667:BX669"/>
    <mergeCell ref="BY667:BY669"/>
    <mergeCell ref="H667:H669"/>
    <mergeCell ref="N667:N669"/>
    <mergeCell ref="CB667:CB669"/>
    <mergeCell ref="CE667:CE669"/>
    <mergeCell ref="CA667:CA669"/>
    <mergeCell ref="CC667:CC669"/>
    <mergeCell ref="AA667:AA669"/>
    <mergeCell ref="X667:X669"/>
    <mergeCell ref="V667:V669"/>
    <mergeCell ref="T664:T666"/>
    <mergeCell ref="A664:A666"/>
    <mergeCell ref="BZ664:BZ666"/>
    <mergeCell ref="BV664:BV666"/>
    <mergeCell ref="BS664:BS666"/>
    <mergeCell ref="DK664:DK666"/>
    <mergeCell ref="D664:D666"/>
    <mergeCell ref="U664:U666"/>
    <mergeCell ref="W664:W666"/>
    <mergeCell ref="Y664:Y666"/>
    <mergeCell ref="Z664:Z666"/>
    <mergeCell ref="AB664:AB666"/>
    <mergeCell ref="CD652:CD654"/>
    <mergeCell ref="S652:S654"/>
    <mergeCell ref="BW652:BW654"/>
    <mergeCell ref="BX652:BX654"/>
    <mergeCell ref="BY652:BY654"/>
    <mergeCell ref="H652:H654"/>
    <mergeCell ref="N652:N654"/>
    <mergeCell ref="CB652:CB654"/>
    <mergeCell ref="CE652:CE654"/>
    <mergeCell ref="CA652:CA654"/>
    <mergeCell ref="CC652:CC654"/>
    <mergeCell ref="AA652:AA654"/>
    <mergeCell ref="X652:X654"/>
    <mergeCell ref="V652:V654"/>
    <mergeCell ref="B652:B654"/>
    <mergeCell ref="B655:B657"/>
    <mergeCell ref="G655:G657"/>
    <mergeCell ref="G652:G654"/>
    <mergeCell ref="E655:E657"/>
    <mergeCell ref="E652:E654"/>
    <mergeCell ref="F655:F657"/>
    <mergeCell ref="F652:F654"/>
    <mergeCell ref="T661:T663"/>
    <mergeCell ref="A661:A663"/>
    <mergeCell ref="BZ661:BZ663"/>
    <mergeCell ref="BV661:BV663"/>
    <mergeCell ref="BS661:BS663"/>
    <mergeCell ref="DK661:DK663"/>
    <mergeCell ref="D661:D663"/>
    <mergeCell ref="U661:U663"/>
    <mergeCell ref="W661:W663"/>
    <mergeCell ref="Y661:Y663"/>
    <mergeCell ref="Z661:Z663"/>
    <mergeCell ref="AB661:AB663"/>
    <mergeCell ref="BU661:BU663"/>
    <mergeCell ref="BT661:BT663"/>
    <mergeCell ref="AC661:AC663"/>
    <mergeCell ref="CD661:CD663"/>
    <mergeCell ref="S661:S663"/>
    <mergeCell ref="BW661:BW663"/>
    <mergeCell ref="BX661:BX663"/>
    <mergeCell ref="BY661:BY663"/>
    <mergeCell ref="H661:H663"/>
    <mergeCell ref="N661:N663"/>
    <mergeCell ref="CB661:CB663"/>
    <mergeCell ref="CE661:CE663"/>
    <mergeCell ref="CA661:CA663"/>
    <mergeCell ref="CC661:CC663"/>
    <mergeCell ref="AA661:AA663"/>
    <mergeCell ref="X661:X663"/>
    <mergeCell ref="V661:V663"/>
    <mergeCell ref="T658:T660"/>
    <mergeCell ref="A658:A660"/>
    <mergeCell ref="BZ658:BZ660"/>
    <mergeCell ref="BV658:BV660"/>
    <mergeCell ref="BS658:BS660"/>
    <mergeCell ref="DK658:DK660"/>
    <mergeCell ref="D658:D660"/>
    <mergeCell ref="U658:U660"/>
    <mergeCell ref="W658:W660"/>
    <mergeCell ref="Y658:Y660"/>
    <mergeCell ref="Z658:Z660"/>
    <mergeCell ref="AB658:AB660"/>
    <mergeCell ref="BU658:BU660"/>
    <mergeCell ref="BW646:BW648"/>
    <mergeCell ref="BX646:BX648"/>
    <mergeCell ref="BY646:BY648"/>
    <mergeCell ref="H646:H648"/>
    <mergeCell ref="N646:N648"/>
    <mergeCell ref="CB646:CB648"/>
    <mergeCell ref="CE646:CE648"/>
    <mergeCell ref="CA646:CA648"/>
    <mergeCell ref="CC646:CC648"/>
    <mergeCell ref="AA646:AA648"/>
    <mergeCell ref="X646:X648"/>
    <mergeCell ref="V646:V648"/>
    <mergeCell ref="B646:B648"/>
    <mergeCell ref="B649:B651"/>
    <mergeCell ref="G649:G651"/>
    <mergeCell ref="G646:G648"/>
    <mergeCell ref="E649:E651"/>
    <mergeCell ref="E646:E648"/>
    <mergeCell ref="F649:F651"/>
    <mergeCell ref="F646:F648"/>
    <mergeCell ref="T655:T657"/>
    <mergeCell ref="A655:A657"/>
    <mergeCell ref="BZ655:BZ657"/>
    <mergeCell ref="BV655:BV657"/>
    <mergeCell ref="BS655:BS657"/>
    <mergeCell ref="DK655:DK657"/>
    <mergeCell ref="D655:D657"/>
    <mergeCell ref="U655:U657"/>
    <mergeCell ref="W655:W657"/>
    <mergeCell ref="Y655:Y657"/>
    <mergeCell ref="Z655:Z657"/>
    <mergeCell ref="AB655:AB657"/>
    <mergeCell ref="BU655:BU657"/>
    <mergeCell ref="BT655:BT657"/>
    <mergeCell ref="AC655:AC657"/>
    <mergeCell ref="CD655:CD657"/>
    <mergeCell ref="S655:S657"/>
    <mergeCell ref="BW655:BW657"/>
    <mergeCell ref="BX655:BX657"/>
    <mergeCell ref="BY655:BY657"/>
    <mergeCell ref="H655:H657"/>
    <mergeCell ref="N655:N657"/>
    <mergeCell ref="CB655:CB657"/>
    <mergeCell ref="CE655:CE657"/>
    <mergeCell ref="CA655:CA657"/>
    <mergeCell ref="CC655:CC657"/>
    <mergeCell ref="AA655:AA657"/>
    <mergeCell ref="X655:X657"/>
    <mergeCell ref="V655:V657"/>
    <mergeCell ref="T652:T654"/>
    <mergeCell ref="A652:A654"/>
    <mergeCell ref="BZ652:BZ654"/>
    <mergeCell ref="BV652:BV654"/>
    <mergeCell ref="BS652:BS654"/>
    <mergeCell ref="DK652:DK654"/>
    <mergeCell ref="D652:D654"/>
    <mergeCell ref="U652:U654"/>
    <mergeCell ref="W652:W654"/>
    <mergeCell ref="Y652:Y654"/>
    <mergeCell ref="Z652:Z654"/>
    <mergeCell ref="AB652:AB654"/>
    <mergeCell ref="BU652:BU654"/>
    <mergeCell ref="BT652:BT654"/>
    <mergeCell ref="AC652:AC654"/>
    <mergeCell ref="BY640:BY642"/>
    <mergeCell ref="H640:H642"/>
    <mergeCell ref="N640:N642"/>
    <mergeCell ref="CB640:CB642"/>
    <mergeCell ref="CE640:CE642"/>
    <mergeCell ref="CA640:CA642"/>
    <mergeCell ref="CC640:CC642"/>
    <mergeCell ref="AA640:AA642"/>
    <mergeCell ref="X640:X642"/>
    <mergeCell ref="V640:V642"/>
    <mergeCell ref="B640:B642"/>
    <mergeCell ref="B643:B645"/>
    <mergeCell ref="G643:G645"/>
    <mergeCell ref="G640:G642"/>
    <mergeCell ref="E643:E645"/>
    <mergeCell ref="E640:E642"/>
    <mergeCell ref="F643:F645"/>
    <mergeCell ref="F640:F642"/>
    <mergeCell ref="T649:T651"/>
    <mergeCell ref="A649:A651"/>
    <mergeCell ref="BZ649:BZ651"/>
    <mergeCell ref="BV649:BV651"/>
    <mergeCell ref="BS649:BS651"/>
    <mergeCell ref="DK649:DK651"/>
    <mergeCell ref="D649:D651"/>
    <mergeCell ref="U649:U651"/>
    <mergeCell ref="W649:W651"/>
    <mergeCell ref="Y649:Y651"/>
    <mergeCell ref="Z649:Z651"/>
    <mergeCell ref="AB649:AB651"/>
    <mergeCell ref="BU649:BU651"/>
    <mergeCell ref="BT649:BT651"/>
    <mergeCell ref="AC649:AC651"/>
    <mergeCell ref="CD649:CD651"/>
    <mergeCell ref="S649:S651"/>
    <mergeCell ref="BW649:BW651"/>
    <mergeCell ref="BX649:BX651"/>
    <mergeCell ref="BY649:BY651"/>
    <mergeCell ref="H649:H651"/>
    <mergeCell ref="N649:N651"/>
    <mergeCell ref="CB649:CB651"/>
    <mergeCell ref="CE649:CE651"/>
    <mergeCell ref="CA649:CA651"/>
    <mergeCell ref="CC649:CC651"/>
    <mergeCell ref="AA649:AA651"/>
    <mergeCell ref="X649:X651"/>
    <mergeCell ref="V649:V651"/>
    <mergeCell ref="T646:T648"/>
    <mergeCell ref="A646:A648"/>
    <mergeCell ref="BZ646:BZ648"/>
    <mergeCell ref="BV646:BV648"/>
    <mergeCell ref="BS646:BS648"/>
    <mergeCell ref="DK646:DK648"/>
    <mergeCell ref="D646:D648"/>
    <mergeCell ref="U646:U648"/>
    <mergeCell ref="W646:W648"/>
    <mergeCell ref="Y646:Y648"/>
    <mergeCell ref="Z646:Z648"/>
    <mergeCell ref="AB646:AB648"/>
    <mergeCell ref="BU646:BU648"/>
    <mergeCell ref="BT646:BT648"/>
    <mergeCell ref="AC646:AC648"/>
    <mergeCell ref="CD646:CD648"/>
    <mergeCell ref="S646:S648"/>
    <mergeCell ref="CE634:CE636"/>
    <mergeCell ref="CA634:CA636"/>
    <mergeCell ref="CC634:CC636"/>
    <mergeCell ref="AA634:AA636"/>
    <mergeCell ref="X634:X636"/>
    <mergeCell ref="V634:V636"/>
    <mergeCell ref="B634:B636"/>
    <mergeCell ref="B637:B639"/>
    <mergeCell ref="G637:G639"/>
    <mergeCell ref="G634:G636"/>
    <mergeCell ref="E637:E639"/>
    <mergeCell ref="E634:E636"/>
    <mergeCell ref="F637:F639"/>
    <mergeCell ref="F634:F636"/>
    <mergeCell ref="H598:H600"/>
    <mergeCell ref="H604:H606"/>
    <mergeCell ref="T643:T645"/>
    <mergeCell ref="A643:A645"/>
    <mergeCell ref="BZ643:BZ645"/>
    <mergeCell ref="BV643:BV645"/>
    <mergeCell ref="BS643:BS645"/>
    <mergeCell ref="DK643:DK645"/>
    <mergeCell ref="D643:D645"/>
    <mergeCell ref="U643:U645"/>
    <mergeCell ref="W643:W645"/>
    <mergeCell ref="Y643:Y645"/>
    <mergeCell ref="Z643:Z645"/>
    <mergeCell ref="AB643:AB645"/>
    <mergeCell ref="BU643:BU645"/>
    <mergeCell ref="BT643:BT645"/>
    <mergeCell ref="AC643:AC645"/>
    <mergeCell ref="CD643:CD645"/>
    <mergeCell ref="S643:S645"/>
    <mergeCell ref="BW643:BW645"/>
    <mergeCell ref="BX643:BX645"/>
    <mergeCell ref="BY643:BY645"/>
    <mergeCell ref="H643:H645"/>
    <mergeCell ref="N643:N645"/>
    <mergeCell ref="CB643:CB645"/>
    <mergeCell ref="CE643:CE645"/>
    <mergeCell ref="CA643:CA645"/>
    <mergeCell ref="CC643:CC645"/>
    <mergeCell ref="AA643:AA645"/>
    <mergeCell ref="X643:X645"/>
    <mergeCell ref="V643:V645"/>
    <mergeCell ref="T640:T642"/>
    <mergeCell ref="A640:A642"/>
    <mergeCell ref="BZ640:BZ642"/>
    <mergeCell ref="BV640:BV642"/>
    <mergeCell ref="BS640:BS642"/>
    <mergeCell ref="DK640:DK642"/>
    <mergeCell ref="D640:D642"/>
    <mergeCell ref="U640:U642"/>
    <mergeCell ref="W640:W642"/>
    <mergeCell ref="Y640:Y642"/>
    <mergeCell ref="Z640:Z642"/>
    <mergeCell ref="AB640:AB642"/>
    <mergeCell ref="BU640:BU642"/>
    <mergeCell ref="BT640:BT642"/>
    <mergeCell ref="AC640:AC642"/>
    <mergeCell ref="CD640:CD642"/>
    <mergeCell ref="S640:S642"/>
    <mergeCell ref="BW640:BW642"/>
    <mergeCell ref="BX640:BX642"/>
    <mergeCell ref="CC628:CC630"/>
    <mergeCell ref="AA628:AA630"/>
    <mergeCell ref="X628:X630"/>
    <mergeCell ref="V628:V630"/>
    <mergeCell ref="B628:B630"/>
    <mergeCell ref="B631:B633"/>
    <mergeCell ref="G631:G633"/>
    <mergeCell ref="G628:G630"/>
    <mergeCell ref="E631:E633"/>
    <mergeCell ref="E628:E630"/>
    <mergeCell ref="F631:F633"/>
    <mergeCell ref="F628:F630"/>
    <mergeCell ref="T637:T639"/>
    <mergeCell ref="A637:A639"/>
    <mergeCell ref="BZ637:BZ639"/>
    <mergeCell ref="BV637:BV639"/>
    <mergeCell ref="BS637:BS639"/>
    <mergeCell ref="DK637:DK639"/>
    <mergeCell ref="D637:D639"/>
    <mergeCell ref="U637:U639"/>
    <mergeCell ref="W637:W639"/>
    <mergeCell ref="Y637:Y639"/>
    <mergeCell ref="Z637:Z639"/>
    <mergeCell ref="AB637:AB639"/>
    <mergeCell ref="BU637:BU639"/>
    <mergeCell ref="BT637:BT639"/>
    <mergeCell ref="AC637:AC639"/>
    <mergeCell ref="CD637:CD639"/>
    <mergeCell ref="S637:S639"/>
    <mergeCell ref="BW637:BW639"/>
    <mergeCell ref="BX637:BX639"/>
    <mergeCell ref="BY637:BY639"/>
    <mergeCell ref="H637:H639"/>
    <mergeCell ref="N637:N639"/>
    <mergeCell ref="CB637:CB639"/>
    <mergeCell ref="CE637:CE639"/>
    <mergeCell ref="CA637:CA639"/>
    <mergeCell ref="CC637:CC639"/>
    <mergeCell ref="AA637:AA639"/>
    <mergeCell ref="X637:X639"/>
    <mergeCell ref="V637:V639"/>
    <mergeCell ref="T634:T636"/>
    <mergeCell ref="A634:A636"/>
    <mergeCell ref="BZ634:BZ636"/>
    <mergeCell ref="BV634:BV636"/>
    <mergeCell ref="BS634:BS636"/>
    <mergeCell ref="DK634:DK636"/>
    <mergeCell ref="D634:D636"/>
    <mergeCell ref="U634:U636"/>
    <mergeCell ref="W634:W636"/>
    <mergeCell ref="Y634:Y636"/>
    <mergeCell ref="Z634:Z636"/>
    <mergeCell ref="AB634:AB636"/>
    <mergeCell ref="BU634:BU636"/>
    <mergeCell ref="BT634:BT636"/>
    <mergeCell ref="AC634:AC636"/>
    <mergeCell ref="CD634:CD636"/>
    <mergeCell ref="S634:S636"/>
    <mergeCell ref="BW634:BW636"/>
    <mergeCell ref="BX634:BX636"/>
    <mergeCell ref="BY634:BY636"/>
    <mergeCell ref="H634:H636"/>
    <mergeCell ref="N634:N636"/>
    <mergeCell ref="CB634:CB636"/>
    <mergeCell ref="X622:X624"/>
    <mergeCell ref="V622:V624"/>
    <mergeCell ref="B622:B624"/>
    <mergeCell ref="B625:B627"/>
    <mergeCell ref="G625:G627"/>
    <mergeCell ref="G622:G624"/>
    <mergeCell ref="E625:E627"/>
    <mergeCell ref="E622:E624"/>
    <mergeCell ref="F625:F627"/>
    <mergeCell ref="F622:F624"/>
    <mergeCell ref="T631:T633"/>
    <mergeCell ref="A631:A633"/>
    <mergeCell ref="BZ631:BZ633"/>
    <mergeCell ref="BV631:BV633"/>
    <mergeCell ref="BS631:BS633"/>
    <mergeCell ref="DK631:DK633"/>
    <mergeCell ref="D631:D633"/>
    <mergeCell ref="U631:U633"/>
    <mergeCell ref="W631:W633"/>
    <mergeCell ref="Y631:Y633"/>
    <mergeCell ref="Z631:Z633"/>
    <mergeCell ref="AB631:AB633"/>
    <mergeCell ref="BU631:BU633"/>
    <mergeCell ref="BT631:BT633"/>
    <mergeCell ref="AC631:AC633"/>
    <mergeCell ref="CD631:CD633"/>
    <mergeCell ref="S631:S633"/>
    <mergeCell ref="BW631:BW633"/>
    <mergeCell ref="BX631:BX633"/>
    <mergeCell ref="BY631:BY633"/>
    <mergeCell ref="H631:H633"/>
    <mergeCell ref="N631:N633"/>
    <mergeCell ref="CB631:CB633"/>
    <mergeCell ref="CE631:CE633"/>
    <mergeCell ref="CA631:CA633"/>
    <mergeCell ref="CC631:CC633"/>
    <mergeCell ref="AA631:AA633"/>
    <mergeCell ref="X631:X633"/>
    <mergeCell ref="V631:V633"/>
    <mergeCell ref="T628:T630"/>
    <mergeCell ref="A628:A630"/>
    <mergeCell ref="BZ628:BZ630"/>
    <mergeCell ref="BV628:BV630"/>
    <mergeCell ref="BS628:BS630"/>
    <mergeCell ref="DK628:DK630"/>
    <mergeCell ref="D628:D630"/>
    <mergeCell ref="U628:U630"/>
    <mergeCell ref="W628:W630"/>
    <mergeCell ref="Y628:Y630"/>
    <mergeCell ref="Z628:Z630"/>
    <mergeCell ref="AB628:AB630"/>
    <mergeCell ref="BU628:BU630"/>
    <mergeCell ref="BT628:BT630"/>
    <mergeCell ref="AC628:AC630"/>
    <mergeCell ref="CD628:CD630"/>
    <mergeCell ref="S628:S630"/>
    <mergeCell ref="BW628:BW630"/>
    <mergeCell ref="BX628:BX630"/>
    <mergeCell ref="BY628:BY630"/>
    <mergeCell ref="H628:H630"/>
    <mergeCell ref="N628:N630"/>
    <mergeCell ref="CB628:CB630"/>
    <mergeCell ref="CE628:CE630"/>
    <mergeCell ref="CA628:CA630"/>
    <mergeCell ref="B616:B618"/>
    <mergeCell ref="B619:B621"/>
    <mergeCell ref="G619:G621"/>
    <mergeCell ref="G616:G618"/>
    <mergeCell ref="E619:E621"/>
    <mergeCell ref="E616:E618"/>
    <mergeCell ref="F619:F621"/>
    <mergeCell ref="F616:F618"/>
    <mergeCell ref="T625:T627"/>
    <mergeCell ref="A625:A627"/>
    <mergeCell ref="BZ625:BZ627"/>
    <mergeCell ref="BV625:BV627"/>
    <mergeCell ref="BS625:BS627"/>
    <mergeCell ref="DK625:DK627"/>
    <mergeCell ref="D625:D627"/>
    <mergeCell ref="U625:U627"/>
    <mergeCell ref="W625:W627"/>
    <mergeCell ref="Y625:Y627"/>
    <mergeCell ref="Z625:Z627"/>
    <mergeCell ref="AB625:AB627"/>
    <mergeCell ref="BU625:BU627"/>
    <mergeCell ref="BT625:BT627"/>
    <mergeCell ref="AC625:AC627"/>
    <mergeCell ref="CD625:CD627"/>
    <mergeCell ref="S625:S627"/>
    <mergeCell ref="BW625:BW627"/>
    <mergeCell ref="BX625:BX627"/>
    <mergeCell ref="BY625:BY627"/>
    <mergeCell ref="H625:H627"/>
    <mergeCell ref="N625:N627"/>
    <mergeCell ref="CB625:CB627"/>
    <mergeCell ref="CE625:CE627"/>
    <mergeCell ref="CA625:CA627"/>
    <mergeCell ref="CC625:CC627"/>
    <mergeCell ref="AA625:AA627"/>
    <mergeCell ref="X625:X627"/>
    <mergeCell ref="V625:V627"/>
    <mergeCell ref="T622:T624"/>
    <mergeCell ref="A622:A624"/>
    <mergeCell ref="BZ622:BZ624"/>
    <mergeCell ref="BV622:BV624"/>
    <mergeCell ref="BS622:BS624"/>
    <mergeCell ref="DK622:DK624"/>
    <mergeCell ref="D622:D624"/>
    <mergeCell ref="U622:U624"/>
    <mergeCell ref="W622:W624"/>
    <mergeCell ref="Y622:Y624"/>
    <mergeCell ref="Z622:Z624"/>
    <mergeCell ref="AB622:AB624"/>
    <mergeCell ref="BU622:BU624"/>
    <mergeCell ref="BT622:BT624"/>
    <mergeCell ref="AC622:AC624"/>
    <mergeCell ref="CD622:CD624"/>
    <mergeCell ref="S622:S624"/>
    <mergeCell ref="BW622:BW624"/>
    <mergeCell ref="BX622:BX624"/>
    <mergeCell ref="BY622:BY624"/>
    <mergeCell ref="H622:H624"/>
    <mergeCell ref="N622:N624"/>
    <mergeCell ref="CB622:CB624"/>
    <mergeCell ref="CE622:CE624"/>
    <mergeCell ref="CA622:CA624"/>
    <mergeCell ref="CC622:CC624"/>
    <mergeCell ref="AA622:AA624"/>
    <mergeCell ref="G613:G615"/>
    <mergeCell ref="G610:G612"/>
    <mergeCell ref="E613:E615"/>
    <mergeCell ref="E610:E612"/>
    <mergeCell ref="F613:F615"/>
    <mergeCell ref="F610:F612"/>
    <mergeCell ref="T619:T621"/>
    <mergeCell ref="A619:A621"/>
    <mergeCell ref="BZ619:BZ621"/>
    <mergeCell ref="BV619:BV621"/>
    <mergeCell ref="BS619:BS621"/>
    <mergeCell ref="DK619:DK621"/>
    <mergeCell ref="D619:D621"/>
    <mergeCell ref="U619:U621"/>
    <mergeCell ref="W619:W621"/>
    <mergeCell ref="Y619:Y621"/>
    <mergeCell ref="Z619:Z621"/>
    <mergeCell ref="AB619:AB621"/>
    <mergeCell ref="BU619:BU621"/>
    <mergeCell ref="BT619:BT621"/>
    <mergeCell ref="AC619:AC621"/>
    <mergeCell ref="CD619:CD621"/>
    <mergeCell ref="S619:S621"/>
    <mergeCell ref="BW619:BW621"/>
    <mergeCell ref="BX619:BX621"/>
    <mergeCell ref="BY619:BY621"/>
    <mergeCell ref="H619:H621"/>
    <mergeCell ref="N619:N621"/>
    <mergeCell ref="CB619:CB621"/>
    <mergeCell ref="CE619:CE621"/>
    <mergeCell ref="CA619:CA621"/>
    <mergeCell ref="CC619:CC621"/>
    <mergeCell ref="AA619:AA621"/>
    <mergeCell ref="X619:X621"/>
    <mergeCell ref="V619:V621"/>
    <mergeCell ref="T616:T618"/>
    <mergeCell ref="A616:A618"/>
    <mergeCell ref="BZ616:BZ618"/>
    <mergeCell ref="BV616:BV618"/>
    <mergeCell ref="BS616:BS618"/>
    <mergeCell ref="DK616:DK618"/>
    <mergeCell ref="D616:D618"/>
    <mergeCell ref="U616:U618"/>
    <mergeCell ref="W616:W618"/>
    <mergeCell ref="Y616:Y618"/>
    <mergeCell ref="Z616:Z618"/>
    <mergeCell ref="AB616:AB618"/>
    <mergeCell ref="BU616:BU618"/>
    <mergeCell ref="BT616:BT618"/>
    <mergeCell ref="AC616:AC618"/>
    <mergeCell ref="CD616:CD618"/>
    <mergeCell ref="S616:S618"/>
    <mergeCell ref="BW616:BW618"/>
    <mergeCell ref="BX616:BX618"/>
    <mergeCell ref="BY616:BY618"/>
    <mergeCell ref="H616:H618"/>
    <mergeCell ref="N616:N618"/>
    <mergeCell ref="CB616:CB618"/>
    <mergeCell ref="CE616:CE618"/>
    <mergeCell ref="CA616:CA618"/>
    <mergeCell ref="CC616:CC618"/>
    <mergeCell ref="AA616:AA618"/>
    <mergeCell ref="X616:X618"/>
    <mergeCell ref="V616:V618"/>
    <mergeCell ref="E607:E609"/>
    <mergeCell ref="E604:E606"/>
    <mergeCell ref="F607:F609"/>
    <mergeCell ref="F604:F606"/>
    <mergeCell ref="T613:T615"/>
    <mergeCell ref="A613:A615"/>
    <mergeCell ref="BZ613:BZ615"/>
    <mergeCell ref="BV613:BV615"/>
    <mergeCell ref="BS613:BS615"/>
    <mergeCell ref="DK613:DK615"/>
    <mergeCell ref="D613:D615"/>
    <mergeCell ref="U613:U615"/>
    <mergeCell ref="W613:W615"/>
    <mergeCell ref="Y613:Y615"/>
    <mergeCell ref="Z613:Z615"/>
    <mergeCell ref="AB613:AB615"/>
    <mergeCell ref="BU613:BU615"/>
    <mergeCell ref="BT613:BT615"/>
    <mergeCell ref="AC613:AC615"/>
    <mergeCell ref="CD613:CD615"/>
    <mergeCell ref="S613:S615"/>
    <mergeCell ref="BW613:BW615"/>
    <mergeCell ref="BX613:BX615"/>
    <mergeCell ref="BY613:BY615"/>
    <mergeCell ref="H613:H615"/>
    <mergeCell ref="N613:N615"/>
    <mergeCell ref="CB613:CB615"/>
    <mergeCell ref="CE613:CE615"/>
    <mergeCell ref="CA613:CA615"/>
    <mergeCell ref="CC613:CC615"/>
    <mergeCell ref="AA613:AA615"/>
    <mergeCell ref="X613:X615"/>
    <mergeCell ref="V613:V615"/>
    <mergeCell ref="T610:T612"/>
    <mergeCell ref="A610:A612"/>
    <mergeCell ref="BZ610:BZ612"/>
    <mergeCell ref="BV610:BV612"/>
    <mergeCell ref="BS610:BS612"/>
    <mergeCell ref="DK610:DK612"/>
    <mergeCell ref="D610:D612"/>
    <mergeCell ref="U610:U612"/>
    <mergeCell ref="W610:W612"/>
    <mergeCell ref="Y610:Y612"/>
    <mergeCell ref="Z610:Z612"/>
    <mergeCell ref="AB610:AB612"/>
    <mergeCell ref="BU610:BU612"/>
    <mergeCell ref="BT610:BT612"/>
    <mergeCell ref="AC610:AC612"/>
    <mergeCell ref="CD610:CD612"/>
    <mergeCell ref="S610:S612"/>
    <mergeCell ref="BW610:BW612"/>
    <mergeCell ref="BX610:BX612"/>
    <mergeCell ref="BY610:BY612"/>
    <mergeCell ref="H610:H612"/>
    <mergeCell ref="N610:N612"/>
    <mergeCell ref="CB610:CB612"/>
    <mergeCell ref="CE610:CE612"/>
    <mergeCell ref="CA610:CA612"/>
    <mergeCell ref="CC610:CC612"/>
    <mergeCell ref="AA610:AA612"/>
    <mergeCell ref="X610:X612"/>
    <mergeCell ref="V610:V612"/>
    <mergeCell ref="B610:B612"/>
    <mergeCell ref="B613:B615"/>
    <mergeCell ref="E598:E600"/>
    <mergeCell ref="F601:F603"/>
    <mergeCell ref="F598:F600"/>
    <mergeCell ref="T607:T609"/>
    <mergeCell ref="A607:A609"/>
    <mergeCell ref="BZ607:BZ609"/>
    <mergeCell ref="BV607:BV609"/>
    <mergeCell ref="BS607:BS609"/>
    <mergeCell ref="DK607:DK609"/>
    <mergeCell ref="D607:D609"/>
    <mergeCell ref="U607:U609"/>
    <mergeCell ref="W607:W609"/>
    <mergeCell ref="Y607:Y609"/>
    <mergeCell ref="Z607:Z609"/>
    <mergeCell ref="AB607:AB609"/>
    <mergeCell ref="BU607:BU609"/>
    <mergeCell ref="BT607:BT609"/>
    <mergeCell ref="AC607:AC609"/>
    <mergeCell ref="CD607:CD609"/>
    <mergeCell ref="S607:S609"/>
    <mergeCell ref="BW607:BW609"/>
    <mergeCell ref="BX607:BX609"/>
    <mergeCell ref="BY607:BY609"/>
    <mergeCell ref="H607:H609"/>
    <mergeCell ref="N607:N609"/>
    <mergeCell ref="CB607:CB609"/>
    <mergeCell ref="CE607:CE609"/>
    <mergeCell ref="CA607:CA609"/>
    <mergeCell ref="CC607:CC609"/>
    <mergeCell ref="AA607:AA609"/>
    <mergeCell ref="X607:X609"/>
    <mergeCell ref="V607:V609"/>
    <mergeCell ref="T604:T606"/>
    <mergeCell ref="A604:A606"/>
    <mergeCell ref="BZ604:BZ606"/>
    <mergeCell ref="BV604:BV606"/>
    <mergeCell ref="BS604:BS606"/>
    <mergeCell ref="DK604:DK606"/>
    <mergeCell ref="D604:D606"/>
    <mergeCell ref="U604:U606"/>
    <mergeCell ref="W604:W606"/>
    <mergeCell ref="Y604:Y606"/>
    <mergeCell ref="Z604:Z606"/>
    <mergeCell ref="AB604:AB606"/>
    <mergeCell ref="BU604:BU606"/>
    <mergeCell ref="BT604:BT606"/>
    <mergeCell ref="AC604:AC606"/>
    <mergeCell ref="CD604:CD606"/>
    <mergeCell ref="S604:S606"/>
    <mergeCell ref="BW604:BW606"/>
    <mergeCell ref="BX604:BX606"/>
    <mergeCell ref="BY604:BY606"/>
    <mergeCell ref="N604:N606"/>
    <mergeCell ref="CB604:CB606"/>
    <mergeCell ref="CE604:CE606"/>
    <mergeCell ref="CA604:CA606"/>
    <mergeCell ref="CC604:CC606"/>
    <mergeCell ref="AA604:AA606"/>
    <mergeCell ref="X604:X606"/>
    <mergeCell ref="V604:V606"/>
    <mergeCell ref="B604:B606"/>
    <mergeCell ref="B607:B609"/>
    <mergeCell ref="G607:G609"/>
    <mergeCell ref="G604:G606"/>
    <mergeCell ref="F595:F597"/>
    <mergeCell ref="F592:F594"/>
    <mergeCell ref="T601:T603"/>
    <mergeCell ref="A601:A603"/>
    <mergeCell ref="BZ601:BZ603"/>
    <mergeCell ref="BV601:BV603"/>
    <mergeCell ref="BS601:BS603"/>
    <mergeCell ref="DK601:DK603"/>
    <mergeCell ref="D601:D603"/>
    <mergeCell ref="U601:U603"/>
    <mergeCell ref="W601:W603"/>
    <mergeCell ref="Y601:Y603"/>
    <mergeCell ref="Z601:Z603"/>
    <mergeCell ref="AB601:AB603"/>
    <mergeCell ref="BU601:BU603"/>
    <mergeCell ref="BT601:BT603"/>
    <mergeCell ref="AC601:AC603"/>
    <mergeCell ref="CD601:CD603"/>
    <mergeCell ref="S601:S603"/>
    <mergeCell ref="BW601:BW603"/>
    <mergeCell ref="BX601:BX603"/>
    <mergeCell ref="BY601:BY603"/>
    <mergeCell ref="H601:H603"/>
    <mergeCell ref="N601:N603"/>
    <mergeCell ref="CB601:CB603"/>
    <mergeCell ref="CE601:CE603"/>
    <mergeCell ref="CA601:CA603"/>
    <mergeCell ref="CC601:CC603"/>
    <mergeCell ref="AA601:AA603"/>
    <mergeCell ref="X601:X603"/>
    <mergeCell ref="V601:V603"/>
    <mergeCell ref="T598:T600"/>
    <mergeCell ref="A598:A600"/>
    <mergeCell ref="BZ598:BZ600"/>
    <mergeCell ref="BV598:BV600"/>
    <mergeCell ref="BS598:BS600"/>
    <mergeCell ref="DK598:DK600"/>
    <mergeCell ref="D598:D600"/>
    <mergeCell ref="U598:U600"/>
    <mergeCell ref="W598:W600"/>
    <mergeCell ref="Y598:Y600"/>
    <mergeCell ref="Z598:Z600"/>
    <mergeCell ref="AB598:AB600"/>
    <mergeCell ref="BU598:BU600"/>
    <mergeCell ref="BT598:BT600"/>
    <mergeCell ref="AC598:AC600"/>
    <mergeCell ref="CD598:CD600"/>
    <mergeCell ref="S598:S600"/>
    <mergeCell ref="BW598:BW600"/>
    <mergeCell ref="BX598:BX600"/>
    <mergeCell ref="BY598:BY600"/>
    <mergeCell ref="N598:N600"/>
    <mergeCell ref="CB598:CB600"/>
    <mergeCell ref="CE598:CE600"/>
    <mergeCell ref="CA598:CA600"/>
    <mergeCell ref="CC598:CC600"/>
    <mergeCell ref="AA598:AA600"/>
    <mergeCell ref="X598:X600"/>
    <mergeCell ref="V598:V600"/>
    <mergeCell ref="B598:B600"/>
    <mergeCell ref="B601:B603"/>
    <mergeCell ref="G601:G603"/>
    <mergeCell ref="G598:G600"/>
    <mergeCell ref="E601:E603"/>
    <mergeCell ref="T595:T597"/>
    <mergeCell ref="A595:A597"/>
    <mergeCell ref="BZ595:BZ597"/>
    <mergeCell ref="BV595:BV597"/>
    <mergeCell ref="BS595:BS597"/>
    <mergeCell ref="DK595:DK597"/>
    <mergeCell ref="D595:D597"/>
    <mergeCell ref="U595:U597"/>
    <mergeCell ref="W595:W597"/>
    <mergeCell ref="Y595:Y597"/>
    <mergeCell ref="Z595:Z597"/>
    <mergeCell ref="AB595:AB597"/>
    <mergeCell ref="BU595:BU597"/>
    <mergeCell ref="BT595:BT597"/>
    <mergeCell ref="AC595:AC597"/>
    <mergeCell ref="CD595:CD597"/>
    <mergeCell ref="S595:S597"/>
    <mergeCell ref="BW595:BW597"/>
    <mergeCell ref="BX595:BX597"/>
    <mergeCell ref="BY595:BY597"/>
    <mergeCell ref="H595:H597"/>
    <mergeCell ref="N595:N597"/>
    <mergeCell ref="CB595:CB597"/>
    <mergeCell ref="CE595:CE597"/>
    <mergeCell ref="CA595:CA597"/>
    <mergeCell ref="CC595:CC597"/>
    <mergeCell ref="AA595:AA597"/>
    <mergeCell ref="X595:X597"/>
    <mergeCell ref="V595:V597"/>
    <mergeCell ref="T592:T594"/>
    <mergeCell ref="A592:A594"/>
    <mergeCell ref="BZ592:BZ594"/>
    <mergeCell ref="BV592:BV594"/>
    <mergeCell ref="BS592:BS594"/>
    <mergeCell ref="DK592:DK594"/>
    <mergeCell ref="D592:D594"/>
    <mergeCell ref="U592:U594"/>
    <mergeCell ref="W592:W594"/>
    <mergeCell ref="Y592:Y594"/>
    <mergeCell ref="Z592:Z594"/>
    <mergeCell ref="AB592:AB594"/>
    <mergeCell ref="BU592:BU594"/>
    <mergeCell ref="BT592:BT594"/>
    <mergeCell ref="AC592:AC594"/>
    <mergeCell ref="CD592:CD594"/>
    <mergeCell ref="S592:S594"/>
    <mergeCell ref="BW592:BW594"/>
    <mergeCell ref="BX592:BX594"/>
    <mergeCell ref="BY592:BY594"/>
    <mergeCell ref="H592:H594"/>
    <mergeCell ref="N592:N594"/>
    <mergeCell ref="CB592:CB594"/>
    <mergeCell ref="CE592:CE594"/>
    <mergeCell ref="CA592:CA594"/>
    <mergeCell ref="CC592:CC594"/>
    <mergeCell ref="AA592:AA594"/>
    <mergeCell ref="X592:X594"/>
    <mergeCell ref="V592:V594"/>
    <mergeCell ref="B592:B594"/>
    <mergeCell ref="B595:B597"/>
    <mergeCell ref="G595:G597"/>
    <mergeCell ref="G592:G594"/>
    <mergeCell ref="E595:E597"/>
    <mergeCell ref="E592:E594"/>
    <mergeCell ref="DK589:DK591"/>
    <mergeCell ref="D589:D591"/>
    <mergeCell ref="U589:U591"/>
    <mergeCell ref="W589:W591"/>
    <mergeCell ref="Y589:Y591"/>
    <mergeCell ref="Z589:Z591"/>
    <mergeCell ref="AB589:AB591"/>
    <mergeCell ref="BU589:BU591"/>
    <mergeCell ref="BT589:BT591"/>
    <mergeCell ref="AC589:AC591"/>
    <mergeCell ref="CD589:CD591"/>
    <mergeCell ref="S589:S591"/>
    <mergeCell ref="BW589:BW591"/>
    <mergeCell ref="BX589:BX591"/>
    <mergeCell ref="BY589:BY591"/>
    <mergeCell ref="H589:H591"/>
    <mergeCell ref="N589:N591"/>
    <mergeCell ref="CB589:CB591"/>
    <mergeCell ref="CE589:CE591"/>
    <mergeCell ref="CA589:CA591"/>
    <mergeCell ref="CC589:CC591"/>
    <mergeCell ref="AA589:AA591"/>
    <mergeCell ref="X589:X591"/>
    <mergeCell ref="V589:V591"/>
    <mergeCell ref="T586:T588"/>
    <mergeCell ref="A586:A588"/>
    <mergeCell ref="BZ586:BZ588"/>
    <mergeCell ref="BV586:BV588"/>
    <mergeCell ref="BS586:BS588"/>
    <mergeCell ref="DK586:DK588"/>
    <mergeCell ref="D586:D588"/>
    <mergeCell ref="U586:U588"/>
    <mergeCell ref="W586:W588"/>
    <mergeCell ref="Y586:Y588"/>
    <mergeCell ref="Z586:Z588"/>
    <mergeCell ref="AB586:AB588"/>
    <mergeCell ref="BU586:BU588"/>
    <mergeCell ref="BT586:BT588"/>
    <mergeCell ref="AC586:AC588"/>
    <mergeCell ref="CD586:CD588"/>
    <mergeCell ref="S586:S588"/>
    <mergeCell ref="BW586:BW588"/>
    <mergeCell ref="BX586:BX588"/>
    <mergeCell ref="BY586:BY588"/>
    <mergeCell ref="H586:H588"/>
    <mergeCell ref="N586:N588"/>
    <mergeCell ref="CB586:CB588"/>
    <mergeCell ref="CE586:CE588"/>
    <mergeCell ref="CA586:CA588"/>
    <mergeCell ref="CC586:CC588"/>
    <mergeCell ref="AA586:AA588"/>
    <mergeCell ref="X586:X588"/>
    <mergeCell ref="V586:V588"/>
    <mergeCell ref="B586:B588"/>
    <mergeCell ref="B589:B591"/>
    <mergeCell ref="G589:G591"/>
    <mergeCell ref="G586:G588"/>
    <mergeCell ref="E589:E591"/>
    <mergeCell ref="E586:E588"/>
    <mergeCell ref="F589:F591"/>
    <mergeCell ref="F586:F588"/>
    <mergeCell ref="Y580:Y582"/>
    <mergeCell ref="Z580:Z582"/>
    <mergeCell ref="AB580:AB582"/>
    <mergeCell ref="BU580:BU582"/>
    <mergeCell ref="BT580:BT582"/>
    <mergeCell ref="AC580:AC582"/>
    <mergeCell ref="CD580:CD582"/>
    <mergeCell ref="S580:S582"/>
    <mergeCell ref="BW580:BW582"/>
    <mergeCell ref="BX580:BX582"/>
    <mergeCell ref="BY580:BY582"/>
    <mergeCell ref="H580:H582"/>
    <mergeCell ref="N580:N582"/>
    <mergeCell ref="CB580:CB582"/>
    <mergeCell ref="CE580:CE582"/>
    <mergeCell ref="CA580:CA582"/>
    <mergeCell ref="CC580:CC582"/>
    <mergeCell ref="AA580:AA582"/>
    <mergeCell ref="X580:X582"/>
    <mergeCell ref="V580:V582"/>
    <mergeCell ref="B580:B582"/>
    <mergeCell ref="B583:B585"/>
    <mergeCell ref="G583:G585"/>
    <mergeCell ref="G580:G582"/>
    <mergeCell ref="E583:E585"/>
    <mergeCell ref="E580:E582"/>
    <mergeCell ref="F583:F585"/>
    <mergeCell ref="F580:F582"/>
    <mergeCell ref="T589:T591"/>
    <mergeCell ref="A589:A591"/>
    <mergeCell ref="BZ589:BZ591"/>
    <mergeCell ref="BV589:BV591"/>
    <mergeCell ref="BS589:BS591"/>
    <mergeCell ref="AB574:AB576"/>
    <mergeCell ref="BU574:BU576"/>
    <mergeCell ref="BT574:BT576"/>
    <mergeCell ref="AC574:AC576"/>
    <mergeCell ref="CD574:CD576"/>
    <mergeCell ref="S574:S576"/>
    <mergeCell ref="BW574:BW576"/>
    <mergeCell ref="BX574:BX576"/>
    <mergeCell ref="BY574:BY576"/>
    <mergeCell ref="H574:H576"/>
    <mergeCell ref="N574:N576"/>
    <mergeCell ref="CB574:CB576"/>
    <mergeCell ref="CE574:CE576"/>
    <mergeCell ref="CA574:CA576"/>
    <mergeCell ref="CC574:CC576"/>
    <mergeCell ref="AA574:AA576"/>
    <mergeCell ref="X574:X576"/>
    <mergeCell ref="V574:V576"/>
    <mergeCell ref="B574:B576"/>
    <mergeCell ref="B577:B579"/>
    <mergeCell ref="G577:G579"/>
    <mergeCell ref="G574:G576"/>
    <mergeCell ref="E577:E579"/>
    <mergeCell ref="E574:E576"/>
    <mergeCell ref="F577:F579"/>
    <mergeCell ref="F574:F576"/>
    <mergeCell ref="T583:T585"/>
    <mergeCell ref="A583:A585"/>
    <mergeCell ref="BZ583:BZ585"/>
    <mergeCell ref="BV583:BV585"/>
    <mergeCell ref="BS583:BS585"/>
    <mergeCell ref="DK583:DK585"/>
    <mergeCell ref="D583:D585"/>
    <mergeCell ref="U583:U585"/>
    <mergeCell ref="W583:W585"/>
    <mergeCell ref="Y583:Y585"/>
    <mergeCell ref="Z583:Z585"/>
    <mergeCell ref="AB583:AB585"/>
    <mergeCell ref="BU583:BU585"/>
    <mergeCell ref="BT583:BT585"/>
    <mergeCell ref="AC583:AC585"/>
    <mergeCell ref="CD583:CD585"/>
    <mergeCell ref="S583:S585"/>
    <mergeCell ref="BW583:BW585"/>
    <mergeCell ref="BX583:BX585"/>
    <mergeCell ref="BY583:BY585"/>
    <mergeCell ref="H583:H585"/>
    <mergeCell ref="N583:N585"/>
    <mergeCell ref="CB583:CB585"/>
    <mergeCell ref="CE583:CE585"/>
    <mergeCell ref="CA583:CA585"/>
    <mergeCell ref="CC583:CC585"/>
    <mergeCell ref="AA583:AA585"/>
    <mergeCell ref="X583:X585"/>
    <mergeCell ref="V583:V585"/>
    <mergeCell ref="T580:T582"/>
    <mergeCell ref="A580:A582"/>
    <mergeCell ref="BZ580:BZ582"/>
    <mergeCell ref="BV580:BV582"/>
    <mergeCell ref="BS580:BS582"/>
    <mergeCell ref="DK580:DK582"/>
    <mergeCell ref="D580:D582"/>
    <mergeCell ref="U580:U582"/>
    <mergeCell ref="W580:W582"/>
    <mergeCell ref="BT568:BT570"/>
    <mergeCell ref="AC568:AC570"/>
    <mergeCell ref="CD568:CD570"/>
    <mergeCell ref="S568:S570"/>
    <mergeCell ref="BW568:BW570"/>
    <mergeCell ref="BX568:BX570"/>
    <mergeCell ref="BY568:BY570"/>
    <mergeCell ref="H568:H570"/>
    <mergeCell ref="N568:N570"/>
    <mergeCell ref="CB568:CB570"/>
    <mergeCell ref="CE568:CE570"/>
    <mergeCell ref="CA568:CA570"/>
    <mergeCell ref="CC568:CC570"/>
    <mergeCell ref="AA568:AA570"/>
    <mergeCell ref="X568:X570"/>
    <mergeCell ref="V568:V570"/>
    <mergeCell ref="B568:B570"/>
    <mergeCell ref="B571:B573"/>
    <mergeCell ref="G571:G573"/>
    <mergeCell ref="G568:G570"/>
    <mergeCell ref="E571:E573"/>
    <mergeCell ref="E568:E570"/>
    <mergeCell ref="F571:F573"/>
    <mergeCell ref="F568:F570"/>
    <mergeCell ref="T577:T579"/>
    <mergeCell ref="A577:A579"/>
    <mergeCell ref="BZ577:BZ579"/>
    <mergeCell ref="BV577:BV579"/>
    <mergeCell ref="BS577:BS579"/>
    <mergeCell ref="DK577:DK579"/>
    <mergeCell ref="D577:D579"/>
    <mergeCell ref="U577:U579"/>
    <mergeCell ref="W577:W579"/>
    <mergeCell ref="Y577:Y579"/>
    <mergeCell ref="Z577:Z579"/>
    <mergeCell ref="AB577:AB579"/>
    <mergeCell ref="BU577:BU579"/>
    <mergeCell ref="BT577:BT579"/>
    <mergeCell ref="AC577:AC579"/>
    <mergeCell ref="CD577:CD579"/>
    <mergeCell ref="S577:S579"/>
    <mergeCell ref="BW577:BW579"/>
    <mergeCell ref="BX577:BX579"/>
    <mergeCell ref="BY577:BY579"/>
    <mergeCell ref="H577:H579"/>
    <mergeCell ref="N577:N579"/>
    <mergeCell ref="CB577:CB579"/>
    <mergeCell ref="CE577:CE579"/>
    <mergeCell ref="CA577:CA579"/>
    <mergeCell ref="CC577:CC579"/>
    <mergeCell ref="AA577:AA579"/>
    <mergeCell ref="X577:X579"/>
    <mergeCell ref="V577:V579"/>
    <mergeCell ref="T574:T576"/>
    <mergeCell ref="A574:A576"/>
    <mergeCell ref="BZ574:BZ576"/>
    <mergeCell ref="BV574:BV576"/>
    <mergeCell ref="BS574:BS576"/>
    <mergeCell ref="DK574:DK576"/>
    <mergeCell ref="D574:D576"/>
    <mergeCell ref="U574:U576"/>
    <mergeCell ref="W574:W576"/>
    <mergeCell ref="Y574:Y576"/>
    <mergeCell ref="Z574:Z576"/>
    <mergeCell ref="CD562:CD564"/>
    <mergeCell ref="S562:S564"/>
    <mergeCell ref="BW562:BW564"/>
    <mergeCell ref="BX562:BX564"/>
    <mergeCell ref="BY562:BY564"/>
    <mergeCell ref="H562:H564"/>
    <mergeCell ref="N562:N564"/>
    <mergeCell ref="CB562:CB564"/>
    <mergeCell ref="CE562:CE564"/>
    <mergeCell ref="CA562:CA564"/>
    <mergeCell ref="CC562:CC564"/>
    <mergeCell ref="AA562:AA564"/>
    <mergeCell ref="X562:X564"/>
    <mergeCell ref="V562:V564"/>
    <mergeCell ref="B562:B564"/>
    <mergeCell ref="B565:B567"/>
    <mergeCell ref="G565:G567"/>
    <mergeCell ref="G562:G564"/>
    <mergeCell ref="E565:E567"/>
    <mergeCell ref="E562:E564"/>
    <mergeCell ref="F565:F567"/>
    <mergeCell ref="F562:F564"/>
    <mergeCell ref="T571:T573"/>
    <mergeCell ref="A571:A573"/>
    <mergeCell ref="BZ571:BZ573"/>
    <mergeCell ref="BV571:BV573"/>
    <mergeCell ref="BS571:BS573"/>
    <mergeCell ref="DK571:DK573"/>
    <mergeCell ref="D571:D573"/>
    <mergeCell ref="U571:U573"/>
    <mergeCell ref="W571:W573"/>
    <mergeCell ref="Y571:Y573"/>
    <mergeCell ref="Z571:Z573"/>
    <mergeCell ref="AB571:AB573"/>
    <mergeCell ref="BU571:BU573"/>
    <mergeCell ref="BT571:BT573"/>
    <mergeCell ref="AC571:AC573"/>
    <mergeCell ref="CD571:CD573"/>
    <mergeCell ref="S571:S573"/>
    <mergeCell ref="BW571:BW573"/>
    <mergeCell ref="BX571:BX573"/>
    <mergeCell ref="BY571:BY573"/>
    <mergeCell ref="H571:H573"/>
    <mergeCell ref="N571:N573"/>
    <mergeCell ref="CB571:CB573"/>
    <mergeCell ref="CE571:CE573"/>
    <mergeCell ref="CA571:CA573"/>
    <mergeCell ref="CC571:CC573"/>
    <mergeCell ref="AA571:AA573"/>
    <mergeCell ref="X571:X573"/>
    <mergeCell ref="V571:V573"/>
    <mergeCell ref="T568:T570"/>
    <mergeCell ref="A568:A570"/>
    <mergeCell ref="BZ568:BZ570"/>
    <mergeCell ref="BV568:BV570"/>
    <mergeCell ref="BS568:BS570"/>
    <mergeCell ref="DK568:DK570"/>
    <mergeCell ref="D568:D570"/>
    <mergeCell ref="U568:U570"/>
    <mergeCell ref="W568:W570"/>
    <mergeCell ref="Y568:Y570"/>
    <mergeCell ref="Z568:Z570"/>
    <mergeCell ref="AB568:AB570"/>
    <mergeCell ref="BU568:BU570"/>
    <mergeCell ref="BW556:BW558"/>
    <mergeCell ref="BX556:BX558"/>
    <mergeCell ref="BY556:BY558"/>
    <mergeCell ref="H556:H558"/>
    <mergeCell ref="N556:N558"/>
    <mergeCell ref="CB556:CB558"/>
    <mergeCell ref="CE556:CE558"/>
    <mergeCell ref="CA556:CA558"/>
    <mergeCell ref="CC556:CC558"/>
    <mergeCell ref="AA556:AA558"/>
    <mergeCell ref="X556:X558"/>
    <mergeCell ref="V556:V558"/>
    <mergeCell ref="B556:B558"/>
    <mergeCell ref="B559:B561"/>
    <mergeCell ref="G559:G561"/>
    <mergeCell ref="G556:G558"/>
    <mergeCell ref="E559:E561"/>
    <mergeCell ref="E556:E558"/>
    <mergeCell ref="F559:F561"/>
    <mergeCell ref="F556:F558"/>
    <mergeCell ref="T565:T567"/>
    <mergeCell ref="A565:A567"/>
    <mergeCell ref="BZ565:BZ567"/>
    <mergeCell ref="BV565:BV567"/>
    <mergeCell ref="BS565:BS567"/>
    <mergeCell ref="DK565:DK567"/>
    <mergeCell ref="D565:D567"/>
    <mergeCell ref="U565:U567"/>
    <mergeCell ref="W565:W567"/>
    <mergeCell ref="Y565:Y567"/>
    <mergeCell ref="Z565:Z567"/>
    <mergeCell ref="AB565:AB567"/>
    <mergeCell ref="BU565:BU567"/>
    <mergeCell ref="BT565:BT567"/>
    <mergeCell ref="AC565:AC567"/>
    <mergeCell ref="CD565:CD567"/>
    <mergeCell ref="S565:S567"/>
    <mergeCell ref="BW565:BW567"/>
    <mergeCell ref="BX565:BX567"/>
    <mergeCell ref="BY565:BY567"/>
    <mergeCell ref="H565:H567"/>
    <mergeCell ref="N565:N567"/>
    <mergeCell ref="CB565:CB567"/>
    <mergeCell ref="CE565:CE567"/>
    <mergeCell ref="CA565:CA567"/>
    <mergeCell ref="CC565:CC567"/>
    <mergeCell ref="AA565:AA567"/>
    <mergeCell ref="X565:X567"/>
    <mergeCell ref="V565:V567"/>
    <mergeCell ref="T562:T564"/>
    <mergeCell ref="A562:A564"/>
    <mergeCell ref="BZ562:BZ564"/>
    <mergeCell ref="BV562:BV564"/>
    <mergeCell ref="BS562:BS564"/>
    <mergeCell ref="DK562:DK564"/>
    <mergeCell ref="D562:D564"/>
    <mergeCell ref="U562:U564"/>
    <mergeCell ref="W562:W564"/>
    <mergeCell ref="Y562:Y564"/>
    <mergeCell ref="Z562:Z564"/>
    <mergeCell ref="AB562:AB564"/>
    <mergeCell ref="BU562:BU564"/>
    <mergeCell ref="BT562:BT564"/>
    <mergeCell ref="AC562:AC564"/>
    <mergeCell ref="BY550:BY552"/>
    <mergeCell ref="H550:H552"/>
    <mergeCell ref="N550:N552"/>
    <mergeCell ref="CB550:CB552"/>
    <mergeCell ref="CE550:CE552"/>
    <mergeCell ref="CA550:CA552"/>
    <mergeCell ref="CC550:CC552"/>
    <mergeCell ref="AA550:AA552"/>
    <mergeCell ref="X550:X552"/>
    <mergeCell ref="V550:V552"/>
    <mergeCell ref="B550:B552"/>
    <mergeCell ref="B553:B555"/>
    <mergeCell ref="G553:G555"/>
    <mergeCell ref="G550:G552"/>
    <mergeCell ref="E553:E555"/>
    <mergeCell ref="E550:E552"/>
    <mergeCell ref="F553:F555"/>
    <mergeCell ref="F550:F552"/>
    <mergeCell ref="T559:T561"/>
    <mergeCell ref="A559:A561"/>
    <mergeCell ref="BZ559:BZ561"/>
    <mergeCell ref="BV559:BV561"/>
    <mergeCell ref="BS559:BS561"/>
    <mergeCell ref="DK559:DK561"/>
    <mergeCell ref="D559:D561"/>
    <mergeCell ref="U559:U561"/>
    <mergeCell ref="W559:W561"/>
    <mergeCell ref="Y559:Y561"/>
    <mergeCell ref="Z559:Z561"/>
    <mergeCell ref="AB559:AB561"/>
    <mergeCell ref="BU559:BU561"/>
    <mergeCell ref="BT559:BT561"/>
    <mergeCell ref="AC559:AC561"/>
    <mergeCell ref="CD559:CD561"/>
    <mergeCell ref="S559:S561"/>
    <mergeCell ref="BW559:BW561"/>
    <mergeCell ref="BX559:BX561"/>
    <mergeCell ref="BY559:BY561"/>
    <mergeCell ref="H559:H561"/>
    <mergeCell ref="N559:N561"/>
    <mergeCell ref="CB559:CB561"/>
    <mergeCell ref="CE559:CE561"/>
    <mergeCell ref="CA559:CA561"/>
    <mergeCell ref="CC559:CC561"/>
    <mergeCell ref="AA559:AA561"/>
    <mergeCell ref="X559:X561"/>
    <mergeCell ref="V559:V561"/>
    <mergeCell ref="T556:T558"/>
    <mergeCell ref="A556:A558"/>
    <mergeCell ref="BZ556:BZ558"/>
    <mergeCell ref="BV556:BV558"/>
    <mergeCell ref="BS556:BS558"/>
    <mergeCell ref="DK556:DK558"/>
    <mergeCell ref="D556:D558"/>
    <mergeCell ref="U556:U558"/>
    <mergeCell ref="W556:W558"/>
    <mergeCell ref="Y556:Y558"/>
    <mergeCell ref="Z556:Z558"/>
    <mergeCell ref="AB556:AB558"/>
    <mergeCell ref="BU556:BU558"/>
    <mergeCell ref="BT556:BT558"/>
    <mergeCell ref="AC556:AC558"/>
    <mergeCell ref="CD556:CD558"/>
    <mergeCell ref="S556:S558"/>
    <mergeCell ref="N544:N546"/>
    <mergeCell ref="CB544:CB546"/>
    <mergeCell ref="CE544:CE546"/>
    <mergeCell ref="CA544:CA546"/>
    <mergeCell ref="CC544:CC546"/>
    <mergeCell ref="AA544:AA546"/>
    <mergeCell ref="X544:X546"/>
    <mergeCell ref="V544:V546"/>
    <mergeCell ref="B544:B546"/>
    <mergeCell ref="B547:B549"/>
    <mergeCell ref="G547:G549"/>
    <mergeCell ref="G544:G546"/>
    <mergeCell ref="E547:E549"/>
    <mergeCell ref="E544:E546"/>
    <mergeCell ref="F547:F549"/>
    <mergeCell ref="F544:F546"/>
    <mergeCell ref="T553:T555"/>
    <mergeCell ref="A553:A555"/>
    <mergeCell ref="BZ553:BZ555"/>
    <mergeCell ref="BV553:BV555"/>
    <mergeCell ref="BS553:BS555"/>
    <mergeCell ref="DK553:DK555"/>
    <mergeCell ref="D553:D555"/>
    <mergeCell ref="U553:U555"/>
    <mergeCell ref="W553:W555"/>
    <mergeCell ref="Y553:Y555"/>
    <mergeCell ref="Z553:Z555"/>
    <mergeCell ref="AB553:AB555"/>
    <mergeCell ref="BU553:BU555"/>
    <mergeCell ref="BT553:BT555"/>
    <mergeCell ref="AC553:AC555"/>
    <mergeCell ref="CD553:CD555"/>
    <mergeCell ref="S553:S555"/>
    <mergeCell ref="BW553:BW555"/>
    <mergeCell ref="BX553:BX555"/>
    <mergeCell ref="BY553:BY555"/>
    <mergeCell ref="H553:H555"/>
    <mergeCell ref="N553:N555"/>
    <mergeCell ref="CB553:CB555"/>
    <mergeCell ref="CE553:CE555"/>
    <mergeCell ref="CA553:CA555"/>
    <mergeCell ref="CC553:CC555"/>
    <mergeCell ref="AA553:AA555"/>
    <mergeCell ref="X553:X555"/>
    <mergeCell ref="V553:V555"/>
    <mergeCell ref="T550:T552"/>
    <mergeCell ref="A550:A552"/>
    <mergeCell ref="BZ550:BZ552"/>
    <mergeCell ref="BV550:BV552"/>
    <mergeCell ref="BS550:BS552"/>
    <mergeCell ref="DK550:DK552"/>
    <mergeCell ref="D550:D552"/>
    <mergeCell ref="U550:U552"/>
    <mergeCell ref="W550:W552"/>
    <mergeCell ref="Y550:Y552"/>
    <mergeCell ref="Z550:Z552"/>
    <mergeCell ref="AB550:AB552"/>
    <mergeCell ref="BU550:BU552"/>
    <mergeCell ref="BT550:BT552"/>
    <mergeCell ref="AC550:AC552"/>
    <mergeCell ref="CD550:CD552"/>
    <mergeCell ref="S550:S552"/>
    <mergeCell ref="BW550:BW552"/>
    <mergeCell ref="BX550:BX552"/>
    <mergeCell ref="CE538:CE540"/>
    <mergeCell ref="CA538:CA540"/>
    <mergeCell ref="CC538:CC540"/>
    <mergeCell ref="AA538:AA540"/>
    <mergeCell ref="X538:X540"/>
    <mergeCell ref="V538:V540"/>
    <mergeCell ref="B538:B540"/>
    <mergeCell ref="B541:B543"/>
    <mergeCell ref="G541:G543"/>
    <mergeCell ref="G538:G540"/>
    <mergeCell ref="E541:E543"/>
    <mergeCell ref="E538:E540"/>
    <mergeCell ref="F541:F543"/>
    <mergeCell ref="F538:F540"/>
    <mergeCell ref="T547:T549"/>
    <mergeCell ref="A547:A549"/>
    <mergeCell ref="BZ547:BZ549"/>
    <mergeCell ref="BV547:BV549"/>
    <mergeCell ref="BS547:BS549"/>
    <mergeCell ref="DK547:DK549"/>
    <mergeCell ref="D547:D549"/>
    <mergeCell ref="U547:U549"/>
    <mergeCell ref="W547:W549"/>
    <mergeCell ref="Y547:Y549"/>
    <mergeCell ref="Z547:Z549"/>
    <mergeCell ref="AB547:AB549"/>
    <mergeCell ref="BU547:BU549"/>
    <mergeCell ref="BT547:BT549"/>
    <mergeCell ref="AC547:AC549"/>
    <mergeCell ref="CD547:CD549"/>
    <mergeCell ref="S547:S549"/>
    <mergeCell ref="BW547:BW549"/>
    <mergeCell ref="BX547:BX549"/>
    <mergeCell ref="BY547:BY549"/>
    <mergeCell ref="H547:H549"/>
    <mergeCell ref="N547:N549"/>
    <mergeCell ref="CB547:CB549"/>
    <mergeCell ref="CE547:CE549"/>
    <mergeCell ref="CA547:CA549"/>
    <mergeCell ref="CC547:CC549"/>
    <mergeCell ref="AA547:AA549"/>
    <mergeCell ref="X547:X549"/>
    <mergeCell ref="V547:V549"/>
    <mergeCell ref="T544:T546"/>
    <mergeCell ref="A544:A546"/>
    <mergeCell ref="BZ544:BZ546"/>
    <mergeCell ref="BV544:BV546"/>
    <mergeCell ref="BS544:BS546"/>
    <mergeCell ref="DK544:DK546"/>
    <mergeCell ref="D544:D546"/>
    <mergeCell ref="U544:U546"/>
    <mergeCell ref="W544:W546"/>
    <mergeCell ref="Y544:Y546"/>
    <mergeCell ref="Z544:Z546"/>
    <mergeCell ref="AB544:AB546"/>
    <mergeCell ref="BU544:BU546"/>
    <mergeCell ref="BT544:BT546"/>
    <mergeCell ref="AC544:AC546"/>
    <mergeCell ref="CD544:CD546"/>
    <mergeCell ref="S544:S546"/>
    <mergeCell ref="BW544:BW546"/>
    <mergeCell ref="BX544:BX546"/>
    <mergeCell ref="BY544:BY546"/>
    <mergeCell ref="H544:H546"/>
    <mergeCell ref="CC532:CC534"/>
    <mergeCell ref="AA532:AA534"/>
    <mergeCell ref="X532:X534"/>
    <mergeCell ref="V532:V534"/>
    <mergeCell ref="B532:B534"/>
    <mergeCell ref="B535:B537"/>
    <mergeCell ref="G535:G537"/>
    <mergeCell ref="G532:G534"/>
    <mergeCell ref="E535:E537"/>
    <mergeCell ref="E532:E534"/>
    <mergeCell ref="F535:F537"/>
    <mergeCell ref="F532:F534"/>
    <mergeCell ref="T541:T543"/>
    <mergeCell ref="A541:A543"/>
    <mergeCell ref="BZ541:BZ543"/>
    <mergeCell ref="BV541:BV543"/>
    <mergeCell ref="BS541:BS543"/>
    <mergeCell ref="DK541:DK543"/>
    <mergeCell ref="D541:D543"/>
    <mergeCell ref="U541:U543"/>
    <mergeCell ref="W541:W543"/>
    <mergeCell ref="Y541:Y543"/>
    <mergeCell ref="Z541:Z543"/>
    <mergeCell ref="AB541:AB543"/>
    <mergeCell ref="BU541:BU543"/>
    <mergeCell ref="BT541:BT543"/>
    <mergeCell ref="AC541:AC543"/>
    <mergeCell ref="CD541:CD543"/>
    <mergeCell ref="S541:S543"/>
    <mergeCell ref="BW541:BW543"/>
    <mergeCell ref="BX541:BX543"/>
    <mergeCell ref="BY541:BY543"/>
    <mergeCell ref="H541:H543"/>
    <mergeCell ref="N541:N543"/>
    <mergeCell ref="CB541:CB543"/>
    <mergeCell ref="CE541:CE543"/>
    <mergeCell ref="CA541:CA543"/>
    <mergeCell ref="CC541:CC543"/>
    <mergeCell ref="AA541:AA543"/>
    <mergeCell ref="X541:X543"/>
    <mergeCell ref="V541:V543"/>
    <mergeCell ref="T538:T540"/>
    <mergeCell ref="A538:A540"/>
    <mergeCell ref="BZ538:BZ540"/>
    <mergeCell ref="BV538:BV540"/>
    <mergeCell ref="BS538:BS540"/>
    <mergeCell ref="DK538:DK540"/>
    <mergeCell ref="D538:D540"/>
    <mergeCell ref="U538:U540"/>
    <mergeCell ref="W538:W540"/>
    <mergeCell ref="Y538:Y540"/>
    <mergeCell ref="Z538:Z540"/>
    <mergeCell ref="AB538:AB540"/>
    <mergeCell ref="BU538:BU540"/>
    <mergeCell ref="BT538:BT540"/>
    <mergeCell ref="AC538:AC540"/>
    <mergeCell ref="CD538:CD540"/>
    <mergeCell ref="S538:S540"/>
    <mergeCell ref="BW538:BW540"/>
    <mergeCell ref="BX538:BX540"/>
    <mergeCell ref="BY538:BY540"/>
    <mergeCell ref="H538:H540"/>
    <mergeCell ref="N538:N540"/>
    <mergeCell ref="CB538:CB540"/>
    <mergeCell ref="X526:X528"/>
    <mergeCell ref="V526:V528"/>
    <mergeCell ref="B526:B528"/>
    <mergeCell ref="B529:B531"/>
    <mergeCell ref="G529:G531"/>
    <mergeCell ref="G526:G528"/>
    <mergeCell ref="E529:E531"/>
    <mergeCell ref="E526:E528"/>
    <mergeCell ref="F529:F531"/>
    <mergeCell ref="F526:F528"/>
    <mergeCell ref="T535:T537"/>
    <mergeCell ref="A535:A537"/>
    <mergeCell ref="BZ535:BZ537"/>
    <mergeCell ref="BV535:BV537"/>
    <mergeCell ref="BS535:BS537"/>
    <mergeCell ref="DK535:DK537"/>
    <mergeCell ref="D535:D537"/>
    <mergeCell ref="U535:U537"/>
    <mergeCell ref="W535:W537"/>
    <mergeCell ref="Y535:Y537"/>
    <mergeCell ref="Z535:Z537"/>
    <mergeCell ref="AB535:AB537"/>
    <mergeCell ref="BU535:BU537"/>
    <mergeCell ref="BT535:BT537"/>
    <mergeCell ref="AC535:AC537"/>
    <mergeCell ref="CD535:CD537"/>
    <mergeCell ref="S535:S537"/>
    <mergeCell ref="BW535:BW537"/>
    <mergeCell ref="BX535:BX537"/>
    <mergeCell ref="BY535:BY537"/>
    <mergeCell ref="H535:H537"/>
    <mergeCell ref="N535:N537"/>
    <mergeCell ref="CB535:CB537"/>
    <mergeCell ref="CE535:CE537"/>
    <mergeCell ref="CA535:CA537"/>
    <mergeCell ref="CC535:CC537"/>
    <mergeCell ref="AA535:AA537"/>
    <mergeCell ref="X535:X537"/>
    <mergeCell ref="V535:V537"/>
    <mergeCell ref="T532:T534"/>
    <mergeCell ref="A532:A534"/>
    <mergeCell ref="BZ532:BZ534"/>
    <mergeCell ref="BV532:BV534"/>
    <mergeCell ref="BS532:BS534"/>
    <mergeCell ref="DK532:DK534"/>
    <mergeCell ref="D532:D534"/>
    <mergeCell ref="U532:U534"/>
    <mergeCell ref="W532:W534"/>
    <mergeCell ref="Y532:Y534"/>
    <mergeCell ref="Z532:Z534"/>
    <mergeCell ref="AB532:AB534"/>
    <mergeCell ref="BU532:BU534"/>
    <mergeCell ref="BT532:BT534"/>
    <mergeCell ref="AC532:AC534"/>
    <mergeCell ref="CD532:CD534"/>
    <mergeCell ref="S532:S534"/>
    <mergeCell ref="BW532:BW534"/>
    <mergeCell ref="BX532:BX534"/>
    <mergeCell ref="BY532:BY534"/>
    <mergeCell ref="H532:H534"/>
    <mergeCell ref="N532:N534"/>
    <mergeCell ref="CB532:CB534"/>
    <mergeCell ref="CE532:CE534"/>
    <mergeCell ref="CA532:CA534"/>
    <mergeCell ref="B520:B522"/>
    <mergeCell ref="B523:B525"/>
    <mergeCell ref="G523:G525"/>
    <mergeCell ref="G520:G522"/>
    <mergeCell ref="E523:E525"/>
    <mergeCell ref="E520:E522"/>
    <mergeCell ref="F523:F525"/>
    <mergeCell ref="F520:F522"/>
    <mergeCell ref="T529:T531"/>
    <mergeCell ref="A529:A531"/>
    <mergeCell ref="BZ529:BZ531"/>
    <mergeCell ref="BV529:BV531"/>
    <mergeCell ref="BS529:BS531"/>
    <mergeCell ref="DK529:DK531"/>
    <mergeCell ref="D529:D531"/>
    <mergeCell ref="U529:U531"/>
    <mergeCell ref="W529:W531"/>
    <mergeCell ref="Y529:Y531"/>
    <mergeCell ref="Z529:Z531"/>
    <mergeCell ref="AB529:AB531"/>
    <mergeCell ref="BU529:BU531"/>
    <mergeCell ref="BT529:BT531"/>
    <mergeCell ref="AC529:AC531"/>
    <mergeCell ref="CD529:CD531"/>
    <mergeCell ref="S529:S531"/>
    <mergeCell ref="BW529:BW531"/>
    <mergeCell ref="BX529:BX531"/>
    <mergeCell ref="BY529:BY531"/>
    <mergeCell ref="H529:H531"/>
    <mergeCell ref="N529:N531"/>
    <mergeCell ref="CB529:CB531"/>
    <mergeCell ref="CE529:CE531"/>
    <mergeCell ref="CA529:CA531"/>
    <mergeCell ref="CC529:CC531"/>
    <mergeCell ref="AA529:AA531"/>
    <mergeCell ref="X529:X531"/>
    <mergeCell ref="V529:V531"/>
    <mergeCell ref="T526:T528"/>
    <mergeCell ref="A526:A528"/>
    <mergeCell ref="BZ526:BZ528"/>
    <mergeCell ref="BV526:BV528"/>
    <mergeCell ref="BS526:BS528"/>
    <mergeCell ref="DK526:DK528"/>
    <mergeCell ref="D526:D528"/>
    <mergeCell ref="U526:U528"/>
    <mergeCell ref="W526:W528"/>
    <mergeCell ref="Y526:Y528"/>
    <mergeCell ref="Z526:Z528"/>
    <mergeCell ref="AB526:AB528"/>
    <mergeCell ref="BU526:BU528"/>
    <mergeCell ref="BT526:BT528"/>
    <mergeCell ref="AC526:AC528"/>
    <mergeCell ref="CD526:CD528"/>
    <mergeCell ref="S526:S528"/>
    <mergeCell ref="BW526:BW528"/>
    <mergeCell ref="BX526:BX528"/>
    <mergeCell ref="BY526:BY528"/>
    <mergeCell ref="H526:H528"/>
    <mergeCell ref="N526:N528"/>
    <mergeCell ref="CB526:CB528"/>
    <mergeCell ref="CE526:CE528"/>
    <mergeCell ref="CA526:CA528"/>
    <mergeCell ref="CC526:CC528"/>
    <mergeCell ref="AA526:AA528"/>
    <mergeCell ref="G517:G519"/>
    <mergeCell ref="G514:G516"/>
    <mergeCell ref="E517:E519"/>
    <mergeCell ref="E514:E516"/>
    <mergeCell ref="F517:F519"/>
    <mergeCell ref="F514:F516"/>
    <mergeCell ref="T523:T525"/>
    <mergeCell ref="A523:A525"/>
    <mergeCell ref="BZ523:BZ525"/>
    <mergeCell ref="BV523:BV525"/>
    <mergeCell ref="BS523:BS525"/>
    <mergeCell ref="DK523:DK525"/>
    <mergeCell ref="D523:D525"/>
    <mergeCell ref="U523:U525"/>
    <mergeCell ref="W523:W525"/>
    <mergeCell ref="Y523:Y525"/>
    <mergeCell ref="Z523:Z525"/>
    <mergeCell ref="AB523:AB525"/>
    <mergeCell ref="BU523:BU525"/>
    <mergeCell ref="BT523:BT525"/>
    <mergeCell ref="AC523:AC525"/>
    <mergeCell ref="CD523:CD525"/>
    <mergeCell ref="S523:S525"/>
    <mergeCell ref="BW523:BW525"/>
    <mergeCell ref="BX523:BX525"/>
    <mergeCell ref="BY523:BY525"/>
    <mergeCell ref="H523:H525"/>
    <mergeCell ref="N523:N525"/>
    <mergeCell ref="CB523:CB525"/>
    <mergeCell ref="CE523:CE525"/>
    <mergeCell ref="CA523:CA525"/>
    <mergeCell ref="CC523:CC525"/>
    <mergeCell ref="AA523:AA525"/>
    <mergeCell ref="X523:X525"/>
    <mergeCell ref="V523:V525"/>
    <mergeCell ref="T520:T522"/>
    <mergeCell ref="A520:A522"/>
    <mergeCell ref="BZ520:BZ522"/>
    <mergeCell ref="BV520:BV522"/>
    <mergeCell ref="BS520:BS522"/>
    <mergeCell ref="DK520:DK522"/>
    <mergeCell ref="D520:D522"/>
    <mergeCell ref="U520:U522"/>
    <mergeCell ref="W520:W522"/>
    <mergeCell ref="Y520:Y522"/>
    <mergeCell ref="Z520:Z522"/>
    <mergeCell ref="AB520:AB522"/>
    <mergeCell ref="BU520:BU522"/>
    <mergeCell ref="BT520:BT522"/>
    <mergeCell ref="AC520:AC522"/>
    <mergeCell ref="CD520:CD522"/>
    <mergeCell ref="S520:S522"/>
    <mergeCell ref="BW520:BW522"/>
    <mergeCell ref="BX520:BX522"/>
    <mergeCell ref="BY520:BY522"/>
    <mergeCell ref="H520:H522"/>
    <mergeCell ref="N520:N522"/>
    <mergeCell ref="CB520:CB522"/>
    <mergeCell ref="CE520:CE522"/>
    <mergeCell ref="CA520:CA522"/>
    <mergeCell ref="CC520:CC522"/>
    <mergeCell ref="AA520:AA522"/>
    <mergeCell ref="X520:X522"/>
    <mergeCell ref="V520:V522"/>
    <mergeCell ref="E511:E513"/>
    <mergeCell ref="E508:E510"/>
    <mergeCell ref="F511:F513"/>
    <mergeCell ref="F508:F510"/>
    <mergeCell ref="T517:T519"/>
    <mergeCell ref="A517:A519"/>
    <mergeCell ref="BZ517:BZ519"/>
    <mergeCell ref="BV517:BV519"/>
    <mergeCell ref="BS517:BS519"/>
    <mergeCell ref="DK517:DK519"/>
    <mergeCell ref="D517:D519"/>
    <mergeCell ref="U517:U519"/>
    <mergeCell ref="W517:W519"/>
    <mergeCell ref="Y517:Y519"/>
    <mergeCell ref="Z517:Z519"/>
    <mergeCell ref="AB517:AB519"/>
    <mergeCell ref="BU517:BU519"/>
    <mergeCell ref="BT517:BT519"/>
    <mergeCell ref="AC517:AC519"/>
    <mergeCell ref="CD517:CD519"/>
    <mergeCell ref="S517:S519"/>
    <mergeCell ref="BW517:BW519"/>
    <mergeCell ref="BX517:BX519"/>
    <mergeCell ref="BY517:BY519"/>
    <mergeCell ref="H517:H519"/>
    <mergeCell ref="N517:N519"/>
    <mergeCell ref="CB517:CB519"/>
    <mergeCell ref="CE517:CE519"/>
    <mergeCell ref="CA517:CA519"/>
    <mergeCell ref="CC517:CC519"/>
    <mergeCell ref="AA517:AA519"/>
    <mergeCell ref="X517:X519"/>
    <mergeCell ref="V517:V519"/>
    <mergeCell ref="T514:T516"/>
    <mergeCell ref="A514:A516"/>
    <mergeCell ref="BZ514:BZ516"/>
    <mergeCell ref="BV514:BV516"/>
    <mergeCell ref="BS514:BS516"/>
    <mergeCell ref="DK514:DK516"/>
    <mergeCell ref="D514:D516"/>
    <mergeCell ref="U514:U516"/>
    <mergeCell ref="W514:W516"/>
    <mergeCell ref="Y514:Y516"/>
    <mergeCell ref="Z514:Z516"/>
    <mergeCell ref="AB514:AB516"/>
    <mergeCell ref="BU514:BU516"/>
    <mergeCell ref="BT514:BT516"/>
    <mergeCell ref="AC514:AC516"/>
    <mergeCell ref="CD514:CD516"/>
    <mergeCell ref="S514:S516"/>
    <mergeCell ref="BW514:BW516"/>
    <mergeCell ref="BX514:BX516"/>
    <mergeCell ref="BY514:BY516"/>
    <mergeCell ref="H514:H516"/>
    <mergeCell ref="N514:N516"/>
    <mergeCell ref="CB514:CB516"/>
    <mergeCell ref="CE514:CE516"/>
    <mergeCell ref="CA514:CA516"/>
    <mergeCell ref="CC514:CC516"/>
    <mergeCell ref="AA514:AA516"/>
    <mergeCell ref="X514:X516"/>
    <mergeCell ref="V514:V516"/>
    <mergeCell ref="B514:B516"/>
    <mergeCell ref="B517:B519"/>
    <mergeCell ref="F505:F507"/>
    <mergeCell ref="F502:F504"/>
    <mergeCell ref="T511:T513"/>
    <mergeCell ref="A511:A513"/>
    <mergeCell ref="BZ511:BZ513"/>
    <mergeCell ref="BV511:BV513"/>
    <mergeCell ref="BS511:BS513"/>
    <mergeCell ref="DK511:DK513"/>
    <mergeCell ref="D511:D513"/>
    <mergeCell ref="U511:U513"/>
    <mergeCell ref="W511:W513"/>
    <mergeCell ref="Y511:Y513"/>
    <mergeCell ref="Z511:Z513"/>
    <mergeCell ref="AB511:AB513"/>
    <mergeCell ref="BU511:BU513"/>
    <mergeCell ref="BT511:BT513"/>
    <mergeCell ref="AC511:AC513"/>
    <mergeCell ref="CD511:CD513"/>
    <mergeCell ref="S511:S513"/>
    <mergeCell ref="BW511:BW513"/>
    <mergeCell ref="BX511:BX513"/>
    <mergeCell ref="BY511:BY513"/>
    <mergeCell ref="H511:H513"/>
    <mergeCell ref="N511:N513"/>
    <mergeCell ref="CB511:CB513"/>
    <mergeCell ref="CE511:CE513"/>
    <mergeCell ref="CA511:CA513"/>
    <mergeCell ref="CC511:CC513"/>
    <mergeCell ref="AA511:AA513"/>
    <mergeCell ref="X511:X513"/>
    <mergeCell ref="V511:V513"/>
    <mergeCell ref="T508:T510"/>
    <mergeCell ref="A508:A510"/>
    <mergeCell ref="BZ508:BZ510"/>
    <mergeCell ref="BV508:BV510"/>
    <mergeCell ref="BS508:BS510"/>
    <mergeCell ref="DK508:DK510"/>
    <mergeCell ref="D508:D510"/>
    <mergeCell ref="U508:U510"/>
    <mergeCell ref="W508:W510"/>
    <mergeCell ref="Y508:Y510"/>
    <mergeCell ref="Z508:Z510"/>
    <mergeCell ref="AB508:AB510"/>
    <mergeCell ref="BU508:BU510"/>
    <mergeCell ref="BT508:BT510"/>
    <mergeCell ref="AC508:AC510"/>
    <mergeCell ref="CD508:CD510"/>
    <mergeCell ref="S508:S510"/>
    <mergeCell ref="BW508:BW510"/>
    <mergeCell ref="BX508:BX510"/>
    <mergeCell ref="BY508:BY510"/>
    <mergeCell ref="H508:H510"/>
    <mergeCell ref="N508:N510"/>
    <mergeCell ref="CB508:CB510"/>
    <mergeCell ref="CE508:CE510"/>
    <mergeCell ref="CA508:CA510"/>
    <mergeCell ref="CC508:CC510"/>
    <mergeCell ref="AA508:AA510"/>
    <mergeCell ref="X508:X510"/>
    <mergeCell ref="V508:V510"/>
    <mergeCell ref="B508:B510"/>
    <mergeCell ref="B511:B513"/>
    <mergeCell ref="G511:G513"/>
    <mergeCell ref="G508:G510"/>
    <mergeCell ref="T505:T507"/>
    <mergeCell ref="A505:A507"/>
    <mergeCell ref="BZ505:BZ507"/>
    <mergeCell ref="BV505:BV507"/>
    <mergeCell ref="BS505:BS507"/>
    <mergeCell ref="DK505:DK507"/>
    <mergeCell ref="D505:D507"/>
    <mergeCell ref="U505:U507"/>
    <mergeCell ref="W505:W507"/>
    <mergeCell ref="Y505:Y507"/>
    <mergeCell ref="Z505:Z507"/>
    <mergeCell ref="AB505:AB507"/>
    <mergeCell ref="BU505:BU507"/>
    <mergeCell ref="BT505:BT507"/>
    <mergeCell ref="AC505:AC507"/>
    <mergeCell ref="CD505:CD507"/>
    <mergeCell ref="S505:S507"/>
    <mergeCell ref="BW505:BW507"/>
    <mergeCell ref="BX505:BX507"/>
    <mergeCell ref="BY505:BY507"/>
    <mergeCell ref="H505:H507"/>
    <mergeCell ref="N505:N507"/>
    <mergeCell ref="CB505:CB507"/>
    <mergeCell ref="CE505:CE507"/>
    <mergeCell ref="CA505:CA507"/>
    <mergeCell ref="CC505:CC507"/>
    <mergeCell ref="AA505:AA507"/>
    <mergeCell ref="X505:X507"/>
    <mergeCell ref="V505:V507"/>
    <mergeCell ref="T502:T504"/>
    <mergeCell ref="A502:A504"/>
    <mergeCell ref="BZ502:BZ504"/>
    <mergeCell ref="BV502:BV504"/>
    <mergeCell ref="BS502:BS504"/>
    <mergeCell ref="DK502:DK504"/>
    <mergeCell ref="D502:D504"/>
    <mergeCell ref="U502:U504"/>
    <mergeCell ref="W502:W504"/>
    <mergeCell ref="Y502:Y504"/>
    <mergeCell ref="Z502:Z504"/>
    <mergeCell ref="AB502:AB504"/>
    <mergeCell ref="BU502:BU504"/>
    <mergeCell ref="BT502:BT504"/>
    <mergeCell ref="AC502:AC504"/>
    <mergeCell ref="CD502:CD504"/>
    <mergeCell ref="S502:S504"/>
    <mergeCell ref="BW502:BW504"/>
    <mergeCell ref="BX502:BX504"/>
    <mergeCell ref="BY502:BY504"/>
    <mergeCell ref="H502:H504"/>
    <mergeCell ref="N502:N504"/>
    <mergeCell ref="CB502:CB504"/>
    <mergeCell ref="CE502:CE504"/>
    <mergeCell ref="CA502:CA504"/>
    <mergeCell ref="CC502:CC504"/>
    <mergeCell ref="AA502:AA504"/>
    <mergeCell ref="X502:X504"/>
    <mergeCell ref="V502:V504"/>
    <mergeCell ref="B502:B504"/>
    <mergeCell ref="B505:B507"/>
    <mergeCell ref="G505:G507"/>
    <mergeCell ref="G502:G504"/>
    <mergeCell ref="E505:E507"/>
    <mergeCell ref="E502:E504"/>
    <mergeCell ref="DK499:DK501"/>
    <mergeCell ref="D499:D501"/>
    <mergeCell ref="U499:U501"/>
    <mergeCell ref="W499:W501"/>
    <mergeCell ref="Y499:Y501"/>
    <mergeCell ref="Z499:Z501"/>
    <mergeCell ref="AB499:AB501"/>
    <mergeCell ref="BU499:BU501"/>
    <mergeCell ref="BT499:BT501"/>
    <mergeCell ref="AC499:AC501"/>
    <mergeCell ref="CD499:CD501"/>
    <mergeCell ref="S499:S501"/>
    <mergeCell ref="BW499:BW501"/>
    <mergeCell ref="BX499:BX501"/>
    <mergeCell ref="BY499:BY501"/>
    <mergeCell ref="H499:H501"/>
    <mergeCell ref="N499:N501"/>
    <mergeCell ref="CB499:CB501"/>
    <mergeCell ref="CE499:CE501"/>
    <mergeCell ref="CA499:CA501"/>
    <mergeCell ref="CC499:CC501"/>
    <mergeCell ref="AA499:AA501"/>
    <mergeCell ref="X499:X501"/>
    <mergeCell ref="V499:V501"/>
    <mergeCell ref="T496:T498"/>
    <mergeCell ref="A496:A498"/>
    <mergeCell ref="BZ496:BZ498"/>
    <mergeCell ref="BV496:BV498"/>
    <mergeCell ref="BS496:BS498"/>
    <mergeCell ref="DK496:DK498"/>
    <mergeCell ref="D496:D498"/>
    <mergeCell ref="U496:U498"/>
    <mergeCell ref="W496:W498"/>
    <mergeCell ref="Y496:Y498"/>
    <mergeCell ref="Z496:Z498"/>
    <mergeCell ref="AB496:AB498"/>
    <mergeCell ref="BU496:BU498"/>
    <mergeCell ref="BT496:BT498"/>
    <mergeCell ref="AC496:AC498"/>
    <mergeCell ref="CD496:CD498"/>
    <mergeCell ref="S496:S498"/>
    <mergeCell ref="BW496:BW498"/>
    <mergeCell ref="BX496:BX498"/>
    <mergeCell ref="BY496:BY498"/>
    <mergeCell ref="H496:H498"/>
    <mergeCell ref="N496:N498"/>
    <mergeCell ref="CB496:CB498"/>
    <mergeCell ref="CE496:CE498"/>
    <mergeCell ref="CA496:CA498"/>
    <mergeCell ref="CC496:CC498"/>
    <mergeCell ref="AA496:AA498"/>
    <mergeCell ref="X496:X498"/>
    <mergeCell ref="V496:V498"/>
    <mergeCell ref="B496:B498"/>
    <mergeCell ref="B499:B501"/>
    <mergeCell ref="G499:G501"/>
    <mergeCell ref="G496:G498"/>
    <mergeCell ref="E499:E501"/>
    <mergeCell ref="E496:E498"/>
    <mergeCell ref="F499:F501"/>
    <mergeCell ref="F496:F498"/>
    <mergeCell ref="Y490:Y492"/>
    <mergeCell ref="Z490:Z492"/>
    <mergeCell ref="AB490:AB492"/>
    <mergeCell ref="BU490:BU492"/>
    <mergeCell ref="BT490:BT492"/>
    <mergeCell ref="AC490:AC492"/>
    <mergeCell ref="CD490:CD492"/>
    <mergeCell ref="S490:S492"/>
    <mergeCell ref="BW490:BW492"/>
    <mergeCell ref="BX490:BX492"/>
    <mergeCell ref="BY490:BY492"/>
    <mergeCell ref="H490:H492"/>
    <mergeCell ref="N490:N492"/>
    <mergeCell ref="CB490:CB492"/>
    <mergeCell ref="CE490:CE492"/>
    <mergeCell ref="CA490:CA492"/>
    <mergeCell ref="CC490:CC492"/>
    <mergeCell ref="AA490:AA492"/>
    <mergeCell ref="X490:X492"/>
    <mergeCell ref="V490:V492"/>
    <mergeCell ref="B490:B492"/>
    <mergeCell ref="B493:B495"/>
    <mergeCell ref="G493:G495"/>
    <mergeCell ref="G490:G492"/>
    <mergeCell ref="E493:E495"/>
    <mergeCell ref="E490:E492"/>
    <mergeCell ref="F493:F495"/>
    <mergeCell ref="F490:F492"/>
    <mergeCell ref="T499:T501"/>
    <mergeCell ref="A499:A501"/>
    <mergeCell ref="BZ499:BZ501"/>
    <mergeCell ref="BV499:BV501"/>
    <mergeCell ref="BS499:BS501"/>
    <mergeCell ref="AB484:AB486"/>
    <mergeCell ref="BU484:BU486"/>
    <mergeCell ref="BT484:BT486"/>
    <mergeCell ref="AC484:AC486"/>
    <mergeCell ref="CD484:CD486"/>
    <mergeCell ref="S484:S486"/>
    <mergeCell ref="BW484:BW486"/>
    <mergeCell ref="BX484:BX486"/>
    <mergeCell ref="BY484:BY486"/>
    <mergeCell ref="H484:H486"/>
    <mergeCell ref="N484:N486"/>
    <mergeCell ref="CB484:CB486"/>
    <mergeCell ref="CE484:CE486"/>
    <mergeCell ref="CA484:CA486"/>
    <mergeCell ref="CC484:CC486"/>
    <mergeCell ref="AA484:AA486"/>
    <mergeCell ref="X484:X486"/>
    <mergeCell ref="V484:V486"/>
    <mergeCell ref="B484:B486"/>
    <mergeCell ref="B487:B489"/>
    <mergeCell ref="G487:G489"/>
    <mergeCell ref="G484:G486"/>
    <mergeCell ref="E487:E489"/>
    <mergeCell ref="E484:E486"/>
    <mergeCell ref="F487:F489"/>
    <mergeCell ref="F484:F486"/>
    <mergeCell ref="T493:T495"/>
    <mergeCell ref="A493:A495"/>
    <mergeCell ref="BZ493:BZ495"/>
    <mergeCell ref="BV493:BV495"/>
    <mergeCell ref="BS493:BS495"/>
    <mergeCell ref="DK493:DK495"/>
    <mergeCell ref="D493:D495"/>
    <mergeCell ref="U493:U495"/>
    <mergeCell ref="W493:W495"/>
    <mergeCell ref="Y493:Y495"/>
    <mergeCell ref="Z493:Z495"/>
    <mergeCell ref="AB493:AB495"/>
    <mergeCell ref="BU493:BU495"/>
    <mergeCell ref="BT493:BT495"/>
    <mergeCell ref="AC493:AC495"/>
    <mergeCell ref="CD493:CD495"/>
    <mergeCell ref="S493:S495"/>
    <mergeCell ref="BW493:BW495"/>
    <mergeCell ref="BX493:BX495"/>
    <mergeCell ref="BY493:BY495"/>
    <mergeCell ref="H493:H495"/>
    <mergeCell ref="N493:N495"/>
    <mergeCell ref="CB493:CB495"/>
    <mergeCell ref="CE493:CE495"/>
    <mergeCell ref="CA493:CA495"/>
    <mergeCell ref="CC493:CC495"/>
    <mergeCell ref="AA493:AA495"/>
    <mergeCell ref="X493:X495"/>
    <mergeCell ref="V493:V495"/>
    <mergeCell ref="T490:T492"/>
    <mergeCell ref="A490:A492"/>
    <mergeCell ref="BZ490:BZ492"/>
    <mergeCell ref="BV490:BV492"/>
    <mergeCell ref="BS490:BS492"/>
    <mergeCell ref="DK490:DK492"/>
    <mergeCell ref="D490:D492"/>
    <mergeCell ref="U490:U492"/>
    <mergeCell ref="W490:W492"/>
    <mergeCell ref="BT478:BT480"/>
    <mergeCell ref="AC478:AC480"/>
    <mergeCell ref="CD478:CD480"/>
    <mergeCell ref="S478:S480"/>
    <mergeCell ref="BW478:BW480"/>
    <mergeCell ref="BX478:BX480"/>
    <mergeCell ref="BY478:BY480"/>
    <mergeCell ref="H478:H480"/>
    <mergeCell ref="N478:N480"/>
    <mergeCell ref="CB478:CB480"/>
    <mergeCell ref="CE478:CE480"/>
    <mergeCell ref="CA478:CA480"/>
    <mergeCell ref="CC478:CC480"/>
    <mergeCell ref="AA478:AA480"/>
    <mergeCell ref="X478:X480"/>
    <mergeCell ref="V478:V480"/>
    <mergeCell ref="B478:B480"/>
    <mergeCell ref="B481:B483"/>
    <mergeCell ref="G481:G483"/>
    <mergeCell ref="G478:G480"/>
    <mergeCell ref="E481:E483"/>
    <mergeCell ref="E478:E480"/>
    <mergeCell ref="F481:F483"/>
    <mergeCell ref="F478:F480"/>
    <mergeCell ref="T487:T489"/>
    <mergeCell ref="A487:A489"/>
    <mergeCell ref="BZ487:BZ489"/>
    <mergeCell ref="BV487:BV489"/>
    <mergeCell ref="BS487:BS489"/>
    <mergeCell ref="DK487:DK489"/>
    <mergeCell ref="D487:D489"/>
    <mergeCell ref="U487:U489"/>
    <mergeCell ref="W487:W489"/>
    <mergeCell ref="Y487:Y489"/>
    <mergeCell ref="Z487:Z489"/>
    <mergeCell ref="AB487:AB489"/>
    <mergeCell ref="BU487:BU489"/>
    <mergeCell ref="BT487:BT489"/>
    <mergeCell ref="AC487:AC489"/>
    <mergeCell ref="CD487:CD489"/>
    <mergeCell ref="S487:S489"/>
    <mergeCell ref="BW487:BW489"/>
    <mergeCell ref="BX487:BX489"/>
    <mergeCell ref="BY487:BY489"/>
    <mergeCell ref="H487:H489"/>
    <mergeCell ref="N487:N489"/>
    <mergeCell ref="CB487:CB489"/>
    <mergeCell ref="CE487:CE489"/>
    <mergeCell ref="CA487:CA489"/>
    <mergeCell ref="CC487:CC489"/>
    <mergeCell ref="AA487:AA489"/>
    <mergeCell ref="X487:X489"/>
    <mergeCell ref="V487:V489"/>
    <mergeCell ref="T484:T486"/>
    <mergeCell ref="A484:A486"/>
    <mergeCell ref="BZ484:BZ486"/>
    <mergeCell ref="BV484:BV486"/>
    <mergeCell ref="BS484:BS486"/>
    <mergeCell ref="DK484:DK486"/>
    <mergeCell ref="D484:D486"/>
    <mergeCell ref="U484:U486"/>
    <mergeCell ref="W484:W486"/>
    <mergeCell ref="Y484:Y486"/>
    <mergeCell ref="Z484:Z486"/>
    <mergeCell ref="CD472:CD474"/>
    <mergeCell ref="S472:S474"/>
    <mergeCell ref="BW472:BW474"/>
    <mergeCell ref="BX472:BX474"/>
    <mergeCell ref="BY472:BY474"/>
    <mergeCell ref="H472:H474"/>
    <mergeCell ref="N472:N474"/>
    <mergeCell ref="CB472:CB474"/>
    <mergeCell ref="CE472:CE474"/>
    <mergeCell ref="CA472:CA474"/>
    <mergeCell ref="CC472:CC474"/>
    <mergeCell ref="AA472:AA474"/>
    <mergeCell ref="X472:X474"/>
    <mergeCell ref="V472:V474"/>
    <mergeCell ref="B472:B474"/>
    <mergeCell ref="B475:B477"/>
    <mergeCell ref="G475:G477"/>
    <mergeCell ref="G472:G474"/>
    <mergeCell ref="E475:E477"/>
    <mergeCell ref="E472:E474"/>
    <mergeCell ref="F475:F477"/>
    <mergeCell ref="F472:F474"/>
    <mergeCell ref="T481:T483"/>
    <mergeCell ref="A481:A483"/>
    <mergeCell ref="BZ481:BZ483"/>
    <mergeCell ref="BV481:BV483"/>
    <mergeCell ref="BS481:BS483"/>
    <mergeCell ref="DK481:DK483"/>
    <mergeCell ref="D481:D483"/>
    <mergeCell ref="U481:U483"/>
    <mergeCell ref="W481:W483"/>
    <mergeCell ref="Y481:Y483"/>
    <mergeCell ref="Z481:Z483"/>
    <mergeCell ref="AB481:AB483"/>
    <mergeCell ref="BU481:BU483"/>
    <mergeCell ref="BT481:BT483"/>
    <mergeCell ref="AC481:AC483"/>
    <mergeCell ref="CD481:CD483"/>
    <mergeCell ref="S481:S483"/>
    <mergeCell ref="BW481:BW483"/>
    <mergeCell ref="BX481:BX483"/>
    <mergeCell ref="BY481:BY483"/>
    <mergeCell ref="H481:H483"/>
    <mergeCell ref="N481:N483"/>
    <mergeCell ref="CB481:CB483"/>
    <mergeCell ref="CE481:CE483"/>
    <mergeCell ref="CA481:CA483"/>
    <mergeCell ref="CC481:CC483"/>
    <mergeCell ref="AA481:AA483"/>
    <mergeCell ref="X481:X483"/>
    <mergeCell ref="V481:V483"/>
    <mergeCell ref="T478:T480"/>
    <mergeCell ref="A478:A480"/>
    <mergeCell ref="BZ478:BZ480"/>
    <mergeCell ref="BV478:BV480"/>
    <mergeCell ref="BS478:BS480"/>
    <mergeCell ref="DK478:DK480"/>
    <mergeCell ref="D478:D480"/>
    <mergeCell ref="U478:U480"/>
    <mergeCell ref="W478:W480"/>
    <mergeCell ref="Y478:Y480"/>
    <mergeCell ref="Z478:Z480"/>
    <mergeCell ref="AB478:AB480"/>
    <mergeCell ref="BU478:BU480"/>
    <mergeCell ref="BW466:BW468"/>
    <mergeCell ref="BX466:BX468"/>
    <mergeCell ref="BY466:BY468"/>
    <mergeCell ref="H466:H468"/>
    <mergeCell ref="N466:N468"/>
    <mergeCell ref="CB466:CB468"/>
    <mergeCell ref="CE466:CE468"/>
    <mergeCell ref="CA466:CA468"/>
    <mergeCell ref="CC466:CC468"/>
    <mergeCell ref="AA466:AA468"/>
    <mergeCell ref="X466:X468"/>
    <mergeCell ref="V466:V468"/>
    <mergeCell ref="B466:B468"/>
    <mergeCell ref="B469:B471"/>
    <mergeCell ref="G469:G471"/>
    <mergeCell ref="G466:G468"/>
    <mergeCell ref="E469:E471"/>
    <mergeCell ref="E466:E468"/>
    <mergeCell ref="F469:F471"/>
    <mergeCell ref="F466:F468"/>
    <mergeCell ref="T475:T477"/>
    <mergeCell ref="A475:A477"/>
    <mergeCell ref="BZ475:BZ477"/>
    <mergeCell ref="BV475:BV477"/>
    <mergeCell ref="BS475:BS477"/>
    <mergeCell ref="DK475:DK477"/>
    <mergeCell ref="D475:D477"/>
    <mergeCell ref="U475:U477"/>
    <mergeCell ref="W475:W477"/>
    <mergeCell ref="Y475:Y477"/>
    <mergeCell ref="Z475:Z477"/>
    <mergeCell ref="AB475:AB477"/>
    <mergeCell ref="BU475:BU477"/>
    <mergeCell ref="BT475:BT477"/>
    <mergeCell ref="AC475:AC477"/>
    <mergeCell ref="CD475:CD477"/>
    <mergeCell ref="S475:S477"/>
    <mergeCell ref="BW475:BW477"/>
    <mergeCell ref="BX475:BX477"/>
    <mergeCell ref="BY475:BY477"/>
    <mergeCell ref="H475:H477"/>
    <mergeCell ref="N475:N477"/>
    <mergeCell ref="CB475:CB477"/>
    <mergeCell ref="CE475:CE477"/>
    <mergeCell ref="CA475:CA477"/>
    <mergeCell ref="CC475:CC477"/>
    <mergeCell ref="AA475:AA477"/>
    <mergeCell ref="X475:X477"/>
    <mergeCell ref="V475:V477"/>
    <mergeCell ref="T472:T474"/>
    <mergeCell ref="A472:A474"/>
    <mergeCell ref="BZ472:BZ474"/>
    <mergeCell ref="BV472:BV474"/>
    <mergeCell ref="BS472:BS474"/>
    <mergeCell ref="DK472:DK474"/>
    <mergeCell ref="D472:D474"/>
    <mergeCell ref="U472:U474"/>
    <mergeCell ref="W472:W474"/>
    <mergeCell ref="Y472:Y474"/>
    <mergeCell ref="Z472:Z474"/>
    <mergeCell ref="AB472:AB474"/>
    <mergeCell ref="BU472:BU474"/>
    <mergeCell ref="BT472:BT474"/>
    <mergeCell ref="AC472:AC474"/>
    <mergeCell ref="BY460:BY462"/>
    <mergeCell ref="H460:H462"/>
    <mergeCell ref="N460:N462"/>
    <mergeCell ref="CB460:CB462"/>
    <mergeCell ref="CE460:CE462"/>
    <mergeCell ref="CA460:CA462"/>
    <mergeCell ref="CC460:CC462"/>
    <mergeCell ref="AA460:AA462"/>
    <mergeCell ref="X460:X462"/>
    <mergeCell ref="V460:V462"/>
    <mergeCell ref="B460:B462"/>
    <mergeCell ref="B463:B465"/>
    <mergeCell ref="G463:G465"/>
    <mergeCell ref="G460:G462"/>
    <mergeCell ref="E463:E465"/>
    <mergeCell ref="E460:E462"/>
    <mergeCell ref="F463:F465"/>
    <mergeCell ref="F460:F462"/>
    <mergeCell ref="T469:T471"/>
    <mergeCell ref="A469:A471"/>
    <mergeCell ref="BZ469:BZ471"/>
    <mergeCell ref="BV469:BV471"/>
    <mergeCell ref="BS469:BS471"/>
    <mergeCell ref="DK469:DK471"/>
    <mergeCell ref="D469:D471"/>
    <mergeCell ref="U469:U471"/>
    <mergeCell ref="W469:W471"/>
    <mergeCell ref="Y469:Y471"/>
    <mergeCell ref="Z469:Z471"/>
    <mergeCell ref="AB469:AB471"/>
    <mergeCell ref="BU469:BU471"/>
    <mergeCell ref="BT469:BT471"/>
    <mergeCell ref="AC469:AC471"/>
    <mergeCell ref="CD469:CD471"/>
    <mergeCell ref="S469:S471"/>
    <mergeCell ref="BW469:BW471"/>
    <mergeCell ref="BX469:BX471"/>
    <mergeCell ref="BY469:BY471"/>
    <mergeCell ref="H469:H471"/>
    <mergeCell ref="N469:N471"/>
    <mergeCell ref="CB469:CB471"/>
    <mergeCell ref="CE469:CE471"/>
    <mergeCell ref="CA469:CA471"/>
    <mergeCell ref="CC469:CC471"/>
    <mergeCell ref="AA469:AA471"/>
    <mergeCell ref="X469:X471"/>
    <mergeCell ref="V469:V471"/>
    <mergeCell ref="T466:T468"/>
    <mergeCell ref="A466:A468"/>
    <mergeCell ref="BZ466:BZ468"/>
    <mergeCell ref="BV466:BV468"/>
    <mergeCell ref="BS466:BS468"/>
    <mergeCell ref="DK466:DK468"/>
    <mergeCell ref="D466:D468"/>
    <mergeCell ref="U466:U468"/>
    <mergeCell ref="W466:W468"/>
    <mergeCell ref="Y466:Y468"/>
    <mergeCell ref="Z466:Z468"/>
    <mergeCell ref="AB466:AB468"/>
    <mergeCell ref="BU466:BU468"/>
    <mergeCell ref="BT466:BT468"/>
    <mergeCell ref="AC466:AC468"/>
    <mergeCell ref="CD466:CD468"/>
    <mergeCell ref="S466:S468"/>
    <mergeCell ref="N454:N456"/>
    <mergeCell ref="CB454:CB456"/>
    <mergeCell ref="CE454:CE456"/>
    <mergeCell ref="CA454:CA456"/>
    <mergeCell ref="CC454:CC456"/>
    <mergeCell ref="AA454:AA456"/>
    <mergeCell ref="X454:X456"/>
    <mergeCell ref="V454:V456"/>
    <mergeCell ref="B454:B456"/>
    <mergeCell ref="B457:B459"/>
    <mergeCell ref="G457:G459"/>
    <mergeCell ref="G454:G456"/>
    <mergeCell ref="E457:E459"/>
    <mergeCell ref="E454:E456"/>
    <mergeCell ref="F457:F459"/>
    <mergeCell ref="F454:F456"/>
    <mergeCell ref="T463:T465"/>
    <mergeCell ref="A463:A465"/>
    <mergeCell ref="BZ463:BZ465"/>
    <mergeCell ref="BV463:BV465"/>
    <mergeCell ref="BS463:BS465"/>
    <mergeCell ref="DK463:DK465"/>
    <mergeCell ref="D463:D465"/>
    <mergeCell ref="U463:U465"/>
    <mergeCell ref="W463:W465"/>
    <mergeCell ref="Y463:Y465"/>
    <mergeCell ref="Z463:Z465"/>
    <mergeCell ref="AB463:AB465"/>
    <mergeCell ref="BU463:BU465"/>
    <mergeCell ref="BT463:BT465"/>
    <mergeCell ref="AC463:AC465"/>
    <mergeCell ref="CD463:CD465"/>
    <mergeCell ref="S463:S465"/>
    <mergeCell ref="BW463:BW465"/>
    <mergeCell ref="BX463:BX465"/>
    <mergeCell ref="BY463:BY465"/>
    <mergeCell ref="H463:H465"/>
    <mergeCell ref="N463:N465"/>
    <mergeCell ref="CB463:CB465"/>
    <mergeCell ref="CE463:CE465"/>
    <mergeCell ref="CA463:CA465"/>
    <mergeCell ref="CC463:CC465"/>
    <mergeCell ref="AA463:AA465"/>
    <mergeCell ref="X463:X465"/>
    <mergeCell ref="V463:V465"/>
    <mergeCell ref="T460:T462"/>
    <mergeCell ref="A460:A462"/>
    <mergeCell ref="BZ460:BZ462"/>
    <mergeCell ref="BV460:BV462"/>
    <mergeCell ref="BS460:BS462"/>
    <mergeCell ref="DK460:DK462"/>
    <mergeCell ref="D460:D462"/>
    <mergeCell ref="U460:U462"/>
    <mergeCell ref="W460:W462"/>
    <mergeCell ref="Y460:Y462"/>
    <mergeCell ref="Z460:Z462"/>
    <mergeCell ref="AB460:AB462"/>
    <mergeCell ref="BU460:BU462"/>
    <mergeCell ref="BT460:BT462"/>
    <mergeCell ref="AC460:AC462"/>
    <mergeCell ref="CD460:CD462"/>
    <mergeCell ref="S460:S462"/>
    <mergeCell ref="BW460:BW462"/>
    <mergeCell ref="BX460:BX462"/>
    <mergeCell ref="CE448:CE450"/>
    <mergeCell ref="CA448:CA450"/>
    <mergeCell ref="CC448:CC450"/>
    <mergeCell ref="AA448:AA450"/>
    <mergeCell ref="X448:X450"/>
    <mergeCell ref="V448:V450"/>
    <mergeCell ref="B448:B450"/>
    <mergeCell ref="B451:B453"/>
    <mergeCell ref="G451:G453"/>
    <mergeCell ref="G448:G450"/>
    <mergeCell ref="E451:E453"/>
    <mergeCell ref="E448:E450"/>
    <mergeCell ref="F451:F453"/>
    <mergeCell ref="F448:F450"/>
    <mergeCell ref="T457:T459"/>
    <mergeCell ref="A457:A459"/>
    <mergeCell ref="BZ457:BZ459"/>
    <mergeCell ref="BV457:BV459"/>
    <mergeCell ref="BS457:BS459"/>
    <mergeCell ref="DK457:DK459"/>
    <mergeCell ref="D457:D459"/>
    <mergeCell ref="U457:U459"/>
    <mergeCell ref="W457:W459"/>
    <mergeCell ref="Y457:Y459"/>
    <mergeCell ref="Z457:Z459"/>
    <mergeCell ref="AB457:AB459"/>
    <mergeCell ref="BU457:BU459"/>
    <mergeCell ref="BT457:BT459"/>
    <mergeCell ref="AC457:AC459"/>
    <mergeCell ref="CD457:CD459"/>
    <mergeCell ref="S457:S459"/>
    <mergeCell ref="BW457:BW459"/>
    <mergeCell ref="BX457:BX459"/>
    <mergeCell ref="BY457:BY459"/>
    <mergeCell ref="H457:H459"/>
    <mergeCell ref="N457:N459"/>
    <mergeCell ref="CB457:CB459"/>
    <mergeCell ref="CE457:CE459"/>
    <mergeCell ref="CA457:CA459"/>
    <mergeCell ref="CC457:CC459"/>
    <mergeCell ref="AA457:AA459"/>
    <mergeCell ref="X457:X459"/>
    <mergeCell ref="V457:V459"/>
    <mergeCell ref="T454:T456"/>
    <mergeCell ref="A454:A456"/>
    <mergeCell ref="BZ454:BZ456"/>
    <mergeCell ref="BV454:BV456"/>
    <mergeCell ref="BS454:BS456"/>
    <mergeCell ref="DK454:DK456"/>
    <mergeCell ref="D454:D456"/>
    <mergeCell ref="U454:U456"/>
    <mergeCell ref="W454:W456"/>
    <mergeCell ref="Y454:Y456"/>
    <mergeCell ref="Z454:Z456"/>
    <mergeCell ref="AB454:AB456"/>
    <mergeCell ref="BU454:BU456"/>
    <mergeCell ref="BT454:BT456"/>
    <mergeCell ref="AC454:AC456"/>
    <mergeCell ref="CD454:CD456"/>
    <mergeCell ref="S454:S456"/>
    <mergeCell ref="BW454:BW456"/>
    <mergeCell ref="BX454:BX456"/>
    <mergeCell ref="BY454:BY456"/>
    <mergeCell ref="H454:H456"/>
    <mergeCell ref="CC442:CC444"/>
    <mergeCell ref="AA442:AA444"/>
    <mergeCell ref="X442:X444"/>
    <mergeCell ref="V442:V444"/>
    <mergeCell ref="B442:B444"/>
    <mergeCell ref="B445:B447"/>
    <mergeCell ref="G445:G447"/>
    <mergeCell ref="G442:G444"/>
    <mergeCell ref="E445:E447"/>
    <mergeCell ref="E442:E444"/>
    <mergeCell ref="F445:F447"/>
    <mergeCell ref="F442:F444"/>
    <mergeCell ref="T451:T453"/>
    <mergeCell ref="A451:A453"/>
    <mergeCell ref="BZ451:BZ453"/>
    <mergeCell ref="BV451:BV453"/>
    <mergeCell ref="BS451:BS453"/>
    <mergeCell ref="DK451:DK453"/>
    <mergeCell ref="D451:D453"/>
    <mergeCell ref="U451:U453"/>
    <mergeCell ref="W451:W453"/>
    <mergeCell ref="Y451:Y453"/>
    <mergeCell ref="Z451:Z453"/>
    <mergeCell ref="AB451:AB453"/>
    <mergeCell ref="BU451:BU453"/>
    <mergeCell ref="BT451:BT453"/>
    <mergeCell ref="AC451:AC453"/>
    <mergeCell ref="CD451:CD453"/>
    <mergeCell ref="S451:S453"/>
    <mergeCell ref="BW451:BW453"/>
    <mergeCell ref="BX451:BX453"/>
    <mergeCell ref="BY451:BY453"/>
    <mergeCell ref="H451:H453"/>
    <mergeCell ref="N451:N453"/>
    <mergeCell ref="CB451:CB453"/>
    <mergeCell ref="CE451:CE453"/>
    <mergeCell ref="CA451:CA453"/>
    <mergeCell ref="CC451:CC453"/>
    <mergeCell ref="AA451:AA453"/>
    <mergeCell ref="X451:X453"/>
    <mergeCell ref="V451:V453"/>
    <mergeCell ref="T448:T450"/>
    <mergeCell ref="A448:A450"/>
    <mergeCell ref="BZ448:BZ450"/>
    <mergeCell ref="BV448:BV450"/>
    <mergeCell ref="BS448:BS450"/>
    <mergeCell ref="DK448:DK450"/>
    <mergeCell ref="D448:D450"/>
    <mergeCell ref="U448:U450"/>
    <mergeCell ref="W448:W450"/>
    <mergeCell ref="Y448:Y450"/>
    <mergeCell ref="Z448:Z450"/>
    <mergeCell ref="AB448:AB450"/>
    <mergeCell ref="BU448:BU450"/>
    <mergeCell ref="BT448:BT450"/>
    <mergeCell ref="AC448:AC450"/>
    <mergeCell ref="CD448:CD450"/>
    <mergeCell ref="S448:S450"/>
    <mergeCell ref="BW448:BW450"/>
    <mergeCell ref="BX448:BX450"/>
    <mergeCell ref="BY448:BY450"/>
    <mergeCell ref="H448:H450"/>
    <mergeCell ref="N448:N450"/>
    <mergeCell ref="CB448:CB450"/>
    <mergeCell ref="X436:X438"/>
    <mergeCell ref="V436:V438"/>
    <mergeCell ref="B436:B438"/>
    <mergeCell ref="B439:B441"/>
    <mergeCell ref="G439:G441"/>
    <mergeCell ref="G436:G438"/>
    <mergeCell ref="E439:E441"/>
    <mergeCell ref="E436:E438"/>
    <mergeCell ref="F439:F441"/>
    <mergeCell ref="F436:F438"/>
    <mergeCell ref="T445:T447"/>
    <mergeCell ref="A445:A447"/>
    <mergeCell ref="BZ445:BZ447"/>
    <mergeCell ref="BV445:BV447"/>
    <mergeCell ref="BS445:BS447"/>
    <mergeCell ref="DK445:DK447"/>
    <mergeCell ref="D445:D447"/>
    <mergeCell ref="U445:U447"/>
    <mergeCell ref="W445:W447"/>
    <mergeCell ref="Y445:Y447"/>
    <mergeCell ref="Z445:Z447"/>
    <mergeCell ref="AB445:AB447"/>
    <mergeCell ref="BU445:BU447"/>
    <mergeCell ref="BT445:BT447"/>
    <mergeCell ref="AC445:AC447"/>
    <mergeCell ref="CD445:CD447"/>
    <mergeCell ref="S445:S447"/>
    <mergeCell ref="BW445:BW447"/>
    <mergeCell ref="BX445:BX447"/>
    <mergeCell ref="BY445:BY447"/>
    <mergeCell ref="H445:H447"/>
    <mergeCell ref="N445:N447"/>
    <mergeCell ref="CB445:CB447"/>
    <mergeCell ref="CE445:CE447"/>
    <mergeCell ref="CA445:CA447"/>
    <mergeCell ref="CC445:CC447"/>
    <mergeCell ref="AA445:AA447"/>
    <mergeCell ref="X445:X447"/>
    <mergeCell ref="V445:V447"/>
    <mergeCell ref="T442:T444"/>
    <mergeCell ref="A442:A444"/>
    <mergeCell ref="BZ442:BZ444"/>
    <mergeCell ref="BV442:BV444"/>
    <mergeCell ref="BS442:BS444"/>
    <mergeCell ref="DK442:DK444"/>
    <mergeCell ref="D442:D444"/>
    <mergeCell ref="U442:U444"/>
    <mergeCell ref="W442:W444"/>
    <mergeCell ref="Y442:Y444"/>
    <mergeCell ref="Z442:Z444"/>
    <mergeCell ref="AB442:AB444"/>
    <mergeCell ref="BU442:BU444"/>
    <mergeCell ref="BT442:BT444"/>
    <mergeCell ref="AC442:AC444"/>
    <mergeCell ref="CD442:CD444"/>
    <mergeCell ref="S442:S444"/>
    <mergeCell ref="BW442:BW444"/>
    <mergeCell ref="BX442:BX444"/>
    <mergeCell ref="BY442:BY444"/>
    <mergeCell ref="H442:H444"/>
    <mergeCell ref="N442:N444"/>
    <mergeCell ref="CB442:CB444"/>
    <mergeCell ref="CE442:CE444"/>
    <mergeCell ref="CA442:CA444"/>
    <mergeCell ref="B430:B432"/>
    <mergeCell ref="B433:B435"/>
    <mergeCell ref="G433:G435"/>
    <mergeCell ref="G430:G432"/>
    <mergeCell ref="E433:E435"/>
    <mergeCell ref="E430:E432"/>
    <mergeCell ref="F433:F435"/>
    <mergeCell ref="F430:F432"/>
    <mergeCell ref="T439:T441"/>
    <mergeCell ref="A439:A441"/>
    <mergeCell ref="BZ439:BZ441"/>
    <mergeCell ref="BV439:BV441"/>
    <mergeCell ref="BS439:BS441"/>
    <mergeCell ref="DK439:DK441"/>
    <mergeCell ref="D439:D441"/>
    <mergeCell ref="U439:U441"/>
    <mergeCell ref="W439:W441"/>
    <mergeCell ref="Y439:Y441"/>
    <mergeCell ref="Z439:Z441"/>
    <mergeCell ref="AB439:AB441"/>
    <mergeCell ref="BU439:BU441"/>
    <mergeCell ref="BT439:BT441"/>
    <mergeCell ref="AC439:AC441"/>
    <mergeCell ref="CD439:CD441"/>
    <mergeCell ref="S439:S441"/>
    <mergeCell ref="BW439:BW441"/>
    <mergeCell ref="BX439:BX441"/>
    <mergeCell ref="BY439:BY441"/>
    <mergeCell ref="H439:H441"/>
    <mergeCell ref="N439:N441"/>
    <mergeCell ref="CB439:CB441"/>
    <mergeCell ref="CE439:CE441"/>
    <mergeCell ref="CA439:CA441"/>
    <mergeCell ref="CC439:CC441"/>
    <mergeCell ref="AA439:AA441"/>
    <mergeCell ref="X439:X441"/>
    <mergeCell ref="V439:V441"/>
    <mergeCell ref="T436:T438"/>
    <mergeCell ref="A436:A438"/>
    <mergeCell ref="BZ436:BZ438"/>
    <mergeCell ref="BV436:BV438"/>
    <mergeCell ref="BS436:BS438"/>
    <mergeCell ref="DK436:DK438"/>
    <mergeCell ref="D436:D438"/>
    <mergeCell ref="U436:U438"/>
    <mergeCell ref="W436:W438"/>
    <mergeCell ref="Y436:Y438"/>
    <mergeCell ref="Z436:Z438"/>
    <mergeCell ref="AB436:AB438"/>
    <mergeCell ref="BU436:BU438"/>
    <mergeCell ref="BT436:BT438"/>
    <mergeCell ref="AC436:AC438"/>
    <mergeCell ref="CD436:CD438"/>
    <mergeCell ref="S436:S438"/>
    <mergeCell ref="BW436:BW438"/>
    <mergeCell ref="BX436:BX438"/>
    <mergeCell ref="BY436:BY438"/>
    <mergeCell ref="H436:H438"/>
    <mergeCell ref="N436:N438"/>
    <mergeCell ref="CB436:CB438"/>
    <mergeCell ref="CE436:CE438"/>
    <mergeCell ref="CA436:CA438"/>
    <mergeCell ref="CC436:CC438"/>
    <mergeCell ref="AA436:AA438"/>
    <mergeCell ref="G427:G429"/>
    <mergeCell ref="G424:G426"/>
    <mergeCell ref="E427:E429"/>
    <mergeCell ref="E424:E426"/>
    <mergeCell ref="F427:F429"/>
    <mergeCell ref="F424:F426"/>
    <mergeCell ref="T433:T435"/>
    <mergeCell ref="A433:A435"/>
    <mergeCell ref="BZ433:BZ435"/>
    <mergeCell ref="BV433:BV435"/>
    <mergeCell ref="BS433:BS435"/>
    <mergeCell ref="DK433:DK435"/>
    <mergeCell ref="D433:D435"/>
    <mergeCell ref="U433:U435"/>
    <mergeCell ref="W433:W435"/>
    <mergeCell ref="Y433:Y435"/>
    <mergeCell ref="Z433:Z435"/>
    <mergeCell ref="AB433:AB435"/>
    <mergeCell ref="BU433:BU435"/>
    <mergeCell ref="BT433:BT435"/>
    <mergeCell ref="AC433:AC435"/>
    <mergeCell ref="CD433:CD435"/>
    <mergeCell ref="S433:S435"/>
    <mergeCell ref="BW433:BW435"/>
    <mergeCell ref="BX433:BX435"/>
    <mergeCell ref="BY433:BY435"/>
    <mergeCell ref="H433:H435"/>
    <mergeCell ref="N433:N435"/>
    <mergeCell ref="CB433:CB435"/>
    <mergeCell ref="CE433:CE435"/>
    <mergeCell ref="CA433:CA435"/>
    <mergeCell ref="CC433:CC435"/>
    <mergeCell ref="AA433:AA435"/>
    <mergeCell ref="X433:X435"/>
    <mergeCell ref="V433:V435"/>
    <mergeCell ref="T430:T432"/>
    <mergeCell ref="A430:A432"/>
    <mergeCell ref="BZ430:BZ432"/>
    <mergeCell ref="BV430:BV432"/>
    <mergeCell ref="BS430:BS432"/>
    <mergeCell ref="DK430:DK432"/>
    <mergeCell ref="D430:D432"/>
    <mergeCell ref="U430:U432"/>
    <mergeCell ref="W430:W432"/>
    <mergeCell ref="Y430:Y432"/>
    <mergeCell ref="Z430:Z432"/>
    <mergeCell ref="AB430:AB432"/>
    <mergeCell ref="BU430:BU432"/>
    <mergeCell ref="BT430:BT432"/>
    <mergeCell ref="AC430:AC432"/>
    <mergeCell ref="CD430:CD432"/>
    <mergeCell ref="S430:S432"/>
    <mergeCell ref="BW430:BW432"/>
    <mergeCell ref="BX430:BX432"/>
    <mergeCell ref="BY430:BY432"/>
    <mergeCell ref="H430:H432"/>
    <mergeCell ref="N430:N432"/>
    <mergeCell ref="CB430:CB432"/>
    <mergeCell ref="CE430:CE432"/>
    <mergeCell ref="CA430:CA432"/>
    <mergeCell ref="CC430:CC432"/>
    <mergeCell ref="AA430:AA432"/>
    <mergeCell ref="X430:X432"/>
    <mergeCell ref="V430:V432"/>
    <mergeCell ref="E421:E423"/>
    <mergeCell ref="E418:E420"/>
    <mergeCell ref="F421:F423"/>
    <mergeCell ref="F418:F420"/>
    <mergeCell ref="T427:T429"/>
    <mergeCell ref="A427:A429"/>
    <mergeCell ref="BZ427:BZ429"/>
    <mergeCell ref="BV427:BV429"/>
    <mergeCell ref="BS427:BS429"/>
    <mergeCell ref="DK427:DK429"/>
    <mergeCell ref="D427:D429"/>
    <mergeCell ref="U427:U429"/>
    <mergeCell ref="W427:W429"/>
    <mergeCell ref="Y427:Y429"/>
    <mergeCell ref="Z427:Z429"/>
    <mergeCell ref="AB427:AB429"/>
    <mergeCell ref="BU427:BU429"/>
    <mergeCell ref="BT427:BT429"/>
    <mergeCell ref="AC427:AC429"/>
    <mergeCell ref="CD427:CD429"/>
    <mergeCell ref="S427:S429"/>
    <mergeCell ref="BW427:BW429"/>
    <mergeCell ref="BX427:BX429"/>
    <mergeCell ref="BY427:BY429"/>
    <mergeCell ref="H427:H429"/>
    <mergeCell ref="N427:N429"/>
    <mergeCell ref="CB427:CB429"/>
    <mergeCell ref="CE427:CE429"/>
    <mergeCell ref="CA427:CA429"/>
    <mergeCell ref="CC427:CC429"/>
    <mergeCell ref="AA427:AA429"/>
    <mergeCell ref="X427:X429"/>
    <mergeCell ref="V427:V429"/>
    <mergeCell ref="T424:T426"/>
    <mergeCell ref="A424:A426"/>
    <mergeCell ref="BZ424:BZ426"/>
    <mergeCell ref="BV424:BV426"/>
    <mergeCell ref="BS424:BS426"/>
    <mergeCell ref="DK424:DK426"/>
    <mergeCell ref="D424:D426"/>
    <mergeCell ref="U424:U426"/>
    <mergeCell ref="W424:W426"/>
    <mergeCell ref="Y424:Y426"/>
    <mergeCell ref="Z424:Z426"/>
    <mergeCell ref="AB424:AB426"/>
    <mergeCell ref="BU424:BU426"/>
    <mergeCell ref="BT424:BT426"/>
    <mergeCell ref="AC424:AC426"/>
    <mergeCell ref="CD424:CD426"/>
    <mergeCell ref="S424:S426"/>
    <mergeCell ref="BW424:BW426"/>
    <mergeCell ref="BX424:BX426"/>
    <mergeCell ref="BY424:BY426"/>
    <mergeCell ref="H424:H426"/>
    <mergeCell ref="N424:N426"/>
    <mergeCell ref="CB424:CB426"/>
    <mergeCell ref="CE424:CE426"/>
    <mergeCell ref="CA424:CA426"/>
    <mergeCell ref="CC424:CC426"/>
    <mergeCell ref="AA424:AA426"/>
    <mergeCell ref="X424:X426"/>
    <mergeCell ref="V424:V426"/>
    <mergeCell ref="B424:B426"/>
    <mergeCell ref="B427:B429"/>
    <mergeCell ref="F415:F417"/>
    <mergeCell ref="F412:F414"/>
    <mergeCell ref="T421:T423"/>
    <mergeCell ref="A421:A423"/>
    <mergeCell ref="BZ421:BZ423"/>
    <mergeCell ref="BV421:BV423"/>
    <mergeCell ref="BS421:BS423"/>
    <mergeCell ref="DK421:DK423"/>
    <mergeCell ref="D421:D423"/>
    <mergeCell ref="U421:U423"/>
    <mergeCell ref="W421:W423"/>
    <mergeCell ref="Y421:Y423"/>
    <mergeCell ref="Z421:Z423"/>
    <mergeCell ref="AB421:AB423"/>
    <mergeCell ref="BU421:BU423"/>
    <mergeCell ref="BT421:BT423"/>
    <mergeCell ref="AC421:AC423"/>
    <mergeCell ref="CD421:CD423"/>
    <mergeCell ref="S421:S423"/>
    <mergeCell ref="BW421:BW423"/>
    <mergeCell ref="BX421:BX423"/>
    <mergeCell ref="BY421:BY423"/>
    <mergeCell ref="H421:H423"/>
    <mergeCell ref="N421:N423"/>
    <mergeCell ref="CB421:CB423"/>
    <mergeCell ref="CE421:CE423"/>
    <mergeCell ref="CA421:CA423"/>
    <mergeCell ref="CC421:CC423"/>
    <mergeCell ref="AA421:AA423"/>
    <mergeCell ref="X421:X423"/>
    <mergeCell ref="V421:V423"/>
    <mergeCell ref="T418:T420"/>
    <mergeCell ref="A418:A420"/>
    <mergeCell ref="BZ418:BZ420"/>
    <mergeCell ref="BV418:BV420"/>
    <mergeCell ref="BS418:BS420"/>
    <mergeCell ref="DK418:DK420"/>
    <mergeCell ref="D418:D420"/>
    <mergeCell ref="U418:U420"/>
    <mergeCell ref="W418:W420"/>
    <mergeCell ref="Y418:Y420"/>
    <mergeCell ref="Z418:Z420"/>
    <mergeCell ref="AB418:AB420"/>
    <mergeCell ref="BU418:BU420"/>
    <mergeCell ref="BT418:BT420"/>
    <mergeCell ref="AC418:AC420"/>
    <mergeCell ref="CD418:CD420"/>
    <mergeCell ref="S418:S420"/>
    <mergeCell ref="BW418:BW420"/>
    <mergeCell ref="BX418:BX420"/>
    <mergeCell ref="BY418:BY420"/>
    <mergeCell ref="H418:H420"/>
    <mergeCell ref="N418:N420"/>
    <mergeCell ref="CB418:CB420"/>
    <mergeCell ref="CE418:CE420"/>
    <mergeCell ref="CA418:CA420"/>
    <mergeCell ref="CC418:CC420"/>
    <mergeCell ref="AA418:AA420"/>
    <mergeCell ref="X418:X420"/>
    <mergeCell ref="V418:V420"/>
    <mergeCell ref="B418:B420"/>
    <mergeCell ref="B421:B423"/>
    <mergeCell ref="G421:G423"/>
    <mergeCell ref="G418:G420"/>
    <mergeCell ref="T415:T417"/>
    <mergeCell ref="A415:A417"/>
    <mergeCell ref="BZ415:BZ417"/>
    <mergeCell ref="BV415:BV417"/>
    <mergeCell ref="BS415:BS417"/>
    <mergeCell ref="DK415:DK417"/>
    <mergeCell ref="D415:D417"/>
    <mergeCell ref="U415:U417"/>
    <mergeCell ref="W415:W417"/>
    <mergeCell ref="Y415:Y417"/>
    <mergeCell ref="Z415:Z417"/>
    <mergeCell ref="AB415:AB417"/>
    <mergeCell ref="BU415:BU417"/>
    <mergeCell ref="BT415:BT417"/>
    <mergeCell ref="AC415:AC417"/>
    <mergeCell ref="CD415:CD417"/>
    <mergeCell ref="S415:S417"/>
    <mergeCell ref="BW415:BW417"/>
    <mergeCell ref="BX415:BX417"/>
    <mergeCell ref="BY415:BY417"/>
    <mergeCell ref="H415:H417"/>
    <mergeCell ref="N415:N417"/>
    <mergeCell ref="CB415:CB417"/>
    <mergeCell ref="CE415:CE417"/>
    <mergeCell ref="CA415:CA417"/>
    <mergeCell ref="CC415:CC417"/>
    <mergeCell ref="AA415:AA417"/>
    <mergeCell ref="X415:X417"/>
    <mergeCell ref="V415:V417"/>
    <mergeCell ref="T412:T414"/>
    <mergeCell ref="A412:A414"/>
    <mergeCell ref="BZ412:BZ414"/>
    <mergeCell ref="BV412:BV414"/>
    <mergeCell ref="BS412:BS414"/>
    <mergeCell ref="DK412:DK414"/>
    <mergeCell ref="D412:D414"/>
    <mergeCell ref="U412:U414"/>
    <mergeCell ref="W412:W414"/>
    <mergeCell ref="Y412:Y414"/>
    <mergeCell ref="Z412:Z414"/>
    <mergeCell ref="AB412:AB414"/>
    <mergeCell ref="BU412:BU414"/>
    <mergeCell ref="BT412:BT414"/>
    <mergeCell ref="AC412:AC414"/>
    <mergeCell ref="CD412:CD414"/>
    <mergeCell ref="S412:S414"/>
    <mergeCell ref="BW412:BW414"/>
    <mergeCell ref="BX412:BX414"/>
    <mergeCell ref="BY412:BY414"/>
    <mergeCell ref="H412:H414"/>
    <mergeCell ref="N412:N414"/>
    <mergeCell ref="CB412:CB414"/>
    <mergeCell ref="CE412:CE414"/>
    <mergeCell ref="CA412:CA414"/>
    <mergeCell ref="CC412:CC414"/>
    <mergeCell ref="AA412:AA414"/>
    <mergeCell ref="X412:X414"/>
    <mergeCell ref="V412:V414"/>
    <mergeCell ref="B412:B414"/>
    <mergeCell ref="B415:B417"/>
    <mergeCell ref="G415:G417"/>
    <mergeCell ref="G412:G414"/>
    <mergeCell ref="E415:E417"/>
    <mergeCell ref="E412:E414"/>
    <mergeCell ref="DK409:DK411"/>
    <mergeCell ref="D409:D411"/>
    <mergeCell ref="U409:U411"/>
    <mergeCell ref="W409:W411"/>
    <mergeCell ref="Y409:Y411"/>
    <mergeCell ref="Z409:Z411"/>
    <mergeCell ref="AB409:AB411"/>
    <mergeCell ref="BU409:BU411"/>
    <mergeCell ref="BT409:BT411"/>
    <mergeCell ref="AC409:AC411"/>
    <mergeCell ref="CD409:CD411"/>
    <mergeCell ref="S409:S411"/>
    <mergeCell ref="BW409:BW411"/>
    <mergeCell ref="BX409:BX411"/>
    <mergeCell ref="BY409:BY411"/>
    <mergeCell ref="H409:H411"/>
    <mergeCell ref="N409:N411"/>
    <mergeCell ref="CB409:CB411"/>
    <mergeCell ref="CE409:CE411"/>
    <mergeCell ref="CA409:CA411"/>
    <mergeCell ref="CC409:CC411"/>
    <mergeCell ref="AA409:AA411"/>
    <mergeCell ref="X409:X411"/>
    <mergeCell ref="V409:V411"/>
    <mergeCell ref="T406:T408"/>
    <mergeCell ref="A406:A408"/>
    <mergeCell ref="BZ406:BZ408"/>
    <mergeCell ref="BV406:BV408"/>
    <mergeCell ref="BS406:BS408"/>
    <mergeCell ref="DK406:DK408"/>
    <mergeCell ref="D406:D408"/>
    <mergeCell ref="U406:U408"/>
    <mergeCell ref="W406:W408"/>
    <mergeCell ref="Y406:Y408"/>
    <mergeCell ref="Z406:Z408"/>
    <mergeCell ref="AB406:AB408"/>
    <mergeCell ref="BU406:BU408"/>
    <mergeCell ref="BT406:BT408"/>
    <mergeCell ref="AC406:AC408"/>
    <mergeCell ref="CD406:CD408"/>
    <mergeCell ref="S406:S408"/>
    <mergeCell ref="BW406:BW408"/>
    <mergeCell ref="BX406:BX408"/>
    <mergeCell ref="BY406:BY408"/>
    <mergeCell ref="H406:H408"/>
    <mergeCell ref="N406:N408"/>
    <mergeCell ref="CB406:CB408"/>
    <mergeCell ref="CE406:CE408"/>
    <mergeCell ref="CA406:CA408"/>
    <mergeCell ref="CC406:CC408"/>
    <mergeCell ref="AA406:AA408"/>
    <mergeCell ref="X406:X408"/>
    <mergeCell ref="V406:V408"/>
    <mergeCell ref="B406:B408"/>
    <mergeCell ref="B409:B411"/>
    <mergeCell ref="G409:G411"/>
    <mergeCell ref="G406:G408"/>
    <mergeCell ref="E409:E411"/>
    <mergeCell ref="E406:E408"/>
    <mergeCell ref="F409:F411"/>
    <mergeCell ref="F406:F408"/>
    <mergeCell ref="Y400:Y402"/>
    <mergeCell ref="Z400:Z402"/>
    <mergeCell ref="AB400:AB402"/>
    <mergeCell ref="BU400:BU402"/>
    <mergeCell ref="BT400:BT402"/>
    <mergeCell ref="AC400:AC402"/>
    <mergeCell ref="CD400:CD402"/>
    <mergeCell ref="S400:S402"/>
    <mergeCell ref="BW400:BW402"/>
    <mergeCell ref="BX400:BX402"/>
    <mergeCell ref="BY400:BY402"/>
    <mergeCell ref="H400:H402"/>
    <mergeCell ref="N400:N402"/>
    <mergeCell ref="CB400:CB402"/>
    <mergeCell ref="CE400:CE402"/>
    <mergeCell ref="CA400:CA402"/>
    <mergeCell ref="CC400:CC402"/>
    <mergeCell ref="AA400:AA402"/>
    <mergeCell ref="X400:X402"/>
    <mergeCell ref="V400:V402"/>
    <mergeCell ref="B400:B402"/>
    <mergeCell ref="B403:B405"/>
    <mergeCell ref="G403:G405"/>
    <mergeCell ref="G400:G402"/>
    <mergeCell ref="E403:E405"/>
    <mergeCell ref="E400:E402"/>
    <mergeCell ref="F403:F405"/>
    <mergeCell ref="F400:F402"/>
    <mergeCell ref="T409:T411"/>
    <mergeCell ref="A409:A411"/>
    <mergeCell ref="BZ409:BZ411"/>
    <mergeCell ref="BV409:BV411"/>
    <mergeCell ref="BS409:BS411"/>
    <mergeCell ref="AB394:AB396"/>
    <mergeCell ref="BU394:BU396"/>
    <mergeCell ref="BT394:BT396"/>
    <mergeCell ref="AC394:AC396"/>
    <mergeCell ref="CD394:CD396"/>
    <mergeCell ref="S394:S396"/>
    <mergeCell ref="BW394:BW396"/>
    <mergeCell ref="BX394:BX396"/>
    <mergeCell ref="BY394:BY396"/>
    <mergeCell ref="H394:H396"/>
    <mergeCell ref="N394:N396"/>
    <mergeCell ref="CB394:CB396"/>
    <mergeCell ref="CE394:CE396"/>
    <mergeCell ref="CA394:CA396"/>
    <mergeCell ref="CC394:CC396"/>
    <mergeCell ref="AA394:AA396"/>
    <mergeCell ref="X394:X396"/>
    <mergeCell ref="V394:V396"/>
    <mergeCell ref="B394:B396"/>
    <mergeCell ref="B397:B399"/>
    <mergeCell ref="G397:G399"/>
    <mergeCell ref="G394:G396"/>
    <mergeCell ref="E397:E399"/>
    <mergeCell ref="E394:E396"/>
    <mergeCell ref="F397:F399"/>
    <mergeCell ref="F394:F396"/>
    <mergeCell ref="T403:T405"/>
    <mergeCell ref="A403:A405"/>
    <mergeCell ref="BZ403:BZ405"/>
    <mergeCell ref="BV403:BV405"/>
    <mergeCell ref="BS403:BS405"/>
    <mergeCell ref="DK403:DK405"/>
    <mergeCell ref="D403:D405"/>
    <mergeCell ref="U403:U405"/>
    <mergeCell ref="W403:W405"/>
    <mergeCell ref="Y403:Y405"/>
    <mergeCell ref="Z403:Z405"/>
    <mergeCell ref="AB403:AB405"/>
    <mergeCell ref="BU403:BU405"/>
    <mergeCell ref="BT403:BT405"/>
    <mergeCell ref="AC403:AC405"/>
    <mergeCell ref="CD403:CD405"/>
    <mergeCell ref="S403:S405"/>
    <mergeCell ref="BW403:BW405"/>
    <mergeCell ref="BX403:BX405"/>
    <mergeCell ref="BY403:BY405"/>
    <mergeCell ref="H403:H405"/>
    <mergeCell ref="N403:N405"/>
    <mergeCell ref="CB403:CB405"/>
    <mergeCell ref="CE403:CE405"/>
    <mergeCell ref="CA403:CA405"/>
    <mergeCell ref="CC403:CC405"/>
    <mergeCell ref="AA403:AA405"/>
    <mergeCell ref="X403:X405"/>
    <mergeCell ref="V403:V405"/>
    <mergeCell ref="T400:T402"/>
    <mergeCell ref="A400:A402"/>
    <mergeCell ref="BZ400:BZ402"/>
    <mergeCell ref="BV400:BV402"/>
    <mergeCell ref="BS400:BS402"/>
    <mergeCell ref="DK400:DK402"/>
    <mergeCell ref="D400:D402"/>
    <mergeCell ref="U400:U402"/>
    <mergeCell ref="W400:W402"/>
    <mergeCell ref="BT388:BT390"/>
    <mergeCell ref="AC388:AC390"/>
    <mergeCell ref="CD388:CD390"/>
    <mergeCell ref="S388:S390"/>
    <mergeCell ref="BW388:BW390"/>
    <mergeCell ref="BX388:BX390"/>
    <mergeCell ref="BY388:BY390"/>
    <mergeCell ref="H388:H390"/>
    <mergeCell ref="N388:N390"/>
    <mergeCell ref="CB388:CB390"/>
    <mergeCell ref="CE388:CE390"/>
    <mergeCell ref="CA388:CA390"/>
    <mergeCell ref="CC388:CC390"/>
    <mergeCell ref="AA388:AA390"/>
    <mergeCell ref="X388:X390"/>
    <mergeCell ref="V388:V390"/>
    <mergeCell ref="B388:B390"/>
    <mergeCell ref="B391:B393"/>
    <mergeCell ref="G391:G393"/>
    <mergeCell ref="G388:G390"/>
    <mergeCell ref="E391:E393"/>
    <mergeCell ref="E388:E390"/>
    <mergeCell ref="F391:F393"/>
    <mergeCell ref="F388:F390"/>
    <mergeCell ref="T397:T399"/>
    <mergeCell ref="A397:A399"/>
    <mergeCell ref="BZ397:BZ399"/>
    <mergeCell ref="BV397:BV399"/>
    <mergeCell ref="BS397:BS399"/>
    <mergeCell ref="DK397:DK399"/>
    <mergeCell ref="D397:D399"/>
    <mergeCell ref="U397:U399"/>
    <mergeCell ref="W397:W399"/>
    <mergeCell ref="Y397:Y399"/>
    <mergeCell ref="Z397:Z399"/>
    <mergeCell ref="AB397:AB399"/>
    <mergeCell ref="BU397:BU399"/>
    <mergeCell ref="BT397:BT399"/>
    <mergeCell ref="AC397:AC399"/>
    <mergeCell ref="CD397:CD399"/>
    <mergeCell ref="S397:S399"/>
    <mergeCell ref="BW397:BW399"/>
    <mergeCell ref="BX397:BX399"/>
    <mergeCell ref="BY397:BY399"/>
    <mergeCell ref="H397:H399"/>
    <mergeCell ref="N397:N399"/>
    <mergeCell ref="CB397:CB399"/>
    <mergeCell ref="CE397:CE399"/>
    <mergeCell ref="CA397:CA399"/>
    <mergeCell ref="CC397:CC399"/>
    <mergeCell ref="AA397:AA399"/>
    <mergeCell ref="X397:X399"/>
    <mergeCell ref="V397:V399"/>
    <mergeCell ref="T394:T396"/>
    <mergeCell ref="A394:A396"/>
    <mergeCell ref="BZ394:BZ396"/>
    <mergeCell ref="BV394:BV396"/>
    <mergeCell ref="BS394:BS396"/>
    <mergeCell ref="DK394:DK396"/>
    <mergeCell ref="D394:D396"/>
    <mergeCell ref="U394:U396"/>
    <mergeCell ref="W394:W396"/>
    <mergeCell ref="Y394:Y396"/>
    <mergeCell ref="Z394:Z396"/>
    <mergeCell ref="CD382:CD384"/>
    <mergeCell ref="S382:S384"/>
    <mergeCell ref="BW382:BW384"/>
    <mergeCell ref="BX382:BX384"/>
    <mergeCell ref="BY382:BY384"/>
    <mergeCell ref="H382:H384"/>
    <mergeCell ref="N382:N384"/>
    <mergeCell ref="CB382:CB384"/>
    <mergeCell ref="CE382:CE384"/>
    <mergeCell ref="CA382:CA384"/>
    <mergeCell ref="CC382:CC384"/>
    <mergeCell ref="AA382:AA384"/>
    <mergeCell ref="X382:X384"/>
    <mergeCell ref="V382:V384"/>
    <mergeCell ref="B382:B384"/>
    <mergeCell ref="B385:B387"/>
    <mergeCell ref="G385:G387"/>
    <mergeCell ref="G382:G384"/>
    <mergeCell ref="E385:E387"/>
    <mergeCell ref="E382:E384"/>
    <mergeCell ref="F385:F387"/>
    <mergeCell ref="F382:F384"/>
    <mergeCell ref="T391:T393"/>
    <mergeCell ref="A391:A393"/>
    <mergeCell ref="BZ391:BZ393"/>
    <mergeCell ref="BV391:BV393"/>
    <mergeCell ref="BS391:BS393"/>
    <mergeCell ref="DK391:DK393"/>
    <mergeCell ref="D391:D393"/>
    <mergeCell ref="U391:U393"/>
    <mergeCell ref="W391:W393"/>
    <mergeCell ref="Y391:Y393"/>
    <mergeCell ref="Z391:Z393"/>
    <mergeCell ref="AB391:AB393"/>
    <mergeCell ref="BU391:BU393"/>
    <mergeCell ref="BT391:BT393"/>
    <mergeCell ref="AC391:AC393"/>
    <mergeCell ref="CD391:CD393"/>
    <mergeCell ref="S391:S393"/>
    <mergeCell ref="BW391:BW393"/>
    <mergeCell ref="BX391:BX393"/>
    <mergeCell ref="BY391:BY393"/>
    <mergeCell ref="H391:H393"/>
    <mergeCell ref="N391:N393"/>
    <mergeCell ref="CB391:CB393"/>
    <mergeCell ref="CE391:CE393"/>
    <mergeCell ref="CA391:CA393"/>
    <mergeCell ref="CC391:CC393"/>
    <mergeCell ref="AA391:AA393"/>
    <mergeCell ref="X391:X393"/>
    <mergeCell ref="V391:V393"/>
    <mergeCell ref="T388:T390"/>
    <mergeCell ref="A388:A390"/>
    <mergeCell ref="BZ388:BZ390"/>
    <mergeCell ref="BV388:BV390"/>
    <mergeCell ref="BS388:BS390"/>
    <mergeCell ref="DK388:DK390"/>
    <mergeCell ref="D388:D390"/>
    <mergeCell ref="U388:U390"/>
    <mergeCell ref="W388:W390"/>
    <mergeCell ref="Y388:Y390"/>
    <mergeCell ref="Z388:Z390"/>
    <mergeCell ref="AB388:AB390"/>
    <mergeCell ref="BU388:BU390"/>
    <mergeCell ref="BW376:BW378"/>
    <mergeCell ref="BX376:BX378"/>
    <mergeCell ref="BY376:BY378"/>
    <mergeCell ref="H376:H378"/>
    <mergeCell ref="N376:N378"/>
    <mergeCell ref="CB376:CB378"/>
    <mergeCell ref="CE376:CE378"/>
    <mergeCell ref="CA376:CA378"/>
    <mergeCell ref="CC376:CC378"/>
    <mergeCell ref="AA376:AA378"/>
    <mergeCell ref="X376:X378"/>
    <mergeCell ref="V376:V378"/>
    <mergeCell ref="B376:B378"/>
    <mergeCell ref="B379:B381"/>
    <mergeCell ref="G379:G381"/>
    <mergeCell ref="G376:G378"/>
    <mergeCell ref="E379:E381"/>
    <mergeCell ref="E376:E378"/>
    <mergeCell ref="F379:F381"/>
    <mergeCell ref="F376:F378"/>
    <mergeCell ref="T385:T387"/>
    <mergeCell ref="A385:A387"/>
    <mergeCell ref="BZ385:BZ387"/>
    <mergeCell ref="BV385:BV387"/>
    <mergeCell ref="BS385:BS387"/>
    <mergeCell ref="DK385:DK387"/>
    <mergeCell ref="D385:D387"/>
    <mergeCell ref="U385:U387"/>
    <mergeCell ref="W385:W387"/>
    <mergeCell ref="Y385:Y387"/>
    <mergeCell ref="Z385:Z387"/>
    <mergeCell ref="AB385:AB387"/>
    <mergeCell ref="BU385:BU387"/>
    <mergeCell ref="BT385:BT387"/>
    <mergeCell ref="AC385:AC387"/>
    <mergeCell ref="CD385:CD387"/>
    <mergeCell ref="S385:S387"/>
    <mergeCell ref="BW385:BW387"/>
    <mergeCell ref="BX385:BX387"/>
    <mergeCell ref="BY385:BY387"/>
    <mergeCell ref="H385:H387"/>
    <mergeCell ref="N385:N387"/>
    <mergeCell ref="CB385:CB387"/>
    <mergeCell ref="CE385:CE387"/>
    <mergeCell ref="CA385:CA387"/>
    <mergeCell ref="CC385:CC387"/>
    <mergeCell ref="AA385:AA387"/>
    <mergeCell ref="X385:X387"/>
    <mergeCell ref="V385:V387"/>
    <mergeCell ref="T382:T384"/>
    <mergeCell ref="A382:A384"/>
    <mergeCell ref="BZ382:BZ384"/>
    <mergeCell ref="BV382:BV384"/>
    <mergeCell ref="BS382:BS384"/>
    <mergeCell ref="DK382:DK384"/>
    <mergeCell ref="D382:D384"/>
    <mergeCell ref="U382:U384"/>
    <mergeCell ref="W382:W384"/>
    <mergeCell ref="Y382:Y384"/>
    <mergeCell ref="Z382:Z384"/>
    <mergeCell ref="AB382:AB384"/>
    <mergeCell ref="BU382:BU384"/>
    <mergeCell ref="BT382:BT384"/>
    <mergeCell ref="AC382:AC384"/>
    <mergeCell ref="BY370:BY372"/>
    <mergeCell ref="H370:H372"/>
    <mergeCell ref="N370:N372"/>
    <mergeCell ref="CB370:CB372"/>
    <mergeCell ref="CE370:CE372"/>
    <mergeCell ref="CA370:CA372"/>
    <mergeCell ref="CC370:CC372"/>
    <mergeCell ref="AA370:AA372"/>
    <mergeCell ref="X370:X372"/>
    <mergeCell ref="V370:V372"/>
    <mergeCell ref="B370:B372"/>
    <mergeCell ref="B373:B375"/>
    <mergeCell ref="G373:G375"/>
    <mergeCell ref="G370:G372"/>
    <mergeCell ref="E373:E375"/>
    <mergeCell ref="E370:E372"/>
    <mergeCell ref="F373:F375"/>
    <mergeCell ref="F370:F372"/>
    <mergeCell ref="T379:T381"/>
    <mergeCell ref="A379:A381"/>
    <mergeCell ref="BZ379:BZ381"/>
    <mergeCell ref="BV379:BV381"/>
    <mergeCell ref="BS379:BS381"/>
    <mergeCell ref="DK379:DK381"/>
    <mergeCell ref="D379:D381"/>
    <mergeCell ref="U379:U381"/>
    <mergeCell ref="W379:W381"/>
    <mergeCell ref="Y379:Y381"/>
    <mergeCell ref="Z379:Z381"/>
    <mergeCell ref="AB379:AB381"/>
    <mergeCell ref="BU379:BU381"/>
    <mergeCell ref="BT379:BT381"/>
    <mergeCell ref="AC379:AC381"/>
    <mergeCell ref="CD379:CD381"/>
    <mergeCell ref="S379:S381"/>
    <mergeCell ref="BW379:BW381"/>
    <mergeCell ref="BX379:BX381"/>
    <mergeCell ref="BY379:BY381"/>
    <mergeCell ref="H379:H381"/>
    <mergeCell ref="N379:N381"/>
    <mergeCell ref="CB379:CB381"/>
    <mergeCell ref="CE379:CE381"/>
    <mergeCell ref="CA379:CA381"/>
    <mergeCell ref="CC379:CC381"/>
    <mergeCell ref="AA379:AA381"/>
    <mergeCell ref="X379:X381"/>
    <mergeCell ref="V379:V381"/>
    <mergeCell ref="T376:T378"/>
    <mergeCell ref="A376:A378"/>
    <mergeCell ref="BZ376:BZ378"/>
    <mergeCell ref="BV376:BV378"/>
    <mergeCell ref="BS376:BS378"/>
    <mergeCell ref="DK376:DK378"/>
    <mergeCell ref="D376:D378"/>
    <mergeCell ref="U376:U378"/>
    <mergeCell ref="W376:W378"/>
    <mergeCell ref="Y376:Y378"/>
    <mergeCell ref="Z376:Z378"/>
    <mergeCell ref="AB376:AB378"/>
    <mergeCell ref="BU376:BU378"/>
    <mergeCell ref="BT376:BT378"/>
    <mergeCell ref="AC376:AC378"/>
    <mergeCell ref="CD376:CD378"/>
    <mergeCell ref="S376:S378"/>
    <mergeCell ref="N364:N366"/>
    <mergeCell ref="CB364:CB366"/>
    <mergeCell ref="CE364:CE366"/>
    <mergeCell ref="CA364:CA366"/>
    <mergeCell ref="CC364:CC366"/>
    <mergeCell ref="AA364:AA366"/>
    <mergeCell ref="X364:X366"/>
    <mergeCell ref="V364:V366"/>
    <mergeCell ref="B364:B366"/>
    <mergeCell ref="B367:B369"/>
    <mergeCell ref="G367:G369"/>
    <mergeCell ref="G364:G366"/>
    <mergeCell ref="E367:E369"/>
    <mergeCell ref="E364:E366"/>
    <mergeCell ref="F367:F369"/>
    <mergeCell ref="F364:F366"/>
    <mergeCell ref="T373:T375"/>
    <mergeCell ref="A373:A375"/>
    <mergeCell ref="BZ373:BZ375"/>
    <mergeCell ref="BV373:BV375"/>
    <mergeCell ref="BS373:BS375"/>
    <mergeCell ref="DK373:DK375"/>
    <mergeCell ref="D373:D375"/>
    <mergeCell ref="U373:U375"/>
    <mergeCell ref="W373:W375"/>
    <mergeCell ref="Y373:Y375"/>
    <mergeCell ref="Z373:Z375"/>
    <mergeCell ref="AB373:AB375"/>
    <mergeCell ref="BU373:BU375"/>
    <mergeCell ref="BT373:BT375"/>
    <mergeCell ref="AC373:AC375"/>
    <mergeCell ref="CD373:CD375"/>
    <mergeCell ref="S373:S375"/>
    <mergeCell ref="BW373:BW375"/>
    <mergeCell ref="BX373:BX375"/>
    <mergeCell ref="BY373:BY375"/>
    <mergeCell ref="H373:H375"/>
    <mergeCell ref="N373:N375"/>
    <mergeCell ref="CB373:CB375"/>
    <mergeCell ref="CE373:CE375"/>
    <mergeCell ref="CA373:CA375"/>
    <mergeCell ref="CC373:CC375"/>
    <mergeCell ref="AA373:AA375"/>
    <mergeCell ref="X373:X375"/>
    <mergeCell ref="V373:V375"/>
    <mergeCell ref="T370:T372"/>
    <mergeCell ref="A370:A372"/>
    <mergeCell ref="BZ370:BZ372"/>
    <mergeCell ref="BV370:BV372"/>
    <mergeCell ref="BS370:BS372"/>
    <mergeCell ref="DK370:DK372"/>
    <mergeCell ref="D370:D372"/>
    <mergeCell ref="U370:U372"/>
    <mergeCell ref="W370:W372"/>
    <mergeCell ref="Y370:Y372"/>
    <mergeCell ref="Z370:Z372"/>
    <mergeCell ref="AB370:AB372"/>
    <mergeCell ref="BU370:BU372"/>
    <mergeCell ref="BT370:BT372"/>
    <mergeCell ref="AC370:AC372"/>
    <mergeCell ref="CD370:CD372"/>
    <mergeCell ref="S370:S372"/>
    <mergeCell ref="BW370:BW372"/>
    <mergeCell ref="BX370:BX372"/>
    <mergeCell ref="CE358:CE360"/>
    <mergeCell ref="CA358:CA360"/>
    <mergeCell ref="CC358:CC360"/>
    <mergeCell ref="AA358:AA360"/>
    <mergeCell ref="X358:X360"/>
    <mergeCell ref="V358:V360"/>
    <mergeCell ref="B358:B360"/>
    <mergeCell ref="B361:B363"/>
    <mergeCell ref="G361:G363"/>
    <mergeCell ref="G358:G360"/>
    <mergeCell ref="E361:E363"/>
    <mergeCell ref="E358:E360"/>
    <mergeCell ref="F361:F363"/>
    <mergeCell ref="F358:F360"/>
    <mergeCell ref="T367:T369"/>
    <mergeCell ref="A367:A369"/>
    <mergeCell ref="BZ367:BZ369"/>
    <mergeCell ref="BV367:BV369"/>
    <mergeCell ref="BS367:BS369"/>
    <mergeCell ref="DK367:DK369"/>
    <mergeCell ref="D367:D369"/>
    <mergeCell ref="U367:U369"/>
    <mergeCell ref="W367:W369"/>
    <mergeCell ref="Y367:Y369"/>
    <mergeCell ref="Z367:Z369"/>
    <mergeCell ref="AB367:AB369"/>
    <mergeCell ref="BU367:BU369"/>
    <mergeCell ref="BT367:BT369"/>
    <mergeCell ref="AC367:AC369"/>
    <mergeCell ref="CD367:CD369"/>
    <mergeCell ref="S367:S369"/>
    <mergeCell ref="BW367:BW369"/>
    <mergeCell ref="BX367:BX369"/>
    <mergeCell ref="BY367:BY369"/>
    <mergeCell ref="H367:H369"/>
    <mergeCell ref="N367:N369"/>
    <mergeCell ref="CB367:CB369"/>
    <mergeCell ref="CE367:CE369"/>
    <mergeCell ref="CA367:CA369"/>
    <mergeCell ref="CC367:CC369"/>
    <mergeCell ref="AA367:AA369"/>
    <mergeCell ref="X367:X369"/>
    <mergeCell ref="V367:V369"/>
    <mergeCell ref="T364:T366"/>
    <mergeCell ref="A364:A366"/>
    <mergeCell ref="BZ364:BZ366"/>
    <mergeCell ref="BV364:BV366"/>
    <mergeCell ref="BS364:BS366"/>
    <mergeCell ref="DK364:DK366"/>
    <mergeCell ref="D364:D366"/>
    <mergeCell ref="U364:U366"/>
    <mergeCell ref="W364:W366"/>
    <mergeCell ref="Y364:Y366"/>
    <mergeCell ref="Z364:Z366"/>
    <mergeCell ref="AB364:AB366"/>
    <mergeCell ref="BU364:BU366"/>
    <mergeCell ref="BT364:BT366"/>
    <mergeCell ref="AC364:AC366"/>
    <mergeCell ref="CD364:CD366"/>
    <mergeCell ref="S364:S366"/>
    <mergeCell ref="BW364:BW366"/>
    <mergeCell ref="BX364:BX366"/>
    <mergeCell ref="BY364:BY366"/>
    <mergeCell ref="H364:H366"/>
    <mergeCell ref="CC352:CC354"/>
    <mergeCell ref="AA352:AA354"/>
    <mergeCell ref="X352:X354"/>
    <mergeCell ref="V352:V354"/>
    <mergeCell ref="B352:B354"/>
    <mergeCell ref="B355:B357"/>
    <mergeCell ref="G355:G357"/>
    <mergeCell ref="G352:G354"/>
    <mergeCell ref="E355:E357"/>
    <mergeCell ref="E352:E354"/>
    <mergeCell ref="F355:F357"/>
    <mergeCell ref="F352:F354"/>
    <mergeCell ref="T361:T363"/>
    <mergeCell ref="A361:A363"/>
    <mergeCell ref="BZ361:BZ363"/>
    <mergeCell ref="BV361:BV363"/>
    <mergeCell ref="BS361:BS363"/>
    <mergeCell ref="DK361:DK363"/>
    <mergeCell ref="D361:D363"/>
    <mergeCell ref="U361:U363"/>
    <mergeCell ref="W361:W363"/>
    <mergeCell ref="Y361:Y363"/>
    <mergeCell ref="Z361:Z363"/>
    <mergeCell ref="AB361:AB363"/>
    <mergeCell ref="BU361:BU363"/>
    <mergeCell ref="BT361:BT363"/>
    <mergeCell ref="AC361:AC363"/>
    <mergeCell ref="CD361:CD363"/>
    <mergeCell ref="S361:S363"/>
    <mergeCell ref="BW361:BW363"/>
    <mergeCell ref="BX361:BX363"/>
    <mergeCell ref="BY361:BY363"/>
    <mergeCell ref="H361:H363"/>
    <mergeCell ref="N361:N363"/>
    <mergeCell ref="CB361:CB363"/>
    <mergeCell ref="CE361:CE363"/>
    <mergeCell ref="CA361:CA363"/>
    <mergeCell ref="CC361:CC363"/>
    <mergeCell ref="AA361:AA363"/>
    <mergeCell ref="X361:X363"/>
    <mergeCell ref="V361:V363"/>
    <mergeCell ref="T358:T360"/>
    <mergeCell ref="A358:A360"/>
    <mergeCell ref="BZ358:BZ360"/>
    <mergeCell ref="BV358:BV360"/>
    <mergeCell ref="BS358:BS360"/>
    <mergeCell ref="DK358:DK360"/>
    <mergeCell ref="D358:D360"/>
    <mergeCell ref="U358:U360"/>
    <mergeCell ref="W358:W360"/>
    <mergeCell ref="Y358:Y360"/>
    <mergeCell ref="Z358:Z360"/>
    <mergeCell ref="AB358:AB360"/>
    <mergeCell ref="BU358:BU360"/>
    <mergeCell ref="BT358:BT360"/>
    <mergeCell ref="AC358:AC360"/>
    <mergeCell ref="CD358:CD360"/>
    <mergeCell ref="S358:S360"/>
    <mergeCell ref="BW358:BW360"/>
    <mergeCell ref="BX358:BX360"/>
    <mergeCell ref="BY358:BY360"/>
    <mergeCell ref="H358:H360"/>
    <mergeCell ref="N358:N360"/>
    <mergeCell ref="CB358:CB360"/>
    <mergeCell ref="X346:X348"/>
    <mergeCell ref="V346:V348"/>
    <mergeCell ref="B346:B348"/>
    <mergeCell ref="B349:B351"/>
    <mergeCell ref="G349:G351"/>
    <mergeCell ref="G346:G348"/>
    <mergeCell ref="E349:E351"/>
    <mergeCell ref="E346:E348"/>
    <mergeCell ref="F349:F351"/>
    <mergeCell ref="F346:F348"/>
    <mergeCell ref="T355:T357"/>
    <mergeCell ref="A355:A357"/>
    <mergeCell ref="BZ355:BZ357"/>
    <mergeCell ref="BV355:BV357"/>
    <mergeCell ref="BS355:BS357"/>
    <mergeCell ref="DK355:DK357"/>
    <mergeCell ref="D355:D357"/>
    <mergeCell ref="U355:U357"/>
    <mergeCell ref="W355:W357"/>
    <mergeCell ref="Y355:Y357"/>
    <mergeCell ref="Z355:Z357"/>
    <mergeCell ref="AB355:AB357"/>
    <mergeCell ref="BU355:BU357"/>
    <mergeCell ref="BT355:BT357"/>
    <mergeCell ref="AC355:AC357"/>
    <mergeCell ref="CD355:CD357"/>
    <mergeCell ref="S355:S357"/>
    <mergeCell ref="BW355:BW357"/>
    <mergeCell ref="BX355:BX357"/>
    <mergeCell ref="BY355:BY357"/>
    <mergeCell ref="H355:H357"/>
    <mergeCell ref="N355:N357"/>
    <mergeCell ref="CB355:CB357"/>
    <mergeCell ref="CE355:CE357"/>
    <mergeCell ref="CA355:CA357"/>
    <mergeCell ref="CC355:CC357"/>
    <mergeCell ref="AA355:AA357"/>
    <mergeCell ref="X355:X357"/>
    <mergeCell ref="V355:V357"/>
    <mergeCell ref="T352:T354"/>
    <mergeCell ref="A352:A354"/>
    <mergeCell ref="BZ352:BZ354"/>
    <mergeCell ref="BV352:BV354"/>
    <mergeCell ref="BS352:BS354"/>
    <mergeCell ref="DK352:DK354"/>
    <mergeCell ref="D352:D354"/>
    <mergeCell ref="U352:U354"/>
    <mergeCell ref="W352:W354"/>
    <mergeCell ref="Y352:Y354"/>
    <mergeCell ref="Z352:Z354"/>
    <mergeCell ref="AB352:AB354"/>
    <mergeCell ref="BU352:BU354"/>
    <mergeCell ref="BT352:BT354"/>
    <mergeCell ref="AC352:AC354"/>
    <mergeCell ref="CD352:CD354"/>
    <mergeCell ref="S352:S354"/>
    <mergeCell ref="BW352:BW354"/>
    <mergeCell ref="BX352:BX354"/>
    <mergeCell ref="BY352:BY354"/>
    <mergeCell ref="H352:H354"/>
    <mergeCell ref="N352:N354"/>
    <mergeCell ref="CB352:CB354"/>
    <mergeCell ref="CE352:CE354"/>
    <mergeCell ref="CA352:CA354"/>
    <mergeCell ref="B340:B342"/>
    <mergeCell ref="B343:B345"/>
    <mergeCell ref="G343:G345"/>
    <mergeCell ref="G340:G342"/>
    <mergeCell ref="E343:E345"/>
    <mergeCell ref="E340:E342"/>
    <mergeCell ref="F343:F345"/>
    <mergeCell ref="F340:F342"/>
    <mergeCell ref="T349:T351"/>
    <mergeCell ref="A349:A351"/>
    <mergeCell ref="BZ349:BZ351"/>
    <mergeCell ref="BV349:BV351"/>
    <mergeCell ref="BS349:BS351"/>
    <mergeCell ref="DK349:DK351"/>
    <mergeCell ref="D349:D351"/>
    <mergeCell ref="U349:U351"/>
    <mergeCell ref="W349:W351"/>
    <mergeCell ref="Y349:Y351"/>
    <mergeCell ref="Z349:Z351"/>
    <mergeCell ref="AB349:AB351"/>
    <mergeCell ref="BU349:BU351"/>
    <mergeCell ref="BT349:BT351"/>
    <mergeCell ref="AC349:AC351"/>
    <mergeCell ref="CD349:CD351"/>
    <mergeCell ref="S349:S351"/>
    <mergeCell ref="BW349:BW351"/>
    <mergeCell ref="BX349:BX351"/>
    <mergeCell ref="BY349:BY351"/>
    <mergeCell ref="H349:H351"/>
    <mergeCell ref="N349:N351"/>
    <mergeCell ref="CB349:CB351"/>
    <mergeCell ref="CE349:CE351"/>
    <mergeCell ref="CA349:CA351"/>
    <mergeCell ref="CC349:CC351"/>
    <mergeCell ref="AA349:AA351"/>
    <mergeCell ref="X349:X351"/>
    <mergeCell ref="V349:V351"/>
    <mergeCell ref="T346:T348"/>
    <mergeCell ref="A346:A348"/>
    <mergeCell ref="BZ346:BZ348"/>
    <mergeCell ref="BV346:BV348"/>
    <mergeCell ref="BS346:BS348"/>
    <mergeCell ref="DK346:DK348"/>
    <mergeCell ref="D346:D348"/>
    <mergeCell ref="U346:U348"/>
    <mergeCell ref="W346:W348"/>
    <mergeCell ref="Y346:Y348"/>
    <mergeCell ref="Z346:Z348"/>
    <mergeCell ref="AB346:AB348"/>
    <mergeCell ref="BU346:BU348"/>
    <mergeCell ref="BT346:BT348"/>
    <mergeCell ref="AC346:AC348"/>
    <mergeCell ref="CD346:CD348"/>
    <mergeCell ref="S346:S348"/>
    <mergeCell ref="BW346:BW348"/>
    <mergeCell ref="BX346:BX348"/>
    <mergeCell ref="BY346:BY348"/>
    <mergeCell ref="H346:H348"/>
    <mergeCell ref="N346:N348"/>
    <mergeCell ref="CB346:CB348"/>
    <mergeCell ref="CE346:CE348"/>
    <mergeCell ref="CA346:CA348"/>
    <mergeCell ref="CC346:CC348"/>
    <mergeCell ref="AA346:AA348"/>
    <mergeCell ref="G337:G339"/>
    <mergeCell ref="G334:G336"/>
    <mergeCell ref="E337:E339"/>
    <mergeCell ref="E334:E336"/>
    <mergeCell ref="F337:F339"/>
    <mergeCell ref="F334:F336"/>
    <mergeCell ref="T343:T345"/>
    <mergeCell ref="A343:A345"/>
    <mergeCell ref="BZ343:BZ345"/>
    <mergeCell ref="BV343:BV345"/>
    <mergeCell ref="BS343:BS345"/>
    <mergeCell ref="DK343:DK345"/>
    <mergeCell ref="D343:D345"/>
    <mergeCell ref="U343:U345"/>
    <mergeCell ref="W343:W345"/>
    <mergeCell ref="Y343:Y345"/>
    <mergeCell ref="Z343:Z345"/>
    <mergeCell ref="AB343:AB345"/>
    <mergeCell ref="BU343:BU345"/>
    <mergeCell ref="BT343:BT345"/>
    <mergeCell ref="AC343:AC345"/>
    <mergeCell ref="CD343:CD345"/>
    <mergeCell ref="S343:S345"/>
    <mergeCell ref="BW343:BW345"/>
    <mergeCell ref="BX343:BX345"/>
    <mergeCell ref="BY343:BY345"/>
    <mergeCell ref="H343:H345"/>
    <mergeCell ref="N343:N345"/>
    <mergeCell ref="CB343:CB345"/>
    <mergeCell ref="CE343:CE345"/>
    <mergeCell ref="CA343:CA345"/>
    <mergeCell ref="CC343:CC345"/>
    <mergeCell ref="AA343:AA345"/>
    <mergeCell ref="X343:X345"/>
    <mergeCell ref="V343:V345"/>
    <mergeCell ref="T340:T342"/>
    <mergeCell ref="A340:A342"/>
    <mergeCell ref="BZ340:BZ342"/>
    <mergeCell ref="BV340:BV342"/>
    <mergeCell ref="BS340:BS342"/>
    <mergeCell ref="DK340:DK342"/>
    <mergeCell ref="D340:D342"/>
    <mergeCell ref="U340:U342"/>
    <mergeCell ref="W340:W342"/>
    <mergeCell ref="Y340:Y342"/>
    <mergeCell ref="Z340:Z342"/>
    <mergeCell ref="AB340:AB342"/>
    <mergeCell ref="BU340:BU342"/>
    <mergeCell ref="BT340:BT342"/>
    <mergeCell ref="AC340:AC342"/>
    <mergeCell ref="CD340:CD342"/>
    <mergeCell ref="S340:S342"/>
    <mergeCell ref="BW340:BW342"/>
    <mergeCell ref="BX340:BX342"/>
    <mergeCell ref="BY340:BY342"/>
    <mergeCell ref="H340:H342"/>
    <mergeCell ref="N340:N342"/>
    <mergeCell ref="CB340:CB342"/>
    <mergeCell ref="CE340:CE342"/>
    <mergeCell ref="CA340:CA342"/>
    <mergeCell ref="CC340:CC342"/>
    <mergeCell ref="AA340:AA342"/>
    <mergeCell ref="X340:X342"/>
    <mergeCell ref="V340:V342"/>
    <mergeCell ref="E331:E333"/>
    <mergeCell ref="E328:E330"/>
    <mergeCell ref="F331:F333"/>
    <mergeCell ref="F328:F330"/>
    <mergeCell ref="T337:T339"/>
    <mergeCell ref="A337:A339"/>
    <mergeCell ref="BZ337:BZ339"/>
    <mergeCell ref="BV337:BV339"/>
    <mergeCell ref="BS337:BS339"/>
    <mergeCell ref="DK337:DK339"/>
    <mergeCell ref="D337:D339"/>
    <mergeCell ref="U337:U339"/>
    <mergeCell ref="W337:W339"/>
    <mergeCell ref="Y337:Y339"/>
    <mergeCell ref="Z337:Z339"/>
    <mergeCell ref="AB337:AB339"/>
    <mergeCell ref="BU337:BU339"/>
    <mergeCell ref="BT337:BT339"/>
    <mergeCell ref="AC337:AC339"/>
    <mergeCell ref="CD337:CD339"/>
    <mergeCell ref="S337:S339"/>
    <mergeCell ref="BW337:BW339"/>
    <mergeCell ref="BX337:BX339"/>
    <mergeCell ref="BY337:BY339"/>
    <mergeCell ref="H337:H339"/>
    <mergeCell ref="N337:N339"/>
    <mergeCell ref="CB337:CB339"/>
    <mergeCell ref="CE337:CE339"/>
    <mergeCell ref="CA337:CA339"/>
    <mergeCell ref="CC337:CC339"/>
    <mergeCell ref="AA337:AA339"/>
    <mergeCell ref="X337:X339"/>
    <mergeCell ref="V337:V339"/>
    <mergeCell ref="T334:T336"/>
    <mergeCell ref="A334:A336"/>
    <mergeCell ref="BZ334:BZ336"/>
    <mergeCell ref="BV334:BV336"/>
    <mergeCell ref="BS334:BS336"/>
    <mergeCell ref="DK334:DK336"/>
    <mergeCell ref="D334:D336"/>
    <mergeCell ref="U334:U336"/>
    <mergeCell ref="W334:W336"/>
    <mergeCell ref="Y334:Y336"/>
    <mergeCell ref="Z334:Z336"/>
    <mergeCell ref="AB334:AB336"/>
    <mergeCell ref="BU334:BU336"/>
    <mergeCell ref="BT334:BT336"/>
    <mergeCell ref="AC334:AC336"/>
    <mergeCell ref="CD334:CD336"/>
    <mergeCell ref="S334:S336"/>
    <mergeCell ref="BW334:BW336"/>
    <mergeCell ref="BX334:BX336"/>
    <mergeCell ref="BY334:BY336"/>
    <mergeCell ref="H334:H336"/>
    <mergeCell ref="N334:N336"/>
    <mergeCell ref="CB334:CB336"/>
    <mergeCell ref="CE334:CE336"/>
    <mergeCell ref="CA334:CA336"/>
    <mergeCell ref="CC334:CC336"/>
    <mergeCell ref="AA334:AA336"/>
    <mergeCell ref="X334:X336"/>
    <mergeCell ref="V334:V336"/>
    <mergeCell ref="B334:B336"/>
    <mergeCell ref="B337:B339"/>
    <mergeCell ref="F325:F327"/>
    <mergeCell ref="F322:F324"/>
    <mergeCell ref="T331:T333"/>
    <mergeCell ref="A331:A333"/>
    <mergeCell ref="BZ331:BZ333"/>
    <mergeCell ref="BV331:BV333"/>
    <mergeCell ref="BS331:BS333"/>
    <mergeCell ref="DK331:DK333"/>
    <mergeCell ref="D331:D333"/>
    <mergeCell ref="U331:U333"/>
    <mergeCell ref="W331:W333"/>
    <mergeCell ref="Y331:Y333"/>
    <mergeCell ref="Z331:Z333"/>
    <mergeCell ref="AB331:AB333"/>
    <mergeCell ref="BU331:BU333"/>
    <mergeCell ref="BT331:BT333"/>
    <mergeCell ref="AC331:AC333"/>
    <mergeCell ref="CD331:CD333"/>
    <mergeCell ref="S331:S333"/>
    <mergeCell ref="BW331:BW333"/>
    <mergeCell ref="BX331:BX333"/>
    <mergeCell ref="BY331:BY333"/>
    <mergeCell ref="H331:H333"/>
    <mergeCell ref="N331:N333"/>
    <mergeCell ref="CB331:CB333"/>
    <mergeCell ref="CE331:CE333"/>
    <mergeCell ref="CA331:CA333"/>
    <mergeCell ref="CC331:CC333"/>
    <mergeCell ref="AA331:AA333"/>
    <mergeCell ref="X331:X333"/>
    <mergeCell ref="V331:V333"/>
    <mergeCell ref="T328:T330"/>
    <mergeCell ref="A328:A330"/>
    <mergeCell ref="BZ328:BZ330"/>
    <mergeCell ref="BV328:BV330"/>
    <mergeCell ref="BS328:BS330"/>
    <mergeCell ref="DK328:DK330"/>
    <mergeCell ref="D328:D330"/>
    <mergeCell ref="U328:U330"/>
    <mergeCell ref="W328:W330"/>
    <mergeCell ref="Y328:Y330"/>
    <mergeCell ref="Z328:Z330"/>
    <mergeCell ref="AB328:AB330"/>
    <mergeCell ref="BU328:BU330"/>
    <mergeCell ref="BT328:BT330"/>
    <mergeCell ref="AC328:AC330"/>
    <mergeCell ref="CD328:CD330"/>
    <mergeCell ref="S328:S330"/>
    <mergeCell ref="BW328:BW330"/>
    <mergeCell ref="BX328:BX330"/>
    <mergeCell ref="BY328:BY330"/>
    <mergeCell ref="H328:H330"/>
    <mergeCell ref="N328:N330"/>
    <mergeCell ref="CB328:CB330"/>
    <mergeCell ref="CE328:CE330"/>
    <mergeCell ref="CA328:CA330"/>
    <mergeCell ref="CC328:CC330"/>
    <mergeCell ref="AA328:AA330"/>
    <mergeCell ref="X328:X330"/>
    <mergeCell ref="V328:V330"/>
    <mergeCell ref="B328:B330"/>
    <mergeCell ref="B331:B333"/>
    <mergeCell ref="G331:G333"/>
    <mergeCell ref="G328:G330"/>
    <mergeCell ref="T325:T327"/>
    <mergeCell ref="A325:A327"/>
    <mergeCell ref="BZ325:BZ327"/>
    <mergeCell ref="BV325:BV327"/>
    <mergeCell ref="BS325:BS327"/>
    <mergeCell ref="DK325:DK327"/>
    <mergeCell ref="D325:D327"/>
    <mergeCell ref="U325:U327"/>
    <mergeCell ref="W325:W327"/>
    <mergeCell ref="Y325:Y327"/>
    <mergeCell ref="Z325:Z327"/>
    <mergeCell ref="AB325:AB327"/>
    <mergeCell ref="BU325:BU327"/>
    <mergeCell ref="BT325:BT327"/>
    <mergeCell ref="AC325:AC327"/>
    <mergeCell ref="CD325:CD327"/>
    <mergeCell ref="S325:S327"/>
    <mergeCell ref="BW325:BW327"/>
    <mergeCell ref="BX325:BX327"/>
    <mergeCell ref="BY325:BY327"/>
    <mergeCell ref="H325:H327"/>
    <mergeCell ref="N325:N327"/>
    <mergeCell ref="CB325:CB327"/>
    <mergeCell ref="CE325:CE327"/>
    <mergeCell ref="CA325:CA327"/>
    <mergeCell ref="CC325:CC327"/>
    <mergeCell ref="AA325:AA327"/>
    <mergeCell ref="X325:X327"/>
    <mergeCell ref="V325:V327"/>
    <mergeCell ref="T322:T324"/>
    <mergeCell ref="A322:A324"/>
    <mergeCell ref="BZ322:BZ324"/>
    <mergeCell ref="BV322:BV324"/>
    <mergeCell ref="BS322:BS324"/>
    <mergeCell ref="DK322:DK324"/>
    <mergeCell ref="D322:D324"/>
    <mergeCell ref="U322:U324"/>
    <mergeCell ref="W322:W324"/>
    <mergeCell ref="Y322:Y324"/>
    <mergeCell ref="Z322:Z324"/>
    <mergeCell ref="AB322:AB324"/>
    <mergeCell ref="BU322:BU324"/>
    <mergeCell ref="BT322:BT324"/>
    <mergeCell ref="AC322:AC324"/>
    <mergeCell ref="CD322:CD324"/>
    <mergeCell ref="S322:S324"/>
    <mergeCell ref="BW322:BW324"/>
    <mergeCell ref="BX322:BX324"/>
    <mergeCell ref="BY322:BY324"/>
    <mergeCell ref="H322:H324"/>
    <mergeCell ref="N322:N324"/>
    <mergeCell ref="CB322:CB324"/>
    <mergeCell ref="CE322:CE324"/>
    <mergeCell ref="CA322:CA324"/>
    <mergeCell ref="CC322:CC324"/>
    <mergeCell ref="AA322:AA324"/>
    <mergeCell ref="X322:X324"/>
    <mergeCell ref="V322:V324"/>
    <mergeCell ref="B322:B324"/>
    <mergeCell ref="B325:B327"/>
    <mergeCell ref="G325:G327"/>
    <mergeCell ref="G322:G324"/>
    <mergeCell ref="E325:E327"/>
    <mergeCell ref="E322:E324"/>
    <mergeCell ref="B316:B318"/>
    <mergeCell ref="B310:B312"/>
    <mergeCell ref="B304:B306"/>
    <mergeCell ref="B298:B300"/>
    <mergeCell ref="B319:B321"/>
    <mergeCell ref="B313:B315"/>
    <mergeCell ref="B307:B309"/>
    <mergeCell ref="B301:B303"/>
    <mergeCell ref="G301:G303"/>
    <mergeCell ref="G298:G300"/>
    <mergeCell ref="G313:G315"/>
    <mergeCell ref="G307:G309"/>
    <mergeCell ref="G310:G312"/>
    <mergeCell ref="G304:G306"/>
    <mergeCell ref="G319:G321"/>
    <mergeCell ref="G316:G318"/>
    <mergeCell ref="E319:E321"/>
    <mergeCell ref="E313:E315"/>
    <mergeCell ref="E307:E309"/>
    <mergeCell ref="E301:E303"/>
    <mergeCell ref="E316:E318"/>
    <mergeCell ref="E310:E312"/>
    <mergeCell ref="E304:E306"/>
    <mergeCell ref="E298:E300"/>
    <mergeCell ref="F247:F249"/>
    <mergeCell ref="F241:F243"/>
    <mergeCell ref="F235:F237"/>
    <mergeCell ref="F229:F231"/>
    <mergeCell ref="F223:F225"/>
    <mergeCell ref="F244:F246"/>
    <mergeCell ref="F238:F240"/>
    <mergeCell ref="F232:F234"/>
    <mergeCell ref="F226:F228"/>
    <mergeCell ref="F307:F309"/>
    <mergeCell ref="F301:F303"/>
    <mergeCell ref="F295:F297"/>
    <mergeCell ref="F289:F291"/>
    <mergeCell ref="F283:F285"/>
    <mergeCell ref="F277:F279"/>
    <mergeCell ref="F271:F273"/>
    <mergeCell ref="F265:F267"/>
    <mergeCell ref="F259:F261"/>
    <mergeCell ref="F253:F255"/>
    <mergeCell ref="F304:F306"/>
    <mergeCell ref="F298:F300"/>
    <mergeCell ref="F292:F294"/>
    <mergeCell ref="F286:F288"/>
    <mergeCell ref="F280:F282"/>
    <mergeCell ref="F274:F276"/>
    <mergeCell ref="F268:F270"/>
    <mergeCell ref="F262:F264"/>
    <mergeCell ref="F256:F258"/>
    <mergeCell ref="F250:F252"/>
    <mergeCell ref="F319:F321"/>
    <mergeCell ref="F313:F315"/>
    <mergeCell ref="F316:F318"/>
    <mergeCell ref="F310:F312"/>
    <mergeCell ref="G229:G231"/>
    <mergeCell ref="G226:G228"/>
    <mergeCell ref="G235:G237"/>
    <mergeCell ref="G232:G234"/>
    <mergeCell ref="S298:S300"/>
    <mergeCell ref="BW316:BW318"/>
    <mergeCell ref="BW310:BW312"/>
    <mergeCell ref="BW304:BW306"/>
    <mergeCell ref="BW298:BW300"/>
    <mergeCell ref="BX316:BX318"/>
    <mergeCell ref="BX310:BX312"/>
    <mergeCell ref="BX304:BX306"/>
    <mergeCell ref="BX298:BX300"/>
    <mergeCell ref="BY316:BY318"/>
    <mergeCell ref="BY310:BY312"/>
    <mergeCell ref="BY304:BY306"/>
    <mergeCell ref="BY298:BY300"/>
    <mergeCell ref="H316:H318"/>
    <mergeCell ref="H310:H312"/>
    <mergeCell ref="H304:H306"/>
    <mergeCell ref="H298:H300"/>
    <mergeCell ref="N316:N318"/>
    <mergeCell ref="N310:N312"/>
    <mergeCell ref="N304:N306"/>
    <mergeCell ref="N298:N300"/>
    <mergeCell ref="CB316:CB318"/>
    <mergeCell ref="CB310:CB312"/>
    <mergeCell ref="CB304:CB306"/>
    <mergeCell ref="CB298:CB300"/>
    <mergeCell ref="CE316:CE318"/>
    <mergeCell ref="CE310:CE312"/>
    <mergeCell ref="CE304:CE306"/>
    <mergeCell ref="CE298:CE300"/>
    <mergeCell ref="CA316:CA318"/>
    <mergeCell ref="CA310:CA312"/>
    <mergeCell ref="CA304:CA306"/>
    <mergeCell ref="CA298:CA300"/>
    <mergeCell ref="CC316:CC318"/>
    <mergeCell ref="CC310:CC312"/>
    <mergeCell ref="CC304:CC306"/>
    <mergeCell ref="CC298:CC300"/>
    <mergeCell ref="AA316:AA318"/>
    <mergeCell ref="AA310:AA312"/>
    <mergeCell ref="AA304:AA306"/>
    <mergeCell ref="AA298:AA300"/>
    <mergeCell ref="X316:X318"/>
    <mergeCell ref="X310:X312"/>
    <mergeCell ref="X304:X306"/>
    <mergeCell ref="X298:X300"/>
    <mergeCell ref="V316:V318"/>
    <mergeCell ref="V310:V312"/>
    <mergeCell ref="V304:V306"/>
    <mergeCell ref="V298:V300"/>
    <mergeCell ref="T298:T300"/>
    <mergeCell ref="A316:A318"/>
    <mergeCell ref="A310:A312"/>
    <mergeCell ref="A304:A306"/>
    <mergeCell ref="A298:A300"/>
    <mergeCell ref="BZ316:BZ318"/>
    <mergeCell ref="BZ310:BZ312"/>
    <mergeCell ref="BZ304:BZ306"/>
    <mergeCell ref="BZ298:BZ300"/>
    <mergeCell ref="BV316:BV318"/>
    <mergeCell ref="BV310:BV312"/>
    <mergeCell ref="BV304:BV306"/>
    <mergeCell ref="BV298:BV300"/>
    <mergeCell ref="BS316:BS318"/>
    <mergeCell ref="BS310:BS312"/>
    <mergeCell ref="BS304:BS306"/>
    <mergeCell ref="BS298:BS300"/>
    <mergeCell ref="DK316:DK318"/>
    <mergeCell ref="DK310:DK312"/>
    <mergeCell ref="DK304:DK306"/>
    <mergeCell ref="DK298:DK300"/>
    <mergeCell ref="D316:D318"/>
    <mergeCell ref="D310:D312"/>
    <mergeCell ref="D304:D306"/>
    <mergeCell ref="D298:D300"/>
    <mergeCell ref="U316:U318"/>
    <mergeCell ref="U310:U312"/>
    <mergeCell ref="U304:U306"/>
    <mergeCell ref="U298:U300"/>
    <mergeCell ref="W316:W318"/>
    <mergeCell ref="W310:W312"/>
    <mergeCell ref="W304:W306"/>
    <mergeCell ref="W298:W300"/>
    <mergeCell ref="Y316:Y318"/>
    <mergeCell ref="Y310:Y312"/>
    <mergeCell ref="Y304:Y306"/>
    <mergeCell ref="Y298:Y300"/>
    <mergeCell ref="Z316:Z318"/>
    <mergeCell ref="Z310:Z312"/>
    <mergeCell ref="Z304:Z306"/>
    <mergeCell ref="Z298:Z300"/>
    <mergeCell ref="AB316:AB318"/>
    <mergeCell ref="AB310:AB312"/>
    <mergeCell ref="AB304:AB306"/>
    <mergeCell ref="AB298:AB300"/>
    <mergeCell ref="BU316:BU318"/>
    <mergeCell ref="BU310:BU312"/>
    <mergeCell ref="BU304:BU306"/>
    <mergeCell ref="BU298:BU300"/>
    <mergeCell ref="BT316:BT318"/>
    <mergeCell ref="BT310:BT312"/>
    <mergeCell ref="BT304:BT306"/>
    <mergeCell ref="BT298:BT300"/>
    <mergeCell ref="AC316:AC318"/>
    <mergeCell ref="AC310:AC312"/>
    <mergeCell ref="AC304:AC306"/>
    <mergeCell ref="AC298:AC300"/>
    <mergeCell ref="CD316:CD318"/>
    <mergeCell ref="CD310:CD312"/>
    <mergeCell ref="CD304:CD306"/>
    <mergeCell ref="CD298:CD300"/>
    <mergeCell ref="S316:S318"/>
    <mergeCell ref="S310:S312"/>
    <mergeCell ref="S304:S306"/>
    <mergeCell ref="S319:S321"/>
    <mergeCell ref="S313:S315"/>
    <mergeCell ref="S307:S309"/>
    <mergeCell ref="S301:S303"/>
    <mergeCell ref="BW319:BW321"/>
    <mergeCell ref="BW313:BW315"/>
    <mergeCell ref="BW307:BW309"/>
    <mergeCell ref="BW301:BW303"/>
    <mergeCell ref="BX319:BX321"/>
    <mergeCell ref="BX313:BX315"/>
    <mergeCell ref="BX307:BX309"/>
    <mergeCell ref="BX301:BX303"/>
    <mergeCell ref="BY319:BY321"/>
    <mergeCell ref="BY313:BY315"/>
    <mergeCell ref="BY307:BY309"/>
    <mergeCell ref="BY301:BY303"/>
    <mergeCell ref="H319:H321"/>
    <mergeCell ref="H313:H315"/>
    <mergeCell ref="H307:H309"/>
    <mergeCell ref="H301:H303"/>
    <mergeCell ref="N319:N321"/>
    <mergeCell ref="N313:N315"/>
    <mergeCell ref="N307:N309"/>
    <mergeCell ref="N301:N303"/>
    <mergeCell ref="CB319:CB321"/>
    <mergeCell ref="CB313:CB315"/>
    <mergeCell ref="CB307:CB309"/>
    <mergeCell ref="CB301:CB303"/>
    <mergeCell ref="CE319:CE321"/>
    <mergeCell ref="CE313:CE315"/>
    <mergeCell ref="CE307:CE309"/>
    <mergeCell ref="CE301:CE303"/>
    <mergeCell ref="CA319:CA321"/>
    <mergeCell ref="CA313:CA315"/>
    <mergeCell ref="CA307:CA309"/>
    <mergeCell ref="CA301:CA303"/>
    <mergeCell ref="CC319:CC321"/>
    <mergeCell ref="CC313:CC315"/>
    <mergeCell ref="CC307:CC309"/>
    <mergeCell ref="CC301:CC303"/>
    <mergeCell ref="AA319:AA321"/>
    <mergeCell ref="AA313:AA315"/>
    <mergeCell ref="AA307:AA309"/>
    <mergeCell ref="AA301:AA303"/>
    <mergeCell ref="X319:X321"/>
    <mergeCell ref="X313:X315"/>
    <mergeCell ref="X307:X309"/>
    <mergeCell ref="X301:X303"/>
    <mergeCell ref="V319:V321"/>
    <mergeCell ref="V313:V315"/>
    <mergeCell ref="V307:V309"/>
    <mergeCell ref="V301:V303"/>
    <mergeCell ref="T316:T318"/>
    <mergeCell ref="T310:T312"/>
    <mergeCell ref="T304:T306"/>
    <mergeCell ref="T319:T321"/>
    <mergeCell ref="T313:T315"/>
    <mergeCell ref="T307:T309"/>
    <mergeCell ref="T301:T303"/>
    <mergeCell ref="A319:A321"/>
    <mergeCell ref="A313:A315"/>
    <mergeCell ref="A307:A309"/>
    <mergeCell ref="A301:A303"/>
    <mergeCell ref="BZ319:BZ321"/>
    <mergeCell ref="BZ313:BZ315"/>
    <mergeCell ref="BZ307:BZ309"/>
    <mergeCell ref="BZ301:BZ303"/>
    <mergeCell ref="BV319:BV321"/>
    <mergeCell ref="BV313:BV315"/>
    <mergeCell ref="BV307:BV309"/>
    <mergeCell ref="BV301:BV303"/>
    <mergeCell ref="BS319:BS321"/>
    <mergeCell ref="BS313:BS315"/>
    <mergeCell ref="BS307:BS309"/>
    <mergeCell ref="BS301:BS303"/>
    <mergeCell ref="DK319:DK321"/>
    <mergeCell ref="DK313:DK315"/>
    <mergeCell ref="DK307:DK309"/>
    <mergeCell ref="DK301:DK303"/>
    <mergeCell ref="D319:D321"/>
    <mergeCell ref="D313:D315"/>
    <mergeCell ref="D307:D309"/>
    <mergeCell ref="D301:D303"/>
    <mergeCell ref="U319:U321"/>
    <mergeCell ref="U313:U315"/>
    <mergeCell ref="U307:U309"/>
    <mergeCell ref="U301:U303"/>
    <mergeCell ref="W319:W321"/>
    <mergeCell ref="W313:W315"/>
    <mergeCell ref="W307:W309"/>
    <mergeCell ref="W301:W303"/>
    <mergeCell ref="Y319:Y321"/>
    <mergeCell ref="Y313:Y315"/>
    <mergeCell ref="Y307:Y309"/>
    <mergeCell ref="Y301:Y303"/>
    <mergeCell ref="Z319:Z321"/>
    <mergeCell ref="Z313:Z315"/>
    <mergeCell ref="Z307:Z309"/>
    <mergeCell ref="Z301:Z303"/>
    <mergeCell ref="AB319:AB321"/>
    <mergeCell ref="AB313:AB315"/>
    <mergeCell ref="AB307:AB309"/>
    <mergeCell ref="AB301:AB303"/>
    <mergeCell ref="BU319:BU321"/>
    <mergeCell ref="BU313:BU315"/>
    <mergeCell ref="BU307:BU309"/>
    <mergeCell ref="BU301:BU303"/>
    <mergeCell ref="BT319:BT321"/>
    <mergeCell ref="BT313:BT315"/>
    <mergeCell ref="BT307:BT309"/>
    <mergeCell ref="BT301:BT303"/>
    <mergeCell ref="AC319:AC321"/>
    <mergeCell ref="AC313:AC315"/>
    <mergeCell ref="AC307:AC309"/>
    <mergeCell ref="AC301:AC303"/>
    <mergeCell ref="CD319:CD321"/>
    <mergeCell ref="CD313:CD315"/>
    <mergeCell ref="CD307:CD309"/>
    <mergeCell ref="CD301:CD303"/>
    <mergeCell ref="CC286:CC288"/>
    <mergeCell ref="CC280:CC282"/>
    <mergeCell ref="CC274:CC276"/>
    <mergeCell ref="AA292:AA294"/>
    <mergeCell ref="AA286:AA288"/>
    <mergeCell ref="AA280:AA282"/>
    <mergeCell ref="AA274:AA276"/>
    <mergeCell ref="X292:X294"/>
    <mergeCell ref="X286:X288"/>
    <mergeCell ref="X280:X282"/>
    <mergeCell ref="X274:X276"/>
    <mergeCell ref="V292:V294"/>
    <mergeCell ref="V286:V288"/>
    <mergeCell ref="V280:V282"/>
    <mergeCell ref="V274:V276"/>
    <mergeCell ref="B292:B294"/>
    <mergeCell ref="B286:B288"/>
    <mergeCell ref="B280:B282"/>
    <mergeCell ref="B274:B276"/>
    <mergeCell ref="B295:B297"/>
    <mergeCell ref="B289:B291"/>
    <mergeCell ref="B283:B285"/>
    <mergeCell ref="B277:B279"/>
    <mergeCell ref="G277:G279"/>
    <mergeCell ref="G274:G276"/>
    <mergeCell ref="G289:G291"/>
    <mergeCell ref="G283:G285"/>
    <mergeCell ref="G286:G288"/>
    <mergeCell ref="G280:G282"/>
    <mergeCell ref="G295:G297"/>
    <mergeCell ref="G292:G294"/>
    <mergeCell ref="E295:E297"/>
    <mergeCell ref="E289:E291"/>
    <mergeCell ref="E283:E285"/>
    <mergeCell ref="E277:E279"/>
    <mergeCell ref="E292:E294"/>
    <mergeCell ref="E286:E288"/>
    <mergeCell ref="E280:E282"/>
    <mergeCell ref="E274:E276"/>
    <mergeCell ref="H283:H285"/>
    <mergeCell ref="H286:H288"/>
    <mergeCell ref="DK292:DK294"/>
    <mergeCell ref="DK286:DK288"/>
    <mergeCell ref="DK280:DK282"/>
    <mergeCell ref="DK274:DK276"/>
    <mergeCell ref="D292:D294"/>
    <mergeCell ref="D286:D288"/>
    <mergeCell ref="D280:D282"/>
    <mergeCell ref="D274:D276"/>
    <mergeCell ref="U292:U294"/>
    <mergeCell ref="U286:U288"/>
    <mergeCell ref="U280:U282"/>
    <mergeCell ref="U274:U276"/>
    <mergeCell ref="W292:W294"/>
    <mergeCell ref="W286:W288"/>
    <mergeCell ref="W280:W282"/>
    <mergeCell ref="W274:W276"/>
    <mergeCell ref="Y292:Y294"/>
    <mergeCell ref="Y286:Y288"/>
    <mergeCell ref="Y280:Y282"/>
    <mergeCell ref="Y274:Y276"/>
    <mergeCell ref="Z292:Z294"/>
    <mergeCell ref="Z286:Z288"/>
    <mergeCell ref="Z280:Z282"/>
    <mergeCell ref="Z274:Z276"/>
    <mergeCell ref="AB292:AB294"/>
    <mergeCell ref="AB286:AB288"/>
    <mergeCell ref="AB280:AB282"/>
    <mergeCell ref="AB274:AB276"/>
    <mergeCell ref="BU292:BU294"/>
    <mergeCell ref="BU286:BU288"/>
    <mergeCell ref="BU280:BU282"/>
    <mergeCell ref="BU274:BU276"/>
    <mergeCell ref="BT292:BT294"/>
    <mergeCell ref="BT286:BT288"/>
    <mergeCell ref="BT280:BT282"/>
    <mergeCell ref="BT274:BT276"/>
    <mergeCell ref="AC292:AC294"/>
    <mergeCell ref="AC286:AC288"/>
    <mergeCell ref="AC280:AC282"/>
    <mergeCell ref="AC274:AC276"/>
    <mergeCell ref="CD292:CD294"/>
    <mergeCell ref="CD286:CD288"/>
    <mergeCell ref="CD280:CD282"/>
    <mergeCell ref="CD274:CD276"/>
    <mergeCell ref="S292:S294"/>
    <mergeCell ref="S286:S288"/>
    <mergeCell ref="S280:S282"/>
    <mergeCell ref="S274:S276"/>
    <mergeCell ref="BW292:BW294"/>
    <mergeCell ref="BW286:BW288"/>
    <mergeCell ref="BW280:BW282"/>
    <mergeCell ref="BW274:BW276"/>
    <mergeCell ref="BX292:BX294"/>
    <mergeCell ref="BX286:BX288"/>
    <mergeCell ref="BX280:BX282"/>
    <mergeCell ref="BX274:BX276"/>
    <mergeCell ref="BY292:BY294"/>
    <mergeCell ref="BY286:BY288"/>
    <mergeCell ref="BY280:BY282"/>
    <mergeCell ref="BY274:BY276"/>
    <mergeCell ref="H292:H294"/>
    <mergeCell ref="H280:H282"/>
    <mergeCell ref="H274:H276"/>
    <mergeCell ref="N292:N294"/>
    <mergeCell ref="CB295:CB297"/>
    <mergeCell ref="CB289:CB291"/>
    <mergeCell ref="CB283:CB285"/>
    <mergeCell ref="CB277:CB279"/>
    <mergeCell ref="CE295:CE297"/>
    <mergeCell ref="CE289:CE291"/>
    <mergeCell ref="CE283:CE285"/>
    <mergeCell ref="CE277:CE279"/>
    <mergeCell ref="CA295:CA297"/>
    <mergeCell ref="CA289:CA291"/>
    <mergeCell ref="CA283:CA285"/>
    <mergeCell ref="CA277:CA279"/>
    <mergeCell ref="CC295:CC297"/>
    <mergeCell ref="CC289:CC291"/>
    <mergeCell ref="CC283:CC285"/>
    <mergeCell ref="CC277:CC279"/>
    <mergeCell ref="AA295:AA297"/>
    <mergeCell ref="AA289:AA291"/>
    <mergeCell ref="AA283:AA285"/>
    <mergeCell ref="AA277:AA279"/>
    <mergeCell ref="X295:X297"/>
    <mergeCell ref="X289:X291"/>
    <mergeCell ref="X283:X285"/>
    <mergeCell ref="X277:X279"/>
    <mergeCell ref="V295:V297"/>
    <mergeCell ref="V289:V291"/>
    <mergeCell ref="V283:V285"/>
    <mergeCell ref="V277:V279"/>
    <mergeCell ref="T292:T294"/>
    <mergeCell ref="T286:T288"/>
    <mergeCell ref="T280:T282"/>
    <mergeCell ref="T274:T276"/>
    <mergeCell ref="A292:A294"/>
    <mergeCell ref="A286:A288"/>
    <mergeCell ref="A280:A282"/>
    <mergeCell ref="A274:A276"/>
    <mergeCell ref="BZ292:BZ294"/>
    <mergeCell ref="BZ286:BZ288"/>
    <mergeCell ref="BZ280:BZ282"/>
    <mergeCell ref="BZ274:BZ276"/>
    <mergeCell ref="BV292:BV294"/>
    <mergeCell ref="BV286:BV288"/>
    <mergeCell ref="BV280:BV282"/>
    <mergeCell ref="BV274:BV276"/>
    <mergeCell ref="BS292:BS294"/>
    <mergeCell ref="BS286:BS288"/>
    <mergeCell ref="BS280:BS282"/>
    <mergeCell ref="BS274:BS276"/>
    <mergeCell ref="N286:N288"/>
    <mergeCell ref="N280:N282"/>
    <mergeCell ref="N274:N276"/>
    <mergeCell ref="CB292:CB294"/>
    <mergeCell ref="CB286:CB288"/>
    <mergeCell ref="CB280:CB282"/>
    <mergeCell ref="CB274:CB276"/>
    <mergeCell ref="CE292:CE294"/>
    <mergeCell ref="CE286:CE288"/>
    <mergeCell ref="CE280:CE282"/>
    <mergeCell ref="CE274:CE276"/>
    <mergeCell ref="CA292:CA294"/>
    <mergeCell ref="CA286:CA288"/>
    <mergeCell ref="CA280:CA282"/>
    <mergeCell ref="CA274:CA276"/>
    <mergeCell ref="CC292:CC294"/>
    <mergeCell ref="DK295:DK297"/>
    <mergeCell ref="DK289:DK291"/>
    <mergeCell ref="DK283:DK285"/>
    <mergeCell ref="DK277:DK279"/>
    <mergeCell ref="D295:D297"/>
    <mergeCell ref="D289:D291"/>
    <mergeCell ref="D283:D285"/>
    <mergeCell ref="D277:D279"/>
    <mergeCell ref="U295:U297"/>
    <mergeCell ref="U289:U291"/>
    <mergeCell ref="U283:U285"/>
    <mergeCell ref="U277:U279"/>
    <mergeCell ref="W295:W297"/>
    <mergeCell ref="W289:W291"/>
    <mergeCell ref="W283:W285"/>
    <mergeCell ref="W277:W279"/>
    <mergeCell ref="Y295:Y297"/>
    <mergeCell ref="Y289:Y291"/>
    <mergeCell ref="Y283:Y285"/>
    <mergeCell ref="Y277:Y279"/>
    <mergeCell ref="Z295:Z297"/>
    <mergeCell ref="Z289:Z291"/>
    <mergeCell ref="Z283:Z285"/>
    <mergeCell ref="Z277:Z279"/>
    <mergeCell ref="AB295:AB297"/>
    <mergeCell ref="AB289:AB291"/>
    <mergeCell ref="AB283:AB285"/>
    <mergeCell ref="AB277:AB279"/>
    <mergeCell ref="BU295:BU297"/>
    <mergeCell ref="BU289:BU291"/>
    <mergeCell ref="BU283:BU285"/>
    <mergeCell ref="BU277:BU279"/>
    <mergeCell ref="BT295:BT297"/>
    <mergeCell ref="BT289:BT291"/>
    <mergeCell ref="BT283:BT285"/>
    <mergeCell ref="BT277:BT279"/>
    <mergeCell ref="AC295:AC297"/>
    <mergeCell ref="AC289:AC291"/>
    <mergeCell ref="AC283:AC285"/>
    <mergeCell ref="AC277:AC279"/>
    <mergeCell ref="CD295:CD297"/>
    <mergeCell ref="CD289:CD291"/>
    <mergeCell ref="CD283:CD285"/>
    <mergeCell ref="CD277:CD279"/>
    <mergeCell ref="S295:S297"/>
    <mergeCell ref="S289:S291"/>
    <mergeCell ref="S283:S285"/>
    <mergeCell ref="S277:S279"/>
    <mergeCell ref="BW295:BW297"/>
    <mergeCell ref="BW289:BW291"/>
    <mergeCell ref="BW283:BW285"/>
    <mergeCell ref="BW277:BW279"/>
    <mergeCell ref="BX295:BX297"/>
    <mergeCell ref="BX289:BX291"/>
    <mergeCell ref="BX283:BX285"/>
    <mergeCell ref="BX277:BX279"/>
    <mergeCell ref="BY295:BY297"/>
    <mergeCell ref="BY289:BY291"/>
    <mergeCell ref="BY283:BY285"/>
    <mergeCell ref="BY277:BY279"/>
    <mergeCell ref="H295:H297"/>
    <mergeCell ref="H289:H291"/>
    <mergeCell ref="H277:H279"/>
    <mergeCell ref="N295:N297"/>
    <mergeCell ref="B268:B270"/>
    <mergeCell ref="B262:B264"/>
    <mergeCell ref="B256:B258"/>
    <mergeCell ref="B250:B252"/>
    <mergeCell ref="B271:B273"/>
    <mergeCell ref="B265:B267"/>
    <mergeCell ref="B259:B261"/>
    <mergeCell ref="B253:B255"/>
    <mergeCell ref="G253:G255"/>
    <mergeCell ref="G250:G252"/>
    <mergeCell ref="G265:G267"/>
    <mergeCell ref="G259:G261"/>
    <mergeCell ref="G262:G264"/>
    <mergeCell ref="G256:G258"/>
    <mergeCell ref="G271:G273"/>
    <mergeCell ref="G268:G270"/>
    <mergeCell ref="E271:E273"/>
    <mergeCell ref="E265:E267"/>
    <mergeCell ref="E259:E261"/>
    <mergeCell ref="E253:E255"/>
    <mergeCell ref="E268:E270"/>
    <mergeCell ref="E262:E264"/>
    <mergeCell ref="E256:E258"/>
    <mergeCell ref="E250:E252"/>
    <mergeCell ref="T295:T297"/>
    <mergeCell ref="T289:T291"/>
    <mergeCell ref="T283:T285"/>
    <mergeCell ref="T277:T279"/>
    <mergeCell ref="A295:A297"/>
    <mergeCell ref="A289:A291"/>
    <mergeCell ref="A283:A285"/>
    <mergeCell ref="A277:A279"/>
    <mergeCell ref="BZ295:BZ297"/>
    <mergeCell ref="BZ289:BZ291"/>
    <mergeCell ref="BZ283:BZ285"/>
    <mergeCell ref="BZ277:BZ279"/>
    <mergeCell ref="BV295:BV297"/>
    <mergeCell ref="BV289:BV291"/>
    <mergeCell ref="BV283:BV285"/>
    <mergeCell ref="BV277:BV279"/>
    <mergeCell ref="BS295:BS297"/>
    <mergeCell ref="BS289:BS291"/>
    <mergeCell ref="BS283:BS285"/>
    <mergeCell ref="BS277:BS279"/>
    <mergeCell ref="N289:N291"/>
    <mergeCell ref="N283:N285"/>
    <mergeCell ref="N277:N279"/>
    <mergeCell ref="BW250:BW252"/>
    <mergeCell ref="BX268:BX270"/>
    <mergeCell ref="BX262:BX264"/>
    <mergeCell ref="BX256:BX258"/>
    <mergeCell ref="BX250:BX252"/>
    <mergeCell ref="BY268:BY270"/>
    <mergeCell ref="BY262:BY264"/>
    <mergeCell ref="BY256:BY258"/>
    <mergeCell ref="BY250:BY252"/>
    <mergeCell ref="H268:H270"/>
    <mergeCell ref="H262:H264"/>
    <mergeCell ref="H256:H258"/>
    <mergeCell ref="H250:H252"/>
    <mergeCell ref="N268:N270"/>
    <mergeCell ref="N262:N264"/>
    <mergeCell ref="N256:N258"/>
    <mergeCell ref="N250:N252"/>
    <mergeCell ref="CB268:CB270"/>
    <mergeCell ref="CB262:CB264"/>
    <mergeCell ref="CB256:CB258"/>
    <mergeCell ref="CB250:CB252"/>
    <mergeCell ref="CE268:CE270"/>
    <mergeCell ref="CE262:CE264"/>
    <mergeCell ref="CE256:CE258"/>
    <mergeCell ref="CE250:CE252"/>
    <mergeCell ref="CA268:CA270"/>
    <mergeCell ref="CA262:CA264"/>
    <mergeCell ref="CA256:CA258"/>
    <mergeCell ref="CA250:CA252"/>
    <mergeCell ref="CC268:CC270"/>
    <mergeCell ref="CC262:CC264"/>
    <mergeCell ref="CC256:CC258"/>
    <mergeCell ref="CC250:CC252"/>
    <mergeCell ref="AA268:AA270"/>
    <mergeCell ref="AA262:AA264"/>
    <mergeCell ref="AA256:AA258"/>
    <mergeCell ref="AA250:AA252"/>
    <mergeCell ref="X268:X270"/>
    <mergeCell ref="X262:X264"/>
    <mergeCell ref="X256:X258"/>
    <mergeCell ref="X250:X252"/>
    <mergeCell ref="V268:V270"/>
    <mergeCell ref="V262:V264"/>
    <mergeCell ref="V256:V258"/>
    <mergeCell ref="V250:V252"/>
    <mergeCell ref="A268:A270"/>
    <mergeCell ref="A262:A264"/>
    <mergeCell ref="A256:A258"/>
    <mergeCell ref="A250:A252"/>
    <mergeCell ref="BZ268:BZ270"/>
    <mergeCell ref="BZ262:BZ264"/>
    <mergeCell ref="BZ256:BZ258"/>
    <mergeCell ref="BZ250:BZ252"/>
    <mergeCell ref="BV268:BV270"/>
    <mergeCell ref="BV262:BV264"/>
    <mergeCell ref="BV256:BV258"/>
    <mergeCell ref="BV250:BV252"/>
    <mergeCell ref="BS268:BS270"/>
    <mergeCell ref="BS262:BS264"/>
    <mergeCell ref="BS256:BS258"/>
    <mergeCell ref="BS250:BS252"/>
    <mergeCell ref="DK268:DK270"/>
    <mergeCell ref="DK262:DK264"/>
    <mergeCell ref="DK256:DK258"/>
    <mergeCell ref="DK250:DK252"/>
    <mergeCell ref="D268:D270"/>
    <mergeCell ref="D262:D264"/>
    <mergeCell ref="D256:D258"/>
    <mergeCell ref="D250:D252"/>
    <mergeCell ref="U268:U270"/>
    <mergeCell ref="U262:U264"/>
    <mergeCell ref="U256:U258"/>
    <mergeCell ref="U250:U252"/>
    <mergeCell ref="W268:W270"/>
    <mergeCell ref="W262:W264"/>
    <mergeCell ref="W256:W258"/>
    <mergeCell ref="W250:W252"/>
    <mergeCell ref="Y268:Y270"/>
    <mergeCell ref="Y262:Y264"/>
    <mergeCell ref="Y256:Y258"/>
    <mergeCell ref="Y250:Y252"/>
    <mergeCell ref="Z268:Z270"/>
    <mergeCell ref="Z262:Z264"/>
    <mergeCell ref="Z256:Z258"/>
    <mergeCell ref="Z250:Z252"/>
    <mergeCell ref="AB268:AB270"/>
    <mergeCell ref="AB262:AB264"/>
    <mergeCell ref="AB256:AB258"/>
    <mergeCell ref="AB250:AB252"/>
    <mergeCell ref="BU268:BU270"/>
    <mergeCell ref="BU262:BU264"/>
    <mergeCell ref="BU256:BU258"/>
    <mergeCell ref="BU250:BU252"/>
    <mergeCell ref="BT268:BT270"/>
    <mergeCell ref="BT262:BT264"/>
    <mergeCell ref="BT256:BT258"/>
    <mergeCell ref="BT250:BT252"/>
    <mergeCell ref="AC268:AC270"/>
    <mergeCell ref="AC262:AC264"/>
    <mergeCell ref="AC256:AC258"/>
    <mergeCell ref="AC250:AC252"/>
    <mergeCell ref="CD268:CD270"/>
    <mergeCell ref="CD262:CD264"/>
    <mergeCell ref="CD256:CD258"/>
    <mergeCell ref="CD250:CD252"/>
    <mergeCell ref="S268:S270"/>
    <mergeCell ref="S262:S264"/>
    <mergeCell ref="S256:S258"/>
    <mergeCell ref="S250:S252"/>
    <mergeCell ref="BW271:BW273"/>
    <mergeCell ref="BW265:BW267"/>
    <mergeCell ref="BW259:BW261"/>
    <mergeCell ref="BW253:BW255"/>
    <mergeCell ref="BX271:BX273"/>
    <mergeCell ref="BX265:BX267"/>
    <mergeCell ref="BX259:BX261"/>
    <mergeCell ref="BX253:BX255"/>
    <mergeCell ref="BY271:BY273"/>
    <mergeCell ref="BY265:BY267"/>
    <mergeCell ref="BY259:BY261"/>
    <mergeCell ref="BY253:BY255"/>
    <mergeCell ref="H271:H273"/>
    <mergeCell ref="H265:H267"/>
    <mergeCell ref="H259:H261"/>
    <mergeCell ref="H253:H255"/>
    <mergeCell ref="N271:N273"/>
    <mergeCell ref="N265:N267"/>
    <mergeCell ref="N259:N261"/>
    <mergeCell ref="N253:N255"/>
    <mergeCell ref="CB271:CB273"/>
    <mergeCell ref="CB265:CB267"/>
    <mergeCell ref="CB259:CB261"/>
    <mergeCell ref="CB253:CB255"/>
    <mergeCell ref="CE271:CE273"/>
    <mergeCell ref="CE265:CE267"/>
    <mergeCell ref="CE259:CE261"/>
    <mergeCell ref="CE253:CE255"/>
    <mergeCell ref="CA271:CA273"/>
    <mergeCell ref="CA265:CA267"/>
    <mergeCell ref="CA259:CA261"/>
    <mergeCell ref="CA253:CA255"/>
    <mergeCell ref="CC271:CC273"/>
    <mergeCell ref="CC265:CC267"/>
    <mergeCell ref="CC259:CC261"/>
    <mergeCell ref="CC253:CC255"/>
    <mergeCell ref="AA271:AA273"/>
    <mergeCell ref="AA265:AA267"/>
    <mergeCell ref="AA259:AA261"/>
    <mergeCell ref="AA253:AA255"/>
    <mergeCell ref="X271:X273"/>
    <mergeCell ref="X265:X267"/>
    <mergeCell ref="X259:X261"/>
    <mergeCell ref="X253:X255"/>
    <mergeCell ref="V271:V273"/>
    <mergeCell ref="V265:V267"/>
    <mergeCell ref="V259:V261"/>
    <mergeCell ref="V253:V255"/>
    <mergeCell ref="T268:T270"/>
    <mergeCell ref="T262:T264"/>
    <mergeCell ref="T256:T258"/>
    <mergeCell ref="BW268:BW270"/>
    <mergeCell ref="BW262:BW264"/>
    <mergeCell ref="BW256:BW258"/>
    <mergeCell ref="A271:A273"/>
    <mergeCell ref="A265:A267"/>
    <mergeCell ref="A259:A261"/>
    <mergeCell ref="A253:A255"/>
    <mergeCell ref="BZ271:BZ273"/>
    <mergeCell ref="BZ265:BZ267"/>
    <mergeCell ref="BZ259:BZ261"/>
    <mergeCell ref="BZ253:BZ255"/>
    <mergeCell ref="BV271:BV273"/>
    <mergeCell ref="BV265:BV267"/>
    <mergeCell ref="BV259:BV261"/>
    <mergeCell ref="BV253:BV255"/>
    <mergeCell ref="BS271:BS273"/>
    <mergeCell ref="BS265:BS267"/>
    <mergeCell ref="BS259:BS261"/>
    <mergeCell ref="BS253:BS255"/>
    <mergeCell ref="DK271:DK273"/>
    <mergeCell ref="DK265:DK267"/>
    <mergeCell ref="DK259:DK261"/>
    <mergeCell ref="DK253:DK255"/>
    <mergeCell ref="D271:D273"/>
    <mergeCell ref="D265:D267"/>
    <mergeCell ref="D259:D261"/>
    <mergeCell ref="D253:D255"/>
    <mergeCell ref="U271:U273"/>
    <mergeCell ref="U265:U267"/>
    <mergeCell ref="U259:U261"/>
    <mergeCell ref="U253:U255"/>
    <mergeCell ref="W271:W273"/>
    <mergeCell ref="W265:W267"/>
    <mergeCell ref="W259:W261"/>
    <mergeCell ref="W253:W255"/>
    <mergeCell ref="Y271:Y273"/>
    <mergeCell ref="Y265:Y267"/>
    <mergeCell ref="Y259:Y261"/>
    <mergeCell ref="Y253:Y255"/>
    <mergeCell ref="Z271:Z273"/>
    <mergeCell ref="Z265:Z267"/>
    <mergeCell ref="Z259:Z261"/>
    <mergeCell ref="Z253:Z255"/>
    <mergeCell ref="AB271:AB273"/>
    <mergeCell ref="AB265:AB267"/>
    <mergeCell ref="AB259:AB261"/>
    <mergeCell ref="AB253:AB255"/>
    <mergeCell ref="BU271:BU273"/>
    <mergeCell ref="BU265:BU267"/>
    <mergeCell ref="BU259:BU261"/>
    <mergeCell ref="BU253:BU255"/>
    <mergeCell ref="BT271:BT273"/>
    <mergeCell ref="BT265:BT267"/>
    <mergeCell ref="BT259:BT261"/>
    <mergeCell ref="BT253:BT255"/>
    <mergeCell ref="AC271:AC273"/>
    <mergeCell ref="AC265:AC267"/>
    <mergeCell ref="AC259:AC261"/>
    <mergeCell ref="AC253:AC255"/>
    <mergeCell ref="CD271:CD273"/>
    <mergeCell ref="CD265:CD267"/>
    <mergeCell ref="CD259:CD261"/>
    <mergeCell ref="CD253:CD255"/>
    <mergeCell ref="S271:S273"/>
    <mergeCell ref="S265:S267"/>
    <mergeCell ref="S259:S261"/>
    <mergeCell ref="S253:S255"/>
    <mergeCell ref="E175:E177"/>
    <mergeCell ref="E169:E171"/>
    <mergeCell ref="E163:E165"/>
    <mergeCell ref="E184:E186"/>
    <mergeCell ref="E178:E180"/>
    <mergeCell ref="E172:E174"/>
    <mergeCell ref="E166:E168"/>
    <mergeCell ref="E160:E162"/>
    <mergeCell ref="E217:E219"/>
    <mergeCell ref="E211:E213"/>
    <mergeCell ref="E205:E207"/>
    <mergeCell ref="E199:E201"/>
    <mergeCell ref="E193:E195"/>
    <mergeCell ref="E214:E216"/>
    <mergeCell ref="E208:E210"/>
    <mergeCell ref="E202:E204"/>
    <mergeCell ref="E196:E198"/>
    <mergeCell ref="E190:E192"/>
    <mergeCell ref="E247:E249"/>
    <mergeCell ref="E241:E243"/>
    <mergeCell ref="E235:E237"/>
    <mergeCell ref="E229:E231"/>
    <mergeCell ref="E223:E225"/>
    <mergeCell ref="E244:E246"/>
    <mergeCell ref="E238:E240"/>
    <mergeCell ref="E232:E234"/>
    <mergeCell ref="E226:E228"/>
    <mergeCell ref="E220:E222"/>
    <mergeCell ref="H61:H63"/>
    <mergeCell ref="T271:T273"/>
    <mergeCell ref="T265:T267"/>
    <mergeCell ref="T259:T261"/>
    <mergeCell ref="T253:T255"/>
    <mergeCell ref="T250:T252"/>
    <mergeCell ref="F220:F222"/>
    <mergeCell ref="H232:H234"/>
    <mergeCell ref="H235:H237"/>
    <mergeCell ref="H223:H225"/>
    <mergeCell ref="H220:H222"/>
    <mergeCell ref="H226:H228"/>
    <mergeCell ref="H229:H231"/>
    <mergeCell ref="G175:G177"/>
    <mergeCell ref="G172:G174"/>
    <mergeCell ref="G187:G189"/>
    <mergeCell ref="G181:G183"/>
    <mergeCell ref="G184:G186"/>
    <mergeCell ref="G178:G180"/>
    <mergeCell ref="G193:G195"/>
    <mergeCell ref="G190:G192"/>
    <mergeCell ref="G205:G207"/>
    <mergeCell ref="G199:G201"/>
    <mergeCell ref="G202:G204"/>
    <mergeCell ref="G196:G198"/>
    <mergeCell ref="G211:G213"/>
    <mergeCell ref="G208:G210"/>
    <mergeCell ref="G223:G225"/>
    <mergeCell ref="G217:G219"/>
    <mergeCell ref="G220:G222"/>
    <mergeCell ref="G214:G216"/>
    <mergeCell ref="G241:G243"/>
    <mergeCell ref="G238:G240"/>
    <mergeCell ref="G247:G249"/>
    <mergeCell ref="G244:G246"/>
    <mergeCell ref="E67:E69"/>
    <mergeCell ref="E61:E63"/>
    <mergeCell ref="E55:E57"/>
    <mergeCell ref="E49:E51"/>
    <mergeCell ref="E43:E45"/>
    <mergeCell ref="E64:E66"/>
    <mergeCell ref="E58:E60"/>
    <mergeCell ref="E52:E54"/>
    <mergeCell ref="E46:E48"/>
    <mergeCell ref="E40:E42"/>
    <mergeCell ref="E97:E99"/>
    <mergeCell ref="E91:E93"/>
    <mergeCell ref="E85:E87"/>
    <mergeCell ref="E79:E81"/>
    <mergeCell ref="E73:E75"/>
    <mergeCell ref="E94:E96"/>
    <mergeCell ref="E88:E90"/>
    <mergeCell ref="E82:E84"/>
    <mergeCell ref="E76:E78"/>
    <mergeCell ref="E70:E72"/>
    <mergeCell ref="E127:E129"/>
    <mergeCell ref="E121:E123"/>
    <mergeCell ref="E115:E117"/>
    <mergeCell ref="E109:E111"/>
    <mergeCell ref="E103:E105"/>
    <mergeCell ref="E124:E126"/>
    <mergeCell ref="E118:E120"/>
    <mergeCell ref="E112:E114"/>
    <mergeCell ref="E106:E108"/>
    <mergeCell ref="E100:E102"/>
    <mergeCell ref="E157:E159"/>
    <mergeCell ref="E151:E153"/>
    <mergeCell ref="E145:E147"/>
    <mergeCell ref="E139:E141"/>
    <mergeCell ref="E133:E135"/>
    <mergeCell ref="E154:E156"/>
    <mergeCell ref="E148:E150"/>
    <mergeCell ref="E142:E144"/>
    <mergeCell ref="E136:E138"/>
    <mergeCell ref="E130:E132"/>
    <mergeCell ref="E187:E189"/>
    <mergeCell ref="E181:E183"/>
    <mergeCell ref="G73:G75"/>
    <mergeCell ref="G76:G78"/>
    <mergeCell ref="G70:G72"/>
    <mergeCell ref="G85:G87"/>
    <mergeCell ref="G82:G84"/>
    <mergeCell ref="G97:G99"/>
    <mergeCell ref="G91:G93"/>
    <mergeCell ref="G94:G96"/>
    <mergeCell ref="G88:G90"/>
    <mergeCell ref="G103:G105"/>
    <mergeCell ref="G100:G102"/>
    <mergeCell ref="G115:G117"/>
    <mergeCell ref="G109:G111"/>
    <mergeCell ref="G112:G114"/>
    <mergeCell ref="G106:G108"/>
    <mergeCell ref="G121:G123"/>
    <mergeCell ref="G118:G120"/>
    <mergeCell ref="G133:G135"/>
    <mergeCell ref="G127:G129"/>
    <mergeCell ref="G130:G132"/>
    <mergeCell ref="G124:G126"/>
    <mergeCell ref="G139:G141"/>
    <mergeCell ref="G136:G138"/>
    <mergeCell ref="G151:G153"/>
    <mergeCell ref="G145:G147"/>
    <mergeCell ref="G148:G150"/>
    <mergeCell ref="G142:G144"/>
    <mergeCell ref="G157:G159"/>
    <mergeCell ref="G154:G156"/>
    <mergeCell ref="G169:G171"/>
    <mergeCell ref="G163:G165"/>
    <mergeCell ref="G166:G168"/>
    <mergeCell ref="G160:G162"/>
    <mergeCell ref="B247:B249"/>
    <mergeCell ref="B211:B213"/>
    <mergeCell ref="B175:B177"/>
    <mergeCell ref="B139:B141"/>
    <mergeCell ref="B103:B105"/>
    <mergeCell ref="B241:B243"/>
    <mergeCell ref="B205:B207"/>
    <mergeCell ref="B169:B171"/>
    <mergeCell ref="B133:B135"/>
    <mergeCell ref="B97:B99"/>
    <mergeCell ref="B235:B237"/>
    <mergeCell ref="B199:B201"/>
    <mergeCell ref="B163:B165"/>
    <mergeCell ref="B127:B129"/>
    <mergeCell ref="B91:B93"/>
    <mergeCell ref="B229:B231"/>
    <mergeCell ref="B193:B195"/>
    <mergeCell ref="B157:B159"/>
    <mergeCell ref="B121:B123"/>
    <mergeCell ref="B85:B87"/>
    <mergeCell ref="B223:B225"/>
    <mergeCell ref="B187:B189"/>
    <mergeCell ref="B151:B153"/>
    <mergeCell ref="B115:B117"/>
    <mergeCell ref="B79:B81"/>
    <mergeCell ref="B217:B219"/>
    <mergeCell ref="B181:B183"/>
    <mergeCell ref="B145:B147"/>
    <mergeCell ref="B109:B111"/>
    <mergeCell ref="B73:B75"/>
    <mergeCell ref="F211:F213"/>
    <mergeCell ref="F175:F177"/>
    <mergeCell ref="F139:F141"/>
    <mergeCell ref="F103:F105"/>
    <mergeCell ref="F205:F207"/>
    <mergeCell ref="F169:F171"/>
    <mergeCell ref="F133:F135"/>
    <mergeCell ref="F97:F99"/>
    <mergeCell ref="F199:F201"/>
    <mergeCell ref="F163:F165"/>
    <mergeCell ref="F127:F129"/>
    <mergeCell ref="F91:F93"/>
    <mergeCell ref="F193:F195"/>
    <mergeCell ref="F157:F159"/>
    <mergeCell ref="F121:F123"/>
    <mergeCell ref="F85:F87"/>
    <mergeCell ref="F187:F189"/>
    <mergeCell ref="F151:F153"/>
    <mergeCell ref="F115:F117"/>
    <mergeCell ref="F79:F81"/>
    <mergeCell ref="F217:F219"/>
    <mergeCell ref="F181:F183"/>
    <mergeCell ref="F145:F147"/>
    <mergeCell ref="F109:F111"/>
    <mergeCell ref="F73:F75"/>
    <mergeCell ref="F208:F210"/>
    <mergeCell ref="F172:F174"/>
    <mergeCell ref="F136:F138"/>
    <mergeCell ref="F100:F102"/>
    <mergeCell ref="F202:F204"/>
    <mergeCell ref="F166:F168"/>
    <mergeCell ref="F130:F132"/>
    <mergeCell ref="F94:F96"/>
    <mergeCell ref="F196:F198"/>
    <mergeCell ref="V124:V126"/>
    <mergeCell ref="V88:V90"/>
    <mergeCell ref="V226:V228"/>
    <mergeCell ref="V190:V192"/>
    <mergeCell ref="V154:V156"/>
    <mergeCell ref="V118:V120"/>
    <mergeCell ref="V82:V84"/>
    <mergeCell ref="V220:V222"/>
    <mergeCell ref="V184:V186"/>
    <mergeCell ref="V148:V150"/>
    <mergeCell ref="V112:V114"/>
    <mergeCell ref="V76:V78"/>
    <mergeCell ref="V214:V216"/>
    <mergeCell ref="V178:V180"/>
    <mergeCell ref="V142:V144"/>
    <mergeCell ref="V106:V108"/>
    <mergeCell ref="V70:V72"/>
    <mergeCell ref="B244:B246"/>
    <mergeCell ref="B208:B210"/>
    <mergeCell ref="B172:B174"/>
    <mergeCell ref="B136:B138"/>
    <mergeCell ref="B100:B102"/>
    <mergeCell ref="B238:B240"/>
    <mergeCell ref="B202:B204"/>
    <mergeCell ref="B166:B168"/>
    <mergeCell ref="B130:B132"/>
    <mergeCell ref="B94:B96"/>
    <mergeCell ref="B232:B234"/>
    <mergeCell ref="B196:B198"/>
    <mergeCell ref="B160:B162"/>
    <mergeCell ref="B124:B126"/>
    <mergeCell ref="B88:B90"/>
    <mergeCell ref="B226:B228"/>
    <mergeCell ref="B190:B192"/>
    <mergeCell ref="B154:B156"/>
    <mergeCell ref="B118:B120"/>
    <mergeCell ref="B82:B84"/>
    <mergeCell ref="B220:B222"/>
    <mergeCell ref="B184:B186"/>
    <mergeCell ref="B148:B150"/>
    <mergeCell ref="B112:B114"/>
    <mergeCell ref="B76:B78"/>
    <mergeCell ref="B214:B216"/>
    <mergeCell ref="B178:B180"/>
    <mergeCell ref="B142:B144"/>
    <mergeCell ref="B106:B108"/>
    <mergeCell ref="B70:B72"/>
    <mergeCell ref="F160:F162"/>
    <mergeCell ref="F124:F126"/>
    <mergeCell ref="F88:F90"/>
    <mergeCell ref="F190:F192"/>
    <mergeCell ref="F154:F156"/>
    <mergeCell ref="F118:F120"/>
    <mergeCell ref="F82:F84"/>
    <mergeCell ref="F184:F186"/>
    <mergeCell ref="F148:F150"/>
    <mergeCell ref="F112:F114"/>
    <mergeCell ref="F76:F78"/>
    <mergeCell ref="F214:F216"/>
    <mergeCell ref="F178:F180"/>
    <mergeCell ref="F142:F144"/>
    <mergeCell ref="F106:F108"/>
    <mergeCell ref="F70:F72"/>
    <mergeCell ref="G79:G81"/>
    <mergeCell ref="CC130:CC132"/>
    <mergeCell ref="CC94:CC96"/>
    <mergeCell ref="CC232:CC234"/>
    <mergeCell ref="CC196:CC198"/>
    <mergeCell ref="CC160:CC162"/>
    <mergeCell ref="CC124:CC126"/>
    <mergeCell ref="CC88:CC90"/>
    <mergeCell ref="CC226:CC228"/>
    <mergeCell ref="CC190:CC192"/>
    <mergeCell ref="CC154:CC156"/>
    <mergeCell ref="CC118:CC120"/>
    <mergeCell ref="CC82:CC84"/>
    <mergeCell ref="CC220:CC222"/>
    <mergeCell ref="CC184:CC186"/>
    <mergeCell ref="CC148:CC150"/>
    <mergeCell ref="CC112:CC114"/>
    <mergeCell ref="CC76:CC78"/>
    <mergeCell ref="CC214:CC216"/>
    <mergeCell ref="CC178:CC180"/>
    <mergeCell ref="CC142:CC144"/>
    <mergeCell ref="CC106:CC108"/>
    <mergeCell ref="CC70:CC72"/>
    <mergeCell ref="AA244:AA246"/>
    <mergeCell ref="AA208:AA210"/>
    <mergeCell ref="AA172:AA174"/>
    <mergeCell ref="AA136:AA138"/>
    <mergeCell ref="AA100:AA102"/>
    <mergeCell ref="AA238:AA240"/>
    <mergeCell ref="AA202:AA204"/>
    <mergeCell ref="AA166:AA168"/>
    <mergeCell ref="AA130:AA132"/>
    <mergeCell ref="AA94:AA96"/>
    <mergeCell ref="AA232:AA234"/>
    <mergeCell ref="AA196:AA198"/>
    <mergeCell ref="AA160:AA162"/>
    <mergeCell ref="AA124:AA126"/>
    <mergeCell ref="AA88:AA90"/>
    <mergeCell ref="AA226:AA228"/>
    <mergeCell ref="AA190:AA192"/>
    <mergeCell ref="AA154:AA156"/>
    <mergeCell ref="AA118:AA120"/>
    <mergeCell ref="AA82:AA84"/>
    <mergeCell ref="AA220:AA222"/>
    <mergeCell ref="AA184:AA186"/>
    <mergeCell ref="AA148:AA150"/>
    <mergeCell ref="AA112:AA114"/>
    <mergeCell ref="AA76:AA78"/>
    <mergeCell ref="AA214:AA216"/>
    <mergeCell ref="AA178:AA180"/>
    <mergeCell ref="AA142:AA144"/>
    <mergeCell ref="AA106:AA108"/>
    <mergeCell ref="AA70:AA72"/>
    <mergeCell ref="CE244:CE246"/>
    <mergeCell ref="CE208:CE210"/>
    <mergeCell ref="CE172:CE174"/>
    <mergeCell ref="CE136:CE138"/>
    <mergeCell ref="CE100:CE102"/>
    <mergeCell ref="CE238:CE240"/>
    <mergeCell ref="CE202:CE204"/>
    <mergeCell ref="CE166:CE168"/>
    <mergeCell ref="CE130:CE132"/>
    <mergeCell ref="CE94:CE96"/>
    <mergeCell ref="CE232:CE234"/>
    <mergeCell ref="CE196:CE198"/>
    <mergeCell ref="CE160:CE162"/>
    <mergeCell ref="CE124:CE126"/>
    <mergeCell ref="CE88:CE90"/>
    <mergeCell ref="CE226:CE228"/>
    <mergeCell ref="CE190:CE192"/>
    <mergeCell ref="CE154:CE156"/>
    <mergeCell ref="CE118:CE120"/>
    <mergeCell ref="CE82:CE84"/>
    <mergeCell ref="CE220:CE222"/>
    <mergeCell ref="CE184:CE186"/>
    <mergeCell ref="CE148:CE150"/>
    <mergeCell ref="CE112:CE114"/>
    <mergeCell ref="CE76:CE78"/>
    <mergeCell ref="CE214:CE216"/>
    <mergeCell ref="CE178:CE180"/>
    <mergeCell ref="CE142:CE144"/>
    <mergeCell ref="CE106:CE108"/>
    <mergeCell ref="CE70:CE72"/>
    <mergeCell ref="CA244:CA246"/>
    <mergeCell ref="CA208:CA210"/>
    <mergeCell ref="CA172:CA174"/>
    <mergeCell ref="CA136:CA138"/>
    <mergeCell ref="CA100:CA102"/>
    <mergeCell ref="CA238:CA240"/>
    <mergeCell ref="CA202:CA204"/>
    <mergeCell ref="CA166:CA168"/>
    <mergeCell ref="CA130:CA132"/>
    <mergeCell ref="CA94:CA96"/>
    <mergeCell ref="CA232:CA234"/>
    <mergeCell ref="CA196:CA198"/>
    <mergeCell ref="CA160:CA162"/>
    <mergeCell ref="CA124:CA126"/>
    <mergeCell ref="CA88:CA90"/>
    <mergeCell ref="CA226:CA228"/>
    <mergeCell ref="CA190:CA192"/>
    <mergeCell ref="CA154:CA156"/>
    <mergeCell ref="CA118:CA120"/>
    <mergeCell ref="CA82:CA84"/>
    <mergeCell ref="CA220:CA222"/>
    <mergeCell ref="CA184:CA186"/>
    <mergeCell ref="CA148:CA150"/>
    <mergeCell ref="CA112:CA114"/>
    <mergeCell ref="CA76:CA78"/>
    <mergeCell ref="CA214:CA216"/>
    <mergeCell ref="CA178:CA180"/>
    <mergeCell ref="CA142:CA144"/>
    <mergeCell ref="CA106:CA108"/>
    <mergeCell ref="CA70:CA72"/>
    <mergeCell ref="CC244:CC246"/>
    <mergeCell ref="CC208:CC210"/>
    <mergeCell ref="CC172:CC174"/>
    <mergeCell ref="CC136:CC138"/>
    <mergeCell ref="N178:N180"/>
    <mergeCell ref="N142:N144"/>
    <mergeCell ref="N106:N108"/>
    <mergeCell ref="N70:N72"/>
    <mergeCell ref="CB244:CB246"/>
    <mergeCell ref="CB208:CB210"/>
    <mergeCell ref="CB172:CB174"/>
    <mergeCell ref="CB136:CB138"/>
    <mergeCell ref="CB100:CB102"/>
    <mergeCell ref="CB238:CB240"/>
    <mergeCell ref="CB202:CB204"/>
    <mergeCell ref="CB166:CB168"/>
    <mergeCell ref="CB130:CB132"/>
    <mergeCell ref="CB94:CB96"/>
    <mergeCell ref="CB232:CB234"/>
    <mergeCell ref="CB196:CB198"/>
    <mergeCell ref="CB160:CB162"/>
    <mergeCell ref="CB124:CB126"/>
    <mergeCell ref="CB88:CB90"/>
    <mergeCell ref="CB226:CB228"/>
    <mergeCell ref="CB190:CB192"/>
    <mergeCell ref="CB154:CB156"/>
    <mergeCell ref="CB118:CB120"/>
    <mergeCell ref="CB82:CB84"/>
    <mergeCell ref="CB220:CB222"/>
    <mergeCell ref="CB184:CB186"/>
    <mergeCell ref="CB148:CB150"/>
    <mergeCell ref="CB112:CB114"/>
    <mergeCell ref="CB76:CB78"/>
    <mergeCell ref="CB214:CB216"/>
    <mergeCell ref="CB178:CB180"/>
    <mergeCell ref="CB142:CB144"/>
    <mergeCell ref="CB106:CB108"/>
    <mergeCell ref="CB70:CB72"/>
    <mergeCell ref="X244:X246"/>
    <mergeCell ref="X208:X210"/>
    <mergeCell ref="X172:X174"/>
    <mergeCell ref="X136:X138"/>
    <mergeCell ref="X100:X102"/>
    <mergeCell ref="X238:X240"/>
    <mergeCell ref="X202:X204"/>
    <mergeCell ref="X166:X168"/>
    <mergeCell ref="X130:X132"/>
    <mergeCell ref="X94:X96"/>
    <mergeCell ref="X232:X234"/>
    <mergeCell ref="X196:X198"/>
    <mergeCell ref="X160:X162"/>
    <mergeCell ref="X124:X126"/>
    <mergeCell ref="X88:X90"/>
    <mergeCell ref="X226:X228"/>
    <mergeCell ref="X190:X192"/>
    <mergeCell ref="X154:X156"/>
    <mergeCell ref="X118:X120"/>
    <mergeCell ref="X82:X84"/>
    <mergeCell ref="X220:X222"/>
    <mergeCell ref="X184:X186"/>
    <mergeCell ref="X148:X150"/>
    <mergeCell ref="X112:X114"/>
    <mergeCell ref="X76:X78"/>
    <mergeCell ref="X214:X216"/>
    <mergeCell ref="X178:X180"/>
    <mergeCell ref="X142:X144"/>
    <mergeCell ref="X106:X108"/>
    <mergeCell ref="X70:X72"/>
    <mergeCell ref="BY160:BY162"/>
    <mergeCell ref="BY124:BY126"/>
    <mergeCell ref="BY88:BY90"/>
    <mergeCell ref="BY226:BY228"/>
    <mergeCell ref="BY190:BY192"/>
    <mergeCell ref="BY154:BY156"/>
    <mergeCell ref="BY118:BY120"/>
    <mergeCell ref="BY82:BY84"/>
    <mergeCell ref="BY220:BY222"/>
    <mergeCell ref="BY184:BY186"/>
    <mergeCell ref="BY148:BY150"/>
    <mergeCell ref="BY112:BY114"/>
    <mergeCell ref="BY76:BY78"/>
    <mergeCell ref="BY214:BY216"/>
    <mergeCell ref="BY178:BY180"/>
    <mergeCell ref="BY142:BY144"/>
    <mergeCell ref="BY106:BY108"/>
    <mergeCell ref="BY70:BY72"/>
    <mergeCell ref="H244:H246"/>
    <mergeCell ref="H208:H210"/>
    <mergeCell ref="H172:H174"/>
    <mergeCell ref="H136:H138"/>
    <mergeCell ref="H100:H102"/>
    <mergeCell ref="H238:H240"/>
    <mergeCell ref="H202:H204"/>
    <mergeCell ref="H166:H168"/>
    <mergeCell ref="H130:H132"/>
    <mergeCell ref="H94:H96"/>
    <mergeCell ref="H196:H198"/>
    <mergeCell ref="H160:H162"/>
    <mergeCell ref="H124:H126"/>
    <mergeCell ref="H88:H90"/>
    <mergeCell ref="H190:H192"/>
    <mergeCell ref="H154:H156"/>
    <mergeCell ref="H118:H120"/>
    <mergeCell ref="H82:H84"/>
    <mergeCell ref="H184:H186"/>
    <mergeCell ref="H148:H150"/>
    <mergeCell ref="H112:H114"/>
    <mergeCell ref="H76:H78"/>
    <mergeCell ref="H214:H216"/>
    <mergeCell ref="H178:H180"/>
    <mergeCell ref="H142:H144"/>
    <mergeCell ref="H106:H108"/>
    <mergeCell ref="H70:H72"/>
    <mergeCell ref="N244:N246"/>
    <mergeCell ref="N208:N210"/>
    <mergeCell ref="N172:N174"/>
    <mergeCell ref="N136:N138"/>
    <mergeCell ref="N100:N102"/>
    <mergeCell ref="N238:N240"/>
    <mergeCell ref="N202:N204"/>
    <mergeCell ref="N166:N168"/>
    <mergeCell ref="N130:N132"/>
    <mergeCell ref="N94:N96"/>
    <mergeCell ref="N232:N234"/>
    <mergeCell ref="N196:N198"/>
    <mergeCell ref="N160:N162"/>
    <mergeCell ref="N124:N126"/>
    <mergeCell ref="N88:N90"/>
    <mergeCell ref="N226:N228"/>
    <mergeCell ref="N190:N192"/>
    <mergeCell ref="N154:N156"/>
    <mergeCell ref="N118:N120"/>
    <mergeCell ref="BW130:BW132"/>
    <mergeCell ref="BW94:BW96"/>
    <mergeCell ref="BW232:BW234"/>
    <mergeCell ref="BW196:BW198"/>
    <mergeCell ref="BW160:BW162"/>
    <mergeCell ref="BW124:BW126"/>
    <mergeCell ref="BW88:BW90"/>
    <mergeCell ref="BW226:BW228"/>
    <mergeCell ref="BW190:BW192"/>
    <mergeCell ref="BW154:BW156"/>
    <mergeCell ref="BW118:BW120"/>
    <mergeCell ref="BW82:BW84"/>
    <mergeCell ref="BW220:BW222"/>
    <mergeCell ref="BW184:BW186"/>
    <mergeCell ref="BW148:BW150"/>
    <mergeCell ref="BW112:BW114"/>
    <mergeCell ref="BW76:BW78"/>
    <mergeCell ref="BW214:BW216"/>
    <mergeCell ref="BW178:BW180"/>
    <mergeCell ref="BW142:BW144"/>
    <mergeCell ref="BW106:BW108"/>
    <mergeCell ref="BW70:BW72"/>
    <mergeCell ref="BX244:BX246"/>
    <mergeCell ref="BX208:BX210"/>
    <mergeCell ref="BX172:BX174"/>
    <mergeCell ref="BX136:BX138"/>
    <mergeCell ref="BX100:BX102"/>
    <mergeCell ref="BX238:BX240"/>
    <mergeCell ref="BX202:BX204"/>
    <mergeCell ref="BX166:BX168"/>
    <mergeCell ref="BX130:BX132"/>
    <mergeCell ref="BX94:BX96"/>
    <mergeCell ref="BX232:BX234"/>
    <mergeCell ref="BX196:BX198"/>
    <mergeCell ref="BX160:BX162"/>
    <mergeCell ref="BX124:BX126"/>
    <mergeCell ref="BX88:BX90"/>
    <mergeCell ref="BX226:BX228"/>
    <mergeCell ref="BX190:BX192"/>
    <mergeCell ref="BX154:BX156"/>
    <mergeCell ref="BX118:BX120"/>
    <mergeCell ref="BX82:BX84"/>
    <mergeCell ref="BX220:BX222"/>
    <mergeCell ref="BX184:BX186"/>
    <mergeCell ref="BX148:BX150"/>
    <mergeCell ref="BX112:BX114"/>
    <mergeCell ref="BX76:BX78"/>
    <mergeCell ref="BX214:BX216"/>
    <mergeCell ref="BX178:BX180"/>
    <mergeCell ref="BX142:BX144"/>
    <mergeCell ref="BX106:BX108"/>
    <mergeCell ref="BX70:BX72"/>
    <mergeCell ref="CD100:CD102"/>
    <mergeCell ref="CD238:CD240"/>
    <mergeCell ref="CD202:CD204"/>
    <mergeCell ref="CD166:CD168"/>
    <mergeCell ref="CD130:CD132"/>
    <mergeCell ref="CD94:CD96"/>
    <mergeCell ref="CD232:CD234"/>
    <mergeCell ref="CD196:CD198"/>
    <mergeCell ref="CD160:CD162"/>
    <mergeCell ref="CD124:CD126"/>
    <mergeCell ref="CD88:CD90"/>
    <mergeCell ref="CD226:CD228"/>
    <mergeCell ref="CD190:CD192"/>
    <mergeCell ref="CD154:CD156"/>
    <mergeCell ref="CD118:CD120"/>
    <mergeCell ref="CD82:CD84"/>
    <mergeCell ref="CD220:CD222"/>
    <mergeCell ref="CD184:CD186"/>
    <mergeCell ref="CD148:CD150"/>
    <mergeCell ref="CD112:CD114"/>
    <mergeCell ref="CD76:CD78"/>
    <mergeCell ref="CD214:CD216"/>
    <mergeCell ref="CD178:CD180"/>
    <mergeCell ref="CD142:CD144"/>
    <mergeCell ref="CD106:CD108"/>
    <mergeCell ref="CD70:CD72"/>
    <mergeCell ref="S244:S246"/>
    <mergeCell ref="S208:S210"/>
    <mergeCell ref="S172:S174"/>
    <mergeCell ref="S136:S138"/>
    <mergeCell ref="S100:S102"/>
    <mergeCell ref="S238:S240"/>
    <mergeCell ref="S202:S204"/>
    <mergeCell ref="S166:S168"/>
    <mergeCell ref="S130:S132"/>
    <mergeCell ref="S94:S96"/>
    <mergeCell ref="S232:S234"/>
    <mergeCell ref="S196:S198"/>
    <mergeCell ref="S160:S162"/>
    <mergeCell ref="S124:S126"/>
    <mergeCell ref="S88:S90"/>
    <mergeCell ref="S226:S228"/>
    <mergeCell ref="S190:S192"/>
    <mergeCell ref="S154:S156"/>
    <mergeCell ref="S118:S120"/>
    <mergeCell ref="S82:S84"/>
    <mergeCell ref="S220:S222"/>
    <mergeCell ref="S184:S186"/>
    <mergeCell ref="S148:S150"/>
    <mergeCell ref="S112:S114"/>
    <mergeCell ref="S76:S78"/>
    <mergeCell ref="S214:S216"/>
    <mergeCell ref="S178:S180"/>
    <mergeCell ref="S142:S144"/>
    <mergeCell ref="S106:S108"/>
    <mergeCell ref="S70:S72"/>
    <mergeCell ref="BW244:BW246"/>
    <mergeCell ref="BW208:BW210"/>
    <mergeCell ref="BW172:BW174"/>
    <mergeCell ref="BW136:BW138"/>
    <mergeCell ref="BW100:BW102"/>
    <mergeCell ref="BW238:BW240"/>
    <mergeCell ref="BW202:BW204"/>
    <mergeCell ref="BW166:BW168"/>
    <mergeCell ref="BT82:BT84"/>
    <mergeCell ref="BT220:BT222"/>
    <mergeCell ref="BT184:BT186"/>
    <mergeCell ref="BT148:BT150"/>
    <mergeCell ref="BT112:BT114"/>
    <mergeCell ref="BT76:BT78"/>
    <mergeCell ref="BT214:BT216"/>
    <mergeCell ref="BT178:BT180"/>
    <mergeCell ref="BT142:BT144"/>
    <mergeCell ref="BT106:BT108"/>
    <mergeCell ref="BT70:BT72"/>
    <mergeCell ref="AC244:AC246"/>
    <mergeCell ref="AC208:AC210"/>
    <mergeCell ref="AC172:AC174"/>
    <mergeCell ref="AC136:AC138"/>
    <mergeCell ref="AC100:AC102"/>
    <mergeCell ref="AC238:AC240"/>
    <mergeCell ref="AC202:AC204"/>
    <mergeCell ref="AC166:AC168"/>
    <mergeCell ref="AC130:AC132"/>
    <mergeCell ref="AC94:AC96"/>
    <mergeCell ref="AC232:AC234"/>
    <mergeCell ref="AC196:AC198"/>
    <mergeCell ref="AC160:AC162"/>
    <mergeCell ref="AC124:AC126"/>
    <mergeCell ref="AC88:AC90"/>
    <mergeCell ref="AC226:AC228"/>
    <mergeCell ref="AC190:AC192"/>
    <mergeCell ref="AC154:AC156"/>
    <mergeCell ref="AC118:AC120"/>
    <mergeCell ref="AC82:AC84"/>
    <mergeCell ref="AC220:AC222"/>
    <mergeCell ref="AC184:AC186"/>
    <mergeCell ref="AC148:AC150"/>
    <mergeCell ref="AC112:AC114"/>
    <mergeCell ref="AC76:AC78"/>
    <mergeCell ref="AC214:AC216"/>
    <mergeCell ref="AC178:AC180"/>
    <mergeCell ref="AC142:AC144"/>
    <mergeCell ref="AC106:AC108"/>
    <mergeCell ref="AC70:AC72"/>
    <mergeCell ref="AB244:AB246"/>
    <mergeCell ref="AB208:AB210"/>
    <mergeCell ref="AB172:AB174"/>
    <mergeCell ref="AB136:AB138"/>
    <mergeCell ref="AB100:AB102"/>
    <mergeCell ref="AB238:AB240"/>
    <mergeCell ref="AB202:AB204"/>
    <mergeCell ref="AB166:AB168"/>
    <mergeCell ref="AB130:AB132"/>
    <mergeCell ref="AB94:AB96"/>
    <mergeCell ref="AB232:AB234"/>
    <mergeCell ref="AB196:AB198"/>
    <mergeCell ref="AB160:AB162"/>
    <mergeCell ref="AB124:AB126"/>
    <mergeCell ref="AB88:AB90"/>
    <mergeCell ref="AB226:AB228"/>
    <mergeCell ref="AB190:AB192"/>
    <mergeCell ref="AB154:AB156"/>
    <mergeCell ref="AB118:AB120"/>
    <mergeCell ref="AB82:AB84"/>
    <mergeCell ref="AB220:AB222"/>
    <mergeCell ref="AB184:AB186"/>
    <mergeCell ref="AB148:AB150"/>
    <mergeCell ref="AB112:AB114"/>
    <mergeCell ref="AB76:AB78"/>
    <mergeCell ref="AB214:AB216"/>
    <mergeCell ref="AB178:AB180"/>
    <mergeCell ref="AB142:AB144"/>
    <mergeCell ref="AB106:AB108"/>
    <mergeCell ref="AB70:AB72"/>
    <mergeCell ref="BU244:BU246"/>
    <mergeCell ref="BU208:BU210"/>
    <mergeCell ref="BU172:BU174"/>
    <mergeCell ref="BU136:BU138"/>
    <mergeCell ref="BU100:BU102"/>
    <mergeCell ref="BU238:BU240"/>
    <mergeCell ref="BU202:BU204"/>
    <mergeCell ref="BU166:BU168"/>
    <mergeCell ref="BU130:BU132"/>
    <mergeCell ref="BU94:BU96"/>
    <mergeCell ref="BU232:BU234"/>
    <mergeCell ref="BU196:BU198"/>
    <mergeCell ref="BU160:BU162"/>
    <mergeCell ref="BU124:BU126"/>
    <mergeCell ref="BU88:BU90"/>
    <mergeCell ref="BU226:BU228"/>
    <mergeCell ref="BU190:BU192"/>
    <mergeCell ref="BU154:BU156"/>
    <mergeCell ref="BU118:BU120"/>
    <mergeCell ref="BU82:BU84"/>
    <mergeCell ref="BU220:BU222"/>
    <mergeCell ref="BU184:BU186"/>
    <mergeCell ref="BU148:BU150"/>
    <mergeCell ref="BU112:BU114"/>
    <mergeCell ref="BU76:BU78"/>
    <mergeCell ref="BU214:BU216"/>
    <mergeCell ref="BU178:BU180"/>
    <mergeCell ref="BU142:BU144"/>
    <mergeCell ref="BU106:BU108"/>
    <mergeCell ref="BU70:BU72"/>
    <mergeCell ref="BT244:BT246"/>
    <mergeCell ref="BT208:BT210"/>
    <mergeCell ref="BT172:BT174"/>
    <mergeCell ref="BT136:BT138"/>
    <mergeCell ref="Y76:Y78"/>
    <mergeCell ref="Y214:Y216"/>
    <mergeCell ref="Y178:Y180"/>
    <mergeCell ref="Y142:Y144"/>
    <mergeCell ref="Y106:Y108"/>
    <mergeCell ref="Y70:Y72"/>
    <mergeCell ref="Z244:Z246"/>
    <mergeCell ref="Z208:Z210"/>
    <mergeCell ref="Z172:Z174"/>
    <mergeCell ref="Z136:Z138"/>
    <mergeCell ref="Z100:Z102"/>
    <mergeCell ref="Z238:Z240"/>
    <mergeCell ref="Z202:Z204"/>
    <mergeCell ref="Z166:Z168"/>
    <mergeCell ref="Z130:Z132"/>
    <mergeCell ref="Z94:Z96"/>
    <mergeCell ref="Z232:Z234"/>
    <mergeCell ref="Z196:Z198"/>
    <mergeCell ref="Z160:Z162"/>
    <mergeCell ref="Z124:Z126"/>
    <mergeCell ref="Z88:Z90"/>
    <mergeCell ref="Z226:Z228"/>
    <mergeCell ref="Z190:Z192"/>
    <mergeCell ref="Z154:Z156"/>
    <mergeCell ref="Z118:Z120"/>
    <mergeCell ref="Z82:Z84"/>
    <mergeCell ref="Z220:Z222"/>
    <mergeCell ref="Z184:Z186"/>
    <mergeCell ref="Z148:Z150"/>
    <mergeCell ref="Z112:Z114"/>
    <mergeCell ref="Z76:Z78"/>
    <mergeCell ref="Z214:Z216"/>
    <mergeCell ref="Z178:Z180"/>
    <mergeCell ref="Z142:Z144"/>
    <mergeCell ref="Z106:Z108"/>
    <mergeCell ref="Z70:Z72"/>
    <mergeCell ref="U94:U96"/>
    <mergeCell ref="U232:U234"/>
    <mergeCell ref="U196:U198"/>
    <mergeCell ref="U160:U162"/>
    <mergeCell ref="U124:U126"/>
    <mergeCell ref="U88:U90"/>
    <mergeCell ref="U226:U228"/>
    <mergeCell ref="U190:U192"/>
    <mergeCell ref="U154:U156"/>
    <mergeCell ref="U118:U120"/>
    <mergeCell ref="U82:U84"/>
    <mergeCell ref="U220:U222"/>
    <mergeCell ref="U184:U186"/>
    <mergeCell ref="U148:U150"/>
    <mergeCell ref="U112:U114"/>
    <mergeCell ref="U76:U78"/>
    <mergeCell ref="U214:U216"/>
    <mergeCell ref="U178:U180"/>
    <mergeCell ref="U142:U144"/>
    <mergeCell ref="U106:U108"/>
    <mergeCell ref="U70:U72"/>
    <mergeCell ref="W244:W246"/>
    <mergeCell ref="W208:W210"/>
    <mergeCell ref="W172:W174"/>
    <mergeCell ref="W136:W138"/>
    <mergeCell ref="W100:W102"/>
    <mergeCell ref="W238:W240"/>
    <mergeCell ref="W202:W204"/>
    <mergeCell ref="W166:W168"/>
    <mergeCell ref="W130:W132"/>
    <mergeCell ref="W94:W96"/>
    <mergeCell ref="W232:W234"/>
    <mergeCell ref="W196:W198"/>
    <mergeCell ref="W160:W162"/>
    <mergeCell ref="W124:W126"/>
    <mergeCell ref="W88:W90"/>
    <mergeCell ref="W226:W228"/>
    <mergeCell ref="W190:W192"/>
    <mergeCell ref="W154:W156"/>
    <mergeCell ref="W118:W120"/>
    <mergeCell ref="W82:W84"/>
    <mergeCell ref="W220:W222"/>
    <mergeCell ref="W184:W186"/>
    <mergeCell ref="W148:W150"/>
    <mergeCell ref="W112:W114"/>
    <mergeCell ref="W76:W78"/>
    <mergeCell ref="W214:W216"/>
    <mergeCell ref="W178:W180"/>
    <mergeCell ref="W142:W144"/>
    <mergeCell ref="W106:W108"/>
    <mergeCell ref="W70:W72"/>
    <mergeCell ref="V244:V246"/>
    <mergeCell ref="V208:V210"/>
    <mergeCell ref="V172:V174"/>
    <mergeCell ref="V136:V138"/>
    <mergeCell ref="V100:V102"/>
    <mergeCell ref="V238:V240"/>
    <mergeCell ref="V202:V204"/>
    <mergeCell ref="V166:V168"/>
    <mergeCell ref="V130:V132"/>
    <mergeCell ref="V94:V96"/>
    <mergeCell ref="V232:V234"/>
    <mergeCell ref="V196:V198"/>
    <mergeCell ref="V160:V162"/>
    <mergeCell ref="DK244:DK246"/>
    <mergeCell ref="DK208:DK210"/>
    <mergeCell ref="DK172:DK174"/>
    <mergeCell ref="DK136:DK138"/>
    <mergeCell ref="DK100:DK102"/>
    <mergeCell ref="DK238:DK240"/>
    <mergeCell ref="DK202:DK204"/>
    <mergeCell ref="DK166:DK168"/>
    <mergeCell ref="DK130:DK132"/>
    <mergeCell ref="DK94:DK96"/>
    <mergeCell ref="DK232:DK234"/>
    <mergeCell ref="DK196:DK198"/>
    <mergeCell ref="DK160:DK162"/>
    <mergeCell ref="DK124:DK126"/>
    <mergeCell ref="DK88:DK90"/>
    <mergeCell ref="DK226:DK228"/>
    <mergeCell ref="DK190:DK192"/>
    <mergeCell ref="DK154:DK156"/>
    <mergeCell ref="DK118:DK120"/>
    <mergeCell ref="DK82:DK84"/>
    <mergeCell ref="DK220:DK222"/>
    <mergeCell ref="DK184:DK186"/>
    <mergeCell ref="DK148:DK150"/>
    <mergeCell ref="DK112:DK114"/>
    <mergeCell ref="DK76:DK78"/>
    <mergeCell ref="DK214:DK216"/>
    <mergeCell ref="DK178:DK180"/>
    <mergeCell ref="DK142:DK144"/>
    <mergeCell ref="DK106:DK108"/>
    <mergeCell ref="DK70:DK72"/>
    <mergeCell ref="D244:D246"/>
    <mergeCell ref="D208:D210"/>
    <mergeCell ref="D172:D174"/>
    <mergeCell ref="D136:D138"/>
    <mergeCell ref="D100:D102"/>
    <mergeCell ref="D238:D240"/>
    <mergeCell ref="D202:D204"/>
    <mergeCell ref="D166:D168"/>
    <mergeCell ref="D130:D132"/>
    <mergeCell ref="D94:D96"/>
    <mergeCell ref="D232:D234"/>
    <mergeCell ref="D196:D198"/>
    <mergeCell ref="D160:D162"/>
    <mergeCell ref="D124:D126"/>
    <mergeCell ref="D88:D90"/>
    <mergeCell ref="D226:D228"/>
    <mergeCell ref="D190:D192"/>
    <mergeCell ref="D154:D156"/>
    <mergeCell ref="D118:D120"/>
    <mergeCell ref="D82:D84"/>
    <mergeCell ref="D220:D222"/>
    <mergeCell ref="D184:D186"/>
    <mergeCell ref="D148:D150"/>
    <mergeCell ref="D112:D114"/>
    <mergeCell ref="D76:D78"/>
    <mergeCell ref="D214:D216"/>
    <mergeCell ref="D178:D180"/>
    <mergeCell ref="D142:D144"/>
    <mergeCell ref="D106:D108"/>
    <mergeCell ref="D70:D72"/>
    <mergeCell ref="U244:U246"/>
    <mergeCell ref="U208:U210"/>
    <mergeCell ref="U172:U174"/>
    <mergeCell ref="U136:U138"/>
    <mergeCell ref="BV136:BV138"/>
    <mergeCell ref="BV100:BV102"/>
    <mergeCell ref="BV238:BV240"/>
    <mergeCell ref="BV202:BV204"/>
    <mergeCell ref="BV166:BV168"/>
    <mergeCell ref="BV130:BV132"/>
    <mergeCell ref="BV94:BV96"/>
    <mergeCell ref="BV232:BV234"/>
    <mergeCell ref="BV196:BV198"/>
    <mergeCell ref="BV160:BV162"/>
    <mergeCell ref="BV124:BV126"/>
    <mergeCell ref="BV88:BV90"/>
    <mergeCell ref="BV226:BV228"/>
    <mergeCell ref="BV190:BV192"/>
    <mergeCell ref="BV154:BV156"/>
    <mergeCell ref="BV118:BV120"/>
    <mergeCell ref="BV82:BV84"/>
    <mergeCell ref="BV220:BV222"/>
    <mergeCell ref="BV184:BV186"/>
    <mergeCell ref="BV148:BV150"/>
    <mergeCell ref="BV112:BV114"/>
    <mergeCell ref="BV76:BV78"/>
    <mergeCell ref="BV214:BV216"/>
    <mergeCell ref="BV178:BV180"/>
    <mergeCell ref="BV142:BV144"/>
    <mergeCell ref="BV106:BV108"/>
    <mergeCell ref="BV70:BV72"/>
    <mergeCell ref="BS244:BS246"/>
    <mergeCell ref="BS208:BS210"/>
    <mergeCell ref="BS172:BS174"/>
    <mergeCell ref="BS136:BS138"/>
    <mergeCell ref="BS100:BS102"/>
    <mergeCell ref="BS238:BS240"/>
    <mergeCell ref="BS202:BS204"/>
    <mergeCell ref="BS166:BS168"/>
    <mergeCell ref="BS130:BS132"/>
    <mergeCell ref="BS94:BS96"/>
    <mergeCell ref="BS232:BS234"/>
    <mergeCell ref="BS196:BS198"/>
    <mergeCell ref="BS160:BS162"/>
    <mergeCell ref="BS124:BS126"/>
    <mergeCell ref="BS88:BS90"/>
    <mergeCell ref="BS226:BS228"/>
    <mergeCell ref="BS190:BS192"/>
    <mergeCell ref="BS154:BS156"/>
    <mergeCell ref="BS118:BS120"/>
    <mergeCell ref="BS82:BS84"/>
    <mergeCell ref="BS220:BS222"/>
    <mergeCell ref="BS184:BS186"/>
    <mergeCell ref="BS148:BS150"/>
    <mergeCell ref="BS112:BS114"/>
    <mergeCell ref="BS76:BS78"/>
    <mergeCell ref="BS214:BS216"/>
    <mergeCell ref="BS178:BS180"/>
    <mergeCell ref="BS142:BS144"/>
    <mergeCell ref="BS106:BS108"/>
    <mergeCell ref="BS70:BS72"/>
    <mergeCell ref="BT100:BT102"/>
    <mergeCell ref="BT238:BT240"/>
    <mergeCell ref="BT202:BT204"/>
    <mergeCell ref="BT166:BT168"/>
    <mergeCell ref="BT130:BT132"/>
    <mergeCell ref="BT94:BT96"/>
    <mergeCell ref="BT232:BT234"/>
    <mergeCell ref="T70:T72"/>
    <mergeCell ref="A244:A246"/>
    <mergeCell ref="A208:A210"/>
    <mergeCell ref="A172:A174"/>
    <mergeCell ref="A136:A138"/>
    <mergeCell ref="A100:A102"/>
    <mergeCell ref="A238:A240"/>
    <mergeCell ref="A202:A204"/>
    <mergeCell ref="A166:A168"/>
    <mergeCell ref="A130:A132"/>
    <mergeCell ref="A94:A96"/>
    <mergeCell ref="A232:A234"/>
    <mergeCell ref="A196:A198"/>
    <mergeCell ref="A160:A162"/>
    <mergeCell ref="A124:A126"/>
    <mergeCell ref="A88:A90"/>
    <mergeCell ref="A226:A228"/>
    <mergeCell ref="A190:A192"/>
    <mergeCell ref="A154:A156"/>
    <mergeCell ref="A118:A120"/>
    <mergeCell ref="A82:A84"/>
    <mergeCell ref="A220:A222"/>
    <mergeCell ref="A184:A186"/>
    <mergeCell ref="A148:A150"/>
    <mergeCell ref="A112:A114"/>
    <mergeCell ref="A76:A78"/>
    <mergeCell ref="A214:A216"/>
    <mergeCell ref="A178:A180"/>
    <mergeCell ref="A142:A144"/>
    <mergeCell ref="A106:A108"/>
    <mergeCell ref="A70:A72"/>
    <mergeCell ref="BZ244:BZ246"/>
    <mergeCell ref="BZ208:BZ210"/>
    <mergeCell ref="BZ172:BZ174"/>
    <mergeCell ref="BZ136:BZ138"/>
    <mergeCell ref="BZ100:BZ102"/>
    <mergeCell ref="BZ238:BZ240"/>
    <mergeCell ref="BZ202:BZ204"/>
    <mergeCell ref="BZ166:BZ168"/>
    <mergeCell ref="BZ130:BZ132"/>
    <mergeCell ref="BZ94:BZ96"/>
    <mergeCell ref="BZ232:BZ234"/>
    <mergeCell ref="BZ196:BZ198"/>
    <mergeCell ref="BZ160:BZ162"/>
    <mergeCell ref="BZ124:BZ126"/>
    <mergeCell ref="BZ88:BZ90"/>
    <mergeCell ref="BZ226:BZ228"/>
    <mergeCell ref="BZ190:BZ192"/>
    <mergeCell ref="BZ154:BZ156"/>
    <mergeCell ref="BZ118:BZ120"/>
    <mergeCell ref="BZ82:BZ84"/>
    <mergeCell ref="BZ220:BZ222"/>
    <mergeCell ref="BZ184:BZ186"/>
    <mergeCell ref="BZ148:BZ150"/>
    <mergeCell ref="BZ112:BZ114"/>
    <mergeCell ref="BZ76:BZ78"/>
    <mergeCell ref="BZ214:BZ216"/>
    <mergeCell ref="BZ178:BZ180"/>
    <mergeCell ref="BZ142:BZ144"/>
    <mergeCell ref="BZ106:BZ108"/>
    <mergeCell ref="BZ70:BZ72"/>
    <mergeCell ref="BV244:BV246"/>
    <mergeCell ref="BV208:BV210"/>
    <mergeCell ref="BV172:BV174"/>
    <mergeCell ref="V247:V249"/>
    <mergeCell ref="V211:V213"/>
    <mergeCell ref="V175:V177"/>
    <mergeCell ref="V139:V141"/>
    <mergeCell ref="V103:V105"/>
    <mergeCell ref="V241:V243"/>
    <mergeCell ref="V205:V207"/>
    <mergeCell ref="V169:V171"/>
    <mergeCell ref="V133:V135"/>
    <mergeCell ref="V97:V99"/>
    <mergeCell ref="V235:V237"/>
    <mergeCell ref="V199:V201"/>
    <mergeCell ref="V163:V165"/>
    <mergeCell ref="V127:V129"/>
    <mergeCell ref="V91:V93"/>
    <mergeCell ref="V229:V231"/>
    <mergeCell ref="V193:V195"/>
    <mergeCell ref="V157:V159"/>
    <mergeCell ref="V121:V123"/>
    <mergeCell ref="V85:V87"/>
    <mergeCell ref="V223:V225"/>
    <mergeCell ref="V187:V189"/>
    <mergeCell ref="V151:V153"/>
    <mergeCell ref="V115:V117"/>
    <mergeCell ref="V79:V81"/>
    <mergeCell ref="V217:V219"/>
    <mergeCell ref="V181:V183"/>
    <mergeCell ref="V145:V147"/>
    <mergeCell ref="V109:V111"/>
    <mergeCell ref="V73:V75"/>
    <mergeCell ref="T244:T246"/>
    <mergeCell ref="T208:T210"/>
    <mergeCell ref="T172:T174"/>
    <mergeCell ref="T136:T138"/>
    <mergeCell ref="T100:T102"/>
    <mergeCell ref="T238:T240"/>
    <mergeCell ref="T202:T204"/>
    <mergeCell ref="T166:T168"/>
    <mergeCell ref="T130:T132"/>
    <mergeCell ref="T94:T96"/>
    <mergeCell ref="T232:T234"/>
    <mergeCell ref="T196:T198"/>
    <mergeCell ref="T160:T162"/>
    <mergeCell ref="T124:T126"/>
    <mergeCell ref="T88:T90"/>
    <mergeCell ref="T226:T228"/>
    <mergeCell ref="T190:T192"/>
    <mergeCell ref="T154:T156"/>
    <mergeCell ref="T118:T120"/>
    <mergeCell ref="T82:T84"/>
    <mergeCell ref="T220:T222"/>
    <mergeCell ref="T184:T186"/>
    <mergeCell ref="T148:T150"/>
    <mergeCell ref="T112:T114"/>
    <mergeCell ref="T76:T78"/>
    <mergeCell ref="T214:T216"/>
    <mergeCell ref="T178:T180"/>
    <mergeCell ref="T142:T144"/>
    <mergeCell ref="T106:T108"/>
    <mergeCell ref="U100:U102"/>
    <mergeCell ref="U238:U240"/>
    <mergeCell ref="U202:U204"/>
    <mergeCell ref="U166:U168"/>
    <mergeCell ref="U130:U132"/>
    <mergeCell ref="AA193:AA195"/>
    <mergeCell ref="AA157:AA159"/>
    <mergeCell ref="AA121:AA123"/>
    <mergeCell ref="AA85:AA87"/>
    <mergeCell ref="AA223:AA225"/>
    <mergeCell ref="AA187:AA189"/>
    <mergeCell ref="AA151:AA153"/>
    <mergeCell ref="AA115:AA117"/>
    <mergeCell ref="AA79:AA81"/>
    <mergeCell ref="AA217:AA219"/>
    <mergeCell ref="AA181:AA183"/>
    <mergeCell ref="AA145:AA147"/>
    <mergeCell ref="AA109:AA111"/>
    <mergeCell ref="AA73:AA75"/>
    <mergeCell ref="X247:X249"/>
    <mergeCell ref="X211:X213"/>
    <mergeCell ref="X175:X177"/>
    <mergeCell ref="X139:X141"/>
    <mergeCell ref="X103:X105"/>
    <mergeCell ref="X241:X243"/>
    <mergeCell ref="X205:X207"/>
    <mergeCell ref="X169:X171"/>
    <mergeCell ref="X133:X135"/>
    <mergeCell ref="X97:X99"/>
    <mergeCell ref="X235:X237"/>
    <mergeCell ref="X199:X201"/>
    <mergeCell ref="X163:X165"/>
    <mergeCell ref="X127:X129"/>
    <mergeCell ref="X91:X93"/>
    <mergeCell ref="X229:X231"/>
    <mergeCell ref="X193:X195"/>
    <mergeCell ref="X157:X159"/>
    <mergeCell ref="X121:X123"/>
    <mergeCell ref="X85:X87"/>
    <mergeCell ref="X223:X225"/>
    <mergeCell ref="X187:X189"/>
    <mergeCell ref="X151:X153"/>
    <mergeCell ref="X115:X117"/>
    <mergeCell ref="X79:X81"/>
    <mergeCell ref="X217:X219"/>
    <mergeCell ref="X181:X183"/>
    <mergeCell ref="X145:X147"/>
    <mergeCell ref="X109:X111"/>
    <mergeCell ref="X73:X75"/>
    <mergeCell ref="Y244:Y246"/>
    <mergeCell ref="Y208:Y210"/>
    <mergeCell ref="Y172:Y174"/>
    <mergeCell ref="Y136:Y138"/>
    <mergeCell ref="Y100:Y102"/>
    <mergeCell ref="Y238:Y240"/>
    <mergeCell ref="Y202:Y204"/>
    <mergeCell ref="Y166:Y168"/>
    <mergeCell ref="Y130:Y132"/>
    <mergeCell ref="Y94:Y96"/>
    <mergeCell ref="Y232:Y234"/>
    <mergeCell ref="Y196:Y198"/>
    <mergeCell ref="Y160:Y162"/>
    <mergeCell ref="Y124:Y126"/>
    <mergeCell ref="Y88:Y90"/>
    <mergeCell ref="Y226:Y228"/>
    <mergeCell ref="Y190:Y192"/>
    <mergeCell ref="Y154:Y156"/>
    <mergeCell ref="Y118:Y120"/>
    <mergeCell ref="Y82:Y84"/>
    <mergeCell ref="CA247:CA249"/>
    <mergeCell ref="CA211:CA213"/>
    <mergeCell ref="CA175:CA177"/>
    <mergeCell ref="CA139:CA141"/>
    <mergeCell ref="CA103:CA105"/>
    <mergeCell ref="CA241:CA243"/>
    <mergeCell ref="CA205:CA207"/>
    <mergeCell ref="CA169:CA171"/>
    <mergeCell ref="CA133:CA135"/>
    <mergeCell ref="CA97:CA99"/>
    <mergeCell ref="CA235:CA237"/>
    <mergeCell ref="CA199:CA201"/>
    <mergeCell ref="CA163:CA165"/>
    <mergeCell ref="CA127:CA129"/>
    <mergeCell ref="CA91:CA93"/>
    <mergeCell ref="CA229:CA231"/>
    <mergeCell ref="CA193:CA195"/>
    <mergeCell ref="CA157:CA159"/>
    <mergeCell ref="CA121:CA123"/>
    <mergeCell ref="CA85:CA87"/>
    <mergeCell ref="CA223:CA225"/>
    <mergeCell ref="CA187:CA189"/>
    <mergeCell ref="CA151:CA153"/>
    <mergeCell ref="CA115:CA117"/>
    <mergeCell ref="CA79:CA81"/>
    <mergeCell ref="CA217:CA219"/>
    <mergeCell ref="CA181:CA183"/>
    <mergeCell ref="CA145:CA147"/>
    <mergeCell ref="CA109:CA111"/>
    <mergeCell ref="CA73:CA75"/>
    <mergeCell ref="CC247:CC249"/>
    <mergeCell ref="CC211:CC213"/>
    <mergeCell ref="CC175:CC177"/>
    <mergeCell ref="CC139:CC141"/>
    <mergeCell ref="CC103:CC105"/>
    <mergeCell ref="CC241:CC243"/>
    <mergeCell ref="CC205:CC207"/>
    <mergeCell ref="CC169:CC171"/>
    <mergeCell ref="CC133:CC135"/>
    <mergeCell ref="CC97:CC99"/>
    <mergeCell ref="CC235:CC237"/>
    <mergeCell ref="CC199:CC201"/>
    <mergeCell ref="CC163:CC165"/>
    <mergeCell ref="CC127:CC129"/>
    <mergeCell ref="CC91:CC93"/>
    <mergeCell ref="CC229:CC231"/>
    <mergeCell ref="CC193:CC195"/>
    <mergeCell ref="CC157:CC159"/>
    <mergeCell ref="CC121:CC123"/>
    <mergeCell ref="CC85:CC87"/>
    <mergeCell ref="CC223:CC225"/>
    <mergeCell ref="CC187:CC189"/>
    <mergeCell ref="CC151:CC153"/>
    <mergeCell ref="CC115:CC117"/>
    <mergeCell ref="CC79:CC81"/>
    <mergeCell ref="CC217:CC219"/>
    <mergeCell ref="CC181:CC183"/>
    <mergeCell ref="CC145:CC147"/>
    <mergeCell ref="CC109:CC111"/>
    <mergeCell ref="CC73:CC75"/>
    <mergeCell ref="CC100:CC102"/>
    <mergeCell ref="CC238:CC240"/>
    <mergeCell ref="CC202:CC204"/>
    <mergeCell ref="CC166:CC168"/>
    <mergeCell ref="CB247:CB249"/>
    <mergeCell ref="CB211:CB213"/>
    <mergeCell ref="CB175:CB177"/>
    <mergeCell ref="CB139:CB141"/>
    <mergeCell ref="CB103:CB105"/>
    <mergeCell ref="CB241:CB243"/>
    <mergeCell ref="CB205:CB207"/>
    <mergeCell ref="CB169:CB171"/>
    <mergeCell ref="CB133:CB135"/>
    <mergeCell ref="CB97:CB99"/>
    <mergeCell ref="CB235:CB237"/>
    <mergeCell ref="CB199:CB201"/>
    <mergeCell ref="CB163:CB165"/>
    <mergeCell ref="CB127:CB129"/>
    <mergeCell ref="CB91:CB93"/>
    <mergeCell ref="CB229:CB231"/>
    <mergeCell ref="CB193:CB195"/>
    <mergeCell ref="CB157:CB159"/>
    <mergeCell ref="CB121:CB123"/>
    <mergeCell ref="CB85:CB87"/>
    <mergeCell ref="CB223:CB225"/>
    <mergeCell ref="CB187:CB189"/>
    <mergeCell ref="CB151:CB153"/>
    <mergeCell ref="CB115:CB117"/>
    <mergeCell ref="CB79:CB81"/>
    <mergeCell ref="CB217:CB219"/>
    <mergeCell ref="CB181:CB183"/>
    <mergeCell ref="CB145:CB147"/>
    <mergeCell ref="CB109:CB111"/>
    <mergeCell ref="CB73:CB75"/>
    <mergeCell ref="CE247:CE249"/>
    <mergeCell ref="CE211:CE213"/>
    <mergeCell ref="CE175:CE177"/>
    <mergeCell ref="CE139:CE141"/>
    <mergeCell ref="CE103:CE105"/>
    <mergeCell ref="CE241:CE243"/>
    <mergeCell ref="CE205:CE207"/>
    <mergeCell ref="CE169:CE171"/>
    <mergeCell ref="CE133:CE135"/>
    <mergeCell ref="CE97:CE99"/>
    <mergeCell ref="CE235:CE237"/>
    <mergeCell ref="CE199:CE201"/>
    <mergeCell ref="CE163:CE165"/>
    <mergeCell ref="CE127:CE129"/>
    <mergeCell ref="CE91:CE93"/>
    <mergeCell ref="CE229:CE231"/>
    <mergeCell ref="CE193:CE195"/>
    <mergeCell ref="CE157:CE159"/>
    <mergeCell ref="CE121:CE123"/>
    <mergeCell ref="CE85:CE87"/>
    <mergeCell ref="CE223:CE225"/>
    <mergeCell ref="CE187:CE189"/>
    <mergeCell ref="CE151:CE153"/>
    <mergeCell ref="CE115:CE117"/>
    <mergeCell ref="CE79:CE81"/>
    <mergeCell ref="CE217:CE219"/>
    <mergeCell ref="CE181:CE183"/>
    <mergeCell ref="CE145:CE147"/>
    <mergeCell ref="CE109:CE111"/>
    <mergeCell ref="CE73:CE75"/>
    <mergeCell ref="CD244:CD246"/>
    <mergeCell ref="CD208:CD210"/>
    <mergeCell ref="CD172:CD174"/>
    <mergeCell ref="CD136:CD138"/>
    <mergeCell ref="H247:H249"/>
    <mergeCell ref="H211:H213"/>
    <mergeCell ref="H175:H177"/>
    <mergeCell ref="H139:H141"/>
    <mergeCell ref="H103:H105"/>
    <mergeCell ref="H241:H243"/>
    <mergeCell ref="H205:H207"/>
    <mergeCell ref="H169:H171"/>
    <mergeCell ref="H133:H135"/>
    <mergeCell ref="H97:H99"/>
    <mergeCell ref="H199:H201"/>
    <mergeCell ref="H163:H165"/>
    <mergeCell ref="H127:H129"/>
    <mergeCell ref="H91:H93"/>
    <mergeCell ref="H193:H195"/>
    <mergeCell ref="H157:H159"/>
    <mergeCell ref="H121:H123"/>
    <mergeCell ref="H85:H87"/>
    <mergeCell ref="H187:H189"/>
    <mergeCell ref="H151:H153"/>
    <mergeCell ref="H115:H117"/>
    <mergeCell ref="H79:H81"/>
    <mergeCell ref="H217:H219"/>
    <mergeCell ref="H181:H183"/>
    <mergeCell ref="H145:H147"/>
    <mergeCell ref="H109:H111"/>
    <mergeCell ref="H73:H75"/>
    <mergeCell ref="N247:N249"/>
    <mergeCell ref="N211:N213"/>
    <mergeCell ref="N175:N177"/>
    <mergeCell ref="N139:N141"/>
    <mergeCell ref="N103:N105"/>
    <mergeCell ref="N241:N243"/>
    <mergeCell ref="N205:N207"/>
    <mergeCell ref="N169:N171"/>
    <mergeCell ref="N133:N135"/>
    <mergeCell ref="N97:N99"/>
    <mergeCell ref="N235:N237"/>
    <mergeCell ref="N199:N201"/>
    <mergeCell ref="N163:N165"/>
    <mergeCell ref="N127:N129"/>
    <mergeCell ref="N91:N93"/>
    <mergeCell ref="N229:N231"/>
    <mergeCell ref="N193:N195"/>
    <mergeCell ref="N157:N159"/>
    <mergeCell ref="N121:N123"/>
    <mergeCell ref="N85:N87"/>
    <mergeCell ref="N223:N225"/>
    <mergeCell ref="N187:N189"/>
    <mergeCell ref="N151:N153"/>
    <mergeCell ref="N115:N117"/>
    <mergeCell ref="N79:N81"/>
    <mergeCell ref="N217:N219"/>
    <mergeCell ref="N181:N183"/>
    <mergeCell ref="N145:N147"/>
    <mergeCell ref="N109:N111"/>
    <mergeCell ref="N73:N75"/>
    <mergeCell ref="N82:N84"/>
    <mergeCell ref="N220:N222"/>
    <mergeCell ref="N184:N186"/>
    <mergeCell ref="N148:N150"/>
    <mergeCell ref="N112:N114"/>
    <mergeCell ref="N76:N78"/>
    <mergeCell ref="N214:N216"/>
    <mergeCell ref="BX133:BX135"/>
    <mergeCell ref="BX97:BX99"/>
    <mergeCell ref="BX235:BX237"/>
    <mergeCell ref="BX199:BX201"/>
    <mergeCell ref="BX163:BX165"/>
    <mergeCell ref="BX127:BX129"/>
    <mergeCell ref="BX91:BX93"/>
    <mergeCell ref="BX229:BX231"/>
    <mergeCell ref="BX193:BX195"/>
    <mergeCell ref="BX157:BX159"/>
    <mergeCell ref="BX121:BX123"/>
    <mergeCell ref="BX85:BX87"/>
    <mergeCell ref="BX223:BX225"/>
    <mergeCell ref="BX187:BX189"/>
    <mergeCell ref="BX151:BX153"/>
    <mergeCell ref="BX115:BX117"/>
    <mergeCell ref="BX79:BX81"/>
    <mergeCell ref="BX217:BX219"/>
    <mergeCell ref="BX181:BX183"/>
    <mergeCell ref="BX145:BX147"/>
    <mergeCell ref="BX109:BX111"/>
    <mergeCell ref="BX73:BX75"/>
    <mergeCell ref="BY247:BY249"/>
    <mergeCell ref="BY211:BY213"/>
    <mergeCell ref="BY175:BY177"/>
    <mergeCell ref="BY139:BY141"/>
    <mergeCell ref="BY103:BY105"/>
    <mergeCell ref="BY241:BY243"/>
    <mergeCell ref="BY205:BY207"/>
    <mergeCell ref="BY169:BY171"/>
    <mergeCell ref="BY133:BY135"/>
    <mergeCell ref="BY97:BY99"/>
    <mergeCell ref="BY235:BY237"/>
    <mergeCell ref="BY199:BY201"/>
    <mergeCell ref="BY163:BY165"/>
    <mergeCell ref="BY127:BY129"/>
    <mergeCell ref="BY91:BY93"/>
    <mergeCell ref="BY229:BY231"/>
    <mergeCell ref="BY193:BY195"/>
    <mergeCell ref="BY157:BY159"/>
    <mergeCell ref="BY121:BY123"/>
    <mergeCell ref="BY85:BY87"/>
    <mergeCell ref="BY223:BY225"/>
    <mergeCell ref="BY187:BY189"/>
    <mergeCell ref="BY151:BY153"/>
    <mergeCell ref="BY115:BY117"/>
    <mergeCell ref="BY79:BY81"/>
    <mergeCell ref="BY217:BY219"/>
    <mergeCell ref="BY181:BY183"/>
    <mergeCell ref="BY145:BY147"/>
    <mergeCell ref="BY109:BY111"/>
    <mergeCell ref="BY73:BY75"/>
    <mergeCell ref="BY244:BY246"/>
    <mergeCell ref="BY208:BY210"/>
    <mergeCell ref="BY172:BY174"/>
    <mergeCell ref="BY136:BY138"/>
    <mergeCell ref="BY100:BY102"/>
    <mergeCell ref="BY238:BY240"/>
    <mergeCell ref="BY202:BY204"/>
    <mergeCell ref="BY166:BY168"/>
    <mergeCell ref="BY130:BY132"/>
    <mergeCell ref="BY94:BY96"/>
    <mergeCell ref="BY232:BY234"/>
    <mergeCell ref="BY196:BY198"/>
    <mergeCell ref="S133:S135"/>
    <mergeCell ref="S97:S99"/>
    <mergeCell ref="S235:S237"/>
    <mergeCell ref="S199:S201"/>
    <mergeCell ref="S163:S165"/>
    <mergeCell ref="S127:S129"/>
    <mergeCell ref="S91:S93"/>
    <mergeCell ref="S229:S231"/>
    <mergeCell ref="S193:S195"/>
    <mergeCell ref="S157:S159"/>
    <mergeCell ref="S121:S123"/>
    <mergeCell ref="S85:S87"/>
    <mergeCell ref="S223:S225"/>
    <mergeCell ref="S187:S189"/>
    <mergeCell ref="S151:S153"/>
    <mergeCell ref="S115:S117"/>
    <mergeCell ref="S79:S81"/>
    <mergeCell ref="S217:S219"/>
    <mergeCell ref="S181:S183"/>
    <mergeCell ref="S145:S147"/>
    <mergeCell ref="S109:S111"/>
    <mergeCell ref="S73:S75"/>
    <mergeCell ref="BW247:BW249"/>
    <mergeCell ref="BW211:BW213"/>
    <mergeCell ref="BW175:BW177"/>
    <mergeCell ref="BW139:BW141"/>
    <mergeCell ref="BW103:BW105"/>
    <mergeCell ref="BW241:BW243"/>
    <mergeCell ref="BW205:BW207"/>
    <mergeCell ref="BW169:BW171"/>
    <mergeCell ref="BW133:BW135"/>
    <mergeCell ref="BW97:BW99"/>
    <mergeCell ref="BW235:BW237"/>
    <mergeCell ref="BW199:BW201"/>
    <mergeCell ref="BW163:BW165"/>
    <mergeCell ref="BW127:BW129"/>
    <mergeCell ref="BW91:BW93"/>
    <mergeCell ref="BW229:BW231"/>
    <mergeCell ref="BW193:BW195"/>
    <mergeCell ref="BW157:BW159"/>
    <mergeCell ref="BW121:BW123"/>
    <mergeCell ref="BW85:BW87"/>
    <mergeCell ref="BW223:BW225"/>
    <mergeCell ref="BW187:BW189"/>
    <mergeCell ref="BW151:BW153"/>
    <mergeCell ref="BW115:BW117"/>
    <mergeCell ref="BW79:BW81"/>
    <mergeCell ref="BW217:BW219"/>
    <mergeCell ref="BW181:BW183"/>
    <mergeCell ref="BW145:BW147"/>
    <mergeCell ref="BW109:BW111"/>
    <mergeCell ref="BW73:BW75"/>
    <mergeCell ref="AA247:AA249"/>
    <mergeCell ref="AA211:AA213"/>
    <mergeCell ref="AA175:AA177"/>
    <mergeCell ref="AA139:AA141"/>
    <mergeCell ref="AA103:AA105"/>
    <mergeCell ref="AA241:AA243"/>
    <mergeCell ref="AA205:AA207"/>
    <mergeCell ref="AA169:AA171"/>
    <mergeCell ref="AA133:AA135"/>
    <mergeCell ref="AA97:AA99"/>
    <mergeCell ref="AA235:AA237"/>
    <mergeCell ref="AA199:AA201"/>
    <mergeCell ref="AC247:AC249"/>
    <mergeCell ref="AC211:AC213"/>
    <mergeCell ref="AC175:AC177"/>
    <mergeCell ref="AC139:AC141"/>
    <mergeCell ref="AC103:AC105"/>
    <mergeCell ref="AC241:AC243"/>
    <mergeCell ref="AC205:AC207"/>
    <mergeCell ref="AC169:AC171"/>
    <mergeCell ref="AC133:AC135"/>
    <mergeCell ref="AC97:AC99"/>
    <mergeCell ref="AC235:AC237"/>
    <mergeCell ref="AC199:AC201"/>
    <mergeCell ref="AC163:AC165"/>
    <mergeCell ref="AC127:AC129"/>
    <mergeCell ref="AC91:AC93"/>
    <mergeCell ref="AC229:AC231"/>
    <mergeCell ref="AC193:AC195"/>
    <mergeCell ref="AC157:AC159"/>
    <mergeCell ref="AC121:AC123"/>
    <mergeCell ref="AC85:AC87"/>
    <mergeCell ref="AC223:AC225"/>
    <mergeCell ref="AC187:AC189"/>
    <mergeCell ref="AC151:AC153"/>
    <mergeCell ref="AC115:AC117"/>
    <mergeCell ref="AC79:AC81"/>
    <mergeCell ref="AC217:AC219"/>
    <mergeCell ref="AC181:AC183"/>
    <mergeCell ref="AC145:AC147"/>
    <mergeCell ref="AC109:AC111"/>
    <mergeCell ref="AC73:AC75"/>
    <mergeCell ref="CD247:CD249"/>
    <mergeCell ref="CD211:CD213"/>
    <mergeCell ref="CD175:CD177"/>
    <mergeCell ref="CD139:CD141"/>
    <mergeCell ref="CD103:CD105"/>
    <mergeCell ref="CD241:CD243"/>
    <mergeCell ref="CD205:CD207"/>
    <mergeCell ref="CD169:CD171"/>
    <mergeCell ref="CD133:CD135"/>
    <mergeCell ref="CD97:CD99"/>
    <mergeCell ref="CD235:CD237"/>
    <mergeCell ref="CD199:CD201"/>
    <mergeCell ref="CD163:CD165"/>
    <mergeCell ref="CD127:CD129"/>
    <mergeCell ref="CD91:CD93"/>
    <mergeCell ref="CD229:CD231"/>
    <mergeCell ref="CD193:CD195"/>
    <mergeCell ref="CD157:CD159"/>
    <mergeCell ref="CD121:CD123"/>
    <mergeCell ref="CD85:CD87"/>
    <mergeCell ref="CD223:CD225"/>
    <mergeCell ref="CD187:CD189"/>
    <mergeCell ref="CD151:CD153"/>
    <mergeCell ref="CD115:CD117"/>
    <mergeCell ref="CD79:CD81"/>
    <mergeCell ref="CD217:CD219"/>
    <mergeCell ref="CD181:CD183"/>
    <mergeCell ref="CD145:CD147"/>
    <mergeCell ref="CD109:CD111"/>
    <mergeCell ref="CD73:CD75"/>
    <mergeCell ref="BX247:BX249"/>
    <mergeCell ref="BX211:BX213"/>
    <mergeCell ref="BX175:BX177"/>
    <mergeCell ref="BX139:BX141"/>
    <mergeCell ref="BU103:BU105"/>
    <mergeCell ref="BU241:BU243"/>
    <mergeCell ref="BU205:BU207"/>
    <mergeCell ref="BU169:BU171"/>
    <mergeCell ref="BU133:BU135"/>
    <mergeCell ref="BU97:BU99"/>
    <mergeCell ref="BU235:BU237"/>
    <mergeCell ref="BU199:BU201"/>
    <mergeCell ref="BU163:BU165"/>
    <mergeCell ref="BU127:BU129"/>
    <mergeCell ref="BU91:BU93"/>
    <mergeCell ref="BU229:BU231"/>
    <mergeCell ref="BU193:BU195"/>
    <mergeCell ref="BU157:BU159"/>
    <mergeCell ref="BU121:BU123"/>
    <mergeCell ref="BU85:BU87"/>
    <mergeCell ref="BU223:BU225"/>
    <mergeCell ref="BU187:BU189"/>
    <mergeCell ref="BU151:BU153"/>
    <mergeCell ref="BU115:BU117"/>
    <mergeCell ref="BU79:BU81"/>
    <mergeCell ref="BU217:BU219"/>
    <mergeCell ref="BU181:BU183"/>
    <mergeCell ref="BU145:BU147"/>
    <mergeCell ref="BU109:BU111"/>
    <mergeCell ref="BU73:BU75"/>
    <mergeCell ref="BT247:BT249"/>
    <mergeCell ref="BT211:BT213"/>
    <mergeCell ref="BT175:BT177"/>
    <mergeCell ref="BT139:BT141"/>
    <mergeCell ref="BT103:BT105"/>
    <mergeCell ref="BT241:BT243"/>
    <mergeCell ref="BT205:BT207"/>
    <mergeCell ref="BT169:BT171"/>
    <mergeCell ref="BT133:BT135"/>
    <mergeCell ref="BT97:BT99"/>
    <mergeCell ref="BT235:BT237"/>
    <mergeCell ref="BT199:BT201"/>
    <mergeCell ref="BT163:BT165"/>
    <mergeCell ref="BT127:BT129"/>
    <mergeCell ref="BT91:BT93"/>
    <mergeCell ref="BT229:BT231"/>
    <mergeCell ref="BT193:BT195"/>
    <mergeCell ref="BT157:BT159"/>
    <mergeCell ref="BT121:BT123"/>
    <mergeCell ref="BT85:BT87"/>
    <mergeCell ref="BT223:BT225"/>
    <mergeCell ref="BT187:BT189"/>
    <mergeCell ref="BT151:BT153"/>
    <mergeCell ref="BT115:BT117"/>
    <mergeCell ref="BT79:BT81"/>
    <mergeCell ref="BT217:BT219"/>
    <mergeCell ref="BT181:BT183"/>
    <mergeCell ref="BT145:BT147"/>
    <mergeCell ref="BT109:BT111"/>
    <mergeCell ref="BT73:BT75"/>
    <mergeCell ref="BT196:BT198"/>
    <mergeCell ref="BT160:BT162"/>
    <mergeCell ref="BT124:BT126"/>
    <mergeCell ref="BT88:BT90"/>
    <mergeCell ref="BT226:BT228"/>
    <mergeCell ref="BT190:BT192"/>
    <mergeCell ref="BT154:BT156"/>
    <mergeCell ref="BT118:BT120"/>
    <mergeCell ref="Z247:Z249"/>
    <mergeCell ref="Z211:Z213"/>
    <mergeCell ref="Z175:Z177"/>
    <mergeCell ref="Z139:Z141"/>
    <mergeCell ref="Z103:Z105"/>
    <mergeCell ref="Z241:Z243"/>
    <mergeCell ref="Z205:Z207"/>
    <mergeCell ref="Z169:Z171"/>
    <mergeCell ref="Z133:Z135"/>
    <mergeCell ref="Z97:Z99"/>
    <mergeCell ref="Z235:Z237"/>
    <mergeCell ref="Z199:Z201"/>
    <mergeCell ref="Z163:Z165"/>
    <mergeCell ref="Z127:Z129"/>
    <mergeCell ref="Z91:Z93"/>
    <mergeCell ref="Z229:Z231"/>
    <mergeCell ref="Z193:Z195"/>
    <mergeCell ref="Z157:Z159"/>
    <mergeCell ref="Z121:Z123"/>
    <mergeCell ref="Z85:Z87"/>
    <mergeCell ref="Z223:Z225"/>
    <mergeCell ref="Z187:Z189"/>
    <mergeCell ref="Z151:Z153"/>
    <mergeCell ref="Z115:Z117"/>
    <mergeCell ref="Z79:Z81"/>
    <mergeCell ref="Z217:Z219"/>
    <mergeCell ref="Z181:Z183"/>
    <mergeCell ref="Z145:Z147"/>
    <mergeCell ref="Z109:Z111"/>
    <mergeCell ref="Z73:Z75"/>
    <mergeCell ref="AB247:AB249"/>
    <mergeCell ref="AB211:AB213"/>
    <mergeCell ref="AB175:AB177"/>
    <mergeCell ref="AB139:AB141"/>
    <mergeCell ref="AB103:AB105"/>
    <mergeCell ref="AB241:AB243"/>
    <mergeCell ref="AB205:AB207"/>
    <mergeCell ref="AB169:AB171"/>
    <mergeCell ref="AB133:AB135"/>
    <mergeCell ref="AB97:AB99"/>
    <mergeCell ref="AB235:AB237"/>
    <mergeCell ref="AB199:AB201"/>
    <mergeCell ref="AB163:AB165"/>
    <mergeCell ref="AB127:AB129"/>
    <mergeCell ref="AB91:AB93"/>
    <mergeCell ref="AB229:AB231"/>
    <mergeCell ref="AB193:AB195"/>
    <mergeCell ref="AB157:AB159"/>
    <mergeCell ref="AB121:AB123"/>
    <mergeCell ref="AB85:AB87"/>
    <mergeCell ref="AB223:AB225"/>
    <mergeCell ref="AB187:AB189"/>
    <mergeCell ref="AB151:AB153"/>
    <mergeCell ref="AB115:AB117"/>
    <mergeCell ref="AB79:AB81"/>
    <mergeCell ref="AB217:AB219"/>
    <mergeCell ref="AB181:AB183"/>
    <mergeCell ref="AB145:AB147"/>
    <mergeCell ref="AB109:AB111"/>
    <mergeCell ref="AB73:AB75"/>
    <mergeCell ref="AA163:AA165"/>
    <mergeCell ref="AA127:AA129"/>
    <mergeCell ref="AA91:AA93"/>
    <mergeCell ref="AA229:AA231"/>
    <mergeCell ref="W247:W249"/>
    <mergeCell ref="W211:W213"/>
    <mergeCell ref="W175:W177"/>
    <mergeCell ref="W139:W141"/>
    <mergeCell ref="W103:W105"/>
    <mergeCell ref="W241:W243"/>
    <mergeCell ref="W205:W207"/>
    <mergeCell ref="W169:W171"/>
    <mergeCell ref="W133:W135"/>
    <mergeCell ref="W97:W99"/>
    <mergeCell ref="W235:W237"/>
    <mergeCell ref="W199:W201"/>
    <mergeCell ref="W163:W165"/>
    <mergeCell ref="W127:W129"/>
    <mergeCell ref="W91:W93"/>
    <mergeCell ref="W229:W231"/>
    <mergeCell ref="W193:W195"/>
    <mergeCell ref="W157:W159"/>
    <mergeCell ref="W121:W123"/>
    <mergeCell ref="W85:W87"/>
    <mergeCell ref="W223:W225"/>
    <mergeCell ref="W187:W189"/>
    <mergeCell ref="W151:W153"/>
    <mergeCell ref="W115:W117"/>
    <mergeCell ref="W79:W81"/>
    <mergeCell ref="W217:W219"/>
    <mergeCell ref="W181:W183"/>
    <mergeCell ref="W145:W147"/>
    <mergeCell ref="W109:W111"/>
    <mergeCell ref="W73:W75"/>
    <mergeCell ref="Y247:Y249"/>
    <mergeCell ref="Y211:Y213"/>
    <mergeCell ref="Y175:Y177"/>
    <mergeCell ref="Y139:Y141"/>
    <mergeCell ref="Y103:Y105"/>
    <mergeCell ref="Y241:Y243"/>
    <mergeCell ref="Y205:Y207"/>
    <mergeCell ref="Y169:Y171"/>
    <mergeCell ref="Y133:Y135"/>
    <mergeCell ref="Y97:Y99"/>
    <mergeCell ref="Y235:Y237"/>
    <mergeCell ref="Y199:Y201"/>
    <mergeCell ref="Y163:Y165"/>
    <mergeCell ref="Y127:Y129"/>
    <mergeCell ref="Y91:Y93"/>
    <mergeCell ref="Y229:Y231"/>
    <mergeCell ref="Y193:Y195"/>
    <mergeCell ref="Y157:Y159"/>
    <mergeCell ref="Y121:Y123"/>
    <mergeCell ref="Y85:Y87"/>
    <mergeCell ref="Y223:Y225"/>
    <mergeCell ref="Y187:Y189"/>
    <mergeCell ref="Y151:Y153"/>
    <mergeCell ref="Y115:Y117"/>
    <mergeCell ref="Y79:Y81"/>
    <mergeCell ref="Y217:Y219"/>
    <mergeCell ref="Y181:Y183"/>
    <mergeCell ref="Y145:Y147"/>
    <mergeCell ref="Y109:Y111"/>
    <mergeCell ref="Y73:Y75"/>
    <mergeCell ref="Y220:Y222"/>
    <mergeCell ref="Y184:Y186"/>
    <mergeCell ref="Y148:Y150"/>
    <mergeCell ref="Y112:Y114"/>
    <mergeCell ref="D103:D105"/>
    <mergeCell ref="D241:D243"/>
    <mergeCell ref="D205:D207"/>
    <mergeCell ref="D169:D171"/>
    <mergeCell ref="D133:D135"/>
    <mergeCell ref="D97:D99"/>
    <mergeCell ref="D235:D237"/>
    <mergeCell ref="D199:D201"/>
    <mergeCell ref="D163:D165"/>
    <mergeCell ref="D127:D129"/>
    <mergeCell ref="D91:D93"/>
    <mergeCell ref="D229:D231"/>
    <mergeCell ref="D193:D195"/>
    <mergeCell ref="D157:D159"/>
    <mergeCell ref="D121:D123"/>
    <mergeCell ref="D85:D87"/>
    <mergeCell ref="D223:D225"/>
    <mergeCell ref="D187:D189"/>
    <mergeCell ref="D151:D153"/>
    <mergeCell ref="D115:D117"/>
    <mergeCell ref="D79:D81"/>
    <mergeCell ref="D217:D219"/>
    <mergeCell ref="D181:D183"/>
    <mergeCell ref="D145:D147"/>
    <mergeCell ref="D109:D111"/>
    <mergeCell ref="D73:D75"/>
    <mergeCell ref="U247:U249"/>
    <mergeCell ref="U211:U213"/>
    <mergeCell ref="U175:U177"/>
    <mergeCell ref="U139:U141"/>
    <mergeCell ref="U103:U105"/>
    <mergeCell ref="U241:U243"/>
    <mergeCell ref="U205:U207"/>
    <mergeCell ref="U169:U171"/>
    <mergeCell ref="U133:U135"/>
    <mergeCell ref="U97:U99"/>
    <mergeCell ref="U235:U237"/>
    <mergeCell ref="U199:U201"/>
    <mergeCell ref="U163:U165"/>
    <mergeCell ref="U127:U129"/>
    <mergeCell ref="U91:U93"/>
    <mergeCell ref="U229:U231"/>
    <mergeCell ref="U193:U195"/>
    <mergeCell ref="U157:U159"/>
    <mergeCell ref="U121:U123"/>
    <mergeCell ref="U85:U87"/>
    <mergeCell ref="U223:U225"/>
    <mergeCell ref="U187:U189"/>
    <mergeCell ref="U151:U153"/>
    <mergeCell ref="U115:U117"/>
    <mergeCell ref="U79:U81"/>
    <mergeCell ref="U217:U219"/>
    <mergeCell ref="U181:U183"/>
    <mergeCell ref="U145:U147"/>
    <mergeCell ref="U109:U111"/>
    <mergeCell ref="U73:U75"/>
    <mergeCell ref="S247:S249"/>
    <mergeCell ref="S211:S213"/>
    <mergeCell ref="S175:S177"/>
    <mergeCell ref="S139:S141"/>
    <mergeCell ref="S103:S105"/>
    <mergeCell ref="S241:S243"/>
    <mergeCell ref="S205:S207"/>
    <mergeCell ref="S169:S171"/>
    <mergeCell ref="BS247:BS249"/>
    <mergeCell ref="BS211:BS213"/>
    <mergeCell ref="BS175:BS177"/>
    <mergeCell ref="BS139:BS141"/>
    <mergeCell ref="BS103:BS105"/>
    <mergeCell ref="BS241:BS243"/>
    <mergeCell ref="BS205:BS207"/>
    <mergeCell ref="BS169:BS171"/>
    <mergeCell ref="BS133:BS135"/>
    <mergeCell ref="BS97:BS99"/>
    <mergeCell ref="BS235:BS237"/>
    <mergeCell ref="BS199:BS201"/>
    <mergeCell ref="BS163:BS165"/>
    <mergeCell ref="BS127:BS129"/>
    <mergeCell ref="BS91:BS93"/>
    <mergeCell ref="BS229:BS231"/>
    <mergeCell ref="BS193:BS195"/>
    <mergeCell ref="BS157:BS159"/>
    <mergeCell ref="BS121:BS123"/>
    <mergeCell ref="BS85:BS87"/>
    <mergeCell ref="BS223:BS225"/>
    <mergeCell ref="BS187:BS189"/>
    <mergeCell ref="BS151:BS153"/>
    <mergeCell ref="BS115:BS117"/>
    <mergeCell ref="BS79:BS81"/>
    <mergeCell ref="BS217:BS219"/>
    <mergeCell ref="BS181:BS183"/>
    <mergeCell ref="BS145:BS147"/>
    <mergeCell ref="BS109:BS111"/>
    <mergeCell ref="BS73:BS75"/>
    <mergeCell ref="DK247:DK249"/>
    <mergeCell ref="DK211:DK213"/>
    <mergeCell ref="DK175:DK177"/>
    <mergeCell ref="DK139:DK141"/>
    <mergeCell ref="DK103:DK105"/>
    <mergeCell ref="DK241:DK243"/>
    <mergeCell ref="DK205:DK207"/>
    <mergeCell ref="DK169:DK171"/>
    <mergeCell ref="DK133:DK135"/>
    <mergeCell ref="DK97:DK99"/>
    <mergeCell ref="DK235:DK237"/>
    <mergeCell ref="DK199:DK201"/>
    <mergeCell ref="DK163:DK165"/>
    <mergeCell ref="DK127:DK129"/>
    <mergeCell ref="DK91:DK93"/>
    <mergeCell ref="DK229:DK231"/>
    <mergeCell ref="DK193:DK195"/>
    <mergeCell ref="DK157:DK159"/>
    <mergeCell ref="DK121:DK123"/>
    <mergeCell ref="DK85:DK87"/>
    <mergeCell ref="DK223:DK225"/>
    <mergeCell ref="DK187:DK189"/>
    <mergeCell ref="DK151:DK153"/>
    <mergeCell ref="DK115:DK117"/>
    <mergeCell ref="DK79:DK81"/>
    <mergeCell ref="DK217:DK219"/>
    <mergeCell ref="DK181:DK183"/>
    <mergeCell ref="DK145:DK147"/>
    <mergeCell ref="DK109:DK111"/>
    <mergeCell ref="DK73:DK75"/>
    <mergeCell ref="BU247:BU249"/>
    <mergeCell ref="BU211:BU213"/>
    <mergeCell ref="BU175:BU177"/>
    <mergeCell ref="BU139:BU141"/>
    <mergeCell ref="BZ247:BZ249"/>
    <mergeCell ref="BZ211:BZ213"/>
    <mergeCell ref="BZ175:BZ177"/>
    <mergeCell ref="BZ139:BZ141"/>
    <mergeCell ref="BZ103:BZ105"/>
    <mergeCell ref="BZ241:BZ243"/>
    <mergeCell ref="BZ205:BZ207"/>
    <mergeCell ref="BZ169:BZ171"/>
    <mergeCell ref="BZ133:BZ135"/>
    <mergeCell ref="BZ97:BZ99"/>
    <mergeCell ref="BZ235:BZ237"/>
    <mergeCell ref="BZ199:BZ201"/>
    <mergeCell ref="BZ163:BZ165"/>
    <mergeCell ref="BZ127:BZ129"/>
    <mergeCell ref="BZ91:BZ93"/>
    <mergeCell ref="BZ229:BZ231"/>
    <mergeCell ref="BZ193:BZ195"/>
    <mergeCell ref="BZ157:BZ159"/>
    <mergeCell ref="BZ121:BZ123"/>
    <mergeCell ref="BZ85:BZ87"/>
    <mergeCell ref="BZ223:BZ225"/>
    <mergeCell ref="BZ187:BZ189"/>
    <mergeCell ref="BZ151:BZ153"/>
    <mergeCell ref="BZ115:BZ117"/>
    <mergeCell ref="BZ79:BZ81"/>
    <mergeCell ref="BZ217:BZ219"/>
    <mergeCell ref="BZ181:BZ183"/>
    <mergeCell ref="BZ145:BZ147"/>
    <mergeCell ref="BZ109:BZ111"/>
    <mergeCell ref="BZ73:BZ75"/>
    <mergeCell ref="BV247:BV249"/>
    <mergeCell ref="BV211:BV213"/>
    <mergeCell ref="BV175:BV177"/>
    <mergeCell ref="BV139:BV141"/>
    <mergeCell ref="BV103:BV105"/>
    <mergeCell ref="BV241:BV243"/>
    <mergeCell ref="BV205:BV207"/>
    <mergeCell ref="BV169:BV171"/>
    <mergeCell ref="BV133:BV135"/>
    <mergeCell ref="BV97:BV99"/>
    <mergeCell ref="BV235:BV237"/>
    <mergeCell ref="BV199:BV201"/>
    <mergeCell ref="BV163:BV165"/>
    <mergeCell ref="BV127:BV129"/>
    <mergeCell ref="BV91:BV93"/>
    <mergeCell ref="BV229:BV231"/>
    <mergeCell ref="BV193:BV195"/>
    <mergeCell ref="BV157:BV159"/>
    <mergeCell ref="BV121:BV123"/>
    <mergeCell ref="BV85:BV87"/>
    <mergeCell ref="BV223:BV225"/>
    <mergeCell ref="BV187:BV189"/>
    <mergeCell ref="BV151:BV153"/>
    <mergeCell ref="BV115:BV117"/>
    <mergeCell ref="BV79:BV81"/>
    <mergeCell ref="BV217:BV219"/>
    <mergeCell ref="BV181:BV183"/>
    <mergeCell ref="BV145:BV147"/>
    <mergeCell ref="BV109:BV111"/>
    <mergeCell ref="BV73:BV75"/>
    <mergeCell ref="BX103:BX105"/>
    <mergeCell ref="BX241:BX243"/>
    <mergeCell ref="BX205:BX207"/>
    <mergeCell ref="BX169:BX171"/>
    <mergeCell ref="T247:T249"/>
    <mergeCell ref="T211:T213"/>
    <mergeCell ref="T175:T177"/>
    <mergeCell ref="T139:T141"/>
    <mergeCell ref="T103:T105"/>
    <mergeCell ref="T241:T243"/>
    <mergeCell ref="T205:T207"/>
    <mergeCell ref="T169:T171"/>
    <mergeCell ref="T133:T135"/>
    <mergeCell ref="T97:T99"/>
    <mergeCell ref="T235:T237"/>
    <mergeCell ref="T199:T201"/>
    <mergeCell ref="T163:T165"/>
    <mergeCell ref="T127:T129"/>
    <mergeCell ref="T91:T93"/>
    <mergeCell ref="T229:T231"/>
    <mergeCell ref="T193:T195"/>
    <mergeCell ref="T157:T159"/>
    <mergeCell ref="T121:T123"/>
    <mergeCell ref="T85:T87"/>
    <mergeCell ref="T223:T225"/>
    <mergeCell ref="T187:T189"/>
    <mergeCell ref="T151:T153"/>
    <mergeCell ref="T115:T117"/>
    <mergeCell ref="T79:T81"/>
    <mergeCell ref="T217:T219"/>
    <mergeCell ref="T181:T183"/>
    <mergeCell ref="T145:T147"/>
    <mergeCell ref="T109:T111"/>
    <mergeCell ref="T73:T75"/>
    <mergeCell ref="A247:A249"/>
    <mergeCell ref="A211:A213"/>
    <mergeCell ref="A175:A177"/>
    <mergeCell ref="A139:A141"/>
    <mergeCell ref="A103:A105"/>
    <mergeCell ref="A241:A243"/>
    <mergeCell ref="A205:A207"/>
    <mergeCell ref="A169:A171"/>
    <mergeCell ref="A133:A135"/>
    <mergeCell ref="A97:A99"/>
    <mergeCell ref="A235:A237"/>
    <mergeCell ref="A199:A201"/>
    <mergeCell ref="A163:A165"/>
    <mergeCell ref="A127:A129"/>
    <mergeCell ref="A91:A93"/>
    <mergeCell ref="A229:A231"/>
    <mergeCell ref="A193:A195"/>
    <mergeCell ref="A157:A159"/>
    <mergeCell ref="A121:A123"/>
    <mergeCell ref="A85:A87"/>
    <mergeCell ref="A223:A225"/>
    <mergeCell ref="A187:A189"/>
    <mergeCell ref="A151:A153"/>
    <mergeCell ref="A115:A117"/>
    <mergeCell ref="A79:A81"/>
    <mergeCell ref="A217:A219"/>
    <mergeCell ref="A181:A183"/>
    <mergeCell ref="A145:A147"/>
    <mergeCell ref="A109:A111"/>
    <mergeCell ref="A73:A75"/>
    <mergeCell ref="D247:D249"/>
    <mergeCell ref="D211:D213"/>
    <mergeCell ref="D175:D177"/>
    <mergeCell ref="D139:D141"/>
    <mergeCell ref="B7:B9"/>
    <mergeCell ref="G46:G48"/>
    <mergeCell ref="G40:G42"/>
    <mergeCell ref="G34:G36"/>
    <mergeCell ref="G28:G30"/>
    <mergeCell ref="G22:G24"/>
    <mergeCell ref="G16:G18"/>
    <mergeCell ref="G10:G12"/>
    <mergeCell ref="F67:F69"/>
    <mergeCell ref="F61:F63"/>
    <mergeCell ref="F55:F57"/>
    <mergeCell ref="F49:F51"/>
    <mergeCell ref="F43:F45"/>
    <mergeCell ref="F37:F39"/>
    <mergeCell ref="F31:F33"/>
    <mergeCell ref="F25:F27"/>
    <mergeCell ref="F19:F21"/>
    <mergeCell ref="F13:F15"/>
    <mergeCell ref="F7:F9"/>
    <mergeCell ref="F64:F66"/>
    <mergeCell ref="F58:F60"/>
    <mergeCell ref="F52:F54"/>
    <mergeCell ref="F46:F48"/>
    <mergeCell ref="F40:F42"/>
    <mergeCell ref="F34:F36"/>
    <mergeCell ref="F28:F30"/>
    <mergeCell ref="F22:F24"/>
    <mergeCell ref="F16:F18"/>
    <mergeCell ref="F10:F12"/>
    <mergeCell ref="E34:E36"/>
    <mergeCell ref="E28:E30"/>
    <mergeCell ref="E22:E24"/>
    <mergeCell ref="E16:E18"/>
    <mergeCell ref="E10:E12"/>
    <mergeCell ref="G13:G15"/>
    <mergeCell ref="G61:G63"/>
    <mergeCell ref="G55:G57"/>
    <mergeCell ref="G58:G60"/>
    <mergeCell ref="G52:G54"/>
    <mergeCell ref="G67:G69"/>
    <mergeCell ref="G64:G66"/>
    <mergeCell ref="X40:X42"/>
    <mergeCell ref="X34:X36"/>
    <mergeCell ref="X28:X30"/>
    <mergeCell ref="X22:X24"/>
    <mergeCell ref="X16:X18"/>
    <mergeCell ref="X10:X12"/>
    <mergeCell ref="V64:V66"/>
    <mergeCell ref="V58:V60"/>
    <mergeCell ref="V52:V54"/>
    <mergeCell ref="V46:V48"/>
    <mergeCell ref="V40:V42"/>
    <mergeCell ref="V34:V36"/>
    <mergeCell ref="V28:V30"/>
    <mergeCell ref="V22:V24"/>
    <mergeCell ref="V16:V18"/>
    <mergeCell ref="V10:V12"/>
    <mergeCell ref="B64:B66"/>
    <mergeCell ref="B58:B60"/>
    <mergeCell ref="B52:B54"/>
    <mergeCell ref="B46:B48"/>
    <mergeCell ref="B40:B42"/>
    <mergeCell ref="B34:B36"/>
    <mergeCell ref="B28:B30"/>
    <mergeCell ref="B22:B24"/>
    <mergeCell ref="B16:B18"/>
    <mergeCell ref="B10:B12"/>
    <mergeCell ref="B67:B69"/>
    <mergeCell ref="B61:B63"/>
    <mergeCell ref="B55:B57"/>
    <mergeCell ref="B49:B51"/>
    <mergeCell ref="B43:B45"/>
    <mergeCell ref="B37:B39"/>
    <mergeCell ref="B31:B33"/>
    <mergeCell ref="B25:B27"/>
    <mergeCell ref="B19:B21"/>
    <mergeCell ref="B13:B15"/>
    <mergeCell ref="H13:H15"/>
    <mergeCell ref="N13:N15"/>
    <mergeCell ref="H31:H33"/>
    <mergeCell ref="CE64:CE66"/>
    <mergeCell ref="CE58:CE60"/>
    <mergeCell ref="CE52:CE54"/>
    <mergeCell ref="CE46:CE48"/>
    <mergeCell ref="CE40:CE42"/>
    <mergeCell ref="CE34:CE36"/>
    <mergeCell ref="CE28:CE30"/>
    <mergeCell ref="CE22:CE24"/>
    <mergeCell ref="CE16:CE18"/>
    <mergeCell ref="CE10:CE12"/>
    <mergeCell ref="CA64:CA66"/>
    <mergeCell ref="CA58:CA60"/>
    <mergeCell ref="CA52:CA54"/>
    <mergeCell ref="CA46:CA48"/>
    <mergeCell ref="CA40:CA42"/>
    <mergeCell ref="CA34:CA36"/>
    <mergeCell ref="CA28:CA30"/>
    <mergeCell ref="CA22:CA24"/>
    <mergeCell ref="CA16:CA18"/>
    <mergeCell ref="CA10:CA12"/>
    <mergeCell ref="CC64:CC66"/>
    <mergeCell ref="CC58:CC60"/>
    <mergeCell ref="CC52:CC54"/>
    <mergeCell ref="CC46:CC48"/>
    <mergeCell ref="CC40:CC42"/>
    <mergeCell ref="CC34:CC36"/>
    <mergeCell ref="CC28:CC30"/>
    <mergeCell ref="CC22:CC24"/>
    <mergeCell ref="CC16:CC18"/>
    <mergeCell ref="CC10:CC12"/>
    <mergeCell ref="AA64:AA66"/>
    <mergeCell ref="AA58:AA60"/>
    <mergeCell ref="AA52:AA54"/>
    <mergeCell ref="AA46:AA48"/>
    <mergeCell ref="AA40:AA42"/>
    <mergeCell ref="AA34:AA36"/>
    <mergeCell ref="AA28:AA30"/>
    <mergeCell ref="AA22:AA24"/>
    <mergeCell ref="AA16:AA18"/>
    <mergeCell ref="AA10:AA12"/>
    <mergeCell ref="CD64:CD66"/>
    <mergeCell ref="CD58:CD60"/>
    <mergeCell ref="CD52:CD54"/>
    <mergeCell ref="CD46:CD48"/>
    <mergeCell ref="CD40:CD42"/>
    <mergeCell ref="CD34:CD36"/>
    <mergeCell ref="CD28:CD30"/>
    <mergeCell ref="CD22:CD24"/>
    <mergeCell ref="CD16:CD18"/>
    <mergeCell ref="CD10:CD12"/>
    <mergeCell ref="S64:S66"/>
    <mergeCell ref="S58:S60"/>
    <mergeCell ref="S52:S54"/>
    <mergeCell ref="S46:S48"/>
    <mergeCell ref="S40:S42"/>
    <mergeCell ref="S34:S36"/>
    <mergeCell ref="S28:S30"/>
    <mergeCell ref="S22:S24"/>
    <mergeCell ref="S16:S18"/>
    <mergeCell ref="S10:S12"/>
    <mergeCell ref="BW64:BW66"/>
    <mergeCell ref="BW58:BW60"/>
    <mergeCell ref="BW52:BW54"/>
    <mergeCell ref="BW46:BW48"/>
    <mergeCell ref="BW40:BW42"/>
    <mergeCell ref="BW34:BW36"/>
    <mergeCell ref="BW28:BW30"/>
    <mergeCell ref="BW22:BW24"/>
    <mergeCell ref="BW16:BW18"/>
    <mergeCell ref="BW10:BW12"/>
    <mergeCell ref="BX64:BX66"/>
    <mergeCell ref="BX58:BX60"/>
    <mergeCell ref="BX52:BX54"/>
    <mergeCell ref="BX46:BX48"/>
    <mergeCell ref="BX40:BX42"/>
    <mergeCell ref="BX34:BX36"/>
    <mergeCell ref="BX28:BX30"/>
    <mergeCell ref="BX22:BX24"/>
    <mergeCell ref="BX16:BX18"/>
    <mergeCell ref="BX10:BX12"/>
    <mergeCell ref="BY64:BY66"/>
    <mergeCell ref="BY58:BY60"/>
    <mergeCell ref="BY52:BY54"/>
    <mergeCell ref="BY46:BY48"/>
    <mergeCell ref="BY40:BY42"/>
    <mergeCell ref="BY34:BY36"/>
    <mergeCell ref="BY28:BY30"/>
    <mergeCell ref="BY22:BY24"/>
    <mergeCell ref="BY16:BY18"/>
    <mergeCell ref="BY10:BY12"/>
    <mergeCell ref="CB64:CB66"/>
    <mergeCell ref="CB58:CB60"/>
    <mergeCell ref="CB52:CB54"/>
    <mergeCell ref="CB46:CB48"/>
    <mergeCell ref="CB40:CB42"/>
    <mergeCell ref="CB34:CB36"/>
    <mergeCell ref="CB28:CB30"/>
    <mergeCell ref="CB22:CB24"/>
    <mergeCell ref="CB16:CB18"/>
    <mergeCell ref="CB10:CB12"/>
    <mergeCell ref="X64:X66"/>
    <mergeCell ref="X58:X60"/>
    <mergeCell ref="X52:X54"/>
    <mergeCell ref="X46:X48"/>
    <mergeCell ref="DK64:DK66"/>
    <mergeCell ref="DK58:DK60"/>
    <mergeCell ref="DK52:DK54"/>
    <mergeCell ref="DK46:DK48"/>
    <mergeCell ref="DK40:DK42"/>
    <mergeCell ref="DK34:DK36"/>
    <mergeCell ref="DK28:DK30"/>
    <mergeCell ref="DK22:DK24"/>
    <mergeCell ref="DK16:DK18"/>
    <mergeCell ref="DK10:DK12"/>
    <mergeCell ref="D64:D66"/>
    <mergeCell ref="D58:D60"/>
    <mergeCell ref="D52:D54"/>
    <mergeCell ref="D46:D48"/>
    <mergeCell ref="D40:D42"/>
    <mergeCell ref="D34:D36"/>
    <mergeCell ref="D28:D30"/>
    <mergeCell ref="D22:D24"/>
    <mergeCell ref="D16:D18"/>
    <mergeCell ref="D10:D12"/>
    <mergeCell ref="U64:U66"/>
    <mergeCell ref="U58:U60"/>
    <mergeCell ref="U52:U54"/>
    <mergeCell ref="U46:U48"/>
    <mergeCell ref="U40:U42"/>
    <mergeCell ref="U34:U36"/>
    <mergeCell ref="U28:U30"/>
    <mergeCell ref="U22:U24"/>
    <mergeCell ref="U16:U18"/>
    <mergeCell ref="U10:U12"/>
    <mergeCell ref="W64:W66"/>
    <mergeCell ref="W58:W60"/>
    <mergeCell ref="W52:W54"/>
    <mergeCell ref="W46:W48"/>
    <mergeCell ref="W40:W42"/>
    <mergeCell ref="W34:W36"/>
    <mergeCell ref="W28:W30"/>
    <mergeCell ref="W22:W24"/>
    <mergeCell ref="W16:W18"/>
    <mergeCell ref="W10:W12"/>
    <mergeCell ref="Y64:Y66"/>
    <mergeCell ref="Y58:Y60"/>
    <mergeCell ref="Y52:Y54"/>
    <mergeCell ref="Y46:Y48"/>
    <mergeCell ref="Y40:Y42"/>
    <mergeCell ref="Y34:Y36"/>
    <mergeCell ref="Y28:Y30"/>
    <mergeCell ref="Y22:Y24"/>
    <mergeCell ref="Y16:Y18"/>
    <mergeCell ref="Y10:Y12"/>
    <mergeCell ref="Z64:Z66"/>
    <mergeCell ref="Z58:Z60"/>
    <mergeCell ref="Z52:Z54"/>
    <mergeCell ref="Z46:Z48"/>
    <mergeCell ref="Z40:Z42"/>
    <mergeCell ref="Z34:Z36"/>
    <mergeCell ref="Z28:Z30"/>
    <mergeCell ref="Z22:Z24"/>
    <mergeCell ref="Z16:Z18"/>
    <mergeCell ref="Z10:Z12"/>
    <mergeCell ref="AB64:AB66"/>
    <mergeCell ref="AB58:AB60"/>
    <mergeCell ref="AB52:AB54"/>
    <mergeCell ref="AB46:AB48"/>
    <mergeCell ref="A64:A66"/>
    <mergeCell ref="A58:A60"/>
    <mergeCell ref="A52:A54"/>
    <mergeCell ref="A46:A48"/>
    <mergeCell ref="A40:A42"/>
    <mergeCell ref="A34:A36"/>
    <mergeCell ref="A28:A30"/>
    <mergeCell ref="A22:A24"/>
    <mergeCell ref="A16:A18"/>
    <mergeCell ref="A10:A12"/>
    <mergeCell ref="BZ64:BZ66"/>
    <mergeCell ref="BZ58:BZ60"/>
    <mergeCell ref="BZ52:BZ54"/>
    <mergeCell ref="BZ46:BZ48"/>
    <mergeCell ref="BZ40:BZ42"/>
    <mergeCell ref="BZ34:BZ36"/>
    <mergeCell ref="BZ28:BZ30"/>
    <mergeCell ref="BZ22:BZ24"/>
    <mergeCell ref="BZ16:BZ18"/>
    <mergeCell ref="BZ10:BZ12"/>
    <mergeCell ref="BV64:BV66"/>
    <mergeCell ref="BV58:BV60"/>
    <mergeCell ref="BV52:BV54"/>
    <mergeCell ref="BV46:BV48"/>
    <mergeCell ref="BV40:BV42"/>
    <mergeCell ref="BV34:BV36"/>
    <mergeCell ref="BV28:BV30"/>
    <mergeCell ref="BV22:BV24"/>
    <mergeCell ref="BV16:BV18"/>
    <mergeCell ref="BV10:BV12"/>
    <mergeCell ref="BS64:BS66"/>
    <mergeCell ref="BS58:BS60"/>
    <mergeCell ref="BS52:BS54"/>
    <mergeCell ref="BS46:BS48"/>
    <mergeCell ref="BS40:BS42"/>
    <mergeCell ref="BS34:BS36"/>
    <mergeCell ref="BS28:BS30"/>
    <mergeCell ref="BS22:BS24"/>
    <mergeCell ref="BS16:BS18"/>
    <mergeCell ref="BS10:BS12"/>
    <mergeCell ref="AB40:AB42"/>
    <mergeCell ref="AB34:AB36"/>
    <mergeCell ref="AB28:AB30"/>
    <mergeCell ref="AB22:AB24"/>
    <mergeCell ref="AB16:AB18"/>
    <mergeCell ref="AB10:AB12"/>
    <mergeCell ref="BU64:BU66"/>
    <mergeCell ref="BU58:BU60"/>
    <mergeCell ref="BU52:BU54"/>
    <mergeCell ref="BU46:BU48"/>
    <mergeCell ref="BU40:BU42"/>
    <mergeCell ref="BU34:BU36"/>
    <mergeCell ref="BU28:BU30"/>
    <mergeCell ref="BU22:BU24"/>
    <mergeCell ref="BU16:BU18"/>
    <mergeCell ref="BU10:BU12"/>
    <mergeCell ref="BT64:BT66"/>
    <mergeCell ref="BT58:BT60"/>
    <mergeCell ref="BT52:BT54"/>
    <mergeCell ref="BT46:BT48"/>
    <mergeCell ref="BT40:BT42"/>
    <mergeCell ref="BT34:BT36"/>
    <mergeCell ref="BT28:BT30"/>
    <mergeCell ref="BT22:BT24"/>
    <mergeCell ref="X61:X63"/>
    <mergeCell ref="X55:X57"/>
    <mergeCell ref="X49:X51"/>
    <mergeCell ref="X43:X45"/>
    <mergeCell ref="X37:X39"/>
    <mergeCell ref="X31:X33"/>
    <mergeCell ref="X25:X27"/>
    <mergeCell ref="X19:X21"/>
    <mergeCell ref="X13:X15"/>
    <mergeCell ref="X7:X9"/>
    <mergeCell ref="V67:V69"/>
    <mergeCell ref="V61:V63"/>
    <mergeCell ref="V55:V57"/>
    <mergeCell ref="V49:V51"/>
    <mergeCell ref="V43:V45"/>
    <mergeCell ref="V37:V39"/>
    <mergeCell ref="V31:V33"/>
    <mergeCell ref="V25:V27"/>
    <mergeCell ref="V19:V21"/>
    <mergeCell ref="V13:V15"/>
    <mergeCell ref="V7:V9"/>
    <mergeCell ref="G49:G51"/>
    <mergeCell ref="G43:G45"/>
    <mergeCell ref="G37:G39"/>
    <mergeCell ref="G31:G33"/>
    <mergeCell ref="G25:G27"/>
    <mergeCell ref="G19:G21"/>
    <mergeCell ref="G7:G9"/>
    <mergeCell ref="E37:E39"/>
    <mergeCell ref="E31:E33"/>
    <mergeCell ref="E25:E27"/>
    <mergeCell ref="E19:E21"/>
    <mergeCell ref="E13:E15"/>
    <mergeCell ref="E7:E9"/>
    <mergeCell ref="T64:T66"/>
    <mergeCell ref="T58:T60"/>
    <mergeCell ref="T52:T54"/>
    <mergeCell ref="T46:T48"/>
    <mergeCell ref="T40:T42"/>
    <mergeCell ref="T34:T36"/>
    <mergeCell ref="T28:T30"/>
    <mergeCell ref="T22:T24"/>
    <mergeCell ref="T16:T18"/>
    <mergeCell ref="T10:T12"/>
    <mergeCell ref="H64:H66"/>
    <mergeCell ref="H58:H60"/>
    <mergeCell ref="H52:H54"/>
    <mergeCell ref="H46:H48"/>
    <mergeCell ref="H40:H42"/>
    <mergeCell ref="H34:H36"/>
    <mergeCell ref="H28:H30"/>
    <mergeCell ref="H22:H24"/>
    <mergeCell ref="H16:H18"/>
    <mergeCell ref="H10:H12"/>
    <mergeCell ref="N64:N66"/>
    <mergeCell ref="N58:N60"/>
    <mergeCell ref="N52:N54"/>
    <mergeCell ref="N46:N48"/>
    <mergeCell ref="N40:N42"/>
    <mergeCell ref="N34:N36"/>
    <mergeCell ref="N28:N30"/>
    <mergeCell ref="N22:N24"/>
    <mergeCell ref="N16:N18"/>
    <mergeCell ref="N10:N12"/>
    <mergeCell ref="H67:H69"/>
    <mergeCell ref="H55:H57"/>
    <mergeCell ref="H49:H51"/>
    <mergeCell ref="H43:H45"/>
    <mergeCell ref="H37:H39"/>
    <mergeCell ref="H25:H27"/>
    <mergeCell ref="H19:H21"/>
    <mergeCell ref="N67:N69"/>
    <mergeCell ref="N61:N63"/>
    <mergeCell ref="N55:N57"/>
    <mergeCell ref="N49:N51"/>
    <mergeCell ref="N43:N45"/>
    <mergeCell ref="N37:N39"/>
    <mergeCell ref="N31:N33"/>
    <mergeCell ref="N25:N27"/>
    <mergeCell ref="N19:N21"/>
    <mergeCell ref="N7:N9"/>
    <mergeCell ref="CB67:CB69"/>
    <mergeCell ref="CB61:CB63"/>
    <mergeCell ref="CB55:CB57"/>
    <mergeCell ref="CB49:CB51"/>
    <mergeCell ref="CB43:CB45"/>
    <mergeCell ref="CB37:CB39"/>
    <mergeCell ref="CB31:CB33"/>
    <mergeCell ref="CB25:CB27"/>
    <mergeCell ref="CB19:CB21"/>
    <mergeCell ref="CB13:CB15"/>
    <mergeCell ref="CB7:CB9"/>
    <mergeCell ref="CE67:CE69"/>
    <mergeCell ref="CE61:CE63"/>
    <mergeCell ref="CE55:CE57"/>
    <mergeCell ref="CE49:CE51"/>
    <mergeCell ref="CE43:CE45"/>
    <mergeCell ref="CE37:CE39"/>
    <mergeCell ref="CE31:CE33"/>
    <mergeCell ref="CE25:CE27"/>
    <mergeCell ref="CE19:CE21"/>
    <mergeCell ref="CE13:CE15"/>
    <mergeCell ref="CE7:CE9"/>
    <mergeCell ref="CA67:CA69"/>
    <mergeCell ref="CA61:CA63"/>
    <mergeCell ref="CA55:CA57"/>
    <mergeCell ref="CA49:CA51"/>
    <mergeCell ref="CA43:CA45"/>
    <mergeCell ref="CA37:CA39"/>
    <mergeCell ref="CA31:CA33"/>
    <mergeCell ref="CA25:CA27"/>
    <mergeCell ref="CA19:CA21"/>
    <mergeCell ref="CA13:CA15"/>
    <mergeCell ref="CA7:CA9"/>
    <mergeCell ref="CC67:CC69"/>
    <mergeCell ref="CC61:CC63"/>
    <mergeCell ref="CC55:CC57"/>
    <mergeCell ref="CC49:CC51"/>
    <mergeCell ref="CC43:CC45"/>
    <mergeCell ref="CC37:CC39"/>
    <mergeCell ref="CC31:CC33"/>
    <mergeCell ref="CC25:CC27"/>
    <mergeCell ref="CC19:CC21"/>
    <mergeCell ref="CC13:CC15"/>
    <mergeCell ref="CC7:CC9"/>
    <mergeCell ref="AA67:AA69"/>
    <mergeCell ref="AA61:AA63"/>
    <mergeCell ref="AA55:AA57"/>
    <mergeCell ref="CD67:CD69"/>
    <mergeCell ref="CD61:CD63"/>
    <mergeCell ref="CD55:CD57"/>
    <mergeCell ref="CD49:CD51"/>
    <mergeCell ref="CD43:CD45"/>
    <mergeCell ref="CD37:CD39"/>
    <mergeCell ref="CD31:CD33"/>
    <mergeCell ref="CD25:CD27"/>
    <mergeCell ref="CD19:CD21"/>
    <mergeCell ref="CD13:CD15"/>
    <mergeCell ref="CD7:CD9"/>
    <mergeCell ref="S67:S69"/>
    <mergeCell ref="S61:S63"/>
    <mergeCell ref="S55:S57"/>
    <mergeCell ref="S49:S51"/>
    <mergeCell ref="S43:S45"/>
    <mergeCell ref="S37:S39"/>
    <mergeCell ref="S31:S33"/>
    <mergeCell ref="S25:S27"/>
    <mergeCell ref="S19:S21"/>
    <mergeCell ref="S13:S15"/>
    <mergeCell ref="S7:S9"/>
    <mergeCell ref="BW67:BW69"/>
    <mergeCell ref="BW61:BW63"/>
    <mergeCell ref="BW55:BW57"/>
    <mergeCell ref="BW49:BW51"/>
    <mergeCell ref="BW43:BW45"/>
    <mergeCell ref="BW37:BW39"/>
    <mergeCell ref="BW31:BW33"/>
    <mergeCell ref="BW25:BW27"/>
    <mergeCell ref="BW19:BW21"/>
    <mergeCell ref="BW13:BW15"/>
    <mergeCell ref="BW7:BW9"/>
    <mergeCell ref="BX67:BX69"/>
    <mergeCell ref="BX61:BX63"/>
    <mergeCell ref="BX55:BX57"/>
    <mergeCell ref="BX49:BX51"/>
    <mergeCell ref="BX43:BX45"/>
    <mergeCell ref="BX37:BX39"/>
    <mergeCell ref="BX31:BX33"/>
    <mergeCell ref="BX25:BX27"/>
    <mergeCell ref="BX19:BX21"/>
    <mergeCell ref="BX13:BX15"/>
    <mergeCell ref="BX7:BX9"/>
    <mergeCell ref="BY67:BY69"/>
    <mergeCell ref="BY61:BY63"/>
    <mergeCell ref="BY55:BY57"/>
    <mergeCell ref="BY49:BY51"/>
    <mergeCell ref="BY43:BY45"/>
    <mergeCell ref="BY37:BY39"/>
    <mergeCell ref="BY31:BY33"/>
    <mergeCell ref="BY25:BY27"/>
    <mergeCell ref="BY19:BY21"/>
    <mergeCell ref="BY13:BY15"/>
    <mergeCell ref="BY7:BY9"/>
    <mergeCell ref="AA49:AA51"/>
    <mergeCell ref="AA43:AA45"/>
    <mergeCell ref="AA37:AA39"/>
    <mergeCell ref="AA31:AA33"/>
    <mergeCell ref="AA25:AA27"/>
    <mergeCell ref="AA19:AA21"/>
    <mergeCell ref="AA13:AA15"/>
    <mergeCell ref="AA7:AA9"/>
    <mergeCell ref="X67:X69"/>
    <mergeCell ref="Z43:Z45"/>
    <mergeCell ref="Z37:Z39"/>
    <mergeCell ref="Z31:Z33"/>
    <mergeCell ref="Z25:Z27"/>
    <mergeCell ref="Z19:Z21"/>
    <mergeCell ref="Z13:Z15"/>
    <mergeCell ref="Z7:Z9"/>
    <mergeCell ref="AB67:AB69"/>
    <mergeCell ref="AB61:AB63"/>
    <mergeCell ref="AB55:AB57"/>
    <mergeCell ref="AB49:AB51"/>
    <mergeCell ref="AB43:AB45"/>
    <mergeCell ref="AB37:AB39"/>
    <mergeCell ref="AB31:AB33"/>
    <mergeCell ref="AB25:AB27"/>
    <mergeCell ref="AB19:AB21"/>
    <mergeCell ref="AB13:AB15"/>
    <mergeCell ref="AB7:AB9"/>
    <mergeCell ref="BU67:BU69"/>
    <mergeCell ref="BU61:BU63"/>
    <mergeCell ref="BU55:BU57"/>
    <mergeCell ref="BU49:BU51"/>
    <mergeCell ref="BU43:BU45"/>
    <mergeCell ref="BU37:BU39"/>
    <mergeCell ref="BU31:BU33"/>
    <mergeCell ref="BU25:BU27"/>
    <mergeCell ref="BU19:BU21"/>
    <mergeCell ref="BU13:BU15"/>
    <mergeCell ref="BU7:BU9"/>
    <mergeCell ref="BT67:BT69"/>
    <mergeCell ref="BT61:BT63"/>
    <mergeCell ref="BT55:BT57"/>
    <mergeCell ref="BT49:BT51"/>
    <mergeCell ref="BT43:BT45"/>
    <mergeCell ref="BT37:BT39"/>
    <mergeCell ref="BT31:BT33"/>
    <mergeCell ref="BT25:BT27"/>
    <mergeCell ref="BT19:BT21"/>
    <mergeCell ref="BT13:BT15"/>
    <mergeCell ref="BT7:BT9"/>
    <mergeCell ref="AC67:AC69"/>
    <mergeCell ref="AC61:AC63"/>
    <mergeCell ref="AC55:AC57"/>
    <mergeCell ref="AC49:AC51"/>
    <mergeCell ref="AC43:AC45"/>
    <mergeCell ref="AC37:AC39"/>
    <mergeCell ref="AC31:AC33"/>
    <mergeCell ref="AC25:AC27"/>
    <mergeCell ref="AC19:AC21"/>
    <mergeCell ref="AC13:AC15"/>
    <mergeCell ref="AC7:AC9"/>
    <mergeCell ref="BT16:BT18"/>
    <mergeCell ref="BT10:BT12"/>
    <mergeCell ref="AC64:AC66"/>
    <mergeCell ref="AC58:AC60"/>
    <mergeCell ref="AC52:AC54"/>
    <mergeCell ref="AC46:AC48"/>
    <mergeCell ref="AC40:AC42"/>
    <mergeCell ref="AC34:AC36"/>
    <mergeCell ref="AC28:AC30"/>
    <mergeCell ref="AC22:AC24"/>
    <mergeCell ref="AC16:AC18"/>
    <mergeCell ref="AC10:AC12"/>
    <mergeCell ref="BS31:BS33"/>
    <mergeCell ref="BS25:BS27"/>
    <mergeCell ref="BS19:BS21"/>
    <mergeCell ref="BS13:BS15"/>
    <mergeCell ref="BS7:BS9"/>
    <mergeCell ref="DK67:DK69"/>
    <mergeCell ref="DK61:DK63"/>
    <mergeCell ref="DK55:DK57"/>
    <mergeCell ref="DK49:DK51"/>
    <mergeCell ref="DK43:DK45"/>
    <mergeCell ref="DK37:DK39"/>
    <mergeCell ref="DK31:DK33"/>
    <mergeCell ref="DK25:DK27"/>
    <mergeCell ref="DK19:DK21"/>
    <mergeCell ref="DK13:DK15"/>
    <mergeCell ref="DK7:DK9"/>
    <mergeCell ref="D67:D69"/>
    <mergeCell ref="D61:D63"/>
    <mergeCell ref="D55:D57"/>
    <mergeCell ref="D49:D51"/>
    <mergeCell ref="D43:D45"/>
    <mergeCell ref="D37:D39"/>
    <mergeCell ref="D31:D33"/>
    <mergeCell ref="D25:D27"/>
    <mergeCell ref="D19:D21"/>
    <mergeCell ref="D13:D15"/>
    <mergeCell ref="D7:D9"/>
    <mergeCell ref="U67:U69"/>
    <mergeCell ref="U61:U63"/>
    <mergeCell ref="U55:U57"/>
    <mergeCell ref="U49:U51"/>
    <mergeCell ref="U43:U45"/>
    <mergeCell ref="U37:U39"/>
    <mergeCell ref="U31:U33"/>
    <mergeCell ref="U25:U27"/>
    <mergeCell ref="U19:U21"/>
    <mergeCell ref="U13:U15"/>
    <mergeCell ref="U7:U9"/>
    <mergeCell ref="W67:W69"/>
    <mergeCell ref="W61:W63"/>
    <mergeCell ref="W55:W57"/>
    <mergeCell ref="W49:W51"/>
    <mergeCell ref="W43:W45"/>
    <mergeCell ref="W37:W39"/>
    <mergeCell ref="W31:W33"/>
    <mergeCell ref="W25:W27"/>
    <mergeCell ref="W19:W21"/>
    <mergeCell ref="W13:W15"/>
    <mergeCell ref="W7:W9"/>
    <mergeCell ref="Y67:Y69"/>
    <mergeCell ref="Y61:Y63"/>
    <mergeCell ref="Y55:Y57"/>
    <mergeCell ref="Y49:Y51"/>
    <mergeCell ref="Y43:Y45"/>
    <mergeCell ref="Y37:Y39"/>
    <mergeCell ref="Y31:Y33"/>
    <mergeCell ref="Y25:Y27"/>
    <mergeCell ref="Y19:Y21"/>
    <mergeCell ref="Y13:Y15"/>
    <mergeCell ref="Y7:Y9"/>
    <mergeCell ref="Z67:Z69"/>
    <mergeCell ref="Z61:Z63"/>
    <mergeCell ref="Z55:Z57"/>
    <mergeCell ref="Z49:Z51"/>
    <mergeCell ref="Y2:Y3"/>
    <mergeCell ref="C2:C3"/>
    <mergeCell ref="D2:E3"/>
    <mergeCell ref="A2:A3"/>
    <mergeCell ref="I2:J3"/>
    <mergeCell ref="CA4:CA6"/>
    <mergeCell ref="CV3:CW3"/>
    <mergeCell ref="CC4:CC6"/>
    <mergeCell ref="CZ3:DA3"/>
    <mergeCell ref="AA2:AA3"/>
    <mergeCell ref="AA4:AA6"/>
    <mergeCell ref="X4:X6"/>
    <mergeCell ref="AD2:AD3"/>
    <mergeCell ref="B4:B6"/>
    <mergeCell ref="T67:T69"/>
    <mergeCell ref="T61:T63"/>
    <mergeCell ref="T55:T57"/>
    <mergeCell ref="T49:T51"/>
    <mergeCell ref="T43:T45"/>
    <mergeCell ref="T37:T39"/>
    <mergeCell ref="T31:T33"/>
    <mergeCell ref="T25:T27"/>
    <mergeCell ref="T19:T21"/>
    <mergeCell ref="T13:T15"/>
    <mergeCell ref="T7:T9"/>
    <mergeCell ref="A67:A69"/>
    <mergeCell ref="A61:A63"/>
    <mergeCell ref="A55:A57"/>
    <mergeCell ref="A49:A51"/>
    <mergeCell ref="A43:A45"/>
    <mergeCell ref="A37:A39"/>
    <mergeCell ref="A31:A33"/>
    <mergeCell ref="A25:A27"/>
    <mergeCell ref="A19:A21"/>
    <mergeCell ref="A13:A15"/>
    <mergeCell ref="A7:A9"/>
    <mergeCell ref="BZ67:BZ69"/>
    <mergeCell ref="BZ61:BZ63"/>
    <mergeCell ref="BZ55:BZ57"/>
    <mergeCell ref="BZ49:BZ51"/>
    <mergeCell ref="BZ43:BZ45"/>
    <mergeCell ref="BZ37:BZ39"/>
    <mergeCell ref="BZ31:BZ33"/>
    <mergeCell ref="BZ25:BZ27"/>
    <mergeCell ref="BZ19:BZ21"/>
    <mergeCell ref="BZ13:BZ15"/>
    <mergeCell ref="BZ7:BZ9"/>
    <mergeCell ref="BV67:BV69"/>
    <mergeCell ref="BV61:BV63"/>
    <mergeCell ref="BV55:BV57"/>
    <mergeCell ref="BV49:BV51"/>
    <mergeCell ref="BV43:BV45"/>
    <mergeCell ref="BV37:BV39"/>
    <mergeCell ref="BV31:BV33"/>
    <mergeCell ref="BV25:BV27"/>
    <mergeCell ref="BV19:BV21"/>
    <mergeCell ref="BV13:BV15"/>
    <mergeCell ref="BV7:BV9"/>
    <mergeCell ref="BS67:BS69"/>
    <mergeCell ref="BS61:BS63"/>
    <mergeCell ref="BS55:BS57"/>
    <mergeCell ref="BS49:BS51"/>
    <mergeCell ref="BS43:BS45"/>
    <mergeCell ref="BS37:BS39"/>
    <mergeCell ref="A1:DK1"/>
    <mergeCell ref="D4:D6"/>
    <mergeCell ref="G4:G6"/>
    <mergeCell ref="T4:T6"/>
    <mergeCell ref="U4:U6"/>
    <mergeCell ref="Y4:Y6"/>
    <mergeCell ref="Z4:Z6"/>
    <mergeCell ref="E4:E6"/>
    <mergeCell ref="AB4:AB6"/>
    <mergeCell ref="W4:W6"/>
    <mergeCell ref="V4:V6"/>
    <mergeCell ref="A4:A6"/>
    <mergeCell ref="BZ4:BZ6"/>
    <mergeCell ref="BV4:BV6"/>
    <mergeCell ref="BS4:BS6"/>
    <mergeCell ref="DK4:DK6"/>
    <mergeCell ref="BU4:BU6"/>
    <mergeCell ref="BT4:BT6"/>
    <mergeCell ref="AC4:AC6"/>
    <mergeCell ref="F4:F6"/>
    <mergeCell ref="CD4:CD6"/>
    <mergeCell ref="S4:S6"/>
    <mergeCell ref="BW4:BW6"/>
    <mergeCell ref="BX4:BX6"/>
    <mergeCell ref="N4:N6"/>
    <mergeCell ref="BY4:BY6"/>
    <mergeCell ref="CB4:CB6"/>
    <mergeCell ref="CE4:CE6"/>
    <mergeCell ref="AF2:AR2"/>
    <mergeCell ref="AS2:BE2"/>
    <mergeCell ref="BF2:BR2"/>
    <mergeCell ref="BS2:CE2"/>
    <mergeCell ref="CF2:DE2"/>
    <mergeCell ref="CF3:CG3"/>
    <mergeCell ref="CH3:CI3"/>
    <mergeCell ref="CJ3:CK3"/>
    <mergeCell ref="CL3:CM3"/>
    <mergeCell ref="CN3:CO3"/>
    <mergeCell ref="CP3:CQ3"/>
    <mergeCell ref="CR3:CS3"/>
    <mergeCell ref="CT3:CU3"/>
    <mergeCell ref="CX3:CY3"/>
    <mergeCell ref="DB3:DC3"/>
    <mergeCell ref="DD3:DE3"/>
    <mergeCell ref="G2:G3"/>
    <mergeCell ref="H2:H3"/>
    <mergeCell ref="K2:K3"/>
    <mergeCell ref="L2:L3"/>
    <mergeCell ref="M2:M3"/>
    <mergeCell ref="N2:N3"/>
    <mergeCell ref="O2:O3"/>
    <mergeCell ref="P2:P3"/>
    <mergeCell ref="Q2:Q3"/>
    <mergeCell ref="R2:R3"/>
    <mergeCell ref="S2:S3"/>
    <mergeCell ref="T2:T3"/>
    <mergeCell ref="U2:U3"/>
    <mergeCell ref="V2:V3"/>
    <mergeCell ref="W2:W3"/>
    <mergeCell ref="X2:X3"/>
    <mergeCell ref="AE2:AE3"/>
    <mergeCell ref="AC2:AC3"/>
    <mergeCell ref="AB2:AB3"/>
    <mergeCell ref="Z2:Z3"/>
  </mergeCells>
  <conditionalFormatting sqref="A2 B3">
    <cfRule type="cellIs" dxfId="177" priority="1" stopIfTrue="1" operator="equal">
      <formula>"OK"</formula>
    </cfRule>
  </conditionalFormatting>
  <conditionalFormatting sqref="C2 C4:C954">
    <cfRule type="cellIs" dxfId="176" priority="2" stopIfTrue="1" operator="equal">
      <formula>"W"</formula>
    </cfRule>
    <cfRule type="cellIs" dxfId="175" priority="2" stopIfTrue="1" operator="equal">
      <formula>"L"</formula>
    </cfRule>
    <cfRule type="cellIs" dxfId="174" priority="3" stopIfTrue="1" operator="equal">
      <formula>"1/2W"</formula>
    </cfRule>
    <cfRule type="cellIs" dxfId="173" priority="4" stopIfTrue="1" operator="equal">
      <formula>"1/2L"</formula>
    </cfRule>
    <cfRule type="cellIs" dxfId="172" priority="5" stopIfTrue="1" operator="equal">
      <formula>"X"</formula>
    </cfRule>
  </conditionalFormatting>
  <conditionalFormatting sqref="F2:F3">
    <cfRule type="cellIs" dxfId="171" priority="6" stopIfTrue="1" operator="equal">
      <formula>"!!!"</formula>
    </cfRule>
  </conditionalFormatting>
  <conditionalFormatting sqref="G2:H2 G4:H4 G7:H7 G10:H10 G11:G13 H13 G16:H16 G17:G19 H19 G22:H22 G23:G25 H25 G28:H28 G29:G31 H31 G34:H34 G35:G37 H37 G40:H40 G41:G43 H43 G46:H46 G47:G49 H49 G52:H52 G53:G55 H55 G58:H58 G59:G61 H61 G64:H64 G65:G67 H67 G70:H70 G71:G73 H73 G76:H76 G77:G79 H79 G82:H82 G83:G85 H85 G88:H88 G89:G91 H91 G94:H94 G95:G97 H97 G100:H100 G101:G103 H103 G106:H106 G107:G109 H109 G112:H112 G113:G115 H115 G118:H118 G119:G121 H121 G124:H124 G125:G127 H127 G130:H130 G131:G133 H133 G136:H136 G137:G139 H139 G142:H142 G143:G145 H145 G148:H148 G149:G151 H151 G154:H154 G155:G157 H157 G160:H160 G161:G163 H163 G166:H166 G167:G169 H169 G172:H172 G173:G175 H175 G178:H178 G179:G181 H181 G184:H184 G185:G187 H187 G190:H190 G191:G193 H193 G196:H196 G197:G199 H199 G202:H202 G203:G205 H205 G208:H208 G209:G211 H211 G214:H214 G215:G217 H217 G220:H220 G221:G223 H223 G226:H226 G227:G229 H229 G232:H232 G233:G235 H235 G238:H238 G239:G241 H241 G244:H244 G245:G247 H247 G250:H250 G251:G253 H253 G256:H256 G257:G259 H259 G262:H262 G263:G265 H265 G268:H268 G269:G271 H271 G274:H274 G275:G277 H277 G280:H280 G281:G283 H283 G286:H286 G287:G289 H289 G292:H292 G293:G295 H295 G298:H298 G299:G301 H301 G304:H304 G305:G307 H307 G310:H310 G311:G313 H313 G316:H316 G317:G319 H319 G322:H322 G323:G325 H325 G328:H328 G329:G331 H331 G334:H334 G335:G337 H337 G340:H340 G341:G343 H343 G346:H346 G347:G349 H349 G352:H352 G353:G355 H355 G358:H358 G359:G361 H361 G364:H364 G365:G367 H367 G370:H370 G371:G373 H373 G376:H376 G377:G379 H379 G382:H382 G383:G385 H385 G388:H388 G389:G391 H391 G394:H394 G395:G397 H397 G400:H400 G401:G403 H403 G406:H406 G407:G409 H409 G412:H412 G413:G415 H415 G418:H418 G419:G421 H421 G424:H424 G425:G427 H427 G430:H430 G431:G433 H433 G436:H436 G437:G439 H439 G442:H442 G443:G445 H445 G448:H448 G449:G451 H451 G454:H454 G455:G457 H457 G460:H460 G461:G463 H463 G466:H466 G467:G469 H469 G472:H472 G473:G475 H475 G478:H478 G479:G481 H481 G484:H484 G485:G487 H487 G490:H490 G491:G493 H493 G496:H496 G497:G499 H499 G502:H502 G503:G505 H505 G508:H508 G509:G511 H511 G514:H514 G515:G517 H517 G520:H520 G521:G523 H523 G526:H526 G527:G529 H529 G532:H532 G533:G535 H535 G538:H538 G539:G541 H541 G544:H544 G545:G547 H547 G550:H550 G551:G553 H553 G556:H556 G557:G559 H559 G562:H562 G563:G565 H565 G568:H568 G569:G571 H571 G574:H574 G575:G577 H577 G580:H580 G581:G583 H583 G586:H586 G587:G589 H589 G592:H592 G593:G595 H595 G598:H598 G599:G601 H601 G604:H604 G605:G607 H607 G610:H610 G611:G613 H613 G616:H616 G617:G619 H619 G622:H622 G623:G625 H625 G628:H628 G629:G631 H631 G634:H634 G635:G637 H637 G640:H640 G641:G643 H643 G646:H646 G647:G649 H649 G652:H652 G653:G655 H655 G658:H658 G659:G661 H661 G664:H664 G665:G667 H667 G670:H670 G671:G673 H673 G676:H676 G677:G679 H679 G682:H682 G683:G685 H685 G688:H688 G689:G691 H691 G694:H694 G695:G697 H697 G700:H700 G701:G703 H703 G706:H706 G707:G709 H709 G712:H712 G713:G715 H715 G718:H718 G719:G721 H721 G724:H724 G725:G727 H727 G730:H730 G731:G733 H733 G736:H736 G737:G739 H739 G742:H742 G743:G745 H745 G748:H748 G749:G751 H751 G754:H754 G757:H757 G760:H760 G763:H763 G766:H766 G769:H769 G772:H772 G775:H775 G778:H778 G781:H781 G784:H784 G787:H787 G790:H790 G793:H793 G796:H796 G799:H799 G802:H802 G805:H805 G808:H808 G811:H811 G814:H814 G817:H817 G820:H820 G823:H823 G826:H826 G829:H829 G832:H832 G835:H835 G838:H838 G841:H841 G844:H844 G847:H847 G850:H850 G853:H853 G856:H856 G859:H859 G862:H862 G865:H865 G868:H868 G871:H871 G874:H874 G877:H877 G880:H880 G883:H883 G886:H886 G889:H889 G892:H892 G895:H895 G898:H898 G901:H901 G904:H904 G907:H907 G910:H910 G913:H913 G916:H916 G919:H919 G922:H922 G925:H925 G928:H928 G931:H931 G934:H934 G937:H937 G940:H940 G943:H943 G946:H946 G949:H949 G952:H954">
    <cfRule type="timePeriod" dxfId="170" priority="7" stopIfTrue="1" timePeriod="today">
      <formula>FLOOR(G2,1)=TODAY()</formula>
    </cfRule>
    <cfRule type="expression" dxfId="169" priority="7" stopIfTrue="1">
      <formula>AND(G2&lt;TODAY()+(0*7+0)*1,NOT(ISBLANK(G2)))</formula>
    </cfRule>
    <cfRule type="timePeriod" dxfId="168" priority="7" stopIfTrue="1" timePeriod="tomorrow">
      <formula>FLOOR(G2,1)=TODAY()+1</formula>
    </cfRule>
    <cfRule type="expression" dxfId="167" priority="7" stopIfTrue="1">
      <formula>G2&gt;=TODAY()+(0*7+1)*1+1</formula>
    </cfRule>
  </conditionalFormatting>
  <conditionalFormatting sqref="K2">
    <cfRule type="cellIs" dxfId="166" priority="8" stopIfTrue="1" operator="equal">
      <formula>"BetFair"</formula>
    </cfRule>
    <cfRule type="cellIs" dxfId="165" priority="8" stopIfTrue="1" operator="equal">
      <formula>"Pinnacle"</formula>
    </cfRule>
    <cfRule type="cellIs" dxfId="164" priority="8" stopIfTrue="1" operator="equal">
      <formula>"Bet365"</formula>
    </cfRule>
    <cfRule type="cellIs" dxfId="163" priority="8" stopIfTrue="1" operator="equal">
      <formula>"BetWay"</formula>
    </cfRule>
    <cfRule type="cellIs" dxfId="162" priority="8" stopIfTrue="1" operator="equal">
      <formula>"DafaBet"</formula>
    </cfRule>
    <cfRule type="cellIs" dxfId="161" priority="8" stopIfTrue="1" operator="equal">
      <formula>"1xBet"</formula>
    </cfRule>
    <cfRule type="cellIs" dxfId="160" priority="8" stopIfTrue="1" operator="equal">
      <formula>"VBet"</formula>
    </cfRule>
    <cfRule type="cellIs" dxfId="159" priority="8" stopIfTrue="1" operator="equal">
      <formula>"BetFair Ex"</formula>
    </cfRule>
    <cfRule type="cellIs" dxfId="158" priority="9" stopIfTrue="1" operator="equal">
      <formula>"FavBet"</formula>
    </cfRule>
    <cfRule type="cellIs" dxfId="157" priority="10" stopIfTrue="1" operator="equal">
      <formula>"Leon"</formula>
    </cfRule>
    <cfRule type="cellIs" dxfId="156" priority="11" stopIfTrue="1" operator="equal">
      <formula>"MarathonBet"</formula>
    </cfRule>
    <cfRule type="cellIs" dxfId="155" priority="12" stopIfTrue="1" operator="greaterThan">
      <formula>0</formula>
    </cfRule>
    <cfRule type="cellIs" dxfId="154" priority="13" stopIfTrue="1" operator="lessThan">
      <formula>0</formula>
    </cfRule>
    <cfRule type="cellIs" dxfId="153" priority="14" stopIfTrue="1" operator="greaterThan">
      <formula>0</formula>
    </cfRule>
  </conditionalFormatting>
  <conditionalFormatting sqref="Q2 Q4:Q954">
    <cfRule type="cellIs" dxfId="152" priority="15" stopIfTrue="1" operator="lessThan">
      <formula>5</formula>
    </cfRule>
    <cfRule type="cellIs" dxfId="151" priority="15" stopIfTrue="1" operator="lessThan">
      <formula>8</formula>
    </cfRule>
    <cfRule type="cellIs" dxfId="150" priority="15" stopIfTrue="1" operator="lessThan">
      <formula>10</formula>
    </cfRule>
    <cfRule type="cellIs" dxfId="149" priority="15" stopIfTrue="1" operator="greaterThan">
      <formula>9</formula>
    </cfRule>
  </conditionalFormatting>
  <conditionalFormatting sqref="T2 T4 T7 T10 T13 T16 T19 T22 T25 T28 T31 T34 T37 T40 T43 T46 T49 T52 T55 T58 T61 T64 T67 T70 T73 T76 T79 T82 T85 T88 T91 T94 T97 T100 T103 T106 T109 T112 T115 T118 T121 T124 T127 T130 T133 T136 T139 T142 T145 T148 T151 T154 T157 T160 T163 T166 T169 T172 T175 T178 T181 T184 T187 T190 T193 T196 T199 T202 T205 T208 T211 T214 T217 T220 T223 T226 T229 T232 T235 T238 T241 T244 T247 T250 T253 T256 T259 T262 T265 T268 T271 T274 T277 T280 T283 T286 T289 T292 T295 T298 T301 T304 T307 T310 T313 T316 T319 T322 T325 T328 T331 T334 T337 T340 T343 T346 T349 T352 T355 T358 T361 T364 T367 T370 T373 T376 T379 T382 T385 T388 T391 T394 T397 T400 T403 T406 T409 T412 T415 T418 T421 T424 T427 T430 T433 T436 T439 T442 T445 T448 T451 T454 T457 T460 T463 T466 T469 T472 T475 T478 T481 T484 T487 T490 T493 T496 T499 T502 T505 T508 T511 T514 T517 T520 T523 T526 T529 T532 T535 T538 T541 T544 T547 T550 T553 T556 T559 T562 T565 T568 T571 T574 T577 T580 T583 T586 T589 T592 T595 T598 T601 T604 T607 T610 T613 T616 T619 T622 T625 T628 T631 T634 T637 T640 T643 T646 T649 T652 T655 T658 T661 T664 T667 T670 T673 T676 T679 T682 T685 T688 T691 T694 T697 T700 T703 T706 T709 T712 T715 T718 T721 T724 T727 T730 T733 T736 T739 T742 T745 T748 T751 T754 T757 T760 T763 T766 T769 T772 T775 T778 T781 T784 T787 T790 T793 T796 T799 T802 T805 T808 T811 T814 T817 T820 T823 T826 T829 T832 T835 T838 T841 T844 T847 T850 T853 T856 T859 T862 T865 T868 T871 T874 T877 T880 T883 T886 T889 T892 T895 T898 T901 T904 T907 T910 T913 T916 T919 T922 T925 T928 T931 T934 T937 T940 T943 T946 T949 T952:T954">
    <cfRule type="cellIs" dxfId="148" priority="16" stopIfTrue="1" operator="greaterThan">
      <formula>0.2</formula>
    </cfRule>
    <cfRule type="cellIs" dxfId="147" priority="16" stopIfTrue="1" operator="greaterThan">
      <formula>0.1</formula>
    </cfRule>
    <cfRule type="cellIs" dxfId="146" priority="16" stopIfTrue="1" operator="greaterThan">
      <formula>0.05</formula>
    </cfRule>
  </conditionalFormatting>
  <conditionalFormatting sqref="Y2:AA2 AC2 DK2:DK3 Y4:AA4 AC4 CG4 CI4:CK4 CM4:CS4 CU4:DE4 DJ4:DK4 CG5 CI5:CK5 CM5:CS5 CU5:DE5 DJ5 CG6 CI6:CK6 CM6:CS6 CU6:DE6 DJ6 Y7:AA7 AC7 CU7:DE9 DK7:DK9 Y10:AA10 AC10 CU10:DE12 DK10:DK12 Y13:AA13 AC13 CU13:DE15 DK13:DK15 Y16:AA16 AC16 CU16:DE18 DK16:DK18 Y19:AA19 AC19 CU19:DE21 DK19:DK21 Y22:AA22 AC22 CU22:DE24 DK22:DK24 Y25:AA25 AC25 CU25:DE27 DK25:DK27 Y28:AA28 AC28 CU28:DE30 DK28:DK30 Y31:AA31 AC31 CU31:DE33 DK31:DK33 Y34:AA34 AC34 CU34:DE36 DK34:DK36 Y37:AA37 AC37 CU37:DE39 DK37:DK39 Y40:AA40 AC40 CU40:DE42 DK40:DK42 Y43:AA43 AC43 CU43:DE45 DK43:DK45 Y46:AA46 AC46 CU46:DE48 DK46:DK48 Y49:AA49 AC49 CU49:DE51 DK49:DK51 Y52:AA52 AC52 CU52:DE54 DK52:DK54 Y55:AA55 AC55 CU55:DE57 DK55:DK57 Y58:AA58 AC58 CU58:DE60 DK58:DK60 Y61:AA61 AC61 CU61:DE63 DK61:DK63 Y64:AA64 AC64 CU64:DE66 DK64:DK66 Y67:AA67 AC67 CU67:DE69 DK67:DK69 Y70:AA70 AC70 CU70:DE72 DK70:DK72 Y73:AA73 AC73 CU73:DE75 DK73:DK75 Y76:AA76 AC76 CU76:DE78 DK76:DK78 Y79:AA79 AC79 CU79:DE81 DK79:DK81 Y82:AA82 AC82 CU82:DE84 DK82:DK84 Y85:AA85 AC85 CU85:DE87 DK85:DK87 Y88:AA88 AC88 CU88:DE90 DK88:DK90 Y91:AA91 AC91 CU91:DE93 DK91:DK93 Y94:AA94 AC94 CU94:DE96 DK94:DK96 Y97:AA97 AC97 CU97:DE99 DK97:DK99 Y100:AA100 AC100 CU100:DE102 DK100:DK102 Y103:AA103 AC103 CU103:DE105 DK103:DK105 Y106:AA106 AC106 CU106:DE108 DK106:DK108 Y109:AA109 AC109 CU109:DE111 DK109:DK111 Y112:AA112 AC112 CU112:DE114 DK112:DK114 Y115:AA115 AC115 CU115:DE117 DK115:DK117 Y118:AA118 AC118 CU118:DE120 DK118:DK120 Y121:AA121 AC121 CU121:DE123 DK121:DK123 Y124:AA124 AC124 CU124:DE126 DK124:DK126 Y127:AA127 AC127 CU127:DE129 DK127:DK129 Y130:AA130 AC130 CU130:DE132 DK130:DK132 Y133:AA133 AC133 CU133:DE135 DK133:DK135 Y136:AA136 AC136 CU136:DE138 DK136:DK138 Y139:AA139 AC139 CU139:DE141 DK139:DK141 Y142:AA142 AC142 CU142:DE144 DK142:DK144 Y145:AA145 AC145 CU145:DE147 DK145:DK147 Y148:AA148 AC148 CU148:DE150 DK148:DK150 Y151:AA151 AC151 CU151:DE153 DK151:DK153 Y154:AA154 AC154 CU154:DE156 DK154:DK156 Y157:AA157 AC157 CU157:DE159 DK157:DK159 Y160:AA160 AC160 CU160:DE162 DK160:DK162 Y163:AA163 AC163 CU163:DE165 DK163:DK165 Y166:AA166 AC166 CU166:DE168 DK166:DK168 Y169:AA169 AC169 CU169:DE171 DK169:DK171 Y172:AA172 AC172 CU172:DE174 DK172:DK174 Y175:AA175 AC175 CU175:DE177 DK175:DK177 Y178:AA178 AC178 CU178:DE180 DK178:DK180 Y181:AA181 AC181 CU181:DE183 DK181:DK183 Y184:AA184 AC184 CU184:DE186 DK184:DK186 Y187:AA187 AC187 CU187:DE189 DK187:DK189 Y190:AA190 AC190 CU190:DE192 DK190:DK192 Y193:AA193 AC193 CU193:DE195 DK193:DK195 Y196:AA196 AC196 CU196:DE198 DK196:DK198 Y199:AA199 AC199 CU199:DE201 DK199:DK201 Y202:AA202 AC202 CU202:DE204 DK202:DK204 Y205:AA205 AC205 CU205:DE207 DK205:DK207 Y208:AA208 AC208 CU208:DE210 DK208:DK210 Y211:AA211 AC211 CU211:DE213 DK211:DK213 Y214:AA214 AC214 CU214:DE216 DK214:DK216 Y217:AA217 AC217 CU217:DE219 DK217:DK219 Y220:AA220 AC220 CU220:DE222 DK220:DK222 Y223:AA223 AC223 CU223:DE225 DK223:DK225 Y226:AA226 AC226 CU226:DE228 DK226:DK228 Y229:AA229 AC229 CU229:DE231 DK229:DK231 Y232:AA232 AC232 CU232:DE234 DK232:DK234 Y235:AA235 AC235 CU235:DE237 DK235:DK237 Y238:AA238 AC238 CU238:DE240 DK238:DK240 Y241:AA241 AC241 CU241:DE243 DK241:DK243 Y244:AA244 AC244 CU244:DE246 DK244:DK246 Y247:AA247 AC247 CU247:DE249 DK247:DK249 Y250:AA250 AC250 CU250:DE252 DK250:DK252 Y253:AA253 AC253 CU253:DE255 DK253:DK255 Y256:AA256 AC256 CU256:DE258 DK256:DK258 Y259:AA259 AC259 CU259:DE261 DK259:DK261 Y262:AA262 AC262 CU262:DE264 DK262:DK264 Y265:AA265 AC265 CU265:DE267 DK265:DK267 Y268:AA268 AC268 CU268:DE270 DK268:DK270 Y271:AA271 AC271 CU271:DE273 DK271:DK273 Y274:AA274 AC274 CU274:DE276 DK274:DK276 Y277:AA277 AC277 CU277:DE279 DK277:DK279 Y280:AA280 AC280 CU280:DE282 DK280:DK282 Y283:AA283 AC283 CU283:DE285 DK283:DK285 Y286:AA286 AC286 CU286:DE288 DK286:DK288 Y289:AA289 AC289 CU289:DE291 DK289:DK291 Y292:AA292 AC292 CU292:DE294 DK292:DK294 Y295:AA295 AC295 CU295:DE297 DK295:DK297 Y298:AA298 AC298 CU298:DE300 DK298:DK300 Y301:AA301 AC301 CU301:DE303 DK301:DK303 Y304:AA304 AC304 CU304:DE306 DK304:DK306 Y307:AA307 AC307 CU307:DE309 DK307:DK309 Y310:AA310 AC310 CU310:DE312 DK310:DK312 Y313:AA313 AC313 CU313:DE315 DK313:DK315 Y316:AA316 AC316 CU316:DE318 DK316:DK318 Y319:AA319 AC319 CU319:DE321 DK319:DK321 Y322:AA322 AC322 CU322:DE324 DK322:DK324 Y325:AA325 AC325 CU325:DE327 DK325:DK327 Y328:AA328 AC328 CU328:DE330 DK328:DK330 Y331:AA331 AC331 CU331:DE333 DK331:DK333 Y334:AA334 AC334 CU334:DE336 DK334:DK336 Y337:AA337 AC337 CU337:DE339 DK337:DK339 Y340:AA340 AC340 CU340:DE342 DK340:DK342 Y343:AA343 AC343 CU343:DE345 DK343:DK345 Y346:AA346 AC346 CU346:DE348 DK346:DK348 Y349:AA349 AC349 CU349:DE351 DK349:DK351 Y352:AA352 AC352 CU352:DE354 DK352:DK354 Y355:AA355 AC355 CU355:DE357 DK355:DK357 Y358:AA358 AC358 CU358:DE360 DK358:DK360 Y361:AA361 AC361 CU361:DE363 DK361:DK363 Y364:AA364 AC364 CU364:DE366 DK364:DK366 Y367:AA367 AC367 CU367:DE369 DK367:DK369 Y370:AA370 AC370 CU370:DE372 DK370:DK372 Y373:AA373 AC373 CU373:DE375 DK373:DK375 Y376:AA376 AC376 CU376:DE378 DK376:DK378 Y379:AA379 AC379 CU379:DE381 DK379:DK381 Y382:AA382 AC382 CU382:DE384 DK382:DK384 Y385:AA385 AC385 CU385:DE387 DK385:DK387 Y388:AA388 AC388 CU388:DE390 DK388:DK390 Y391:AA391 AC391 CU391:DE393 DK391:DK393 Y394:AA394 AC394 CU394:DE396 DK394:DK396 Y397:AA397 AC397 CU397:DE399 DK397:DK399 Y400:AA400 AC400 CU400:DE402 DK400:DK402 Y403:AA403 AC403 CU403:DE405 DK403:DK405 Y406:AA406 AC406 CU406:DE408 DK406:DK408 Y409:AA409 AC409 CU409:DE411 DK409:DK411 Y412:AA412 AC412 CU412:DE414 DK412:DK414 Y415:AA415 AC415 CU415:DE417 DK415:DK417 Y418:AA418 AC418 CU418:DE420 DK418:DK420 Y421:AA421 AC421 CU421:DE423 DK421:DK423 Y424:AA424 AC424 CU424:DE426 DK424:DK426 Y427:AA427 AC427 CU427:DE429 DK427:DK429 Y430:AA430 AC430 CU430:DE432 DK430:DK432 Y433:AA433 AC433 CU433:DE435 DK433:DK435 Y436:AA436 AC436 CU436:DE438 DK436:DK438 Y439:AA439 AC439 CU439:DE441 DK439:DK441 Y442:AA442 AC442 CU442:DE444 DK442:DK444 Y445:AA445 AC445 CU445:DE447 DK445:DK447 Y448:AA448 AC448 CU448:DE450 DK448:DK450 Y451:AA451 AC451 CU451:DE453 DK451:DK453 Y454:AA454 AC454 CU454:DE456 DK454:DK456 Y457:AA457 AC457 CU457:DE459 DK457:DK459 Y460:AA460 AC460 CU460:DE462 DK460:DK462 Y463:AA463 AC463 CU463:DE465 DK463:DK465 Y466:AA466 AC466 CU466:DE468 DK466:DK468 Y469:AA469 AC469 CU469:DE471 DK469:DK471 Y472:AA472 AC472 CU472:DE474 DK472:DK474 Y475:AA475 AC475 CU475:DE477 DK475:DK477 Y478:AA478 AC478 CU478:DE480 DK478:DK480 Y481:AA481 AC481 CU481:DE483 DK481:DK483 Y484:AA484 AC484 CU484:DE486 DK484:DK486 Y487:AA487 AC487 CU487:DE489 DK487:DK489 Y490:AA490 AC490 CU490:DE492 DK490:DK492 Y493:AA493 AC493 CU493:DE495 DK493:DK495 Y496:AA496 AC496 CU496:DE498 DK496:DK498 Y499:AA499 AC499 CU499:DE501 DK499:DK501 Y502:AA502 AC502 CU502:DE504 DK502:DK504 Y505:AA505 AC505 CU505:DE507 DK505:DK507 Y508:AA508 AC508 CU508:DE510 DK508:DK510 Y511:AA511 AC511 CU511:DE513 DK511:DK513 Y514:AA514 AC514 CU514:DE516 DK514:DK516 Y517:AA517 AC517 CU517:DE519 DK517:DK519 Y520:AA520 AC520 CU520:DE522 DK520:DK522 Y523:AA523 AC523 CU523:DE525 DK523:DK525 Y526:AA526 AC526 CU526:DE528 DK526:DK528 Y529:AA529 AC529 CU529:DE531 DK529:DK531 Y532:AA532 AC532 CU532:DE534 DK532:DK534 Y535:AA535 AC535 CU535:DE537 DK535:DK537 Y538:AA538 AC538 CU538:DE540 DK538:DK540 Y541:AA541 AC541 CU541:DE543 DK541:DK543 Y544:AA544 AC544 CU544:DE546 DK544:DK546 Y547:AA547 AC547 CU547:DE549 DK547:DK549 Y550:AA550 AC550 CU550:DE552 DK550:DK552 Y553:AA553 AC553 CU553:DE555 DK553:DK555 Y556:AA556 AC556 CU556:DE558 DK556:DK558 Y559:AA559 AC559 CU559:DE561 DK559:DK561 Y562:AA562 AC562 CU562:DE564 DK562:DK564 Y565:AA565 AC565 CU565:DE567 DK565:DK567 Y568:AA568 AC568 CU568:DE570 DK568:DK570 Y571:AA571 AC571 CU571:DE573 DK571:DK573 Y574:AA574 AC574 CU574:DE576 DK574:DK576 Y577:AA577 AC577 CU577:DE579 DK577:DK579 Y580:AA580 AC580 CU580:DE582 DK580:DK582 Y583:AA583 AC583 CU583:DE585 DK583:DK585 Y586:AA586 AC586 CU586:DE588 DK586:DK588 Y589:AA589 AC589 CU589:DE591 DK589:DK591 Y592:AA592 AC592 CU592:DE594 DK592:DK594 Y595:AA595 AC595 CU595:DE597 DK595:DK597 Y598:AA598 AC598 CU598:DE600 DK598:DK600 Y601:AA601 AC601 CU601:DE603 DK601:DK603 Y604:AA604 AC604 CU604:DE606 DK604:DK606 Y607:AA607 AC607 CU607:DE609 DK607:DK609 Y610:AA610 AC610 CU610:DE612 DK610:DK612 Y613:AA613 AC613 CU613:DE615 DK613:DK615 Y616:AA616 AC616 CU616:DE618 DK616:DK618 Y619:AA619 AC619 CU619:DE621 DK619:DK621 Y622:AA622 AC622 CU622:DE624 DK622:DK624 Y625:AA625 AC625 CU625:DE627 DK625:DK627 Y628:AA628 AC628 CU628:DE630 DK628:DK630 Y631:AA631 AC631 CU631:DE633 DK631:DK633 Y634:AA634 AC634 CU634:DE636 DK634:DK636 Y637:AA637 AC637 CU637:DE639 DK637:DK639 Y640:AA640 AC640 CU640:DE642 DK640:DK642 Y643:AA643 AC643 CU643:DE645 DK643:DK645 Y646:AA646 AC646 CU646:DE648 DK646:DK648 Y649:AA649 AC649 CU649:DE651 DK649:DK651 Y652:AA652 AC652 CU652:DE654 DK652:DK654 Y655:AA655 AC655 CU655:DE657 DK655:DK657 Y658:AA658 AC658 CU658:DE660 DK658:DK660 Y661:AA661 AC661 CU661:DE663 DK661:DK663 Y664:AA664 AC664 CU664:DE666 DK664:DK666 Y667:AA667 AC667 CU667:DE669 DK667:DK669 Y670:AA670 AC670 CU670:DE672 DK670:DK672 Y673:AA673 AC673 CU673:DE675 DK673:DK675 Y676:AA676 AC676 CU676:DE678 DK676:DK678 Y679:AA679 AC679 CU679:DE681 DK679:DK681 Y682:AA682 AC682 CU682:DE684 DK682:DK684 Y685:AA685 AC685 CU685:DE687 DK685:DK687 Y688:AA688 AC688 CU688:DE690 DK688:DK690 Y691:AA691 AC691 CU691:DE693 DK691:DK693 Y694:AA694 AC694 CU694:DE696 DK694:DK696 Y697:AA697 AC697 CU697:DE699 DK697:DK699 Y700:AA700 AC700 CU700:DE702 DK700:DK702 Y703:AA703 AC703 CU703:DE705 DK703:DK705 Y706:AA706 AC706 CU706:DE708 DK706:DK708 Y709:AA709 AC709 CU709:DE711 DK709:DK711 Y712:AA712 AC712 CU712:DE714 DK712:DK714 Y715:AA715 AC715 CU715:DE717 DK715:DK717 Y718:AA718 AC718 CU718:DE720 DK718:DK720 Y721:AA721 AC721 CU721:DE723 DK721:DK723 Y724:AA724 AC724 CU724:DE726 DK724:DK726 Y727:AA727 AC727 CU727:DE729 DK727:DK729 Y730:AA730 AC730 CU730:DE732 DK730:DK732 Y733:AA733 AC733 CU733:DE735 DK733:DK735 Y736:AA736 AC736 CU736:DE738 DK736:DK738 Y739:AA739 AC739 CU739:DE741 DK739:DK741 Y742:AA742 AC742 CU742:DE744 DK742:DK744 Y745:AA745 AC745 CU745:DE747 DK745:DK747 Y748:AA748 AC748 CU748:DE750 DK748:DK750 Y751:AA751 AC751 CU751:DE753 DK751:DK753 Y754:AA754 AC754 CU754:DE756 DK754:DK756 Y757:AA757 AC757 CU757:DE759 DK757:DK759 Y760:AA760 AC760 CU760:DE762 DK760:DK762 Y763:AA763 AC763 CU763:DE765 DK763:DK765 Y766:AA766 AC766 CU766:DE768 DK766:DK768 Y769:AA769 AC769 CU769:DE771 DK769:DK771 Y772:AA772 AC772 CU772:DE774 DK772:DK774 Y775:AA775 AC775 CU775:DE777 DK775:DK777 Y778:AA778 AC778 CU778:DE780 DK778:DK780 Y781:AA781 AC781 CU781:DE783 DK781:DK783 Y784:AA784 AC784 CU784:DE786 DK784:DK786 Y787:AA787 AC787 CU787:DE789 DK787:DK789 Y790:AA790 AC790 CU790:DE792 DK790:DK792 Y793:AA793 AC793 CU793:DE795 DK793:DK795 Y796:AA796 AC796 CU796:DE798 DK796:DK798 Y799:AA799 AC799 CU799:DE801 DK799:DK801 Y802:AA802 AC802 CU802:DE804 DK802:DK804 Y805:AA805 AC805 CU805:DE807 DK805:DK807 Y808:AA808 AC808 CU808:DE810 DK808:DK810 Y811:AA811 AC811 CU811:DE813 DK811:DK813 Y814:AA814 AC814 CU814:DE816 DK814:DK816 Y817:AA817 AC817 CU817:DE819 DK817:DK819 Y820:AA820 AC820 CU820:DE822 DK820:DK822 Y823:AA823 AC823 CU823:DE825 DK823:DK825 Y826:AA826 AC826 CU826:DE828 DK826:DK828 Y829:AA829 AC829 CU829:DE831 DK829:DK831 Y832:AA832 AC832 CU832:DE834 DK832:DK834 Y835:AA835 AC835 CU835:DE837 DK835:DK837 Y838:AA838 AC838 CU838:DE840 DK838:DK840 Y841:AA841 AC841 CU841:DE843 DK841:DK843 Y844:AA844 AC844 CU844:DE846 DK844:DK846 Y847:AA847 AC847 CU847:DE849 DK847:DK849 Y850:AA850 AC850 CU850:DE852 DK850:DK852 Y853:AA853 AC853 CU853:DE855 DK853:DK855 Y856:AA856 AC856 CU856:DE858 DK856:DK858 Y859:AA859 AC859 CU859:DE861 DK859:DK861 Y862:AA862 AC862 CU862:DE864 DK862:DK864 Y865:AA865 AC865 CU865:DE867 DK865:DK867 Y868:AA868 AC868 CU868:DE870 DK868:DK870 Y871:AA871 AC871 CU871:DE873 DK871:DK873 Y874:AA874 AC874 CU874:DE876 DK874:DK876 Y877:AA877 AC877 CU877:DE879 DK877:DK879 Y880:AA880 AC880 CU880:DE882 DK880:DK882 Y883:AA883 AC883 CU883:DE885 DK883:DK885 Y886:AA886 AC886 CU886:DE888 DK886:DK888 Y889:AA889 AC889 CU889:DE891 DK889:DK891 Y892:AA892 AC892 CU892:DE894 DK892:DK894 Y895:AA895 AC895 CU895:DE897 DK895:DK897 Y898:AA898 AC898 CU898:DE900 DK898:DK900 Y901:AA901 AC901 CU901:DE903 DK901:DK903 Y904:AA904 AC904 CU904:DE906 DK904:DK906 Y907:AA907 AC907 CU907:DE909 DK907:DK909 Y910:AA910 AC910 CU910:DE912 DK910:DK912 Y913:AA913 AC913 CU913:DE915 DK913:DK915 Y916:AA916 AC916 CU916:DE918 DK916:DK918 Y919:AA919 AC919 CU919:DE921 DK919:DK921 Y922:AA922 AC922 CU922:DE924 DK922:DK924 Y925:AA925 AC925 CU925:DE927 DK925:DK927 Y928:AA928 AC928 CU928:DE930 DK928:DK930 Y931:AA931 AC931 CU931:DE933 DK931:DK933 Y934:AA934 AC934 CU934:DE936 DK934:DK936 Y937:AA937 AC937 CU937:DE939 DK937:DK939 Y940:AA940 AC940 CU940:DE942 DK940:DK942 Y943:AA943 AC943 CU943:DE945 DK943:DK945 Y946:AA946 AC946 CU946:DE948 DK946:DK948 Y949:AA949 AC949 CU949:DE951 DK949:DK951 Y952:AA952 AC952 CU952:DE952 DK952 Y953:AA953 AC953 CU953:DE953 DK953 Y954:AA954 AC954 CU954:DE954 DK954">
    <cfRule type="cellIs" dxfId="145" priority="17" stopIfTrue="1" operator="greaterThan">
      <formula>0</formula>
    </cfRule>
  </conditionalFormatting>
  <conditionalFormatting sqref="AB2 AB4 AF4:CF4 CH4 CL4 CT4 AF5:BR5 CF5 CH5 CL5 CT5 AF6:BR6 CF6 CH6 CL6 CT6 AB7 AF7:CT7 DJ7:DJ9 AF8:CE10 CT8:CT9 AB10 CF10:CT10 DJ10:DJ12 AF11:CE13 CT11:CT12 AB13 CF13:CT13 DJ13:DJ15 AF14:CE16 CT14:CT15 AB16 CF16:CT16 DJ16:DJ18 AF17:CE19 CT17:CT18 AB19 CF19:CT19 DJ19:DJ21 AF20:CE22 CT20:CT21 AB22 CF22:CT22 DJ22:DJ24 AF23:CE25 CT23:CT24 AB25 CF25:CT25 DJ25:DJ27 AF26:CE28 CT26:CT27 AB28 CF28:CT28 DJ28:DJ30 AF29:CE31 CT29:CT30 AB31 CF31:CT31 DJ31:DJ33 AF32:CE34 CT32:CT33 AB34 CF34:CT34 DJ34:DJ36 AF35:CE37 CT35:CT36 AB37 CF37:CT37 DJ37:DJ39 AF38:CE40 CT38:CT39 AB40 CF40:CT40 DJ40:DJ42 AF41:CE43 CT41:CT42 AB43 CF43:CT43 DJ43:DJ45 AF44:CE46 CT44:CT45 AB46 CF46:CT46 DJ46:DJ48 AF47:CE49 CT47:CT48 AB49 CF49:CT49 DJ49:DJ51 AF50:CE52 CT50:CT51 AB52 CF52:CT52 DJ52:DJ54 AF53:CE55 CT53:CT54 AB55 CF55:CT55 DJ55:DJ57 AF56:CE58 CT56:CT57 AB58 CF58:CT58 DJ58:DJ60 AF59:CE61 CT59:CT60 AB61 CF61:CT61 DJ61:DJ63 AF62:CE64 CT62:CT63 AB64 CF64:CT64 DJ64:DJ66 AF65:CE67 CT65:CT66 AB67 CF67:CT67 DJ67:DJ69 AF68:CE70 CT68:CT69 AB70 CF70:CT70 DJ70:DJ72 AF71:CE73 CT71:CT72 AB73 CF73:CT73 DJ73:DJ75 AF74:CE76 CT74:CT75 AB76 CF76:CT76 DJ76:DJ78 AF77:CE79 CT77:CT78 AB79 CF79:CT79 DJ79:DJ81 AF80:CE82 CT80:CT81 AB82 CF82:CT82 DJ82:DJ84 AF83:CE85 CT83:CT84 AB85 CF85:CT85 DJ85:DJ87 AF86:CE88 CT86:CT87 AB88 CF88:CT88 DJ88:DJ90 AF89:CE91 CT89:CT90 AB91 CF91:CT91 DJ91:DJ93 AF92:CE94 CT92:CT93 AB94 CF94:CT94 DJ94:DJ96 AF95:CE97 CT95:CT96 AB97 CF97:CT97 DJ97:DJ99 AF98:CE100 CT98:CT99 AB100 CF100:CT100 DJ100:DJ102 AF101:CE103 CT101:CT102 AB103 CF103:CT103 DJ103:DJ105 AF104:CE106 CT104:CT105 AB106 CF106:CT106 DJ106:DJ108 AF107:CE109 CT107:CT108 AB109 CF109:CT109 DJ109:DJ111 AF110:CE112 CT110:CT111 AB112 CF112:CT112 DJ112:DJ114 AF113:CE115 CT113:CT114 AB115 CF115:CT115 DJ115:DJ117 AF116:CE118 CT116:CT117 AB118 CF118:CT118 DJ118:DJ120 AF119:CE121 CT119:CT120 AB121 CF121:CT121 DJ121:DJ123 AF122:CE124 CT122:CT123 AB124 CF124:CT124 DJ124:DJ126 AF125:CE127 CT125:CT126 AB127 CF127:CT127 DJ127:DJ129 AF128:CE130 CT128:CT129 AB130 CF130:CT130 DJ130:DJ132 AF131:CE133 CT131:CT132 AB133 CF133:CT133 DJ133:DJ135 AF134:CE136 CT134:CT135 AB136 CF136:CT136 DJ136:DJ138 AF137:CE139 CT137:CT138 AB139 CF139:CT139 DJ139:DJ141 AF140:CE142 CT140:CT141 AB142 CF142:CT142 DJ142:DJ144 AF143:CE145 CT143:CT144 AB145 CF145:CT145 DJ145:DJ147 AF146:CE148 CT146:CT147 AB148 CF148:CT148 DJ148:DJ150 AF149:CE151 CT149:CT150 AB151 CF151:CT151 DJ151:DJ153 AF152:CE154 CT152:CT153 AB154 CF154:CT154 DJ154:DJ156 AF155:CE157 CT155:CT156 AB157 CF157:CT157 DJ157:DJ159 AF158:CE160 CT158:CT159 AB160 CF160:CT160 DJ160:DJ162 AF161:CE163 CT161:CT162 AB163 CF163:CT163 DJ163:DJ165 AF164:CE166 CT164:CT165 AB166 CF166:CT166 DJ166:DJ168 AF167:CE169 CT167:CT168 AB169 CF169:CT169 DJ169:DJ171 AF170:CE172 CT170:CT171 AB172 CF172:CT172 DJ172:DJ174 AF173:CE175 CT173:CT174 AB175 CF175:CT175 DJ175:DJ177 AF176:CE178 CT176:CT177 AB178 CF178:CT178 DJ178:DJ180 AF179:CE181 CT179:CT180 AB181 CF181:CT181 DJ181:DJ183 AF182:CE184 CT182:CT183 AB184 CF184:CT184 DJ184:DJ186 AF185:CE187 CT185:CT186 AB187 CF187:CT187 DJ187:DJ189 AF188:CE190 CT188:CT189 AB190 CF190:CT190 DJ190:DJ192 AF191:CE193 CT191:CT192 AB193 CF193:CT193 DJ193:DJ195 AF194:CE196 CT194:CT195 AB196 CF196:CT196 DJ196:DJ198 AF197:CE199 CT197:CT198 AB199 CF199:CT199 DJ199:DJ201 AF200:CE202 CT200:CT201 AB202 CF202:CT202 DJ202:DJ204 AF203:CE205 CT203:CT204 AB205 CF205:CT205 DJ205:DJ207 AF206:CE208 CT206:CT207 AB208 CF208:CT208 DJ208:DJ210 AF209:CE211 CT209:CT210 AB211 CF211:CT211 DJ211:DJ213 AF212:CE214 CT212:CT213 AB214 CF214:CT214 DJ214:DJ216 AF215:CE217 CT215:CT216 AB217 CF217:CT217 DJ217:DJ219 AF218:CE220 CT218:CT219 AB220 CF220:CT220 DJ220:DJ222 AF221:CE223 CT221:CT222 AB223 CF223:CT223 DJ223:DJ225 AF224:CE226 CT224:CT225 AB226 CF226:CT226 DJ226:DJ228 AF227:CE229 CT227:CT228 AB229 CF229:CT229 DJ229:DJ231 AF230:CE232 CT230:CT231 AB232 CF232:CT232 DJ232:DJ234 AF233:CE235 CT233:CT234 AB235 CF235:CT235 DJ235:DJ237 AF236:CE238 CT236:CT237 AB238 CF238:CT238 DJ238:DJ240 AF239:CE241 CT239:CT240 AB241 CF241:CT241 DJ241:DJ243 AF242:CE244 CT242:CT243 AB244 CF244:CT244 DJ244:DJ246 AF245:CE247 CT245:CT246 AB247 CF247:CT247 DJ247:DJ249 AF248:CE250 CT248:CT249 AB250 CF250:CT250 DJ250:DJ252 AF251:CE253 CT251:CT252 AB253 CF253:CT253 DJ253:DJ255 AF254:CE256 CT254:CT255 AB256 CF256:CT256 DJ256:DJ258 AF257:CE259 CT257:CT258 AB259 CF259:CT259 DJ259:DJ261 AF260:CE262 CT260:CT261 AB262 CF262:CT262 DJ262:DJ264 AF263:CE265 CT263:CT264 AB265 CF265:CT265 DJ265:DJ267 AF266:CE268 CT266:CT267 AB268 CF268:CT268 DJ268:DJ270 AF269:CE271 CT269:CT270 AB271 CF271:CT271 DJ271:DJ273 AF272:CE274 CT272:CT273 AB274 CF274:CT274 DJ274:DJ276 AF275:CE277 CT275:CT276 AB277 CF277:CT277 DJ277:DJ279 AF278:CE280 CT278:CT279 AB280 CF280:CT280 DJ280:DJ282 AF281:CE283 CT281:CT282 AB283 CF283:CT283 DJ283:DJ285 AF284:CE286 CT284:CT285 AB286 CF286:CT286 DJ286:DJ288 AF287:CE289 CT287:CT288 AB289 CF289:CT289 DJ289:DJ291 AF290:CE292 CT290:CT291 AB292 CF292:CT292 DJ292:DJ294 AF293:CE295 CT293:CT294 AB295 CF295:CT295 DJ295:DJ297 AF296:CE298 CT296:CT297 AB298 CF298:CT298 DJ298:DJ300 AF299:CE301 CT299:CT300 AB301 CF301:CT301 DJ301:DJ303 AF302:CE304 CT302:CT303 AB304 CF304:CT304 DJ304:DJ306 AF305:CE307 CT305:CT306 AB307 CF307:CT307 DJ307:DJ309 AF308:CE310 CT308:CT309 AB310 CF310:CT310 DJ310:DJ312 AF311:CE313 CT311:CT312 AB313 CF313:CT313 DJ313:DJ315 AF314:CE316 CT314:CT315 AB316 CF316:CT316 DJ316:DJ318 AF317:CE319 CT317:CT318 AB319 CF319:CT319 DJ319:DJ321 AF320:CE322 CT320:CT321 AB322 CF322:CT322 DJ322:DJ324 AF323:CE325 CT323:CT324 AB325 CF325:CT325 DJ325:DJ327 AF326:CE328 CT326:CT327 AB328 CF328:CT328 DJ328:DJ330 AF329:CE331 CT329:CT330 AB331 CF331:CT331 DJ331:DJ333 AF332:CE334 CT332:CT333 AB334 CF334:CT334 DJ334:DJ336 AF335:CE337 CT335:CT336 AB337 CF337:CT337 DJ337:DJ339 AF338:CE340 CT338:CT339 AB340 CF340:CT340 DJ340:DJ342 AF341:CE343 CT341:CT342 AB343 CF343:CT343 DJ343:DJ345 AF344:CE346 CT344:CT345 AB346 CF346:CT346 DJ346:DJ348 AF347:CE349 CT347:CT348 AB349 CF349:CT349 DJ349:DJ351 AF350:CE352 CT350:CT351 AB352 CF352:CT352 DJ352:DJ354 AF353:CE355 CT353:CT354 AB355 CF355:CT355 DJ355:DJ357 AF356:CE358 CT356:CT357 AB358 CF358:CT358 DJ358:DJ360 AF359:CE361 CT359:CT360 AB361 CF361:CT361 DJ361:DJ363 AF362:CE364 CT362:CT363 AB364 CF364:CT364 DJ364:DJ366 AF365:CE367 CT365:CT366 AB367 CF367:CT367 DJ367:DJ369 AF368:CE370 CT368:CT369 AB370 CF370:CT370 DJ370:DJ372 AF371:CE373 CT371:CT372 AB373 CF373:CT373 DJ373:DJ375 AF374:CE376 CT374:CT375 AB376 CF376:CT376 DJ376:DJ378 AF377:CE379 CT377:CT378 AB379 CF379:CT379 DJ379:DJ381 AF380:CE382 CT380:CT381 AB382 CF382:CT382 DJ382:DJ384 AF383:CE385 CT383:CT384 AB385 CF385:CT385 DJ385:DJ387 AF386:CE388 CT386:CT387 AB388 CF388:CT388 DJ388:DJ390 AF389:CE391 CT389:CT390 AB391 CF391:CT391 DJ391:DJ393 AF392:CE394 CT392:CT393 AB394 CF394:CT394 DJ394:DJ396 AF395:CE397 CT395:CT396 AB397 CF397:CT397 DJ397:DJ399 AF398:CE400 CT398:CT399 AB400 CF400:CT400 DJ400:DJ402 AF401:CE403 CT401:CT402 AB403 CF403:CT403 DJ403:DJ405 AF404:CE406 CT404:CT405 AB406 CF406:CT406 DJ406:DJ408 AF407:CE409 CT407:CT408 AB409 CF409:CT409 DJ409:DJ411 AF410:CE412 CT410:CT411 AB412 CF412:CT412 DJ412:DJ414 AF413:CE415 CT413:CT414 AB415 CF415:CT415 DJ415:DJ417 AF416:CE418 CT416:CT417 AB418 CF418:CT418 DJ418:DJ420 AF419:CE421 CT419:CT420 AB421 CF421:CT421 DJ421:DJ423 AF422:CE424 CT422:CT423 AB424 CF424:CT424 DJ424:DJ426 AF425:CE427 CT425:CT426 AB427 CF427:CT427 DJ427:DJ429 AF428:CE430 CT428:CT429 AB430 CF430:CT430 DJ430:DJ432 AF431:CE433 CT431:CT432 AB433 CF433:CT433 DJ433:DJ435 AF434:CE436 CT434:CT435 AB436 CF436:CT436 DJ436:DJ438 AF437:CE439 CT437:CT438 AB439 CF439:CT439 DJ439:DJ441 AF440:CE442 CT440:CT441 AB442 CF442:CT442 DJ442:DJ444 AF443:CE445 CT443:CT444 AB445 CF445:CT445 DJ445:DJ447 AF446:CE448 CT446:CT447 AB448 CF448:CT448 DJ448:DJ450 AF449:CE451 CT449:CT450 AB451 CF451:CT451 DJ451:DJ453 AF452:CE454 CT452:CT453 AB454 CF454:CT454 DJ454:DJ456 AF455:CE457 CT455:CT456 AB457 CF457:CT457 DJ457:DJ459 AF458:CE460 CT458:CT459 AB460 CF460:CT460 DJ460:DJ462 AF461:CE463 CT461:CT462 AB463 CF463:CT463 DJ463:DJ465 AF464:CE466 CT464:CT465 AB466 CF466:CT466 DJ466:DJ468 AF467:CE469 CT467:CT468 AB469 CF469:CT469 DJ469:DJ471 AF470:CE472 CT470:CT471 AB472 CF472:CT472 DJ472:DJ474 AF473:CE475 CT473:CT474 AB475 CF475:CT475 DJ475:DJ477 AF476:CE478 CT476:CT477 AB478 CF478:CT478 DJ478:DJ480 AF479:CE481 CT479:CT480 AB481 CF481:CT481 DJ481:DJ483 AF482:CE484 CT482:CT483 AB484 CF484:CT484 DJ484:DJ486 AF485:CE487 CT485:CT486 AB487 CF487:CT487 DJ487:DJ489 AF488:CE490 CT488:CT489 AB490 CF490:CT490 DJ490:DJ492 AF491:CE493 CT491:CT492 AB493 CF493:CT493 DJ493:DJ495 AF494:CE496 CT494:CT495 AB496 CF496:CT496 DJ496:DJ498 AF497:CE499 CT497:CT498 AB499 CF499:CT499 DJ499:DJ501 AF500:CE502 CT500:CT501 AB502 CF502:CT502 DJ502:DJ504 AF503:CE505 CT503:CT504 AB505 CF505:CT505 DJ505:DJ507 AF506:CE508 CT506:CT507 AB508 CF508:CT508 DJ508:DJ510 AF509:CE511 CT509:CT510 AB511 CF511:CT511 DJ511:DJ513 AF512:CE514 CT512:CT513 AB514 CF514:CT514 DJ514:DJ516 AF515:CE517 CT515:CT516 AB517 CF517:CT517 DJ517:DJ519 AF518:CE520 CT518:CT519 AB520 CF520:CT520 DJ520:DJ522 AF521:CE523 CT521:CT522 AB523 CF523:CT523 DJ523:DJ525 AF524:CE526 CT524:CT525 AB526 CF526:CT526 DJ526:DJ528 AF527:CE529 CT527:CT528 AB529 CF529:CT529 DJ529:DJ531 AF530:CE532 CT530:CT531 AB532 CF532:CT532 DJ532:DJ534 AF533:CE535 CT533:CT534 AB535 CF535:CT535 DJ535:DJ537 AF536:CE538 CT536:CT537 AB538 CF538:CT538 DJ538:DJ540 AF539:CE541 CT539:CT540 AB541 CF541:CT541 DJ541:DJ543 AF542:CE544 CT542:CT543 AB544 CF544:CT544 DJ544:DJ546 AF545:CE547 CT545:CT546 AB547 CF547:CT547 DJ547:DJ549 AF548:CE550 CT548:CT549 AB550 CF550:CT550 DJ550:DJ552 AF551:CE553 CT551:CT552 AB553 CF553:CT553 DJ553:DJ555 AF554:CE556 CT554:CT555 AB556 CF556:CT556 DJ556:DJ558 AF557:CE559 CT557:CT558 AB559 CF559:CT559 DJ559:DJ561 AF560:CE562 CT560:CT561 AB562 CF562:CT562 DJ562:DJ564 AF563:CE565 CT563:CT564 AB565 CF565:CT565 DJ565:DJ567 AF566:CE568 CT566:CT567 AB568 CF568:CT568 DJ568:DJ570 AF569:CE571 CT569:CT570 AB571 CF571:CT571 DJ571:DJ573 AF572:CE574 CT572:CT573 AB574 CF574:CT574 DJ574:DJ576 AF575:CE577 CT575:CT576 AB577 CF577:CT577 DJ577:DJ579 AF578:CE580 CT578:CT579 AB580 CF580:CT580 DJ580:DJ582 AF581:CE583 CT581:CT582 AB583 CF583:CT583 DJ583:DJ585 AF584:CE586 CT584:CT585 AB586 CF586:CT586 DJ586:DJ588 AF587:CE589 CT587:CT588 AB589 CF589:CT589 DJ589:DJ591 AF590:CE592 CT590:CT591 AB592 CF592:CT592 DJ592:DJ594 AF593:CE595 CT593:CT594 AB595 CF595:CT595 DJ595:DJ597 AF596:CE598 CT596:CT597 AB598 CF598:CT598 DJ598:DJ600 AF599:CE601 CT599:CT600 AB601 CF601:CT601 DJ601:DJ603 AF602:CE604 CT602:CT603 AB604 CF604:CT604 DJ604:DJ606 AF605:CE607 CT605:CT606 AB607 CF607:CT607 DJ607:DJ609 AF608:CE610 CT608:CT609 AB610 CF610:CT610 DJ610:DJ612 AF611:CE613 CT611:CT612 AB613 CF613:CT613 DJ613:DJ615 AF614:CE616 CT614:CT615 AB616 CF616:CT616 DJ616:DJ618 AF617:CE619 CT617:CT618 AB619 CF619:CT619 DJ619:DJ621 AF620:CE622 CT620:CT621 AB622 CF622:CT622 DJ622:DJ624 AF623:CE625 CT623:CT624 AB625 CF625:CT625 DJ625:DJ627 AF626:CE628 CT626:CT627 AB628 CF628:CT628 DJ628:DJ630 AF629:CE631 CT629:CT630 AB631 CF631:CT631 DJ631:DJ633 AF632:CE634 CT632:CT633 AB634 CF634:CT634 DJ634:DJ636 AF635:CE637 CT635:CT636 AB637 CF637:CT637 DJ637:DJ639 AF638:CE640 CT638:CT639 AB640 CF640:CT640 DJ640:DJ642 AF641:CE643 CT641:CT642 AB643 CF643:CT643 DJ643:DJ645 AF644:CE646 CT644:CT645 AB646 CF646:CT646 DJ646:DJ648 AF647:CE649 CT647:CT648 AB649 CF649:CT649 DJ649:DJ651 AF650:CE652 CT650:CT651 AB652 CF652:CT652 DJ652:DJ654 AF653:CE655 CT653:CT654 AB655 CF655:CT655 DJ655:DJ657 AF656:CE658 CT656:CT657 AB658 CF658:CT658 DJ658:DJ660 AF659:CE661 CT659:CT660 AB661 CF661:CT661 DJ661:DJ663 AF662:CE664 CT662:CT663 AB664 CF664:CT664 DJ664:DJ666 AF665:CE667 CT665:CT666 AB667 CF667:CT667 DJ667:DJ669 AF668:CE670 CT668:CT669 AB670 CF670:CT670 DJ670:DJ672 AF671:CE673 CT671:CT672 AB673 CF673:CT673 DJ673:DJ675 AF674:CE676 CT674:CT675 AB676 CF676:CT676 DJ676:DJ678 AF677:CE679 CT677:CT678 AB679 CF679:CT679 DJ679:DJ681 AF680:CE682 CT680:CT681 AB682 CF682:CT682 DJ682:DJ684 AF683:CE685 CT683:CT684 AB685 CF685:CT685 DJ685:DJ687 AF686:CE688 CT686:CT687 AB688 CF688:CT688 DJ688:DJ690 AF689:CE691 CT689:CT690 AB691 CF691:CT691 DJ691:DJ693 AF692:CE694 CT692:CT693 AB694 CF694:CT694 DJ694:DJ696 AF695:CE697 CT695:CT696 AB697 CF697:CT697 DJ697:DJ699 AF698:CE700 CT698:CT699 AB700 CF700:CT700 DJ700:DJ702 AF701:CE703 CT701:CT702 AB703 CF703:CT703 DJ703:DJ705 AF704:CE706 CT704:CT705 AB706 CF706:CT706 DJ706:DJ708 AF707:CE709 CT707:CT708 AB709 CF709:CT709 DJ709:DJ711 AF710:CE712 CT710:CT711 AB712 CF712:CT712 DJ712:DJ714 AF713:CE715 CT713:CT714 AB715 CF715:CT715 DJ715:DJ717 AF716:CE718 CT716:CT717 AB718 CF718:CT718 DJ718:DJ720 AF719:CE721 CT719:CT720 AB721 CF721:CT721 DJ721:DJ723 AF722:CE724 CT722:CT723 AB724 CF724:CT724 DJ724:DJ726 AF725:CE727 CT725:CT726 AB727 CF727:CT727 DJ727:DJ729 AF728:CE730 CT728:CT729 AB730 CF730:CT730 DJ730:DJ732 AF731:CE733 CT731:CT732 AB733 CF733:CT733 DJ733:DJ735 AF734:CE736 CT734:CT735 AB736 CF736:CT736 DJ736:DJ738 AF737:CE739 CT737:CT738 AB739 CF739:CT739 DJ739:DJ741 AF740:CE742 CT740:CT741 AB742 CF742:CT742 DJ742:DJ744 AF743:CE745 CT743:CT744 AB745 CF745:CT745 DJ745:DJ747 AF746:CE748 CT746:CT747 AB748 CF748:CT748 DJ748:DJ750 AF749:CE751 CT749:CT750 AB751 CF751:CT751 DJ751:DJ753 AF752:CE754 CT752:CT753 AB754 CF754:CT754 DJ754:DJ756 AF755:CE757 CT755:CT756 AB757 CF757:CT757 DJ757:DJ759 AF758:CE760 CT758:CT759 AB760 CF760:CT760 DJ760:DJ762 AF761:CE763 CT761:CT762 AB763 CF763:CT763 DJ763:DJ765 AF764:CE766 CT764:CT765 AB766 CF766:CT766 DJ766:DJ768 AF767:CE769 CT767:CT768 AB769 CF769:CT769 DJ769:DJ771 AF770:CE772 CT770:CT771 AB772 CF772:CT772 DJ772:DJ774 AF773:CE775 CT773:CT774 AB775 CF775:CT775 DJ775:DJ777 AF776:CE778 CT776:CT777 AB778 CF778:CT778 DJ778:DJ780 AF779:CE781 CT779:CT780 AB781 CF781:CT781 DJ781:DJ783 AF782:CE784 CT782:CT783 AB784 CF784:CT784 DJ784:DJ786 AF785:CE787 CT785:CT786 AB787 CF787:CT787 DJ787:DJ789 AF788:CE790 CT788:CT789 AB790 CF790:CT790 DJ790:DJ792 AF791:CE793 CT791:CT792 AB793 CF793:CT793 DJ793:DJ795 AF794:CE796 CT794:CT795 AB796 CF796:CT796 DJ796:DJ798 AF797:CE799 CT797:CT798 AB799 CF799:CT799 DJ799:DJ801 AF800:CE802 CT800:CT801 AB802 CF802:CT802 DJ802:DJ804 AF803:CE805 CT803:CT804 AB805 CF805:CT805 DJ805:DJ807 AF806:CE808 CT806:CT807 AB808 CF808:CT808 DJ808:DJ810 AF809:CE811 CT809:CT810 AB811 CF811:CT811 DJ811:DJ813 AF812:CE814 CT812:CT813 AB814 CF814:CT814 DJ814:DJ816 AF815:CE817 CT815:CT816 AB817 CF817:CT817 DJ817:DJ819 AF818:CE820 CT818:CT819 AB820 CF820:CT820 DJ820:DJ822 AF821:CE823 CT821:CT822 AB823 CF823:CT823 DJ823:DJ825 AF824:CE826 CT824:CT825 AB826 CF826:CT826 DJ826:DJ828 AF827:CE829 CT827:CT828 AB829 CF829:CT829 DJ829:DJ831 AF830:CE832 CT830:CT831 AB832 CF832:CT832 DJ832:DJ834 AF833:CE835 CT833:CT834 AB835 CF835:CT835 DJ835:DJ837 AF836:CE838 CT836:CT837 AB838 CF838:CT838 DJ838:DJ840 AF839:CE841 CT839:CT840 AB841 CF841:CT841 DJ841:DJ843 AF842:CE844 CT842:CT843 AB844 CF844:CT844 DJ844:DJ846 AF845:CE847 CT845:CT846 AB847 CF847:CT847 DJ847:DJ849 AF848:CE850 CT848:CT849 AB850 CF850:CT850 DJ850:DJ852 AF851:CE853 CT851:CT852 AB853 CF853:CT853 DJ853:DJ855 AF854:CE856 CT854:CT855 AB856 CF856:CT856 DJ856:DJ858 AF857:CE859 CT857:CT858 AB859 CF859:CT859 DJ859:DJ861 AF860:CE862 CT860:CT861 AB862 CF862:CT862 DJ862:DJ864 AF863:CE865 CT863:CT864 AB865 CF865:CT865 DJ865:DJ867 AF866:CE868 CT866:CT867 AB868 CF868:CT868 DJ868:DJ870 AF869:CE871 CT869:CT870 AB871 CF871:CT871 DJ871:DJ873 AF872:CE874 CT872:CT873 AB874 CF874:CT874 DJ874:DJ876 AF875:CE877 CT875:CT876 AB877 CF877:CT877 DJ877:DJ879 AF878:CE880 CT878:CT879 AB880 CF880:CT880 DJ880:DJ882 AF881:CE883 CT881:CT882 AB883 CF883:CT883 DJ883:DJ885 AF884:CE886 CT884:CT885 AB886 CF886:CT886 DJ886:DJ888 AF887:CE889 CT887:CT888 AB889 CF889:CT889 DJ889:DJ891 AF890:CE892 CT890:CT891 AB892 CF892:CT892 DJ892:DJ894 AF893:CE895 CT893:CT894 AB895 CF895:CT895 DJ895:DJ897 AF896:CE898 CT896:CT897 AB898 CF898:CT898 DJ898:DJ900 AF899:CE901 CT899:CT900 AB901 CF901:CT901 DJ901:DJ903 AF902:CE904 CT902:CT903 AB904 CF904:CT904 DJ904:DJ906 AF905:CE907 CT905:CT906 AB907 CF907:CT907 DJ907:DJ909 AF908:CE910 CT908:CT909 AB910 CF910:CT910 DJ910:DJ912 AF911:CE913 CT911:CT912 AB913 CF913:CT913 DJ913:DJ915 AF914:CE916 CT914:CT915 AB916 CF916:CT916 DJ916:DJ918 AF917:CE919 CT917:CT918 AB919 CF919:CT919 DJ919:DJ921 AF920:CE922 CT920:CT921 AB922 CF922:CT922 DJ922:DJ924 AF923:CE925 CT923:CT924 AB925 CF925:CT925 DJ925:DJ927 AF926:CE928 CT926:CT927 AB928 CF928:CT928 DJ928:DJ930 AF929:CE931 CT929:CT930 AB931 CF931:CT931 DJ931:DJ933 AF932:CE934 CT932:CT933 AB934 CF934:CT934 DJ934:DJ936 AF935:CE937 CT935:CT936 AB937 CF937:CT937 DJ937:DJ939 AF938:CE940 CT938:CT939 AB940 CF940:CT940 DJ940:DJ942 AF941:CE943 CT941:CT942 AB943 CF943:CT943 DJ943:DJ945 AF944:CE946 CT944:CT945 AB946 CF946:CT946 DJ946:DJ948 AF947:CE949 CT947:CT948 AB949 CF949:CT949 DJ949:DJ951 AF950:CE952 CT950:CT952 AB952:AB953 DJ952:DJ953 AF953:CE954 CT953:CT954 AB954 DJ954">
    <cfRule type="cellIs" dxfId="144" priority="18" stopIfTrue="1" operator="greaterThan">
      <formula>0</formula>
    </cfRule>
    <cfRule type="cellIs" dxfId="143" priority="18" stopIfTrue="1" operator="lessThan">
      <formula>0</formula>
    </cfRule>
  </conditionalFormatting>
  <conditionalFormatting sqref="AF2 AS2 BF2 BS2 CF2">
    <cfRule type="cellIs" dxfId="142" priority="19" stopIfTrue="1" operator="equal">
      <formula>"BetFair"</formula>
    </cfRule>
    <cfRule type="cellIs" dxfId="141" priority="19" stopIfTrue="1" operator="equal">
      <formula>"Pinnacle"</formula>
    </cfRule>
    <cfRule type="cellIs" dxfId="140" priority="19" stopIfTrue="1" operator="equal">
      <formula>"Bet365"</formula>
    </cfRule>
    <cfRule type="cellIs" dxfId="139" priority="19" stopIfTrue="1" operator="equal">
      <formula>"BetWay"</formula>
    </cfRule>
    <cfRule type="cellIs" dxfId="138" priority="19" stopIfTrue="1" operator="equal">
      <formula>"DafaBet"</formula>
    </cfRule>
    <cfRule type="cellIs" dxfId="137" priority="19" stopIfTrue="1" operator="equal">
      <formula>"1xBet"</formula>
    </cfRule>
    <cfRule type="cellIs" dxfId="136" priority="19" stopIfTrue="1" operator="equal">
      <formula>"VBet"</formula>
    </cfRule>
    <cfRule type="cellIs" dxfId="135" priority="19" stopIfTrue="1" operator="equal">
      <formula>"BetFair Ex"</formula>
    </cfRule>
    <cfRule type="cellIs" dxfId="134" priority="19" stopIfTrue="1" operator="equal">
      <formula>"FavBet"</formula>
    </cfRule>
    <cfRule type="cellIs" dxfId="133" priority="19" stopIfTrue="1" operator="equal">
      <formula>"Leon"</formula>
    </cfRule>
    <cfRule type="cellIs" dxfId="132" priority="19" stopIfTrue="1" operator="equal">
      <formula>"MarathonBet"</formula>
    </cfRule>
    <cfRule type="cellIs" dxfId="131" priority="19" stopIfTrue="1" operator="equal">
      <formula>"ZenitBet"</formula>
    </cfRule>
    <cfRule type="cellIs" dxfId="130" priority="19" stopIfTrue="1" operator="equal">
      <formula>"TempoBet"</formula>
    </cfRule>
  </conditionalFormatting>
  <conditionalFormatting sqref="AF3:CF3 CH3 CJ3 CL3 CN3 CP3 CR3 CT3 CV3 CX3 CZ3 DB3 DD3">
    <cfRule type="beginsWith" dxfId="129" priority="20" stopIfTrue="1" operator="beginsWith" text="BetFair">
      <formula>FIND(UPPER("BetFair"),UPPER(AF3))=1</formula>
      <formula>"BetFair"</formula>
    </cfRule>
    <cfRule type="cellIs" dxfId="128" priority="20" stopIfTrue="1" operator="equal">
      <formula>"Pinnacle"</formula>
    </cfRule>
    <cfRule type="cellIs" dxfId="127" priority="20" stopIfTrue="1" operator="equal">
      <formula>"Bet365"</formula>
    </cfRule>
    <cfRule type="cellIs" dxfId="126" priority="20" stopIfTrue="1" operator="equal">
      <formula>"BetWay"</formula>
    </cfRule>
    <cfRule type="cellIs" dxfId="125" priority="20" stopIfTrue="1" operator="equal">
      <formula>"DafaBet"</formula>
    </cfRule>
    <cfRule type="cellIs" dxfId="124" priority="20" stopIfTrue="1" operator="equal">
      <formula>"1xBet"</formula>
    </cfRule>
    <cfRule type="cellIs" dxfId="123" priority="20" stopIfTrue="1" operator="equal">
      <formula>"VBet"</formula>
    </cfRule>
    <cfRule type="cellIs" dxfId="122" priority="20" stopIfTrue="1" operator="equal">
      <formula>"TitanBet"</formula>
    </cfRule>
    <cfRule type="cellIs" dxfId="121" priority="20" stopIfTrue="1" operator="equal">
      <formula>"FavBet"</formula>
    </cfRule>
    <cfRule type="cellIs" dxfId="120" priority="20" stopIfTrue="1" operator="equal">
      <formula>"Leon"</formula>
    </cfRule>
    <cfRule type="cellIs" dxfId="119" priority="20" stopIfTrue="1" operator="equal">
      <formula>"MarathonBet"</formula>
    </cfRule>
    <cfRule type="cellIs" dxfId="118" priority="20" stopIfTrue="1" operator="equal">
      <formula>"ZenitBet"</formula>
    </cfRule>
    <cfRule type="cellIs" dxfId="117" priority="20" stopIfTrue="1" operator="equal">
      <formula>"TempoBet"</formula>
    </cfRule>
    <cfRule type="cellIs" dxfId="116" priority="20" stopIfTrue="1" operator="equal">
      <formula>"Smarkets"</formula>
    </cfRule>
  </conditionalFormatting>
  <conditionalFormatting sqref="A4 A7 A10 A13 A16 A19 A22 A25 A28 A31 A34 A37 A40 A43 A46 A49 A52 A55 A58 A61 A64 A67 A70 A73 A76 A79 A82 A85 A88 A91 A94 A97 A100 A103 A106 A109 A112 A115 A118 A121 A124 A127 A130 A133 A136 A139 A142 A145 A148 A151 A154 A157 A160 A163 A166 A169 A172 A175 A178 A181 A184 A187 A190 A193 A196 A199 A202 A205 A208 A211 A214 A217 A220 A223 A226 A229 A232 A235 A238 A241 A244 A247 A250 A253 A256 A259 A262 A265 A268 A271 A274 A277 A280 A283 A286 A289 A292 A295 A298 A301 A304 A307 A310 A313 A316 A319 A322 A325 A328 A331 A334 A337 A340 A343 A346 A349 A352 A355 A358 A361 A364 A367 A370 A373 A376 A379 A382 A385 A388 A391 A394 A397 A400 A403 A406 A409 A412 A415 A418 A421 A424 A427 A430 A433 A436 A439 A442 A445 A448 A451 A454 A457 A460 A463 A466 A469 A472 A475 A478 A481 A484 A487 A490 A493 A496 A499 A502 A505 A508 A511 A514 A517 A520 A523 A526 A529 A532 A535 A538 A541 A544 A547 A550 A553 A556 A559 A562 A565 A568 A571 A574 A577 A580 A583 A586 A589 A592 A595 A598 A601 A604 A607 A610 A613 A616 A619 A622 A625 A628 A631 A634 A637 A640 A643 A646 A649 A652 A655 A658 A661 A664 A667 A670 A673 A676 A679 A682 A685 A688 A691 A694 A697 A700 A703 A706 A709 A712 A715 A718 A721 A724 A727 A730 A733 A736 A739 A742 A745 A748 A751 A754 A757 A760 A763 A766 A769 A772 A775 A778 A781 A784 A787 A790 A793 A796 A799 A802 A805 A808 A811 A814 A817 A820 A823 A826 A829 A832 A835 A838 A841 A844 A847 A850 A853 A856 A859 A862 A865 A868 A871 A874 A877 A880 A883 A886 A889 A892 A895 A898 A901 A904 A907 A910 A913 A916 A919 A922 A925 A928 A931 A934 A937 A940 A943 A946 A949 A952:A954">
    <cfRule type="cellIs" dxfId="115" priority="21" stopIfTrue="1" operator="equal">
      <formula>"OK"</formula>
    </cfRule>
    <cfRule type="cellIs" dxfId="114" priority="21" stopIfTrue="1" operator="equal">
      <formula>"LOSS"</formula>
    </cfRule>
    <cfRule type="cellIs" dxfId="113" priority="21" stopIfTrue="1" operator="equal">
      <formula>"Anulado"</formula>
    </cfRule>
  </conditionalFormatting>
  <conditionalFormatting sqref="B4 B7 B10 B13 B16 B19 B22 B25 B28 B31 B34 B37 B40 B43 B46 B49 B52 B55 B58 B61 B64 B67 B70 B73 B76 B79 B82 B85 B88 B91 B94 B97 B100 B103 B106 B109 B112 B115 B118 B121 B124 B127 B130 B133 B136 B139 B142 B145 B148 B151 B154 B157 B160 B163 B166 B169 B172 B175 B178 B181 B184 B187 B190 B193 B196 B199 B202 B205 B208 B211 B214 B217 B220 B223 B226 B229 B232 B235 B238 B241 B244 B247 B250 B253 B256 B259 B262 B265 B268 B271 B274 B277 B280 B283 B286 B289 B292 B295 B298 B301 B304 B307 B310 B313 B316 B319 B322 B325 B328 B331 B334 B337 B340 B343 B346 B349 B352 B355 B358 B361 B364 B367 B370 B373 B376 B379 B382 B385 B388 B391 B394 B397 B400 B403 B406 B409 B412 B415 B418 B421 B424 B427 B430 B433 B436 B439 B442 B445 B448 B451 B454 B457 B460 B463 B466 B469 B472 B475 B478 B481 B484 B487 B490 B493 B496 B499 B502 B505 B508 B511 B514 B517 B520 B523 B526 B529 B532 B535 B538 B541 B544 B547 B550 B553 B556 B559 B562 B565 B568 B571 B574 B577 B580 B583 B586 B589 B592 B595 B598 B601 B604 B607 B610 B613 B616 B619 B622 B625 B628 B631 B634 B637 B640 B643 B646 B649 B652 B655 B658 B661 B664 B667 B670 B673 B676 B679 B682 B685 B688 B691 B694 B697 B700 B703 B706 B709 B712 B715 B718 B721 B724 B727 B730 B733 B736 B739 B742 B745 B748 B751 B754 B757 B760 B763 B766 B769 B772 B775 B778 B781 B784 B787 B790 B793 B796 B799 B802 B805 B808 B811 B814 B817 B820 B823 B826 B829 B832 B835 B838 B841 B844 B847 B850 B853 B856 B859 B862 B865 B868 B871 B874 B877 B880 B883 B886 B889 B892 B895 B898 B901 B904 B907 B910 B913 B916 B919 B922 B925 B928 B931 B934 B937 B940 B943 B946 B949 B952:B954">
    <cfRule type="cellIs" dxfId="112" priority="22" stopIfTrue="1" operator="equal">
      <formula>"OK"</formula>
    </cfRule>
    <cfRule type="cellIs" dxfId="111" priority="22" stopIfTrue="1" operator="equal">
      <formula>"LOSS"</formula>
    </cfRule>
    <cfRule type="cellIs" dxfId="110" priority="22" stopIfTrue="1" operator="equal">
      <formula>"Anulado"</formula>
    </cfRule>
    <cfRule type="cellIs" dxfId="109" priority="22" stopIfTrue="1" operator="equal">
      <formula>"X"</formula>
    </cfRule>
  </conditionalFormatting>
  <conditionalFormatting sqref="K4:K954">
    <cfRule type="beginsWith" dxfId="108" priority="23" stopIfTrue="1" operator="beginsWith" text="BetFair">
      <formula>FIND(UPPER("BetFair"),UPPER(K4))=1</formula>
      <formula>"BetFair"</formula>
    </cfRule>
    <cfRule type="cellIs" dxfId="107" priority="23" stopIfTrue="1" operator="equal">
      <formula>"Pinnacle"</formula>
    </cfRule>
    <cfRule type="cellIs" dxfId="106" priority="23" stopIfTrue="1" operator="equal">
      <formula>"Bet365"</formula>
    </cfRule>
    <cfRule type="cellIs" dxfId="105" priority="23" stopIfTrue="1" operator="equal">
      <formula>"BetWay"</formula>
    </cfRule>
    <cfRule type="cellIs" dxfId="104" priority="23" stopIfTrue="1" operator="equal">
      <formula>"DafaBet"</formula>
    </cfRule>
    <cfRule type="cellIs" dxfId="103" priority="23" stopIfTrue="1" operator="equal">
      <formula>"1xBet"</formula>
    </cfRule>
    <cfRule type="cellIs" dxfId="102" priority="23" stopIfTrue="1" operator="equal">
      <formula>"VBet"</formula>
    </cfRule>
    <cfRule type="cellIs" dxfId="101" priority="23" stopIfTrue="1" operator="equal">
      <formula>"TitanBet"</formula>
    </cfRule>
    <cfRule type="cellIs" dxfId="100" priority="23" stopIfTrue="1" operator="equal">
      <formula>"FavBet"</formula>
    </cfRule>
    <cfRule type="cellIs" dxfId="99" priority="23" stopIfTrue="1" operator="equal">
      <formula>"Leon"</formula>
    </cfRule>
    <cfRule type="cellIs" dxfId="98" priority="23" stopIfTrue="1" operator="equal">
      <formula>"MarathonBet"</formula>
    </cfRule>
    <cfRule type="cellIs" dxfId="97" priority="23" stopIfTrue="1" operator="equal">
      <formula>"ZenitBet"</formula>
    </cfRule>
    <cfRule type="cellIs" dxfId="96" priority="23" stopIfTrue="1" operator="equal">
      <formula>"TempoBet"</formula>
    </cfRule>
    <cfRule type="cellIs" dxfId="95" priority="23" stopIfTrue="1" operator="equal">
      <formula>"Smarkets"</formula>
    </cfRule>
  </conditionalFormatting>
  <conditionalFormatting sqref="S4 S7 S10 S13 S16 S19 S22 S25 S28 S31 S34 S37 S40 S43 S46 S49 S52 S55 S58 S61 S64 S67 S70 S73 S76 S79 S82 S85 S88 S91 S94 S97 S100 S103 S106 S109 S112 S115 S118 S121 S124 S127 S130 S133 S136 S139 S142 S145 S148 S151 S154 S157 S160 S163 S166 S169 S172 S175 S178 S181 S184 S187 S190 S193 S196 S199 S202 S205 S208 S211 S214 S217 S220 S223 S226 S229 S232 S235 S238 S241 S244 S247 S250 S253 S256 S259 S262 S265 S268 S271 S274 S277 S280 S283 S286 S289 S292 S295 S298 S301 S304 S307 S310 S313 S316 S319 S322 S325 S328 S331 S334 S337 S340 S343 S346 S349 S352 S355 S358 S361 S364 S367 S370 S373 S376 S379 S382 S385 S388 S391 S394 S397 S400 S403 S406 S409 S412 S415 S418 S421 S424 S427 S430 S433 S436 S439 S442 S445 S448 S451 S454 S457 S460 S463 S466 S469 S472 S475 S478 S481 S484 S487 S490 S493 S496 S499 S502 S505 S508 S511 S514 S517 S520 S523 S526 S529 S532 S535 S538 S541 S544 S547 S550 S553 S556 S559 S562 S565 S568 S571 S574 S577 S580 S583 S586 S589 S592 S595 S598 S601 S604 S607 S610 S613 S616 S619 S622 S625 S628 S631 S634 S637 S640 S643 S646 S649 S652 S655 S658 S661 S664 S667 S670 S673 S676 S679 S682 S685 S688 S691 S694 S697 S700 S703 S706 S709 S712 S715 S718 S721 S724 S727 S730 S733 S736 S739 S742 S745 S748 S751 S754 S757 S760 S763 S766 S769 S772 S775 S778 S781 S784 S787 S790 S793 S796 S799 S802 S805 S808 S811 S814 S817 S820 S823 S826 S829 S832 S835 S838 S841 S844 S847 S850 S853 S856 S859 S862 S865 S868 S871 S874 S877 S880 S883 S886 S889 S892 S895 S898 S901 S904 S907 S910 S913 S916 S919 S922 S925 S928 S931 S934 S937 S940 S943 S946 S949 S952:S954">
    <cfRule type="cellIs" dxfId="94" priority="24" stopIfTrue="1" operator="greaterThan">
      <formula>0</formula>
    </cfRule>
    <cfRule type="cellIs" dxfId="93" priority="24" stopIfTrue="1" operator="lessThan">
      <formula>0</formula>
    </cfRule>
  </conditionalFormatting>
  <conditionalFormatting sqref="V4:W4 V7:W7 V10:W10 V13:W13 V16:W16 V19:W19 V22:W22 V25:W25 V28:W28 V31:W31 V34:W34 V37:W37 V40:W40 V43:W43 V46:W46 V49:W49 V52:W52 V55:W55 V58:W58 V61:W61 V64:W64 V67:W67 V70:W70 V73:W73 V76:W76 V79:W79 V82:W82 V85:W85 V88:W88 V91:W91 V94:W94 V97:W97 V100:W100 V103:W103 V106:W106 V109:W109 V112:W112 V115:W115 V118:W118 V121:W121 V124:W124 V127:W127 V130:W130 V133:W133 V136:W136 V139:W139 V142:W142 V145:W145 V148:W148 V151:W151 V154:W154 V157:W157 V160:W160 V163:W163 V166:W166 V169:W169 V172:W172 V175:W175 V178:W178 V181:W181 V184:W184 V187:W187 V190:W190 V193:W193 V196:W196 V199:W199 V202:W202 V205:W205 V208:W208 V211:W211 V214:W214 V217:W217 V220:W220 V223:W223 V226:W226 V229:W229 V232:W232 V235:W235 V238:W238 V241:W241 V244:W244 V247:W247 V250:W250 V253:W253 V256:W256 V259:W259 V262:W262 V265:W265 V268:W268 V271:W271 V274:W274 V277:W277 V280:W280 V283:W283 V286:W286 V289:W289 V292:W292 V295:W295 V298:W298 V301:W301 V304:W304 V307:W307 V310:W310 V313:W313 V316:W316 V319:W319 V322:W322 V325:W325 V328:W328 V331:W331 V334:W334 V337:W337 V340:W340 V343:W343 V346:W346 V349:W349 V352:W352 V355:W355 V358:W358 V361:W361 V364:W364 V367:W367 V370:W370 V373:W373 V376:W376 V379:W379 V382:W382 V385:W385 V388:W388 V391:W391 V394:W394 V397:W397 V400:W400 V403:W403 V406:W406 V409:W409 V412:W412 V415:W415 V418:W418 V421:W421 V424:W424 V427:W427 V430:W430 V433:W433 V436:W436 V439:W439 V442:W442 V445:W445 V448:W448 V451:W451 V454:W454 V457:W457 V460:W460 V463:W463 V466:W466 V469:W469 V472:W472 V475:W475 V478:W478 V481:W481 V484:W484 V487:W487 V490:W490 V493:W493 V496:W496 V499:W499 V502:W502 V505:W505 V508:W508 V511:W511 V514:W514 V517:W517 V520:W520 V523:W523 V526:W526 V529:W529 V532:W532 V535:W535 V538:W538 V541:W541 V544:W544 V547:W547 V550:W550 V553:W553 V556:W556 V559:W559 V562:W562 V565:W565 V568:W568 V571:W571 V574:W574 V577:W577 V580:W580 V583:W583 V586:W586 V589:W589 V592:W592 V595:W595 V598:W598 V601:W601 V604:W604 V607:W607 V610:W610 V613:W613 V616:W616 V619:W619 V622:W622 V625:W625 V628:W628 V631:W631 V634:W634 V637:W637 V640:W640 V643:W643 V646:W646 V649:W649 V652:W652 V655:W655 V658:W658 V661:W661 V664:W664 V667:W667 V670:W670 V673:W673 V676:W676 V679:W679 V682:W682 V685:W685 V688:W688 V691:W691 V694:W694 V697:W697 V700:W700 V703:W703 V706:W706 V709:W709 V712:W712 V715:W715 V718:W718 V721:W721 V724:W724 V727:W727 V730:W730 V733:W733 V736:W736 V739:W739 V742:W742 V745:W745 V748:W748 V751:W751 V754:W754 V757:W757 V760:W760 V763:W763 V766:W766 V769:W769 V772:W772 V775:W775 V778:W778 V781:W781 V784:W784 V787:W787 V790:W790 V793:W793 V796:W796 V799:W799 V802:W802 V805:W805 V808:W808 V811:W811 V814:W814 V817:W817 V820:W820 V823:W823 V826:W826 V829:W829 V832:W832 V835:W835 V838:W838 V841:W841 V844:W844 V847:W847 V850:W850 V853:W853 V856:W856 V859:W859 V862:W862 V865:W865 V868:W868 V871:W871 V874:W874 V877:W877 V880:W880 V883:W883 V886:W886 V889:W889 V892:W892 V895:W895 V898:W898 V901:W901 V904:W904 V907:W907 V910:W910 V913:W913 V916:W916 V919:W919 V922:W922 V925:W925 V928:W928 V931:W931 V934:W934 V937:W937 V940:W940 V943:W943 V946:W946 V949:W949 V952:W954">
    <cfRule type="cellIs" dxfId="92" priority="25" stopIfTrue="1" operator="lessThan">
      <formula>0</formula>
    </cfRule>
    <cfRule type="cellIs" dxfId="91" priority="25" stopIfTrue="1" operator="lessThan">
      <formula>50</formula>
    </cfRule>
    <cfRule type="cellIs" dxfId="90" priority="25" stopIfTrue="1" operator="between">
      <formula>50</formula>
      <formula>70</formula>
    </cfRule>
    <cfRule type="cellIs" dxfId="89" priority="25" stopIfTrue="1" operator="between">
      <formula>70</formula>
      <formula>100</formula>
    </cfRule>
    <cfRule type="cellIs" dxfId="88" priority="25" stopIfTrue="1" operator="greaterThan">
      <formula>100</formula>
    </cfRule>
  </conditionalFormatting>
  <dataValidations count="4">
    <dataValidation type="list" allowBlank="1" showInputMessage="1" showErrorMessage="1" sqref="C4:C954" xr:uid="{00000000-0002-0000-0000-000000000000}">
      <formula1>" ,W,1/2W,L,1/2L,X"</formula1>
    </dataValidation>
    <dataValidation type="list" allowBlank="1" showInputMessage="1" showErrorMessage="1" sqref="I4:I5 I7:I8" xr:uid="{00000000-0002-0000-0000-000001000000}">
      <formula1>",1,12,1X,X,X2,2,AH1,AH2,CleanSheet1,CleanSheet2,DNB1,DNB2,EH1,EH2,EHX1,EHX2,Lay,Not CleanSheet1,Not CleanSheet2,Not ScoreBoth,Not WinNil1,Not WinNil2,Not WinLeastOneOfPer1,Not WinLeastOneOfPer2,Removal Yes,Removal No,ScoreBoth,TO,TU,TO1,TU1,TO2,TU2"</formula1>
    </dataValidation>
    <dataValidation type="list" allowBlank="1" showInputMessage="1" showErrorMessage="1" sqref="K4:K954" xr:uid="{00000000-0002-0000-0000-000002000000}">
      <formula1>",Bet365,BetFair,BetFair Ex,BetWay,FavBet,Pinnacle,Smarkets,VBet"</formula1>
    </dataValidation>
    <dataValidation type="list" allowBlank="1" showInputMessage="1" showErrorMessage="1" sqref="I6 I9:I954" xr:uid="{00000000-0002-0000-0000-000003000000}">
      <formula1>",1,12,1X,X,X2,2,AH1,AH2,CleanSheet1,CleanSheet2,DNB1,DNB2,EH1,EH2,EHX1,EHX2,Lay,Not CleanSheet1,Not CleanSheet2,Not ScoreBoth,Not WinNil1,Not WinNil2,Not WinLeastOneOfPer1,Not WinLeastOneOfPer2,Removal Yes,Removal No,ScoreBoth,TO,TU,WinNil1,WinNil2"</formula1>
    </dataValidation>
  </dataValidation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R16"/>
  <sheetViews>
    <sheetView showGridLines="0" workbookViewId="0">
      <pane xSplit="2" ySplit="2" topLeftCell="C3" activePane="bottomRight" state="frozen"/>
      <selection pane="topRight"/>
      <selection pane="bottomLeft"/>
      <selection pane="bottomRight" activeCell="C3" sqref="C3"/>
    </sheetView>
  </sheetViews>
  <sheetFormatPr baseColWidth="10" defaultColWidth="16.33203125" defaultRowHeight="15.5" customHeight="1" x14ac:dyDescent="0.2"/>
  <cols>
    <col min="1" max="1" width="16.33203125" style="1" customWidth="1"/>
    <col min="2" max="2" width="6.6640625" style="1" customWidth="1"/>
    <col min="3" max="3" width="4.5" style="1" customWidth="1"/>
    <col min="4" max="4" width="16.33203125" style="1" customWidth="1"/>
    <col min="5" max="5" width="12.5" style="1" customWidth="1"/>
    <col min="6" max="9" width="13.83203125" style="1" customWidth="1"/>
    <col min="10" max="10" width="6.83203125" style="1" customWidth="1"/>
    <col min="11" max="11" width="6.5" style="1" customWidth="1"/>
    <col min="12" max="12" width="7.33203125" style="1" customWidth="1"/>
    <col min="13" max="13" width="8.33203125" style="1" customWidth="1"/>
    <col min="14" max="17" width="9.6640625" style="1" customWidth="1"/>
    <col min="18" max="18" width="7.33203125" style="1" customWidth="1"/>
    <col min="19" max="19" width="16.33203125" style="1" customWidth="1"/>
    <col min="20" max="16384" width="16.33203125" style="1"/>
  </cols>
  <sheetData>
    <row r="1" spans="1:18" ht="14.75" customHeight="1" x14ac:dyDescent="0.2">
      <c r="A1" s="372" t="s">
        <v>313</v>
      </c>
      <c r="B1" s="372"/>
      <c r="C1" s="372"/>
      <c r="D1" s="372"/>
      <c r="E1" s="372"/>
      <c r="F1" s="372"/>
      <c r="G1" s="372"/>
      <c r="H1" s="372"/>
      <c r="I1" s="372"/>
      <c r="J1" s="372"/>
      <c r="K1" s="372"/>
      <c r="L1" s="372"/>
      <c r="M1" s="372"/>
      <c r="N1" s="372"/>
      <c r="O1" s="372"/>
      <c r="P1" s="372"/>
      <c r="Q1" s="372"/>
      <c r="R1" s="372"/>
    </row>
    <row r="2" spans="1:18" ht="13" customHeight="1" x14ac:dyDescent="0.2">
      <c r="A2" s="272"/>
      <c r="B2" s="273" t="s">
        <v>15</v>
      </c>
      <c r="C2" s="273" t="s">
        <v>314</v>
      </c>
      <c r="D2" s="273" t="s">
        <v>315</v>
      </c>
      <c r="E2" s="274" t="s">
        <v>316</v>
      </c>
      <c r="F2" s="273" t="s">
        <v>317</v>
      </c>
      <c r="G2" s="274" t="s">
        <v>318</v>
      </c>
      <c r="H2" s="273" t="s">
        <v>319</v>
      </c>
      <c r="I2" s="273" t="s">
        <v>320</v>
      </c>
      <c r="J2" s="275"/>
      <c r="K2" s="273" t="s">
        <v>321</v>
      </c>
      <c r="L2" s="273" t="s">
        <v>322</v>
      </c>
      <c r="M2" s="273" t="s">
        <v>16</v>
      </c>
      <c r="N2" s="273" t="s">
        <v>323</v>
      </c>
      <c r="O2" s="273" t="s">
        <v>324</v>
      </c>
      <c r="P2" s="273" t="s">
        <v>325</v>
      </c>
      <c r="Q2" s="273" t="s">
        <v>326</v>
      </c>
      <c r="R2" s="273" t="s">
        <v>327</v>
      </c>
    </row>
    <row r="3" spans="1:18" ht="13" customHeight="1" x14ac:dyDescent="0.2">
      <c r="A3" s="276" t="s">
        <v>36</v>
      </c>
      <c r="B3" s="277">
        <f>_xlfn.XLOOKUP($A3,'Fevereiro 2023 - Outubro 2022'!K4:K954,'Fevereiro 2023 - Outubro 2022'!R4:R954,0,,-1)</f>
        <v>0</v>
      </c>
      <c r="C3" s="278">
        <v>0</v>
      </c>
      <c r="D3" s="279">
        <v>1520.89</v>
      </c>
      <c r="E3" s="280">
        <f>D3+O3+SUM('Fevereiro 2023 - Outubro 2022'!AF4:AF954)-N3</f>
        <v>1552.0900000000001</v>
      </c>
      <c r="F3" s="279">
        <f>SUM('Fevereiro 2023 - Outubro 2022'!AS4:AS954)</f>
        <v>0</v>
      </c>
      <c r="G3" s="280">
        <f>SUM(E3:F3)</f>
        <v>1552.0900000000001</v>
      </c>
      <c r="H3" s="279">
        <v>1525.9</v>
      </c>
      <c r="I3" s="279">
        <f t="shared" ref="I3:I15" si="0">G3-H3</f>
        <v>26.190000000000055</v>
      </c>
      <c r="J3" s="281">
        <f>G3/IF(H3=0,1,H3)-IF(H3=0,0,1)</f>
        <v>1.7163641129825047E-2</v>
      </c>
      <c r="K3" s="282">
        <f>SUM('Fevereiro 2023 - Outubro 2022'!CF4:CF954)</f>
        <v>24</v>
      </c>
      <c r="L3" s="282">
        <f>SUM('Fevereiro 2023 - Outubro 2022'!CG4:CG954)</f>
        <v>35</v>
      </c>
      <c r="M3" s="279">
        <f>SUM('Fevereiro 2023 - Outubro 2022'!BS4:BS954)</f>
        <v>116.83999999999999</v>
      </c>
      <c r="N3" s="279"/>
      <c r="O3" s="279"/>
      <c r="P3" s="279">
        <f>SUM('Fevereiro 2023 - Outubro 2022'!BF4:BF954)</f>
        <v>1085.56</v>
      </c>
      <c r="Q3" s="279"/>
      <c r="R3" s="282">
        <v>0</v>
      </c>
    </row>
    <row r="4" spans="1:18" ht="13" customHeight="1" x14ac:dyDescent="0.2">
      <c r="A4" s="283" t="s">
        <v>37</v>
      </c>
      <c r="B4" s="284">
        <f>_xlfn.XLOOKUP($A4,'Fevereiro 2023 - Outubro 2022'!K4:K954,'Fevereiro 2023 - Outubro 2022'!R4:R954,0,,-1)</f>
        <v>0</v>
      </c>
      <c r="C4" s="285">
        <v>0</v>
      </c>
      <c r="D4" s="286">
        <v>752.3</v>
      </c>
      <c r="E4" s="287">
        <f>D4+O4+SUM('Fevereiro 2023 - Outubro 2022'!AG4:AG954)-N4</f>
        <v>1010.68</v>
      </c>
      <c r="F4" s="286">
        <f>SUM('Fevereiro 2023 - Outubro 2022'!AT4:AT954)</f>
        <v>0</v>
      </c>
      <c r="G4" s="287"/>
      <c r="H4" s="286"/>
      <c r="I4" s="286">
        <f t="shared" si="0"/>
        <v>0</v>
      </c>
      <c r="J4" s="288"/>
      <c r="K4" s="289">
        <f>SUM('Fevereiro 2023 - Outubro 2022'!CH4:CH954)</f>
        <v>56</v>
      </c>
      <c r="L4" s="289">
        <f>SUM('Fevereiro 2023 - Outubro 2022'!CI4:CI954)</f>
        <v>73</v>
      </c>
      <c r="M4" s="286">
        <f>SUM('Fevereiro 2023 - Outubro 2022'!BT4:BT954)</f>
        <v>76.209999999999994</v>
      </c>
      <c r="N4" s="286"/>
      <c r="O4" s="286">
        <v>200</v>
      </c>
      <c r="P4" s="286">
        <f>SUM('Fevereiro 2023 - Outubro 2022'!BG4:BG954)</f>
        <v>1564.9000000000005</v>
      </c>
      <c r="Q4" s="286"/>
      <c r="R4" s="289"/>
    </row>
    <row r="5" spans="1:18" ht="13" customHeight="1" x14ac:dyDescent="0.2">
      <c r="A5" s="283" t="s">
        <v>38</v>
      </c>
      <c r="B5" s="284">
        <f>_xlfn.XLOOKUP($A5,'Fevereiro 2023 - Outubro 2022'!K4:K954,'Fevereiro 2023 - Outubro 2022'!R4:R954,0,,-1)</f>
        <v>0</v>
      </c>
      <c r="C5" s="290">
        <v>6.5000000000000002E-2</v>
      </c>
      <c r="D5" s="286">
        <v>26.64</v>
      </c>
      <c r="E5" s="287">
        <f>D5+O5+SUM('Fevereiro 2023 - Outubro 2022'!AH4:AH954)-N5</f>
        <v>491.23000000000008</v>
      </c>
      <c r="F5" s="286">
        <f>SUM('Fevereiro 2023 - Outubro 2022'!AU4:AU954)</f>
        <v>0</v>
      </c>
      <c r="G5" s="287">
        <f>SUM(E4:F5)</f>
        <v>1501.91</v>
      </c>
      <c r="H5" s="286">
        <v>916.6</v>
      </c>
      <c r="I5" s="286">
        <f t="shared" si="0"/>
        <v>585.31000000000006</v>
      </c>
      <c r="J5" s="288">
        <f t="shared" ref="J5:J15" si="1">G5/IF(H5=0,1,H5)-IF(H5=0,0,1)</f>
        <v>0.63856644119572348</v>
      </c>
      <c r="K5" s="289">
        <f>SUM('Fevereiro 2023 - Outubro 2022'!CJ4:CJ954)</f>
        <v>17</v>
      </c>
      <c r="L5" s="289">
        <f>SUM('Fevereiro 2023 - Outubro 2022'!CK4:CK954)</f>
        <v>9</v>
      </c>
      <c r="M5" s="286">
        <f>SUM('Fevereiro 2023 - Outubro 2022'!BU4:BU954)</f>
        <v>121.2</v>
      </c>
      <c r="N5" s="286"/>
      <c r="O5" s="286"/>
      <c r="P5" s="286">
        <f>SUM('Fevereiro 2023 - Outubro 2022'!BH4:BH954)</f>
        <v>1327.0000000000002</v>
      </c>
      <c r="Q5" s="286"/>
      <c r="R5" s="289">
        <v>0</v>
      </c>
    </row>
    <row r="6" spans="1:18" ht="13" customHeight="1" x14ac:dyDescent="0.2">
      <c r="A6" s="283" t="s">
        <v>39</v>
      </c>
      <c r="B6" s="284">
        <f>_xlfn.XLOOKUP($A6,'Fevereiro 2023 - Outubro 2022'!K4:K954,'Fevereiro 2023 - Outubro 2022'!R4:R954,0,,-1)</f>
        <v>0</v>
      </c>
      <c r="C6" s="285">
        <v>0</v>
      </c>
      <c r="D6" s="286">
        <v>392.35</v>
      </c>
      <c r="E6" s="287">
        <f>D6+O6+SUM('Fevereiro 2023 - Outubro 2022'!AI4:AI954)-N6</f>
        <v>371.72</v>
      </c>
      <c r="F6" s="286">
        <f>SUM('Fevereiro 2023 - Outubro 2022'!AV4:AV954)</f>
        <v>0</v>
      </c>
      <c r="G6" s="287">
        <f t="shared" ref="G6:G15" si="2">SUM(E6:F6)</f>
        <v>371.72</v>
      </c>
      <c r="H6" s="286">
        <v>411.14</v>
      </c>
      <c r="I6" s="286">
        <f t="shared" si="0"/>
        <v>-39.419999999999959</v>
      </c>
      <c r="J6" s="288">
        <f t="shared" si="1"/>
        <v>-9.5879748990611358E-2</v>
      </c>
      <c r="K6" s="289">
        <f>SUM('Fevereiro 2023 - Outubro 2022'!CL4:CL954)</f>
        <v>7</v>
      </c>
      <c r="L6" s="289">
        <f>SUM('Fevereiro 2023 - Outubro 2022'!CM4:CM954)</f>
        <v>19</v>
      </c>
      <c r="M6" s="286">
        <f>SUM('Fevereiro 2023 - Outubro 2022'!BV4:BV954)</f>
        <v>7.0399999999999991</v>
      </c>
      <c r="N6" s="286"/>
      <c r="O6" s="286"/>
      <c r="P6" s="286">
        <f>SUM('Fevereiro 2023 - Outubro 2022'!BI4:BI954)</f>
        <v>122.03</v>
      </c>
      <c r="Q6" s="286"/>
      <c r="R6" s="289">
        <v>0</v>
      </c>
    </row>
    <row r="7" spans="1:18" ht="13" customHeight="1" x14ac:dyDescent="0.2">
      <c r="A7" s="283" t="s">
        <v>40</v>
      </c>
      <c r="B7" s="284">
        <f>_xlfn.XLOOKUP($A7,'Fevereiro 2023 - Outubro 2022'!K4:K954,'Fevereiro 2023 - Outubro 2022'!R4:R954,0,,-1)</f>
        <v>0</v>
      </c>
      <c r="C7" s="285">
        <v>0</v>
      </c>
      <c r="D7" s="286">
        <v>649.98</v>
      </c>
      <c r="E7" s="287">
        <f>D7+O7+SUM('Fevereiro 2023 - Outubro 2022'!AJ4:AJ954)-N7</f>
        <v>1238.5800000000002</v>
      </c>
      <c r="F7" s="286">
        <f>SUM('Fevereiro 2023 - Outubro 2022'!AW4:AW954)</f>
        <v>0</v>
      </c>
      <c r="G7" s="287">
        <f t="shared" si="2"/>
        <v>1238.5800000000002</v>
      </c>
      <c r="H7" s="286">
        <v>1343.05</v>
      </c>
      <c r="I7" s="286">
        <f t="shared" si="0"/>
        <v>-104.4699999999998</v>
      </c>
      <c r="J7" s="288">
        <f t="shared" si="1"/>
        <v>-7.7785637169129784E-2</v>
      </c>
      <c r="K7" s="289">
        <f>SUM('Fevereiro 2023 - Outubro 2022'!CN4:CN954)</f>
        <v>105</v>
      </c>
      <c r="L7" s="289">
        <f>SUM('Fevereiro 2023 - Outubro 2022'!CO4:CO954)</f>
        <v>90</v>
      </c>
      <c r="M7" s="286">
        <f>SUM('Fevereiro 2023 - Outubro 2022'!BW4:BW954)</f>
        <v>464.90000000000009</v>
      </c>
      <c r="N7" s="286"/>
      <c r="O7" s="286">
        <v>450</v>
      </c>
      <c r="P7" s="286">
        <f>SUM('Fevereiro 2023 - Outubro 2022'!BJ4:BJ954)</f>
        <v>4997.8300000000008</v>
      </c>
      <c r="Q7" s="286"/>
      <c r="R7" s="289">
        <v>0</v>
      </c>
    </row>
    <row r="8" spans="1:18" ht="8.25" hidden="1" customHeight="1" x14ac:dyDescent="0.2">
      <c r="A8" s="283" t="s">
        <v>41</v>
      </c>
      <c r="B8" s="284">
        <f>_xlfn.XLOOKUP($A8,'Fevereiro 2023 - Outubro 2022'!K4:K954,'Fevereiro 2023 - Outubro 2022'!R4:R954,0,,-1)</f>
        <v>0</v>
      </c>
      <c r="C8" s="285">
        <v>0</v>
      </c>
      <c r="D8" s="286">
        <v>0</v>
      </c>
      <c r="E8" s="287">
        <f>D8+O8+SUM('Fevereiro 2023 - Outubro 2022'!AK4:AK954)-N8</f>
        <v>0</v>
      </c>
      <c r="F8" s="286">
        <f>SUM('Fevereiro 2023 - Outubro 2022'!AX4:AX954)</f>
        <v>0</v>
      </c>
      <c r="G8" s="287">
        <f t="shared" si="2"/>
        <v>0</v>
      </c>
      <c r="H8" s="286">
        <v>0</v>
      </c>
      <c r="I8" s="286">
        <f t="shared" si="0"/>
        <v>0</v>
      </c>
      <c r="J8" s="288">
        <f t="shared" si="1"/>
        <v>0</v>
      </c>
      <c r="K8" s="289">
        <f>SUM('Fevereiro 2023 - Outubro 2022'!CP4:CP954)</f>
        <v>0</v>
      </c>
      <c r="L8" s="289">
        <f>SUM('Fevereiro 2023 - Outubro 2022'!CQ4:CQ954)</f>
        <v>0</v>
      </c>
      <c r="M8" s="286">
        <f>SUM('Fevereiro 2023 - Outubro 2022'!BX4:BX954)</f>
        <v>0</v>
      </c>
      <c r="N8" s="286"/>
      <c r="O8" s="286"/>
      <c r="P8" s="286">
        <f>SUM('Fevereiro 2023 - Outubro 2022'!BK4:BK954)</f>
        <v>0</v>
      </c>
      <c r="Q8" s="286"/>
      <c r="R8" s="289">
        <v>0</v>
      </c>
    </row>
    <row r="9" spans="1:18" ht="8.25" hidden="1" customHeight="1" x14ac:dyDescent="0.2">
      <c r="A9" s="283" t="s">
        <v>42</v>
      </c>
      <c r="B9" s="284">
        <f>_xlfn.XLOOKUP($A9,'Fevereiro 2023 - Outubro 2022'!K4:K954,'Fevereiro 2023 - Outubro 2022'!R4:R954,0,,-1)</f>
        <v>0</v>
      </c>
      <c r="C9" s="285">
        <v>0</v>
      </c>
      <c r="D9" s="286">
        <v>0</v>
      </c>
      <c r="E9" s="287">
        <f>D9+O9+SUM('Fevereiro 2023 - Outubro 2022'!AL4:AL954)-N9</f>
        <v>0</v>
      </c>
      <c r="F9" s="286">
        <f>SUM('Fevereiro 2023 - Outubro 2022'!AY4:AY954)</f>
        <v>0</v>
      </c>
      <c r="G9" s="287">
        <f t="shared" si="2"/>
        <v>0</v>
      </c>
      <c r="H9" s="286">
        <v>0</v>
      </c>
      <c r="I9" s="286">
        <f t="shared" si="0"/>
        <v>0</v>
      </c>
      <c r="J9" s="288">
        <f t="shared" si="1"/>
        <v>0</v>
      </c>
      <c r="K9" s="289">
        <f>SUM('Fevereiro 2023 - Outubro 2022'!CR4:CR954)</f>
        <v>0</v>
      </c>
      <c r="L9" s="289">
        <f>SUM('Fevereiro 2023 - Outubro 2022'!CS4:CS954)</f>
        <v>0</v>
      </c>
      <c r="M9" s="286">
        <f>SUM('Fevereiro 2023 - Outubro 2022'!BY4:BY954)</f>
        <v>0</v>
      </c>
      <c r="N9" s="286"/>
      <c r="O9" s="286"/>
      <c r="P9" s="286">
        <f>SUM('Fevereiro 2023 - Outubro 2022'!BL4:BL954)</f>
        <v>0</v>
      </c>
      <c r="Q9" s="286"/>
      <c r="R9" s="289">
        <v>0</v>
      </c>
    </row>
    <row r="10" spans="1:18" ht="13" customHeight="1" x14ac:dyDescent="0.2">
      <c r="A10" s="283" t="s">
        <v>43</v>
      </c>
      <c r="B10" s="284">
        <f>_xlfn.XLOOKUP($A10,'Fevereiro 2023 - Outubro 2022'!K4:K954,'Fevereiro 2023 - Outubro 2022'!R4:R954,0,,-1)</f>
        <v>0</v>
      </c>
      <c r="C10" s="285">
        <v>0</v>
      </c>
      <c r="D10" s="286">
        <v>897.83</v>
      </c>
      <c r="E10" s="287">
        <f>D10+O10+SUM('Fevereiro 2023 - Outubro 2022'!AM4:AM954)-N10</f>
        <v>830.81000000000006</v>
      </c>
      <c r="F10" s="286">
        <f>SUM('Fevereiro 2023 - Outubro 2022'!AZ4:AZ954)</f>
        <v>0</v>
      </c>
      <c r="G10" s="287">
        <f t="shared" si="2"/>
        <v>830.81000000000006</v>
      </c>
      <c r="H10" s="286">
        <v>960.59</v>
      </c>
      <c r="I10" s="286">
        <f t="shared" si="0"/>
        <v>-129.77999999999997</v>
      </c>
      <c r="J10" s="288">
        <f t="shared" si="1"/>
        <v>-0.13510446704629442</v>
      </c>
      <c r="K10" s="291">
        <f>SUM('Fevereiro 2023 - Outubro 2022'!CT4:CT954)</f>
        <v>43.5</v>
      </c>
      <c r="L10" s="291">
        <f>SUM('Fevereiro 2023 - Outubro 2022'!CU4:CU954)</f>
        <v>57.5</v>
      </c>
      <c r="M10" s="286">
        <f>SUM('Fevereiro 2023 - Outubro 2022'!BZ4:BZ954)</f>
        <v>359.10999999999996</v>
      </c>
      <c r="N10" s="286"/>
      <c r="O10" s="286"/>
      <c r="P10" s="286">
        <f>SUM('Fevereiro 2023 - Outubro 2022'!BM4:BM954)</f>
        <v>2945.5700000000006</v>
      </c>
      <c r="Q10" s="286"/>
      <c r="R10" s="289">
        <v>0</v>
      </c>
    </row>
    <row r="11" spans="1:18" ht="8.25" hidden="1" customHeight="1" x14ac:dyDescent="0.2">
      <c r="A11" s="283" t="s">
        <v>44</v>
      </c>
      <c r="B11" s="284">
        <f>_xlfn.XLOOKUP($A11,'Fevereiro 2023 - Outubro 2022'!K4:K954,'Fevereiro 2023 - Outubro 2022'!R4:R954,0,,-1)</f>
        <v>0</v>
      </c>
      <c r="C11" s="285">
        <v>0.02</v>
      </c>
      <c r="D11" s="286">
        <v>0</v>
      </c>
      <c r="E11" s="287">
        <f>D11+O11+SUM('Fevereiro 2023 - Outubro 2022'!AN4:AN954)-N11</f>
        <v>0</v>
      </c>
      <c r="F11" s="286">
        <f>SUM('Fevereiro 2023 - Outubro 2022'!BA4:BA954)</f>
        <v>0</v>
      </c>
      <c r="G11" s="287">
        <f t="shared" si="2"/>
        <v>0</v>
      </c>
      <c r="H11" s="286">
        <v>0</v>
      </c>
      <c r="I11" s="286">
        <f t="shared" si="0"/>
        <v>0</v>
      </c>
      <c r="J11" s="288">
        <f t="shared" si="1"/>
        <v>0</v>
      </c>
      <c r="K11" s="289">
        <f>SUM('Fevereiro 2023 - Outubro 2022'!CV4:CV954)</f>
        <v>0</v>
      </c>
      <c r="L11" s="289">
        <f>SUM('Fevereiro 2023 - Outubro 2022'!CW4:CW954)</f>
        <v>0</v>
      </c>
      <c r="M11" s="286">
        <f>SUM('Fevereiro 2023 - Outubro 2022'!CA4:CA954)</f>
        <v>0</v>
      </c>
      <c r="N11" s="286"/>
      <c r="O11" s="286"/>
      <c r="P11" s="286">
        <f>SUM('Fevereiro 2023 - Outubro 2022'!BN4:BN954)</f>
        <v>0</v>
      </c>
      <c r="Q11" s="286"/>
      <c r="R11" s="289">
        <v>0</v>
      </c>
    </row>
    <row r="12" spans="1:18" ht="8.25" hidden="1" customHeight="1" x14ac:dyDescent="0.2">
      <c r="A12" s="283" t="s">
        <v>45</v>
      </c>
      <c r="B12" s="284">
        <f>_xlfn.XLOOKUP($A12,'Fevereiro 2023 - Outubro 2022'!K4:K954,'Fevereiro 2023 - Outubro 2022'!R4:R954,0,,-1)</f>
        <v>0</v>
      </c>
      <c r="C12" s="285">
        <v>0</v>
      </c>
      <c r="D12" s="286">
        <v>0</v>
      </c>
      <c r="E12" s="287">
        <f>D12+O12+SUM('Fevereiro 2023 - Outubro 2022'!AO4:AO954)-N12</f>
        <v>0</v>
      </c>
      <c r="F12" s="286">
        <f>SUM('Fevereiro 2023 - Outubro 2022'!BB4:BB954)</f>
        <v>0</v>
      </c>
      <c r="G12" s="287">
        <f t="shared" si="2"/>
        <v>0</v>
      </c>
      <c r="H12" s="286">
        <v>0</v>
      </c>
      <c r="I12" s="286">
        <f t="shared" si="0"/>
        <v>0</v>
      </c>
      <c r="J12" s="288">
        <f t="shared" si="1"/>
        <v>0</v>
      </c>
      <c r="K12" s="289">
        <f>SUM('Fevereiro 2023 - Outubro 2022'!CX4:CX954)</f>
        <v>0</v>
      </c>
      <c r="L12" s="289">
        <f>SUM('Fevereiro 2023 - Outubro 2022'!CY4:CY954)</f>
        <v>0</v>
      </c>
      <c r="M12" s="286">
        <f>SUM('Fevereiro 2023 - Outubro 2022'!CB4:CB954)</f>
        <v>0</v>
      </c>
      <c r="N12" s="286"/>
      <c r="O12" s="286"/>
      <c r="P12" s="286">
        <f>SUM('Fevereiro 2023 - Outubro 2022'!BO4:BO954)</f>
        <v>0</v>
      </c>
      <c r="Q12" s="286"/>
      <c r="R12" s="289"/>
    </row>
    <row r="13" spans="1:18" ht="8.25" hidden="1" customHeight="1" x14ac:dyDescent="0.2">
      <c r="A13" s="283" t="s">
        <v>46</v>
      </c>
      <c r="B13" s="284">
        <f>_xlfn.XLOOKUP($A13,'Fevereiro 2023 - Outubro 2022'!K4:K954,'Fevereiro 2023 - Outubro 2022'!R4:R954,0,,-1)</f>
        <v>0</v>
      </c>
      <c r="C13" s="285">
        <v>0</v>
      </c>
      <c r="D13" s="286">
        <v>0</v>
      </c>
      <c r="E13" s="287">
        <f>D13+O13+SUM('Fevereiro 2023 - Outubro 2022'!AP4:AP954)-N13</f>
        <v>0</v>
      </c>
      <c r="F13" s="286">
        <f>SUM('Fevereiro 2023 - Outubro 2022'!BC4:BC954)</f>
        <v>0</v>
      </c>
      <c r="G13" s="287">
        <f t="shared" si="2"/>
        <v>0</v>
      </c>
      <c r="H13" s="286">
        <v>0</v>
      </c>
      <c r="I13" s="286">
        <f t="shared" si="0"/>
        <v>0</v>
      </c>
      <c r="J13" s="288">
        <f t="shared" si="1"/>
        <v>0</v>
      </c>
      <c r="K13" s="289">
        <f>SUM('Fevereiro 2023 - Outubro 2022'!CZ4:CZ954)</f>
        <v>0</v>
      </c>
      <c r="L13" s="289">
        <f>SUM('Fevereiro 2023 - Outubro 2022'!DA4:DA954)</f>
        <v>0</v>
      </c>
      <c r="M13" s="286">
        <f>SUM('Fevereiro 2023 - Outubro 2022'!CC4:CC954)</f>
        <v>0</v>
      </c>
      <c r="N13" s="286"/>
      <c r="O13" s="286"/>
      <c r="P13" s="286">
        <f>SUM('Fevereiro 2023 - Outubro 2022'!BP4:BP954)</f>
        <v>0</v>
      </c>
      <c r="Q13" s="286"/>
      <c r="R13" s="289"/>
    </row>
    <row r="14" spans="1:18" ht="13" customHeight="1" x14ac:dyDescent="0.2">
      <c r="A14" s="292" t="s">
        <v>47</v>
      </c>
      <c r="B14" s="293">
        <f>_xlfn.XLOOKUP($A14,'Fevereiro 2023 - Outubro 2022'!K4:K954,'Fevereiro 2023 - Outubro 2022'!R4:R954,0,,-1)</f>
        <v>0</v>
      </c>
      <c r="C14" s="294">
        <v>0</v>
      </c>
      <c r="D14" s="295">
        <v>2359.7199999999998</v>
      </c>
      <c r="E14" s="296">
        <f>D14+O14+SUM('Fevereiro 2023 - Outubro 2022'!AQ4:AQ954)-N14</f>
        <v>2851.47</v>
      </c>
      <c r="F14" s="295">
        <f>SUM('Fevereiro 2023 - Outubro 2022'!BD4:BD954)</f>
        <v>0</v>
      </c>
      <c r="G14" s="296">
        <f t="shared" si="2"/>
        <v>2851.47</v>
      </c>
      <c r="H14" s="295">
        <v>2422.15</v>
      </c>
      <c r="I14" s="295">
        <f t="shared" si="0"/>
        <v>429.31999999999971</v>
      </c>
      <c r="J14" s="297">
        <f t="shared" si="1"/>
        <v>0.17724748673698976</v>
      </c>
      <c r="K14" s="298">
        <f>SUM('Fevereiro 2023 - Outubro 2022'!DB4:DB954)</f>
        <v>71.5</v>
      </c>
      <c r="L14" s="299">
        <f>SUM('Fevereiro 2023 - Outubro 2022'!DC4:DC954)</f>
        <v>61</v>
      </c>
      <c r="M14" s="295">
        <f>SUM('Fevereiro 2023 - Outubro 2022'!CD4:CD954)</f>
        <v>215.31000000000003</v>
      </c>
      <c r="N14" s="295"/>
      <c r="O14" s="295"/>
      <c r="P14" s="295">
        <f>SUM('Fevereiro 2023 - Outubro 2022'!BQ4:BQ954)</f>
        <v>3121.1099999999983</v>
      </c>
      <c r="Q14" s="295"/>
      <c r="R14" s="299"/>
    </row>
    <row r="15" spans="1:18" ht="8.75" hidden="1" customHeight="1" x14ac:dyDescent="0.2">
      <c r="A15" s="300" t="s">
        <v>48</v>
      </c>
      <c r="B15" s="301">
        <f>_xlfn.XLOOKUP($A15,'Fevereiro 2023 - Outubro 2022'!K4:K954,'Fevereiro 2023 - Outubro 2022'!R4:R954,0,,-1)</f>
        <v>0</v>
      </c>
      <c r="C15" s="302">
        <v>0</v>
      </c>
      <c r="D15" s="303">
        <v>0</v>
      </c>
      <c r="E15" s="304">
        <f>D15+O15+SUM('Fevereiro 2023 - Outubro 2022'!AR4:AR954)-N15</f>
        <v>0</v>
      </c>
      <c r="F15" s="303">
        <f>SUM('Fevereiro 2023 - Outubro 2022'!BE4:BE954)</f>
        <v>0</v>
      </c>
      <c r="G15" s="304">
        <f t="shared" si="2"/>
        <v>0</v>
      </c>
      <c r="H15" s="303">
        <v>0</v>
      </c>
      <c r="I15" s="303">
        <f t="shared" si="0"/>
        <v>0</v>
      </c>
      <c r="J15" s="305">
        <f t="shared" si="1"/>
        <v>0</v>
      </c>
      <c r="K15" s="306">
        <f>SUM('Fevereiro 2023 - Outubro 2022'!DD4:DD954)</f>
        <v>0</v>
      </c>
      <c r="L15" s="306">
        <f>SUM('Fevereiro 2023 - Outubro 2022'!DE4:DE954)</f>
        <v>0</v>
      </c>
      <c r="M15" s="303">
        <f>SUM('Fevereiro 2023 - Outubro 2022'!CE4:CE954)</f>
        <v>0</v>
      </c>
      <c r="N15" s="303"/>
      <c r="O15" s="303"/>
      <c r="P15" s="303">
        <f>SUM('Fevereiro 2023 - Outubro 2022'!BR4:BR954)</f>
        <v>0</v>
      </c>
      <c r="Q15" s="303">
        <f>O15-P15</f>
        <v>0</v>
      </c>
      <c r="R15" s="306"/>
    </row>
    <row r="16" spans="1:18" ht="13" customHeight="1" x14ac:dyDescent="0.2">
      <c r="A16" s="307" t="s">
        <v>328</v>
      </c>
      <c r="B16" s="308">
        <f>COUNTIF('Fevereiro 2023 - Outubro 2022'!B4:B954," ")-COUNTIF('Fevereiro 2023 - Outubro 2022'!E4:E954," ")</f>
        <v>0</v>
      </c>
      <c r="C16" s="279"/>
      <c r="D16" s="279">
        <f>SUM(D3:D14)+O16-N$16</f>
        <v>7249.7099999999991</v>
      </c>
      <c r="E16" s="280">
        <f>SUM(E3:E15)-D$16</f>
        <v>1096.8700000000008</v>
      </c>
      <c r="F16" s="279">
        <f>SUM(F3:F15)</f>
        <v>0</v>
      </c>
      <c r="G16" s="280">
        <f>SUM(G3:G15)</f>
        <v>8346.58</v>
      </c>
      <c r="H16" s="279">
        <f>SUM(H3:H15)</f>
        <v>7579.43</v>
      </c>
      <c r="I16" s="279">
        <f>SUM(I3:I15)</f>
        <v>767.15000000000009</v>
      </c>
      <c r="J16" s="281">
        <f>SUM(G3:G15)/SUM(H3:H15)-1</f>
        <v>0.10121473514499102</v>
      </c>
      <c r="K16" s="282">
        <f>SUM(K3:K15)</f>
        <v>324</v>
      </c>
      <c r="L16" s="309">
        <f>SUM(L3:L15)</f>
        <v>344.5</v>
      </c>
      <c r="M16" s="279">
        <f>SUM(M3:M15)</f>
        <v>1360.61</v>
      </c>
      <c r="N16" s="279">
        <f>SUM(N3:N14)</f>
        <v>0</v>
      </c>
      <c r="O16" s="279">
        <f>SUM(O3:O14)</f>
        <v>650</v>
      </c>
      <c r="P16" s="279">
        <f>SUM(P3:P15)</f>
        <v>15164.000000000002</v>
      </c>
      <c r="Q16" s="279">
        <f>SUM(Q3:Q14)</f>
        <v>0</v>
      </c>
      <c r="R16" s="282">
        <f>SUM(R3:R15)</f>
        <v>0</v>
      </c>
    </row>
  </sheetData>
  <mergeCells count="1">
    <mergeCell ref="A1:R1"/>
  </mergeCells>
  <conditionalFormatting sqref="A2 A16">
    <cfRule type="cellIs" dxfId="87" priority="1" stopIfTrue="1" operator="equal">
      <formula>"BetFair"</formula>
    </cfRule>
    <cfRule type="cellIs" dxfId="86" priority="2" stopIfTrue="1" operator="equal">
      <formula>"Pinnacle"</formula>
    </cfRule>
    <cfRule type="cellIs" dxfId="85" priority="3" stopIfTrue="1" operator="equal">
      <formula>"Bet365"</formula>
    </cfRule>
    <cfRule type="cellIs" dxfId="84" priority="4" stopIfTrue="1" operator="equal">
      <formula>"BetWay"</formula>
    </cfRule>
    <cfRule type="cellIs" dxfId="83" priority="5" stopIfTrue="1" operator="equal">
      <formula>"DafaBet"</formula>
    </cfRule>
    <cfRule type="cellIs" dxfId="82" priority="6" stopIfTrue="1" operator="equal">
      <formula>"1xBet"</formula>
    </cfRule>
    <cfRule type="cellIs" dxfId="81" priority="7" stopIfTrue="1" operator="equal">
      <formula>"VBet"</formula>
    </cfRule>
    <cfRule type="cellIs" dxfId="80" priority="8" stopIfTrue="1" operator="equal">
      <formula>"BetFair Ex"</formula>
    </cfRule>
    <cfRule type="cellIs" dxfId="79" priority="9" stopIfTrue="1" operator="equal">
      <formula>"FavBet"</formula>
    </cfRule>
    <cfRule type="cellIs" dxfId="78" priority="10" stopIfTrue="1" operator="equal">
      <formula>"Leon Bet"</formula>
    </cfRule>
    <cfRule type="cellIs" dxfId="77" priority="11" stopIfTrue="1" operator="equal">
      <formula>"LEON"</formula>
    </cfRule>
    <cfRule type="cellIs" dxfId="76" priority="12" stopIfTrue="1" operator="equal">
      <formula>"MarathonBet"</formula>
    </cfRule>
    <cfRule type="cellIs" dxfId="75" priority="13" stopIfTrue="1" operator="equal">
      <formula>"ZenitBet"</formula>
    </cfRule>
    <cfRule type="cellIs" dxfId="74" priority="14" stopIfTrue="1" operator="equal">
      <formula>"TempoBet"</formula>
    </cfRule>
  </conditionalFormatting>
  <conditionalFormatting sqref="M2:M16 I3:J15 E16:J16">
    <cfRule type="cellIs" dxfId="73" priority="15" stopIfTrue="1" operator="greaterThan">
      <formula>0</formula>
    </cfRule>
    <cfRule type="cellIs" dxfId="72" priority="15" stopIfTrue="1" operator="lessThan">
      <formula>0</formula>
    </cfRule>
  </conditionalFormatting>
  <conditionalFormatting sqref="A3:A15">
    <cfRule type="beginsWith" dxfId="71" priority="16" stopIfTrue="1" operator="beginsWith" text="BetFair">
      <formula>FIND(UPPER("BetFair"),UPPER(A3))=1</formula>
      <formula>"BetFair"</formula>
    </cfRule>
    <cfRule type="cellIs" dxfId="70" priority="16" stopIfTrue="1" operator="equal">
      <formula>"Pinnacle"</formula>
    </cfRule>
    <cfRule type="cellIs" dxfId="69" priority="16" stopIfTrue="1" operator="equal">
      <formula>"Bet365"</formula>
    </cfRule>
    <cfRule type="cellIs" dxfId="68" priority="16" stopIfTrue="1" operator="equal">
      <formula>"BetWay"</formula>
    </cfRule>
    <cfRule type="cellIs" dxfId="67" priority="16" stopIfTrue="1" operator="equal">
      <formula>"DafaBet"</formula>
    </cfRule>
    <cfRule type="cellIs" dxfId="66" priority="16" stopIfTrue="1" operator="equal">
      <formula>"1xBet"</formula>
    </cfRule>
    <cfRule type="cellIs" dxfId="65" priority="16" stopIfTrue="1" operator="equal">
      <formula>"VBet"</formula>
    </cfRule>
    <cfRule type="cellIs" dxfId="64" priority="16" stopIfTrue="1" operator="equal">
      <formula>"TitanBet"</formula>
    </cfRule>
    <cfRule type="cellIs" dxfId="63" priority="16" stopIfTrue="1" operator="equal">
      <formula>"FavBet"</formula>
    </cfRule>
    <cfRule type="cellIs" dxfId="62" priority="16" stopIfTrue="1" operator="equal">
      <formula>"Leon Bet"</formula>
    </cfRule>
    <cfRule type="cellIs" dxfId="61" priority="16" stopIfTrue="1" operator="equal">
      <formula>"LEON"</formula>
    </cfRule>
    <cfRule type="cellIs" dxfId="60" priority="16" stopIfTrue="1" operator="equal">
      <formula>"MarathonBet"</formula>
    </cfRule>
    <cfRule type="cellIs" dxfId="59" priority="16" stopIfTrue="1" operator="equal">
      <formula>"ZenitBet"</formula>
    </cfRule>
    <cfRule type="cellIs" dxfId="58" priority="16" stopIfTrue="1" operator="equal">
      <formula>"TempoBet"</formula>
    </cfRule>
    <cfRule type="cellIs" dxfId="57" priority="16" stopIfTrue="1" operator="equal">
      <formula>"Smarkets"</formula>
    </cfRule>
  </conditionalFormatting>
  <conditionalFormatting sqref="B3:B15">
    <cfRule type="cellIs" dxfId="56" priority="17" stopIfTrue="1" operator="equal">
      <formula>"BetFair"</formula>
    </cfRule>
    <cfRule type="cellIs" dxfId="55" priority="17" stopIfTrue="1" operator="equal">
      <formula>"Pinnacle"</formula>
    </cfRule>
    <cfRule type="cellIs" dxfId="54" priority="17" stopIfTrue="1" operator="equal">
      <formula>"Bet365"</formula>
    </cfRule>
    <cfRule type="cellIs" dxfId="53" priority="17" stopIfTrue="1" operator="equal">
      <formula>"BetWay"</formula>
    </cfRule>
    <cfRule type="cellIs" dxfId="52" priority="17" stopIfTrue="1" operator="equal">
      <formula>"DafaBet"</formula>
    </cfRule>
    <cfRule type="cellIs" dxfId="51" priority="17" stopIfTrue="1" operator="equal">
      <formula>"1xBet"</formula>
    </cfRule>
    <cfRule type="cellIs" dxfId="50" priority="17" stopIfTrue="1" operator="equal">
      <formula>"VBet"</formula>
    </cfRule>
  </conditionalFormatting>
  <conditionalFormatting sqref="K3">
    <cfRule type="cellIs" dxfId="49" priority="18" stopIfTrue="1" operator="greaterThan">
      <formula>L3</formula>
    </cfRule>
  </conditionalFormatting>
  <conditionalFormatting sqref="L3">
    <cfRule type="cellIs" dxfId="48" priority="19" stopIfTrue="1" operator="greaterThan">
      <formula>K$3</formula>
    </cfRule>
  </conditionalFormatting>
  <conditionalFormatting sqref="R3">
    <cfRule type="cellIs" dxfId="47" priority="20" stopIfTrue="1" operator="greaterThan">
      <formula>N$3</formula>
    </cfRule>
  </conditionalFormatting>
  <conditionalFormatting sqref="K4">
    <cfRule type="cellIs" dxfId="46" priority="21" stopIfTrue="1" operator="greaterThan">
      <formula>L4</formula>
    </cfRule>
  </conditionalFormatting>
  <conditionalFormatting sqref="L4">
    <cfRule type="cellIs" dxfId="45" priority="22" stopIfTrue="1" operator="greaterThan">
      <formula>K$4</formula>
    </cfRule>
  </conditionalFormatting>
  <conditionalFormatting sqref="R4">
    <cfRule type="cellIs" dxfId="44" priority="23" stopIfTrue="1" operator="greaterThan">
      <formula>N$4</formula>
    </cfRule>
  </conditionalFormatting>
  <conditionalFormatting sqref="K5">
    <cfRule type="cellIs" dxfId="43" priority="24" stopIfTrue="1" operator="greaterThan">
      <formula>L5</formula>
    </cfRule>
  </conditionalFormatting>
  <conditionalFormatting sqref="L5">
    <cfRule type="cellIs" dxfId="42" priority="25" stopIfTrue="1" operator="greaterThan">
      <formula>K$5</formula>
    </cfRule>
  </conditionalFormatting>
  <conditionalFormatting sqref="R5">
    <cfRule type="cellIs" dxfId="41" priority="26" stopIfTrue="1" operator="greaterThan">
      <formula>N$5</formula>
    </cfRule>
  </conditionalFormatting>
  <conditionalFormatting sqref="K6">
    <cfRule type="cellIs" dxfId="40" priority="27" stopIfTrue="1" operator="greaterThan">
      <formula>L6</formula>
    </cfRule>
  </conditionalFormatting>
  <conditionalFormatting sqref="L6">
    <cfRule type="cellIs" dxfId="39" priority="28" stopIfTrue="1" operator="greaterThan">
      <formula>K$6</formula>
    </cfRule>
  </conditionalFormatting>
  <conditionalFormatting sqref="R6">
    <cfRule type="cellIs" dxfId="38" priority="29" stopIfTrue="1" operator="greaterThan">
      <formula>N$6</formula>
    </cfRule>
  </conditionalFormatting>
  <conditionalFormatting sqref="K7">
    <cfRule type="cellIs" dxfId="37" priority="30" stopIfTrue="1" operator="greaterThan">
      <formula>L7</formula>
    </cfRule>
  </conditionalFormatting>
  <conditionalFormatting sqref="L7">
    <cfRule type="cellIs" dxfId="36" priority="31" stopIfTrue="1" operator="greaterThan">
      <formula>K$7</formula>
    </cfRule>
  </conditionalFormatting>
  <conditionalFormatting sqref="R7">
    <cfRule type="cellIs" dxfId="35" priority="32" stopIfTrue="1" operator="greaterThan">
      <formula>N$7</formula>
    </cfRule>
  </conditionalFormatting>
  <conditionalFormatting sqref="K8">
    <cfRule type="cellIs" dxfId="34" priority="33" stopIfTrue="1" operator="greaterThan">
      <formula>L8</formula>
    </cfRule>
  </conditionalFormatting>
  <conditionalFormatting sqref="L8">
    <cfRule type="cellIs" dxfId="33" priority="34" stopIfTrue="1" operator="greaterThan">
      <formula>K$8</formula>
    </cfRule>
  </conditionalFormatting>
  <conditionalFormatting sqref="R8">
    <cfRule type="cellIs" dxfId="32" priority="35" stopIfTrue="1" operator="greaterThan">
      <formula>N$8</formula>
    </cfRule>
  </conditionalFormatting>
  <conditionalFormatting sqref="K9">
    <cfRule type="cellIs" dxfId="31" priority="36" stopIfTrue="1" operator="greaterThan">
      <formula>L9</formula>
    </cfRule>
  </conditionalFormatting>
  <conditionalFormatting sqref="L9">
    <cfRule type="cellIs" dxfId="30" priority="37" stopIfTrue="1" operator="greaterThan">
      <formula>K$9</formula>
    </cfRule>
  </conditionalFormatting>
  <conditionalFormatting sqref="R9">
    <cfRule type="cellIs" dxfId="29" priority="38" stopIfTrue="1" operator="greaterThan">
      <formula>N$9</formula>
    </cfRule>
  </conditionalFormatting>
  <conditionalFormatting sqref="K10">
    <cfRule type="cellIs" dxfId="28" priority="39" stopIfTrue="1" operator="greaterThan">
      <formula>L10</formula>
    </cfRule>
  </conditionalFormatting>
  <conditionalFormatting sqref="L10">
    <cfRule type="cellIs" dxfId="27" priority="40" stopIfTrue="1" operator="greaterThan">
      <formula>K$10</formula>
    </cfRule>
  </conditionalFormatting>
  <conditionalFormatting sqref="R10">
    <cfRule type="cellIs" dxfId="26" priority="41" stopIfTrue="1" operator="greaterThan">
      <formula>N$10</formula>
    </cfRule>
  </conditionalFormatting>
  <conditionalFormatting sqref="K11">
    <cfRule type="cellIs" dxfId="25" priority="42" stopIfTrue="1" operator="greaterThan">
      <formula>L11</formula>
    </cfRule>
  </conditionalFormatting>
  <conditionalFormatting sqref="L11">
    <cfRule type="cellIs" dxfId="24" priority="43" stopIfTrue="1" operator="greaterThan">
      <formula>K$11</formula>
    </cfRule>
  </conditionalFormatting>
  <conditionalFormatting sqref="R11">
    <cfRule type="cellIs" dxfId="23" priority="44" stopIfTrue="1" operator="greaterThan">
      <formula>N$11</formula>
    </cfRule>
  </conditionalFormatting>
  <conditionalFormatting sqref="K12">
    <cfRule type="cellIs" dxfId="22" priority="45" stopIfTrue="1" operator="greaterThan">
      <formula>L12</formula>
    </cfRule>
  </conditionalFormatting>
  <conditionalFormatting sqref="L12">
    <cfRule type="cellIs" dxfId="21" priority="46" stopIfTrue="1" operator="greaterThan">
      <formula>K$12</formula>
    </cfRule>
  </conditionalFormatting>
  <conditionalFormatting sqref="R12">
    <cfRule type="cellIs" dxfId="20" priority="47" stopIfTrue="1" operator="greaterThan">
      <formula>N$12</formula>
    </cfRule>
  </conditionalFormatting>
  <conditionalFormatting sqref="K13">
    <cfRule type="cellIs" dxfId="19" priority="48" stopIfTrue="1" operator="greaterThan">
      <formula>L13</formula>
    </cfRule>
  </conditionalFormatting>
  <conditionalFormatting sqref="L13">
    <cfRule type="cellIs" dxfId="18" priority="49" stopIfTrue="1" operator="greaterThan">
      <formula>K$13</formula>
    </cfRule>
  </conditionalFormatting>
  <conditionalFormatting sqref="R13">
    <cfRule type="cellIs" dxfId="17" priority="50" stopIfTrue="1" operator="greaterThan">
      <formula>N$13</formula>
    </cfRule>
  </conditionalFormatting>
  <conditionalFormatting sqref="K14">
    <cfRule type="cellIs" dxfId="16" priority="51" stopIfTrue="1" operator="greaterThan">
      <formula>L14</formula>
    </cfRule>
  </conditionalFormatting>
  <conditionalFormatting sqref="L14">
    <cfRule type="cellIs" dxfId="15" priority="52" stopIfTrue="1" operator="greaterThan">
      <formula>K$14</formula>
    </cfRule>
  </conditionalFormatting>
  <conditionalFormatting sqref="R14">
    <cfRule type="cellIs" dxfId="14" priority="53" stopIfTrue="1" operator="greaterThan">
      <formula>N$14</formula>
    </cfRule>
  </conditionalFormatting>
  <conditionalFormatting sqref="K15">
    <cfRule type="cellIs" dxfId="13" priority="54" stopIfTrue="1" operator="greaterThan">
      <formula>L15</formula>
    </cfRule>
  </conditionalFormatting>
  <conditionalFormatting sqref="L15">
    <cfRule type="cellIs" dxfId="12" priority="55" stopIfTrue="1" operator="greaterThan">
      <formula>K$15</formula>
    </cfRule>
  </conditionalFormatting>
  <conditionalFormatting sqref="R15">
    <cfRule type="cellIs" dxfId="11" priority="56" stopIfTrue="1" operator="greaterThan">
      <formula>N$15</formula>
    </cfRule>
  </conditionalFormatting>
  <conditionalFormatting sqref="K16">
    <cfRule type="cellIs" dxfId="10" priority="57" stopIfTrue="1" operator="greaterThan">
      <formula>L16</formula>
    </cfRule>
  </conditionalFormatting>
  <conditionalFormatting sqref="L16">
    <cfRule type="cellIs" dxfId="9" priority="58" stopIfTrue="1" operator="greaterThan">
      <formula>K$16</formula>
    </cfRule>
  </conditionalFormatting>
  <conditionalFormatting sqref="R16">
    <cfRule type="cellIs" dxfId="8" priority="59" stopIfTrue="1" operator="greaterThan">
      <formula>N$16</formula>
    </cfRule>
  </conditionalFormatting>
  <dataValidations count="1">
    <dataValidation type="list" allowBlank="1" showInputMessage="1" showErrorMessage="1" sqref="A3:A15" xr:uid="{00000000-0002-0000-0100-000000000000}">
      <formula1>",1xBet,Bet365,BetFair,BetFair Ex,BetWay,DafaBet,FavBet,LEON,MarathonBet,Pinnacle,Smarkets,TempoBet,TitanBet,VBet,ZenitBet"</formula1>
    </dataValidation>
  </dataValidations>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3"/>
  <sheetViews>
    <sheetView showGridLines="0" workbookViewId="0">
      <pane ySplit="2" topLeftCell="A3" activePane="bottomLeft" state="frozen"/>
      <selection pane="bottomLeft"/>
    </sheetView>
  </sheetViews>
  <sheetFormatPr baseColWidth="10" defaultColWidth="16.33203125" defaultRowHeight="20" customHeight="1" x14ac:dyDescent="0.15"/>
  <cols>
    <col min="1" max="3" width="16.33203125" style="310" customWidth="1"/>
    <col min="4" max="16384" width="16.33203125" style="310"/>
  </cols>
  <sheetData>
    <row r="1" spans="1:2" ht="27.75" customHeight="1" x14ac:dyDescent="0.15">
      <c r="A1" s="529" t="s">
        <v>329</v>
      </c>
      <c r="B1" s="529"/>
    </row>
    <row r="2" spans="1:2" ht="20.25" customHeight="1" x14ac:dyDescent="0.15">
      <c r="A2" s="311" t="s">
        <v>330</v>
      </c>
      <c r="B2" s="311" t="s">
        <v>331</v>
      </c>
    </row>
    <row r="3" spans="1:2" ht="20.25" customHeight="1" x14ac:dyDescent="0.15">
      <c r="A3" s="312">
        <v>1000</v>
      </c>
      <c r="B3" s="312">
        <v>100</v>
      </c>
    </row>
  </sheetData>
  <mergeCells count="1">
    <mergeCell ref="A1:B1"/>
  </mergeCells>
  <pageMargins left="1" right="1" top="1" bottom="1" header="0.25" footer="0.25"/>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2"/>
  <sheetViews>
    <sheetView showGridLines="0" workbookViewId="0">
      <pane ySplit="1" topLeftCell="A2" activePane="bottomLeft" state="frozen"/>
      <selection pane="bottomLeft"/>
    </sheetView>
  </sheetViews>
  <sheetFormatPr baseColWidth="10" defaultColWidth="16.33203125" defaultRowHeight="20" customHeight="1" x14ac:dyDescent="0.15"/>
  <cols>
    <col min="1" max="1" width="23.5" style="310" customWidth="1"/>
    <col min="2" max="2" width="16.33203125" style="310" customWidth="1"/>
    <col min="3" max="16384" width="16.33203125" style="310"/>
  </cols>
  <sheetData>
    <row r="1" spans="1:1" ht="20.25" customHeight="1" x14ac:dyDescent="0.15">
      <c r="A1" s="311" t="s">
        <v>332</v>
      </c>
    </row>
    <row r="2" spans="1:1" ht="20.25" customHeight="1" x14ac:dyDescent="0.15">
      <c r="A2" s="313">
        <f>POWER('Folha 1 - Calculadora de Probab'!A3,'Folha 1 - Calculadora de Probab'!B3)</f>
        <v>1.0000000000000001E+300</v>
      </c>
    </row>
  </sheetData>
  <pageMargins left="1" right="1" top="1" bottom="1" header="0.25" footer="0.25"/>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5"/>
  <sheetViews>
    <sheetView showGridLines="0" workbookViewId="0">
      <pane ySplit="1" topLeftCell="A2" activePane="bottomLeft" state="frozen"/>
      <selection pane="bottomLeft"/>
    </sheetView>
  </sheetViews>
  <sheetFormatPr baseColWidth="10" defaultColWidth="16.33203125" defaultRowHeight="20" customHeight="1" x14ac:dyDescent="0.15"/>
  <cols>
    <col min="1" max="3" width="23.5" style="310" customWidth="1"/>
    <col min="4" max="4" width="16.33203125" style="310" customWidth="1"/>
    <col min="5" max="16384" width="16.33203125" style="310"/>
  </cols>
  <sheetData>
    <row r="1" spans="1:3" ht="20.25" customHeight="1" x14ac:dyDescent="0.15">
      <c r="A1" s="311" t="s">
        <v>333</v>
      </c>
      <c r="B1" s="311" t="s">
        <v>332</v>
      </c>
      <c r="C1" s="311" t="s">
        <v>334</v>
      </c>
    </row>
    <row r="2" spans="1:3" ht="20.25" customHeight="1" x14ac:dyDescent="0.15">
      <c r="A2" s="314" t="s">
        <v>335</v>
      </c>
      <c r="B2" s="313">
        <v>1.0715086071862699E+301</v>
      </c>
      <c r="C2" s="315">
        <f>ROUNDUP(301/82,0)</f>
        <v>4</v>
      </c>
    </row>
    <row r="3" spans="1:3" ht="20" customHeight="1" x14ac:dyDescent="0.15">
      <c r="A3" s="316" t="s">
        <v>336</v>
      </c>
      <c r="B3" s="317">
        <f>264*5+1</f>
        <v>1321</v>
      </c>
      <c r="C3" s="317">
        <f>ROUNDUP(B3/82,0)</f>
        <v>17</v>
      </c>
    </row>
    <row r="4" spans="1:3" ht="20" customHeight="1" x14ac:dyDescent="0.15">
      <c r="A4" s="316" t="s">
        <v>337</v>
      </c>
      <c r="B4" s="317">
        <f>269*10</f>
        <v>2690</v>
      </c>
      <c r="C4" s="317">
        <f>ROUNDUP(B4/82,0)</f>
        <v>33</v>
      </c>
    </row>
    <row r="5" spans="1:3" ht="20" customHeight="1" x14ac:dyDescent="0.15">
      <c r="A5" s="316" t="s">
        <v>338</v>
      </c>
      <c r="B5" s="317">
        <v>3000</v>
      </c>
      <c r="C5" s="317">
        <f>ROUNDUP(B5/82,0)</f>
        <v>37</v>
      </c>
    </row>
  </sheetData>
  <pageMargins left="1" right="1" top="1" bottom="1" header="0.25" footer="0.2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E11"/>
  <sheetViews>
    <sheetView showGridLines="0" workbookViewId="0"/>
  </sheetViews>
  <sheetFormatPr baseColWidth="10" defaultColWidth="16.33203125" defaultRowHeight="20" customHeight="1" x14ac:dyDescent="0.15"/>
  <cols>
    <col min="1" max="6" width="16.33203125" style="310" customWidth="1"/>
    <col min="7" max="16384" width="16.33203125" style="310"/>
  </cols>
  <sheetData>
    <row r="1" spans="1:5" ht="27.75" customHeight="1" x14ac:dyDescent="0.15">
      <c r="A1" s="529" t="s">
        <v>339</v>
      </c>
      <c r="B1" s="529"/>
      <c r="C1" s="529"/>
      <c r="D1" s="529"/>
      <c r="E1" s="529"/>
    </row>
    <row r="2" spans="1:5" ht="20" customHeight="1" x14ac:dyDescent="0.15">
      <c r="A2" s="318">
        <v>13770000000</v>
      </c>
      <c r="B2" s="319">
        <f>A2*365*24*60*60</f>
        <v>4.3425072E+17</v>
      </c>
      <c r="C2" s="320"/>
      <c r="D2" s="320"/>
      <c r="E2" s="320"/>
    </row>
    <row r="3" spans="1:5" ht="20" customHeight="1" x14ac:dyDescent="0.15">
      <c r="A3" s="320"/>
      <c r="B3" s="320"/>
      <c r="C3" s="320"/>
      <c r="D3" s="320"/>
      <c r="E3" s="320"/>
    </row>
    <row r="4" spans="1:5" ht="20" customHeight="1" x14ac:dyDescent="0.15">
      <c r="A4" s="318">
        <v>1000</v>
      </c>
      <c r="B4" s="318">
        <v>0.9</v>
      </c>
      <c r="C4" s="318">
        <v>0.99</v>
      </c>
      <c r="D4" s="320"/>
      <c r="E4" s="320"/>
    </row>
    <row r="5" spans="1:5" ht="20" customHeight="1" x14ac:dyDescent="0.15">
      <c r="A5" s="318">
        <v>0.69499999999999995</v>
      </c>
      <c r="B5" s="318">
        <f t="shared" ref="B5:C7" si="0">($A$4*B$4)*$A5</f>
        <v>625.5</v>
      </c>
      <c r="C5" s="318">
        <f t="shared" si="0"/>
        <v>688.05</v>
      </c>
      <c r="D5" s="320"/>
      <c r="E5" s="320"/>
    </row>
    <row r="6" spans="1:5" ht="20" customHeight="1" x14ac:dyDescent="0.15">
      <c r="A6" s="318">
        <v>0.29499999999999998</v>
      </c>
      <c r="B6" s="318">
        <f t="shared" si="0"/>
        <v>265.5</v>
      </c>
      <c r="C6" s="318">
        <f t="shared" si="0"/>
        <v>292.05</v>
      </c>
      <c r="D6" s="320"/>
      <c r="E6" s="320"/>
    </row>
    <row r="7" spans="1:5" ht="20" customHeight="1" x14ac:dyDescent="0.15">
      <c r="A7" s="318">
        <v>0.01</v>
      </c>
      <c r="B7" s="318">
        <f t="shared" si="0"/>
        <v>9</v>
      </c>
      <c r="C7" s="318">
        <f t="shared" si="0"/>
        <v>9.9</v>
      </c>
      <c r="D7" s="320"/>
      <c r="E7" s="320"/>
    </row>
    <row r="8" spans="1:5" ht="20" customHeight="1" x14ac:dyDescent="0.15">
      <c r="A8" s="320"/>
      <c r="B8" s="318">
        <f>A4-(A4*B4)</f>
        <v>100</v>
      </c>
      <c r="C8" s="318">
        <f>A4-(A4*C4)</f>
        <v>10</v>
      </c>
      <c r="D8" s="320"/>
      <c r="E8" s="320"/>
    </row>
    <row r="9" spans="1:5" ht="20" customHeight="1" x14ac:dyDescent="0.15">
      <c r="A9" s="320"/>
      <c r="B9" s="318">
        <f>SUM(B5:B8)</f>
        <v>1000</v>
      </c>
      <c r="C9" s="318">
        <f>SUM(C5:C8)</f>
        <v>999.99999999999989</v>
      </c>
      <c r="D9" s="320"/>
      <c r="E9" s="320"/>
    </row>
    <row r="10" spans="1:5" ht="20" customHeight="1" x14ac:dyDescent="0.15">
      <c r="A10" s="320"/>
      <c r="B10" s="320"/>
      <c r="C10" s="320"/>
      <c r="D10" s="320"/>
      <c r="E10" s="320"/>
    </row>
    <row r="11" spans="1:5" ht="20" customHeight="1" x14ac:dyDescent="0.15">
      <c r="A11" s="320"/>
      <c r="B11" s="320"/>
      <c r="C11" s="320"/>
      <c r="D11" s="320"/>
      <c r="E11" s="320"/>
    </row>
  </sheetData>
  <mergeCells count="1">
    <mergeCell ref="A1:E1"/>
  </mergeCells>
  <pageMargins left="1" right="1" top="1" bottom="1" header="0.25" footer="0.25"/>
  <pageSetup orientation="portrait"/>
  <headerFooter>
    <oddFooter>&amp;C&amp;"Helvetica Neue,Regular"&amp;12&amp;K000000&amp;P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614"/>
  <sheetViews>
    <sheetView showGridLines="0" workbookViewId="0">
      <pane xSplit="1" ySplit="2" topLeftCell="B3" activePane="bottomRight" state="frozen"/>
      <selection pane="topRight"/>
      <selection pane="bottomLeft"/>
      <selection pane="bottomRight" activeCell="B3" sqref="B3"/>
    </sheetView>
  </sheetViews>
  <sheetFormatPr baseColWidth="10" defaultColWidth="16.33203125" defaultRowHeight="20" customHeight="1" x14ac:dyDescent="0.15"/>
  <cols>
    <col min="1" max="8" width="16.33203125" style="310" customWidth="1"/>
    <col min="9" max="16384" width="16.33203125" style="310"/>
  </cols>
  <sheetData>
    <row r="1" spans="1:7" ht="27.75" customHeight="1" x14ac:dyDescent="0.15">
      <c r="A1" s="529" t="s">
        <v>339</v>
      </c>
      <c r="B1" s="529"/>
      <c r="C1" s="529"/>
      <c r="D1" s="529"/>
      <c r="E1" s="529"/>
      <c r="F1" s="529"/>
      <c r="G1" s="529"/>
    </row>
    <row r="2" spans="1:7" ht="20.25" customHeight="1" x14ac:dyDescent="0.15">
      <c r="A2" s="321" t="b">
        <v>1</v>
      </c>
      <c r="B2" s="311" t="s">
        <v>340</v>
      </c>
      <c r="C2" s="311" t="s">
        <v>16</v>
      </c>
      <c r="D2" s="311" t="s">
        <v>341</v>
      </c>
      <c r="E2" s="311" t="s">
        <v>342</v>
      </c>
      <c r="F2" s="311" t="s">
        <v>27</v>
      </c>
      <c r="G2" s="311" t="s">
        <v>343</v>
      </c>
    </row>
    <row r="3" spans="1:7" ht="20.25" customHeight="1" x14ac:dyDescent="0.15">
      <c r="A3" s="322" t="s">
        <v>344</v>
      </c>
      <c r="B3" s="323"/>
      <c r="C3" s="324">
        <f>D3-E3</f>
        <v>1.4100000000000001</v>
      </c>
      <c r="D3" s="324">
        <v>1.82</v>
      </c>
      <c r="E3" s="324">
        <v>0.41</v>
      </c>
      <c r="F3" s="325"/>
      <c r="G3" s="325"/>
    </row>
    <row r="4" spans="1:7" ht="20" customHeight="1" x14ac:dyDescent="0.15">
      <c r="A4" s="326">
        <v>44805</v>
      </c>
      <c r="B4" s="327">
        <f>1610.34+1200+20</f>
        <v>2830.34</v>
      </c>
      <c r="C4" s="328">
        <v>1.1200000000000001</v>
      </c>
      <c r="D4" s="329">
        <f>(D$3*$C4)/$C$3</f>
        <v>1.4456737588652482</v>
      </c>
      <c r="E4" s="329">
        <f>D4-$C4</f>
        <v>0.32567375886524808</v>
      </c>
      <c r="F4" s="330">
        <f t="shared" ref="F4:F67" si="0">IF(B4="","",C4/B4)</f>
        <v>3.9571217592232737E-4</v>
      </c>
      <c r="G4" s="330"/>
    </row>
    <row r="5" spans="1:7" ht="20" customHeight="1" x14ac:dyDescent="0.15">
      <c r="A5" s="326">
        <v>44806</v>
      </c>
      <c r="B5" s="327">
        <f>4082.19+1194.67-50</f>
        <v>5226.8600000000006</v>
      </c>
      <c r="C5" s="328">
        <v>2.0699999999999998</v>
      </c>
      <c r="D5" s="329">
        <f>(D$3*$C5)/$C$3</f>
        <v>2.6719148936170209</v>
      </c>
      <c r="E5" s="329">
        <f>D5-$C5</f>
        <v>0.60191489361702111</v>
      </c>
      <c r="F5" s="330">
        <f t="shared" si="0"/>
        <v>3.9603126925151998E-4</v>
      </c>
      <c r="G5" s="330"/>
    </row>
    <row r="6" spans="1:7" ht="20" customHeight="1" x14ac:dyDescent="0.15">
      <c r="A6" s="326">
        <v>44807</v>
      </c>
      <c r="B6" s="327">
        <v>5380.34</v>
      </c>
      <c r="C6" s="328">
        <v>2.12</v>
      </c>
      <c r="D6" s="329">
        <f>(D$3*$C6)/$C$3</f>
        <v>2.7364539007092201</v>
      </c>
      <c r="E6" s="329">
        <f>D6-$C6</f>
        <v>0.61645390070922002</v>
      </c>
      <c r="F6" s="330">
        <f t="shared" si="0"/>
        <v>3.9402714326603898E-4</v>
      </c>
      <c r="G6" s="330"/>
    </row>
    <row r="7" spans="1:7" ht="20" customHeight="1" x14ac:dyDescent="0.15">
      <c r="A7" s="326">
        <v>44808</v>
      </c>
      <c r="B7" s="331" t="str">
        <f>IF(OR(WEEKDAY($A7)=1,WEEKDAY($A7)=2),"",LARGE(B$3:B6,1)+LARGE(C$3:C6,1))</f>
        <v/>
      </c>
      <c r="C7" s="328"/>
      <c r="D7" s="316" t="str">
        <f t="shared" ref="D7:D70" si="1">IF(C7="","",(D$3*$C7)/$C$3)</f>
        <v/>
      </c>
      <c r="E7" s="316" t="str">
        <f t="shared" ref="E7:E70" si="2">IF(C7="","",D7-$C7)</f>
        <v/>
      </c>
      <c r="F7" s="316" t="str">
        <f t="shared" si="0"/>
        <v/>
      </c>
      <c r="G7" s="320"/>
    </row>
    <row r="8" spans="1:7" ht="20" customHeight="1" x14ac:dyDescent="0.15">
      <c r="A8" s="326">
        <v>44809</v>
      </c>
      <c r="B8" s="331" t="str">
        <f>IF(OR(WEEKDAY($A8)=1,WEEKDAY($A8)=2),"",LARGE(B$3:B7,1)+LARGE(C$3:C7,1))</f>
        <v/>
      </c>
      <c r="C8" s="328"/>
      <c r="D8" s="316" t="str">
        <f t="shared" si="1"/>
        <v/>
      </c>
      <c r="E8" s="316" t="str">
        <f t="shared" si="2"/>
        <v/>
      </c>
      <c r="F8" s="316" t="str">
        <f t="shared" si="0"/>
        <v/>
      </c>
      <c r="G8" s="320"/>
    </row>
    <row r="9" spans="1:7" ht="20" customHeight="1" x14ac:dyDescent="0.15">
      <c r="A9" s="326">
        <v>44810</v>
      </c>
      <c r="B9" s="327">
        <v>6423.3</v>
      </c>
      <c r="C9" s="328">
        <f>IF(B9="","",B9*F$6)</f>
        <v>2.5309545493407484</v>
      </c>
      <c r="D9" s="329">
        <f t="shared" si="1"/>
        <v>3.2669058721986963</v>
      </c>
      <c r="E9" s="329">
        <f t="shared" si="2"/>
        <v>0.73595132285794795</v>
      </c>
      <c r="F9" s="330">
        <f t="shared" si="0"/>
        <v>3.9402714326603898E-4</v>
      </c>
      <c r="G9" s="330"/>
    </row>
    <row r="10" spans="1:7" ht="20" customHeight="1" x14ac:dyDescent="0.15">
      <c r="A10" s="326">
        <v>44811</v>
      </c>
      <c r="B10" s="327">
        <v>6525.54</v>
      </c>
      <c r="C10" s="328">
        <v>0</v>
      </c>
      <c r="D10" s="329">
        <f t="shared" si="1"/>
        <v>0</v>
      </c>
      <c r="E10" s="329">
        <f t="shared" si="2"/>
        <v>0</v>
      </c>
      <c r="F10" s="330">
        <f t="shared" si="0"/>
        <v>0</v>
      </c>
      <c r="G10" s="330"/>
    </row>
    <row r="11" spans="1:7" ht="20" customHeight="1" x14ac:dyDescent="0.15">
      <c r="A11" s="326">
        <v>44812</v>
      </c>
      <c r="B11" s="327">
        <v>6650.35</v>
      </c>
      <c r="C11" s="328">
        <f t="shared" ref="C11:C74" si="3">IF(B11="","",B11*F$6)</f>
        <v>2.6204184122193026</v>
      </c>
      <c r="D11" s="329">
        <f t="shared" si="1"/>
        <v>3.382384049814986</v>
      </c>
      <c r="E11" s="329">
        <f t="shared" si="2"/>
        <v>0.76196563759568336</v>
      </c>
      <c r="F11" s="330">
        <f t="shared" si="0"/>
        <v>3.9402714326603898E-4</v>
      </c>
      <c r="G11" s="330"/>
    </row>
    <row r="12" spans="1:7" ht="20" customHeight="1" x14ac:dyDescent="0.15">
      <c r="A12" s="326">
        <v>44813</v>
      </c>
      <c r="B12" s="327">
        <f>IF(OR(WEEKDAY($A12)=1,WEEKDAY($A12)=2),"",IF(B11="",IF(B10="",B9,B10),B11)+IF(A$2=TRUE,IF(C11="",IF(C10="",C9,C10),C11)*2,IF(C11="",IF(C10="",C9,C10),C11)))</f>
        <v>6655.5908368244391</v>
      </c>
      <c r="C12" s="328">
        <f t="shared" si="3"/>
        <v>2.6224834441815594</v>
      </c>
      <c r="D12" s="329">
        <f t="shared" si="1"/>
        <v>3.3850495520641406</v>
      </c>
      <c r="E12" s="329">
        <f t="shared" si="2"/>
        <v>0.76256610788258117</v>
      </c>
      <c r="F12" s="330">
        <f t="shared" si="0"/>
        <v>3.9402714326603898E-4</v>
      </c>
      <c r="G12" s="330"/>
    </row>
    <row r="13" spans="1:7" ht="20" customHeight="1" x14ac:dyDescent="0.15">
      <c r="A13" s="326">
        <v>44814</v>
      </c>
      <c r="B13" s="327">
        <v>6242.1</v>
      </c>
      <c r="C13" s="328">
        <f t="shared" si="3"/>
        <v>2.4595568309809419</v>
      </c>
      <c r="D13" s="329">
        <f t="shared" si="1"/>
        <v>3.1747471151668889</v>
      </c>
      <c r="E13" s="329">
        <f t="shared" si="2"/>
        <v>0.71519028418594699</v>
      </c>
      <c r="F13" s="330">
        <f t="shared" si="0"/>
        <v>3.9402714326603898E-4</v>
      </c>
      <c r="G13" s="330"/>
    </row>
    <row r="14" spans="1:7" ht="20" customHeight="1" x14ac:dyDescent="0.15">
      <c r="A14" s="326">
        <v>44815</v>
      </c>
      <c r="B14" s="331" t="str">
        <f>IF(OR(WEEKDAY($A14)=1,WEEKDAY($A14)=2),"",IF(B13="",IF(B12="",B11,B12),B13)+IF(A$2=TRUE,IF(C13="",IF(C12="",C11,C12),C13)*2,IF(C13="",IF(C12="",C11,C12),C13)))</f>
        <v/>
      </c>
      <c r="C14" s="316" t="str">
        <f t="shared" si="3"/>
        <v/>
      </c>
      <c r="D14" s="316" t="str">
        <f t="shared" si="1"/>
        <v/>
      </c>
      <c r="E14" s="316" t="str">
        <f t="shared" si="2"/>
        <v/>
      </c>
      <c r="F14" s="316" t="str">
        <f t="shared" si="0"/>
        <v/>
      </c>
      <c r="G14" s="320"/>
    </row>
    <row r="15" spans="1:7" ht="20" customHeight="1" x14ac:dyDescent="0.15">
      <c r="A15" s="326">
        <v>44816</v>
      </c>
      <c r="B15" s="327">
        <v>4231.9799999999996</v>
      </c>
      <c r="C15" s="328">
        <f t="shared" si="3"/>
        <v>1.6675149897590114</v>
      </c>
      <c r="D15" s="329">
        <f t="shared" si="1"/>
        <v>2.1523952350080853</v>
      </c>
      <c r="E15" s="329">
        <f t="shared" si="2"/>
        <v>0.48488024524907392</v>
      </c>
      <c r="F15" s="330">
        <f t="shared" si="0"/>
        <v>3.9402714326603898E-4</v>
      </c>
      <c r="G15" s="320"/>
    </row>
    <row r="16" spans="1:7" ht="20" customHeight="1" x14ac:dyDescent="0.15">
      <c r="A16" s="326">
        <v>44817</v>
      </c>
      <c r="B16" s="327">
        <f>IF(OR(WEEKDAY($A16)=7,WEEKDAY($A16)=1),"",IF(B15="",IF(B14="",B13,B14),B15)+IF(A$2=TRUE,IF(C15="",IF(C14="",C13,C14),C15)*2,IF(C15="",IF(C14="",C13,C14),C15)))</f>
        <v>4235.3150299795179</v>
      </c>
      <c r="C16" s="328">
        <f t="shared" si="3"/>
        <v>1.6688290820945477</v>
      </c>
      <c r="D16" s="329">
        <f t="shared" si="1"/>
        <v>2.1540914392993451</v>
      </c>
      <c r="E16" s="329">
        <f t="shared" si="2"/>
        <v>0.48526235720479738</v>
      </c>
      <c r="F16" s="330">
        <f t="shared" si="0"/>
        <v>3.9402714326603898E-4</v>
      </c>
      <c r="G16" s="330"/>
    </row>
    <row r="17" spans="1:7" ht="20" customHeight="1" x14ac:dyDescent="0.15">
      <c r="A17" s="326">
        <v>44818</v>
      </c>
      <c r="B17" s="327">
        <v>3235.99</v>
      </c>
      <c r="C17" s="328">
        <f t="shared" si="3"/>
        <v>1.2750678953374694</v>
      </c>
      <c r="D17" s="329">
        <f t="shared" si="1"/>
        <v>1.6458323188043931</v>
      </c>
      <c r="E17" s="329">
        <f t="shared" si="2"/>
        <v>0.37076442346692362</v>
      </c>
      <c r="F17" s="330">
        <f t="shared" si="0"/>
        <v>3.9402714326603898E-4</v>
      </c>
      <c r="G17" s="330"/>
    </row>
    <row r="18" spans="1:7" ht="20" customHeight="1" x14ac:dyDescent="0.15">
      <c r="A18" s="326">
        <v>44819</v>
      </c>
      <c r="B18" s="327">
        <v>3138.55</v>
      </c>
      <c r="C18" s="328">
        <f t="shared" si="3"/>
        <v>1.2366738904976267</v>
      </c>
      <c r="D18" s="329">
        <f t="shared" si="1"/>
        <v>1.5962740997912626</v>
      </c>
      <c r="E18" s="329">
        <f t="shared" si="2"/>
        <v>0.3596002092936359</v>
      </c>
      <c r="F18" s="330">
        <f t="shared" si="0"/>
        <v>3.9402714326603898E-4</v>
      </c>
      <c r="G18" s="330"/>
    </row>
    <row r="19" spans="1:7" ht="20" customHeight="1" x14ac:dyDescent="0.15">
      <c r="A19" s="326">
        <v>44820</v>
      </c>
      <c r="B19" s="327">
        <v>4747</v>
      </c>
      <c r="C19" s="328">
        <f t="shared" si="3"/>
        <v>1.870446849083887</v>
      </c>
      <c r="D19" s="329">
        <f t="shared" si="1"/>
        <v>2.4143356491721093</v>
      </c>
      <c r="E19" s="329">
        <f t="shared" si="2"/>
        <v>0.54388880008822227</v>
      </c>
      <c r="F19" s="330">
        <f t="shared" si="0"/>
        <v>3.9402714326603898E-4</v>
      </c>
      <c r="G19" s="330"/>
    </row>
    <row r="20" spans="1:7" ht="20" customHeight="1" x14ac:dyDescent="0.15">
      <c r="A20" s="326">
        <v>44821</v>
      </c>
      <c r="B20" s="331" t="str">
        <f>IF(OR(WEEKDAY($A20)=7,WEEKDAY($A20)=1),"",IF(B19="",IF(B18="",B17,B18),B19)+IF(A$2=TRUE,IF(C19="",IF(C18="",C17,C18),C19)*2,IF(C19="",IF(C18="",C17,C18),C19)))</f>
        <v/>
      </c>
      <c r="C20" s="316" t="str">
        <f t="shared" si="3"/>
        <v/>
      </c>
      <c r="D20" s="316" t="str">
        <f t="shared" si="1"/>
        <v/>
      </c>
      <c r="E20" s="316" t="str">
        <f t="shared" si="2"/>
        <v/>
      </c>
      <c r="F20" s="316" t="str">
        <f t="shared" si="0"/>
        <v/>
      </c>
      <c r="G20" s="330"/>
    </row>
    <row r="21" spans="1:7" ht="20" customHeight="1" x14ac:dyDescent="0.15">
      <c r="A21" s="326">
        <v>44822</v>
      </c>
      <c r="B21" s="331" t="str">
        <f>IF(OR(WEEKDAY($A21)=7,WEEKDAY($A21)=1),"",IF(B20="",IF(B19="",B18,B19),B20)+IF(A$2=TRUE,IF(C20="",IF(C19="",C18,C19),C20)*2,IF(C20="",IF(C19="",C18,C19),C20)))</f>
        <v/>
      </c>
      <c r="C21" s="316" t="str">
        <f t="shared" si="3"/>
        <v/>
      </c>
      <c r="D21" s="316" t="str">
        <f t="shared" si="1"/>
        <v/>
      </c>
      <c r="E21" s="316" t="str">
        <f t="shared" si="2"/>
        <v/>
      </c>
      <c r="F21" s="316" t="str">
        <f t="shared" si="0"/>
        <v/>
      </c>
      <c r="G21" s="320"/>
    </row>
    <row r="22" spans="1:7" ht="20" customHeight="1" x14ac:dyDescent="0.15">
      <c r="A22" s="326">
        <v>44823</v>
      </c>
      <c r="B22" s="327">
        <f>IF(OR(WEEKDAY($A22)=7,WEEKDAY($A22)=1),"",IF(B21="",IF(B20="",B19,B20),B21)+IF(A$2=TRUE,IF(C21="",IF(C20="",C19,C20),C21)*2,IF(C21="",IF(C20="",C19,C20),C21)))</f>
        <v>4750.7408936981674</v>
      </c>
      <c r="C22" s="328">
        <f t="shared" si="3"/>
        <v>1.8719208627410377</v>
      </c>
      <c r="D22" s="329">
        <f t="shared" si="1"/>
        <v>2.4162382767295663</v>
      </c>
      <c r="E22" s="329">
        <f t="shared" si="2"/>
        <v>0.54431741398852851</v>
      </c>
      <c r="F22" s="330">
        <f t="shared" si="0"/>
        <v>3.9402714326603898E-4</v>
      </c>
      <c r="G22" s="320"/>
    </row>
    <row r="23" spans="1:7" ht="20" customHeight="1" x14ac:dyDescent="0.15">
      <c r="A23" s="326">
        <v>44824</v>
      </c>
      <c r="B23" s="327">
        <v>4472.3900000000003</v>
      </c>
      <c r="C23" s="328">
        <f t="shared" si="3"/>
        <v>1.7622430552716002</v>
      </c>
      <c r="D23" s="329">
        <f t="shared" si="1"/>
        <v>2.2746683408470298</v>
      </c>
      <c r="E23" s="329">
        <f t="shared" si="2"/>
        <v>0.51242528557542966</v>
      </c>
      <c r="F23" s="330">
        <f t="shared" si="0"/>
        <v>3.9402714326603898E-4</v>
      </c>
      <c r="G23" s="330"/>
    </row>
    <row r="24" spans="1:7" ht="20" customHeight="1" x14ac:dyDescent="0.15">
      <c r="A24" s="326">
        <v>44825</v>
      </c>
      <c r="B24" s="327">
        <f>IF(OR(WEEKDAY($A24)=7,WEEKDAY($A24)=1),"",IF(B23="",IF(B22="",B21,B22),B23)+IF(A$2=TRUE,IF(C23="",IF(C22="",C21,C22),C23)*2,IF(C23="",IF(C22="",C21,C22),C23)))</f>
        <v>4475.9144861105433</v>
      </c>
      <c r="C24" s="328">
        <f t="shared" si="3"/>
        <v>1.7636317984652183</v>
      </c>
      <c r="D24" s="329">
        <f t="shared" si="1"/>
        <v>2.276460902983473</v>
      </c>
      <c r="E24" s="329">
        <f t="shared" si="2"/>
        <v>0.5128291045182547</v>
      </c>
      <c r="F24" s="330">
        <f t="shared" si="0"/>
        <v>3.9402714326603898E-4</v>
      </c>
      <c r="G24" s="330"/>
    </row>
    <row r="25" spans="1:7" ht="20" customHeight="1" x14ac:dyDescent="0.15">
      <c r="A25" s="326">
        <v>44826</v>
      </c>
      <c r="B25" s="327">
        <v>4226.8599999999997</v>
      </c>
      <c r="C25" s="328">
        <f t="shared" si="3"/>
        <v>1.6654975707854893</v>
      </c>
      <c r="D25" s="329">
        <f t="shared" si="1"/>
        <v>2.1497911906592839</v>
      </c>
      <c r="E25" s="329">
        <f t="shared" si="2"/>
        <v>0.4842936198737946</v>
      </c>
      <c r="F25" s="330">
        <f t="shared" si="0"/>
        <v>3.9402714326603898E-4</v>
      </c>
      <c r="G25" s="330"/>
    </row>
    <row r="26" spans="1:7" ht="20" customHeight="1" x14ac:dyDescent="0.15">
      <c r="A26" s="326">
        <v>44827</v>
      </c>
      <c r="B26" s="327">
        <v>4786.58</v>
      </c>
      <c r="C26" s="328">
        <f t="shared" si="3"/>
        <v>1.8860424434143568</v>
      </c>
      <c r="D26" s="329">
        <f t="shared" si="1"/>
        <v>2.4344661326341344</v>
      </c>
      <c r="E26" s="329">
        <f t="shared" si="2"/>
        <v>0.54842368921977758</v>
      </c>
      <c r="F26" s="330">
        <f t="shared" si="0"/>
        <v>3.9402714326603898E-4</v>
      </c>
      <c r="G26" s="330"/>
    </row>
    <row r="27" spans="1:7" ht="20" customHeight="1" x14ac:dyDescent="0.15">
      <c r="A27" s="326">
        <v>44828</v>
      </c>
      <c r="B27" s="331" t="str">
        <f>IF(OR(WEEKDAY($A27)=7,WEEKDAY($A27)=1),"",IF(B26="",IF(B25="",B24,B25),B26)+IF(A$2=TRUE,IF(C26="",IF(C25="",C24,C25),C26)*2,IF(C26="",IF(C25="",C24,C25),C26)))</f>
        <v/>
      </c>
      <c r="C27" s="316" t="str">
        <f t="shared" si="3"/>
        <v/>
      </c>
      <c r="D27" s="316" t="str">
        <f t="shared" si="1"/>
        <v/>
      </c>
      <c r="E27" s="316" t="str">
        <f t="shared" si="2"/>
        <v/>
      </c>
      <c r="F27" s="316" t="str">
        <f t="shared" si="0"/>
        <v/>
      </c>
      <c r="G27" s="330"/>
    </row>
    <row r="28" spans="1:7" ht="20" customHeight="1" x14ac:dyDescent="0.15">
      <c r="A28" s="326">
        <v>44829</v>
      </c>
      <c r="B28" s="331" t="str">
        <f>IF(OR(WEEKDAY($A28)=7,WEEKDAY($A28)=1),"",IF(B27="",IF(B26="",B25,B26),B27)+IF(A$2=TRUE,IF(C27="",IF(C26="",C25,C26),C27)*2,IF(C27="",IF(C26="",C25,C26),C27)))</f>
        <v/>
      </c>
      <c r="C28" s="316" t="str">
        <f t="shared" si="3"/>
        <v/>
      </c>
      <c r="D28" s="316" t="str">
        <f t="shared" si="1"/>
        <v/>
      </c>
      <c r="E28" s="316" t="str">
        <f t="shared" si="2"/>
        <v/>
      </c>
      <c r="F28" s="316" t="str">
        <f t="shared" si="0"/>
        <v/>
      </c>
      <c r="G28" s="320"/>
    </row>
    <row r="29" spans="1:7" ht="20" customHeight="1" x14ac:dyDescent="0.15">
      <c r="A29" s="326">
        <v>44830</v>
      </c>
      <c r="B29" s="327">
        <v>4874.6000000000004</v>
      </c>
      <c r="C29" s="328">
        <f t="shared" si="3"/>
        <v>1.9207247125646338</v>
      </c>
      <c r="D29" s="329">
        <f t="shared" si="1"/>
        <v>2.4792333169273992</v>
      </c>
      <c r="E29" s="329">
        <f t="shared" si="2"/>
        <v>0.55850860436276539</v>
      </c>
      <c r="F29" s="330">
        <f t="shared" si="0"/>
        <v>3.9402714326603898E-4</v>
      </c>
      <c r="G29" s="320"/>
    </row>
    <row r="30" spans="1:7" ht="20" customHeight="1" x14ac:dyDescent="0.15">
      <c r="A30" s="326">
        <v>44831</v>
      </c>
      <c r="B30" s="327">
        <f>IF(OR(WEEKDAY($A30)=7,WEEKDAY($A30)=1),"",IF(B29="",IF(B28="",B27,B28),B29)+IF(A$2=TRUE,IF(C29="",IF(C28="",C27,C28),C29)*2,IF(C29="",IF(C28="",C27,C28),C29)))</f>
        <v>4878.4414494251296</v>
      </c>
      <c r="C30" s="328">
        <f t="shared" si="3"/>
        <v>1.9222383479076184</v>
      </c>
      <c r="D30" s="329">
        <f t="shared" si="1"/>
        <v>2.4811870873701172</v>
      </c>
      <c r="E30" s="329">
        <f t="shared" si="2"/>
        <v>0.55894873946249879</v>
      </c>
      <c r="F30" s="330">
        <f t="shared" si="0"/>
        <v>3.9402714326603898E-4</v>
      </c>
      <c r="G30" s="330"/>
    </row>
    <row r="31" spans="1:7" ht="20" customHeight="1" x14ac:dyDescent="0.15">
      <c r="A31" s="326">
        <v>44832</v>
      </c>
      <c r="B31" s="327">
        <f>IF(OR(WEEKDAY($A31)=7,WEEKDAY($A31)=1),"",IF(B30="",IF(B29="",B28,B29),B30)+IF(A$2=TRUE,IF(C30="",IF(C29="",C28,C29),C30)*2,IF(C30="",IF(C29="",C28,C29),C30)))</f>
        <v>4882.2859261209451</v>
      </c>
      <c r="C31" s="328">
        <f t="shared" si="3"/>
        <v>1.9237531760774234</v>
      </c>
      <c r="D31" s="329">
        <f t="shared" si="1"/>
        <v>2.4831423974900071</v>
      </c>
      <c r="E31" s="329">
        <f t="shared" si="2"/>
        <v>0.55938922141258374</v>
      </c>
      <c r="F31" s="330">
        <f t="shared" si="0"/>
        <v>3.9402714326603898E-4</v>
      </c>
      <c r="G31" s="330"/>
    </row>
    <row r="32" spans="1:7" ht="20" customHeight="1" x14ac:dyDescent="0.15">
      <c r="A32" s="326">
        <v>44833</v>
      </c>
      <c r="B32" s="327">
        <f>IF(OR(WEEKDAY($A32)=7,WEEKDAY($A32)=1),"",IF(B31="",IF(B30="",B29,B30),B31)+IF(A$2=TRUE,IF(C31="",IF(C30="",C29,C30),C31)*2,IF(C31="",IF(C30="",C29,C30),C31)))</f>
        <v>4886.1334324730997</v>
      </c>
      <c r="C32" s="328">
        <f t="shared" si="3"/>
        <v>1.9252691980140608</v>
      </c>
      <c r="D32" s="329">
        <f t="shared" si="1"/>
        <v>2.4850992485004189</v>
      </c>
      <c r="E32" s="329">
        <f t="shared" si="2"/>
        <v>0.55983005048635803</v>
      </c>
      <c r="F32" s="330">
        <f t="shared" si="0"/>
        <v>3.9402714326603898E-4</v>
      </c>
      <c r="G32" s="328">
        <f>G33*B6</f>
        <v>-2123.6231213239303</v>
      </c>
    </row>
    <row r="33" spans="1:7" ht="20" customHeight="1" x14ac:dyDescent="0.15">
      <c r="A33" s="326">
        <v>44834</v>
      </c>
      <c r="B33" s="327">
        <v>3888.02</v>
      </c>
      <c r="C33" s="328">
        <f t="shared" si="3"/>
        <v>1.531985413561225</v>
      </c>
      <c r="D33" s="329">
        <f t="shared" si="1"/>
        <v>1.9774563494194533</v>
      </c>
      <c r="E33" s="329">
        <f t="shared" si="2"/>
        <v>0.44547093585822828</v>
      </c>
      <c r="F33" s="330">
        <f t="shared" si="0"/>
        <v>3.9402714326603903E-4</v>
      </c>
      <c r="G33" s="330">
        <f>(B33-B9)/B9</f>
        <v>-0.39470054333442312</v>
      </c>
    </row>
    <row r="34" spans="1:7" ht="20" customHeight="1" x14ac:dyDescent="0.15">
      <c r="A34" s="326">
        <v>44835</v>
      </c>
      <c r="B34" s="331" t="str">
        <f>IF(OR(WEEKDAY($A34)=7,WEEKDAY($A34)=1),"",IF(B33="",IF(B32="",B31,B32),B33)+IF(A$2=TRUE,IF(C33="",IF(C32="",C31,C32),C33)*2,IF(C33="",IF(C32="",C31,C32),C33)))</f>
        <v/>
      </c>
      <c r="C34" s="316" t="str">
        <f t="shared" si="3"/>
        <v/>
      </c>
      <c r="D34" s="316" t="str">
        <f t="shared" si="1"/>
        <v/>
      </c>
      <c r="E34" s="316" t="str">
        <f t="shared" si="2"/>
        <v/>
      </c>
      <c r="F34" s="316" t="str">
        <f t="shared" si="0"/>
        <v/>
      </c>
      <c r="G34" s="330"/>
    </row>
    <row r="35" spans="1:7" ht="20" customHeight="1" x14ac:dyDescent="0.15">
      <c r="A35" s="326">
        <v>44836</v>
      </c>
      <c r="B35" s="331" t="str">
        <f>IF(OR(WEEKDAY($A35)=7,WEEKDAY($A35)=1),"",IF(B34="",IF(B33="",B32,B33),B34)+IF(A$2=TRUE,IF(C34="",IF(C33="",C32,C33),C34)*2,IF(C34="",IF(C33="",C32,C33),C34)))</f>
        <v/>
      </c>
      <c r="C35" s="316" t="str">
        <f t="shared" si="3"/>
        <v/>
      </c>
      <c r="D35" s="316" t="str">
        <f t="shared" si="1"/>
        <v/>
      </c>
      <c r="E35" s="316" t="str">
        <f t="shared" si="2"/>
        <v/>
      </c>
      <c r="F35" s="316" t="str">
        <f t="shared" si="0"/>
        <v/>
      </c>
      <c r="G35" s="320"/>
    </row>
    <row r="36" spans="1:7" ht="20" customHeight="1" x14ac:dyDescent="0.15">
      <c r="A36" s="326">
        <v>44837</v>
      </c>
      <c r="B36" s="327">
        <v>3891.48</v>
      </c>
      <c r="C36" s="328">
        <f t="shared" si="3"/>
        <v>1.5333487474769254</v>
      </c>
      <c r="D36" s="329">
        <f t="shared" si="1"/>
        <v>1.9792161137645417</v>
      </c>
      <c r="E36" s="329">
        <f t="shared" si="2"/>
        <v>0.44586736628761625</v>
      </c>
      <c r="F36" s="330">
        <f t="shared" si="0"/>
        <v>3.9402714326603898E-4</v>
      </c>
      <c r="G36" s="320"/>
    </row>
    <row r="37" spans="1:7" ht="20" customHeight="1" x14ac:dyDescent="0.15">
      <c r="A37" s="326">
        <v>44838</v>
      </c>
      <c r="B37" s="327">
        <v>5704.98</v>
      </c>
      <c r="C37" s="328">
        <f t="shared" si="3"/>
        <v>2.2479169717898868</v>
      </c>
      <c r="D37" s="329">
        <f t="shared" si="1"/>
        <v>2.9015665877004206</v>
      </c>
      <c r="E37" s="329">
        <f t="shared" si="2"/>
        <v>0.65364961591053383</v>
      </c>
      <c r="F37" s="330">
        <f t="shared" si="0"/>
        <v>3.9402714326603898E-4</v>
      </c>
      <c r="G37" s="330"/>
    </row>
    <row r="38" spans="1:7" ht="20" customHeight="1" x14ac:dyDescent="0.15">
      <c r="A38" s="326">
        <v>44839</v>
      </c>
      <c r="B38" s="327">
        <f>IF(OR(WEEKDAY($A38)=7,WEEKDAY($A38)=1),"",IF(B37="",IF(B36="",B35,B36),B37)+IF(A$2=TRUE,IF(C37="",IF(C36="",C35,C36),C37)*2,IF(C37="",IF(C36="",C35,C36),C37)))</f>
        <v>5709.4758339435793</v>
      </c>
      <c r="C38" s="328">
        <f t="shared" si="3"/>
        <v>2.249688452395274</v>
      </c>
      <c r="D38" s="329">
        <f t="shared" si="1"/>
        <v>2.9038531796875167</v>
      </c>
      <c r="E38" s="329">
        <f t="shared" si="2"/>
        <v>0.65416472729224262</v>
      </c>
      <c r="F38" s="330">
        <f t="shared" si="0"/>
        <v>3.9402714326603898E-4</v>
      </c>
      <c r="G38" s="330"/>
    </row>
    <row r="39" spans="1:7" ht="20" customHeight="1" x14ac:dyDescent="0.15">
      <c r="A39" s="326">
        <v>44840</v>
      </c>
      <c r="B39" s="327">
        <v>5329.57</v>
      </c>
      <c r="C39" s="328">
        <f t="shared" si="3"/>
        <v>2.0999952419363832</v>
      </c>
      <c r="D39" s="329">
        <f t="shared" si="1"/>
        <v>2.7106321562583098</v>
      </c>
      <c r="E39" s="329">
        <f t="shared" si="2"/>
        <v>0.61063691432192657</v>
      </c>
      <c r="F39" s="330">
        <f t="shared" si="0"/>
        <v>3.9402714326603898E-4</v>
      </c>
      <c r="G39" s="330"/>
    </row>
    <row r="40" spans="1:7" ht="20" customHeight="1" x14ac:dyDescent="0.15">
      <c r="A40" s="326">
        <v>44841</v>
      </c>
      <c r="B40" s="327">
        <v>6370.35</v>
      </c>
      <c r="C40" s="328">
        <f t="shared" si="3"/>
        <v>2.5100908121048118</v>
      </c>
      <c r="D40" s="329">
        <f t="shared" si="1"/>
        <v>3.2399753744898985</v>
      </c>
      <c r="E40" s="329">
        <f t="shared" si="2"/>
        <v>0.7298845623850867</v>
      </c>
      <c r="F40" s="330">
        <f t="shared" si="0"/>
        <v>3.9402714326603903E-4</v>
      </c>
      <c r="G40" s="330"/>
    </row>
    <row r="41" spans="1:7" ht="20" customHeight="1" x14ac:dyDescent="0.15">
      <c r="A41" s="326">
        <v>44842</v>
      </c>
      <c r="B41" s="331" t="str">
        <f>IF(OR(WEEKDAY($A41)=7,WEEKDAY($A41)=1),"",IF(B40="",IF(B39="",B38,B39),B40)+IF(A$2=TRUE,IF(C40="",IF(C39="",C38,C39),C40)*2,IF(C40="",IF(C39="",C38,C39),C40)))</f>
        <v/>
      </c>
      <c r="C41" s="316" t="str">
        <f t="shared" si="3"/>
        <v/>
      </c>
      <c r="D41" s="316" t="str">
        <f t="shared" si="1"/>
        <v/>
      </c>
      <c r="E41" s="316" t="str">
        <f t="shared" si="2"/>
        <v/>
      </c>
      <c r="F41" s="316" t="str">
        <f t="shared" si="0"/>
        <v/>
      </c>
      <c r="G41" s="330"/>
    </row>
    <row r="42" spans="1:7" ht="20" customHeight="1" x14ac:dyDescent="0.15">
      <c r="A42" s="326">
        <v>44843</v>
      </c>
      <c r="B42" s="331" t="str">
        <f>IF(OR(WEEKDAY($A42)=7,WEEKDAY($A42)=1),"",IF(B41="",IF(B40="",B39,B40),B41)+IF(A$2=TRUE,IF(C41="",IF(C40="",C39,C40),C41)*2,IF(C41="",IF(C40="",C39,C40),C41)))</f>
        <v/>
      </c>
      <c r="C42" s="316" t="str">
        <f t="shared" si="3"/>
        <v/>
      </c>
      <c r="D42" s="316" t="str">
        <f t="shared" si="1"/>
        <v/>
      </c>
      <c r="E42" s="316" t="str">
        <f t="shared" si="2"/>
        <v/>
      </c>
      <c r="F42" s="316" t="str">
        <f t="shared" si="0"/>
        <v/>
      </c>
      <c r="G42" s="320"/>
    </row>
    <row r="43" spans="1:7" ht="20" customHeight="1" x14ac:dyDescent="0.15">
      <c r="A43" s="326">
        <v>44844</v>
      </c>
      <c r="B43" s="327">
        <f>IF(OR(WEEKDAY($A43)=7,WEEKDAY($A43)=1),"",IF(B42="",IF(B41="",B40,B41),B42)+IF(A$2=TRUE,IF(C42="",IF(C41="",C40,C41),C42)*2,IF(C42="",IF(C41="",C40,C41),C42)))</f>
        <v>6375.3701816242101</v>
      </c>
      <c r="C43" s="328">
        <f t="shared" si="3"/>
        <v>2.5120688999288756</v>
      </c>
      <c r="D43" s="329">
        <f t="shared" si="1"/>
        <v>3.2425286509720239</v>
      </c>
      <c r="E43" s="329">
        <f t="shared" si="2"/>
        <v>0.73045975104314831</v>
      </c>
      <c r="F43" s="330">
        <f t="shared" si="0"/>
        <v>3.9402714326603898E-4</v>
      </c>
      <c r="G43" s="320"/>
    </row>
    <row r="44" spans="1:7" ht="20" customHeight="1" x14ac:dyDescent="0.15">
      <c r="A44" s="326">
        <v>44845</v>
      </c>
      <c r="B44" s="327">
        <f>IF(OR(WEEKDAY($A44)=7,WEEKDAY($A44)=1),"",IF(B43="",IF(B42="",B41,B42),B43)+IF(A$2=TRUE,IF(C43="",IF(C42="",C41,C42),C43)*2,IF(C43="",IF(C42="",C41,C42),C43)))</f>
        <v>6380.3943194240683</v>
      </c>
      <c r="C44" s="328">
        <f t="shared" si="3"/>
        <v>2.5140485465935285</v>
      </c>
      <c r="D44" s="329">
        <f t="shared" si="1"/>
        <v>3.2450839395746249</v>
      </c>
      <c r="E44" s="329">
        <f t="shared" si="2"/>
        <v>0.73103539298109643</v>
      </c>
      <c r="F44" s="330">
        <f t="shared" si="0"/>
        <v>3.9402714326603898E-4</v>
      </c>
      <c r="G44" s="330"/>
    </row>
    <row r="45" spans="1:7" ht="20" customHeight="1" x14ac:dyDescent="0.15">
      <c r="A45" s="326">
        <v>44846</v>
      </c>
      <c r="B45" s="327">
        <f>3000</f>
        <v>3000</v>
      </c>
      <c r="C45" s="328">
        <f t="shared" si="3"/>
        <v>1.182081429798117</v>
      </c>
      <c r="D45" s="329">
        <f t="shared" si="1"/>
        <v>1.5258072356259382</v>
      </c>
      <c r="E45" s="329">
        <f t="shared" si="2"/>
        <v>0.3437258058278212</v>
      </c>
      <c r="F45" s="330">
        <f t="shared" si="0"/>
        <v>3.9402714326603903E-4</v>
      </c>
      <c r="G45" s="330"/>
    </row>
    <row r="46" spans="1:7" ht="20" customHeight="1" x14ac:dyDescent="0.15">
      <c r="A46" s="326">
        <v>44847</v>
      </c>
      <c r="B46" s="327">
        <f>IF(OR(WEEKDAY($A46)=7,WEEKDAY($A46)=1),"",IF(B45="",IF(B44="",B43,B44),B45)+IF(A$2=TRUE,IF(C45="",IF(C44="",C43,C44),C45)*2,IF(C45="",IF(C44="",C43,C44),C45)))</f>
        <v>3002.364162859596</v>
      </c>
      <c r="C46" s="328">
        <f t="shared" si="3"/>
        <v>1.1830129741358992</v>
      </c>
      <c r="D46" s="329">
        <f t="shared" si="1"/>
        <v>1.5270096545583944</v>
      </c>
      <c r="E46" s="329">
        <f t="shared" si="2"/>
        <v>0.3439966804224952</v>
      </c>
      <c r="F46" s="330">
        <f t="shared" si="0"/>
        <v>3.9402714326603898E-4</v>
      </c>
      <c r="G46" s="330"/>
    </row>
    <row r="47" spans="1:7" ht="20" customHeight="1" x14ac:dyDescent="0.15">
      <c r="A47" s="326">
        <v>44848</v>
      </c>
      <c r="B47" s="327">
        <f>IF(OR(WEEKDAY($A47)=7,WEEKDAY($A47)=1),"",IF(B46="",IF(B45="",B44,B45),B46)+IF(A$2=TRUE,IF(C46="",IF(C45="",C44,C45),C46)*2,IF(C46="",IF(C45="",C44,C45),C46)))</f>
        <v>3004.7301888078678</v>
      </c>
      <c r="C47" s="328">
        <f t="shared" si="3"/>
        <v>1.18394525258119</v>
      </c>
      <c r="D47" s="329">
        <f t="shared" si="1"/>
        <v>1.5282130210622451</v>
      </c>
      <c r="E47" s="329">
        <f t="shared" si="2"/>
        <v>0.34426776848105511</v>
      </c>
      <c r="F47" s="330">
        <f t="shared" si="0"/>
        <v>3.9402714326603898E-4</v>
      </c>
      <c r="G47" s="330"/>
    </row>
    <row r="48" spans="1:7" ht="20" customHeight="1" x14ac:dyDescent="0.15">
      <c r="A48" s="326">
        <v>44849</v>
      </c>
      <c r="B48" s="331" t="str">
        <f>IF(OR(WEEKDAY($A48)=7,WEEKDAY($A48)=1),"",IF(B47="",IF(B46="",B45,B46),B47)+IF(A$2=TRUE,IF(C47="",IF(C46="",C45,C46),C47)*2,IF(C47="",IF(C46="",C45,C46),C47)))</f>
        <v/>
      </c>
      <c r="C48" s="316" t="str">
        <f t="shared" si="3"/>
        <v/>
      </c>
      <c r="D48" s="316" t="str">
        <f t="shared" si="1"/>
        <v/>
      </c>
      <c r="E48" s="316" t="str">
        <f t="shared" si="2"/>
        <v/>
      </c>
      <c r="F48" s="316" t="str">
        <f t="shared" si="0"/>
        <v/>
      </c>
      <c r="G48" s="330"/>
    </row>
    <row r="49" spans="1:7" ht="20" customHeight="1" x14ac:dyDescent="0.15">
      <c r="A49" s="326">
        <v>44850</v>
      </c>
      <c r="B49" s="331" t="str">
        <f>IF(OR(WEEKDAY($A49)=7,WEEKDAY($A49)=1),"",IF(B48="",IF(B47="",B46,B47),B48)+IF(A$2=TRUE,IF(C48="",IF(C47="",C46,C47),C48)*2,IF(C48="",IF(C47="",C46,C47),C48)))</f>
        <v/>
      </c>
      <c r="C49" s="316" t="str">
        <f t="shared" si="3"/>
        <v/>
      </c>
      <c r="D49" s="316" t="str">
        <f t="shared" si="1"/>
        <v/>
      </c>
      <c r="E49" s="316" t="str">
        <f t="shared" si="2"/>
        <v/>
      </c>
      <c r="F49" s="316" t="str">
        <f t="shared" si="0"/>
        <v/>
      </c>
      <c r="G49" s="320"/>
    </row>
    <row r="50" spans="1:7" ht="20" customHeight="1" x14ac:dyDescent="0.15">
      <c r="A50" s="326">
        <v>44851</v>
      </c>
      <c r="B50" s="327">
        <v>12000</v>
      </c>
      <c r="C50" s="328">
        <f t="shared" si="3"/>
        <v>4.7283257191924681</v>
      </c>
      <c r="D50" s="329">
        <f t="shared" si="1"/>
        <v>6.1032289425037529</v>
      </c>
      <c r="E50" s="329">
        <f t="shared" si="2"/>
        <v>1.3749032233112848</v>
      </c>
      <c r="F50" s="330">
        <f t="shared" si="0"/>
        <v>3.9402714326603903E-4</v>
      </c>
      <c r="G50" s="320"/>
    </row>
    <row r="51" spans="1:7" ht="20" customHeight="1" x14ac:dyDescent="0.15">
      <c r="A51" s="326">
        <v>44852</v>
      </c>
      <c r="B51" s="327">
        <f t="shared" ref="B51:B58" si="4">IF(OR(WEEKDAY($A51)=7,WEEKDAY($A51)=1),"",IF(B50="",IF(B49="",B48,B49),B50)+IF(A$2=TRUE,IF(C50="",IF(C49="",C48,C49),C50)*2,IF(C50="",IF(C49="",C48,C49),C50)))</f>
        <v>12009.456651438384</v>
      </c>
      <c r="C51" s="328">
        <f t="shared" si="3"/>
        <v>4.7320518965435969</v>
      </c>
      <c r="D51" s="329">
        <f t="shared" si="1"/>
        <v>6.1080386182335777</v>
      </c>
      <c r="E51" s="329">
        <f t="shared" si="2"/>
        <v>1.3759867216899808</v>
      </c>
      <c r="F51" s="330">
        <f t="shared" si="0"/>
        <v>3.9402714326603898E-4</v>
      </c>
      <c r="G51" s="330"/>
    </row>
    <row r="52" spans="1:7" ht="20" customHeight="1" x14ac:dyDescent="0.15">
      <c r="A52" s="326">
        <v>44853</v>
      </c>
      <c r="B52" s="327">
        <f t="shared" si="4"/>
        <v>12018.920755231471</v>
      </c>
      <c r="C52" s="328">
        <f t="shared" si="3"/>
        <v>4.73578101032476</v>
      </c>
      <c r="D52" s="329">
        <f t="shared" si="1"/>
        <v>6.1128520842489804</v>
      </c>
      <c r="E52" s="329">
        <f t="shared" si="2"/>
        <v>1.3770710739242205</v>
      </c>
      <c r="F52" s="330">
        <f t="shared" si="0"/>
        <v>3.9402714326603898E-4</v>
      </c>
      <c r="G52" s="330"/>
    </row>
    <row r="53" spans="1:7" ht="20" customHeight="1" x14ac:dyDescent="0.15">
      <c r="A53" s="326">
        <v>44854</v>
      </c>
      <c r="B53" s="327">
        <f t="shared" si="4"/>
        <v>12028.392317252121</v>
      </c>
      <c r="C53" s="328">
        <f t="shared" si="3"/>
        <v>4.7395130628500244</v>
      </c>
      <c r="D53" s="329">
        <f t="shared" si="1"/>
        <v>6.1176693435369103</v>
      </c>
      <c r="E53" s="329">
        <f t="shared" si="2"/>
        <v>1.3781562806868859</v>
      </c>
      <c r="F53" s="330">
        <f t="shared" si="0"/>
        <v>3.9402714326603903E-4</v>
      </c>
      <c r="G53" s="330"/>
    </row>
    <row r="54" spans="1:7" ht="20" customHeight="1" x14ac:dyDescent="0.15">
      <c r="A54" s="326">
        <v>44855</v>
      </c>
      <c r="B54" s="327">
        <f t="shared" si="4"/>
        <v>12037.871343377821</v>
      </c>
      <c r="C54" s="328">
        <f t="shared" si="3"/>
        <v>4.7432480564352781</v>
      </c>
      <c r="D54" s="329">
        <f t="shared" si="1"/>
        <v>6.1224903990866713</v>
      </c>
      <c r="E54" s="329">
        <f t="shared" si="2"/>
        <v>1.3792423426513931</v>
      </c>
      <c r="F54" s="330">
        <f t="shared" si="0"/>
        <v>3.9402714326603898E-4</v>
      </c>
      <c r="G54" s="330"/>
    </row>
    <row r="55" spans="1:7" ht="20" customHeight="1" x14ac:dyDescent="0.15">
      <c r="A55" s="326">
        <v>44856</v>
      </c>
      <c r="B55" s="331" t="str">
        <f t="shared" si="4"/>
        <v/>
      </c>
      <c r="C55" s="316" t="str">
        <f t="shared" si="3"/>
        <v/>
      </c>
      <c r="D55" s="316" t="str">
        <f t="shared" si="1"/>
        <v/>
      </c>
      <c r="E55" s="316" t="str">
        <f t="shared" si="2"/>
        <v/>
      </c>
      <c r="F55" s="316" t="str">
        <f t="shared" si="0"/>
        <v/>
      </c>
      <c r="G55" s="330"/>
    </row>
    <row r="56" spans="1:7" ht="20" customHeight="1" x14ac:dyDescent="0.15">
      <c r="A56" s="326">
        <v>44857</v>
      </c>
      <c r="B56" s="331" t="str">
        <f t="shared" si="4"/>
        <v/>
      </c>
      <c r="C56" s="316" t="str">
        <f t="shared" si="3"/>
        <v/>
      </c>
      <c r="D56" s="316" t="str">
        <f t="shared" si="1"/>
        <v/>
      </c>
      <c r="E56" s="316" t="str">
        <f t="shared" si="2"/>
        <v/>
      </c>
      <c r="F56" s="316" t="str">
        <f t="shared" si="0"/>
        <v/>
      </c>
      <c r="G56" s="320"/>
    </row>
    <row r="57" spans="1:7" ht="20" customHeight="1" x14ac:dyDescent="0.15">
      <c r="A57" s="326">
        <v>44858</v>
      </c>
      <c r="B57" s="327">
        <f t="shared" si="4"/>
        <v>12047.357839490693</v>
      </c>
      <c r="C57" s="328">
        <f t="shared" si="3"/>
        <v>4.746985993398237</v>
      </c>
      <c r="D57" s="329">
        <f t="shared" si="1"/>
        <v>6.1273152538899227</v>
      </c>
      <c r="E57" s="329">
        <f t="shared" si="2"/>
        <v>1.3803292604916857</v>
      </c>
      <c r="F57" s="330">
        <f t="shared" si="0"/>
        <v>3.9402714326603898E-4</v>
      </c>
      <c r="G57" s="320"/>
    </row>
    <row r="58" spans="1:7" ht="20" customHeight="1" x14ac:dyDescent="0.15">
      <c r="A58" s="326">
        <v>44859</v>
      </c>
      <c r="B58" s="327">
        <f t="shared" si="4"/>
        <v>12056.851811477489</v>
      </c>
      <c r="C58" s="328">
        <f t="shared" si="3"/>
        <v>4.750726876058442</v>
      </c>
      <c r="D58" s="329">
        <f t="shared" si="1"/>
        <v>6.1321439109406839</v>
      </c>
      <c r="E58" s="329">
        <f t="shared" si="2"/>
        <v>1.3814170348822419</v>
      </c>
      <c r="F58" s="330">
        <f t="shared" si="0"/>
        <v>3.9402714326603898E-4</v>
      </c>
      <c r="G58" s="330"/>
    </row>
    <row r="59" spans="1:7" ht="20" customHeight="1" x14ac:dyDescent="0.15">
      <c r="A59" s="326">
        <v>44860</v>
      </c>
      <c r="B59" s="327">
        <v>17000</v>
      </c>
      <c r="C59" s="328">
        <f t="shared" si="3"/>
        <v>6.6984614355226624</v>
      </c>
      <c r="D59" s="329">
        <f t="shared" si="1"/>
        <v>8.6462410018803144</v>
      </c>
      <c r="E59" s="329">
        <f t="shared" si="2"/>
        <v>1.947779566357652</v>
      </c>
      <c r="F59" s="330">
        <f t="shared" si="0"/>
        <v>3.9402714326603898E-4</v>
      </c>
      <c r="G59" s="330"/>
    </row>
    <row r="60" spans="1:7" ht="20" customHeight="1" x14ac:dyDescent="0.15">
      <c r="A60" s="326">
        <v>44861</v>
      </c>
      <c r="B60" s="327">
        <f t="shared" ref="B60:B91" si="5">IF(OR(WEEKDAY($A60)=7,WEEKDAY($A60)=1),"",IF(B59="",IF(B58="",B57,B58),B59)+IF(A$2=TRUE,IF(C59="",IF(C58="",C57,C58),C59)*2,IF(C59="",IF(C58="",C57,C58),C59)))</f>
        <v>17013.396922871045</v>
      </c>
      <c r="C60" s="328">
        <f t="shared" si="3"/>
        <v>6.7037401867700961</v>
      </c>
      <c r="D60" s="329">
        <f t="shared" si="1"/>
        <v>8.6530547091642376</v>
      </c>
      <c r="E60" s="329">
        <f t="shared" si="2"/>
        <v>1.9493145223941415</v>
      </c>
      <c r="F60" s="330">
        <f t="shared" si="0"/>
        <v>3.9402714326603898E-4</v>
      </c>
      <c r="G60" s="330"/>
    </row>
    <row r="61" spans="1:7" ht="20" customHeight="1" x14ac:dyDescent="0.15">
      <c r="A61" s="326">
        <v>44862</v>
      </c>
      <c r="B61" s="327">
        <f t="shared" si="5"/>
        <v>17026.804403244583</v>
      </c>
      <c r="C61" s="328">
        <f t="shared" si="3"/>
        <v>6.7090230979600767</v>
      </c>
      <c r="D61" s="329">
        <f t="shared" si="1"/>
        <v>8.6598737860193893</v>
      </c>
      <c r="E61" s="329">
        <f t="shared" si="2"/>
        <v>1.9508506880593126</v>
      </c>
      <c r="F61" s="330">
        <f t="shared" si="0"/>
        <v>3.9402714326603898E-4</v>
      </c>
      <c r="G61" s="330"/>
    </row>
    <row r="62" spans="1:7" ht="20" customHeight="1" x14ac:dyDescent="0.15">
      <c r="A62" s="326">
        <v>44863</v>
      </c>
      <c r="B62" s="331" t="str">
        <f t="shared" si="5"/>
        <v/>
      </c>
      <c r="C62" s="316" t="str">
        <f t="shared" si="3"/>
        <v/>
      </c>
      <c r="D62" s="316" t="str">
        <f t="shared" si="1"/>
        <v/>
      </c>
      <c r="E62" s="316" t="str">
        <f t="shared" si="2"/>
        <v/>
      </c>
      <c r="F62" s="316" t="str">
        <f t="shared" si="0"/>
        <v/>
      </c>
      <c r="G62" s="330"/>
    </row>
    <row r="63" spans="1:7" ht="20" customHeight="1" x14ac:dyDescent="0.15">
      <c r="A63" s="326">
        <v>44864</v>
      </c>
      <c r="B63" s="331" t="str">
        <f t="shared" si="5"/>
        <v/>
      </c>
      <c r="C63" s="316" t="str">
        <f t="shared" si="3"/>
        <v/>
      </c>
      <c r="D63" s="316" t="str">
        <f t="shared" si="1"/>
        <v/>
      </c>
      <c r="E63" s="316" t="str">
        <f t="shared" si="2"/>
        <v/>
      </c>
      <c r="F63" s="316" t="str">
        <f t="shared" si="0"/>
        <v/>
      </c>
      <c r="G63" s="328" t="e">
        <f>G64*B34</f>
        <v>#VALUE!</v>
      </c>
    </row>
    <row r="64" spans="1:7" ht="20" customHeight="1" x14ac:dyDescent="0.15">
      <c r="A64" s="326">
        <v>44865</v>
      </c>
      <c r="B64" s="327">
        <f t="shared" si="5"/>
        <v>17040.222449440502</v>
      </c>
      <c r="C64" s="328">
        <f t="shared" si="3"/>
        <v>6.7143101723708662</v>
      </c>
      <c r="D64" s="329">
        <f t="shared" si="1"/>
        <v>8.6666982366772878</v>
      </c>
      <c r="E64" s="329">
        <f t="shared" si="2"/>
        <v>1.9523880643064215</v>
      </c>
      <c r="F64" s="330">
        <f t="shared" si="0"/>
        <v>3.9402714326603898E-4</v>
      </c>
      <c r="G64" s="330" t="e">
        <f>(B62-B34)/B34</f>
        <v>#VALUE!</v>
      </c>
    </row>
    <row r="65" spans="1:7" ht="20" customHeight="1" x14ac:dyDescent="0.15">
      <c r="A65" s="326">
        <v>44866</v>
      </c>
      <c r="B65" s="327">
        <f t="shared" si="5"/>
        <v>17053.651069785243</v>
      </c>
      <c r="C65" s="328">
        <f t="shared" si="3"/>
        <v>6.7196014132833088</v>
      </c>
      <c r="D65" s="329">
        <f t="shared" si="1"/>
        <v>8.6735280653727802</v>
      </c>
      <c r="E65" s="329">
        <f t="shared" si="2"/>
        <v>1.9539266520894714</v>
      </c>
      <c r="F65" s="330">
        <f t="shared" si="0"/>
        <v>3.9402714326603898E-4</v>
      </c>
      <c r="G65" s="330"/>
    </row>
    <row r="66" spans="1:7" ht="20" customHeight="1" x14ac:dyDescent="0.15">
      <c r="A66" s="326">
        <v>44867</v>
      </c>
      <c r="B66" s="327">
        <f t="shared" si="5"/>
        <v>17067.090272611811</v>
      </c>
      <c r="C66" s="328">
        <f t="shared" si="3"/>
        <v>6.724896823980834</v>
      </c>
      <c r="D66" s="329">
        <f t="shared" si="1"/>
        <v>8.680363276344055</v>
      </c>
      <c r="E66" s="329">
        <f t="shared" si="2"/>
        <v>1.955466452363221</v>
      </c>
      <c r="F66" s="330">
        <f t="shared" si="0"/>
        <v>3.9402714326603898E-4</v>
      </c>
      <c r="G66" s="330"/>
    </row>
    <row r="67" spans="1:7" ht="20" customHeight="1" x14ac:dyDescent="0.15">
      <c r="A67" s="326">
        <v>44868</v>
      </c>
      <c r="B67" s="327">
        <f t="shared" si="5"/>
        <v>17080.540066259771</v>
      </c>
      <c r="C67" s="328">
        <f t="shared" si="3"/>
        <v>6.7301964077494576</v>
      </c>
      <c r="D67" s="329">
        <f t="shared" si="1"/>
        <v>8.6872038738326314</v>
      </c>
      <c r="E67" s="329">
        <f t="shared" si="2"/>
        <v>1.9570074660831738</v>
      </c>
      <c r="F67" s="330">
        <f t="shared" si="0"/>
        <v>3.9402714326603898E-4</v>
      </c>
      <c r="G67" s="330"/>
    </row>
    <row r="68" spans="1:7" ht="20" customHeight="1" x14ac:dyDescent="0.15">
      <c r="A68" s="326">
        <v>44869</v>
      </c>
      <c r="B68" s="327">
        <f t="shared" si="5"/>
        <v>17094.000459075269</v>
      </c>
      <c r="C68" s="328">
        <f t="shared" si="3"/>
        <v>6.7355001678777873</v>
      </c>
      <c r="D68" s="329">
        <f t="shared" si="1"/>
        <v>8.6940498620833839</v>
      </c>
      <c r="E68" s="329">
        <f t="shared" si="2"/>
        <v>1.9585496942055967</v>
      </c>
      <c r="F68" s="330">
        <f t="shared" ref="F68:F131" si="6">IF(B68="","",C68/B68)</f>
        <v>3.9402714326603898E-4</v>
      </c>
      <c r="G68" s="330"/>
    </row>
    <row r="69" spans="1:7" ht="20" customHeight="1" x14ac:dyDescent="0.15">
      <c r="A69" s="326">
        <v>44870</v>
      </c>
      <c r="B69" s="331" t="str">
        <f t="shared" si="5"/>
        <v/>
      </c>
      <c r="C69" s="316" t="str">
        <f t="shared" si="3"/>
        <v/>
      </c>
      <c r="D69" s="316" t="str">
        <f t="shared" si="1"/>
        <v/>
      </c>
      <c r="E69" s="316" t="str">
        <f t="shared" si="2"/>
        <v/>
      </c>
      <c r="F69" s="316" t="str">
        <f t="shared" si="6"/>
        <v/>
      </c>
      <c r="G69" s="330"/>
    </row>
    <row r="70" spans="1:7" ht="20" customHeight="1" x14ac:dyDescent="0.15">
      <c r="A70" s="326">
        <v>44871</v>
      </c>
      <c r="B70" s="331" t="str">
        <f t="shared" si="5"/>
        <v/>
      </c>
      <c r="C70" s="316" t="str">
        <f t="shared" si="3"/>
        <v/>
      </c>
      <c r="D70" s="316" t="str">
        <f t="shared" si="1"/>
        <v/>
      </c>
      <c r="E70" s="316" t="str">
        <f t="shared" si="2"/>
        <v/>
      </c>
      <c r="F70" s="316" t="str">
        <f t="shared" si="6"/>
        <v/>
      </c>
      <c r="G70" s="320"/>
    </row>
    <row r="71" spans="1:7" ht="20" customHeight="1" x14ac:dyDescent="0.15">
      <c r="A71" s="326">
        <v>44872</v>
      </c>
      <c r="B71" s="327">
        <f t="shared" si="5"/>
        <v>17107.471459411023</v>
      </c>
      <c r="C71" s="328">
        <f t="shared" si="3"/>
        <v>6.7408081076570197</v>
      </c>
      <c r="D71" s="329">
        <f t="shared" ref="D71:D134" si="7">IF(C71="","",(D$3*$C71)/$C$3)</f>
        <v>8.7009012453445216</v>
      </c>
      <c r="E71" s="329">
        <f t="shared" ref="E71:E134" si="8">IF(C71="","",D71-$C71)</f>
        <v>1.9600931376875019</v>
      </c>
      <c r="F71" s="330">
        <f t="shared" si="6"/>
        <v>3.9402714326603898E-4</v>
      </c>
      <c r="G71" s="320"/>
    </row>
    <row r="72" spans="1:7" ht="20" customHeight="1" x14ac:dyDescent="0.15">
      <c r="A72" s="326">
        <v>44873</v>
      </c>
      <c r="B72" s="327">
        <f t="shared" si="5"/>
        <v>17120.953075626338</v>
      </c>
      <c r="C72" s="328">
        <f t="shared" si="3"/>
        <v>6.7461202303809493</v>
      </c>
      <c r="D72" s="329">
        <f t="shared" si="7"/>
        <v>8.7077580278676088</v>
      </c>
      <c r="E72" s="329">
        <f t="shared" si="8"/>
        <v>1.9616377974866595</v>
      </c>
      <c r="F72" s="330">
        <f t="shared" si="6"/>
        <v>3.9402714326603898E-4</v>
      </c>
      <c r="G72" s="330"/>
    </row>
    <row r="73" spans="1:7" ht="20" customHeight="1" x14ac:dyDescent="0.15">
      <c r="A73" s="326">
        <v>44874</v>
      </c>
      <c r="B73" s="327">
        <f t="shared" si="5"/>
        <v>17134.445316087098</v>
      </c>
      <c r="C73" s="328">
        <f t="shared" si="3"/>
        <v>6.7514365393459617</v>
      </c>
      <c r="D73" s="329">
        <f t="shared" si="7"/>
        <v>8.714620213907553</v>
      </c>
      <c r="E73" s="329">
        <f t="shared" si="8"/>
        <v>1.9631836745615914</v>
      </c>
      <c r="F73" s="330">
        <f t="shared" si="6"/>
        <v>3.9402714326603898E-4</v>
      </c>
      <c r="G73" s="330"/>
    </row>
    <row r="74" spans="1:7" ht="20" customHeight="1" x14ac:dyDescent="0.15">
      <c r="A74" s="326">
        <v>44875</v>
      </c>
      <c r="B74" s="327">
        <f t="shared" si="5"/>
        <v>17147.948189165789</v>
      </c>
      <c r="C74" s="328">
        <f t="shared" si="3"/>
        <v>6.7567570378510418</v>
      </c>
      <c r="D74" s="329">
        <f t="shared" si="7"/>
        <v>8.721487807722621</v>
      </c>
      <c r="E74" s="329">
        <f t="shared" si="8"/>
        <v>1.9647307698715792</v>
      </c>
      <c r="F74" s="330">
        <f t="shared" si="6"/>
        <v>3.9402714326603898E-4</v>
      </c>
      <c r="G74" s="330"/>
    </row>
    <row r="75" spans="1:7" ht="20" customHeight="1" x14ac:dyDescent="0.15">
      <c r="A75" s="326">
        <v>44876</v>
      </c>
      <c r="B75" s="327">
        <f t="shared" si="5"/>
        <v>17161.46170324149</v>
      </c>
      <c r="C75" s="328">
        <f t="shared" ref="C75:C138" si="9">IF(B75="","",B75*F$6)</f>
        <v>6.7620817291977762</v>
      </c>
      <c r="D75" s="329">
        <f t="shared" si="7"/>
        <v>8.7283608135744331</v>
      </c>
      <c r="E75" s="329">
        <f t="shared" si="8"/>
        <v>1.9662790843766569</v>
      </c>
      <c r="F75" s="330">
        <f t="shared" si="6"/>
        <v>3.9402714326603898E-4</v>
      </c>
      <c r="G75" s="330"/>
    </row>
    <row r="76" spans="1:7" ht="20" customHeight="1" x14ac:dyDescent="0.15">
      <c r="A76" s="326">
        <v>44877</v>
      </c>
      <c r="B76" s="331" t="str">
        <f t="shared" si="5"/>
        <v/>
      </c>
      <c r="C76" s="316" t="str">
        <f t="shared" si="9"/>
        <v/>
      </c>
      <c r="D76" s="316" t="str">
        <f t="shared" si="7"/>
        <v/>
      </c>
      <c r="E76" s="316" t="str">
        <f t="shared" si="8"/>
        <v/>
      </c>
      <c r="F76" s="316" t="str">
        <f t="shared" si="6"/>
        <v/>
      </c>
      <c r="G76" s="330"/>
    </row>
    <row r="77" spans="1:7" ht="20" customHeight="1" x14ac:dyDescent="0.15">
      <c r="A77" s="326">
        <v>44878</v>
      </c>
      <c r="B77" s="331" t="str">
        <f t="shared" si="5"/>
        <v/>
      </c>
      <c r="C77" s="316" t="str">
        <f t="shared" si="9"/>
        <v/>
      </c>
      <c r="D77" s="316" t="str">
        <f t="shared" si="7"/>
        <v/>
      </c>
      <c r="E77" s="316" t="str">
        <f t="shared" si="8"/>
        <v/>
      </c>
      <c r="F77" s="316" t="str">
        <f t="shared" si="6"/>
        <v/>
      </c>
      <c r="G77" s="320"/>
    </row>
    <row r="78" spans="1:7" ht="20" customHeight="1" x14ac:dyDescent="0.15">
      <c r="A78" s="326">
        <v>44879</v>
      </c>
      <c r="B78" s="327">
        <f t="shared" si="5"/>
        <v>17174.985866699884</v>
      </c>
      <c r="C78" s="328">
        <f t="shared" si="9"/>
        <v>6.7674106166903503</v>
      </c>
      <c r="D78" s="329">
        <f t="shared" si="7"/>
        <v>8.7352392357279705</v>
      </c>
      <c r="E78" s="329">
        <f t="shared" si="8"/>
        <v>1.9678286190376202</v>
      </c>
      <c r="F78" s="330">
        <f t="shared" si="6"/>
        <v>3.9402714326603898E-4</v>
      </c>
      <c r="G78" s="320"/>
    </row>
    <row r="79" spans="1:7" ht="20" customHeight="1" x14ac:dyDescent="0.15">
      <c r="A79" s="326">
        <v>44880</v>
      </c>
      <c r="B79" s="327">
        <f t="shared" si="5"/>
        <v>17188.520687933265</v>
      </c>
      <c r="C79" s="328">
        <f t="shared" si="9"/>
        <v>6.7727437036355553</v>
      </c>
      <c r="D79" s="329">
        <f t="shared" si="7"/>
        <v>8.7421230784515682</v>
      </c>
      <c r="E79" s="329">
        <f t="shared" si="8"/>
        <v>1.9693793748160129</v>
      </c>
      <c r="F79" s="330">
        <f t="shared" si="6"/>
        <v>3.9402714326603898E-4</v>
      </c>
      <c r="G79" s="330"/>
    </row>
    <row r="80" spans="1:7" ht="20" customHeight="1" x14ac:dyDescent="0.15">
      <c r="A80" s="326">
        <v>44881</v>
      </c>
      <c r="B80" s="327">
        <f t="shared" si="5"/>
        <v>17202.066175340537</v>
      </c>
      <c r="C80" s="328">
        <f t="shared" si="9"/>
        <v>6.7780809933427886</v>
      </c>
      <c r="D80" s="329">
        <f t="shared" si="7"/>
        <v>8.7490123460169329</v>
      </c>
      <c r="E80" s="329">
        <f t="shared" si="8"/>
        <v>1.9709313526741443</v>
      </c>
      <c r="F80" s="330">
        <f t="shared" si="6"/>
        <v>3.9402714326603898E-4</v>
      </c>
      <c r="G80" s="330"/>
    </row>
    <row r="81" spans="1:7" ht="20" customHeight="1" x14ac:dyDescent="0.15">
      <c r="A81" s="326">
        <v>44882</v>
      </c>
      <c r="B81" s="327">
        <f t="shared" si="5"/>
        <v>17215.622337327222</v>
      </c>
      <c r="C81" s="328">
        <f t="shared" si="9"/>
        <v>6.783422489124054</v>
      </c>
      <c r="D81" s="329">
        <f t="shared" si="7"/>
        <v>8.7559070426991319</v>
      </c>
      <c r="E81" s="329">
        <f t="shared" si="8"/>
        <v>1.9724845535750779</v>
      </c>
      <c r="F81" s="330">
        <f t="shared" si="6"/>
        <v>3.9402714326603898E-4</v>
      </c>
      <c r="G81" s="330"/>
    </row>
    <row r="82" spans="1:7" ht="20" customHeight="1" x14ac:dyDescent="0.15">
      <c r="A82" s="326">
        <v>44883</v>
      </c>
      <c r="B82" s="327">
        <f t="shared" si="5"/>
        <v>17229.189182305472</v>
      </c>
      <c r="C82" s="328">
        <f t="shared" si="9"/>
        <v>6.7887681942939668</v>
      </c>
      <c r="D82" s="329">
        <f t="shared" si="7"/>
        <v>8.7628071727766095</v>
      </c>
      <c r="E82" s="329">
        <f t="shared" si="8"/>
        <v>1.9740389784826426</v>
      </c>
      <c r="F82" s="330">
        <f t="shared" si="6"/>
        <v>3.9402714326603898E-4</v>
      </c>
      <c r="G82" s="330"/>
    </row>
    <row r="83" spans="1:7" ht="20" customHeight="1" x14ac:dyDescent="0.15">
      <c r="A83" s="326">
        <v>44884</v>
      </c>
      <c r="B83" s="331" t="str">
        <f t="shared" si="5"/>
        <v/>
      </c>
      <c r="C83" s="316" t="str">
        <f t="shared" si="9"/>
        <v/>
      </c>
      <c r="D83" s="316" t="str">
        <f t="shared" si="7"/>
        <v/>
      </c>
      <c r="E83" s="316" t="str">
        <f t="shared" si="8"/>
        <v/>
      </c>
      <c r="F83" s="316" t="str">
        <f t="shared" si="6"/>
        <v/>
      </c>
      <c r="G83" s="330"/>
    </row>
    <row r="84" spans="1:7" ht="20" customHeight="1" x14ac:dyDescent="0.15">
      <c r="A84" s="326">
        <v>44885</v>
      </c>
      <c r="B84" s="331" t="str">
        <f t="shared" si="5"/>
        <v/>
      </c>
      <c r="C84" s="316" t="str">
        <f t="shared" si="9"/>
        <v/>
      </c>
      <c r="D84" s="316" t="str">
        <f t="shared" si="7"/>
        <v/>
      </c>
      <c r="E84" s="316" t="str">
        <f t="shared" si="8"/>
        <v/>
      </c>
      <c r="F84" s="316" t="str">
        <f t="shared" si="6"/>
        <v/>
      </c>
      <c r="G84" s="320"/>
    </row>
    <row r="85" spans="1:7" ht="20" customHeight="1" x14ac:dyDescent="0.15">
      <c r="A85" s="326">
        <v>44886</v>
      </c>
      <c r="B85" s="327">
        <f t="shared" si="5"/>
        <v>17242.76671869406</v>
      </c>
      <c r="C85" s="328">
        <f t="shared" si="9"/>
        <v>6.7941181121697527</v>
      </c>
      <c r="D85" s="329">
        <f t="shared" si="7"/>
        <v>8.769712740531169</v>
      </c>
      <c r="E85" s="329">
        <f t="shared" si="8"/>
        <v>1.9755946283614163</v>
      </c>
      <c r="F85" s="330">
        <f t="shared" si="6"/>
        <v>3.9402714326603898E-4</v>
      </c>
      <c r="G85" s="320"/>
    </row>
    <row r="86" spans="1:7" ht="20" customHeight="1" x14ac:dyDescent="0.15">
      <c r="A86" s="326">
        <v>44887</v>
      </c>
      <c r="B86" s="327">
        <f t="shared" si="5"/>
        <v>17256.354954918399</v>
      </c>
      <c r="C86" s="328">
        <f t="shared" si="9"/>
        <v>6.7994722460712538</v>
      </c>
      <c r="D86" s="329">
        <f t="shared" si="7"/>
        <v>8.7766237502479996</v>
      </c>
      <c r="E86" s="329">
        <f t="shared" si="8"/>
        <v>1.9771515041767458</v>
      </c>
      <c r="F86" s="330">
        <f t="shared" si="6"/>
        <v>3.9402714326603898E-4</v>
      </c>
      <c r="G86" s="330"/>
    </row>
    <row r="87" spans="1:7" ht="20" customHeight="1" x14ac:dyDescent="0.15">
      <c r="A87" s="326">
        <v>44888</v>
      </c>
      <c r="B87" s="327">
        <f t="shared" si="5"/>
        <v>17269.953899410542</v>
      </c>
      <c r="C87" s="328">
        <f t="shared" si="9"/>
        <v>6.8048305993209262</v>
      </c>
      <c r="D87" s="329">
        <f t="shared" si="7"/>
        <v>8.7835402062156636</v>
      </c>
      <c r="E87" s="329">
        <f t="shared" si="8"/>
        <v>1.9787096068947374</v>
      </c>
      <c r="F87" s="330">
        <f t="shared" si="6"/>
        <v>3.9402714326603898E-4</v>
      </c>
      <c r="G87" s="330"/>
    </row>
    <row r="88" spans="1:7" ht="20" customHeight="1" x14ac:dyDescent="0.15">
      <c r="A88" s="326">
        <v>44889</v>
      </c>
      <c r="B88" s="327">
        <f t="shared" si="5"/>
        <v>17283.563560609186</v>
      </c>
      <c r="C88" s="328">
        <f t="shared" si="9"/>
        <v>6.810193175243846</v>
      </c>
      <c r="D88" s="329">
        <f t="shared" si="7"/>
        <v>8.7904621127260985</v>
      </c>
      <c r="E88" s="329">
        <f t="shared" si="8"/>
        <v>1.9802689374822524</v>
      </c>
      <c r="F88" s="330">
        <f t="shared" si="6"/>
        <v>3.9402714326603898E-4</v>
      </c>
      <c r="G88" s="330"/>
    </row>
    <row r="89" spans="1:7" ht="20" customHeight="1" x14ac:dyDescent="0.15">
      <c r="A89" s="326">
        <v>44890</v>
      </c>
      <c r="B89" s="327">
        <f t="shared" si="5"/>
        <v>17297.183946959674</v>
      </c>
      <c r="C89" s="328">
        <f t="shared" si="9"/>
        <v>6.8155599771677089</v>
      </c>
      <c r="D89" s="329">
        <f t="shared" si="7"/>
        <v>8.797389474074631</v>
      </c>
      <c r="E89" s="329">
        <f t="shared" si="8"/>
        <v>1.9818294969069221</v>
      </c>
      <c r="F89" s="330">
        <f t="shared" si="6"/>
        <v>3.9402714326603898E-4</v>
      </c>
      <c r="G89" s="330"/>
    </row>
    <row r="90" spans="1:7" ht="20" customHeight="1" x14ac:dyDescent="0.15">
      <c r="A90" s="326">
        <v>44891</v>
      </c>
      <c r="B90" s="331" t="str">
        <f t="shared" si="5"/>
        <v/>
      </c>
      <c r="C90" s="316" t="str">
        <f t="shared" si="9"/>
        <v/>
      </c>
      <c r="D90" s="316" t="str">
        <f t="shared" si="7"/>
        <v/>
      </c>
      <c r="E90" s="316" t="str">
        <f t="shared" si="8"/>
        <v/>
      </c>
      <c r="F90" s="316" t="str">
        <f t="shared" si="6"/>
        <v/>
      </c>
      <c r="G90" s="330"/>
    </row>
    <row r="91" spans="1:7" ht="20" customHeight="1" x14ac:dyDescent="0.15">
      <c r="A91" s="326">
        <v>44892</v>
      </c>
      <c r="B91" s="331" t="str">
        <f t="shared" si="5"/>
        <v/>
      </c>
      <c r="C91" s="316" t="str">
        <f t="shared" si="9"/>
        <v/>
      </c>
      <c r="D91" s="316" t="str">
        <f t="shared" si="7"/>
        <v/>
      </c>
      <c r="E91" s="316" t="str">
        <f t="shared" si="8"/>
        <v/>
      </c>
      <c r="F91" s="316" t="str">
        <f t="shared" si="6"/>
        <v/>
      </c>
      <c r="G91" s="320"/>
    </row>
    <row r="92" spans="1:7" ht="20" customHeight="1" x14ac:dyDescent="0.15">
      <c r="A92" s="326">
        <v>44893</v>
      </c>
      <c r="B92" s="327">
        <f t="shared" ref="B92:B123" si="10">IF(OR(WEEKDAY($A92)=7,WEEKDAY($A92)=1),"",IF(B91="",IF(B90="",B89,B90),B91)+IF(A$2=TRUE,IF(C91="",IF(C90="",C89,C90),C91)*2,IF(C91="",IF(C90="",C89,C90),C91)))</f>
        <v>17310.815066914009</v>
      </c>
      <c r="C92" s="328">
        <f t="shared" si="9"/>
        <v>6.8209310084228321</v>
      </c>
      <c r="D92" s="329">
        <f t="shared" si="7"/>
        <v>8.8043222945599666</v>
      </c>
      <c r="E92" s="329">
        <f t="shared" si="8"/>
        <v>1.9833912861371346</v>
      </c>
      <c r="F92" s="330">
        <f t="shared" si="6"/>
        <v>3.9402714326603898E-4</v>
      </c>
      <c r="G92" s="320"/>
    </row>
    <row r="93" spans="1:7" ht="20" customHeight="1" x14ac:dyDescent="0.15">
      <c r="A93" s="326">
        <v>44894</v>
      </c>
      <c r="B93" s="327">
        <f t="shared" si="10"/>
        <v>17324.456928930853</v>
      </c>
      <c r="C93" s="328">
        <f t="shared" si="9"/>
        <v>6.8263062723421593</v>
      </c>
      <c r="D93" s="329">
        <f t="shared" si="7"/>
        <v>8.8112605784842053</v>
      </c>
      <c r="E93" s="329">
        <f t="shared" si="8"/>
        <v>1.984954306142046</v>
      </c>
      <c r="F93" s="330">
        <f t="shared" si="6"/>
        <v>3.9402714326603898E-4</v>
      </c>
      <c r="G93" s="328">
        <f>G94*B65</f>
        <v>284.45847169029366</v>
      </c>
    </row>
    <row r="94" spans="1:7" ht="20" customHeight="1" x14ac:dyDescent="0.15">
      <c r="A94" s="326">
        <v>44895</v>
      </c>
      <c r="B94" s="327">
        <f t="shared" si="10"/>
        <v>17338.109541475536</v>
      </c>
      <c r="C94" s="328">
        <f t="shared" si="9"/>
        <v>6.8316857722612587</v>
      </c>
      <c r="D94" s="329">
        <f t="shared" si="7"/>
        <v>8.8182043301528292</v>
      </c>
      <c r="E94" s="329">
        <f t="shared" si="8"/>
        <v>1.9865185578915705</v>
      </c>
      <c r="F94" s="330">
        <f t="shared" si="6"/>
        <v>3.9402714326603898E-4</v>
      </c>
      <c r="G94" s="330">
        <f>(B94-B65)/B65</f>
        <v>1.6680209447599296E-2</v>
      </c>
    </row>
    <row r="95" spans="1:7" ht="20" customHeight="1" x14ac:dyDescent="0.15">
      <c r="A95" s="326">
        <v>44896</v>
      </c>
      <c r="B95" s="327">
        <f t="shared" si="10"/>
        <v>17351.772913020061</v>
      </c>
      <c r="C95" s="328">
        <f t="shared" si="9"/>
        <v>6.8370695115183295</v>
      </c>
      <c r="D95" s="329">
        <f t="shared" si="7"/>
        <v>8.8251535538747223</v>
      </c>
      <c r="E95" s="329">
        <f t="shared" si="8"/>
        <v>1.9880840423563928</v>
      </c>
      <c r="F95" s="330">
        <f t="shared" si="6"/>
        <v>3.9402714326603898E-4</v>
      </c>
      <c r="G95" s="330"/>
    </row>
    <row r="96" spans="1:7" ht="20" customHeight="1" x14ac:dyDescent="0.15">
      <c r="A96" s="326">
        <v>44897</v>
      </c>
      <c r="B96" s="327">
        <f t="shared" si="10"/>
        <v>17365.447052043099</v>
      </c>
      <c r="C96" s="328">
        <f t="shared" si="9"/>
        <v>6.8424574934542006</v>
      </c>
      <c r="D96" s="329">
        <f t="shared" si="7"/>
        <v>8.8321082539621578</v>
      </c>
      <c r="E96" s="329">
        <f t="shared" si="8"/>
        <v>1.9896507605079572</v>
      </c>
      <c r="F96" s="330">
        <f t="shared" si="6"/>
        <v>3.9402714326603898E-4</v>
      </c>
      <c r="G96" s="330"/>
    </row>
    <row r="97" spans="1:7" ht="20" customHeight="1" x14ac:dyDescent="0.15">
      <c r="A97" s="326">
        <v>44898</v>
      </c>
      <c r="B97" s="331" t="str">
        <f t="shared" si="10"/>
        <v/>
      </c>
      <c r="C97" s="316" t="str">
        <f t="shared" si="9"/>
        <v/>
      </c>
      <c r="D97" s="316" t="str">
        <f t="shared" si="7"/>
        <v/>
      </c>
      <c r="E97" s="316" t="str">
        <f t="shared" si="8"/>
        <v/>
      </c>
      <c r="F97" s="316" t="str">
        <f t="shared" si="6"/>
        <v/>
      </c>
      <c r="G97" s="330"/>
    </row>
    <row r="98" spans="1:7" ht="20" customHeight="1" x14ac:dyDescent="0.15">
      <c r="A98" s="326">
        <v>44899</v>
      </c>
      <c r="B98" s="331" t="str">
        <f t="shared" si="10"/>
        <v/>
      </c>
      <c r="C98" s="316" t="str">
        <f t="shared" si="9"/>
        <v/>
      </c>
      <c r="D98" s="316" t="str">
        <f t="shared" si="7"/>
        <v/>
      </c>
      <c r="E98" s="316" t="str">
        <f t="shared" si="8"/>
        <v/>
      </c>
      <c r="F98" s="316" t="str">
        <f t="shared" si="6"/>
        <v/>
      </c>
      <c r="G98" s="320"/>
    </row>
    <row r="99" spans="1:7" ht="20" customHeight="1" x14ac:dyDescent="0.15">
      <c r="A99" s="326">
        <v>44900</v>
      </c>
      <c r="B99" s="327">
        <f t="shared" si="10"/>
        <v>17379.131967030007</v>
      </c>
      <c r="C99" s="328">
        <f t="shared" si="9"/>
        <v>6.8478497214123308</v>
      </c>
      <c r="D99" s="329">
        <f t="shared" si="7"/>
        <v>8.8390684347308088</v>
      </c>
      <c r="E99" s="329">
        <f t="shared" si="8"/>
        <v>1.991218713318478</v>
      </c>
      <c r="F99" s="330">
        <f t="shared" si="6"/>
        <v>3.9402714326603898E-4</v>
      </c>
      <c r="G99" s="320"/>
    </row>
    <row r="100" spans="1:7" ht="20" customHeight="1" x14ac:dyDescent="0.15">
      <c r="A100" s="326">
        <v>44901</v>
      </c>
      <c r="B100" s="327">
        <f t="shared" si="10"/>
        <v>17392.827666472833</v>
      </c>
      <c r="C100" s="328">
        <f t="shared" si="9"/>
        <v>6.8532461987388169</v>
      </c>
      <c r="D100" s="329">
        <f t="shared" si="7"/>
        <v>8.8460341004997485</v>
      </c>
      <c r="E100" s="329">
        <f t="shared" si="8"/>
        <v>1.9927879017609316</v>
      </c>
      <c r="F100" s="330">
        <f t="shared" si="6"/>
        <v>3.9402714326603898E-4</v>
      </c>
      <c r="G100" s="330"/>
    </row>
    <row r="101" spans="1:7" ht="20" customHeight="1" x14ac:dyDescent="0.15">
      <c r="A101" s="326">
        <v>44902</v>
      </c>
      <c r="B101" s="327">
        <f t="shared" si="10"/>
        <v>17406.534158870312</v>
      </c>
      <c r="C101" s="328">
        <f t="shared" si="9"/>
        <v>6.8586469287823935</v>
      </c>
      <c r="D101" s="329">
        <f t="shared" si="7"/>
        <v>8.8530052555914569</v>
      </c>
      <c r="E101" s="329">
        <f t="shared" si="8"/>
        <v>1.9943583268090634</v>
      </c>
      <c r="F101" s="330">
        <f t="shared" si="6"/>
        <v>3.9402714326603898E-4</v>
      </c>
      <c r="G101" s="330"/>
    </row>
    <row r="102" spans="1:7" ht="20" customHeight="1" x14ac:dyDescent="0.15">
      <c r="A102" s="326">
        <v>44903</v>
      </c>
      <c r="B102" s="327">
        <f t="shared" si="10"/>
        <v>17420.251452727876</v>
      </c>
      <c r="C102" s="328">
        <f t="shared" si="9"/>
        <v>6.8640519148944303</v>
      </c>
      <c r="D102" s="329">
        <f t="shared" si="7"/>
        <v>8.8599819043318178</v>
      </c>
      <c r="E102" s="329">
        <f t="shared" si="8"/>
        <v>1.9959299894373874</v>
      </c>
      <c r="F102" s="330">
        <f t="shared" si="6"/>
        <v>3.9402714326603898E-4</v>
      </c>
      <c r="G102" s="330"/>
    </row>
    <row r="103" spans="1:7" ht="20" customHeight="1" x14ac:dyDescent="0.15">
      <c r="A103" s="326">
        <v>44904</v>
      </c>
      <c r="B103" s="327">
        <f t="shared" si="10"/>
        <v>17433.979556557664</v>
      </c>
      <c r="C103" s="328">
        <f t="shared" si="9"/>
        <v>6.8694611604289415</v>
      </c>
      <c r="D103" s="329">
        <f t="shared" si="7"/>
        <v>8.8669640510501218</v>
      </c>
      <c r="E103" s="329">
        <f t="shared" si="8"/>
        <v>1.9975028906211802</v>
      </c>
      <c r="F103" s="330">
        <f t="shared" si="6"/>
        <v>3.9402714326603898E-4</v>
      </c>
      <c r="G103" s="330"/>
    </row>
    <row r="104" spans="1:7" ht="20" customHeight="1" x14ac:dyDescent="0.15">
      <c r="A104" s="326">
        <v>44905</v>
      </c>
      <c r="B104" s="331" t="str">
        <f t="shared" si="10"/>
        <v/>
      </c>
      <c r="C104" s="316" t="str">
        <f t="shared" si="9"/>
        <v/>
      </c>
      <c r="D104" s="316" t="str">
        <f t="shared" si="7"/>
        <v/>
      </c>
      <c r="E104" s="316" t="str">
        <f t="shared" si="8"/>
        <v/>
      </c>
      <c r="F104" s="316" t="str">
        <f t="shared" si="6"/>
        <v/>
      </c>
      <c r="G104" s="330"/>
    </row>
    <row r="105" spans="1:7" ht="20" customHeight="1" x14ac:dyDescent="0.15">
      <c r="A105" s="326">
        <v>44906</v>
      </c>
      <c r="B105" s="331" t="str">
        <f t="shared" si="10"/>
        <v/>
      </c>
      <c r="C105" s="316" t="str">
        <f t="shared" si="9"/>
        <v/>
      </c>
      <c r="D105" s="316" t="str">
        <f t="shared" si="7"/>
        <v/>
      </c>
      <c r="E105" s="316" t="str">
        <f t="shared" si="8"/>
        <v/>
      </c>
      <c r="F105" s="316" t="str">
        <f t="shared" si="6"/>
        <v/>
      </c>
      <c r="G105" s="320"/>
    </row>
    <row r="106" spans="1:7" ht="20" customHeight="1" x14ac:dyDescent="0.15">
      <c r="A106" s="326">
        <v>44907</v>
      </c>
      <c r="B106" s="327">
        <f t="shared" si="10"/>
        <v>17447.718478878523</v>
      </c>
      <c r="C106" s="328">
        <f t="shared" si="9"/>
        <v>6.8748746687425832</v>
      </c>
      <c r="D106" s="329">
        <f t="shared" si="7"/>
        <v>8.8739517000790791</v>
      </c>
      <c r="E106" s="329">
        <f t="shared" si="8"/>
        <v>1.9990770313364958</v>
      </c>
      <c r="F106" s="330">
        <f t="shared" si="6"/>
        <v>3.9402714326603898E-4</v>
      </c>
      <c r="G106" s="320"/>
    </row>
    <row r="107" spans="1:7" ht="20" customHeight="1" x14ac:dyDescent="0.15">
      <c r="A107" s="326">
        <v>44908</v>
      </c>
      <c r="B107" s="327">
        <f t="shared" si="10"/>
        <v>17461.46822821601</v>
      </c>
      <c r="C107" s="328">
        <f t="shared" si="9"/>
        <v>6.8802924431946577</v>
      </c>
      <c r="D107" s="329">
        <f t="shared" si="7"/>
        <v>8.8809448557548052</v>
      </c>
      <c r="E107" s="329">
        <f t="shared" si="8"/>
        <v>2.0006524125601475</v>
      </c>
      <c r="F107" s="330">
        <f t="shared" si="6"/>
        <v>3.9402714326603898E-4</v>
      </c>
      <c r="G107" s="330"/>
    </row>
    <row r="108" spans="1:7" ht="20" customHeight="1" x14ac:dyDescent="0.15">
      <c r="A108" s="326">
        <v>44909</v>
      </c>
      <c r="B108" s="327">
        <f t="shared" si="10"/>
        <v>17475.2288131024</v>
      </c>
      <c r="C108" s="328">
        <f t="shared" si="9"/>
        <v>6.8857144871471112</v>
      </c>
      <c r="D108" s="329">
        <f t="shared" si="7"/>
        <v>8.8879435224168386</v>
      </c>
      <c r="E108" s="329">
        <f t="shared" si="8"/>
        <v>2.0022290352697274</v>
      </c>
      <c r="F108" s="330">
        <f t="shared" si="6"/>
        <v>3.9402714326603898E-4</v>
      </c>
      <c r="G108" s="330"/>
    </row>
    <row r="109" spans="1:7" ht="20" customHeight="1" x14ac:dyDescent="0.15">
      <c r="A109" s="326">
        <v>44910</v>
      </c>
      <c r="B109" s="327">
        <f t="shared" si="10"/>
        <v>17489.000242076694</v>
      </c>
      <c r="C109" s="328">
        <f t="shared" si="9"/>
        <v>6.8911408039645439</v>
      </c>
      <c r="D109" s="329">
        <f t="shared" si="7"/>
        <v>8.8949477044081338</v>
      </c>
      <c r="E109" s="329">
        <f t="shared" si="8"/>
        <v>2.0038069004435899</v>
      </c>
      <c r="F109" s="330">
        <f t="shared" si="6"/>
        <v>3.9402714326603898E-4</v>
      </c>
      <c r="G109" s="330"/>
    </row>
    <row r="110" spans="1:7" ht="20" customHeight="1" x14ac:dyDescent="0.15">
      <c r="A110" s="326">
        <v>44911</v>
      </c>
      <c r="B110" s="327">
        <f t="shared" si="10"/>
        <v>17502.782523684622</v>
      </c>
      <c r="C110" s="328">
        <f t="shared" si="9"/>
        <v>6.8965713970142035</v>
      </c>
      <c r="D110" s="329">
        <f t="shared" si="7"/>
        <v>8.9019574060750717</v>
      </c>
      <c r="E110" s="329">
        <f t="shared" si="8"/>
        <v>2.0053860090608682</v>
      </c>
      <c r="F110" s="330">
        <f t="shared" si="6"/>
        <v>3.9402714326603898E-4</v>
      </c>
      <c r="G110" s="330"/>
    </row>
    <row r="111" spans="1:7" ht="20" customHeight="1" x14ac:dyDescent="0.15">
      <c r="A111" s="326">
        <v>44912</v>
      </c>
      <c r="B111" s="331" t="str">
        <f t="shared" si="10"/>
        <v/>
      </c>
      <c r="C111" s="316" t="str">
        <f t="shared" si="9"/>
        <v/>
      </c>
      <c r="D111" s="316" t="str">
        <f t="shared" si="7"/>
        <v/>
      </c>
      <c r="E111" s="316" t="str">
        <f t="shared" si="8"/>
        <v/>
      </c>
      <c r="F111" s="316" t="str">
        <f t="shared" si="6"/>
        <v/>
      </c>
      <c r="G111" s="330"/>
    </row>
    <row r="112" spans="1:7" ht="20" customHeight="1" x14ac:dyDescent="0.15">
      <c r="A112" s="326">
        <v>44913</v>
      </c>
      <c r="B112" s="331" t="str">
        <f t="shared" si="10"/>
        <v/>
      </c>
      <c r="C112" s="316" t="str">
        <f t="shared" si="9"/>
        <v/>
      </c>
      <c r="D112" s="316" t="str">
        <f t="shared" si="7"/>
        <v/>
      </c>
      <c r="E112" s="316" t="str">
        <f t="shared" si="8"/>
        <v/>
      </c>
      <c r="F112" s="316" t="str">
        <f t="shared" si="6"/>
        <v/>
      </c>
      <c r="G112" s="320"/>
    </row>
    <row r="113" spans="1:7" ht="20" customHeight="1" x14ac:dyDescent="0.15">
      <c r="A113" s="326">
        <v>44914</v>
      </c>
      <c r="B113" s="327">
        <f t="shared" si="10"/>
        <v>17516.57566647865</v>
      </c>
      <c r="C113" s="328">
        <f t="shared" si="9"/>
        <v>6.9020062696659954</v>
      </c>
      <c r="D113" s="329">
        <f t="shared" si="7"/>
        <v>8.9089726317674547</v>
      </c>
      <c r="E113" s="329">
        <f t="shared" si="8"/>
        <v>2.0069663621014593</v>
      </c>
      <c r="F113" s="330">
        <f t="shared" si="6"/>
        <v>3.9402714326603898E-4</v>
      </c>
      <c r="G113" s="320"/>
    </row>
    <row r="114" spans="1:7" ht="20" customHeight="1" x14ac:dyDescent="0.15">
      <c r="A114" s="326">
        <v>44915</v>
      </c>
      <c r="B114" s="327">
        <f t="shared" si="10"/>
        <v>17530.37967901798</v>
      </c>
      <c r="C114" s="328">
        <f t="shared" si="9"/>
        <v>6.907445425292476</v>
      </c>
      <c r="D114" s="329">
        <f t="shared" si="7"/>
        <v>8.9159933858385152</v>
      </c>
      <c r="E114" s="329">
        <f t="shared" si="8"/>
        <v>2.0085479605460392</v>
      </c>
      <c r="F114" s="330">
        <f t="shared" si="6"/>
        <v>3.9402714326603898E-4</v>
      </c>
      <c r="G114" s="330"/>
    </row>
    <row r="115" spans="1:7" ht="20" customHeight="1" x14ac:dyDescent="0.15">
      <c r="A115" s="326">
        <v>44916</v>
      </c>
      <c r="B115" s="327">
        <f t="shared" si="10"/>
        <v>17544.194569868567</v>
      </c>
      <c r="C115" s="328">
        <f t="shared" si="9"/>
        <v>6.9128888672688644</v>
      </c>
      <c r="D115" s="329">
        <f t="shared" si="7"/>
        <v>8.9230196726449176</v>
      </c>
      <c r="E115" s="329">
        <f t="shared" si="8"/>
        <v>2.0101308053760532</v>
      </c>
      <c r="F115" s="330">
        <f t="shared" si="6"/>
        <v>3.9402714326603898E-4</v>
      </c>
      <c r="G115" s="330"/>
    </row>
    <row r="116" spans="1:7" ht="20" customHeight="1" x14ac:dyDescent="0.15">
      <c r="A116" s="326">
        <v>44917</v>
      </c>
      <c r="B116" s="327">
        <f t="shared" si="10"/>
        <v>17558.020347603106</v>
      </c>
      <c r="C116" s="328">
        <f t="shared" si="9"/>
        <v>6.9183365989730365</v>
      </c>
      <c r="D116" s="329">
        <f t="shared" si="7"/>
        <v>8.9300514965467563</v>
      </c>
      <c r="E116" s="329">
        <f t="shared" si="8"/>
        <v>2.0117148975737198</v>
      </c>
      <c r="F116" s="330">
        <f t="shared" si="6"/>
        <v>3.9402714326603898E-4</v>
      </c>
      <c r="G116" s="330"/>
    </row>
    <row r="117" spans="1:7" ht="20" customHeight="1" x14ac:dyDescent="0.15">
      <c r="A117" s="326">
        <v>44918</v>
      </c>
      <c r="B117" s="327">
        <f t="shared" si="10"/>
        <v>17571.857020801053</v>
      </c>
      <c r="C117" s="328">
        <f t="shared" si="9"/>
        <v>6.9237886237855299</v>
      </c>
      <c r="D117" s="329">
        <f t="shared" si="7"/>
        <v>8.9370888619075632</v>
      </c>
      <c r="E117" s="329">
        <f t="shared" si="8"/>
        <v>2.0133002381220333</v>
      </c>
      <c r="F117" s="330">
        <f t="shared" si="6"/>
        <v>3.9402714326603898E-4</v>
      </c>
      <c r="G117" s="330"/>
    </row>
    <row r="118" spans="1:7" ht="20" customHeight="1" x14ac:dyDescent="0.15">
      <c r="A118" s="326">
        <v>44919</v>
      </c>
      <c r="B118" s="331" t="str">
        <f t="shared" si="10"/>
        <v/>
      </c>
      <c r="C118" s="316" t="str">
        <f t="shared" si="9"/>
        <v/>
      </c>
      <c r="D118" s="316" t="str">
        <f t="shared" si="7"/>
        <v/>
      </c>
      <c r="E118" s="316" t="str">
        <f t="shared" si="8"/>
        <v/>
      </c>
      <c r="F118" s="316" t="str">
        <f t="shared" si="6"/>
        <v/>
      </c>
      <c r="G118" s="330"/>
    </row>
    <row r="119" spans="1:7" ht="20" customHeight="1" x14ac:dyDescent="0.15">
      <c r="A119" s="326">
        <v>44920</v>
      </c>
      <c r="B119" s="331" t="str">
        <f t="shared" si="10"/>
        <v/>
      </c>
      <c r="C119" s="316" t="str">
        <f t="shared" si="9"/>
        <v/>
      </c>
      <c r="D119" s="316" t="str">
        <f t="shared" si="7"/>
        <v/>
      </c>
      <c r="E119" s="316" t="str">
        <f t="shared" si="8"/>
        <v/>
      </c>
      <c r="F119" s="316" t="str">
        <f t="shared" si="6"/>
        <v/>
      </c>
      <c r="G119" s="320"/>
    </row>
    <row r="120" spans="1:7" ht="20" customHeight="1" x14ac:dyDescent="0.15">
      <c r="A120" s="326">
        <v>44921</v>
      </c>
      <c r="B120" s="327">
        <f t="shared" si="10"/>
        <v>17585.704598048625</v>
      </c>
      <c r="C120" s="328">
        <f t="shared" si="9"/>
        <v>6.9292449450895459</v>
      </c>
      <c r="D120" s="329">
        <f t="shared" si="7"/>
        <v>8.9441317730943073</v>
      </c>
      <c r="E120" s="329">
        <f t="shared" si="8"/>
        <v>2.0148868280047614</v>
      </c>
      <c r="F120" s="330">
        <f t="shared" si="6"/>
        <v>3.9402714326603898E-4</v>
      </c>
      <c r="G120" s="320"/>
    </row>
    <row r="121" spans="1:7" ht="20" customHeight="1" x14ac:dyDescent="0.15">
      <c r="A121" s="326">
        <v>44922</v>
      </c>
      <c r="B121" s="327">
        <f t="shared" si="10"/>
        <v>17599.563087938805</v>
      </c>
      <c r="C121" s="328">
        <f t="shared" si="9"/>
        <v>6.9347055662709547</v>
      </c>
      <c r="D121" s="329">
        <f t="shared" si="7"/>
        <v>8.9511802344774019</v>
      </c>
      <c r="E121" s="329">
        <f t="shared" si="8"/>
        <v>2.0164746682064472</v>
      </c>
      <c r="F121" s="330">
        <f t="shared" si="6"/>
        <v>3.9402714326603898E-4</v>
      </c>
      <c r="G121" s="330"/>
    </row>
    <row r="122" spans="1:7" ht="20" customHeight="1" x14ac:dyDescent="0.15">
      <c r="A122" s="326">
        <v>44923</v>
      </c>
      <c r="B122" s="327">
        <f t="shared" si="10"/>
        <v>17613.432499071347</v>
      </c>
      <c r="C122" s="328">
        <f t="shared" si="9"/>
        <v>6.9401704907182928</v>
      </c>
      <c r="D122" s="329">
        <f t="shared" si="7"/>
        <v>8.9582342504307029</v>
      </c>
      <c r="E122" s="329">
        <f t="shared" si="8"/>
        <v>2.01806375971241</v>
      </c>
      <c r="F122" s="330">
        <f t="shared" si="6"/>
        <v>3.9402714326603898E-4</v>
      </c>
      <c r="G122" s="330"/>
    </row>
    <row r="123" spans="1:7" ht="20" customHeight="1" x14ac:dyDescent="0.15">
      <c r="A123" s="326">
        <v>44924</v>
      </c>
      <c r="B123" s="327">
        <f t="shared" si="10"/>
        <v>17627.312840052782</v>
      </c>
      <c r="C123" s="328">
        <f t="shared" si="9"/>
        <v>6.9456397218227659</v>
      </c>
      <c r="D123" s="329">
        <f t="shared" si="7"/>
        <v>8.9652938253315124</v>
      </c>
      <c r="E123" s="329">
        <f t="shared" si="8"/>
        <v>2.0196541035087465</v>
      </c>
      <c r="F123" s="330">
        <f t="shared" si="6"/>
        <v>3.9402714326603898E-4</v>
      </c>
      <c r="G123" s="330"/>
    </row>
    <row r="124" spans="1:7" ht="20" customHeight="1" x14ac:dyDescent="0.15">
      <c r="A124" s="326">
        <v>44925</v>
      </c>
      <c r="B124" s="327">
        <f t="shared" ref="B124:B155" si="11">IF(OR(WEEKDAY($A124)=7,WEEKDAY($A124)=1),"",IF(B123="",IF(B122="",B121,B122),B123)+IF(A$2=TRUE,IF(C123="",IF(C122="",C121,C122),C123)*2,IF(C123="",IF(C122="",C121,C122),C123)))</f>
        <v>17641.204119496426</v>
      </c>
      <c r="C124" s="328">
        <f t="shared" si="9"/>
        <v>6.9511132629782555</v>
      </c>
      <c r="D124" s="329">
        <f t="shared" si="7"/>
        <v>8.972358963560584</v>
      </c>
      <c r="E124" s="329">
        <f t="shared" si="8"/>
        <v>2.0212457005823286</v>
      </c>
      <c r="F124" s="330">
        <f t="shared" si="6"/>
        <v>3.9402714326603898E-4</v>
      </c>
      <c r="G124" s="328" t="e">
        <f>G125*B95</f>
        <v>#VALUE!</v>
      </c>
    </row>
    <row r="125" spans="1:7" ht="20" customHeight="1" x14ac:dyDescent="0.15">
      <c r="A125" s="326">
        <v>44926</v>
      </c>
      <c r="B125" s="331" t="str">
        <f t="shared" si="11"/>
        <v/>
      </c>
      <c r="C125" s="316" t="str">
        <f t="shared" si="9"/>
        <v/>
      </c>
      <c r="D125" s="316" t="str">
        <f t="shared" si="7"/>
        <v/>
      </c>
      <c r="E125" s="316" t="str">
        <f t="shared" si="8"/>
        <v/>
      </c>
      <c r="F125" s="316" t="str">
        <f t="shared" si="6"/>
        <v/>
      </c>
      <c r="G125" s="330" t="e">
        <f>(B125-B95)/B95</f>
        <v>#VALUE!</v>
      </c>
    </row>
    <row r="126" spans="1:7" ht="20" customHeight="1" x14ac:dyDescent="0.15">
      <c r="A126" s="326">
        <v>44927</v>
      </c>
      <c r="B126" s="331" t="str">
        <f t="shared" si="11"/>
        <v/>
      </c>
      <c r="C126" s="316" t="str">
        <f t="shared" si="9"/>
        <v/>
      </c>
      <c r="D126" s="316" t="str">
        <f t="shared" si="7"/>
        <v/>
      </c>
      <c r="E126" s="316" t="str">
        <f t="shared" si="8"/>
        <v/>
      </c>
      <c r="F126" s="316" t="str">
        <f t="shared" si="6"/>
        <v/>
      </c>
      <c r="G126" s="330"/>
    </row>
    <row r="127" spans="1:7" ht="20" customHeight="1" x14ac:dyDescent="0.15">
      <c r="A127" s="326">
        <v>44928</v>
      </c>
      <c r="B127" s="327">
        <f t="shared" si="11"/>
        <v>17655.106346022381</v>
      </c>
      <c r="C127" s="328">
        <f t="shared" si="9"/>
        <v>6.9565911175813149</v>
      </c>
      <c r="D127" s="329">
        <f t="shared" si="7"/>
        <v>8.9794296695021227</v>
      </c>
      <c r="E127" s="329">
        <f t="shared" si="8"/>
        <v>2.0228385519208079</v>
      </c>
      <c r="F127" s="330">
        <f t="shared" si="6"/>
        <v>3.9402714326603898E-4</v>
      </c>
      <c r="G127" s="330"/>
    </row>
    <row r="128" spans="1:7" ht="20" customHeight="1" x14ac:dyDescent="0.15">
      <c r="A128" s="326">
        <v>44929</v>
      </c>
      <c r="B128" s="327">
        <f t="shared" si="11"/>
        <v>17669.019528257544</v>
      </c>
      <c r="C128" s="328">
        <f t="shared" si="9"/>
        <v>6.9620732890311761</v>
      </c>
      <c r="D128" s="329">
        <f t="shared" si="7"/>
        <v>8.9865059475437867</v>
      </c>
      <c r="E128" s="329">
        <f t="shared" si="8"/>
        <v>2.0244326585126107</v>
      </c>
      <c r="F128" s="330">
        <f t="shared" si="6"/>
        <v>3.9402714326603898E-4</v>
      </c>
      <c r="G128" s="330"/>
    </row>
    <row r="129" spans="1:7" ht="20" customHeight="1" x14ac:dyDescent="0.15">
      <c r="A129" s="326">
        <v>44930</v>
      </c>
      <c r="B129" s="327">
        <f t="shared" si="11"/>
        <v>17682.943674835606</v>
      </c>
      <c r="C129" s="328">
        <f t="shared" si="9"/>
        <v>6.9675597807297471</v>
      </c>
      <c r="D129" s="329">
        <f t="shared" si="7"/>
        <v>8.9935878020766946</v>
      </c>
      <c r="E129" s="329">
        <f t="shared" si="8"/>
        <v>2.0260280213469475</v>
      </c>
      <c r="F129" s="330">
        <f t="shared" si="6"/>
        <v>3.9402714326603898E-4</v>
      </c>
      <c r="G129" s="330"/>
    </row>
    <row r="130" spans="1:7" ht="20" customHeight="1" x14ac:dyDescent="0.15">
      <c r="A130" s="326">
        <v>44931</v>
      </c>
      <c r="B130" s="327">
        <f t="shared" si="11"/>
        <v>17696.878794397064</v>
      </c>
      <c r="C130" s="328">
        <f t="shared" si="9"/>
        <v>6.9730505960816194</v>
      </c>
      <c r="D130" s="329">
        <f t="shared" si="7"/>
        <v>9.0006752374954218</v>
      </c>
      <c r="E130" s="329">
        <f t="shared" si="8"/>
        <v>2.0276246414138024</v>
      </c>
      <c r="F130" s="330">
        <f t="shared" si="6"/>
        <v>3.9402714326603898E-4</v>
      </c>
      <c r="G130" s="330"/>
    </row>
    <row r="131" spans="1:7" ht="20" customHeight="1" x14ac:dyDescent="0.15">
      <c r="A131" s="326">
        <v>44932</v>
      </c>
      <c r="B131" s="327">
        <f t="shared" si="11"/>
        <v>17710.824895589227</v>
      </c>
      <c r="C131" s="328">
        <f t="shared" si="9"/>
        <v>6.9785457384940663</v>
      </c>
      <c r="D131" s="329">
        <f t="shared" si="7"/>
        <v>9.0077682581980145</v>
      </c>
      <c r="E131" s="329">
        <f t="shared" si="8"/>
        <v>2.0292225197039482</v>
      </c>
      <c r="F131" s="330">
        <f t="shared" si="6"/>
        <v>3.9402714326603898E-4</v>
      </c>
      <c r="G131" s="330"/>
    </row>
    <row r="132" spans="1:7" ht="20" customHeight="1" x14ac:dyDescent="0.15">
      <c r="A132" s="326">
        <v>44933</v>
      </c>
      <c r="B132" s="331" t="str">
        <f t="shared" si="11"/>
        <v/>
      </c>
      <c r="C132" s="316" t="str">
        <f t="shared" si="9"/>
        <v/>
      </c>
      <c r="D132" s="316" t="str">
        <f t="shared" si="7"/>
        <v/>
      </c>
      <c r="E132" s="316" t="str">
        <f t="shared" si="8"/>
        <v/>
      </c>
      <c r="F132" s="316" t="str">
        <f t="shared" ref="F132:F195" si="12">IF(B132="","",C132/B132)</f>
        <v/>
      </c>
      <c r="G132" s="330"/>
    </row>
    <row r="133" spans="1:7" ht="20" customHeight="1" x14ac:dyDescent="0.15">
      <c r="A133" s="326">
        <v>44934</v>
      </c>
      <c r="B133" s="331" t="str">
        <f t="shared" si="11"/>
        <v/>
      </c>
      <c r="C133" s="316" t="str">
        <f t="shared" si="9"/>
        <v/>
      </c>
      <c r="D133" s="316" t="str">
        <f t="shared" si="7"/>
        <v/>
      </c>
      <c r="E133" s="316" t="str">
        <f t="shared" si="8"/>
        <v/>
      </c>
      <c r="F133" s="316" t="str">
        <f t="shared" si="12"/>
        <v/>
      </c>
      <c r="G133" s="330"/>
    </row>
    <row r="134" spans="1:7" ht="20" customHeight="1" x14ac:dyDescent="0.15">
      <c r="A134" s="326">
        <v>44935</v>
      </c>
      <c r="B134" s="327">
        <f t="shared" si="11"/>
        <v>17724.781987066213</v>
      </c>
      <c r="C134" s="328">
        <f t="shared" si="9"/>
        <v>6.9840452113770457</v>
      </c>
      <c r="D134" s="329">
        <f t="shared" si="7"/>
        <v>9.0148668685859725</v>
      </c>
      <c r="E134" s="329">
        <f t="shared" si="8"/>
        <v>2.0308216572089268</v>
      </c>
      <c r="F134" s="330">
        <f t="shared" si="12"/>
        <v>3.9402714326603898E-4</v>
      </c>
      <c r="G134" s="330"/>
    </row>
    <row r="135" spans="1:7" ht="20" customHeight="1" x14ac:dyDescent="0.15">
      <c r="A135" s="326">
        <v>44936</v>
      </c>
      <c r="B135" s="327">
        <f t="shared" si="11"/>
        <v>17738.750077488967</v>
      </c>
      <c r="C135" s="328">
        <f t="shared" si="9"/>
        <v>6.9895490181432054</v>
      </c>
      <c r="D135" s="329">
        <f t="shared" ref="D135:D198" si="13">IF(C135="","",(D$3*$C135)/$C$3)</f>
        <v>9.0219710730642788</v>
      </c>
      <c r="E135" s="329">
        <f t="shared" ref="E135:E198" si="14">IF(C135="","",D135-$C135)</f>
        <v>2.0324220549210734</v>
      </c>
      <c r="F135" s="330">
        <f t="shared" si="12"/>
        <v>3.9402714326603898E-4</v>
      </c>
      <c r="G135" s="330"/>
    </row>
    <row r="136" spans="1:7" ht="20" customHeight="1" x14ac:dyDescent="0.15">
      <c r="A136" s="326">
        <v>44937</v>
      </c>
      <c r="B136" s="327">
        <f t="shared" si="11"/>
        <v>17752.729175525252</v>
      </c>
      <c r="C136" s="328">
        <f t="shared" si="9"/>
        <v>6.9950571622078783</v>
      </c>
      <c r="D136" s="329">
        <f t="shared" si="13"/>
        <v>9.029080876041375</v>
      </c>
      <c r="E136" s="329">
        <f t="shared" si="14"/>
        <v>2.0340237138334967</v>
      </c>
      <c r="F136" s="330">
        <f t="shared" si="12"/>
        <v>3.9402714326603898E-4</v>
      </c>
      <c r="G136" s="330"/>
    </row>
    <row r="137" spans="1:7" ht="20" customHeight="1" x14ac:dyDescent="0.15">
      <c r="A137" s="326">
        <v>44938</v>
      </c>
      <c r="B137" s="327">
        <f t="shared" si="11"/>
        <v>17766.719289849669</v>
      </c>
      <c r="C137" s="328">
        <f t="shared" si="9"/>
        <v>7.0005696469890939</v>
      </c>
      <c r="D137" s="329">
        <f t="shared" si="13"/>
        <v>9.0361962819291843</v>
      </c>
      <c r="E137" s="329">
        <f t="shared" si="14"/>
        <v>2.0356266349400904</v>
      </c>
      <c r="F137" s="330">
        <f t="shared" si="12"/>
        <v>3.9402714326603898E-4</v>
      </c>
      <c r="G137" s="330"/>
    </row>
    <row r="138" spans="1:7" ht="20" customHeight="1" x14ac:dyDescent="0.15">
      <c r="A138" s="326">
        <v>44939</v>
      </c>
      <c r="B138" s="327">
        <f t="shared" si="11"/>
        <v>17780.720429143646</v>
      </c>
      <c r="C138" s="328">
        <f t="shared" si="9"/>
        <v>7.0060864759075701</v>
      </c>
      <c r="D138" s="329">
        <f t="shared" si="13"/>
        <v>9.0433172951431047</v>
      </c>
      <c r="E138" s="329">
        <f t="shared" si="14"/>
        <v>2.0372308192355346</v>
      </c>
      <c r="F138" s="330">
        <f t="shared" si="12"/>
        <v>3.9402714326603898E-4</v>
      </c>
      <c r="G138" s="330"/>
    </row>
    <row r="139" spans="1:7" ht="20" customHeight="1" x14ac:dyDescent="0.15">
      <c r="A139" s="326">
        <v>44940</v>
      </c>
      <c r="B139" s="331" t="str">
        <f t="shared" si="11"/>
        <v/>
      </c>
      <c r="C139" s="316" t="str">
        <f t="shared" ref="C139:C202" si="15">IF(B139="","",B139*F$6)</f>
        <v/>
      </c>
      <c r="D139" s="316" t="str">
        <f t="shared" si="13"/>
        <v/>
      </c>
      <c r="E139" s="316" t="str">
        <f t="shared" si="14"/>
        <v/>
      </c>
      <c r="F139" s="316" t="str">
        <f t="shared" si="12"/>
        <v/>
      </c>
      <c r="G139" s="330"/>
    </row>
    <row r="140" spans="1:7" ht="20" customHeight="1" x14ac:dyDescent="0.15">
      <c r="A140" s="326">
        <v>44941</v>
      </c>
      <c r="B140" s="331" t="str">
        <f t="shared" si="11"/>
        <v/>
      </c>
      <c r="C140" s="316" t="str">
        <f t="shared" si="15"/>
        <v/>
      </c>
      <c r="D140" s="316" t="str">
        <f t="shared" si="13"/>
        <v/>
      </c>
      <c r="E140" s="316" t="str">
        <f t="shared" si="14"/>
        <v/>
      </c>
      <c r="F140" s="316" t="str">
        <f t="shared" si="12"/>
        <v/>
      </c>
      <c r="G140" s="330"/>
    </row>
    <row r="141" spans="1:7" ht="20" customHeight="1" x14ac:dyDescent="0.15">
      <c r="A141" s="326">
        <v>44942</v>
      </c>
      <c r="B141" s="327">
        <f t="shared" si="11"/>
        <v>17794.732602095461</v>
      </c>
      <c r="C141" s="328">
        <f t="shared" si="15"/>
        <v>7.011607652386723</v>
      </c>
      <c r="D141" s="329">
        <f t="shared" si="13"/>
        <v>9.0504439201020119</v>
      </c>
      <c r="E141" s="329">
        <f t="shared" si="14"/>
        <v>2.0388362677152889</v>
      </c>
      <c r="F141" s="330">
        <f t="shared" si="12"/>
        <v>3.9402714326603898E-4</v>
      </c>
      <c r="G141" s="330"/>
    </row>
    <row r="142" spans="1:7" ht="20" customHeight="1" x14ac:dyDescent="0.15">
      <c r="A142" s="326">
        <v>44943</v>
      </c>
      <c r="B142" s="327">
        <f t="shared" si="11"/>
        <v>17808.755817400233</v>
      </c>
      <c r="C142" s="328">
        <f t="shared" si="15"/>
        <v>7.0171331798526673</v>
      </c>
      <c r="D142" s="329">
        <f t="shared" si="13"/>
        <v>9.0575761612282655</v>
      </c>
      <c r="E142" s="329">
        <f t="shared" si="14"/>
        <v>2.0404429813755982</v>
      </c>
      <c r="F142" s="330">
        <f t="shared" si="12"/>
        <v>3.9402714326603898E-4</v>
      </c>
      <c r="G142" s="330"/>
    </row>
    <row r="143" spans="1:7" ht="20" customHeight="1" x14ac:dyDescent="0.15">
      <c r="A143" s="326">
        <v>44944</v>
      </c>
      <c r="B143" s="327">
        <f t="shared" si="11"/>
        <v>17822.790083759937</v>
      </c>
      <c r="C143" s="328">
        <f t="shared" si="15"/>
        <v>7.0226630617342156</v>
      </c>
      <c r="D143" s="329">
        <f t="shared" si="13"/>
        <v>9.0647140229477099</v>
      </c>
      <c r="E143" s="329">
        <f t="shared" si="14"/>
        <v>2.0420509612134943</v>
      </c>
      <c r="F143" s="330">
        <f t="shared" si="12"/>
        <v>3.9402714326603898E-4</v>
      </c>
      <c r="G143" s="330"/>
    </row>
    <row r="144" spans="1:7" ht="20" customHeight="1" x14ac:dyDescent="0.15">
      <c r="A144" s="326">
        <v>44945</v>
      </c>
      <c r="B144" s="327">
        <f t="shared" si="11"/>
        <v>17836.835409883406</v>
      </c>
      <c r="C144" s="328">
        <f t="shared" si="15"/>
        <v>7.0281973014628862</v>
      </c>
      <c r="D144" s="329">
        <f t="shared" si="13"/>
        <v>9.0718575096896821</v>
      </c>
      <c r="E144" s="329">
        <f t="shared" si="14"/>
        <v>2.0436602082267958</v>
      </c>
      <c r="F144" s="330">
        <f t="shared" si="12"/>
        <v>3.9402714326603898E-4</v>
      </c>
      <c r="G144" s="330"/>
    </row>
    <row r="145" spans="1:7" ht="20" customHeight="1" x14ac:dyDescent="0.15">
      <c r="A145" s="326">
        <v>44946</v>
      </c>
      <c r="B145" s="327">
        <f t="shared" si="11"/>
        <v>17850.891804486331</v>
      </c>
      <c r="C145" s="328">
        <f t="shared" si="15"/>
        <v>7.0337359024728965</v>
      </c>
      <c r="D145" s="329">
        <f t="shared" si="13"/>
        <v>9.0790066258870006</v>
      </c>
      <c r="E145" s="329">
        <f t="shared" si="14"/>
        <v>2.0452707234141041</v>
      </c>
      <c r="F145" s="330">
        <f t="shared" si="12"/>
        <v>3.9402714326603898E-4</v>
      </c>
      <c r="G145" s="330"/>
    </row>
    <row r="146" spans="1:7" ht="20" customHeight="1" x14ac:dyDescent="0.15">
      <c r="A146" s="326">
        <v>44947</v>
      </c>
      <c r="B146" s="331" t="str">
        <f t="shared" si="11"/>
        <v/>
      </c>
      <c r="C146" s="316" t="str">
        <f t="shared" si="15"/>
        <v/>
      </c>
      <c r="D146" s="316" t="str">
        <f t="shared" si="13"/>
        <v/>
      </c>
      <c r="E146" s="316" t="str">
        <f t="shared" si="14"/>
        <v/>
      </c>
      <c r="F146" s="316" t="str">
        <f t="shared" si="12"/>
        <v/>
      </c>
      <c r="G146" s="330"/>
    </row>
    <row r="147" spans="1:7" ht="20" customHeight="1" x14ac:dyDescent="0.15">
      <c r="A147" s="326">
        <v>44948</v>
      </c>
      <c r="B147" s="331" t="str">
        <f t="shared" si="11"/>
        <v/>
      </c>
      <c r="C147" s="316" t="str">
        <f t="shared" si="15"/>
        <v/>
      </c>
      <c r="D147" s="316" t="str">
        <f t="shared" si="13"/>
        <v/>
      </c>
      <c r="E147" s="316" t="str">
        <f t="shared" si="14"/>
        <v/>
      </c>
      <c r="F147" s="316" t="str">
        <f t="shared" si="12"/>
        <v/>
      </c>
      <c r="G147" s="330"/>
    </row>
    <row r="148" spans="1:7" ht="20" customHeight="1" x14ac:dyDescent="0.15">
      <c r="A148" s="326">
        <v>44949</v>
      </c>
      <c r="B148" s="327">
        <f t="shared" si="11"/>
        <v>17864.959276291276</v>
      </c>
      <c r="C148" s="328">
        <f t="shared" si="15"/>
        <v>7.0392788682011744</v>
      </c>
      <c r="D148" s="329">
        <f t="shared" si="13"/>
        <v>9.0861613759759834</v>
      </c>
      <c r="E148" s="329">
        <f t="shared" si="14"/>
        <v>2.046882507774809</v>
      </c>
      <c r="F148" s="330">
        <f t="shared" si="12"/>
        <v>3.9402714326603898E-4</v>
      </c>
      <c r="G148" s="330"/>
    </row>
    <row r="149" spans="1:7" ht="20" customHeight="1" x14ac:dyDescent="0.15">
      <c r="A149" s="326">
        <v>44950</v>
      </c>
      <c r="B149" s="327">
        <f t="shared" si="11"/>
        <v>17879.03783402768</v>
      </c>
      <c r="C149" s="328">
        <f t="shared" si="15"/>
        <v>7.0448262020873562</v>
      </c>
      <c r="D149" s="329">
        <f t="shared" si="13"/>
        <v>9.0933217643964444</v>
      </c>
      <c r="E149" s="329">
        <f t="shared" si="14"/>
        <v>2.0484955623090881</v>
      </c>
      <c r="F149" s="330">
        <f t="shared" si="12"/>
        <v>3.9402714326603898E-4</v>
      </c>
      <c r="G149" s="330"/>
    </row>
    <row r="150" spans="1:7" ht="20" customHeight="1" x14ac:dyDescent="0.15">
      <c r="A150" s="326">
        <v>44951</v>
      </c>
      <c r="B150" s="327">
        <f t="shared" si="11"/>
        <v>17893.127486431855</v>
      </c>
      <c r="C150" s="328">
        <f t="shared" si="15"/>
        <v>7.0503779075737842</v>
      </c>
      <c r="D150" s="329">
        <f t="shared" si="13"/>
        <v>9.1004877955916932</v>
      </c>
      <c r="E150" s="329">
        <f t="shared" si="14"/>
        <v>2.0501098880179089</v>
      </c>
      <c r="F150" s="330">
        <f t="shared" si="12"/>
        <v>3.9402714326603898E-4</v>
      </c>
      <c r="G150" s="330"/>
    </row>
    <row r="151" spans="1:7" ht="20" customHeight="1" x14ac:dyDescent="0.15">
      <c r="A151" s="326">
        <v>44952</v>
      </c>
      <c r="B151" s="327">
        <f t="shared" si="11"/>
        <v>17907.228242247002</v>
      </c>
      <c r="C151" s="328">
        <f t="shared" si="15"/>
        <v>7.0559339881055188</v>
      </c>
      <c r="D151" s="329">
        <f t="shared" si="13"/>
        <v>9.1076594740085426</v>
      </c>
      <c r="E151" s="329">
        <f t="shared" si="14"/>
        <v>2.0517254859030238</v>
      </c>
      <c r="F151" s="330">
        <f t="shared" si="12"/>
        <v>3.9402714326603898E-4</v>
      </c>
      <c r="G151" s="330"/>
    </row>
    <row r="152" spans="1:7" ht="20" customHeight="1" x14ac:dyDescent="0.15">
      <c r="A152" s="326">
        <v>44953</v>
      </c>
      <c r="B152" s="327">
        <f>1445-G152</f>
        <v>1323.78</v>
      </c>
      <c r="C152" s="328">
        <f t="shared" si="15"/>
        <v>0.5216052517127171</v>
      </c>
      <c r="D152" s="329">
        <f t="shared" si="13"/>
        <v>0.67327770079230143</v>
      </c>
      <c r="E152" s="329">
        <f t="shared" si="14"/>
        <v>0.15167244907958433</v>
      </c>
      <c r="F152" s="330">
        <f t="shared" si="12"/>
        <v>3.9402714326603898E-4</v>
      </c>
      <c r="G152" s="328">
        <v>121.22</v>
      </c>
    </row>
    <row r="153" spans="1:7" ht="20" customHeight="1" x14ac:dyDescent="0.15">
      <c r="A153" s="326">
        <v>44954</v>
      </c>
      <c r="B153" s="331" t="str">
        <f t="shared" ref="B153:B182" si="16">IF(OR(WEEKDAY($A153)=7,WEEKDAY($A153)=1),"",IF(B152="",IF(B151="",B150,B151),B152)+IF(A$2=TRUE,IF(C152="",IF(C151="",C150,C151),C152)*2,IF(C152="",IF(C151="",C150,C151),C152)))</f>
        <v/>
      </c>
      <c r="C153" s="316" t="str">
        <f t="shared" si="15"/>
        <v/>
      </c>
      <c r="D153" s="316" t="str">
        <f t="shared" si="13"/>
        <v/>
      </c>
      <c r="E153" s="316" t="str">
        <f t="shared" si="14"/>
        <v/>
      </c>
      <c r="F153" s="316" t="str">
        <f t="shared" si="12"/>
        <v/>
      </c>
      <c r="G153" s="330"/>
    </row>
    <row r="154" spans="1:7" ht="20" customHeight="1" x14ac:dyDescent="0.15">
      <c r="A154" s="326">
        <v>44955</v>
      </c>
      <c r="B154" s="331" t="str">
        <f t="shared" si="16"/>
        <v/>
      </c>
      <c r="C154" s="316" t="str">
        <f t="shared" si="15"/>
        <v/>
      </c>
      <c r="D154" s="316" t="str">
        <f t="shared" si="13"/>
        <v/>
      </c>
      <c r="E154" s="316" t="str">
        <f t="shared" si="14"/>
        <v/>
      </c>
      <c r="F154" s="316" t="str">
        <f t="shared" si="12"/>
        <v/>
      </c>
      <c r="G154" s="330"/>
    </row>
    <row r="155" spans="1:7" ht="20" customHeight="1" x14ac:dyDescent="0.15">
      <c r="A155" s="326">
        <v>44956</v>
      </c>
      <c r="B155" s="327">
        <f t="shared" si="16"/>
        <v>1324.8232105034253</v>
      </c>
      <c r="C155" s="328">
        <f t="shared" si="15"/>
        <v>0.52201630496720686</v>
      </c>
      <c r="D155" s="329">
        <f t="shared" si="13"/>
        <v>0.67380828017043715</v>
      </c>
      <c r="E155" s="329">
        <f t="shared" si="14"/>
        <v>0.15179197520323029</v>
      </c>
      <c r="F155" s="330">
        <f t="shared" si="12"/>
        <v>3.9402714326603893E-4</v>
      </c>
      <c r="G155" s="328">
        <f>G156*B128</f>
        <v>-16343.152285144184</v>
      </c>
    </row>
    <row r="156" spans="1:7" ht="20" customHeight="1" x14ac:dyDescent="0.15">
      <c r="A156" s="326">
        <v>44957</v>
      </c>
      <c r="B156" s="327">
        <f t="shared" si="16"/>
        <v>1325.8672431133598</v>
      </c>
      <c r="C156" s="328">
        <f t="shared" si="15"/>
        <v>0.52242768215397595</v>
      </c>
      <c r="D156" s="329">
        <f t="shared" si="13"/>
        <v>0.67433927767392632</v>
      </c>
      <c r="E156" s="329">
        <f t="shared" si="14"/>
        <v>0.15191159551995037</v>
      </c>
      <c r="F156" s="330">
        <f t="shared" si="12"/>
        <v>3.9402714326603898E-4</v>
      </c>
      <c r="G156" s="330">
        <f>(B156-B128)/B128</f>
        <v>-0.92496090453729252</v>
      </c>
    </row>
    <row r="157" spans="1:7" ht="20" customHeight="1" x14ac:dyDescent="0.15">
      <c r="A157" s="326">
        <v>44958</v>
      </c>
      <c r="B157" s="327">
        <f t="shared" si="16"/>
        <v>1326.9120984776678</v>
      </c>
      <c r="C157" s="328">
        <f t="shared" si="15"/>
        <v>0.52283938352830039</v>
      </c>
      <c r="D157" s="329">
        <f t="shared" si="13"/>
        <v>0.67487069363227425</v>
      </c>
      <c r="E157" s="329">
        <f t="shared" si="14"/>
        <v>0.15203131010397386</v>
      </c>
      <c r="F157" s="330">
        <f t="shared" si="12"/>
        <v>3.9402714326603898E-4</v>
      </c>
      <c r="G157" s="330"/>
    </row>
    <row r="158" spans="1:7" ht="20" customHeight="1" x14ac:dyDescent="0.15">
      <c r="A158" s="326">
        <v>44959</v>
      </c>
      <c r="B158" s="327">
        <f t="shared" si="16"/>
        <v>1327.9577772447244</v>
      </c>
      <c r="C158" s="328">
        <f t="shared" si="15"/>
        <v>0.52325140934565773</v>
      </c>
      <c r="D158" s="329">
        <f t="shared" si="13"/>
        <v>0.67540252837524617</v>
      </c>
      <c r="E158" s="329">
        <f t="shared" si="14"/>
        <v>0.15215111902958844</v>
      </c>
      <c r="F158" s="330">
        <f t="shared" si="12"/>
        <v>3.9402714326603898E-4</v>
      </c>
      <c r="G158" s="330"/>
    </row>
    <row r="159" spans="1:7" ht="20" customHeight="1" x14ac:dyDescent="0.15">
      <c r="A159" s="326">
        <v>44960</v>
      </c>
      <c r="B159" s="327">
        <f t="shared" si="16"/>
        <v>1329.0042800634158</v>
      </c>
      <c r="C159" s="328">
        <f t="shared" si="15"/>
        <v>0.52366375986172653</v>
      </c>
      <c r="D159" s="329">
        <f t="shared" si="13"/>
        <v>0.67593478223286685</v>
      </c>
      <c r="E159" s="329">
        <f t="shared" si="14"/>
        <v>0.15227102237114032</v>
      </c>
      <c r="F159" s="330">
        <f t="shared" si="12"/>
        <v>3.9402714326603898E-4</v>
      </c>
      <c r="G159" s="330"/>
    </row>
    <row r="160" spans="1:7" ht="20" customHeight="1" x14ac:dyDescent="0.15">
      <c r="A160" s="326">
        <v>44961</v>
      </c>
      <c r="B160" s="331" t="str">
        <f t="shared" si="16"/>
        <v/>
      </c>
      <c r="C160" s="316" t="str">
        <f t="shared" si="15"/>
        <v/>
      </c>
      <c r="D160" s="316" t="str">
        <f t="shared" si="13"/>
        <v/>
      </c>
      <c r="E160" s="316" t="str">
        <f t="shared" si="14"/>
        <v/>
      </c>
      <c r="F160" s="316" t="str">
        <f t="shared" si="12"/>
        <v/>
      </c>
      <c r="G160" s="330"/>
    </row>
    <row r="161" spans="1:7" ht="20" customHeight="1" x14ac:dyDescent="0.15">
      <c r="A161" s="326">
        <v>44962</v>
      </c>
      <c r="B161" s="331" t="str">
        <f t="shared" si="16"/>
        <v/>
      </c>
      <c r="C161" s="316" t="str">
        <f t="shared" si="15"/>
        <v/>
      </c>
      <c r="D161" s="316" t="str">
        <f t="shared" si="13"/>
        <v/>
      </c>
      <c r="E161" s="316" t="str">
        <f t="shared" si="14"/>
        <v/>
      </c>
      <c r="F161" s="316" t="str">
        <f t="shared" si="12"/>
        <v/>
      </c>
      <c r="G161" s="330"/>
    </row>
    <row r="162" spans="1:7" ht="20" customHeight="1" x14ac:dyDescent="0.15">
      <c r="A162" s="326">
        <v>44963</v>
      </c>
      <c r="B162" s="327">
        <f t="shared" si="16"/>
        <v>1330.0516075831392</v>
      </c>
      <c r="C162" s="328">
        <f t="shared" si="15"/>
        <v>0.52407643533238701</v>
      </c>
      <c r="D162" s="329">
        <f t="shared" si="13"/>
        <v>0.67646745553542154</v>
      </c>
      <c r="E162" s="329">
        <f t="shared" si="14"/>
        <v>0.15239102020303452</v>
      </c>
      <c r="F162" s="330">
        <f t="shared" si="12"/>
        <v>3.9402714326603893E-4</v>
      </c>
      <c r="G162" s="330"/>
    </row>
    <row r="163" spans="1:7" ht="20" customHeight="1" x14ac:dyDescent="0.15">
      <c r="A163" s="326">
        <v>44964</v>
      </c>
      <c r="B163" s="327">
        <f t="shared" si="16"/>
        <v>1331.099760453804</v>
      </c>
      <c r="C163" s="328">
        <f t="shared" si="15"/>
        <v>0.52448943601372122</v>
      </c>
      <c r="D163" s="329">
        <f t="shared" si="13"/>
        <v>0.67700054861345571</v>
      </c>
      <c r="E163" s="329">
        <f t="shared" si="14"/>
        <v>0.15251111259973449</v>
      </c>
      <c r="F163" s="330">
        <f t="shared" si="12"/>
        <v>3.9402714326603898E-4</v>
      </c>
      <c r="G163" s="330"/>
    </row>
    <row r="164" spans="1:7" ht="20" customHeight="1" x14ac:dyDescent="0.15">
      <c r="A164" s="326">
        <v>44965</v>
      </c>
      <c r="B164" s="327">
        <f t="shared" si="16"/>
        <v>1332.1487393258315</v>
      </c>
      <c r="C164" s="328">
        <f t="shared" si="15"/>
        <v>0.52490276216201259</v>
      </c>
      <c r="D164" s="329">
        <f t="shared" si="13"/>
        <v>0.67753406179777509</v>
      </c>
      <c r="E164" s="329">
        <f t="shared" si="14"/>
        <v>0.1526312996357625</v>
      </c>
      <c r="F164" s="330">
        <f t="shared" si="12"/>
        <v>3.9402714326603898E-4</v>
      </c>
      <c r="G164" s="330"/>
    </row>
    <row r="165" spans="1:7" ht="20" customHeight="1" x14ac:dyDescent="0.15">
      <c r="A165" s="326">
        <v>44966</v>
      </c>
      <c r="B165" s="327">
        <f t="shared" si="16"/>
        <v>1333.1985448501555</v>
      </c>
      <c r="C165" s="328">
        <f t="shared" si="15"/>
        <v>0.52531641403374696</v>
      </c>
      <c r="D165" s="329">
        <f t="shared" si="13"/>
        <v>0.6780679954194464</v>
      </c>
      <c r="E165" s="329">
        <f t="shared" si="14"/>
        <v>0.15275158138569944</v>
      </c>
      <c r="F165" s="330">
        <f t="shared" si="12"/>
        <v>3.9402714326603903E-4</v>
      </c>
      <c r="G165" s="330"/>
    </row>
    <row r="166" spans="1:7" ht="20" customHeight="1" x14ac:dyDescent="0.15">
      <c r="A166" s="326">
        <v>44967</v>
      </c>
      <c r="B166" s="327">
        <f t="shared" si="16"/>
        <v>1334.2491776782231</v>
      </c>
      <c r="C166" s="328">
        <f t="shared" si="15"/>
        <v>0.52573039188561188</v>
      </c>
      <c r="D166" s="329">
        <f t="shared" si="13"/>
        <v>0.67860234980979683</v>
      </c>
      <c r="E166" s="329">
        <f t="shared" si="14"/>
        <v>0.15287195792418495</v>
      </c>
      <c r="F166" s="330">
        <f t="shared" si="12"/>
        <v>3.9402714326603898E-4</v>
      </c>
      <c r="G166" s="330"/>
    </row>
    <row r="167" spans="1:7" ht="20" customHeight="1" x14ac:dyDescent="0.15">
      <c r="A167" s="326">
        <v>44968</v>
      </c>
      <c r="B167" s="331" t="str">
        <f t="shared" si="16"/>
        <v/>
      </c>
      <c r="C167" s="316" t="str">
        <f t="shared" si="15"/>
        <v/>
      </c>
      <c r="D167" s="316" t="str">
        <f t="shared" si="13"/>
        <v/>
      </c>
      <c r="E167" s="316" t="str">
        <f t="shared" si="14"/>
        <v/>
      </c>
      <c r="F167" s="316" t="str">
        <f t="shared" si="12"/>
        <v/>
      </c>
      <c r="G167" s="330"/>
    </row>
    <row r="168" spans="1:7" ht="20" customHeight="1" x14ac:dyDescent="0.15">
      <c r="A168" s="326">
        <v>44969</v>
      </c>
      <c r="B168" s="331" t="str">
        <f t="shared" si="16"/>
        <v/>
      </c>
      <c r="C168" s="316" t="str">
        <f t="shared" si="15"/>
        <v/>
      </c>
      <c r="D168" s="316" t="str">
        <f t="shared" si="13"/>
        <v/>
      </c>
      <c r="E168" s="316" t="str">
        <f t="shared" si="14"/>
        <v/>
      </c>
      <c r="F168" s="316" t="str">
        <f t="shared" si="12"/>
        <v/>
      </c>
      <c r="G168" s="330"/>
    </row>
    <row r="169" spans="1:7" ht="20" customHeight="1" x14ac:dyDescent="0.15">
      <c r="A169" s="326">
        <v>44970</v>
      </c>
      <c r="B169" s="327">
        <f t="shared" si="16"/>
        <v>1335.3006384619944</v>
      </c>
      <c r="C169" s="328">
        <f t="shared" si="15"/>
        <v>0.52614469597449753</v>
      </c>
      <c r="D169" s="329">
        <f t="shared" si="13"/>
        <v>0.67913712530041526</v>
      </c>
      <c r="E169" s="329">
        <f t="shared" si="14"/>
        <v>0.15299242932591772</v>
      </c>
      <c r="F169" s="330">
        <f t="shared" si="12"/>
        <v>3.9402714326603893E-4</v>
      </c>
      <c r="G169" s="330"/>
    </row>
    <row r="170" spans="1:7" ht="20" customHeight="1" x14ac:dyDescent="0.15">
      <c r="A170" s="326">
        <v>44971</v>
      </c>
      <c r="B170" s="327">
        <f t="shared" si="16"/>
        <v>1336.3529278539434</v>
      </c>
      <c r="C170" s="328">
        <f t="shared" si="15"/>
        <v>0.52655932655749638</v>
      </c>
      <c r="D170" s="329">
        <f t="shared" si="13"/>
        <v>0.67967232222315133</v>
      </c>
      <c r="E170" s="329">
        <f t="shared" si="14"/>
        <v>0.15311299566565495</v>
      </c>
      <c r="F170" s="330">
        <f t="shared" si="12"/>
        <v>3.9402714326603898E-4</v>
      </c>
      <c r="G170" s="330"/>
    </row>
    <row r="171" spans="1:7" ht="20" customHeight="1" x14ac:dyDescent="0.15">
      <c r="A171" s="326">
        <v>44972</v>
      </c>
      <c r="B171" s="327">
        <f t="shared" si="16"/>
        <v>1337.4060465070584</v>
      </c>
      <c r="C171" s="328">
        <f t="shared" si="15"/>
        <v>0.52697428389190348</v>
      </c>
      <c r="D171" s="329">
        <f t="shared" si="13"/>
        <v>0.68020794091011649</v>
      </c>
      <c r="E171" s="329">
        <f t="shared" si="14"/>
        <v>0.15323365701821301</v>
      </c>
      <c r="F171" s="330">
        <f t="shared" si="12"/>
        <v>3.9402714326603898E-4</v>
      </c>
      <c r="G171" s="330"/>
    </row>
    <row r="172" spans="1:7" ht="20" customHeight="1" x14ac:dyDescent="0.15">
      <c r="A172" s="326">
        <v>44973</v>
      </c>
      <c r="B172" s="327">
        <f t="shared" si="16"/>
        <v>1338.4599950748423</v>
      </c>
      <c r="C172" s="328">
        <f t="shared" si="15"/>
        <v>0.52738956823521665</v>
      </c>
      <c r="D172" s="329">
        <f t="shared" si="13"/>
        <v>0.68074398169368389</v>
      </c>
      <c r="E172" s="329">
        <f t="shared" si="14"/>
        <v>0.15335441345846723</v>
      </c>
      <c r="F172" s="330">
        <f t="shared" si="12"/>
        <v>3.9402714326603893E-4</v>
      </c>
      <c r="G172" s="330"/>
    </row>
    <row r="173" spans="1:7" ht="20" customHeight="1" x14ac:dyDescent="0.15">
      <c r="A173" s="326">
        <v>44974</v>
      </c>
      <c r="B173" s="327">
        <f t="shared" si="16"/>
        <v>1339.5147742113127</v>
      </c>
      <c r="C173" s="328">
        <f t="shared" si="15"/>
        <v>0.52780517984513675</v>
      </c>
      <c r="D173" s="329">
        <f t="shared" si="13"/>
        <v>0.68128044490648854</v>
      </c>
      <c r="E173" s="329">
        <f t="shared" si="14"/>
        <v>0.15347526506135178</v>
      </c>
      <c r="F173" s="330">
        <f t="shared" si="12"/>
        <v>3.9402714326603898E-4</v>
      </c>
      <c r="G173" s="330"/>
    </row>
    <row r="174" spans="1:7" ht="20" customHeight="1" x14ac:dyDescent="0.15">
      <c r="A174" s="326">
        <v>44975</v>
      </c>
      <c r="B174" s="331" t="str">
        <f t="shared" si="16"/>
        <v/>
      </c>
      <c r="C174" s="316" t="str">
        <f t="shared" si="15"/>
        <v/>
      </c>
      <c r="D174" s="316" t="str">
        <f t="shared" si="13"/>
        <v/>
      </c>
      <c r="E174" s="316" t="str">
        <f t="shared" si="14"/>
        <v/>
      </c>
      <c r="F174" s="316" t="str">
        <f t="shared" si="12"/>
        <v/>
      </c>
      <c r="G174" s="330"/>
    </row>
    <row r="175" spans="1:7" ht="20" customHeight="1" x14ac:dyDescent="0.15">
      <c r="A175" s="326">
        <v>44976</v>
      </c>
      <c r="B175" s="331" t="str">
        <f t="shared" si="16"/>
        <v/>
      </c>
      <c r="C175" s="316" t="str">
        <f t="shared" si="15"/>
        <v/>
      </c>
      <c r="D175" s="316" t="str">
        <f t="shared" si="13"/>
        <v/>
      </c>
      <c r="E175" s="316" t="str">
        <f t="shared" si="14"/>
        <v/>
      </c>
      <c r="F175" s="316" t="str">
        <f t="shared" si="12"/>
        <v/>
      </c>
      <c r="G175" s="330"/>
    </row>
    <row r="176" spans="1:7" ht="20" customHeight="1" x14ac:dyDescent="0.15">
      <c r="A176" s="326">
        <v>44977</v>
      </c>
      <c r="B176" s="327">
        <f t="shared" si="16"/>
        <v>1340.5703845710029</v>
      </c>
      <c r="C176" s="328">
        <f t="shared" si="15"/>
        <v>0.52822111897956758</v>
      </c>
      <c r="D176" s="329">
        <f t="shared" si="13"/>
        <v>0.6818173308814276</v>
      </c>
      <c r="E176" s="329">
        <f t="shared" si="14"/>
        <v>0.15359621190186001</v>
      </c>
      <c r="F176" s="330">
        <f t="shared" si="12"/>
        <v>3.9402714326603903E-4</v>
      </c>
      <c r="G176" s="330"/>
    </row>
    <row r="177" spans="1:7" ht="20" customHeight="1" x14ac:dyDescent="0.15">
      <c r="A177" s="326">
        <v>44978</v>
      </c>
      <c r="B177" s="327">
        <f t="shared" si="16"/>
        <v>1341.6268268089621</v>
      </c>
      <c r="C177" s="328">
        <f t="shared" si="15"/>
        <v>0.52863738589661613</v>
      </c>
      <c r="D177" s="329">
        <f t="shared" si="13"/>
        <v>0.68235463995166046</v>
      </c>
      <c r="E177" s="329">
        <f t="shared" si="14"/>
        <v>0.15371725405504433</v>
      </c>
      <c r="F177" s="330">
        <f t="shared" si="12"/>
        <v>3.9402714326603898E-4</v>
      </c>
      <c r="G177" s="330"/>
    </row>
    <row r="178" spans="1:7" ht="20" customHeight="1" x14ac:dyDescent="0.15">
      <c r="A178" s="326">
        <v>44979</v>
      </c>
      <c r="B178" s="327">
        <f t="shared" si="16"/>
        <v>1342.6841015807554</v>
      </c>
      <c r="C178" s="328">
        <f t="shared" si="15"/>
        <v>0.5290539808545931</v>
      </c>
      <c r="D178" s="329">
        <f t="shared" si="13"/>
        <v>0.68289237245060952</v>
      </c>
      <c r="E178" s="329">
        <f t="shared" si="14"/>
        <v>0.15383839159601642</v>
      </c>
      <c r="F178" s="330">
        <f t="shared" si="12"/>
        <v>3.9402714326603893E-4</v>
      </c>
      <c r="G178" s="330"/>
    </row>
    <row r="179" spans="1:7" ht="20" customHeight="1" x14ac:dyDescent="0.15">
      <c r="A179" s="326">
        <v>44980</v>
      </c>
      <c r="B179" s="327">
        <f t="shared" si="16"/>
        <v>1343.7422095424645</v>
      </c>
      <c r="C179" s="328">
        <f t="shared" si="15"/>
        <v>0.52947090411201247</v>
      </c>
      <c r="D179" s="329">
        <f t="shared" si="13"/>
        <v>0.68343052871195931</v>
      </c>
      <c r="E179" s="329">
        <f t="shared" si="14"/>
        <v>0.15395962459994683</v>
      </c>
      <c r="F179" s="330">
        <f t="shared" si="12"/>
        <v>3.9402714326603903E-4</v>
      </c>
      <c r="G179" s="330"/>
    </row>
    <row r="180" spans="1:7" ht="20" customHeight="1" x14ac:dyDescent="0.15">
      <c r="A180" s="326">
        <v>44981</v>
      </c>
      <c r="B180" s="327">
        <f t="shared" si="16"/>
        <v>1344.8011513506885</v>
      </c>
      <c r="C180" s="328">
        <f t="shared" si="15"/>
        <v>0.52988815592759198</v>
      </c>
      <c r="D180" s="329">
        <f t="shared" si="13"/>
        <v>0.68396910906965769</v>
      </c>
      <c r="E180" s="329">
        <f t="shared" si="14"/>
        <v>0.15408095314206571</v>
      </c>
      <c r="F180" s="330">
        <f t="shared" si="12"/>
        <v>3.9402714326603903E-4</v>
      </c>
      <c r="G180" s="330"/>
    </row>
    <row r="181" spans="1:7" ht="20" customHeight="1" x14ac:dyDescent="0.15">
      <c r="A181" s="326">
        <v>44982</v>
      </c>
      <c r="B181" s="331" t="str">
        <f t="shared" si="16"/>
        <v/>
      </c>
      <c r="C181" s="316" t="str">
        <f t="shared" si="15"/>
        <v/>
      </c>
      <c r="D181" s="316" t="str">
        <f t="shared" si="13"/>
        <v/>
      </c>
      <c r="E181" s="316" t="str">
        <f t="shared" si="14"/>
        <v/>
      </c>
      <c r="F181" s="316" t="str">
        <f t="shared" si="12"/>
        <v/>
      </c>
      <c r="G181" s="330"/>
    </row>
    <row r="182" spans="1:7" ht="20" customHeight="1" x14ac:dyDescent="0.15">
      <c r="A182" s="326">
        <v>44983</v>
      </c>
      <c r="B182" s="331" t="str">
        <f t="shared" si="16"/>
        <v/>
      </c>
      <c r="C182" s="316" t="str">
        <f t="shared" si="15"/>
        <v/>
      </c>
      <c r="D182" s="316" t="str">
        <f t="shared" si="13"/>
        <v/>
      </c>
      <c r="E182" s="316" t="str">
        <f t="shared" si="14"/>
        <v/>
      </c>
      <c r="F182" s="316" t="str">
        <f t="shared" si="12"/>
        <v/>
      </c>
      <c r="G182" s="330"/>
    </row>
    <row r="183" spans="1:7" ht="20" customHeight="1" x14ac:dyDescent="0.15">
      <c r="A183" s="326">
        <v>44984</v>
      </c>
      <c r="B183" s="327">
        <f>IF(OR(WEEKDAY($A183)=7,WEEKDAY($A183)=1),"",IF(B182="",IF(B181="",B180,B181),B182)+IF(A$2=TRUE,IF(C182="",IF(C181="",C180,C181),C182)*2,IF(C182="",IF(C181="",C180,C181),C182)))-G152</f>
        <v>1224.6409276625436</v>
      </c>
      <c r="C183" s="328">
        <f t="shared" si="15"/>
        <v>0.48254176625354395</v>
      </c>
      <c r="D183" s="329">
        <f t="shared" si="13"/>
        <v>0.62285532949039002</v>
      </c>
      <c r="E183" s="329">
        <f t="shared" si="14"/>
        <v>0.14031356323684607</v>
      </c>
      <c r="F183" s="330">
        <f t="shared" si="12"/>
        <v>3.9402714326603898E-4</v>
      </c>
      <c r="G183" s="328">
        <f>G184*B157</f>
        <v>-101.30608728261699</v>
      </c>
    </row>
    <row r="184" spans="1:7" ht="20" customHeight="1" x14ac:dyDescent="0.15">
      <c r="A184" s="326">
        <v>44985</v>
      </c>
      <c r="B184" s="327">
        <f t="shared" ref="B184:B210" si="17">IF(OR(WEEKDAY($A184)=7,WEEKDAY($A184)=1),"",IF(B183="",IF(B182="",B181,B182),B183)+IF(A$2=TRUE,IF(C183="",IF(C182="",C181,C182),C183)*2,IF(C183="",IF(C182="",C181,C182),C183)))</f>
        <v>1225.6060111950508</v>
      </c>
      <c r="C184" s="328">
        <f t="shared" si="15"/>
        <v>0.48292203536087086</v>
      </c>
      <c r="D184" s="329">
        <f t="shared" si="13"/>
        <v>0.62334617330268427</v>
      </c>
      <c r="E184" s="329">
        <f t="shared" si="14"/>
        <v>0.14042413794181341</v>
      </c>
      <c r="F184" s="330">
        <f t="shared" si="12"/>
        <v>3.9402714326603898E-4</v>
      </c>
      <c r="G184" s="330">
        <f>(B184-B157)/B157</f>
        <v>-7.6347248170276591E-2</v>
      </c>
    </row>
    <row r="185" spans="1:7" ht="20" customHeight="1" x14ac:dyDescent="0.15">
      <c r="A185" s="326">
        <v>44986</v>
      </c>
      <c r="B185" s="327">
        <f t="shared" si="17"/>
        <v>1226.5718552657725</v>
      </c>
      <c r="C185" s="328">
        <f t="shared" si="15"/>
        <v>0.48330260414089776</v>
      </c>
      <c r="D185" s="329">
        <f t="shared" si="13"/>
        <v>0.62383740392654885</v>
      </c>
      <c r="E185" s="329">
        <f t="shared" si="14"/>
        <v>0.14053479978565109</v>
      </c>
      <c r="F185" s="330">
        <f t="shared" si="12"/>
        <v>3.9402714326603898E-4</v>
      </c>
      <c r="G185" s="330"/>
    </row>
    <row r="186" spans="1:7" ht="20" customHeight="1" x14ac:dyDescent="0.15">
      <c r="A186" s="326">
        <v>44987</v>
      </c>
      <c r="B186" s="327">
        <f t="shared" si="17"/>
        <v>1227.5384604740543</v>
      </c>
      <c r="C186" s="328">
        <f t="shared" si="15"/>
        <v>0.48368347282978313</v>
      </c>
      <c r="D186" s="329">
        <f t="shared" si="13"/>
        <v>0.62432902166681226</v>
      </c>
      <c r="E186" s="329">
        <f t="shared" si="14"/>
        <v>0.14064554883702912</v>
      </c>
      <c r="F186" s="330">
        <f t="shared" si="12"/>
        <v>3.9402714326603898E-4</v>
      </c>
      <c r="G186" s="330"/>
    </row>
    <row r="187" spans="1:7" ht="20" customHeight="1" x14ac:dyDescent="0.15">
      <c r="A187" s="326">
        <v>44988</v>
      </c>
      <c r="B187" s="327">
        <f t="shared" si="17"/>
        <v>1228.5058274197138</v>
      </c>
      <c r="C187" s="328">
        <f t="shared" si="15"/>
        <v>0.48406464166387131</v>
      </c>
      <c r="D187" s="329">
        <f t="shared" si="13"/>
        <v>0.62482102682854312</v>
      </c>
      <c r="E187" s="329">
        <f t="shared" si="14"/>
        <v>0.14075638516467182</v>
      </c>
      <c r="F187" s="330">
        <f t="shared" si="12"/>
        <v>3.9402714326603898E-4</v>
      </c>
      <c r="G187" s="330"/>
    </row>
    <row r="188" spans="1:7" ht="20" customHeight="1" x14ac:dyDescent="0.15">
      <c r="A188" s="326">
        <v>44989</v>
      </c>
      <c r="B188" s="331" t="str">
        <f t="shared" si="17"/>
        <v/>
      </c>
      <c r="C188" s="316" t="str">
        <f t="shared" si="15"/>
        <v/>
      </c>
      <c r="D188" s="316" t="str">
        <f t="shared" si="13"/>
        <v/>
      </c>
      <c r="E188" s="316" t="str">
        <f t="shared" si="14"/>
        <v/>
      </c>
      <c r="F188" s="316" t="str">
        <f t="shared" si="12"/>
        <v/>
      </c>
      <c r="G188" s="330"/>
    </row>
    <row r="189" spans="1:7" ht="20" customHeight="1" x14ac:dyDescent="0.15">
      <c r="A189" s="326">
        <v>44990</v>
      </c>
      <c r="B189" s="331" t="str">
        <f t="shared" si="17"/>
        <v/>
      </c>
      <c r="C189" s="316" t="str">
        <f t="shared" si="15"/>
        <v/>
      </c>
      <c r="D189" s="316" t="str">
        <f t="shared" si="13"/>
        <v/>
      </c>
      <c r="E189" s="316" t="str">
        <f t="shared" si="14"/>
        <v/>
      </c>
      <c r="F189" s="316" t="str">
        <f t="shared" si="12"/>
        <v/>
      </c>
      <c r="G189" s="330"/>
    </row>
    <row r="190" spans="1:7" ht="20" customHeight="1" x14ac:dyDescent="0.15">
      <c r="A190" s="326">
        <v>44991</v>
      </c>
      <c r="B190" s="327">
        <f t="shared" si="17"/>
        <v>1229.4739567030415</v>
      </c>
      <c r="C190" s="328">
        <f t="shared" si="15"/>
        <v>0.48444611087969314</v>
      </c>
      <c r="D190" s="329">
        <f t="shared" si="13"/>
        <v>0.62531341971705068</v>
      </c>
      <c r="E190" s="329">
        <f t="shared" si="14"/>
        <v>0.14086730883735754</v>
      </c>
      <c r="F190" s="330">
        <f t="shared" si="12"/>
        <v>3.9402714326603898E-4</v>
      </c>
      <c r="G190" s="330"/>
    </row>
    <row r="191" spans="1:7" ht="20" customHeight="1" x14ac:dyDescent="0.15">
      <c r="A191" s="326">
        <v>44992</v>
      </c>
      <c r="B191" s="327">
        <f t="shared" si="17"/>
        <v>1230.442848924801</v>
      </c>
      <c r="C191" s="328">
        <f t="shared" si="15"/>
        <v>0.48482788071396571</v>
      </c>
      <c r="D191" s="329">
        <f t="shared" si="13"/>
        <v>0.62580620063788484</v>
      </c>
      <c r="E191" s="329">
        <f t="shared" si="14"/>
        <v>0.14097831992391913</v>
      </c>
      <c r="F191" s="330">
        <f t="shared" si="12"/>
        <v>3.9402714326603898E-4</v>
      </c>
      <c r="G191" s="330"/>
    </row>
    <row r="192" spans="1:7" ht="20" customHeight="1" x14ac:dyDescent="0.15">
      <c r="A192" s="326">
        <v>44993</v>
      </c>
      <c r="B192" s="327">
        <f t="shared" si="17"/>
        <v>1231.4125046862289</v>
      </c>
      <c r="C192" s="328">
        <f t="shared" si="15"/>
        <v>0.48520995140359263</v>
      </c>
      <c r="D192" s="329">
        <f t="shared" si="13"/>
        <v>0.62629936989683588</v>
      </c>
      <c r="E192" s="329">
        <f t="shared" si="14"/>
        <v>0.14108941849324325</v>
      </c>
      <c r="F192" s="330">
        <f t="shared" si="12"/>
        <v>3.9402714326603898E-4</v>
      </c>
      <c r="G192" s="330"/>
    </row>
    <row r="193" spans="1:7" ht="20" customHeight="1" x14ac:dyDescent="0.15">
      <c r="A193" s="326">
        <v>44994</v>
      </c>
      <c r="B193" s="327">
        <f t="shared" si="17"/>
        <v>1232.3829245890361</v>
      </c>
      <c r="C193" s="328">
        <f t="shared" si="15"/>
        <v>0.4855923231856642</v>
      </c>
      <c r="D193" s="329">
        <f t="shared" si="13"/>
        <v>0.62679292779993534</v>
      </c>
      <c r="E193" s="329">
        <f t="shared" si="14"/>
        <v>0.14120060461427114</v>
      </c>
      <c r="F193" s="330">
        <f t="shared" si="12"/>
        <v>3.9402714326603898E-4</v>
      </c>
      <c r="G193" s="330"/>
    </row>
    <row r="194" spans="1:7" ht="20" customHeight="1" x14ac:dyDescent="0.15">
      <c r="A194" s="326">
        <v>44995</v>
      </c>
      <c r="B194" s="327">
        <f t="shared" si="17"/>
        <v>1233.3541092354073</v>
      </c>
      <c r="C194" s="328">
        <f t="shared" si="15"/>
        <v>0.48597499629745772</v>
      </c>
      <c r="D194" s="329">
        <f t="shared" si="13"/>
        <v>0.62728687465345601</v>
      </c>
      <c r="E194" s="329">
        <f t="shared" si="14"/>
        <v>0.14131187835599829</v>
      </c>
      <c r="F194" s="330">
        <f t="shared" si="12"/>
        <v>3.9402714326603898E-4</v>
      </c>
      <c r="G194" s="330"/>
    </row>
    <row r="195" spans="1:7" ht="20" customHeight="1" x14ac:dyDescent="0.15">
      <c r="A195" s="326">
        <v>44996</v>
      </c>
      <c r="B195" s="331" t="str">
        <f t="shared" si="17"/>
        <v/>
      </c>
      <c r="C195" s="316" t="str">
        <f t="shared" si="15"/>
        <v/>
      </c>
      <c r="D195" s="316" t="str">
        <f t="shared" si="13"/>
        <v/>
      </c>
      <c r="E195" s="316" t="str">
        <f t="shared" si="14"/>
        <v/>
      </c>
      <c r="F195" s="316" t="str">
        <f t="shared" si="12"/>
        <v/>
      </c>
      <c r="G195" s="330"/>
    </row>
    <row r="196" spans="1:7" ht="20" customHeight="1" x14ac:dyDescent="0.15">
      <c r="A196" s="326">
        <v>44997</v>
      </c>
      <c r="B196" s="331" t="str">
        <f t="shared" si="17"/>
        <v/>
      </c>
      <c r="C196" s="316" t="str">
        <f t="shared" si="15"/>
        <v/>
      </c>
      <c r="D196" s="316" t="str">
        <f t="shared" si="13"/>
        <v/>
      </c>
      <c r="E196" s="316" t="str">
        <f t="shared" si="14"/>
        <v/>
      </c>
      <c r="F196" s="316" t="str">
        <f t="shared" ref="F196:F259" si="18">IF(B196="","",C196/B196)</f>
        <v/>
      </c>
      <c r="G196" s="330"/>
    </row>
    <row r="197" spans="1:7" ht="20" customHeight="1" x14ac:dyDescent="0.15">
      <c r="A197" s="326">
        <v>44998</v>
      </c>
      <c r="B197" s="327">
        <f t="shared" si="17"/>
        <v>1234.3260592280024</v>
      </c>
      <c r="C197" s="328">
        <f t="shared" si="15"/>
        <v>0.4863579709764374</v>
      </c>
      <c r="D197" s="329">
        <f t="shared" si="13"/>
        <v>0.62778121076391213</v>
      </c>
      <c r="E197" s="329">
        <f t="shared" si="14"/>
        <v>0.14142323978747473</v>
      </c>
      <c r="F197" s="330">
        <f t="shared" si="18"/>
        <v>3.9402714326603898E-4</v>
      </c>
      <c r="G197" s="330"/>
    </row>
    <row r="198" spans="1:7" ht="20" customHeight="1" x14ac:dyDescent="0.15">
      <c r="A198" s="326">
        <v>44999</v>
      </c>
      <c r="B198" s="327">
        <f t="shared" si="17"/>
        <v>1235.2987751699552</v>
      </c>
      <c r="C198" s="328">
        <f t="shared" si="15"/>
        <v>0.48674124746025443</v>
      </c>
      <c r="D198" s="329">
        <f t="shared" si="13"/>
        <v>0.62827593643805879</v>
      </c>
      <c r="E198" s="329">
        <f t="shared" si="14"/>
        <v>0.14153468897780436</v>
      </c>
      <c r="F198" s="330">
        <f t="shared" si="18"/>
        <v>3.9402714326603898E-4</v>
      </c>
      <c r="G198" s="330"/>
    </row>
    <row r="199" spans="1:7" ht="20" customHeight="1" x14ac:dyDescent="0.15">
      <c r="A199" s="326">
        <v>45000</v>
      </c>
      <c r="B199" s="327">
        <f t="shared" si="17"/>
        <v>1236.2722576648757</v>
      </c>
      <c r="C199" s="328">
        <f t="shared" si="15"/>
        <v>0.48712482598674745</v>
      </c>
      <c r="D199" s="329">
        <f t="shared" ref="D199:D262" si="19">IF(C199="","",(D$3*$C199)/$C$3)</f>
        <v>0.62877105198289385</v>
      </c>
      <c r="E199" s="329">
        <f t="shared" ref="E199:E262" si="20">IF(C199="","",D199-$C199)</f>
        <v>0.1416462259961464</v>
      </c>
      <c r="F199" s="330">
        <f t="shared" si="18"/>
        <v>3.9402714326603898E-4</v>
      </c>
      <c r="G199" s="330"/>
    </row>
    <row r="200" spans="1:7" ht="20" customHeight="1" x14ac:dyDescent="0.15">
      <c r="A200" s="326">
        <v>45001</v>
      </c>
      <c r="B200" s="327">
        <f t="shared" si="17"/>
        <v>1237.2465073168491</v>
      </c>
      <c r="C200" s="328">
        <f t="shared" si="15"/>
        <v>0.48750870679394248</v>
      </c>
      <c r="D200" s="329">
        <f t="shared" si="19"/>
        <v>0.6292665577056562</v>
      </c>
      <c r="E200" s="329">
        <f t="shared" si="20"/>
        <v>0.14175785091171372</v>
      </c>
      <c r="F200" s="330">
        <f t="shared" si="18"/>
        <v>3.9402714326603898E-4</v>
      </c>
      <c r="G200" s="330"/>
    </row>
    <row r="201" spans="1:7" ht="20" customHeight="1" x14ac:dyDescent="0.15">
      <c r="A201" s="326">
        <v>45002</v>
      </c>
      <c r="B201" s="327">
        <f t="shared" si="17"/>
        <v>1238.2215247304371</v>
      </c>
      <c r="C201" s="328">
        <f t="shared" si="15"/>
        <v>0.48789289012005316</v>
      </c>
      <c r="D201" s="329">
        <f t="shared" si="19"/>
        <v>0.62976245391382746</v>
      </c>
      <c r="E201" s="329">
        <f t="shared" si="20"/>
        <v>0.1418695637937743</v>
      </c>
      <c r="F201" s="330">
        <f t="shared" si="18"/>
        <v>3.9402714326603898E-4</v>
      </c>
      <c r="G201" s="330"/>
    </row>
    <row r="202" spans="1:7" ht="20" customHeight="1" x14ac:dyDescent="0.15">
      <c r="A202" s="326">
        <v>45003</v>
      </c>
      <c r="B202" s="331" t="str">
        <f t="shared" si="17"/>
        <v/>
      </c>
      <c r="C202" s="316" t="str">
        <f t="shared" si="15"/>
        <v/>
      </c>
      <c r="D202" s="316" t="str">
        <f t="shared" si="19"/>
        <v/>
      </c>
      <c r="E202" s="316" t="str">
        <f t="shared" si="20"/>
        <v/>
      </c>
      <c r="F202" s="316" t="str">
        <f t="shared" si="18"/>
        <v/>
      </c>
      <c r="G202" s="330"/>
    </row>
    <row r="203" spans="1:7" ht="20" customHeight="1" x14ac:dyDescent="0.15">
      <c r="A203" s="326">
        <v>45004</v>
      </c>
      <c r="B203" s="331" t="str">
        <f t="shared" si="17"/>
        <v/>
      </c>
      <c r="C203" s="316" t="str">
        <f t="shared" ref="C203:C266" si="21">IF(B203="","",B203*F$6)</f>
        <v/>
      </c>
      <c r="D203" s="316" t="str">
        <f t="shared" si="19"/>
        <v/>
      </c>
      <c r="E203" s="316" t="str">
        <f t="shared" si="20"/>
        <v/>
      </c>
      <c r="F203" s="316" t="str">
        <f t="shared" si="18"/>
        <v/>
      </c>
      <c r="G203" s="330"/>
    </row>
    <row r="204" spans="1:7" ht="20" customHeight="1" x14ac:dyDescent="0.15">
      <c r="A204" s="326">
        <v>45005</v>
      </c>
      <c r="B204" s="327">
        <f t="shared" si="17"/>
        <v>1239.1973105106772</v>
      </c>
      <c r="C204" s="328">
        <f t="shared" si="21"/>
        <v>0.48827737620348077</v>
      </c>
      <c r="D204" s="329">
        <f t="shared" si="19"/>
        <v>0.63025874091513112</v>
      </c>
      <c r="E204" s="329">
        <f t="shared" si="20"/>
        <v>0.14198136471165035</v>
      </c>
      <c r="F204" s="330">
        <f t="shared" si="18"/>
        <v>3.9402714326603898E-4</v>
      </c>
      <c r="G204" s="330"/>
    </row>
    <row r="205" spans="1:7" ht="20" customHeight="1" x14ac:dyDescent="0.15">
      <c r="A205" s="326">
        <v>45006</v>
      </c>
      <c r="B205" s="327">
        <f t="shared" si="17"/>
        <v>1240.1738652630841</v>
      </c>
      <c r="C205" s="328">
        <f t="shared" si="21"/>
        <v>0.48866216528281453</v>
      </c>
      <c r="D205" s="329">
        <f t="shared" si="19"/>
        <v>0.63075541901753363</v>
      </c>
      <c r="E205" s="329">
        <f t="shared" si="20"/>
        <v>0.14209325373471909</v>
      </c>
      <c r="F205" s="330">
        <f t="shared" si="18"/>
        <v>3.9402714326603898E-4</v>
      </c>
      <c r="G205" s="330"/>
    </row>
    <row r="206" spans="1:7" ht="20" customHeight="1" x14ac:dyDescent="0.15">
      <c r="A206" s="326">
        <v>45007</v>
      </c>
      <c r="B206" s="327">
        <f t="shared" si="17"/>
        <v>1241.1511895936496</v>
      </c>
      <c r="C206" s="328">
        <f t="shared" si="21"/>
        <v>0.48904725759683171</v>
      </c>
      <c r="D206" s="329">
        <f t="shared" si="19"/>
        <v>0.63125248852924376</v>
      </c>
      <c r="E206" s="329">
        <f t="shared" si="20"/>
        <v>0.14220523093241205</v>
      </c>
      <c r="F206" s="330">
        <f t="shared" si="18"/>
        <v>3.9402714326603898E-4</v>
      </c>
      <c r="G206" s="330"/>
    </row>
    <row r="207" spans="1:7" ht="20" customHeight="1" x14ac:dyDescent="0.15">
      <c r="A207" s="326">
        <v>45008</v>
      </c>
      <c r="B207" s="327">
        <f t="shared" si="17"/>
        <v>1242.1292841088432</v>
      </c>
      <c r="C207" s="328">
        <f t="shared" si="21"/>
        <v>0.4894326533844976</v>
      </c>
      <c r="D207" s="329">
        <f t="shared" si="19"/>
        <v>0.63174994975871324</v>
      </c>
      <c r="E207" s="329">
        <f t="shared" si="20"/>
        <v>0.14231729637421564</v>
      </c>
      <c r="F207" s="330">
        <f t="shared" si="18"/>
        <v>3.9402714326603898E-4</v>
      </c>
      <c r="G207" s="330"/>
    </row>
    <row r="208" spans="1:7" ht="20" customHeight="1" x14ac:dyDescent="0.15">
      <c r="A208" s="326">
        <v>45009</v>
      </c>
      <c r="B208" s="327">
        <f t="shared" si="17"/>
        <v>1243.1081494156122</v>
      </c>
      <c r="C208" s="328">
        <f t="shared" si="21"/>
        <v>0.489818352884966</v>
      </c>
      <c r="D208" s="329">
        <f t="shared" si="19"/>
        <v>0.63224780301463701</v>
      </c>
      <c r="E208" s="329">
        <f t="shared" si="20"/>
        <v>0.14242945012967101</v>
      </c>
      <c r="F208" s="330">
        <f t="shared" si="18"/>
        <v>3.9402714326603898E-4</v>
      </c>
      <c r="G208" s="330"/>
    </row>
    <row r="209" spans="1:7" ht="20" customHeight="1" x14ac:dyDescent="0.15">
      <c r="A209" s="326">
        <v>45010</v>
      </c>
      <c r="B209" s="331" t="str">
        <f t="shared" si="17"/>
        <v/>
      </c>
      <c r="C209" s="316" t="str">
        <f t="shared" si="21"/>
        <v/>
      </c>
      <c r="D209" s="316" t="str">
        <f t="shared" si="19"/>
        <v/>
      </c>
      <c r="E209" s="316" t="str">
        <f t="shared" si="20"/>
        <v/>
      </c>
      <c r="F209" s="316" t="str">
        <f t="shared" si="18"/>
        <v/>
      </c>
      <c r="G209" s="330"/>
    </row>
    <row r="210" spans="1:7" ht="20" customHeight="1" x14ac:dyDescent="0.15">
      <c r="A210" s="326">
        <v>45011</v>
      </c>
      <c r="B210" s="331" t="str">
        <f t="shared" si="17"/>
        <v/>
      </c>
      <c r="C210" s="316" t="str">
        <f t="shared" si="21"/>
        <v/>
      </c>
      <c r="D210" s="316" t="str">
        <f t="shared" si="19"/>
        <v/>
      </c>
      <c r="E210" s="316" t="str">
        <f t="shared" si="20"/>
        <v/>
      </c>
      <c r="F210" s="316" t="str">
        <f t="shared" si="18"/>
        <v/>
      </c>
      <c r="G210" s="330"/>
    </row>
    <row r="211" spans="1:7" ht="20" customHeight="1" x14ac:dyDescent="0.15">
      <c r="A211" s="326">
        <v>45012</v>
      </c>
      <c r="B211" s="327">
        <f>IF(OR(WEEKDAY($A211)=7,WEEKDAY($A211)=1),"",IF(B210="",IF(B209="",B208,B209),B210)+IF(A$2=TRUE,IF(C210="",IF(C209="",C208,C209),C210)*2,IF(C210="",IF(C209="",C208,C209),C210)))-G152</f>
        <v>1122.8677861213821</v>
      </c>
      <c r="C211" s="328">
        <f t="shared" si="21"/>
        <v>0.44244038603086983</v>
      </c>
      <c r="D211" s="329">
        <f t="shared" si="19"/>
        <v>0.57109326423842766</v>
      </c>
      <c r="E211" s="329">
        <f t="shared" si="20"/>
        <v>0.12865287820755783</v>
      </c>
      <c r="F211" s="330">
        <f t="shared" si="18"/>
        <v>3.9402714326603898E-4</v>
      </c>
      <c r="G211" s="330"/>
    </row>
    <row r="212" spans="1:7" ht="20" customHeight="1" x14ac:dyDescent="0.15">
      <c r="A212" s="326">
        <v>45013</v>
      </c>
      <c r="B212" s="327">
        <f t="shared" ref="B212:B241" si="22">IF(OR(WEEKDAY($A212)=7,WEEKDAY($A212)=1),"",IF(B211="",IF(B210="",B209,B210),B211)+IF(A$2=TRUE,IF(C211="",IF(C210="",C209,C210),C211)*2,IF(C211="",IF(C210="",C209,C210),C211)))</f>
        <v>1123.7526668934438</v>
      </c>
      <c r="C212" s="328">
        <f t="shared" si="21"/>
        <v>0.44278905307361638</v>
      </c>
      <c r="D212" s="329">
        <f t="shared" si="19"/>
        <v>0.57154331673332037</v>
      </c>
      <c r="E212" s="329">
        <f t="shared" si="20"/>
        <v>0.12875426365970399</v>
      </c>
      <c r="F212" s="330">
        <f t="shared" si="18"/>
        <v>3.9402714326603898E-4</v>
      </c>
      <c r="G212" s="330"/>
    </row>
    <row r="213" spans="1:7" ht="20" customHeight="1" x14ac:dyDescent="0.15">
      <c r="A213" s="326">
        <v>45014</v>
      </c>
      <c r="B213" s="327">
        <f t="shared" si="22"/>
        <v>1124.6382449995911</v>
      </c>
      <c r="C213" s="328">
        <f t="shared" si="21"/>
        <v>0.44313799488492051</v>
      </c>
      <c r="D213" s="329">
        <f t="shared" si="19"/>
        <v>0.57199372389401082</v>
      </c>
      <c r="E213" s="329">
        <f t="shared" si="20"/>
        <v>0.12885572900909031</v>
      </c>
      <c r="F213" s="330">
        <f t="shared" si="18"/>
        <v>3.9402714326603898E-4</v>
      </c>
      <c r="G213" s="330"/>
    </row>
    <row r="214" spans="1:7" ht="20" customHeight="1" x14ac:dyDescent="0.15">
      <c r="A214" s="326">
        <v>45015</v>
      </c>
      <c r="B214" s="327">
        <f t="shared" si="22"/>
        <v>1125.5245209893608</v>
      </c>
      <c r="C214" s="328">
        <f t="shared" si="21"/>
        <v>0.44348721168131477</v>
      </c>
      <c r="D214" s="329">
        <f t="shared" si="19"/>
        <v>0.57244448599999487</v>
      </c>
      <c r="E214" s="329">
        <f t="shared" si="20"/>
        <v>0.12895727431868009</v>
      </c>
      <c r="F214" s="330">
        <f t="shared" si="18"/>
        <v>3.9402714326603898E-4</v>
      </c>
      <c r="G214" s="328">
        <f>G215*B185</f>
        <v>-100.16035985304916</v>
      </c>
    </row>
    <row r="215" spans="1:7" ht="20" customHeight="1" x14ac:dyDescent="0.15">
      <c r="A215" s="326">
        <v>45016</v>
      </c>
      <c r="B215" s="327">
        <f t="shared" si="22"/>
        <v>1126.4114954127233</v>
      </c>
      <c r="C215" s="328">
        <f t="shared" si="21"/>
        <v>0.44383670367950234</v>
      </c>
      <c r="D215" s="329">
        <f t="shared" si="19"/>
        <v>0.57289560333098877</v>
      </c>
      <c r="E215" s="329">
        <f t="shared" si="20"/>
        <v>0.12905889965148643</v>
      </c>
      <c r="F215" s="330">
        <f t="shared" si="18"/>
        <v>3.9402714326603898E-4</v>
      </c>
      <c r="G215" s="330">
        <f>(B215-B185)/B185</f>
        <v>-8.165877883391226E-2</v>
      </c>
    </row>
    <row r="216" spans="1:7" ht="20" customHeight="1" x14ac:dyDescent="0.15">
      <c r="A216" s="326">
        <v>45017</v>
      </c>
      <c r="B216" s="331" t="str">
        <f t="shared" si="22"/>
        <v/>
      </c>
      <c r="C216" s="316" t="str">
        <f t="shared" si="21"/>
        <v/>
      </c>
      <c r="D216" s="316" t="str">
        <f t="shared" si="19"/>
        <v/>
      </c>
      <c r="E216" s="316" t="str">
        <f t="shared" si="20"/>
        <v/>
      </c>
      <c r="F216" s="316" t="str">
        <f t="shared" si="18"/>
        <v/>
      </c>
      <c r="G216" s="330"/>
    </row>
    <row r="217" spans="1:7" ht="20" customHeight="1" x14ac:dyDescent="0.15">
      <c r="A217" s="326">
        <v>45018</v>
      </c>
      <c r="B217" s="331" t="str">
        <f t="shared" si="22"/>
        <v/>
      </c>
      <c r="C217" s="316" t="str">
        <f t="shared" si="21"/>
        <v/>
      </c>
      <c r="D217" s="316" t="str">
        <f t="shared" si="19"/>
        <v/>
      </c>
      <c r="E217" s="316" t="str">
        <f t="shared" si="20"/>
        <v/>
      </c>
      <c r="F217" s="316" t="str">
        <f t="shared" si="18"/>
        <v/>
      </c>
      <c r="G217" s="330"/>
    </row>
    <row r="218" spans="1:7" ht="20" customHeight="1" x14ac:dyDescent="0.15">
      <c r="A218" s="326">
        <v>45019</v>
      </c>
      <c r="B218" s="327">
        <f t="shared" si="22"/>
        <v>1127.2991688200823</v>
      </c>
      <c r="C218" s="328">
        <f t="shared" si="21"/>
        <v>0.44418647109635723</v>
      </c>
      <c r="D218" s="329">
        <f t="shared" si="19"/>
        <v>0.57334707616692915</v>
      </c>
      <c r="E218" s="329">
        <f t="shared" si="20"/>
        <v>0.12916060507057192</v>
      </c>
      <c r="F218" s="330">
        <f t="shared" si="18"/>
        <v>3.9402714326603898E-4</v>
      </c>
      <c r="G218" s="330"/>
    </row>
    <row r="219" spans="1:7" ht="20" customHeight="1" x14ac:dyDescent="0.15">
      <c r="A219" s="326">
        <v>45020</v>
      </c>
      <c r="B219" s="327">
        <f t="shared" si="22"/>
        <v>1128.187541762275</v>
      </c>
      <c r="C219" s="328">
        <f t="shared" si="21"/>
        <v>0.44453651414892426</v>
      </c>
      <c r="D219" s="329">
        <f t="shared" si="19"/>
        <v>0.57379890478797313</v>
      </c>
      <c r="E219" s="329">
        <f t="shared" si="20"/>
        <v>0.12926239063904887</v>
      </c>
      <c r="F219" s="330">
        <f t="shared" si="18"/>
        <v>3.9402714326603898E-4</v>
      </c>
      <c r="G219" s="330"/>
    </row>
    <row r="220" spans="1:7" ht="20" customHeight="1" x14ac:dyDescent="0.15">
      <c r="A220" s="326">
        <v>45021</v>
      </c>
      <c r="B220" s="327">
        <f t="shared" si="22"/>
        <v>1129.0766147905729</v>
      </c>
      <c r="C220" s="328">
        <f t="shared" si="21"/>
        <v>0.44488683305441934</v>
      </c>
      <c r="D220" s="329">
        <f t="shared" si="19"/>
        <v>0.57425108947449865</v>
      </c>
      <c r="E220" s="329">
        <f t="shared" si="20"/>
        <v>0.12936425642007932</v>
      </c>
      <c r="F220" s="330">
        <f t="shared" si="18"/>
        <v>3.9402714326603898E-4</v>
      </c>
      <c r="G220" s="330"/>
    </row>
    <row r="221" spans="1:7" ht="20" customHeight="1" x14ac:dyDescent="0.15">
      <c r="A221" s="326">
        <v>45022</v>
      </c>
      <c r="B221" s="327">
        <f t="shared" si="22"/>
        <v>1129.9663884566817</v>
      </c>
      <c r="C221" s="328">
        <f t="shared" si="21"/>
        <v>0.44523742803022959</v>
      </c>
      <c r="D221" s="329">
        <f t="shared" si="19"/>
        <v>0.57470363050710482</v>
      </c>
      <c r="E221" s="329">
        <f t="shared" si="20"/>
        <v>0.12946620247687524</v>
      </c>
      <c r="F221" s="330">
        <f t="shared" si="18"/>
        <v>3.9402714326603898E-4</v>
      </c>
      <c r="G221" s="330"/>
    </row>
    <row r="222" spans="1:7" ht="20" customHeight="1" x14ac:dyDescent="0.15">
      <c r="A222" s="326">
        <v>45023</v>
      </c>
      <c r="B222" s="327">
        <f t="shared" si="22"/>
        <v>1130.8568633127422</v>
      </c>
      <c r="C222" s="328">
        <f t="shared" si="21"/>
        <v>0.44558829929391336</v>
      </c>
      <c r="D222" s="329">
        <f t="shared" si="19"/>
        <v>0.57515652816661156</v>
      </c>
      <c r="E222" s="329">
        <f t="shared" si="20"/>
        <v>0.1295682288726982</v>
      </c>
      <c r="F222" s="330">
        <f t="shared" si="18"/>
        <v>3.9402714326603898E-4</v>
      </c>
      <c r="G222" s="330"/>
    </row>
    <row r="223" spans="1:7" ht="20" customHeight="1" x14ac:dyDescent="0.15">
      <c r="A223" s="326">
        <v>45024</v>
      </c>
      <c r="B223" s="331" t="str">
        <f t="shared" si="22"/>
        <v/>
      </c>
      <c r="C223" s="316" t="str">
        <f t="shared" si="21"/>
        <v/>
      </c>
      <c r="D223" s="316" t="str">
        <f t="shared" si="19"/>
        <v/>
      </c>
      <c r="E223" s="316" t="str">
        <f t="shared" si="20"/>
        <v/>
      </c>
      <c r="F223" s="316" t="str">
        <f t="shared" si="18"/>
        <v/>
      </c>
      <c r="G223" s="330"/>
    </row>
    <row r="224" spans="1:7" ht="20" customHeight="1" x14ac:dyDescent="0.15">
      <c r="A224" s="326">
        <v>45025</v>
      </c>
      <c r="B224" s="331" t="str">
        <f t="shared" si="22"/>
        <v/>
      </c>
      <c r="C224" s="316" t="str">
        <f t="shared" si="21"/>
        <v/>
      </c>
      <c r="D224" s="316" t="str">
        <f t="shared" si="19"/>
        <v/>
      </c>
      <c r="E224" s="316" t="str">
        <f t="shared" si="20"/>
        <v/>
      </c>
      <c r="F224" s="316" t="str">
        <f t="shared" si="18"/>
        <v/>
      </c>
      <c r="G224" s="330"/>
    </row>
    <row r="225" spans="1:7" ht="20" customHeight="1" x14ac:dyDescent="0.15">
      <c r="A225" s="326">
        <v>45026</v>
      </c>
      <c r="B225" s="327">
        <f t="shared" si="22"/>
        <v>1131.7480399113301</v>
      </c>
      <c r="C225" s="328">
        <f t="shared" si="21"/>
        <v>0.44593944706320049</v>
      </c>
      <c r="D225" s="329">
        <f t="shared" si="19"/>
        <v>0.57560978273406016</v>
      </c>
      <c r="E225" s="329">
        <f t="shared" si="20"/>
        <v>0.12967033567085967</v>
      </c>
      <c r="F225" s="330">
        <f t="shared" si="18"/>
        <v>3.9402714326603898E-4</v>
      </c>
      <c r="G225" s="330"/>
    </row>
    <row r="226" spans="1:7" ht="20" customHeight="1" x14ac:dyDescent="0.15">
      <c r="A226" s="326">
        <v>45027</v>
      </c>
      <c r="B226" s="327">
        <f t="shared" si="22"/>
        <v>1132.6399188054565</v>
      </c>
      <c r="C226" s="328">
        <f t="shared" si="21"/>
        <v>0.4462908715559924</v>
      </c>
      <c r="D226" s="329">
        <f t="shared" si="19"/>
        <v>0.57606339449071353</v>
      </c>
      <c r="E226" s="329">
        <f t="shared" si="20"/>
        <v>0.12977252293472114</v>
      </c>
      <c r="F226" s="330">
        <f t="shared" si="18"/>
        <v>3.9402714326603898E-4</v>
      </c>
      <c r="G226" s="330"/>
    </row>
    <row r="227" spans="1:7" ht="20" customHeight="1" x14ac:dyDescent="0.15">
      <c r="A227" s="326">
        <v>45028</v>
      </c>
      <c r="B227" s="327">
        <f t="shared" si="22"/>
        <v>1133.5325005485686</v>
      </c>
      <c r="C227" s="328">
        <f t="shared" si="21"/>
        <v>0.44664257299036225</v>
      </c>
      <c r="D227" s="329">
        <f t="shared" si="19"/>
        <v>0.57651736371805617</v>
      </c>
      <c r="E227" s="329">
        <f t="shared" si="20"/>
        <v>0.12987479072769392</v>
      </c>
      <c r="F227" s="330">
        <f t="shared" si="18"/>
        <v>3.9402714326603898E-4</v>
      </c>
      <c r="G227" s="330"/>
    </row>
    <row r="228" spans="1:7" ht="20" customHeight="1" x14ac:dyDescent="0.15">
      <c r="A228" s="326">
        <v>45029</v>
      </c>
      <c r="B228" s="327">
        <f t="shared" si="22"/>
        <v>1134.4257856945494</v>
      </c>
      <c r="C228" s="328">
        <f t="shared" si="21"/>
        <v>0.44699455158455503</v>
      </c>
      <c r="D228" s="329">
        <f t="shared" si="19"/>
        <v>0.57697169069779441</v>
      </c>
      <c r="E228" s="329">
        <f t="shared" si="20"/>
        <v>0.12997713911323938</v>
      </c>
      <c r="F228" s="330">
        <f t="shared" si="18"/>
        <v>3.9402714326603898E-4</v>
      </c>
      <c r="G228" s="330"/>
    </row>
    <row r="229" spans="1:7" ht="20" customHeight="1" x14ac:dyDescent="0.15">
      <c r="A229" s="326">
        <v>45030</v>
      </c>
      <c r="B229" s="327">
        <f t="shared" si="22"/>
        <v>1135.3197747977185</v>
      </c>
      <c r="C229" s="328">
        <f t="shared" si="21"/>
        <v>0.44734680755698775</v>
      </c>
      <c r="D229" s="329">
        <f t="shared" si="19"/>
        <v>0.57742637571185651</v>
      </c>
      <c r="E229" s="329">
        <f t="shared" si="20"/>
        <v>0.13007956815486876</v>
      </c>
      <c r="F229" s="330">
        <f t="shared" si="18"/>
        <v>3.9402714326603898E-4</v>
      </c>
      <c r="G229" s="330"/>
    </row>
    <row r="230" spans="1:7" ht="20" customHeight="1" x14ac:dyDescent="0.15">
      <c r="A230" s="326">
        <v>45031</v>
      </c>
      <c r="B230" s="331" t="str">
        <f t="shared" si="22"/>
        <v/>
      </c>
      <c r="C230" s="316" t="str">
        <f t="shared" si="21"/>
        <v/>
      </c>
      <c r="D230" s="316" t="str">
        <f t="shared" si="19"/>
        <v/>
      </c>
      <c r="E230" s="316" t="str">
        <f t="shared" si="20"/>
        <v/>
      </c>
      <c r="F230" s="316" t="str">
        <f t="shared" si="18"/>
        <v/>
      </c>
      <c r="G230" s="330"/>
    </row>
    <row r="231" spans="1:7" ht="20" customHeight="1" x14ac:dyDescent="0.15">
      <c r="A231" s="326">
        <v>45032</v>
      </c>
      <c r="B231" s="331" t="str">
        <f t="shared" si="22"/>
        <v/>
      </c>
      <c r="C231" s="316" t="str">
        <f t="shared" si="21"/>
        <v/>
      </c>
      <c r="D231" s="316" t="str">
        <f t="shared" si="19"/>
        <v/>
      </c>
      <c r="E231" s="316" t="str">
        <f t="shared" si="20"/>
        <v/>
      </c>
      <c r="F231" s="316" t="str">
        <f t="shared" si="18"/>
        <v/>
      </c>
      <c r="G231" s="330"/>
    </row>
    <row r="232" spans="1:7" ht="20" customHeight="1" x14ac:dyDescent="0.15">
      <c r="A232" s="326">
        <v>45033</v>
      </c>
      <c r="B232" s="327">
        <f t="shared" si="22"/>
        <v>1136.2144684128325</v>
      </c>
      <c r="C232" s="328">
        <f t="shared" si="21"/>
        <v>0.44769934112624948</v>
      </c>
      <c r="D232" s="329">
        <f t="shared" si="19"/>
        <v>0.57788141904239299</v>
      </c>
      <c r="E232" s="329">
        <f t="shared" si="20"/>
        <v>0.1301820779161435</v>
      </c>
      <c r="F232" s="330">
        <f t="shared" si="18"/>
        <v>3.9402714326603898E-4</v>
      </c>
      <c r="G232" s="330"/>
    </row>
    <row r="233" spans="1:7" ht="20" customHeight="1" x14ac:dyDescent="0.15">
      <c r="A233" s="326">
        <v>45034</v>
      </c>
      <c r="B233" s="327">
        <f t="shared" si="22"/>
        <v>1137.1098670950851</v>
      </c>
      <c r="C233" s="328">
        <f t="shared" si="21"/>
        <v>0.44805215251110164</v>
      </c>
      <c r="D233" s="329">
        <f t="shared" si="19"/>
        <v>0.57833682097177652</v>
      </c>
      <c r="E233" s="329">
        <f t="shared" si="20"/>
        <v>0.13028466846067488</v>
      </c>
      <c r="F233" s="330">
        <f t="shared" si="18"/>
        <v>3.9402714326603898E-4</v>
      </c>
      <c r="G233" s="330"/>
    </row>
    <row r="234" spans="1:7" ht="20" customHeight="1" x14ac:dyDescent="0.15">
      <c r="A234" s="326">
        <v>45035</v>
      </c>
      <c r="B234" s="327">
        <f t="shared" si="22"/>
        <v>1138.0059714001072</v>
      </c>
      <c r="C234" s="328">
        <f t="shared" si="21"/>
        <v>0.44840524193047793</v>
      </c>
      <c r="D234" s="329">
        <f t="shared" si="19"/>
        <v>0.57879258178260262</v>
      </c>
      <c r="E234" s="329">
        <f t="shared" si="20"/>
        <v>0.1303873398521247</v>
      </c>
      <c r="F234" s="330">
        <f t="shared" si="18"/>
        <v>3.9402714326603898E-4</v>
      </c>
      <c r="G234" s="330"/>
    </row>
    <row r="235" spans="1:7" ht="20" customHeight="1" x14ac:dyDescent="0.15">
      <c r="A235" s="326">
        <v>45036</v>
      </c>
      <c r="B235" s="327">
        <f t="shared" si="22"/>
        <v>1138.9027818839681</v>
      </c>
      <c r="C235" s="328">
        <f t="shared" si="21"/>
        <v>0.44875860960348468</v>
      </c>
      <c r="D235" s="329">
        <f t="shared" si="19"/>
        <v>0.57924870175768939</v>
      </c>
      <c r="E235" s="329">
        <f t="shared" si="20"/>
        <v>0.13049009215420471</v>
      </c>
      <c r="F235" s="330">
        <f t="shared" si="18"/>
        <v>3.9402714326603898E-4</v>
      </c>
      <c r="G235" s="330"/>
    </row>
    <row r="236" spans="1:7" ht="20" customHeight="1" x14ac:dyDescent="0.15">
      <c r="A236" s="326">
        <v>45037</v>
      </c>
      <c r="B236" s="327">
        <f t="shared" si="22"/>
        <v>1139.8002991031751</v>
      </c>
      <c r="C236" s="328">
        <f t="shared" si="21"/>
        <v>0.44911225574940089</v>
      </c>
      <c r="D236" s="329">
        <f t="shared" si="19"/>
        <v>0.57970518118007763</v>
      </c>
      <c r="E236" s="329">
        <f t="shared" si="20"/>
        <v>0.13059292543067674</v>
      </c>
      <c r="F236" s="330">
        <f t="shared" si="18"/>
        <v>3.9402714326603898E-4</v>
      </c>
      <c r="G236" s="330"/>
    </row>
    <row r="237" spans="1:7" ht="20" customHeight="1" x14ac:dyDescent="0.15">
      <c r="A237" s="326">
        <v>45038</v>
      </c>
      <c r="B237" s="331" t="str">
        <f t="shared" si="22"/>
        <v/>
      </c>
      <c r="C237" s="316" t="str">
        <f t="shared" si="21"/>
        <v/>
      </c>
      <c r="D237" s="316" t="str">
        <f t="shared" si="19"/>
        <v/>
      </c>
      <c r="E237" s="316" t="str">
        <f t="shared" si="20"/>
        <v/>
      </c>
      <c r="F237" s="316" t="str">
        <f t="shared" si="18"/>
        <v/>
      </c>
      <c r="G237" s="330"/>
    </row>
    <row r="238" spans="1:7" ht="20" customHeight="1" x14ac:dyDescent="0.15">
      <c r="A238" s="326">
        <v>45039</v>
      </c>
      <c r="B238" s="331" t="str">
        <f t="shared" si="22"/>
        <v/>
      </c>
      <c r="C238" s="316" t="str">
        <f t="shared" si="21"/>
        <v/>
      </c>
      <c r="D238" s="316" t="str">
        <f t="shared" si="19"/>
        <v/>
      </c>
      <c r="E238" s="316" t="str">
        <f t="shared" si="20"/>
        <v/>
      </c>
      <c r="F238" s="316" t="str">
        <f t="shared" si="18"/>
        <v/>
      </c>
      <c r="G238" s="330"/>
    </row>
    <row r="239" spans="1:7" ht="20" customHeight="1" x14ac:dyDescent="0.15">
      <c r="A239" s="326">
        <v>45040</v>
      </c>
      <c r="B239" s="327">
        <f t="shared" si="22"/>
        <v>1140.6985236146738</v>
      </c>
      <c r="C239" s="328">
        <f t="shared" si="21"/>
        <v>0.44946618058767823</v>
      </c>
      <c r="D239" s="329">
        <f t="shared" si="19"/>
        <v>0.58016202033303144</v>
      </c>
      <c r="E239" s="329">
        <f t="shared" si="20"/>
        <v>0.1306958397453532</v>
      </c>
      <c r="F239" s="330">
        <f t="shared" si="18"/>
        <v>3.9402714326603898E-4</v>
      </c>
      <c r="G239" s="330"/>
    </row>
    <row r="240" spans="1:7" ht="20" customHeight="1" x14ac:dyDescent="0.15">
      <c r="A240" s="326">
        <v>45041</v>
      </c>
      <c r="B240" s="327">
        <f t="shared" si="22"/>
        <v>1141.5974559758492</v>
      </c>
      <c r="C240" s="328">
        <f t="shared" si="21"/>
        <v>0.44982038433794158</v>
      </c>
      <c r="D240" s="329">
        <f t="shared" si="19"/>
        <v>0.58061921950003803</v>
      </c>
      <c r="E240" s="329">
        <f t="shared" si="20"/>
        <v>0.13079883516209645</v>
      </c>
      <c r="F240" s="330">
        <f t="shared" si="18"/>
        <v>3.9402714326603898E-4</v>
      </c>
      <c r="G240" s="330"/>
    </row>
    <row r="241" spans="1:7" ht="20" customHeight="1" x14ac:dyDescent="0.15">
      <c r="A241" s="326">
        <v>45042</v>
      </c>
      <c r="B241" s="327">
        <f t="shared" si="22"/>
        <v>1142.4970967445252</v>
      </c>
      <c r="C241" s="328">
        <f t="shared" si="21"/>
        <v>0.45017486721998862</v>
      </c>
      <c r="D241" s="329">
        <f t="shared" si="19"/>
        <v>0.58107677896480792</v>
      </c>
      <c r="E241" s="329">
        <f t="shared" si="20"/>
        <v>0.1309019117448193</v>
      </c>
      <c r="F241" s="330">
        <f t="shared" si="18"/>
        <v>3.9402714326603898E-4</v>
      </c>
      <c r="G241" s="330"/>
    </row>
    <row r="242" spans="1:7" ht="20" customHeight="1" x14ac:dyDescent="0.15">
      <c r="A242" s="326">
        <v>45043</v>
      </c>
      <c r="B242" s="327">
        <f>IF(OR(WEEKDAY($A242)=7,WEEKDAY($A242)=1),"",IF(B241="",IF(B240="",B239,B240),B241)+IF(A$2=TRUE,IF(C241="",IF(C240="",C239,C240),C241)*2,IF(C241="",IF(C240="",C239,C240),C241)))-G152</f>
        <v>1022.1774464789651</v>
      </c>
      <c r="C242" s="328">
        <f t="shared" si="21"/>
        <v>0.40276565914708107</v>
      </c>
      <c r="D242" s="329">
        <f t="shared" si="19"/>
        <v>0.51988191464375</v>
      </c>
      <c r="E242" s="329">
        <f t="shared" si="20"/>
        <v>0.11711625549666893</v>
      </c>
      <c r="F242" s="330">
        <f t="shared" si="18"/>
        <v>3.9402714326603898E-4</v>
      </c>
      <c r="G242" s="330"/>
    </row>
    <row r="243" spans="1:7" ht="20" customHeight="1" x14ac:dyDescent="0.15">
      <c r="A243" s="326">
        <v>45044</v>
      </c>
      <c r="B243" s="327">
        <f t="shared" ref="B243:B273" si="23">IF(OR(WEEKDAY($A243)=7,WEEKDAY($A243)=1),"",IF(B242="",IF(B241="",B240,B241),B242)+IF(A$2=TRUE,IF(C242="",IF(C241="",C240,C241),C242)*2,IF(C242="",IF(C241="",C240,C241),C242)))</f>
        <v>1022.9829777972592</v>
      </c>
      <c r="C243" s="328">
        <f t="shared" si="21"/>
        <v>0.40308306035123981</v>
      </c>
      <c r="D243" s="329">
        <f t="shared" si="19"/>
        <v>0.5202916098150755</v>
      </c>
      <c r="E243" s="329">
        <f t="shared" si="20"/>
        <v>0.11720854946383569</v>
      </c>
      <c r="F243" s="330">
        <f t="shared" si="18"/>
        <v>3.9402714326603898E-4</v>
      </c>
      <c r="G243" s="330"/>
    </row>
    <row r="244" spans="1:7" ht="20" customHeight="1" x14ac:dyDescent="0.15">
      <c r="A244" s="326">
        <v>45045</v>
      </c>
      <c r="B244" s="331" t="str">
        <f t="shared" si="23"/>
        <v/>
      </c>
      <c r="C244" s="316" t="str">
        <f t="shared" si="21"/>
        <v/>
      </c>
      <c r="D244" s="316" t="str">
        <f t="shared" si="19"/>
        <v/>
      </c>
      <c r="E244" s="316" t="str">
        <f t="shared" si="20"/>
        <v/>
      </c>
      <c r="F244" s="316" t="str">
        <f t="shared" si="18"/>
        <v/>
      </c>
      <c r="G244" s="328" t="e">
        <f>G245*B216</f>
        <v>#VALUE!</v>
      </c>
    </row>
    <row r="245" spans="1:7" ht="20" customHeight="1" x14ac:dyDescent="0.15">
      <c r="A245" s="326">
        <v>45046</v>
      </c>
      <c r="B245" s="331" t="str">
        <f t="shared" si="23"/>
        <v/>
      </c>
      <c r="C245" s="316" t="str">
        <f t="shared" si="21"/>
        <v/>
      </c>
      <c r="D245" s="316" t="str">
        <f t="shared" si="19"/>
        <v/>
      </c>
      <c r="E245" s="316" t="str">
        <f t="shared" si="20"/>
        <v/>
      </c>
      <c r="F245" s="316" t="str">
        <f t="shared" si="18"/>
        <v/>
      </c>
      <c r="G245" s="330" t="e">
        <f>(B244-B216)/B216</f>
        <v>#VALUE!</v>
      </c>
    </row>
    <row r="246" spans="1:7" ht="20" customHeight="1" x14ac:dyDescent="0.15">
      <c r="A246" s="326">
        <v>45047</v>
      </c>
      <c r="B246" s="327">
        <f t="shared" si="23"/>
        <v>1023.7891439179617</v>
      </c>
      <c r="C246" s="328">
        <f t="shared" si="21"/>
        <v>0.40340071168477809</v>
      </c>
      <c r="D246" s="329">
        <f t="shared" si="19"/>
        <v>0.52070162784843699</v>
      </c>
      <c r="E246" s="329">
        <f t="shared" si="20"/>
        <v>0.1173009161636589</v>
      </c>
      <c r="F246" s="330">
        <f t="shared" si="18"/>
        <v>3.9402714326603898E-4</v>
      </c>
      <c r="G246" s="330"/>
    </row>
    <row r="247" spans="1:7" ht="20" customHeight="1" x14ac:dyDescent="0.15">
      <c r="A247" s="326">
        <v>45048</v>
      </c>
      <c r="B247" s="327">
        <f t="shared" si="23"/>
        <v>1024.5959453413313</v>
      </c>
      <c r="C247" s="328">
        <f t="shared" si="21"/>
        <v>0.40371861334481141</v>
      </c>
      <c r="D247" s="329">
        <f t="shared" si="19"/>
        <v>0.52111196899826717</v>
      </c>
      <c r="E247" s="329">
        <f t="shared" si="20"/>
        <v>0.11739335565345577</v>
      </c>
      <c r="F247" s="330">
        <f t="shared" si="18"/>
        <v>3.9402714326603898E-4</v>
      </c>
      <c r="G247" s="330"/>
    </row>
    <row r="248" spans="1:7" ht="20" customHeight="1" x14ac:dyDescent="0.15">
      <c r="A248" s="326">
        <v>45049</v>
      </c>
      <c r="B248" s="327">
        <f t="shared" si="23"/>
        <v>1025.403382568021</v>
      </c>
      <c r="C248" s="328">
        <f t="shared" si="21"/>
        <v>0.40403676552861062</v>
      </c>
      <c r="D248" s="329">
        <f t="shared" si="19"/>
        <v>0.52152263351919947</v>
      </c>
      <c r="E248" s="329">
        <f t="shared" si="20"/>
        <v>0.11748586799058885</v>
      </c>
      <c r="F248" s="330">
        <f t="shared" si="18"/>
        <v>3.9402714326603898E-4</v>
      </c>
      <c r="G248" s="330"/>
    </row>
    <row r="249" spans="1:7" ht="20" customHeight="1" x14ac:dyDescent="0.15">
      <c r="A249" s="326">
        <v>45050</v>
      </c>
      <c r="B249" s="327">
        <f t="shared" si="23"/>
        <v>1026.2114560990783</v>
      </c>
      <c r="C249" s="328">
        <f t="shared" si="21"/>
        <v>0.40435516843360197</v>
      </c>
      <c r="D249" s="329">
        <f t="shared" si="19"/>
        <v>0.52193362166606783</v>
      </c>
      <c r="E249" s="329">
        <f t="shared" si="20"/>
        <v>0.11757845323246585</v>
      </c>
      <c r="F249" s="330">
        <f t="shared" si="18"/>
        <v>3.9402714326603898E-4</v>
      </c>
      <c r="G249" s="330"/>
    </row>
    <row r="250" spans="1:7" ht="20" customHeight="1" x14ac:dyDescent="0.15">
      <c r="A250" s="326">
        <v>45051</v>
      </c>
      <c r="B250" s="327">
        <f t="shared" si="23"/>
        <v>1027.0201664359456</v>
      </c>
      <c r="C250" s="328">
        <f t="shared" si="21"/>
        <v>0.40467382225736753</v>
      </c>
      <c r="D250" s="329">
        <f t="shared" si="19"/>
        <v>0.522344933693907</v>
      </c>
      <c r="E250" s="329">
        <f t="shared" si="20"/>
        <v>0.11767111143653947</v>
      </c>
      <c r="F250" s="330">
        <f t="shared" si="18"/>
        <v>3.9402714326603898E-4</v>
      </c>
      <c r="G250" s="330"/>
    </row>
    <row r="251" spans="1:7" ht="20" customHeight="1" x14ac:dyDescent="0.15">
      <c r="A251" s="326">
        <v>45052</v>
      </c>
      <c r="B251" s="331" t="str">
        <f t="shared" si="23"/>
        <v/>
      </c>
      <c r="C251" s="316" t="str">
        <f t="shared" si="21"/>
        <v/>
      </c>
      <c r="D251" s="316" t="str">
        <f t="shared" si="19"/>
        <v/>
      </c>
      <c r="E251" s="316" t="str">
        <f t="shared" si="20"/>
        <v/>
      </c>
      <c r="F251" s="316" t="str">
        <f t="shared" si="18"/>
        <v/>
      </c>
      <c r="G251" s="330"/>
    </row>
    <row r="252" spans="1:7" ht="20" customHeight="1" x14ac:dyDescent="0.15">
      <c r="A252" s="326">
        <v>45053</v>
      </c>
      <c r="B252" s="331" t="str">
        <f t="shared" si="23"/>
        <v/>
      </c>
      <c r="C252" s="316" t="str">
        <f t="shared" si="21"/>
        <v/>
      </c>
      <c r="D252" s="316" t="str">
        <f t="shared" si="19"/>
        <v/>
      </c>
      <c r="E252" s="316" t="str">
        <f t="shared" si="20"/>
        <v/>
      </c>
      <c r="F252" s="316" t="str">
        <f t="shared" si="18"/>
        <v/>
      </c>
      <c r="G252" s="330"/>
    </row>
    <row r="253" spans="1:7" ht="20" customHeight="1" x14ac:dyDescent="0.15">
      <c r="A253" s="326">
        <v>45054</v>
      </c>
      <c r="B253" s="327">
        <f t="shared" si="23"/>
        <v>1027.8295140804603</v>
      </c>
      <c r="C253" s="328">
        <f t="shared" si="21"/>
        <v>0.40499272719764473</v>
      </c>
      <c r="D253" s="329">
        <f t="shared" si="19"/>
        <v>0.52275656985795271</v>
      </c>
      <c r="E253" s="329">
        <f t="shared" si="20"/>
        <v>0.11776384266030798</v>
      </c>
      <c r="F253" s="330">
        <f t="shared" si="18"/>
        <v>3.9402714326603898E-4</v>
      </c>
      <c r="G253" s="330"/>
    </row>
    <row r="254" spans="1:7" ht="20" customHeight="1" x14ac:dyDescent="0.15">
      <c r="A254" s="326">
        <v>45055</v>
      </c>
      <c r="B254" s="327">
        <f t="shared" si="23"/>
        <v>1028.6394995348555</v>
      </c>
      <c r="C254" s="328">
        <f t="shared" si="21"/>
        <v>0.40531188345232716</v>
      </c>
      <c r="D254" s="329">
        <f t="shared" si="19"/>
        <v>0.52316853041364209</v>
      </c>
      <c r="E254" s="329">
        <f t="shared" si="20"/>
        <v>0.11785664696131493</v>
      </c>
      <c r="F254" s="330">
        <f t="shared" si="18"/>
        <v>3.9402714326603898E-4</v>
      </c>
      <c r="G254" s="330"/>
    </row>
    <row r="255" spans="1:7" ht="20" customHeight="1" x14ac:dyDescent="0.15">
      <c r="A255" s="326">
        <v>45056</v>
      </c>
      <c r="B255" s="327">
        <f t="shared" si="23"/>
        <v>1029.4501233017602</v>
      </c>
      <c r="C255" s="328">
        <f t="shared" si="21"/>
        <v>0.40563129121946417</v>
      </c>
      <c r="D255" s="329">
        <f t="shared" si="19"/>
        <v>0.52358081561661329</v>
      </c>
      <c r="E255" s="329">
        <f t="shared" si="20"/>
        <v>0.11794952439714912</v>
      </c>
      <c r="F255" s="330">
        <f t="shared" si="18"/>
        <v>3.9402714326603898E-4</v>
      </c>
      <c r="G255" s="330"/>
    </row>
    <row r="256" spans="1:7" ht="20" customHeight="1" x14ac:dyDescent="0.15">
      <c r="A256" s="326">
        <v>45057</v>
      </c>
      <c r="B256" s="327">
        <f t="shared" si="23"/>
        <v>1030.2613858841992</v>
      </c>
      <c r="C256" s="328">
        <f t="shared" si="21"/>
        <v>0.40595095069726123</v>
      </c>
      <c r="D256" s="329">
        <f t="shared" si="19"/>
        <v>0.52399342572270591</v>
      </c>
      <c r="E256" s="329">
        <f t="shared" si="20"/>
        <v>0.11804247502544468</v>
      </c>
      <c r="F256" s="330">
        <f t="shared" si="18"/>
        <v>3.9402714326603898E-4</v>
      </c>
      <c r="G256" s="330"/>
    </row>
    <row r="257" spans="1:7" ht="20" customHeight="1" x14ac:dyDescent="0.15">
      <c r="A257" s="326">
        <v>45058</v>
      </c>
      <c r="B257" s="327">
        <f t="shared" si="23"/>
        <v>1031.0732877855937</v>
      </c>
      <c r="C257" s="328">
        <f t="shared" si="21"/>
        <v>0.40627086208407998</v>
      </c>
      <c r="D257" s="329">
        <f t="shared" si="19"/>
        <v>0.52440636098796134</v>
      </c>
      <c r="E257" s="329">
        <f t="shared" si="20"/>
        <v>0.11813549890388136</v>
      </c>
      <c r="F257" s="330">
        <f t="shared" si="18"/>
        <v>3.9402714326603898E-4</v>
      </c>
      <c r="G257" s="330"/>
    </row>
    <row r="258" spans="1:7" ht="20" customHeight="1" x14ac:dyDescent="0.15">
      <c r="A258" s="326">
        <v>45059</v>
      </c>
      <c r="B258" s="331" t="str">
        <f t="shared" si="23"/>
        <v/>
      </c>
      <c r="C258" s="316" t="str">
        <f t="shared" si="21"/>
        <v/>
      </c>
      <c r="D258" s="316" t="str">
        <f t="shared" si="19"/>
        <v/>
      </c>
      <c r="E258" s="316" t="str">
        <f t="shared" si="20"/>
        <v/>
      </c>
      <c r="F258" s="316" t="str">
        <f t="shared" si="18"/>
        <v/>
      </c>
      <c r="G258" s="330"/>
    </row>
    <row r="259" spans="1:7" ht="20" customHeight="1" x14ac:dyDescent="0.15">
      <c r="A259" s="326">
        <v>45060</v>
      </c>
      <c r="B259" s="331" t="str">
        <f t="shared" si="23"/>
        <v/>
      </c>
      <c r="C259" s="316" t="str">
        <f t="shared" si="21"/>
        <v/>
      </c>
      <c r="D259" s="316" t="str">
        <f t="shared" si="19"/>
        <v/>
      </c>
      <c r="E259" s="316" t="str">
        <f t="shared" si="20"/>
        <v/>
      </c>
      <c r="F259" s="316" t="str">
        <f t="shared" si="18"/>
        <v/>
      </c>
      <c r="G259" s="330"/>
    </row>
    <row r="260" spans="1:7" ht="20" customHeight="1" x14ac:dyDescent="0.15">
      <c r="A260" s="326">
        <v>45061</v>
      </c>
      <c r="B260" s="327">
        <f t="shared" si="23"/>
        <v>1031.8858295097618</v>
      </c>
      <c r="C260" s="328">
        <f t="shared" si="21"/>
        <v>0.4065910255784384</v>
      </c>
      <c r="D260" s="329">
        <f t="shared" si="19"/>
        <v>0.52481962166862262</v>
      </c>
      <c r="E260" s="329">
        <f t="shared" si="20"/>
        <v>0.11822859609018421</v>
      </c>
      <c r="F260" s="330">
        <f t="shared" ref="F260:F323" si="24">IF(B260="","",C260/B260)</f>
        <v>3.9402714326603898E-4</v>
      </c>
      <c r="G260" s="330"/>
    </row>
    <row r="261" spans="1:7" ht="20" customHeight="1" x14ac:dyDescent="0.15">
      <c r="A261" s="326">
        <v>45062</v>
      </c>
      <c r="B261" s="327">
        <f t="shared" si="23"/>
        <v>1032.6990115609187</v>
      </c>
      <c r="C261" s="328">
        <f t="shared" si="21"/>
        <v>0.40691144137901097</v>
      </c>
      <c r="D261" s="329">
        <f t="shared" si="19"/>
        <v>0.52523320802113471</v>
      </c>
      <c r="E261" s="329">
        <f t="shared" si="20"/>
        <v>0.11832176664212374</v>
      </c>
      <c r="F261" s="330">
        <f t="shared" si="24"/>
        <v>3.9402714326603898E-4</v>
      </c>
      <c r="G261" s="330"/>
    </row>
    <row r="262" spans="1:7" ht="20" customHeight="1" x14ac:dyDescent="0.15">
      <c r="A262" s="326">
        <v>45063</v>
      </c>
      <c r="B262" s="327">
        <f t="shared" si="23"/>
        <v>1033.5128344436769</v>
      </c>
      <c r="C262" s="328">
        <f t="shared" si="21"/>
        <v>0.4072321096846287</v>
      </c>
      <c r="D262" s="329">
        <f t="shared" si="19"/>
        <v>0.52564712030214478</v>
      </c>
      <c r="E262" s="329">
        <f t="shared" si="20"/>
        <v>0.11841501061751608</v>
      </c>
      <c r="F262" s="330">
        <f t="shared" si="24"/>
        <v>3.9402714326603898E-4</v>
      </c>
      <c r="G262" s="330"/>
    </row>
    <row r="263" spans="1:7" ht="20" customHeight="1" x14ac:dyDescent="0.15">
      <c r="A263" s="326">
        <v>45064</v>
      </c>
      <c r="B263" s="327">
        <f t="shared" si="23"/>
        <v>1034.3272986630461</v>
      </c>
      <c r="C263" s="328">
        <f t="shared" si="21"/>
        <v>0.40755303069427917</v>
      </c>
      <c r="D263" s="329">
        <f t="shared" ref="D263:D326" si="25">IF(C263="","",(D$3*$C263)/$C$3)</f>
        <v>0.52606135876850213</v>
      </c>
      <c r="E263" s="329">
        <f t="shared" ref="E263:E326" si="26">IF(C263="","",D263-$C263)</f>
        <v>0.11850832807422296</v>
      </c>
      <c r="F263" s="330">
        <f t="shared" si="24"/>
        <v>3.9402714326603898E-4</v>
      </c>
      <c r="G263" s="330"/>
    </row>
    <row r="264" spans="1:7" ht="20" customHeight="1" x14ac:dyDescent="0.15">
      <c r="A264" s="326">
        <v>45065</v>
      </c>
      <c r="B264" s="327">
        <f t="shared" si="23"/>
        <v>1035.1424047244348</v>
      </c>
      <c r="C264" s="328">
        <f t="shared" si="21"/>
        <v>0.40787420460710694</v>
      </c>
      <c r="D264" s="329">
        <f t="shared" si="25"/>
        <v>0.52647592367725859</v>
      </c>
      <c r="E264" s="329">
        <f t="shared" si="26"/>
        <v>0.11860171907015166</v>
      </c>
      <c r="F264" s="330">
        <f t="shared" si="24"/>
        <v>3.9402714326603898E-4</v>
      </c>
      <c r="G264" s="330"/>
    </row>
    <row r="265" spans="1:7" ht="20" customHeight="1" x14ac:dyDescent="0.15">
      <c r="A265" s="326">
        <v>45066</v>
      </c>
      <c r="B265" s="331" t="str">
        <f t="shared" si="23"/>
        <v/>
      </c>
      <c r="C265" s="316" t="str">
        <f t="shared" si="21"/>
        <v/>
      </c>
      <c r="D265" s="316" t="str">
        <f t="shared" si="25"/>
        <v/>
      </c>
      <c r="E265" s="316" t="str">
        <f t="shared" si="26"/>
        <v/>
      </c>
      <c r="F265" s="316" t="str">
        <f t="shared" si="24"/>
        <v/>
      </c>
      <c r="G265" s="330"/>
    </row>
    <row r="266" spans="1:7" ht="20" customHeight="1" x14ac:dyDescent="0.15">
      <c r="A266" s="326">
        <v>45067</v>
      </c>
      <c r="B266" s="331" t="str">
        <f t="shared" si="23"/>
        <v/>
      </c>
      <c r="C266" s="316" t="str">
        <f t="shared" si="21"/>
        <v/>
      </c>
      <c r="D266" s="316" t="str">
        <f t="shared" si="25"/>
        <v/>
      </c>
      <c r="E266" s="316" t="str">
        <f t="shared" si="26"/>
        <v/>
      </c>
      <c r="F266" s="316" t="str">
        <f t="shared" si="24"/>
        <v/>
      </c>
      <c r="G266" s="330"/>
    </row>
    <row r="267" spans="1:7" ht="20" customHeight="1" x14ac:dyDescent="0.15">
      <c r="A267" s="326">
        <v>45068</v>
      </c>
      <c r="B267" s="327">
        <f t="shared" si="23"/>
        <v>1035.9581531336489</v>
      </c>
      <c r="C267" s="328">
        <f t="shared" ref="C267:C330" si="27">IF(B267="","",B267*F$6)</f>
        <v>0.40819563162241346</v>
      </c>
      <c r="D267" s="329">
        <f t="shared" si="25"/>
        <v>0.52689081528566839</v>
      </c>
      <c r="E267" s="329">
        <f t="shared" si="26"/>
        <v>0.11869518366325493</v>
      </c>
      <c r="F267" s="330">
        <f t="shared" si="24"/>
        <v>3.9402714326603898E-4</v>
      </c>
      <c r="G267" s="330"/>
    </row>
    <row r="268" spans="1:7" ht="20" customHeight="1" x14ac:dyDescent="0.15">
      <c r="A268" s="326">
        <v>45069</v>
      </c>
      <c r="B268" s="327">
        <f t="shared" si="23"/>
        <v>1036.7745443968938</v>
      </c>
      <c r="C268" s="328">
        <f t="shared" si="27"/>
        <v>0.40851731193965718</v>
      </c>
      <c r="D268" s="329">
        <f t="shared" si="25"/>
        <v>0.52730603385118868</v>
      </c>
      <c r="E268" s="329">
        <f t="shared" si="26"/>
        <v>0.1187887219115315</v>
      </c>
      <c r="F268" s="330">
        <f t="shared" si="24"/>
        <v>3.9402714326603898E-4</v>
      </c>
      <c r="G268" s="330"/>
    </row>
    <row r="269" spans="1:7" ht="20" customHeight="1" x14ac:dyDescent="0.15">
      <c r="A269" s="326">
        <v>45070</v>
      </c>
      <c r="B269" s="327">
        <f t="shared" si="23"/>
        <v>1037.5915790207732</v>
      </c>
      <c r="C269" s="328">
        <f t="shared" si="27"/>
        <v>0.40883924575845382</v>
      </c>
      <c r="D269" s="329">
        <f t="shared" si="25"/>
        <v>0.52772157963147936</v>
      </c>
      <c r="E269" s="329">
        <f t="shared" si="26"/>
        <v>0.11888233387302555</v>
      </c>
      <c r="F269" s="330">
        <f t="shared" si="24"/>
        <v>3.9402714326603898E-4</v>
      </c>
      <c r="G269" s="330"/>
    </row>
    <row r="270" spans="1:7" ht="20" customHeight="1" x14ac:dyDescent="0.15">
      <c r="A270" s="326">
        <v>45071</v>
      </c>
      <c r="B270" s="327">
        <f t="shared" si="23"/>
        <v>1038.4092575122902</v>
      </c>
      <c r="C270" s="328">
        <f t="shared" si="27"/>
        <v>0.40916143327857635</v>
      </c>
      <c r="D270" s="329">
        <f t="shared" si="25"/>
        <v>0.52813745288440339</v>
      </c>
      <c r="E270" s="329">
        <f t="shared" si="26"/>
        <v>0.11897601960582704</v>
      </c>
      <c r="F270" s="330">
        <f t="shared" si="24"/>
        <v>3.9402714326603898E-4</v>
      </c>
      <c r="G270" s="330"/>
    </row>
    <row r="271" spans="1:7" ht="20" customHeight="1" x14ac:dyDescent="0.15">
      <c r="A271" s="326">
        <v>45072</v>
      </c>
      <c r="B271" s="327">
        <f t="shared" si="23"/>
        <v>1039.2275803788473</v>
      </c>
      <c r="C271" s="328">
        <f t="shared" si="27"/>
        <v>0.40948387469995512</v>
      </c>
      <c r="D271" s="329">
        <f t="shared" si="25"/>
        <v>0.52855365386802711</v>
      </c>
      <c r="E271" s="329">
        <f t="shared" si="26"/>
        <v>0.11906977916807199</v>
      </c>
      <c r="F271" s="330">
        <f t="shared" si="24"/>
        <v>3.9402714326603898E-4</v>
      </c>
      <c r="G271" s="330"/>
    </row>
    <row r="272" spans="1:7" ht="20" customHeight="1" x14ac:dyDescent="0.15">
      <c r="A272" s="326">
        <v>45073</v>
      </c>
      <c r="B272" s="331" t="str">
        <f t="shared" si="23"/>
        <v/>
      </c>
      <c r="C272" s="316" t="str">
        <f t="shared" si="27"/>
        <v/>
      </c>
      <c r="D272" s="316" t="str">
        <f t="shared" si="25"/>
        <v/>
      </c>
      <c r="E272" s="316" t="str">
        <f t="shared" si="26"/>
        <v/>
      </c>
      <c r="F272" s="316" t="str">
        <f t="shared" si="24"/>
        <v/>
      </c>
      <c r="G272" s="330"/>
    </row>
    <row r="273" spans="1:7" ht="20" customHeight="1" x14ac:dyDescent="0.15">
      <c r="A273" s="326">
        <v>45074</v>
      </c>
      <c r="B273" s="331" t="str">
        <f t="shared" si="23"/>
        <v/>
      </c>
      <c r="C273" s="316" t="str">
        <f t="shared" si="27"/>
        <v/>
      </c>
      <c r="D273" s="316" t="str">
        <f t="shared" si="25"/>
        <v/>
      </c>
      <c r="E273" s="316" t="str">
        <f t="shared" si="26"/>
        <v/>
      </c>
      <c r="F273" s="316" t="str">
        <f t="shared" si="24"/>
        <v/>
      </c>
      <c r="G273" s="330"/>
    </row>
    <row r="274" spans="1:7" ht="20" customHeight="1" x14ac:dyDescent="0.15">
      <c r="A274" s="326">
        <v>45075</v>
      </c>
      <c r="B274" s="327">
        <f>IF(OR(WEEKDAY($A274)=7,WEEKDAY($A274)=1),"",IF(B273="",IF(B272="",B271,B272),B273)+IF(A$2=TRUE,IF(C273="",IF(C272="",C271,C272),C273)*2,IF(C273="",IF(C272="",C271,C272),C273)))-G152</f>
        <v>918.82654812824717</v>
      </c>
      <c r="C274" s="328">
        <f t="shared" si="27"/>
        <v>0.36204259991596893</v>
      </c>
      <c r="D274" s="329">
        <f t="shared" si="25"/>
        <v>0.46731739847309461</v>
      </c>
      <c r="E274" s="329">
        <f t="shared" si="26"/>
        <v>0.10527479855712568</v>
      </c>
      <c r="F274" s="330">
        <f t="shared" si="24"/>
        <v>3.9402714326603903E-4</v>
      </c>
      <c r="G274" s="330"/>
    </row>
    <row r="275" spans="1:7" ht="20" customHeight="1" x14ac:dyDescent="0.15">
      <c r="A275" s="326">
        <v>45076</v>
      </c>
      <c r="B275" s="327">
        <f t="shared" ref="B275:B302" si="28">IF(OR(WEEKDAY($A275)=7,WEEKDAY($A275)=1),"",IF(B274="",IF(B273="",B272,B273),B274)+IF(A$2=TRUE,IF(C274="",IF(C273="",C272,C273),C274)*2,IF(C274="",IF(C273="",C272,C273),C274)))</f>
        <v>919.55063332807913</v>
      </c>
      <c r="C275" s="328">
        <f t="shared" si="27"/>
        <v>0.36232790913873991</v>
      </c>
      <c r="D275" s="329">
        <f t="shared" si="25"/>
        <v>0.46768566995213234</v>
      </c>
      <c r="E275" s="329">
        <f t="shared" si="26"/>
        <v>0.10535776081339243</v>
      </c>
      <c r="F275" s="330">
        <f t="shared" si="24"/>
        <v>3.9402714326603898E-4</v>
      </c>
      <c r="G275" s="328">
        <f>G276*B247</f>
        <v>-104.32065619497473</v>
      </c>
    </row>
    <row r="276" spans="1:7" ht="20" customHeight="1" x14ac:dyDescent="0.15">
      <c r="A276" s="326">
        <v>45077</v>
      </c>
      <c r="B276" s="327">
        <f t="shared" si="28"/>
        <v>920.27528914635661</v>
      </c>
      <c r="C276" s="328">
        <f t="shared" si="27"/>
        <v>0.36261344320066691</v>
      </c>
      <c r="D276" s="329">
        <f t="shared" si="25"/>
        <v>0.46805423164908777</v>
      </c>
      <c r="E276" s="329">
        <f t="shared" si="26"/>
        <v>0.10544078844842086</v>
      </c>
      <c r="F276" s="330">
        <f t="shared" si="24"/>
        <v>3.9402714326603898E-4</v>
      </c>
      <c r="G276" s="330">
        <f>(B276-B247)/B247</f>
        <v>-0.10181638593174562</v>
      </c>
    </row>
    <row r="277" spans="1:7" ht="20" customHeight="1" x14ac:dyDescent="0.15">
      <c r="A277" s="326">
        <v>45078</v>
      </c>
      <c r="B277" s="327">
        <f t="shared" si="28"/>
        <v>921.0005160327579</v>
      </c>
      <c r="C277" s="328">
        <f t="shared" si="27"/>
        <v>0.36289920227893535</v>
      </c>
      <c r="D277" s="329">
        <f t="shared" si="25"/>
        <v>0.46842308379266828</v>
      </c>
      <c r="E277" s="329">
        <f t="shared" si="26"/>
        <v>0.10552388151373293</v>
      </c>
      <c r="F277" s="330">
        <f t="shared" si="24"/>
        <v>3.9402714326603898E-4</v>
      </c>
      <c r="G277" s="330"/>
    </row>
    <row r="278" spans="1:7" ht="20" customHeight="1" x14ac:dyDescent="0.15">
      <c r="A278" s="326">
        <v>45079</v>
      </c>
      <c r="B278" s="327">
        <f t="shared" si="28"/>
        <v>921.72631443731575</v>
      </c>
      <c r="C278" s="328">
        <f t="shared" si="27"/>
        <v>0.36318518655087029</v>
      </c>
      <c r="D278" s="329">
        <f t="shared" si="25"/>
        <v>0.46879222661176162</v>
      </c>
      <c r="E278" s="329">
        <f t="shared" si="26"/>
        <v>0.10560704006089133</v>
      </c>
      <c r="F278" s="330">
        <f t="shared" si="24"/>
        <v>3.9402714326603898E-4</v>
      </c>
      <c r="G278" s="330"/>
    </row>
    <row r="279" spans="1:7" ht="20" customHeight="1" x14ac:dyDescent="0.15">
      <c r="A279" s="326">
        <v>45080</v>
      </c>
      <c r="B279" s="331" t="str">
        <f t="shared" si="28"/>
        <v/>
      </c>
      <c r="C279" s="316" t="str">
        <f t="shared" si="27"/>
        <v/>
      </c>
      <c r="D279" s="316" t="str">
        <f t="shared" si="25"/>
        <v/>
      </c>
      <c r="E279" s="316" t="str">
        <f t="shared" si="26"/>
        <v/>
      </c>
      <c r="F279" s="316" t="str">
        <f t="shared" si="24"/>
        <v/>
      </c>
      <c r="G279" s="330"/>
    </row>
    <row r="280" spans="1:7" ht="20" customHeight="1" x14ac:dyDescent="0.15">
      <c r="A280" s="326">
        <v>45081</v>
      </c>
      <c r="B280" s="331" t="str">
        <f t="shared" si="28"/>
        <v/>
      </c>
      <c r="C280" s="316" t="str">
        <f t="shared" si="27"/>
        <v/>
      </c>
      <c r="D280" s="316" t="str">
        <f t="shared" si="25"/>
        <v/>
      </c>
      <c r="E280" s="316" t="str">
        <f t="shared" si="26"/>
        <v/>
      </c>
      <c r="F280" s="316" t="str">
        <f t="shared" si="24"/>
        <v/>
      </c>
      <c r="G280" s="330"/>
    </row>
    <row r="281" spans="1:7" ht="20" customHeight="1" x14ac:dyDescent="0.15">
      <c r="A281" s="326">
        <v>45082</v>
      </c>
      <c r="B281" s="327">
        <f t="shared" si="28"/>
        <v>922.45268481041751</v>
      </c>
      <c r="C281" s="328">
        <f t="shared" si="27"/>
        <v>0.3634713961939367</v>
      </c>
      <c r="D281" s="329">
        <f t="shared" si="25"/>
        <v>0.46916166033543599</v>
      </c>
      <c r="E281" s="329">
        <f t="shared" si="26"/>
        <v>0.10569026414149929</v>
      </c>
      <c r="F281" s="330">
        <f t="shared" si="24"/>
        <v>3.9402714326603898E-4</v>
      </c>
      <c r="G281" s="330"/>
    </row>
    <row r="282" spans="1:7" ht="20" customHeight="1" x14ac:dyDescent="0.15">
      <c r="A282" s="326">
        <v>45083</v>
      </c>
      <c r="B282" s="327">
        <f t="shared" si="28"/>
        <v>923.17962760280534</v>
      </c>
      <c r="C282" s="328">
        <f t="shared" si="27"/>
        <v>0.36375783138573908</v>
      </c>
      <c r="D282" s="329">
        <f t="shared" si="25"/>
        <v>0.4695313851929398</v>
      </c>
      <c r="E282" s="329">
        <f t="shared" si="26"/>
        <v>0.10577355380720072</v>
      </c>
      <c r="F282" s="330">
        <f t="shared" si="24"/>
        <v>3.9402714326603898E-4</v>
      </c>
      <c r="G282" s="330"/>
    </row>
    <row r="283" spans="1:7" ht="20" customHeight="1" x14ac:dyDescent="0.15">
      <c r="A283" s="326">
        <v>45084</v>
      </c>
      <c r="B283" s="327">
        <f t="shared" si="28"/>
        <v>923.90714326557679</v>
      </c>
      <c r="C283" s="328">
        <f t="shared" si="27"/>
        <v>0.36404449230402225</v>
      </c>
      <c r="D283" s="329">
        <f t="shared" si="25"/>
        <v>0.46990140141370246</v>
      </c>
      <c r="E283" s="329">
        <f t="shared" si="26"/>
        <v>0.10585690910968021</v>
      </c>
      <c r="F283" s="330">
        <f t="shared" si="24"/>
        <v>3.9402714326603898E-4</v>
      </c>
      <c r="G283" s="330"/>
    </row>
    <row r="284" spans="1:7" ht="20" customHeight="1" x14ac:dyDescent="0.15">
      <c r="A284" s="326">
        <v>45085</v>
      </c>
      <c r="B284" s="327">
        <f t="shared" si="28"/>
        <v>924.6352322501848</v>
      </c>
      <c r="C284" s="328">
        <f t="shared" si="27"/>
        <v>0.3643313791266708</v>
      </c>
      <c r="D284" s="329">
        <f t="shared" si="25"/>
        <v>0.47027170922733391</v>
      </c>
      <c r="E284" s="329">
        <f t="shared" si="26"/>
        <v>0.10594033010066312</v>
      </c>
      <c r="F284" s="330">
        <f t="shared" si="24"/>
        <v>3.9402714326603898E-4</v>
      </c>
      <c r="G284" s="330"/>
    </row>
    <row r="285" spans="1:7" ht="20" customHeight="1" x14ac:dyDescent="0.15">
      <c r="A285" s="326">
        <v>45086</v>
      </c>
      <c r="B285" s="327">
        <f t="shared" si="28"/>
        <v>925.36389500843813</v>
      </c>
      <c r="C285" s="328">
        <f t="shared" si="27"/>
        <v>0.36461849203170971</v>
      </c>
      <c r="D285" s="329">
        <f t="shared" si="25"/>
        <v>0.47064230886362524</v>
      </c>
      <c r="E285" s="329">
        <f t="shared" si="26"/>
        <v>0.10602381683191553</v>
      </c>
      <c r="F285" s="330">
        <f t="shared" si="24"/>
        <v>3.9402714326603898E-4</v>
      </c>
      <c r="G285" s="330"/>
    </row>
    <row r="286" spans="1:7" ht="20" customHeight="1" x14ac:dyDescent="0.15">
      <c r="A286" s="326">
        <v>45087</v>
      </c>
      <c r="B286" s="331" t="str">
        <f t="shared" si="28"/>
        <v/>
      </c>
      <c r="C286" s="316" t="str">
        <f t="shared" si="27"/>
        <v/>
      </c>
      <c r="D286" s="316" t="str">
        <f t="shared" si="25"/>
        <v/>
      </c>
      <c r="E286" s="316" t="str">
        <f t="shared" si="26"/>
        <v/>
      </c>
      <c r="F286" s="316" t="str">
        <f t="shared" si="24"/>
        <v/>
      </c>
      <c r="G286" s="330"/>
    </row>
    <row r="287" spans="1:7" ht="20" customHeight="1" x14ac:dyDescent="0.15">
      <c r="A287" s="326">
        <v>45088</v>
      </c>
      <c r="B287" s="331" t="str">
        <f t="shared" si="28"/>
        <v/>
      </c>
      <c r="C287" s="316" t="str">
        <f t="shared" si="27"/>
        <v/>
      </c>
      <c r="D287" s="316" t="str">
        <f t="shared" si="25"/>
        <v/>
      </c>
      <c r="E287" s="316" t="str">
        <f t="shared" si="26"/>
        <v/>
      </c>
      <c r="F287" s="316" t="str">
        <f t="shared" si="24"/>
        <v/>
      </c>
      <c r="G287" s="330"/>
    </row>
    <row r="288" spans="1:7" ht="20" customHeight="1" x14ac:dyDescent="0.15">
      <c r="A288" s="326">
        <v>45089</v>
      </c>
      <c r="B288" s="327">
        <f t="shared" si="28"/>
        <v>926.09313199250153</v>
      </c>
      <c r="C288" s="328">
        <f t="shared" si="27"/>
        <v>0.36490583119730413</v>
      </c>
      <c r="D288" s="329">
        <f t="shared" si="25"/>
        <v>0.47101320055254853</v>
      </c>
      <c r="E288" s="329">
        <f t="shared" si="26"/>
        <v>0.1061073693552444</v>
      </c>
      <c r="F288" s="330">
        <f t="shared" si="24"/>
        <v>3.9402714326603898E-4</v>
      </c>
      <c r="G288" s="330"/>
    </row>
    <row r="289" spans="1:7" ht="20" customHeight="1" x14ac:dyDescent="0.15">
      <c r="A289" s="326">
        <v>45090</v>
      </c>
      <c r="B289" s="327">
        <f t="shared" si="28"/>
        <v>926.82294365489611</v>
      </c>
      <c r="C289" s="328">
        <f t="shared" si="27"/>
        <v>0.36519339680175972</v>
      </c>
      <c r="D289" s="329">
        <f t="shared" si="25"/>
        <v>0.47138438452425724</v>
      </c>
      <c r="E289" s="329">
        <f t="shared" si="26"/>
        <v>0.10619098772249752</v>
      </c>
      <c r="F289" s="330">
        <f t="shared" si="24"/>
        <v>3.9402714326603898E-4</v>
      </c>
      <c r="G289" s="330"/>
    </row>
    <row r="290" spans="1:7" ht="20" customHeight="1" x14ac:dyDescent="0.15">
      <c r="A290" s="326">
        <v>45091</v>
      </c>
      <c r="B290" s="327">
        <f t="shared" si="28"/>
        <v>927.55333044849965</v>
      </c>
      <c r="C290" s="328">
        <f t="shared" si="27"/>
        <v>0.36548118902352256</v>
      </c>
      <c r="D290" s="329">
        <f t="shared" si="25"/>
        <v>0.47175586100908584</v>
      </c>
      <c r="E290" s="329">
        <f t="shared" si="26"/>
        <v>0.10627467198556328</v>
      </c>
      <c r="F290" s="330">
        <f t="shared" si="24"/>
        <v>3.9402714326603898E-4</v>
      </c>
      <c r="G290" s="330"/>
    </row>
    <row r="291" spans="1:7" ht="20" customHeight="1" x14ac:dyDescent="0.15">
      <c r="A291" s="326">
        <v>45092</v>
      </c>
      <c r="B291" s="327">
        <f t="shared" si="28"/>
        <v>928.28429282654668</v>
      </c>
      <c r="C291" s="328">
        <f t="shared" si="27"/>
        <v>0.36576920804117941</v>
      </c>
      <c r="D291" s="329">
        <f t="shared" si="25"/>
        <v>0.47212763023755072</v>
      </c>
      <c r="E291" s="329">
        <f t="shared" si="26"/>
        <v>0.10635842219637132</v>
      </c>
      <c r="F291" s="330">
        <f t="shared" si="24"/>
        <v>3.9402714326603898E-4</v>
      </c>
      <c r="G291" s="330"/>
    </row>
    <row r="292" spans="1:7" ht="20" customHeight="1" x14ac:dyDescent="0.15">
      <c r="A292" s="326">
        <v>45093</v>
      </c>
      <c r="B292" s="327">
        <f t="shared" si="28"/>
        <v>929.01583124262902</v>
      </c>
      <c r="C292" s="328">
        <f t="shared" si="27"/>
        <v>0.36605745403345769</v>
      </c>
      <c r="D292" s="329">
        <f t="shared" si="25"/>
        <v>0.47249969244034962</v>
      </c>
      <c r="E292" s="329">
        <f t="shared" si="26"/>
        <v>0.10644223840689193</v>
      </c>
      <c r="F292" s="330">
        <f t="shared" si="24"/>
        <v>3.9402714326603898E-4</v>
      </c>
      <c r="G292" s="330"/>
    </row>
    <row r="293" spans="1:7" ht="20" customHeight="1" x14ac:dyDescent="0.15">
      <c r="A293" s="326">
        <v>45094</v>
      </c>
      <c r="B293" s="331" t="str">
        <f t="shared" si="28"/>
        <v/>
      </c>
      <c r="C293" s="316" t="str">
        <f t="shared" si="27"/>
        <v/>
      </c>
      <c r="D293" s="316" t="str">
        <f t="shared" si="25"/>
        <v/>
      </c>
      <c r="E293" s="316" t="str">
        <f t="shared" si="26"/>
        <v/>
      </c>
      <c r="F293" s="316" t="str">
        <f t="shared" si="24"/>
        <v/>
      </c>
      <c r="G293" s="330"/>
    </row>
    <row r="294" spans="1:7" ht="20" customHeight="1" x14ac:dyDescent="0.15">
      <c r="A294" s="326">
        <v>45095</v>
      </c>
      <c r="B294" s="331" t="str">
        <f t="shared" si="28"/>
        <v/>
      </c>
      <c r="C294" s="316" t="str">
        <f t="shared" si="27"/>
        <v/>
      </c>
      <c r="D294" s="316" t="str">
        <f t="shared" si="25"/>
        <v/>
      </c>
      <c r="E294" s="316" t="str">
        <f t="shared" si="26"/>
        <v/>
      </c>
      <c r="F294" s="316" t="str">
        <f t="shared" si="24"/>
        <v/>
      </c>
      <c r="G294" s="330"/>
    </row>
    <row r="295" spans="1:7" ht="20" customHeight="1" x14ac:dyDescent="0.15">
      <c r="A295" s="326">
        <v>45096</v>
      </c>
      <c r="B295" s="327">
        <f t="shared" si="28"/>
        <v>929.74794615069595</v>
      </c>
      <c r="C295" s="328">
        <f t="shared" si="27"/>
        <v>0.36634592717922576</v>
      </c>
      <c r="D295" s="329">
        <f t="shared" si="25"/>
        <v>0.47287204784836234</v>
      </c>
      <c r="E295" s="329">
        <f t="shared" si="26"/>
        <v>0.10652612066913658</v>
      </c>
      <c r="F295" s="330">
        <f t="shared" si="24"/>
        <v>3.9402714326603898E-4</v>
      </c>
      <c r="G295" s="330"/>
    </row>
    <row r="296" spans="1:7" ht="20" customHeight="1" x14ac:dyDescent="0.15">
      <c r="A296" s="326">
        <v>45097</v>
      </c>
      <c r="B296" s="327">
        <f t="shared" si="28"/>
        <v>930.4806380050544</v>
      </c>
      <c r="C296" s="328">
        <f t="shared" si="27"/>
        <v>0.36663462765749294</v>
      </c>
      <c r="D296" s="329">
        <f t="shared" si="25"/>
        <v>0.4732446966926504</v>
      </c>
      <c r="E296" s="329">
        <f t="shared" si="26"/>
        <v>0.10661006903515746</v>
      </c>
      <c r="F296" s="330">
        <f t="shared" si="24"/>
        <v>3.9402714326603898E-4</v>
      </c>
      <c r="G296" s="330"/>
    </row>
    <row r="297" spans="1:7" ht="20" customHeight="1" x14ac:dyDescent="0.15">
      <c r="A297" s="326">
        <v>45098</v>
      </c>
      <c r="B297" s="327">
        <f t="shared" si="28"/>
        <v>931.21390726036941</v>
      </c>
      <c r="C297" s="328">
        <f t="shared" si="27"/>
        <v>0.36692355564740953</v>
      </c>
      <c r="D297" s="329">
        <f t="shared" si="25"/>
        <v>0.47361763920445765</v>
      </c>
      <c r="E297" s="329">
        <f t="shared" si="26"/>
        <v>0.10669408355704812</v>
      </c>
      <c r="F297" s="330">
        <f t="shared" si="24"/>
        <v>3.9402714326603898E-4</v>
      </c>
      <c r="G297" s="330"/>
    </row>
    <row r="298" spans="1:7" ht="20" customHeight="1" x14ac:dyDescent="0.15">
      <c r="A298" s="326">
        <v>45099</v>
      </c>
      <c r="B298" s="327">
        <f t="shared" si="28"/>
        <v>931.94775437166425</v>
      </c>
      <c r="C298" s="328">
        <f t="shared" si="27"/>
        <v>0.36721271132826705</v>
      </c>
      <c r="D298" s="329">
        <f t="shared" si="25"/>
        <v>0.47399087561520992</v>
      </c>
      <c r="E298" s="329">
        <f t="shared" si="26"/>
        <v>0.10677816428694287</v>
      </c>
      <c r="F298" s="330">
        <f t="shared" si="24"/>
        <v>3.9402714326603898E-4</v>
      </c>
      <c r="G298" s="330"/>
    </row>
    <row r="299" spans="1:7" ht="20" customHeight="1" x14ac:dyDescent="0.15">
      <c r="A299" s="326">
        <v>45100</v>
      </c>
      <c r="B299" s="327">
        <f t="shared" si="28"/>
        <v>932.68217979432075</v>
      </c>
      <c r="C299" s="328">
        <f t="shared" si="27"/>
        <v>0.36750209487949836</v>
      </c>
      <c r="D299" s="329">
        <f t="shared" si="25"/>
        <v>0.47436440615651554</v>
      </c>
      <c r="E299" s="329">
        <f t="shared" si="26"/>
        <v>0.10686231127701717</v>
      </c>
      <c r="F299" s="330">
        <f t="shared" si="24"/>
        <v>3.9402714326603898E-4</v>
      </c>
      <c r="G299" s="330"/>
    </row>
    <row r="300" spans="1:7" ht="20" customHeight="1" x14ac:dyDescent="0.15">
      <c r="A300" s="326">
        <v>45101</v>
      </c>
      <c r="B300" s="331" t="str">
        <f t="shared" si="28"/>
        <v/>
      </c>
      <c r="C300" s="316" t="str">
        <f t="shared" si="27"/>
        <v/>
      </c>
      <c r="D300" s="316" t="str">
        <f t="shared" si="25"/>
        <v/>
      </c>
      <c r="E300" s="316" t="str">
        <f t="shared" si="26"/>
        <v/>
      </c>
      <c r="F300" s="316" t="str">
        <f t="shared" si="24"/>
        <v/>
      </c>
      <c r="G300" s="330"/>
    </row>
    <row r="301" spans="1:7" ht="20" customHeight="1" x14ac:dyDescent="0.15">
      <c r="A301" s="326">
        <v>45102</v>
      </c>
      <c r="B301" s="331" t="str">
        <f t="shared" si="28"/>
        <v/>
      </c>
      <c r="C301" s="316" t="str">
        <f t="shared" si="27"/>
        <v/>
      </c>
      <c r="D301" s="316" t="str">
        <f t="shared" si="25"/>
        <v/>
      </c>
      <c r="E301" s="316" t="str">
        <f t="shared" si="26"/>
        <v/>
      </c>
      <c r="F301" s="316" t="str">
        <f t="shared" si="24"/>
        <v/>
      </c>
      <c r="G301" s="330"/>
    </row>
    <row r="302" spans="1:7" ht="20" customHeight="1" x14ac:dyDescent="0.15">
      <c r="A302" s="326">
        <v>45103</v>
      </c>
      <c r="B302" s="327">
        <f t="shared" si="28"/>
        <v>933.41718398407977</v>
      </c>
      <c r="C302" s="328">
        <f t="shared" si="27"/>
        <v>0.36779170648067766</v>
      </c>
      <c r="D302" s="329">
        <f t="shared" si="25"/>
        <v>0.47473823106016544</v>
      </c>
      <c r="E302" s="329">
        <f t="shared" si="26"/>
        <v>0.10694652457948778</v>
      </c>
      <c r="F302" s="330">
        <f t="shared" si="24"/>
        <v>3.9402714326603898E-4</v>
      </c>
      <c r="G302" s="330"/>
    </row>
    <row r="303" spans="1:7" ht="20" customHeight="1" x14ac:dyDescent="0.15">
      <c r="A303" s="326">
        <v>45104</v>
      </c>
      <c r="B303" s="327">
        <f>IF(OR(WEEKDAY($A303)=7,WEEKDAY($A303)=1),"",IF(B302="",IF(B301="",B300,B301),B302)+IF(A$2=TRUE,IF(C302="",IF(C301="",C300,C301),C302)*2,IF(C302="",IF(C301="",C300,C301),C302)))-G152</f>
        <v>812.93276739704106</v>
      </c>
      <c r="C303" s="328">
        <f t="shared" si="27"/>
        <v>0.32031757600481142</v>
      </c>
      <c r="D303" s="329">
        <f t="shared" si="25"/>
        <v>0.41345956619060764</v>
      </c>
      <c r="E303" s="329">
        <f t="shared" si="26"/>
        <v>9.314199018579622E-2</v>
      </c>
      <c r="F303" s="330">
        <f t="shared" si="24"/>
        <v>3.9402714326603898E-4</v>
      </c>
      <c r="G303" s="330"/>
    </row>
    <row r="304" spans="1:7" ht="20" customHeight="1" x14ac:dyDescent="0.15">
      <c r="A304" s="326">
        <v>45105</v>
      </c>
      <c r="B304" s="327">
        <f t="shared" ref="B304:B332" si="29">IF(OR(WEEKDAY($A304)=7,WEEKDAY($A304)=1),"",IF(B303="",IF(B302="",B301,B302),B303)+IF(A$2=TRUE,IF(C303="",IF(C302="",C301,C302),C303)*2,IF(C303="",IF(C302="",C301,C302),C303)))</f>
        <v>813.57340254905068</v>
      </c>
      <c r="C304" s="328">
        <f t="shared" si="27"/>
        <v>0.32057000364363358</v>
      </c>
      <c r="D304" s="329">
        <f t="shared" si="25"/>
        <v>0.41378539477405185</v>
      </c>
      <c r="E304" s="329">
        <f t="shared" si="26"/>
        <v>9.3215391130418268E-2</v>
      </c>
      <c r="F304" s="330">
        <f t="shared" si="24"/>
        <v>3.9402714326603898E-4</v>
      </c>
      <c r="G304" s="330"/>
    </row>
    <row r="305" spans="1:7" ht="20" customHeight="1" x14ac:dyDescent="0.15">
      <c r="A305" s="326">
        <v>45106</v>
      </c>
      <c r="B305" s="327">
        <f t="shared" si="29"/>
        <v>814.21454255633796</v>
      </c>
      <c r="C305" s="328">
        <f t="shared" si="27"/>
        <v>0.32082263020913859</v>
      </c>
      <c r="D305" s="329">
        <f t="shared" si="25"/>
        <v>0.414111480128108</v>
      </c>
      <c r="E305" s="329">
        <f t="shared" si="26"/>
        <v>9.3288849918969408E-2</v>
      </c>
      <c r="F305" s="330">
        <f t="shared" si="24"/>
        <v>3.9402714326603903E-4</v>
      </c>
      <c r="G305" s="328">
        <f>G306*B277</f>
        <v>-106.14432821600167</v>
      </c>
    </row>
    <row r="306" spans="1:7" ht="20" customHeight="1" x14ac:dyDescent="0.15">
      <c r="A306" s="326">
        <v>45107</v>
      </c>
      <c r="B306" s="327">
        <f t="shared" si="29"/>
        <v>814.85618781675623</v>
      </c>
      <c r="C306" s="328">
        <f t="shared" si="27"/>
        <v>0.32107545585809139</v>
      </c>
      <c r="D306" s="329">
        <f t="shared" si="25"/>
        <v>0.41443782245512506</v>
      </c>
      <c r="E306" s="329">
        <f t="shared" si="26"/>
        <v>9.3362366597033675E-2</v>
      </c>
      <c r="F306" s="330">
        <f t="shared" si="24"/>
        <v>3.9402714326603898E-4</v>
      </c>
      <c r="G306" s="330">
        <f>(B306-B277)/B277</f>
        <v>-0.11524893457521837</v>
      </c>
    </row>
    <row r="307" spans="1:7" ht="20" customHeight="1" x14ac:dyDescent="0.15">
      <c r="A307" s="326">
        <v>45108</v>
      </c>
      <c r="B307" s="331" t="str">
        <f t="shared" si="29"/>
        <v/>
      </c>
      <c r="C307" s="316" t="str">
        <f t="shared" si="27"/>
        <v/>
      </c>
      <c r="D307" s="316" t="str">
        <f t="shared" si="25"/>
        <v/>
      </c>
      <c r="E307" s="316" t="str">
        <f t="shared" si="26"/>
        <v/>
      </c>
      <c r="F307" s="316" t="str">
        <f t="shared" si="24"/>
        <v/>
      </c>
      <c r="G307" s="330"/>
    </row>
    <row r="308" spans="1:7" ht="20" customHeight="1" x14ac:dyDescent="0.15">
      <c r="A308" s="326">
        <v>45109</v>
      </c>
      <c r="B308" s="331" t="str">
        <f t="shared" si="29"/>
        <v/>
      </c>
      <c r="C308" s="316" t="str">
        <f t="shared" si="27"/>
        <v/>
      </c>
      <c r="D308" s="316" t="str">
        <f t="shared" si="25"/>
        <v/>
      </c>
      <c r="E308" s="316" t="str">
        <f t="shared" si="26"/>
        <v/>
      </c>
      <c r="F308" s="316" t="str">
        <f t="shared" si="24"/>
        <v/>
      </c>
      <c r="G308" s="330"/>
    </row>
    <row r="309" spans="1:7" ht="20" customHeight="1" x14ac:dyDescent="0.15">
      <c r="A309" s="326">
        <v>45110</v>
      </c>
      <c r="B309" s="327">
        <f t="shared" si="29"/>
        <v>815.49833872847239</v>
      </c>
      <c r="C309" s="328">
        <f t="shared" si="27"/>
        <v>0.32132848074738057</v>
      </c>
      <c r="D309" s="329">
        <f t="shared" si="25"/>
        <v>0.41476442195761176</v>
      </c>
      <c r="E309" s="329">
        <f t="shared" si="26"/>
        <v>9.3435941210231188E-2</v>
      </c>
      <c r="F309" s="330">
        <f t="shared" si="24"/>
        <v>3.9402714326603898E-4</v>
      </c>
      <c r="G309" s="330"/>
    </row>
    <row r="310" spans="1:7" ht="20" customHeight="1" x14ac:dyDescent="0.15">
      <c r="A310" s="326">
        <v>45111</v>
      </c>
      <c r="B310" s="327">
        <f t="shared" si="29"/>
        <v>816.1409956899671</v>
      </c>
      <c r="C310" s="328">
        <f t="shared" si="27"/>
        <v>0.32158170503401839</v>
      </c>
      <c r="D310" s="329">
        <f t="shared" si="25"/>
        <v>0.41509127883823654</v>
      </c>
      <c r="E310" s="329">
        <f t="shared" si="26"/>
        <v>9.3509573804218149E-2</v>
      </c>
      <c r="F310" s="330">
        <f t="shared" si="24"/>
        <v>3.9402714326603903E-4</v>
      </c>
      <c r="G310" s="330"/>
    </row>
    <row r="311" spans="1:7" ht="20" customHeight="1" x14ac:dyDescent="0.15">
      <c r="A311" s="326">
        <v>45112</v>
      </c>
      <c r="B311" s="327">
        <f t="shared" si="29"/>
        <v>816.78415910003514</v>
      </c>
      <c r="C311" s="328">
        <f t="shared" si="27"/>
        <v>0.32183512887514071</v>
      </c>
      <c r="D311" s="329">
        <f t="shared" si="25"/>
        <v>0.41541839329982699</v>
      </c>
      <c r="E311" s="329">
        <f t="shared" si="26"/>
        <v>9.3583264424686285E-2</v>
      </c>
      <c r="F311" s="330">
        <f t="shared" si="24"/>
        <v>3.9402714326603898E-4</v>
      </c>
      <c r="G311" s="330"/>
    </row>
    <row r="312" spans="1:7" ht="20" customHeight="1" x14ac:dyDescent="0.15">
      <c r="A312" s="326">
        <v>45113</v>
      </c>
      <c r="B312" s="327">
        <f t="shared" si="29"/>
        <v>817.42782935778541</v>
      </c>
      <c r="C312" s="328">
        <f t="shared" si="27"/>
        <v>0.32208875242800739</v>
      </c>
      <c r="D312" s="329">
        <f t="shared" si="25"/>
        <v>0.41574576554537118</v>
      </c>
      <c r="E312" s="329">
        <f t="shared" si="26"/>
        <v>9.3657013117363797E-2</v>
      </c>
      <c r="F312" s="330">
        <f t="shared" si="24"/>
        <v>3.9402714326603898E-4</v>
      </c>
      <c r="G312" s="330"/>
    </row>
    <row r="313" spans="1:7" ht="20" customHeight="1" x14ac:dyDescent="0.15">
      <c r="A313" s="326">
        <v>45114</v>
      </c>
      <c r="B313" s="327">
        <f t="shared" si="29"/>
        <v>818.07200686264139</v>
      </c>
      <c r="C313" s="328">
        <f t="shared" si="27"/>
        <v>0.32234257585000203</v>
      </c>
      <c r="D313" s="329">
        <f t="shared" si="25"/>
        <v>0.41607339577801677</v>
      </c>
      <c r="E313" s="329">
        <f t="shared" si="26"/>
        <v>9.3730819928014741E-2</v>
      </c>
      <c r="F313" s="330">
        <f t="shared" si="24"/>
        <v>3.9402714326603898E-4</v>
      </c>
      <c r="G313" s="330"/>
    </row>
    <row r="314" spans="1:7" ht="20" customHeight="1" x14ac:dyDescent="0.15">
      <c r="A314" s="326">
        <v>45115</v>
      </c>
      <c r="B314" s="331" t="str">
        <f t="shared" si="29"/>
        <v/>
      </c>
      <c r="C314" s="316" t="str">
        <f t="shared" si="27"/>
        <v/>
      </c>
      <c r="D314" s="316" t="str">
        <f t="shared" si="25"/>
        <v/>
      </c>
      <c r="E314" s="316" t="str">
        <f t="shared" si="26"/>
        <v/>
      </c>
      <c r="F314" s="316" t="str">
        <f t="shared" si="24"/>
        <v/>
      </c>
      <c r="G314" s="330"/>
    </row>
    <row r="315" spans="1:7" ht="20" customHeight="1" x14ac:dyDescent="0.15">
      <c r="A315" s="326">
        <v>45116</v>
      </c>
      <c r="B315" s="331" t="str">
        <f t="shared" si="29"/>
        <v/>
      </c>
      <c r="C315" s="316" t="str">
        <f t="shared" si="27"/>
        <v/>
      </c>
      <c r="D315" s="316" t="str">
        <f t="shared" si="25"/>
        <v/>
      </c>
      <c r="E315" s="316" t="str">
        <f t="shared" si="26"/>
        <v/>
      </c>
      <c r="F315" s="316" t="str">
        <f t="shared" si="24"/>
        <v/>
      </c>
      <c r="G315" s="330"/>
    </row>
    <row r="316" spans="1:7" ht="20" customHeight="1" x14ac:dyDescent="0.15">
      <c r="A316" s="326">
        <v>45117</v>
      </c>
      <c r="B316" s="327">
        <f t="shared" si="29"/>
        <v>818.71669201434145</v>
      </c>
      <c r="C316" s="328">
        <f t="shared" si="27"/>
        <v>0.32259659929863244</v>
      </c>
      <c r="D316" s="329">
        <f t="shared" si="25"/>
        <v>0.41640128420107159</v>
      </c>
      <c r="E316" s="329">
        <f t="shared" si="26"/>
        <v>9.380468490243915E-2</v>
      </c>
      <c r="F316" s="330">
        <f t="shared" si="24"/>
        <v>3.9402714326603898E-4</v>
      </c>
      <c r="G316" s="330"/>
    </row>
    <row r="317" spans="1:7" ht="20" customHeight="1" x14ac:dyDescent="0.15">
      <c r="A317" s="326">
        <v>45118</v>
      </c>
      <c r="B317" s="327">
        <f t="shared" si="29"/>
        <v>819.36188521293866</v>
      </c>
      <c r="C317" s="328">
        <f t="shared" si="27"/>
        <v>0.32285082293153039</v>
      </c>
      <c r="D317" s="329">
        <f t="shared" si="25"/>
        <v>0.41672943101800375</v>
      </c>
      <c r="E317" s="329">
        <f t="shared" si="26"/>
        <v>9.3878608086473359E-2</v>
      </c>
      <c r="F317" s="330">
        <f t="shared" si="24"/>
        <v>3.9402714326603903E-4</v>
      </c>
      <c r="G317" s="330"/>
    </row>
    <row r="318" spans="1:7" ht="20" customHeight="1" x14ac:dyDescent="0.15">
      <c r="A318" s="326">
        <v>45119</v>
      </c>
      <c r="B318" s="327">
        <f t="shared" si="29"/>
        <v>820.00758685880169</v>
      </c>
      <c r="C318" s="328">
        <f t="shared" si="27"/>
        <v>0.32310524690645198</v>
      </c>
      <c r="D318" s="329">
        <f t="shared" si="25"/>
        <v>0.41705783643244149</v>
      </c>
      <c r="E318" s="329">
        <f t="shared" si="26"/>
        <v>9.3952589525989505E-2</v>
      </c>
      <c r="F318" s="330">
        <f t="shared" si="24"/>
        <v>3.9402714326603903E-4</v>
      </c>
      <c r="G318" s="330"/>
    </row>
    <row r="319" spans="1:7" ht="20" customHeight="1" x14ac:dyDescent="0.15">
      <c r="A319" s="326">
        <v>45120</v>
      </c>
      <c r="B319" s="327">
        <f t="shared" si="29"/>
        <v>820.65379735261456</v>
      </c>
      <c r="C319" s="328">
        <f t="shared" si="27"/>
        <v>0.32335987138127759</v>
      </c>
      <c r="D319" s="329">
        <f t="shared" si="25"/>
        <v>0.4173865006481739</v>
      </c>
      <c r="E319" s="329">
        <f t="shared" si="26"/>
        <v>9.4026629266896311E-2</v>
      </c>
      <c r="F319" s="330">
        <f t="shared" si="24"/>
        <v>3.9402714326603898E-4</v>
      </c>
      <c r="G319" s="330"/>
    </row>
    <row r="320" spans="1:7" ht="20" customHeight="1" x14ac:dyDescent="0.15">
      <c r="A320" s="326">
        <v>45121</v>
      </c>
      <c r="B320" s="327">
        <f t="shared" si="29"/>
        <v>821.30051709537713</v>
      </c>
      <c r="C320" s="328">
        <f t="shared" si="27"/>
        <v>0.32361469651401203</v>
      </c>
      <c r="D320" s="329">
        <f t="shared" si="25"/>
        <v>0.41771542386915028</v>
      </c>
      <c r="E320" s="329">
        <f t="shared" si="26"/>
        <v>9.4100727355138247E-2</v>
      </c>
      <c r="F320" s="330">
        <f t="shared" si="24"/>
        <v>3.9402714326603893E-4</v>
      </c>
      <c r="G320" s="330"/>
    </row>
    <row r="321" spans="1:7" ht="20" customHeight="1" x14ac:dyDescent="0.15">
      <c r="A321" s="326">
        <v>45122</v>
      </c>
      <c r="B321" s="331" t="str">
        <f t="shared" si="29"/>
        <v/>
      </c>
      <c r="C321" s="316" t="str">
        <f t="shared" si="27"/>
        <v/>
      </c>
      <c r="D321" s="316" t="str">
        <f t="shared" si="25"/>
        <v/>
      </c>
      <c r="E321" s="316" t="str">
        <f t="shared" si="26"/>
        <v/>
      </c>
      <c r="F321" s="316" t="str">
        <f t="shared" si="24"/>
        <v/>
      </c>
      <c r="G321" s="330"/>
    </row>
    <row r="322" spans="1:7" ht="20" customHeight="1" x14ac:dyDescent="0.15">
      <c r="A322" s="326">
        <v>45123</v>
      </c>
      <c r="B322" s="331" t="str">
        <f t="shared" si="29"/>
        <v/>
      </c>
      <c r="C322" s="316" t="str">
        <f t="shared" si="27"/>
        <v/>
      </c>
      <c r="D322" s="316" t="str">
        <f t="shared" si="25"/>
        <v/>
      </c>
      <c r="E322" s="316" t="str">
        <f t="shared" si="26"/>
        <v/>
      </c>
      <c r="F322" s="316" t="str">
        <f t="shared" si="24"/>
        <v/>
      </c>
      <c r="G322" s="330"/>
    </row>
    <row r="323" spans="1:7" ht="20" customHeight="1" x14ac:dyDescent="0.15">
      <c r="A323" s="326">
        <v>45124</v>
      </c>
      <c r="B323" s="327">
        <f t="shared" si="29"/>
        <v>821.94774648840519</v>
      </c>
      <c r="C323" s="328">
        <f t="shared" si="27"/>
        <v>0.32386972246278473</v>
      </c>
      <c r="D323" s="329">
        <f t="shared" si="25"/>
        <v>0.41804460629948093</v>
      </c>
      <c r="E323" s="329">
        <f t="shared" si="26"/>
        <v>9.4174883836696199E-2</v>
      </c>
      <c r="F323" s="330">
        <f t="shared" si="24"/>
        <v>3.9402714326603898E-4</v>
      </c>
      <c r="G323" s="330"/>
    </row>
    <row r="324" spans="1:7" ht="20" customHeight="1" x14ac:dyDescent="0.15">
      <c r="A324" s="326">
        <v>45125</v>
      </c>
      <c r="B324" s="327">
        <f t="shared" si="29"/>
        <v>822.59548593333079</v>
      </c>
      <c r="C324" s="328">
        <f t="shared" si="27"/>
        <v>0.32412494938584946</v>
      </c>
      <c r="D324" s="329">
        <f t="shared" si="25"/>
        <v>0.41837404814343687</v>
      </c>
      <c r="E324" s="329">
        <f t="shared" si="26"/>
        <v>9.4249098757587413E-2</v>
      </c>
      <c r="F324" s="330">
        <f t="shared" ref="F324:F387" si="30">IF(B324="","",C324/B324)</f>
        <v>3.9402714326603893E-4</v>
      </c>
      <c r="G324" s="330"/>
    </row>
    <row r="325" spans="1:7" ht="20" customHeight="1" x14ac:dyDescent="0.15">
      <c r="A325" s="326">
        <v>45126</v>
      </c>
      <c r="B325" s="327">
        <f t="shared" si="29"/>
        <v>823.24373583210252</v>
      </c>
      <c r="C325" s="328">
        <f t="shared" si="27"/>
        <v>0.32438037744158499</v>
      </c>
      <c r="D325" s="329">
        <f t="shared" si="25"/>
        <v>0.41870374960545009</v>
      </c>
      <c r="E325" s="329">
        <f t="shared" si="26"/>
        <v>9.4323372163865105E-2</v>
      </c>
      <c r="F325" s="330">
        <f t="shared" si="30"/>
        <v>3.9402714326603898E-4</v>
      </c>
      <c r="G325" s="330"/>
    </row>
    <row r="326" spans="1:7" ht="20" customHeight="1" x14ac:dyDescent="0.15">
      <c r="A326" s="326">
        <v>45127</v>
      </c>
      <c r="B326" s="327">
        <f t="shared" si="29"/>
        <v>823.89249658698566</v>
      </c>
      <c r="C326" s="328">
        <f t="shared" si="27"/>
        <v>0.32463600678849475</v>
      </c>
      <c r="D326" s="329">
        <f t="shared" si="25"/>
        <v>0.41903371089011371</v>
      </c>
      <c r="E326" s="329">
        <f t="shared" si="26"/>
        <v>9.4397704101618962E-2</v>
      </c>
      <c r="F326" s="330">
        <f t="shared" si="30"/>
        <v>3.9402714326603898E-4</v>
      </c>
      <c r="G326" s="330"/>
    </row>
    <row r="327" spans="1:7" ht="20" customHeight="1" x14ac:dyDescent="0.15">
      <c r="A327" s="326">
        <v>45128</v>
      </c>
      <c r="B327" s="327">
        <f t="shared" si="29"/>
        <v>824.54176860056259</v>
      </c>
      <c r="C327" s="328">
        <f t="shared" si="27"/>
        <v>0.32489183758520701</v>
      </c>
      <c r="D327" s="329">
        <f t="shared" ref="D327:D390" si="31">IF(C327="","",(D$3*$C327)/$C$3)</f>
        <v>0.4193639322021821</v>
      </c>
      <c r="E327" s="329">
        <f t="shared" ref="E327:E390" si="32">IF(C327="","",D327-$C327)</f>
        <v>9.4472094616975089E-2</v>
      </c>
      <c r="F327" s="330">
        <f t="shared" si="30"/>
        <v>3.9402714326603893E-4</v>
      </c>
      <c r="G327" s="330"/>
    </row>
    <row r="328" spans="1:7" ht="20" customHeight="1" x14ac:dyDescent="0.15">
      <c r="A328" s="326">
        <v>45129</v>
      </c>
      <c r="B328" s="331" t="str">
        <f t="shared" si="29"/>
        <v/>
      </c>
      <c r="C328" s="316" t="str">
        <f t="shared" si="27"/>
        <v/>
      </c>
      <c r="D328" s="316" t="str">
        <f t="shared" si="31"/>
        <v/>
      </c>
      <c r="E328" s="316" t="str">
        <f t="shared" si="32"/>
        <v/>
      </c>
      <c r="F328" s="316" t="str">
        <f t="shared" si="30"/>
        <v/>
      </c>
      <c r="G328" s="330"/>
    </row>
    <row r="329" spans="1:7" ht="20" customHeight="1" x14ac:dyDescent="0.15">
      <c r="A329" s="326">
        <v>45130</v>
      </c>
      <c r="B329" s="331" t="str">
        <f t="shared" si="29"/>
        <v/>
      </c>
      <c r="C329" s="316" t="str">
        <f t="shared" si="27"/>
        <v/>
      </c>
      <c r="D329" s="316" t="str">
        <f t="shared" si="31"/>
        <v/>
      </c>
      <c r="E329" s="316" t="str">
        <f t="shared" si="32"/>
        <v/>
      </c>
      <c r="F329" s="316" t="str">
        <f t="shared" si="30"/>
        <v/>
      </c>
      <c r="G329" s="330"/>
    </row>
    <row r="330" spans="1:7" ht="20" customHeight="1" x14ac:dyDescent="0.15">
      <c r="A330" s="326">
        <v>45131</v>
      </c>
      <c r="B330" s="327">
        <f t="shared" si="29"/>
        <v>825.19155227573299</v>
      </c>
      <c r="C330" s="328">
        <f t="shared" si="27"/>
        <v>0.32514786999047535</v>
      </c>
      <c r="D330" s="329">
        <f t="shared" si="31"/>
        <v>0.41969441374657102</v>
      </c>
      <c r="E330" s="329">
        <f t="shared" si="32"/>
        <v>9.4546543756095669E-2</v>
      </c>
      <c r="F330" s="330">
        <f t="shared" si="30"/>
        <v>3.9402714326603898E-4</v>
      </c>
      <c r="G330" s="330"/>
    </row>
    <row r="331" spans="1:7" ht="20" customHeight="1" x14ac:dyDescent="0.15">
      <c r="A331" s="326">
        <v>45132</v>
      </c>
      <c r="B331" s="327">
        <f t="shared" si="29"/>
        <v>825.84184801571394</v>
      </c>
      <c r="C331" s="328">
        <f t="shared" ref="C331:C394" si="33">IF(B331="","",B331*F$6)</f>
        <v>0.32540410416317811</v>
      </c>
      <c r="D331" s="329">
        <f t="shared" si="31"/>
        <v>0.42002515572835752</v>
      </c>
      <c r="E331" s="329">
        <f t="shared" si="32"/>
        <v>9.4621051565179415E-2</v>
      </c>
      <c r="F331" s="330">
        <f t="shared" si="30"/>
        <v>3.9402714326603898E-4</v>
      </c>
      <c r="G331" s="330"/>
    </row>
    <row r="332" spans="1:7" ht="20" customHeight="1" x14ac:dyDescent="0.15">
      <c r="A332" s="326">
        <v>45133</v>
      </c>
      <c r="B332" s="327">
        <f t="shared" si="29"/>
        <v>826.49265622404027</v>
      </c>
      <c r="C332" s="328">
        <f t="shared" si="33"/>
        <v>0.325660540262319</v>
      </c>
      <c r="D332" s="329">
        <f t="shared" si="31"/>
        <v>0.42035615835278056</v>
      </c>
      <c r="E332" s="329">
        <f t="shared" si="32"/>
        <v>9.4695618090461564E-2</v>
      </c>
      <c r="F332" s="330">
        <f t="shared" si="30"/>
        <v>3.9402714326603898E-4</v>
      </c>
      <c r="G332" s="330"/>
    </row>
    <row r="333" spans="1:7" ht="20" customHeight="1" x14ac:dyDescent="0.15">
      <c r="A333" s="326">
        <v>45134</v>
      </c>
      <c r="B333" s="327">
        <f>IF(OR(WEEKDAY($A333)=7,WEEKDAY($A333)=1),"",IF(B332="",IF(B331="",B330,B331),B332)+IF(A$2=TRUE,IF(C332="",IF(C331="",C330,C331),C332)*2,IF(C332="",IF(C331="",C330,C331),C332)))-G152</f>
        <v>705.92397730456491</v>
      </c>
      <c r="C333" s="328">
        <f t="shared" si="33"/>
        <v>0.27815320814031785</v>
      </c>
      <c r="D333" s="329">
        <f t="shared" si="31"/>
        <v>0.35903463745771519</v>
      </c>
      <c r="E333" s="329">
        <f t="shared" si="32"/>
        <v>8.0881429317397335E-2</v>
      </c>
      <c r="F333" s="330">
        <f t="shared" si="30"/>
        <v>3.9402714326603898E-4</v>
      </c>
      <c r="G333" s="330"/>
    </row>
    <row r="334" spans="1:7" ht="20" customHeight="1" x14ac:dyDescent="0.15">
      <c r="A334" s="326">
        <v>45135</v>
      </c>
      <c r="B334" s="327">
        <f t="shared" ref="B334:B364" si="34">IF(OR(WEEKDAY($A334)=7,WEEKDAY($A334)=1),"",IF(B333="",IF(B332="",B331,B332),B333)+IF(A$2=TRUE,IF(C333="",IF(C332="",C331,C332),C333)*2,IF(C333="",IF(C332="",C331,C332),C333)))</f>
        <v>706.48028372084559</v>
      </c>
      <c r="C334" s="328">
        <f t="shared" si="33"/>
        <v>0.27837240796830548</v>
      </c>
      <c r="D334" s="329">
        <f t="shared" si="31"/>
        <v>0.35931757624277721</v>
      </c>
      <c r="E334" s="329">
        <f t="shared" si="32"/>
        <v>8.0945168274471735E-2</v>
      </c>
      <c r="F334" s="330">
        <f t="shared" si="30"/>
        <v>3.9402714326603898E-4</v>
      </c>
      <c r="G334" s="330"/>
    </row>
    <row r="335" spans="1:7" ht="20" customHeight="1" x14ac:dyDescent="0.15">
      <c r="A335" s="326">
        <v>45136</v>
      </c>
      <c r="B335" s="331" t="str">
        <f t="shared" si="34"/>
        <v/>
      </c>
      <c r="C335" s="316" t="str">
        <f t="shared" si="33"/>
        <v/>
      </c>
      <c r="D335" s="316" t="str">
        <f t="shared" si="31"/>
        <v/>
      </c>
      <c r="E335" s="316" t="str">
        <f t="shared" si="32"/>
        <v/>
      </c>
      <c r="F335" s="316" t="str">
        <f t="shared" si="30"/>
        <v/>
      </c>
      <c r="G335" s="330"/>
    </row>
    <row r="336" spans="1:7" ht="20" customHeight="1" x14ac:dyDescent="0.15">
      <c r="A336" s="326">
        <v>45137</v>
      </c>
      <c r="B336" s="331" t="str">
        <f t="shared" si="34"/>
        <v/>
      </c>
      <c r="C336" s="316" t="str">
        <f t="shared" si="33"/>
        <v/>
      </c>
      <c r="D336" s="316" t="str">
        <f t="shared" si="31"/>
        <v/>
      </c>
      <c r="E336" s="316" t="str">
        <f t="shared" si="32"/>
        <v/>
      </c>
      <c r="F336" s="316" t="str">
        <f t="shared" si="30"/>
        <v/>
      </c>
      <c r="G336" s="328" t="e">
        <f>G337*B307</f>
        <v>#VALUE!</v>
      </c>
    </row>
    <row r="337" spans="1:7" ht="20" customHeight="1" x14ac:dyDescent="0.15">
      <c r="A337" s="326">
        <v>45138</v>
      </c>
      <c r="B337" s="327">
        <f t="shared" si="34"/>
        <v>707.03702853678226</v>
      </c>
      <c r="C337" s="328">
        <f t="shared" si="33"/>
        <v>0.27859178053765721</v>
      </c>
      <c r="D337" s="329">
        <f t="shared" si="31"/>
        <v>0.35960073799896175</v>
      </c>
      <c r="E337" s="329">
        <f t="shared" si="32"/>
        <v>8.1008957461304543E-2</v>
      </c>
      <c r="F337" s="330">
        <f t="shared" si="30"/>
        <v>3.9402714326603898E-4</v>
      </c>
      <c r="G337" s="330" t="e">
        <f>(B335-B307)/B307</f>
        <v>#VALUE!</v>
      </c>
    </row>
    <row r="338" spans="1:7" ht="20" customHeight="1" x14ac:dyDescent="0.15">
      <c r="A338" s="326">
        <v>45139</v>
      </c>
      <c r="B338" s="327">
        <f t="shared" si="34"/>
        <v>707.59421209785762</v>
      </c>
      <c r="C338" s="328">
        <f t="shared" si="33"/>
        <v>0.27881132598450253</v>
      </c>
      <c r="D338" s="329">
        <f t="shared" si="31"/>
        <v>0.35988412290198202</v>
      </c>
      <c r="E338" s="329">
        <f t="shared" si="32"/>
        <v>8.1072796917479484E-2</v>
      </c>
      <c r="F338" s="330">
        <f t="shared" si="30"/>
        <v>3.9402714326603898E-4</v>
      </c>
      <c r="G338" s="330"/>
    </row>
    <row r="339" spans="1:7" ht="20" customHeight="1" x14ac:dyDescent="0.15">
      <c r="A339" s="326">
        <v>45140</v>
      </c>
      <c r="B339" s="327">
        <f t="shared" si="34"/>
        <v>708.15183474982666</v>
      </c>
      <c r="C339" s="328">
        <f t="shared" si="33"/>
        <v>0.27903104444507831</v>
      </c>
      <c r="D339" s="329">
        <f t="shared" si="31"/>
        <v>0.36016773112768968</v>
      </c>
      <c r="E339" s="329">
        <f t="shared" si="32"/>
        <v>8.113668668261137E-2</v>
      </c>
      <c r="F339" s="330">
        <f t="shared" si="30"/>
        <v>3.9402714326603898E-4</v>
      </c>
      <c r="G339" s="330"/>
    </row>
    <row r="340" spans="1:7" ht="20" customHeight="1" x14ac:dyDescent="0.15">
      <c r="A340" s="326">
        <v>45141</v>
      </c>
      <c r="B340" s="327">
        <f t="shared" si="34"/>
        <v>708.70989683871687</v>
      </c>
      <c r="C340" s="328">
        <f t="shared" si="33"/>
        <v>0.27925093605572882</v>
      </c>
      <c r="D340" s="329">
        <f t="shared" si="31"/>
        <v>0.36045156285207547</v>
      </c>
      <c r="E340" s="329">
        <f t="shared" si="32"/>
        <v>8.1200626796346653E-2</v>
      </c>
      <c r="F340" s="330">
        <f t="shared" si="30"/>
        <v>3.9402714326603898E-4</v>
      </c>
      <c r="G340" s="330"/>
    </row>
    <row r="341" spans="1:7" ht="20" customHeight="1" x14ac:dyDescent="0.15">
      <c r="A341" s="326">
        <v>45142</v>
      </c>
      <c r="B341" s="327">
        <f t="shared" si="34"/>
        <v>709.26839871082836</v>
      </c>
      <c r="C341" s="328">
        <f t="shared" si="33"/>
        <v>0.27947100095290561</v>
      </c>
      <c r="D341" s="329">
        <f t="shared" si="31"/>
        <v>0.36073561825126826</v>
      </c>
      <c r="E341" s="329">
        <f t="shared" si="32"/>
        <v>8.1264617298362651E-2</v>
      </c>
      <c r="F341" s="330">
        <f t="shared" si="30"/>
        <v>3.9402714326603898E-4</v>
      </c>
      <c r="G341" s="330"/>
    </row>
    <row r="342" spans="1:7" ht="20" customHeight="1" x14ac:dyDescent="0.15">
      <c r="A342" s="326">
        <v>45143</v>
      </c>
      <c r="B342" s="331" t="str">
        <f t="shared" si="34"/>
        <v/>
      </c>
      <c r="C342" s="316" t="str">
        <f t="shared" si="33"/>
        <v/>
      </c>
      <c r="D342" s="316" t="str">
        <f t="shared" si="31"/>
        <v/>
      </c>
      <c r="E342" s="316" t="str">
        <f t="shared" si="32"/>
        <v/>
      </c>
      <c r="F342" s="316" t="str">
        <f t="shared" si="30"/>
        <v/>
      </c>
      <c r="G342" s="330"/>
    </row>
    <row r="343" spans="1:7" ht="20" customHeight="1" x14ac:dyDescent="0.15">
      <c r="A343" s="326">
        <v>45144</v>
      </c>
      <c r="B343" s="331" t="str">
        <f t="shared" si="34"/>
        <v/>
      </c>
      <c r="C343" s="316" t="str">
        <f t="shared" si="33"/>
        <v/>
      </c>
      <c r="D343" s="316" t="str">
        <f t="shared" si="31"/>
        <v/>
      </c>
      <c r="E343" s="316" t="str">
        <f t="shared" si="32"/>
        <v/>
      </c>
      <c r="F343" s="316" t="str">
        <f t="shared" si="30"/>
        <v/>
      </c>
      <c r="G343" s="330"/>
    </row>
    <row r="344" spans="1:7" ht="20" customHeight="1" x14ac:dyDescent="0.15">
      <c r="A344" s="326">
        <v>45145</v>
      </c>
      <c r="B344" s="327">
        <f t="shared" si="34"/>
        <v>709.82734071273421</v>
      </c>
      <c r="C344" s="328">
        <f t="shared" si="33"/>
        <v>0.27969123927316797</v>
      </c>
      <c r="D344" s="329">
        <f t="shared" si="31"/>
        <v>0.36101989750153596</v>
      </c>
      <c r="E344" s="329">
        <f t="shared" si="32"/>
        <v>8.1328658228367989E-2</v>
      </c>
      <c r="F344" s="330">
        <f t="shared" si="30"/>
        <v>3.9402714326603898E-4</v>
      </c>
      <c r="G344" s="330"/>
    </row>
    <row r="345" spans="1:7" ht="20" customHeight="1" x14ac:dyDescent="0.15">
      <c r="A345" s="326">
        <v>45146</v>
      </c>
      <c r="B345" s="327">
        <f t="shared" si="34"/>
        <v>710.38672319128057</v>
      </c>
      <c r="C345" s="328">
        <f t="shared" si="33"/>
        <v>0.27991165115318267</v>
      </c>
      <c r="D345" s="329">
        <f t="shared" si="31"/>
        <v>0.36130440077928538</v>
      </c>
      <c r="E345" s="329">
        <f t="shared" si="32"/>
        <v>8.1392749626102712E-2</v>
      </c>
      <c r="F345" s="330">
        <f t="shared" si="30"/>
        <v>3.9402714326603898E-4</v>
      </c>
      <c r="G345" s="330"/>
    </row>
    <row r="346" spans="1:7" ht="20" customHeight="1" x14ac:dyDescent="0.15">
      <c r="A346" s="326">
        <v>45147</v>
      </c>
      <c r="B346" s="327">
        <f t="shared" si="34"/>
        <v>710.94654649358688</v>
      </c>
      <c r="C346" s="328">
        <f t="shared" si="33"/>
        <v>0.2801322367297242</v>
      </c>
      <c r="D346" s="329">
        <f t="shared" si="31"/>
        <v>0.36158912826106238</v>
      </c>
      <c r="E346" s="329">
        <f t="shared" si="32"/>
        <v>8.1456891531338171E-2</v>
      </c>
      <c r="F346" s="330">
        <f t="shared" si="30"/>
        <v>3.9402714326603898E-4</v>
      </c>
      <c r="G346" s="330"/>
    </row>
    <row r="347" spans="1:7" ht="20" customHeight="1" x14ac:dyDescent="0.15">
      <c r="A347" s="326">
        <v>45148</v>
      </c>
      <c r="B347" s="327">
        <f t="shared" si="34"/>
        <v>711.50681096704636</v>
      </c>
      <c r="C347" s="328">
        <f t="shared" si="33"/>
        <v>0.2803529961396749</v>
      </c>
      <c r="D347" s="329">
        <f t="shared" si="31"/>
        <v>0.36187408012355199</v>
      </c>
      <c r="E347" s="329">
        <f t="shared" si="32"/>
        <v>8.1521083983877085E-2</v>
      </c>
      <c r="F347" s="330">
        <f t="shared" si="30"/>
        <v>3.9402714326603898E-4</v>
      </c>
      <c r="G347" s="330"/>
    </row>
    <row r="348" spans="1:7" ht="20" customHeight="1" x14ac:dyDescent="0.15">
      <c r="A348" s="326">
        <v>45149</v>
      </c>
      <c r="B348" s="327">
        <f t="shared" si="34"/>
        <v>712.06751695932576</v>
      </c>
      <c r="C348" s="328">
        <f t="shared" si="33"/>
        <v>0.28057392952002491</v>
      </c>
      <c r="D348" s="329">
        <f t="shared" si="31"/>
        <v>0.36215925654357828</v>
      </c>
      <c r="E348" s="329">
        <f t="shared" si="32"/>
        <v>8.1585327023553367E-2</v>
      </c>
      <c r="F348" s="330">
        <f t="shared" si="30"/>
        <v>3.9402714326603903E-4</v>
      </c>
      <c r="G348" s="330"/>
    </row>
    <row r="349" spans="1:7" ht="20" customHeight="1" x14ac:dyDescent="0.15">
      <c r="A349" s="326">
        <v>45150</v>
      </c>
      <c r="B349" s="331" t="str">
        <f t="shared" si="34"/>
        <v/>
      </c>
      <c r="C349" s="316" t="str">
        <f t="shared" si="33"/>
        <v/>
      </c>
      <c r="D349" s="316" t="str">
        <f t="shared" si="31"/>
        <v/>
      </c>
      <c r="E349" s="316" t="str">
        <f t="shared" si="32"/>
        <v/>
      </c>
      <c r="F349" s="316" t="str">
        <f t="shared" si="30"/>
        <v/>
      </c>
      <c r="G349" s="330"/>
    </row>
    <row r="350" spans="1:7" ht="20" customHeight="1" x14ac:dyDescent="0.15">
      <c r="A350" s="326">
        <v>45151</v>
      </c>
      <c r="B350" s="331" t="str">
        <f t="shared" si="34"/>
        <v/>
      </c>
      <c r="C350" s="316" t="str">
        <f t="shared" si="33"/>
        <v/>
      </c>
      <c r="D350" s="316" t="str">
        <f t="shared" si="31"/>
        <v/>
      </c>
      <c r="E350" s="316" t="str">
        <f t="shared" si="32"/>
        <v/>
      </c>
      <c r="F350" s="316" t="str">
        <f t="shared" si="30"/>
        <v/>
      </c>
      <c r="G350" s="330"/>
    </row>
    <row r="351" spans="1:7" ht="20" customHeight="1" x14ac:dyDescent="0.15">
      <c r="A351" s="326">
        <v>45152</v>
      </c>
      <c r="B351" s="327">
        <f t="shared" si="34"/>
        <v>712.62866481836579</v>
      </c>
      <c r="C351" s="328">
        <f t="shared" si="33"/>
        <v>0.28079503700787228</v>
      </c>
      <c r="D351" s="329">
        <f t="shared" si="31"/>
        <v>0.36244465769810458</v>
      </c>
      <c r="E351" s="329">
        <f t="shared" si="32"/>
        <v>8.1649620690232294E-2</v>
      </c>
      <c r="F351" s="330">
        <f t="shared" si="30"/>
        <v>3.9402714326603898E-4</v>
      </c>
      <c r="G351" s="330"/>
    </row>
    <row r="352" spans="1:7" ht="20" customHeight="1" x14ac:dyDescent="0.15">
      <c r="A352" s="326">
        <v>45153</v>
      </c>
      <c r="B352" s="327">
        <f t="shared" si="34"/>
        <v>713.19025489238152</v>
      </c>
      <c r="C352" s="328">
        <f t="shared" si="33"/>
        <v>0.28101631874042327</v>
      </c>
      <c r="D352" s="329">
        <f t="shared" si="31"/>
        <v>0.36273028376423427</v>
      </c>
      <c r="E352" s="329">
        <f t="shared" si="32"/>
        <v>8.1713965023811008E-2</v>
      </c>
      <c r="F352" s="330">
        <f t="shared" si="30"/>
        <v>3.9402714326603898E-4</v>
      </c>
      <c r="G352" s="330"/>
    </row>
    <row r="353" spans="1:7" ht="20" customHeight="1" x14ac:dyDescent="0.15">
      <c r="A353" s="326">
        <v>45154</v>
      </c>
      <c r="B353" s="327">
        <f t="shared" si="34"/>
        <v>713.75228752986231</v>
      </c>
      <c r="C353" s="328">
        <f t="shared" si="33"/>
        <v>0.28123777485499213</v>
      </c>
      <c r="D353" s="329">
        <f t="shared" si="31"/>
        <v>0.36301613491920964</v>
      </c>
      <c r="E353" s="329">
        <f t="shared" si="32"/>
        <v>8.1778360064217515E-2</v>
      </c>
      <c r="F353" s="330">
        <f t="shared" si="30"/>
        <v>3.9402714326603903E-4</v>
      </c>
      <c r="G353" s="330"/>
    </row>
    <row r="354" spans="1:7" ht="20" customHeight="1" x14ac:dyDescent="0.15">
      <c r="A354" s="326">
        <v>45155</v>
      </c>
      <c r="B354" s="327">
        <f t="shared" si="34"/>
        <v>714.31476307957234</v>
      </c>
      <c r="C354" s="328">
        <f t="shared" si="33"/>
        <v>0.28145940548900134</v>
      </c>
      <c r="D354" s="329">
        <f t="shared" si="31"/>
        <v>0.36330221134041307</v>
      </c>
      <c r="E354" s="329">
        <f t="shared" si="32"/>
        <v>8.1842805851411737E-2</v>
      </c>
      <c r="F354" s="330">
        <f t="shared" si="30"/>
        <v>3.9402714326603898E-4</v>
      </c>
      <c r="G354" s="330"/>
    </row>
    <row r="355" spans="1:7" ht="20" customHeight="1" x14ac:dyDescent="0.15">
      <c r="A355" s="326">
        <v>45156</v>
      </c>
      <c r="B355" s="327">
        <f t="shared" si="34"/>
        <v>714.87768189055032</v>
      </c>
      <c r="C355" s="328">
        <f t="shared" si="33"/>
        <v>0.28168121077998171</v>
      </c>
      <c r="D355" s="329">
        <f t="shared" si="31"/>
        <v>0.36358851320536645</v>
      </c>
      <c r="E355" s="329">
        <f t="shared" si="32"/>
        <v>8.1907302425384743E-2</v>
      </c>
      <c r="F355" s="330">
        <f t="shared" si="30"/>
        <v>3.9402714326603898E-4</v>
      </c>
      <c r="G355" s="330"/>
    </row>
    <row r="356" spans="1:7" ht="20" customHeight="1" x14ac:dyDescent="0.15">
      <c r="A356" s="326">
        <v>45157</v>
      </c>
      <c r="B356" s="331" t="str">
        <f t="shared" si="34"/>
        <v/>
      </c>
      <c r="C356" s="316" t="str">
        <f t="shared" si="33"/>
        <v/>
      </c>
      <c r="D356" s="316" t="str">
        <f t="shared" si="31"/>
        <v/>
      </c>
      <c r="E356" s="316" t="str">
        <f t="shared" si="32"/>
        <v/>
      </c>
      <c r="F356" s="316" t="str">
        <f t="shared" si="30"/>
        <v/>
      </c>
      <c r="G356" s="330"/>
    </row>
    <row r="357" spans="1:7" ht="20" customHeight="1" x14ac:dyDescent="0.15">
      <c r="A357" s="326">
        <v>45158</v>
      </c>
      <c r="B357" s="331" t="str">
        <f t="shared" si="34"/>
        <v/>
      </c>
      <c r="C357" s="316" t="str">
        <f t="shared" si="33"/>
        <v/>
      </c>
      <c r="D357" s="316" t="str">
        <f t="shared" si="31"/>
        <v/>
      </c>
      <c r="E357" s="316" t="str">
        <f t="shared" si="32"/>
        <v/>
      </c>
      <c r="F357" s="316" t="str">
        <f t="shared" si="30"/>
        <v/>
      </c>
      <c r="G357" s="330"/>
    </row>
    <row r="358" spans="1:7" ht="20" customHeight="1" x14ac:dyDescent="0.15">
      <c r="A358" s="326">
        <v>45159</v>
      </c>
      <c r="B358" s="327">
        <f t="shared" si="34"/>
        <v>715.44104431211031</v>
      </c>
      <c r="C358" s="328">
        <f t="shared" si="33"/>
        <v>0.28190319086557242</v>
      </c>
      <c r="D358" s="329">
        <f t="shared" si="31"/>
        <v>0.36387504069173177</v>
      </c>
      <c r="E358" s="329">
        <f t="shared" si="32"/>
        <v>8.1971849826159349E-2</v>
      </c>
      <c r="F358" s="330">
        <f t="shared" si="30"/>
        <v>3.9402714326603898E-4</v>
      </c>
      <c r="G358" s="330"/>
    </row>
    <row r="359" spans="1:7" ht="20" customHeight="1" x14ac:dyDescent="0.15">
      <c r="A359" s="326">
        <v>45160</v>
      </c>
      <c r="B359" s="327">
        <f t="shared" si="34"/>
        <v>716.00485069384149</v>
      </c>
      <c r="C359" s="328">
        <f t="shared" si="33"/>
        <v>0.28212534588352112</v>
      </c>
      <c r="D359" s="329">
        <f t="shared" si="31"/>
        <v>0.36416179397731091</v>
      </c>
      <c r="E359" s="329">
        <f t="shared" si="32"/>
        <v>8.2036448093789793E-2</v>
      </c>
      <c r="F359" s="330">
        <f t="shared" si="30"/>
        <v>3.9402714326603898E-4</v>
      </c>
      <c r="G359" s="330"/>
    </row>
    <row r="360" spans="1:7" ht="20" customHeight="1" x14ac:dyDescent="0.15">
      <c r="A360" s="326">
        <v>45161</v>
      </c>
      <c r="B360" s="327">
        <f t="shared" si="34"/>
        <v>716.56910138560852</v>
      </c>
      <c r="C360" s="328">
        <f t="shared" si="33"/>
        <v>0.28234767597168398</v>
      </c>
      <c r="D360" s="329">
        <f t="shared" si="31"/>
        <v>0.36444877324004599</v>
      </c>
      <c r="E360" s="329">
        <f t="shared" si="32"/>
        <v>8.2101097268362011E-2</v>
      </c>
      <c r="F360" s="330">
        <f t="shared" si="30"/>
        <v>3.9402714326603898E-4</v>
      </c>
      <c r="G360" s="330"/>
    </row>
    <row r="361" spans="1:7" ht="20" customHeight="1" x14ac:dyDescent="0.15">
      <c r="A361" s="326">
        <v>45162</v>
      </c>
      <c r="B361" s="327">
        <f t="shared" si="34"/>
        <v>717.13379673755185</v>
      </c>
      <c r="C361" s="328">
        <f t="shared" si="33"/>
        <v>0.2825701812680258</v>
      </c>
      <c r="D361" s="329">
        <f t="shared" si="31"/>
        <v>0.3647359786580191</v>
      </c>
      <c r="E361" s="329">
        <f t="shared" si="32"/>
        <v>8.21657973899933E-2</v>
      </c>
      <c r="F361" s="330">
        <f t="shared" si="30"/>
        <v>3.9402714326603898E-4</v>
      </c>
      <c r="G361" s="330"/>
    </row>
    <row r="362" spans="1:7" ht="20" customHeight="1" x14ac:dyDescent="0.15">
      <c r="A362" s="326">
        <v>45163</v>
      </c>
      <c r="B362" s="327">
        <f t="shared" si="34"/>
        <v>717.69893710008785</v>
      </c>
      <c r="C362" s="328">
        <f t="shared" si="33"/>
        <v>0.2827928619106202</v>
      </c>
      <c r="D362" s="329">
        <f t="shared" si="31"/>
        <v>0.36502341040945296</v>
      </c>
      <c r="E362" s="329">
        <f t="shared" si="32"/>
        <v>8.2230548498832767E-2</v>
      </c>
      <c r="F362" s="330">
        <f t="shared" si="30"/>
        <v>3.9402714326603898E-4</v>
      </c>
      <c r="G362" s="330"/>
    </row>
    <row r="363" spans="1:7" ht="20" customHeight="1" x14ac:dyDescent="0.15">
      <c r="A363" s="326">
        <v>45164</v>
      </c>
      <c r="B363" s="331" t="str">
        <f t="shared" si="34"/>
        <v/>
      </c>
      <c r="C363" s="316" t="str">
        <f t="shared" si="33"/>
        <v/>
      </c>
      <c r="D363" s="316" t="str">
        <f t="shared" si="31"/>
        <v/>
      </c>
      <c r="E363" s="316" t="str">
        <f t="shared" si="32"/>
        <v/>
      </c>
      <c r="F363" s="316" t="str">
        <f t="shared" si="30"/>
        <v/>
      </c>
      <c r="G363" s="330"/>
    </row>
    <row r="364" spans="1:7" ht="20" customHeight="1" x14ac:dyDescent="0.15">
      <c r="A364" s="326">
        <v>45165</v>
      </c>
      <c r="B364" s="331" t="str">
        <f t="shared" si="34"/>
        <v/>
      </c>
      <c r="C364" s="316" t="str">
        <f t="shared" si="33"/>
        <v/>
      </c>
      <c r="D364" s="316" t="str">
        <f t="shared" si="31"/>
        <v/>
      </c>
      <c r="E364" s="316" t="str">
        <f t="shared" si="32"/>
        <v/>
      </c>
      <c r="F364" s="316" t="str">
        <f t="shared" si="30"/>
        <v/>
      </c>
      <c r="G364" s="330"/>
    </row>
    <row r="365" spans="1:7" ht="20" customHeight="1" x14ac:dyDescent="0.15">
      <c r="A365" s="326">
        <v>45166</v>
      </c>
      <c r="B365" s="327">
        <f>IF(OR(WEEKDAY($A365)=7,WEEKDAY($A365)=1),"",IF(B364="",IF(B363="",B362,B363),B364)+IF(A$2=TRUE,IF(C364="",IF(C363="",C362,C363),C364)*2,IF(C364="",IF(C363="",C362,C363),C364)))-G152</f>
        <v>597.04452282390901</v>
      </c>
      <c r="C365" s="328">
        <f t="shared" si="33"/>
        <v>0.23525174773094026</v>
      </c>
      <c r="D365" s="329">
        <f t="shared" si="31"/>
        <v>0.30365828430518532</v>
      </c>
      <c r="E365" s="329">
        <f t="shared" si="32"/>
        <v>6.8406536574245058E-2</v>
      </c>
      <c r="F365" s="330">
        <f t="shared" si="30"/>
        <v>3.9402714326603898E-4</v>
      </c>
      <c r="G365" s="330"/>
    </row>
    <row r="366" spans="1:7" ht="20" customHeight="1" x14ac:dyDescent="0.15">
      <c r="A366" s="326">
        <v>45167</v>
      </c>
      <c r="B366" s="327">
        <f t="shared" ref="B366:B394" si="35">IF(OR(WEEKDAY($A366)=7,WEEKDAY($A366)=1),"",IF(B365="",IF(B364="",B363,B364),B365)+IF(A$2=TRUE,IF(C365="",IF(C364="",C363,C364),C365)*2,IF(C365="",IF(C364="",C363,C364),C365)))</f>
        <v>597.51502631937092</v>
      </c>
      <c r="C366" s="328">
        <f t="shared" si="33"/>
        <v>0.23543713887915382</v>
      </c>
      <c r="D366" s="329">
        <f t="shared" si="31"/>
        <v>0.30389758351777302</v>
      </c>
      <c r="E366" s="329">
        <f t="shared" si="32"/>
        <v>6.8460444638619194E-2</v>
      </c>
      <c r="F366" s="330">
        <f t="shared" si="30"/>
        <v>3.9402714326603898E-4</v>
      </c>
      <c r="G366" s="330"/>
    </row>
    <row r="367" spans="1:7" ht="20" customHeight="1" x14ac:dyDescent="0.15">
      <c r="A367" s="326">
        <v>45168</v>
      </c>
      <c r="B367" s="327">
        <f t="shared" si="35"/>
        <v>597.98590059712922</v>
      </c>
      <c r="C367" s="328">
        <f t="shared" si="33"/>
        <v>0.23562267612565638</v>
      </c>
      <c r="D367" s="329">
        <f t="shared" si="31"/>
        <v>0.30413707131113094</v>
      </c>
      <c r="E367" s="329">
        <f t="shared" si="32"/>
        <v>6.8514395185474558E-2</v>
      </c>
      <c r="F367" s="330">
        <f t="shared" si="30"/>
        <v>3.9402714326603898E-4</v>
      </c>
      <c r="G367" s="328">
        <f>G368*B338</f>
        <v>-109.13706614847706</v>
      </c>
    </row>
    <row r="368" spans="1:7" ht="20" customHeight="1" x14ac:dyDescent="0.15">
      <c r="A368" s="326">
        <v>45169</v>
      </c>
      <c r="B368" s="327">
        <f t="shared" si="35"/>
        <v>598.45714594938056</v>
      </c>
      <c r="C368" s="328">
        <f t="shared" si="33"/>
        <v>0.23580835958558138</v>
      </c>
      <c r="D368" s="329">
        <f t="shared" si="31"/>
        <v>0.30437674783387098</v>
      </c>
      <c r="E368" s="329">
        <f t="shared" si="32"/>
        <v>6.8568388248289591E-2</v>
      </c>
      <c r="F368" s="330">
        <f t="shared" si="30"/>
        <v>3.9402714326603898E-4</v>
      </c>
      <c r="G368" s="330">
        <f>(B368-B338)/B338</f>
        <v>-0.15423679883546562</v>
      </c>
    </row>
    <row r="369" spans="1:7" ht="20" customHeight="1" x14ac:dyDescent="0.15">
      <c r="A369" s="326">
        <v>45170</v>
      </c>
      <c r="B369" s="327">
        <f t="shared" si="35"/>
        <v>598.92876266855171</v>
      </c>
      <c r="C369" s="328">
        <f t="shared" si="33"/>
        <v>0.2359941893741529</v>
      </c>
      <c r="D369" s="329">
        <f t="shared" si="31"/>
        <v>0.30461661323472217</v>
      </c>
      <c r="E369" s="329">
        <f t="shared" si="32"/>
        <v>6.862242386056927E-2</v>
      </c>
      <c r="F369" s="330">
        <f t="shared" si="30"/>
        <v>3.9402714326603898E-4</v>
      </c>
      <c r="G369" s="330"/>
    </row>
    <row r="370" spans="1:7" ht="20" customHeight="1" x14ac:dyDescent="0.15">
      <c r="A370" s="326">
        <v>45171</v>
      </c>
      <c r="B370" s="331" t="str">
        <f t="shared" si="35"/>
        <v/>
      </c>
      <c r="C370" s="316" t="str">
        <f t="shared" si="33"/>
        <v/>
      </c>
      <c r="D370" s="316" t="str">
        <f t="shared" si="31"/>
        <v/>
      </c>
      <c r="E370" s="316" t="str">
        <f t="shared" si="32"/>
        <v/>
      </c>
      <c r="F370" s="316" t="str">
        <f t="shared" si="30"/>
        <v/>
      </c>
      <c r="G370" s="332" t="e">
        <f>"Anual: "&amp;ROUND(((B370-B9)/B9)*100,4)&amp;"%"</f>
        <v>#VALUE!</v>
      </c>
    </row>
    <row r="371" spans="1:7" ht="20" customHeight="1" x14ac:dyDescent="0.15">
      <c r="A371" s="326">
        <v>45172</v>
      </c>
      <c r="B371" s="331" t="str">
        <f t="shared" si="35"/>
        <v/>
      </c>
      <c r="C371" s="316" t="str">
        <f t="shared" si="33"/>
        <v/>
      </c>
      <c r="D371" s="316" t="str">
        <f t="shared" si="31"/>
        <v/>
      </c>
      <c r="E371" s="316" t="str">
        <f t="shared" si="32"/>
        <v/>
      </c>
      <c r="F371" s="316" t="str">
        <f t="shared" si="30"/>
        <v/>
      </c>
      <c r="G371" s="332"/>
    </row>
    <row r="372" spans="1:7" ht="20" customHeight="1" x14ac:dyDescent="0.15">
      <c r="A372" s="326">
        <v>45173</v>
      </c>
      <c r="B372" s="327">
        <f t="shared" si="35"/>
        <v>599.40075104729999</v>
      </c>
      <c r="C372" s="328">
        <f t="shared" si="33"/>
        <v>0.23618016560668584</v>
      </c>
      <c r="D372" s="329">
        <f t="shared" si="31"/>
        <v>0.30485666766253061</v>
      </c>
      <c r="E372" s="329">
        <f t="shared" si="32"/>
        <v>6.8676502055844774E-2</v>
      </c>
      <c r="F372" s="330">
        <f t="shared" si="30"/>
        <v>3.9402714326603898E-4</v>
      </c>
      <c r="G372" s="332"/>
    </row>
    <row r="373" spans="1:7" ht="20" customHeight="1" x14ac:dyDescent="0.15">
      <c r="A373" s="326">
        <v>45174</v>
      </c>
      <c r="B373" s="327">
        <f t="shared" si="35"/>
        <v>599.87311137851339</v>
      </c>
      <c r="C373" s="328">
        <f t="shared" si="33"/>
        <v>0.23636628839858606</v>
      </c>
      <c r="D373" s="329">
        <f t="shared" si="31"/>
        <v>0.30509691126625998</v>
      </c>
      <c r="E373" s="329">
        <f t="shared" si="32"/>
        <v>6.8730622867673924E-2</v>
      </c>
      <c r="F373" s="330">
        <f t="shared" si="30"/>
        <v>3.9402714326603898E-4</v>
      </c>
      <c r="G373" s="332"/>
    </row>
    <row r="374" spans="1:7" ht="20" customHeight="1" x14ac:dyDescent="0.15">
      <c r="A374" s="326">
        <v>45175</v>
      </c>
      <c r="B374" s="327">
        <f t="shared" si="35"/>
        <v>600.34584395531056</v>
      </c>
      <c r="C374" s="328">
        <f t="shared" si="33"/>
        <v>0.23655255786535023</v>
      </c>
      <c r="D374" s="329">
        <f t="shared" si="31"/>
        <v>0.30533734419499103</v>
      </c>
      <c r="E374" s="329">
        <f t="shared" si="32"/>
        <v>6.8784786329640801E-2</v>
      </c>
      <c r="F374" s="330">
        <f t="shared" si="30"/>
        <v>3.9402714326603898E-4</v>
      </c>
      <c r="G374" s="332"/>
    </row>
    <row r="375" spans="1:7" ht="20" customHeight="1" x14ac:dyDescent="0.15">
      <c r="A375" s="326">
        <v>45176</v>
      </c>
      <c r="B375" s="327">
        <f t="shared" si="35"/>
        <v>600.81894907104129</v>
      </c>
      <c r="C375" s="328">
        <f t="shared" si="33"/>
        <v>0.23673897412256617</v>
      </c>
      <c r="D375" s="329">
        <f t="shared" si="31"/>
        <v>0.30557796659792225</v>
      </c>
      <c r="E375" s="329">
        <f t="shared" si="32"/>
        <v>6.8838992475356076E-2</v>
      </c>
      <c r="F375" s="330">
        <f t="shared" si="30"/>
        <v>3.9402714326603898E-4</v>
      </c>
      <c r="G375" s="332"/>
    </row>
    <row r="376" spans="1:7" ht="20" customHeight="1" x14ac:dyDescent="0.15">
      <c r="A376" s="326">
        <v>45177</v>
      </c>
      <c r="B376" s="327">
        <f t="shared" si="35"/>
        <v>601.29242701928638</v>
      </c>
      <c r="C376" s="328">
        <f t="shared" si="33"/>
        <v>0.23692553728591265</v>
      </c>
      <c r="D376" s="329">
        <f t="shared" si="31"/>
        <v>0.30581877862436951</v>
      </c>
      <c r="E376" s="329">
        <f t="shared" si="32"/>
        <v>6.8893241338456868E-2</v>
      </c>
      <c r="F376" s="330">
        <f t="shared" si="30"/>
        <v>3.9402714326603898E-4</v>
      </c>
      <c r="G376" s="332"/>
    </row>
    <row r="377" spans="1:7" ht="20" customHeight="1" x14ac:dyDescent="0.15">
      <c r="A377" s="326">
        <v>45178</v>
      </c>
      <c r="B377" s="331" t="str">
        <f t="shared" si="35"/>
        <v/>
      </c>
      <c r="C377" s="316" t="str">
        <f t="shared" si="33"/>
        <v/>
      </c>
      <c r="D377" s="316" t="str">
        <f t="shared" si="31"/>
        <v/>
      </c>
      <c r="E377" s="316" t="str">
        <f t="shared" si="32"/>
        <v/>
      </c>
      <c r="F377" s="316" t="str">
        <f t="shared" si="30"/>
        <v/>
      </c>
      <c r="G377" s="332"/>
    </row>
    <row r="378" spans="1:7" ht="20" customHeight="1" x14ac:dyDescent="0.15">
      <c r="A378" s="326">
        <v>45179</v>
      </c>
      <c r="B378" s="331" t="str">
        <f t="shared" si="35"/>
        <v/>
      </c>
      <c r="C378" s="316" t="str">
        <f t="shared" si="33"/>
        <v/>
      </c>
      <c r="D378" s="316" t="str">
        <f t="shared" si="31"/>
        <v/>
      </c>
      <c r="E378" s="316" t="str">
        <f t="shared" si="32"/>
        <v/>
      </c>
      <c r="F378" s="316" t="str">
        <f t="shared" si="30"/>
        <v/>
      </c>
      <c r="G378" s="332"/>
    </row>
    <row r="379" spans="1:7" ht="20" customHeight="1" x14ac:dyDescent="0.15">
      <c r="A379" s="326">
        <v>45180</v>
      </c>
      <c r="B379" s="327">
        <f t="shared" si="35"/>
        <v>601.7662780938582</v>
      </c>
      <c r="C379" s="328">
        <f t="shared" si="33"/>
        <v>0.23711224747115972</v>
      </c>
      <c r="D379" s="329">
        <f t="shared" si="31"/>
        <v>0.30605978042376641</v>
      </c>
      <c r="E379" s="329">
        <f t="shared" si="32"/>
        <v>6.8947532952606694E-2</v>
      </c>
      <c r="F379" s="330">
        <f t="shared" si="30"/>
        <v>3.9402714326603898E-4</v>
      </c>
      <c r="G379" s="332"/>
    </row>
    <row r="380" spans="1:7" ht="20" customHeight="1" x14ac:dyDescent="0.15">
      <c r="A380" s="326">
        <v>45181</v>
      </c>
      <c r="B380" s="327">
        <f t="shared" si="35"/>
        <v>602.2405025888005</v>
      </c>
      <c r="C380" s="328">
        <f t="shared" si="33"/>
        <v>0.2372991047941686</v>
      </c>
      <c r="D380" s="329">
        <f t="shared" si="31"/>
        <v>0.30630097214566443</v>
      </c>
      <c r="E380" s="329">
        <f t="shared" si="32"/>
        <v>6.9001867351495827E-2</v>
      </c>
      <c r="F380" s="330">
        <f t="shared" si="30"/>
        <v>3.9402714326603898E-4</v>
      </c>
      <c r="G380" s="332"/>
    </row>
    <row r="381" spans="1:7" ht="20" customHeight="1" x14ac:dyDescent="0.15">
      <c r="A381" s="326">
        <v>45182</v>
      </c>
      <c r="B381" s="327">
        <f t="shared" si="35"/>
        <v>602.71510079838879</v>
      </c>
      <c r="C381" s="328">
        <f t="shared" si="33"/>
        <v>0.23748610937089187</v>
      </c>
      <c r="D381" s="329">
        <f t="shared" si="31"/>
        <v>0.30654235393973278</v>
      </c>
      <c r="E381" s="329">
        <f t="shared" si="32"/>
        <v>6.9056244568840908E-2</v>
      </c>
      <c r="F381" s="330">
        <f t="shared" si="30"/>
        <v>3.9402714326603898E-4</v>
      </c>
      <c r="G381" s="332"/>
    </row>
    <row r="382" spans="1:7" ht="20" customHeight="1" x14ac:dyDescent="0.15">
      <c r="A382" s="326">
        <v>45183</v>
      </c>
      <c r="B382" s="327">
        <f t="shared" si="35"/>
        <v>603.19007301713054</v>
      </c>
      <c r="C382" s="328">
        <f t="shared" si="33"/>
        <v>0.2376732613173734</v>
      </c>
      <c r="D382" s="329">
        <f t="shared" si="31"/>
        <v>0.30678392595575854</v>
      </c>
      <c r="E382" s="329">
        <f t="shared" si="32"/>
        <v>6.9110664638385139E-2</v>
      </c>
      <c r="F382" s="330">
        <f t="shared" si="30"/>
        <v>3.9402714326603898E-4</v>
      </c>
      <c r="G382" s="332"/>
    </row>
    <row r="383" spans="1:7" ht="20" customHeight="1" x14ac:dyDescent="0.15">
      <c r="A383" s="326">
        <v>45184</v>
      </c>
      <c r="B383" s="327">
        <f t="shared" si="35"/>
        <v>603.66541953976525</v>
      </c>
      <c r="C383" s="328">
        <f t="shared" si="33"/>
        <v>0.23786056074974862</v>
      </c>
      <c r="D383" s="329">
        <f t="shared" si="31"/>
        <v>0.30702568834364713</v>
      </c>
      <c r="E383" s="329">
        <f t="shared" si="32"/>
        <v>6.9165127593898507E-2</v>
      </c>
      <c r="F383" s="330">
        <f t="shared" si="30"/>
        <v>3.9402714326603898E-4</v>
      </c>
      <c r="G383" s="332"/>
    </row>
    <row r="384" spans="1:7" ht="20" customHeight="1" x14ac:dyDescent="0.15">
      <c r="A384" s="326">
        <v>45185</v>
      </c>
      <c r="B384" s="331" t="str">
        <f t="shared" si="35"/>
        <v/>
      </c>
      <c r="C384" s="316" t="str">
        <f t="shared" si="33"/>
        <v/>
      </c>
      <c r="D384" s="316" t="str">
        <f t="shared" si="31"/>
        <v/>
      </c>
      <c r="E384" s="316" t="str">
        <f t="shared" si="32"/>
        <v/>
      </c>
      <c r="F384" s="316" t="str">
        <f t="shared" si="30"/>
        <v/>
      </c>
      <c r="G384" s="332"/>
    </row>
    <row r="385" spans="1:7" ht="20" customHeight="1" x14ac:dyDescent="0.15">
      <c r="A385" s="326">
        <v>45186</v>
      </c>
      <c r="B385" s="331" t="str">
        <f t="shared" si="35"/>
        <v/>
      </c>
      <c r="C385" s="316" t="str">
        <f t="shared" si="33"/>
        <v/>
      </c>
      <c r="D385" s="316" t="str">
        <f t="shared" si="31"/>
        <v/>
      </c>
      <c r="E385" s="316" t="str">
        <f t="shared" si="32"/>
        <v/>
      </c>
      <c r="F385" s="316" t="str">
        <f t="shared" si="30"/>
        <v/>
      </c>
      <c r="G385" s="332"/>
    </row>
    <row r="386" spans="1:7" ht="20" customHeight="1" x14ac:dyDescent="0.15">
      <c r="A386" s="326">
        <v>45187</v>
      </c>
      <c r="B386" s="327">
        <f t="shared" si="35"/>
        <v>604.14114066126479</v>
      </c>
      <c r="C386" s="328">
        <f t="shared" si="33"/>
        <v>0.2380480077842444</v>
      </c>
      <c r="D386" s="329">
        <f t="shared" si="31"/>
        <v>0.30726764125342182</v>
      </c>
      <c r="E386" s="329">
        <f t="shared" si="32"/>
        <v>6.9219633469177422E-2</v>
      </c>
      <c r="F386" s="330">
        <f t="shared" si="30"/>
        <v>3.9402714326603898E-4</v>
      </c>
      <c r="G386" s="332"/>
    </row>
    <row r="387" spans="1:7" ht="20" customHeight="1" x14ac:dyDescent="0.15">
      <c r="A387" s="326">
        <v>45188</v>
      </c>
      <c r="B387" s="327">
        <f t="shared" si="35"/>
        <v>604.61723667683327</v>
      </c>
      <c r="C387" s="328">
        <f t="shared" si="33"/>
        <v>0.23823560253717918</v>
      </c>
      <c r="D387" s="329">
        <f t="shared" si="31"/>
        <v>0.30750978483522418</v>
      </c>
      <c r="E387" s="329">
        <f t="shared" si="32"/>
        <v>6.9274182298044995E-2</v>
      </c>
      <c r="F387" s="330">
        <f t="shared" si="30"/>
        <v>3.9402714326603898E-4</v>
      </c>
      <c r="G387" s="332"/>
    </row>
    <row r="388" spans="1:7" ht="20" customHeight="1" x14ac:dyDescent="0.15">
      <c r="A388" s="326">
        <v>45189</v>
      </c>
      <c r="B388" s="327">
        <f t="shared" si="35"/>
        <v>605.09370788190768</v>
      </c>
      <c r="C388" s="328">
        <f t="shared" si="33"/>
        <v>0.23842334512496319</v>
      </c>
      <c r="D388" s="329">
        <f t="shared" si="31"/>
        <v>0.30775211923931417</v>
      </c>
      <c r="E388" s="329">
        <f t="shared" si="32"/>
        <v>6.9328774114350983E-2</v>
      </c>
      <c r="F388" s="330">
        <f t="shared" ref="F388:F451" si="36">IF(B388="","",C388/B388)</f>
        <v>3.9402714326603898E-4</v>
      </c>
      <c r="G388" s="332"/>
    </row>
    <row r="389" spans="1:7" ht="20" customHeight="1" x14ac:dyDescent="0.15">
      <c r="A389" s="326">
        <v>45190</v>
      </c>
      <c r="B389" s="327">
        <f t="shared" si="35"/>
        <v>605.57055457215756</v>
      </c>
      <c r="C389" s="328">
        <f t="shared" si="33"/>
        <v>0.2386112356640982</v>
      </c>
      <c r="D389" s="329">
        <f t="shared" si="31"/>
        <v>0.30799464461607001</v>
      </c>
      <c r="E389" s="329">
        <f t="shared" si="32"/>
        <v>6.9383408951971814E-2</v>
      </c>
      <c r="F389" s="330">
        <f t="shared" si="36"/>
        <v>3.9402714326603898E-4</v>
      </c>
      <c r="G389" s="332"/>
    </row>
    <row r="390" spans="1:7" ht="20" customHeight="1" x14ac:dyDescent="0.15">
      <c r="A390" s="326">
        <v>45191</v>
      </c>
      <c r="B390" s="327">
        <f t="shared" si="35"/>
        <v>606.04777704348578</v>
      </c>
      <c r="C390" s="328">
        <f t="shared" si="33"/>
        <v>0.23879927427117803</v>
      </c>
      <c r="D390" s="329">
        <f t="shared" si="31"/>
        <v>0.30823736111598865</v>
      </c>
      <c r="E390" s="329">
        <f t="shared" si="32"/>
        <v>6.943808684481062E-2</v>
      </c>
      <c r="F390" s="330">
        <f t="shared" si="36"/>
        <v>3.9402714326603898E-4</v>
      </c>
      <c r="G390" s="332"/>
    </row>
    <row r="391" spans="1:7" ht="20" customHeight="1" x14ac:dyDescent="0.15">
      <c r="A391" s="326">
        <v>45192</v>
      </c>
      <c r="B391" s="331" t="str">
        <f t="shared" si="35"/>
        <v/>
      </c>
      <c r="C391" s="316" t="str">
        <f t="shared" si="33"/>
        <v/>
      </c>
      <c r="D391" s="316" t="str">
        <f t="shared" ref="D391:D454" si="37">IF(C391="","",(D$3*$C391)/$C$3)</f>
        <v/>
      </c>
      <c r="E391" s="316" t="str">
        <f t="shared" ref="E391:E454" si="38">IF(C391="","",D391-$C391)</f>
        <v/>
      </c>
      <c r="F391" s="316" t="str">
        <f t="shared" si="36"/>
        <v/>
      </c>
      <c r="G391" s="332"/>
    </row>
    <row r="392" spans="1:7" ht="20" customHeight="1" x14ac:dyDescent="0.15">
      <c r="A392" s="326">
        <v>45193</v>
      </c>
      <c r="B392" s="331" t="str">
        <f t="shared" si="35"/>
        <v/>
      </c>
      <c r="C392" s="316" t="str">
        <f t="shared" si="33"/>
        <v/>
      </c>
      <c r="D392" s="316" t="str">
        <f t="shared" si="37"/>
        <v/>
      </c>
      <c r="E392" s="316" t="str">
        <f t="shared" si="38"/>
        <v/>
      </c>
      <c r="F392" s="316" t="str">
        <f t="shared" si="36"/>
        <v/>
      </c>
      <c r="G392" s="332"/>
    </row>
    <row r="393" spans="1:7" ht="20" customHeight="1" x14ac:dyDescent="0.15">
      <c r="A393" s="326">
        <v>45194</v>
      </c>
      <c r="B393" s="327">
        <f t="shared" si="35"/>
        <v>606.52537559202813</v>
      </c>
      <c r="C393" s="328">
        <f t="shared" si="33"/>
        <v>0.23898746106288818</v>
      </c>
      <c r="D393" s="329">
        <f t="shared" si="37"/>
        <v>0.30848026888968544</v>
      </c>
      <c r="E393" s="329">
        <f t="shared" si="38"/>
        <v>6.9492807826797259E-2</v>
      </c>
      <c r="F393" s="330">
        <f t="shared" si="36"/>
        <v>3.9402714326603898E-4</v>
      </c>
      <c r="G393" s="332"/>
    </row>
    <row r="394" spans="1:7" ht="20" customHeight="1" x14ac:dyDescent="0.15">
      <c r="A394" s="326">
        <v>45195</v>
      </c>
      <c r="B394" s="327">
        <f t="shared" si="35"/>
        <v>607.00335051415391</v>
      </c>
      <c r="C394" s="328">
        <f t="shared" si="33"/>
        <v>0.2391757961560062</v>
      </c>
      <c r="D394" s="329">
        <f t="shared" si="37"/>
        <v>0.30872336808789452</v>
      </c>
      <c r="E394" s="329">
        <f t="shared" si="38"/>
        <v>6.9547571931888319E-2</v>
      </c>
      <c r="F394" s="330">
        <f t="shared" si="36"/>
        <v>3.9402714326603898E-4</v>
      </c>
      <c r="G394" s="332"/>
    </row>
    <row r="395" spans="1:7" ht="20" customHeight="1" x14ac:dyDescent="0.15">
      <c r="A395" s="326">
        <v>45196</v>
      </c>
      <c r="B395" s="327">
        <f>IF(OR(WEEKDAY($A395)=7,WEEKDAY($A395)=1),"",IF(B394="",IF(B393="",B392,B393),B394)+IF(A$2=TRUE,IF(C394="",IF(C393="",C392,C393),C394)*2,IF(C394="",IF(C393="",C392,C393),C394)))-G152</f>
        <v>486.26170210646592</v>
      </c>
      <c r="C395" s="328">
        <f t="shared" ref="C395:C458" si="39">IF(B395="","",B395*F$6)</f>
        <v>0.19160030936069242</v>
      </c>
      <c r="D395" s="329">
        <f t="shared" si="37"/>
        <v>0.24731387449394338</v>
      </c>
      <c r="E395" s="329">
        <f t="shared" si="38"/>
        <v>5.5713565133250958E-2</v>
      </c>
      <c r="F395" s="330">
        <f t="shared" si="36"/>
        <v>3.9402714326603898E-4</v>
      </c>
      <c r="G395" s="332"/>
    </row>
    <row r="396" spans="1:7" ht="20" customHeight="1" x14ac:dyDescent="0.15">
      <c r="A396" s="326">
        <v>45197</v>
      </c>
      <c r="B396" s="327">
        <f t="shared" ref="B396:B424" si="40">IF(OR(WEEKDAY($A396)=7,WEEKDAY($A396)=1),"",IF(B395="",IF(B394="",B393,B394),B395)+IF(A$2=TRUE,IF(C395="",IF(C394="",C393,C394),C395)*2,IF(C395="",IF(C394="",C393,C394),C395)))</f>
        <v>486.64490272518731</v>
      </c>
      <c r="C396" s="328">
        <f t="shared" si="39"/>
        <v>0.19175130080578498</v>
      </c>
      <c r="D396" s="329">
        <f t="shared" si="37"/>
        <v>0.2475087712528572</v>
      </c>
      <c r="E396" s="329">
        <f t="shared" si="38"/>
        <v>5.5757470447072216E-2</v>
      </c>
      <c r="F396" s="330">
        <f t="shared" si="36"/>
        <v>3.9402714326603898E-4</v>
      </c>
      <c r="G396" s="332"/>
    </row>
    <row r="397" spans="1:7" ht="20" customHeight="1" x14ac:dyDescent="0.15">
      <c r="A397" s="326">
        <v>45198</v>
      </c>
      <c r="B397" s="327">
        <f t="shared" si="40"/>
        <v>487.02840532679886</v>
      </c>
      <c r="C397" s="328">
        <f t="shared" si="39"/>
        <v>0.19190241124033308</v>
      </c>
      <c r="D397" s="329">
        <f t="shared" si="37"/>
        <v>0.24770382160099727</v>
      </c>
      <c r="E397" s="329">
        <f t="shared" si="38"/>
        <v>5.5801410360664189E-2</v>
      </c>
      <c r="F397" s="330">
        <f t="shared" si="36"/>
        <v>3.9402714326603898E-4</v>
      </c>
      <c r="G397" s="332"/>
    </row>
    <row r="398" spans="1:7" ht="20" customHeight="1" x14ac:dyDescent="0.15">
      <c r="A398" s="326">
        <v>45199</v>
      </c>
      <c r="B398" s="331" t="str">
        <f t="shared" si="40"/>
        <v/>
      </c>
      <c r="C398" s="316" t="str">
        <f t="shared" si="39"/>
        <v/>
      </c>
      <c r="D398" s="316" t="str">
        <f t="shared" si="37"/>
        <v/>
      </c>
      <c r="E398" s="316" t="str">
        <f t="shared" si="38"/>
        <v/>
      </c>
      <c r="F398" s="316" t="str">
        <f t="shared" si="36"/>
        <v/>
      </c>
      <c r="G398" s="332"/>
    </row>
    <row r="399" spans="1:7" ht="20" customHeight="1" x14ac:dyDescent="0.15">
      <c r="A399" s="326">
        <v>45200</v>
      </c>
      <c r="B399" s="331" t="str">
        <f t="shared" si="40"/>
        <v/>
      </c>
      <c r="C399" s="316" t="str">
        <f t="shared" si="39"/>
        <v/>
      </c>
      <c r="D399" s="316" t="str">
        <f t="shared" si="37"/>
        <v/>
      </c>
      <c r="E399" s="316" t="str">
        <f t="shared" si="38"/>
        <v/>
      </c>
      <c r="F399" s="316" t="str">
        <f t="shared" si="36"/>
        <v/>
      </c>
      <c r="G399" s="332"/>
    </row>
    <row r="400" spans="1:7" ht="20" customHeight="1" x14ac:dyDescent="0.15">
      <c r="A400" s="326">
        <v>45201</v>
      </c>
      <c r="B400" s="327">
        <f t="shared" si="40"/>
        <v>487.41221014927953</v>
      </c>
      <c r="C400" s="328">
        <f t="shared" si="39"/>
        <v>0.19205364075810685</v>
      </c>
      <c r="D400" s="329">
        <f t="shared" si="37"/>
        <v>0.24789902565940031</v>
      </c>
      <c r="E400" s="329">
        <f t="shared" si="38"/>
        <v>5.5845384901293454E-2</v>
      </c>
      <c r="F400" s="330">
        <f t="shared" si="36"/>
        <v>3.9402714326603898E-4</v>
      </c>
      <c r="G400" s="332"/>
    </row>
    <row r="401" spans="1:7" ht="20" customHeight="1" x14ac:dyDescent="0.15">
      <c r="A401" s="326">
        <v>45202</v>
      </c>
      <c r="B401" s="327">
        <f t="shared" si="40"/>
        <v>487.79631743079574</v>
      </c>
      <c r="C401" s="328">
        <f t="shared" si="39"/>
        <v>0.19220498945295039</v>
      </c>
      <c r="D401" s="329">
        <f t="shared" si="37"/>
        <v>0.24809438354919838</v>
      </c>
      <c r="E401" s="329">
        <f t="shared" si="38"/>
        <v>5.5889394096247991E-2</v>
      </c>
      <c r="F401" s="330">
        <f t="shared" si="36"/>
        <v>3.9402714326603898E-4</v>
      </c>
      <c r="G401" s="332"/>
    </row>
    <row r="402" spans="1:7" ht="20" customHeight="1" x14ac:dyDescent="0.15">
      <c r="A402" s="326">
        <v>45203</v>
      </c>
      <c r="B402" s="327">
        <f t="shared" si="40"/>
        <v>488.18072740970166</v>
      </c>
      <c r="C402" s="328">
        <f t="shared" si="39"/>
        <v>0.19235645741878163</v>
      </c>
      <c r="D402" s="329">
        <f t="shared" si="37"/>
        <v>0.24828989539161883</v>
      </c>
      <c r="E402" s="329">
        <f t="shared" si="38"/>
        <v>5.5933437972837202E-2</v>
      </c>
      <c r="F402" s="330">
        <f t="shared" si="36"/>
        <v>3.9402714326603898E-4</v>
      </c>
      <c r="G402" s="332"/>
    </row>
    <row r="403" spans="1:7" ht="20" customHeight="1" x14ac:dyDescent="0.15">
      <c r="A403" s="326">
        <v>45204</v>
      </c>
      <c r="B403" s="327">
        <f t="shared" si="40"/>
        <v>488.56544032453922</v>
      </c>
      <c r="C403" s="328">
        <f t="shared" si="39"/>
        <v>0.19250804474959263</v>
      </c>
      <c r="D403" s="329">
        <f t="shared" si="37"/>
        <v>0.2484855613079848</v>
      </c>
      <c r="E403" s="329">
        <f t="shared" si="38"/>
        <v>5.5977516558392171E-2</v>
      </c>
      <c r="F403" s="330">
        <f t="shared" si="36"/>
        <v>3.9402714326603898E-4</v>
      </c>
      <c r="G403" s="332"/>
    </row>
    <row r="404" spans="1:7" ht="20" customHeight="1" x14ac:dyDescent="0.15">
      <c r="A404" s="326">
        <v>45205</v>
      </c>
      <c r="B404" s="327">
        <f t="shared" si="40"/>
        <v>488.9504564140384</v>
      </c>
      <c r="C404" s="328">
        <f t="shared" si="39"/>
        <v>0.19265975153944945</v>
      </c>
      <c r="D404" s="329">
        <f t="shared" si="37"/>
        <v>0.24868138141971485</v>
      </c>
      <c r="E404" s="329">
        <f t="shared" si="38"/>
        <v>5.6021629880265406E-2</v>
      </c>
      <c r="F404" s="330">
        <f t="shared" si="36"/>
        <v>3.9402714326603898E-4</v>
      </c>
      <c r="G404" s="332"/>
    </row>
    <row r="405" spans="1:7" ht="20" customHeight="1" x14ac:dyDescent="0.15">
      <c r="A405" s="326">
        <v>45206</v>
      </c>
      <c r="B405" s="331" t="str">
        <f t="shared" si="40"/>
        <v/>
      </c>
      <c r="C405" s="316" t="str">
        <f t="shared" si="39"/>
        <v/>
      </c>
      <c r="D405" s="316" t="str">
        <f t="shared" si="37"/>
        <v/>
      </c>
      <c r="E405" s="316" t="str">
        <f t="shared" si="38"/>
        <v/>
      </c>
      <c r="F405" s="316" t="str">
        <f t="shared" si="36"/>
        <v/>
      </c>
      <c r="G405" s="332"/>
    </row>
    <row r="406" spans="1:7" ht="20" customHeight="1" x14ac:dyDescent="0.15">
      <c r="A406" s="326">
        <v>45207</v>
      </c>
      <c r="B406" s="331" t="str">
        <f t="shared" si="40"/>
        <v/>
      </c>
      <c r="C406" s="316" t="str">
        <f t="shared" si="39"/>
        <v/>
      </c>
      <c r="D406" s="316" t="str">
        <f t="shared" si="37"/>
        <v/>
      </c>
      <c r="E406" s="316" t="str">
        <f t="shared" si="38"/>
        <v/>
      </c>
      <c r="F406" s="316" t="str">
        <f t="shared" si="36"/>
        <v/>
      </c>
      <c r="G406" s="332"/>
    </row>
    <row r="407" spans="1:7" ht="20" customHeight="1" x14ac:dyDescent="0.15">
      <c r="A407" s="326">
        <v>45208</v>
      </c>
      <c r="B407" s="327">
        <f t="shared" si="40"/>
        <v>489.3357759171173</v>
      </c>
      <c r="C407" s="328">
        <f t="shared" si="39"/>
        <v>0.19281157788249231</v>
      </c>
      <c r="D407" s="329">
        <f t="shared" si="37"/>
        <v>0.24887735584832338</v>
      </c>
      <c r="E407" s="329">
        <f t="shared" si="38"/>
        <v>5.6065777965831065E-2</v>
      </c>
      <c r="F407" s="330">
        <f t="shared" si="36"/>
        <v>3.9402714326603898E-4</v>
      </c>
      <c r="G407" s="332"/>
    </row>
    <row r="408" spans="1:7" ht="20" customHeight="1" x14ac:dyDescent="0.15">
      <c r="A408" s="326">
        <v>45209</v>
      </c>
      <c r="B408" s="327">
        <f t="shared" si="40"/>
        <v>489.72139907288226</v>
      </c>
      <c r="C408" s="328">
        <f t="shared" si="39"/>
        <v>0.19296352387293564</v>
      </c>
      <c r="D408" s="329">
        <f t="shared" si="37"/>
        <v>0.24907348471542046</v>
      </c>
      <c r="E408" s="329">
        <f t="shared" si="38"/>
        <v>5.6109960842484818E-2</v>
      </c>
      <c r="F408" s="330">
        <f t="shared" si="36"/>
        <v>3.9402714326603898E-4</v>
      </c>
      <c r="G408" s="332"/>
    </row>
    <row r="409" spans="1:7" ht="20" customHeight="1" x14ac:dyDescent="0.15">
      <c r="A409" s="326">
        <v>45210</v>
      </c>
      <c r="B409" s="327">
        <f t="shared" si="40"/>
        <v>490.10732612062816</v>
      </c>
      <c r="C409" s="328">
        <f t="shared" si="39"/>
        <v>0.19311558960506803</v>
      </c>
      <c r="D409" s="329">
        <f t="shared" si="37"/>
        <v>0.2492697681427119</v>
      </c>
      <c r="E409" s="329">
        <f t="shared" si="38"/>
        <v>5.6154178537643873E-2</v>
      </c>
      <c r="F409" s="330">
        <f t="shared" si="36"/>
        <v>3.9402714326603898E-4</v>
      </c>
      <c r="G409" s="332"/>
    </row>
    <row r="410" spans="1:7" ht="20" customHeight="1" x14ac:dyDescent="0.15">
      <c r="A410" s="326">
        <v>45211</v>
      </c>
      <c r="B410" s="327">
        <f t="shared" si="40"/>
        <v>490.4935572998383</v>
      </c>
      <c r="C410" s="328">
        <f t="shared" si="39"/>
        <v>0.1932677751732525</v>
      </c>
      <c r="D410" s="329">
        <f t="shared" si="37"/>
        <v>0.24946620625199967</v>
      </c>
      <c r="E410" s="329">
        <f t="shared" si="38"/>
        <v>5.6198431078747169E-2</v>
      </c>
      <c r="F410" s="330">
        <f t="shared" si="36"/>
        <v>3.9402714326603898E-4</v>
      </c>
      <c r="G410" s="332"/>
    </row>
    <row r="411" spans="1:7" ht="20" customHeight="1" x14ac:dyDescent="0.15">
      <c r="A411" s="326">
        <v>45212</v>
      </c>
      <c r="B411" s="327">
        <f t="shared" si="40"/>
        <v>490.88009285018478</v>
      </c>
      <c r="C411" s="328">
        <f t="shared" si="39"/>
        <v>0.19342008067192629</v>
      </c>
      <c r="D411" s="329">
        <f t="shared" si="37"/>
        <v>0.24966279916518141</v>
      </c>
      <c r="E411" s="329">
        <f t="shared" si="38"/>
        <v>5.6242718493255128E-2</v>
      </c>
      <c r="F411" s="330">
        <f t="shared" si="36"/>
        <v>3.9402714326603898E-4</v>
      </c>
      <c r="G411" s="332"/>
    </row>
    <row r="412" spans="1:7" ht="20" customHeight="1" x14ac:dyDescent="0.15">
      <c r="A412" s="326">
        <v>45213</v>
      </c>
      <c r="B412" s="331" t="str">
        <f t="shared" si="40"/>
        <v/>
      </c>
      <c r="C412" s="316" t="str">
        <f t="shared" si="39"/>
        <v/>
      </c>
      <c r="D412" s="316" t="str">
        <f t="shared" si="37"/>
        <v/>
      </c>
      <c r="E412" s="316" t="str">
        <f t="shared" si="38"/>
        <v/>
      </c>
      <c r="F412" s="316" t="str">
        <f t="shared" si="36"/>
        <v/>
      </c>
      <c r="G412" s="332"/>
    </row>
    <row r="413" spans="1:7" ht="20" customHeight="1" x14ac:dyDescent="0.15">
      <c r="A413" s="326">
        <v>45214</v>
      </c>
      <c r="B413" s="331" t="str">
        <f t="shared" si="40"/>
        <v/>
      </c>
      <c r="C413" s="316" t="str">
        <f t="shared" si="39"/>
        <v/>
      </c>
      <c r="D413" s="316" t="str">
        <f t="shared" si="37"/>
        <v/>
      </c>
      <c r="E413" s="316" t="str">
        <f t="shared" si="38"/>
        <v/>
      </c>
      <c r="F413" s="316" t="str">
        <f t="shared" si="36"/>
        <v/>
      </c>
      <c r="G413" s="332"/>
    </row>
    <row r="414" spans="1:7" ht="20" customHeight="1" x14ac:dyDescent="0.15">
      <c r="A414" s="326">
        <v>45215</v>
      </c>
      <c r="B414" s="327">
        <f t="shared" si="40"/>
        <v>491.26693301152864</v>
      </c>
      <c r="C414" s="328">
        <f t="shared" si="39"/>
        <v>0.19357250619560118</v>
      </c>
      <c r="D414" s="329">
        <f t="shared" si="37"/>
        <v>0.24985954700425117</v>
      </c>
      <c r="E414" s="329">
        <f t="shared" si="38"/>
        <v>5.6287040808649991E-2</v>
      </c>
      <c r="F414" s="330">
        <f t="shared" si="36"/>
        <v>3.9402714326603898E-4</v>
      </c>
      <c r="G414" s="332"/>
    </row>
    <row r="415" spans="1:7" ht="20" customHeight="1" x14ac:dyDescent="0.15">
      <c r="A415" s="326">
        <v>45216</v>
      </c>
      <c r="B415" s="327">
        <f t="shared" si="40"/>
        <v>491.65407802391985</v>
      </c>
      <c r="C415" s="328">
        <f t="shared" si="39"/>
        <v>0.19372505183886338</v>
      </c>
      <c r="D415" s="329">
        <f t="shared" si="37"/>
        <v>0.25005644989129883</v>
      </c>
      <c r="E415" s="329">
        <f t="shared" si="38"/>
        <v>5.633139805243545E-2</v>
      </c>
      <c r="F415" s="330">
        <f t="shared" si="36"/>
        <v>3.9402714326603898E-4</v>
      </c>
      <c r="G415" s="332"/>
    </row>
    <row r="416" spans="1:7" ht="20" customHeight="1" x14ac:dyDescent="0.15">
      <c r="A416" s="326">
        <v>45217</v>
      </c>
      <c r="B416" s="327">
        <f t="shared" si="40"/>
        <v>492.04152812759759</v>
      </c>
      <c r="C416" s="328">
        <f t="shared" si="39"/>
        <v>0.19387771769637363</v>
      </c>
      <c r="D416" s="329">
        <f t="shared" si="37"/>
        <v>0.25025350794851059</v>
      </c>
      <c r="E416" s="329">
        <f t="shared" si="38"/>
        <v>5.6375790252136959E-2</v>
      </c>
      <c r="F416" s="330">
        <f t="shared" si="36"/>
        <v>3.9402714326603898E-4</v>
      </c>
      <c r="G416" s="332"/>
    </row>
    <row r="417" spans="1:7" ht="20" customHeight="1" x14ac:dyDescent="0.15">
      <c r="A417" s="326">
        <v>45218</v>
      </c>
      <c r="B417" s="327">
        <f t="shared" si="40"/>
        <v>492.42928356299035</v>
      </c>
      <c r="C417" s="328">
        <f t="shared" si="39"/>
        <v>0.19403050386286733</v>
      </c>
      <c r="D417" s="329">
        <f t="shared" si="37"/>
        <v>0.25045072129816914</v>
      </c>
      <c r="E417" s="329">
        <f t="shared" si="38"/>
        <v>5.6420217435301817E-2</v>
      </c>
      <c r="F417" s="330">
        <f t="shared" si="36"/>
        <v>3.9402714326603898E-4</v>
      </c>
      <c r="G417" s="332"/>
    </row>
    <row r="418" spans="1:7" ht="20" customHeight="1" x14ac:dyDescent="0.15">
      <c r="A418" s="326">
        <v>45219</v>
      </c>
      <c r="B418" s="327">
        <f t="shared" si="40"/>
        <v>492.8173445707161</v>
      </c>
      <c r="C418" s="328">
        <f t="shared" si="39"/>
        <v>0.19418341043315446</v>
      </c>
      <c r="D418" s="329">
        <f t="shared" si="37"/>
        <v>0.25064809006265326</v>
      </c>
      <c r="E418" s="329">
        <f t="shared" si="38"/>
        <v>5.6464679629498804E-2</v>
      </c>
      <c r="F418" s="330">
        <f t="shared" si="36"/>
        <v>3.9402714326603898E-4</v>
      </c>
      <c r="G418" s="332"/>
    </row>
    <row r="419" spans="1:7" ht="20" customHeight="1" x14ac:dyDescent="0.15">
      <c r="A419" s="326">
        <v>45220</v>
      </c>
      <c r="B419" s="331" t="str">
        <f t="shared" si="40"/>
        <v/>
      </c>
      <c r="C419" s="316" t="str">
        <f t="shared" si="39"/>
        <v/>
      </c>
      <c r="D419" s="316" t="str">
        <f t="shared" si="37"/>
        <v/>
      </c>
      <c r="E419" s="316" t="str">
        <f t="shared" si="38"/>
        <v/>
      </c>
      <c r="F419" s="316" t="str">
        <f t="shared" si="36"/>
        <v/>
      </c>
      <c r="G419" s="332"/>
    </row>
    <row r="420" spans="1:7" ht="20" customHeight="1" x14ac:dyDescent="0.15">
      <c r="A420" s="326">
        <v>45221</v>
      </c>
      <c r="B420" s="331" t="str">
        <f t="shared" si="40"/>
        <v/>
      </c>
      <c r="C420" s="316" t="str">
        <f t="shared" si="39"/>
        <v/>
      </c>
      <c r="D420" s="316" t="str">
        <f t="shared" si="37"/>
        <v/>
      </c>
      <c r="E420" s="316" t="str">
        <f t="shared" si="38"/>
        <v/>
      </c>
      <c r="F420" s="316" t="str">
        <f t="shared" si="36"/>
        <v/>
      </c>
      <c r="G420" s="332"/>
    </row>
    <row r="421" spans="1:7" ht="20" customHeight="1" x14ac:dyDescent="0.15">
      <c r="A421" s="326">
        <v>45222</v>
      </c>
      <c r="B421" s="327">
        <f t="shared" si="40"/>
        <v>493.20571139158238</v>
      </c>
      <c r="C421" s="328">
        <f t="shared" si="39"/>
        <v>0.19433643750211971</v>
      </c>
      <c r="D421" s="329">
        <f t="shared" si="37"/>
        <v>0.2508456143644382</v>
      </c>
      <c r="E421" s="329">
        <f t="shared" si="38"/>
        <v>5.6509176862318489E-2</v>
      </c>
      <c r="F421" s="330">
        <f t="shared" si="36"/>
        <v>3.9402714326603898E-4</v>
      </c>
      <c r="G421" s="332"/>
    </row>
    <row r="422" spans="1:7" ht="20" customHeight="1" x14ac:dyDescent="0.15">
      <c r="A422" s="326">
        <v>45223</v>
      </c>
      <c r="B422" s="327">
        <f t="shared" si="40"/>
        <v>493.59438426658664</v>
      </c>
      <c r="C422" s="328">
        <f t="shared" si="39"/>
        <v>0.19448958516472264</v>
      </c>
      <c r="D422" s="329">
        <f t="shared" si="37"/>
        <v>0.25104329432609584</v>
      </c>
      <c r="E422" s="329">
        <f t="shared" si="38"/>
        <v>5.65537091613732E-2</v>
      </c>
      <c r="F422" s="330">
        <f t="shared" si="36"/>
        <v>3.9402714326603898E-4</v>
      </c>
      <c r="G422" s="332"/>
    </row>
    <row r="423" spans="1:7" ht="20" customHeight="1" x14ac:dyDescent="0.15">
      <c r="A423" s="326">
        <v>45224</v>
      </c>
      <c r="B423" s="327">
        <f t="shared" si="40"/>
        <v>493.98336343691608</v>
      </c>
      <c r="C423" s="328">
        <f t="shared" si="39"/>
        <v>0.19464285351599753</v>
      </c>
      <c r="D423" s="329">
        <f t="shared" si="37"/>
        <v>0.25124113007029464</v>
      </c>
      <c r="E423" s="329">
        <f t="shared" si="38"/>
        <v>5.6598276554297111E-2</v>
      </c>
      <c r="F423" s="330">
        <f t="shared" si="36"/>
        <v>3.9402714326603898E-4</v>
      </c>
      <c r="G423" s="332"/>
    </row>
    <row r="424" spans="1:7" ht="20" customHeight="1" x14ac:dyDescent="0.15">
      <c r="A424" s="326">
        <v>45225</v>
      </c>
      <c r="B424" s="327">
        <f t="shared" si="40"/>
        <v>494.37264914394808</v>
      </c>
      <c r="C424" s="328">
        <f t="shared" si="39"/>
        <v>0.19479624265105366</v>
      </c>
      <c r="D424" s="329">
        <f t="shared" si="37"/>
        <v>0.25143912171979971</v>
      </c>
      <c r="E424" s="329">
        <f t="shared" si="38"/>
        <v>5.6642879068746044E-2</v>
      </c>
      <c r="F424" s="330">
        <f t="shared" si="36"/>
        <v>3.9402714326603898E-4</v>
      </c>
      <c r="G424" s="332"/>
    </row>
    <row r="425" spans="1:7" ht="20" customHeight="1" x14ac:dyDescent="0.15">
      <c r="A425" s="326">
        <v>45226</v>
      </c>
      <c r="B425" s="327">
        <f>IF(OR(WEEKDAY($A425)=7,WEEKDAY($A425)=1),"",IF(B424="",IF(B423="",B422,B423),B424)+IF(A$2=TRUE,IF(C424="",IF(C423="",C422,C423),C424)*2,IF(C424="",IF(C423="",C422,C423),C424)))-G152</f>
        <v>373.54224162925016</v>
      </c>
      <c r="C425" s="328">
        <f t="shared" si="39"/>
        <v>0.14718578235836591</v>
      </c>
      <c r="D425" s="329">
        <f t="shared" si="37"/>
        <v>0.1899844850299475</v>
      </c>
      <c r="E425" s="329">
        <f t="shared" si="38"/>
        <v>4.279870267158159E-2</v>
      </c>
      <c r="F425" s="330">
        <f t="shared" si="36"/>
        <v>3.9402714326603898E-4</v>
      </c>
      <c r="G425" s="332"/>
    </row>
    <row r="426" spans="1:7" ht="20" customHeight="1" x14ac:dyDescent="0.15">
      <c r="A426" s="326">
        <v>45227</v>
      </c>
      <c r="B426" s="331" t="str">
        <f t="shared" ref="B426:B445" si="41">IF(OR(WEEKDAY($A426)=7,WEEKDAY($A426)=1),"",IF(B425="",IF(B424="",B423,B424),B425)+IF(A$2=TRUE,IF(C425="",IF(C424="",C423,C424),C425)*2,IF(C425="",IF(C424="",C423,C424),C425)))</f>
        <v/>
      </c>
      <c r="C426" s="316" t="str">
        <f t="shared" si="39"/>
        <v/>
      </c>
      <c r="D426" s="316" t="str">
        <f t="shared" si="37"/>
        <v/>
      </c>
      <c r="E426" s="316" t="str">
        <f t="shared" si="38"/>
        <v/>
      </c>
      <c r="F426" s="316" t="str">
        <f t="shared" si="36"/>
        <v/>
      </c>
      <c r="G426" s="332"/>
    </row>
    <row r="427" spans="1:7" ht="20" customHeight="1" x14ac:dyDescent="0.15">
      <c r="A427" s="326">
        <v>45228</v>
      </c>
      <c r="B427" s="331" t="str">
        <f t="shared" si="41"/>
        <v/>
      </c>
      <c r="C427" s="316" t="str">
        <f t="shared" si="39"/>
        <v/>
      </c>
      <c r="D427" s="316" t="str">
        <f t="shared" si="37"/>
        <v/>
      </c>
      <c r="E427" s="316" t="str">
        <f t="shared" si="38"/>
        <v/>
      </c>
      <c r="F427" s="316" t="str">
        <f t="shared" si="36"/>
        <v/>
      </c>
      <c r="G427" s="332"/>
    </row>
    <row r="428" spans="1:7" ht="20" customHeight="1" x14ac:dyDescent="0.15">
      <c r="A428" s="326">
        <v>45229</v>
      </c>
      <c r="B428" s="327">
        <f t="shared" si="41"/>
        <v>373.83661319396691</v>
      </c>
      <c r="C428" s="328">
        <f t="shared" si="39"/>
        <v>0.14730177274507</v>
      </c>
      <c r="D428" s="329">
        <f t="shared" si="37"/>
        <v>0.19013420311774989</v>
      </c>
      <c r="E428" s="329">
        <f t="shared" si="38"/>
        <v>4.2832430372679892E-2</v>
      </c>
      <c r="F428" s="330">
        <f t="shared" si="36"/>
        <v>3.9402714326603898E-4</v>
      </c>
      <c r="G428" s="332"/>
    </row>
    <row r="429" spans="1:7" ht="20" customHeight="1" x14ac:dyDescent="0.15">
      <c r="A429" s="326">
        <v>45230</v>
      </c>
      <c r="B429" s="327">
        <f t="shared" si="41"/>
        <v>374.13121673945705</v>
      </c>
      <c r="C429" s="328">
        <f t="shared" si="39"/>
        <v>0.14741785453849551</v>
      </c>
      <c r="D429" s="329">
        <f t="shared" si="37"/>
        <v>0.19028403919153319</v>
      </c>
      <c r="E429" s="329">
        <f t="shared" si="38"/>
        <v>4.2866184653037681E-2</v>
      </c>
      <c r="F429" s="330">
        <f t="shared" si="36"/>
        <v>3.9402714326603898E-4</v>
      </c>
      <c r="G429" s="332"/>
    </row>
    <row r="430" spans="1:7" ht="20" customHeight="1" x14ac:dyDescent="0.15">
      <c r="A430" s="326">
        <v>45231</v>
      </c>
      <c r="B430" s="327">
        <f t="shared" si="41"/>
        <v>374.42605244853405</v>
      </c>
      <c r="C430" s="328">
        <f t="shared" si="39"/>
        <v>0.14753402781067596</v>
      </c>
      <c r="D430" s="329">
        <f t="shared" si="37"/>
        <v>0.19043399334427677</v>
      </c>
      <c r="E430" s="329">
        <f t="shared" si="38"/>
        <v>4.2899965533600815E-2</v>
      </c>
      <c r="F430" s="330">
        <f t="shared" si="36"/>
        <v>3.9402714326603898E-4</v>
      </c>
      <c r="G430" s="332"/>
    </row>
    <row r="431" spans="1:7" ht="20" customHeight="1" x14ac:dyDescent="0.15">
      <c r="A431" s="326">
        <v>45232</v>
      </c>
      <c r="B431" s="327">
        <f t="shared" si="41"/>
        <v>374.72112050415541</v>
      </c>
      <c r="C431" s="328">
        <f t="shared" si="39"/>
        <v>0.1476502926337015</v>
      </c>
      <c r="D431" s="329">
        <f t="shared" si="37"/>
        <v>0.19058406566903313</v>
      </c>
      <c r="E431" s="329">
        <f t="shared" si="38"/>
        <v>4.2933773035331635E-2</v>
      </c>
      <c r="F431" s="330">
        <f t="shared" si="36"/>
        <v>3.9402714326603898E-4</v>
      </c>
      <c r="G431" s="332"/>
    </row>
    <row r="432" spans="1:7" ht="20" customHeight="1" x14ac:dyDescent="0.15">
      <c r="A432" s="326">
        <v>45233</v>
      </c>
      <c r="B432" s="327">
        <f t="shared" si="41"/>
        <v>375.01642108942281</v>
      </c>
      <c r="C432" s="328">
        <f t="shared" si="39"/>
        <v>0.1477666490797192</v>
      </c>
      <c r="D432" s="329">
        <f t="shared" si="37"/>
        <v>0.19073425625892834</v>
      </c>
      <c r="E432" s="329">
        <f t="shared" si="38"/>
        <v>4.2967607179209139E-2</v>
      </c>
      <c r="F432" s="330">
        <f t="shared" si="36"/>
        <v>3.9402714326603898E-4</v>
      </c>
      <c r="G432" s="332"/>
    </row>
    <row r="433" spans="1:7" ht="20" customHeight="1" x14ac:dyDescent="0.15">
      <c r="A433" s="326">
        <v>45234</v>
      </c>
      <c r="B433" s="331" t="str">
        <f t="shared" si="41"/>
        <v/>
      </c>
      <c r="C433" s="316" t="str">
        <f t="shared" si="39"/>
        <v/>
      </c>
      <c r="D433" s="316" t="str">
        <f t="shared" si="37"/>
        <v/>
      </c>
      <c r="E433" s="316" t="str">
        <f t="shared" si="38"/>
        <v/>
      </c>
      <c r="F433" s="316" t="str">
        <f t="shared" si="36"/>
        <v/>
      </c>
      <c r="G433" s="332"/>
    </row>
    <row r="434" spans="1:7" ht="20" customHeight="1" x14ac:dyDescent="0.15">
      <c r="A434" s="326">
        <v>45235</v>
      </c>
      <c r="B434" s="331" t="str">
        <f t="shared" si="41"/>
        <v/>
      </c>
      <c r="C434" s="316" t="str">
        <f t="shared" si="39"/>
        <v/>
      </c>
      <c r="D434" s="316" t="str">
        <f t="shared" si="37"/>
        <v/>
      </c>
      <c r="E434" s="316" t="str">
        <f t="shared" si="38"/>
        <v/>
      </c>
      <c r="F434" s="316" t="str">
        <f t="shared" si="36"/>
        <v/>
      </c>
      <c r="G434" s="332"/>
    </row>
    <row r="435" spans="1:7" ht="20" customHeight="1" x14ac:dyDescent="0.15">
      <c r="A435" s="326">
        <v>45236</v>
      </c>
      <c r="B435" s="327">
        <f t="shared" si="41"/>
        <v>375.31195438758226</v>
      </c>
      <c r="C435" s="328">
        <f t="shared" si="39"/>
        <v>0.14788309722093296</v>
      </c>
      <c r="D435" s="329">
        <f t="shared" si="37"/>
        <v>0.19088456520716165</v>
      </c>
      <c r="E435" s="329">
        <f t="shared" si="38"/>
        <v>4.3001467986228697E-2</v>
      </c>
      <c r="F435" s="330">
        <f t="shared" si="36"/>
        <v>3.9402714326603898E-4</v>
      </c>
      <c r="G435" s="332"/>
    </row>
    <row r="436" spans="1:7" ht="20" customHeight="1" x14ac:dyDescent="0.15">
      <c r="A436" s="326">
        <v>45237</v>
      </c>
      <c r="B436" s="327">
        <f t="shared" si="41"/>
        <v>375.60772058202411</v>
      </c>
      <c r="C436" s="328">
        <f t="shared" si="39"/>
        <v>0.14799963712960357</v>
      </c>
      <c r="D436" s="329">
        <f t="shared" si="37"/>
        <v>0.19103499260700599</v>
      </c>
      <c r="E436" s="329">
        <f t="shared" si="38"/>
        <v>4.3035355477402421E-2</v>
      </c>
      <c r="F436" s="330">
        <f t="shared" si="36"/>
        <v>3.9402714326603903E-4</v>
      </c>
      <c r="G436" s="332"/>
    </row>
    <row r="437" spans="1:7" ht="20" customHeight="1" x14ac:dyDescent="0.15">
      <c r="A437" s="326">
        <v>45238</v>
      </c>
      <c r="B437" s="327">
        <f t="shared" si="41"/>
        <v>375.90371985628332</v>
      </c>
      <c r="C437" s="328">
        <f t="shared" si="39"/>
        <v>0.14811626887804874</v>
      </c>
      <c r="D437" s="329">
        <f t="shared" si="37"/>
        <v>0.19118553855180756</v>
      </c>
      <c r="E437" s="329">
        <f t="shared" si="38"/>
        <v>4.306926967375882E-2</v>
      </c>
      <c r="F437" s="330">
        <f t="shared" si="36"/>
        <v>3.9402714326603903E-4</v>
      </c>
      <c r="G437" s="332"/>
    </row>
    <row r="438" spans="1:7" ht="20" customHeight="1" x14ac:dyDescent="0.15">
      <c r="A438" s="326">
        <v>45239</v>
      </c>
      <c r="B438" s="327">
        <f t="shared" si="41"/>
        <v>376.19995239403943</v>
      </c>
      <c r="C438" s="328">
        <f t="shared" si="39"/>
        <v>0.14823299253864322</v>
      </c>
      <c r="D438" s="329">
        <f t="shared" si="37"/>
        <v>0.19133620313498625</v>
      </c>
      <c r="E438" s="329">
        <f t="shared" si="38"/>
        <v>4.3103210596343033E-2</v>
      </c>
      <c r="F438" s="330">
        <f t="shared" si="36"/>
        <v>3.9402714326603898E-4</v>
      </c>
      <c r="G438" s="332"/>
    </row>
    <row r="439" spans="1:7" ht="20" customHeight="1" x14ac:dyDescent="0.15">
      <c r="A439" s="326">
        <v>45240</v>
      </c>
      <c r="B439" s="327">
        <f t="shared" si="41"/>
        <v>376.49641837911673</v>
      </c>
      <c r="C439" s="328">
        <f t="shared" si="39"/>
        <v>0.14834980818381879</v>
      </c>
      <c r="D439" s="329">
        <f t="shared" si="37"/>
        <v>0.19148698645003559</v>
      </c>
      <c r="E439" s="329">
        <f t="shared" si="38"/>
        <v>4.3137178266216797E-2</v>
      </c>
      <c r="F439" s="330">
        <f t="shared" si="36"/>
        <v>3.9402714326603903E-4</v>
      </c>
      <c r="G439" s="332"/>
    </row>
    <row r="440" spans="1:7" ht="20" customHeight="1" x14ac:dyDescent="0.15">
      <c r="A440" s="326">
        <v>45241</v>
      </c>
      <c r="B440" s="331" t="str">
        <f t="shared" si="41"/>
        <v/>
      </c>
      <c r="C440" s="316" t="str">
        <f t="shared" si="39"/>
        <v/>
      </c>
      <c r="D440" s="316" t="str">
        <f t="shared" si="37"/>
        <v/>
      </c>
      <c r="E440" s="316" t="str">
        <f t="shared" si="38"/>
        <v/>
      </c>
      <c r="F440" s="316" t="str">
        <f t="shared" si="36"/>
        <v/>
      </c>
      <c r="G440" s="332"/>
    </row>
    <row r="441" spans="1:7" ht="20" customHeight="1" x14ac:dyDescent="0.15">
      <c r="A441" s="326">
        <v>45242</v>
      </c>
      <c r="B441" s="331" t="str">
        <f t="shared" si="41"/>
        <v/>
      </c>
      <c r="C441" s="316" t="str">
        <f t="shared" si="39"/>
        <v/>
      </c>
      <c r="D441" s="316" t="str">
        <f t="shared" si="37"/>
        <v/>
      </c>
      <c r="E441" s="316" t="str">
        <f t="shared" si="38"/>
        <v/>
      </c>
      <c r="F441" s="316" t="str">
        <f t="shared" si="36"/>
        <v/>
      </c>
      <c r="G441" s="332"/>
    </row>
    <row r="442" spans="1:7" ht="20" customHeight="1" x14ac:dyDescent="0.15">
      <c r="A442" s="326">
        <v>45243</v>
      </c>
      <c r="B442" s="327">
        <f t="shared" si="41"/>
        <v>376.79311799548435</v>
      </c>
      <c r="C442" s="328">
        <f t="shared" si="39"/>
        <v>0.14846671588606425</v>
      </c>
      <c r="D442" s="329">
        <f t="shared" si="37"/>
        <v>0.19163788859052264</v>
      </c>
      <c r="E442" s="329">
        <f t="shared" si="38"/>
        <v>4.3171172704458388E-2</v>
      </c>
      <c r="F442" s="330">
        <f t="shared" si="36"/>
        <v>3.9402714326603898E-4</v>
      </c>
      <c r="G442" s="332"/>
    </row>
    <row r="443" spans="1:7" ht="20" customHeight="1" x14ac:dyDescent="0.15">
      <c r="A443" s="326">
        <v>45244</v>
      </c>
      <c r="B443" s="327">
        <f t="shared" si="41"/>
        <v>377.09005142725647</v>
      </c>
      <c r="C443" s="328">
        <f t="shared" si="39"/>
        <v>0.14858371571792559</v>
      </c>
      <c r="D443" s="329">
        <f t="shared" si="37"/>
        <v>0.19178890965008832</v>
      </c>
      <c r="E443" s="329">
        <f t="shared" si="38"/>
        <v>4.3205193932162739E-2</v>
      </c>
      <c r="F443" s="330">
        <f t="shared" si="36"/>
        <v>3.9402714326603898E-4</v>
      </c>
      <c r="G443" s="332"/>
    </row>
    <row r="444" spans="1:7" ht="20" customHeight="1" x14ac:dyDescent="0.15">
      <c r="A444" s="326">
        <v>45245</v>
      </c>
      <c r="B444" s="327">
        <f t="shared" si="41"/>
        <v>377.38721885869234</v>
      </c>
      <c r="C444" s="328">
        <f t="shared" si="39"/>
        <v>0.14870080775200598</v>
      </c>
      <c r="D444" s="329">
        <f t="shared" si="37"/>
        <v>0.19194004972244744</v>
      </c>
      <c r="E444" s="329">
        <f t="shared" si="38"/>
        <v>4.3239241970441461E-2</v>
      </c>
      <c r="F444" s="330">
        <f t="shared" si="36"/>
        <v>3.9402714326603898E-4</v>
      </c>
      <c r="G444" s="332"/>
    </row>
    <row r="445" spans="1:7" ht="20" customHeight="1" x14ac:dyDescent="0.15">
      <c r="A445" s="326">
        <v>45246</v>
      </c>
      <c r="B445" s="327">
        <f t="shared" si="41"/>
        <v>377.68462047419632</v>
      </c>
      <c r="C445" s="328">
        <f t="shared" si="39"/>
        <v>0.14881799206096571</v>
      </c>
      <c r="D445" s="329">
        <f t="shared" si="37"/>
        <v>0.19209130890138837</v>
      </c>
      <c r="E445" s="329">
        <f t="shared" si="38"/>
        <v>4.3273316840422654E-2</v>
      </c>
      <c r="F445" s="330">
        <f t="shared" si="36"/>
        <v>3.9402714326603898E-4</v>
      </c>
      <c r="G445" s="332"/>
    </row>
    <row r="446" spans="1:7" ht="20" customHeight="1" x14ac:dyDescent="0.15">
      <c r="A446" s="326">
        <v>45247</v>
      </c>
      <c r="B446" s="327">
        <f>336.61-125</f>
        <v>211.61</v>
      </c>
      <c r="C446" s="328">
        <f t="shared" si="39"/>
        <v>8.3380083786526518E-2</v>
      </c>
      <c r="D446" s="329">
        <f t="shared" si="37"/>
        <v>0.10762535637693493</v>
      </c>
      <c r="E446" s="329">
        <f t="shared" si="38"/>
        <v>2.4245272590408415E-2</v>
      </c>
      <c r="F446" s="330">
        <f t="shared" si="36"/>
        <v>3.9402714326603898E-4</v>
      </c>
      <c r="G446" s="332"/>
    </row>
    <row r="447" spans="1:7" ht="20" customHeight="1" x14ac:dyDescent="0.15">
      <c r="A447" s="326">
        <v>45248</v>
      </c>
      <c r="B447" s="331" t="str">
        <f t="shared" ref="B447:B455" si="42">IF(OR(WEEKDAY($A447)=7,WEEKDAY($A447)=1),"",IF(B446="",IF(B445="",B444,B445),B446)+IF(A$2=TRUE,IF(C446="",IF(C445="",C444,C445),C446)*2,IF(C446="",IF(C445="",C444,C445),C446)))</f>
        <v/>
      </c>
      <c r="C447" s="316" t="str">
        <f t="shared" si="39"/>
        <v/>
      </c>
      <c r="D447" s="316" t="str">
        <f t="shared" si="37"/>
        <v/>
      </c>
      <c r="E447" s="316" t="str">
        <f t="shared" si="38"/>
        <v/>
      </c>
      <c r="F447" s="316" t="str">
        <f t="shared" si="36"/>
        <v/>
      </c>
      <c r="G447" s="332"/>
    </row>
    <row r="448" spans="1:7" ht="20" customHeight="1" x14ac:dyDescent="0.15">
      <c r="A448" s="326">
        <v>45249</v>
      </c>
      <c r="B448" s="331" t="str">
        <f t="shared" si="42"/>
        <v/>
      </c>
      <c r="C448" s="316" t="str">
        <f t="shared" si="39"/>
        <v/>
      </c>
      <c r="D448" s="316" t="str">
        <f t="shared" si="37"/>
        <v/>
      </c>
      <c r="E448" s="316" t="str">
        <f t="shared" si="38"/>
        <v/>
      </c>
      <c r="F448" s="316" t="str">
        <f t="shared" si="36"/>
        <v/>
      </c>
      <c r="G448" s="332"/>
    </row>
    <row r="449" spans="1:7" ht="20" customHeight="1" x14ac:dyDescent="0.15">
      <c r="A449" s="326">
        <v>45250</v>
      </c>
      <c r="B449" s="327">
        <f t="shared" si="42"/>
        <v>211.77676016757306</v>
      </c>
      <c r="C449" s="328">
        <f t="shared" si="39"/>
        <v>8.3445791818965886E-2</v>
      </c>
      <c r="D449" s="329">
        <f t="shared" si="37"/>
        <v>0.10771017100036731</v>
      </c>
      <c r="E449" s="329">
        <f t="shared" si="38"/>
        <v>2.4264379181401424E-2</v>
      </c>
      <c r="F449" s="330">
        <f t="shared" si="36"/>
        <v>3.9402714326603898E-4</v>
      </c>
      <c r="G449" s="332"/>
    </row>
    <row r="450" spans="1:7" ht="20" customHeight="1" x14ac:dyDescent="0.15">
      <c r="A450" s="326">
        <v>45251</v>
      </c>
      <c r="B450" s="327">
        <f t="shared" si="42"/>
        <v>211.94365175121098</v>
      </c>
      <c r="C450" s="328">
        <f t="shared" si="39"/>
        <v>8.3511551632901887E-2</v>
      </c>
      <c r="D450" s="329">
        <f t="shared" si="37"/>
        <v>0.10779505246232725</v>
      </c>
      <c r="E450" s="329">
        <f t="shared" si="38"/>
        <v>2.4283500829425361E-2</v>
      </c>
      <c r="F450" s="330">
        <f t="shared" si="36"/>
        <v>3.9402714326603898E-4</v>
      </c>
      <c r="G450" s="332"/>
    </row>
    <row r="451" spans="1:7" ht="20" customHeight="1" x14ac:dyDescent="0.15">
      <c r="A451" s="326">
        <v>45252</v>
      </c>
      <c r="B451" s="327">
        <f t="shared" si="42"/>
        <v>212.11067485447677</v>
      </c>
      <c r="C451" s="328">
        <f t="shared" si="39"/>
        <v>8.3577363269141128E-2</v>
      </c>
      <c r="D451" s="329">
        <f t="shared" si="37"/>
        <v>0.10788000081548713</v>
      </c>
      <c r="E451" s="329">
        <f t="shared" si="38"/>
        <v>2.4302637546345998E-2</v>
      </c>
      <c r="F451" s="330">
        <f t="shared" si="36"/>
        <v>3.9402714326603898E-4</v>
      </c>
      <c r="G451" s="332"/>
    </row>
    <row r="452" spans="1:7" ht="20" customHeight="1" x14ac:dyDescent="0.15">
      <c r="A452" s="326">
        <v>45253</v>
      </c>
      <c r="B452" s="327">
        <f t="shared" si="42"/>
        <v>212.27782958101506</v>
      </c>
      <c r="C452" s="328">
        <f t="shared" si="39"/>
        <v>8.3643226768522427E-2</v>
      </c>
      <c r="D452" s="329">
        <f t="shared" si="37"/>
        <v>0.10796501611256086</v>
      </c>
      <c r="E452" s="329">
        <f t="shared" si="38"/>
        <v>2.4321789344038433E-2</v>
      </c>
      <c r="F452" s="330">
        <f t="shared" ref="F452:F515" si="43">IF(B452="","",C452/B452)</f>
        <v>3.9402714326603898E-4</v>
      </c>
      <c r="G452" s="332"/>
    </row>
    <row r="453" spans="1:7" ht="20" customHeight="1" x14ac:dyDescent="0.15">
      <c r="A453" s="326">
        <v>45254</v>
      </c>
      <c r="B453" s="327">
        <f t="shared" si="42"/>
        <v>212.44511603455209</v>
      </c>
      <c r="C453" s="328">
        <f t="shared" si="39"/>
        <v>8.3709142171916731E-2</v>
      </c>
      <c r="D453" s="329">
        <f t="shared" si="37"/>
        <v>0.10805009840630386</v>
      </c>
      <c r="E453" s="329">
        <f t="shared" si="38"/>
        <v>2.4340956234387132E-2</v>
      </c>
      <c r="F453" s="330">
        <f t="shared" si="43"/>
        <v>3.9402714326603898E-4</v>
      </c>
      <c r="G453" s="332"/>
    </row>
    <row r="454" spans="1:7" ht="20" customHeight="1" x14ac:dyDescent="0.15">
      <c r="A454" s="326">
        <v>45255</v>
      </c>
      <c r="B454" s="331" t="str">
        <f t="shared" si="42"/>
        <v/>
      </c>
      <c r="C454" s="316" t="str">
        <f t="shared" si="39"/>
        <v/>
      </c>
      <c r="D454" s="316" t="str">
        <f t="shared" si="37"/>
        <v/>
      </c>
      <c r="E454" s="316" t="str">
        <f t="shared" si="38"/>
        <v/>
      </c>
      <c r="F454" s="316" t="str">
        <f t="shared" si="43"/>
        <v/>
      </c>
      <c r="G454" s="332"/>
    </row>
    <row r="455" spans="1:7" ht="20" customHeight="1" x14ac:dyDescent="0.15">
      <c r="A455" s="326">
        <v>45256</v>
      </c>
      <c r="B455" s="331" t="str">
        <f t="shared" si="42"/>
        <v/>
      </c>
      <c r="C455" s="316" t="str">
        <f t="shared" si="39"/>
        <v/>
      </c>
      <c r="D455" s="316" t="str">
        <f t="shared" ref="D455:D518" si="44">IF(C455="","",(D$3*$C455)/$C$3)</f>
        <v/>
      </c>
      <c r="E455" s="316" t="str">
        <f t="shared" ref="E455:E518" si="45">IF(C455="","",D455-$C455)</f>
        <v/>
      </c>
      <c r="F455" s="316" t="str">
        <f t="shared" si="43"/>
        <v/>
      </c>
      <c r="G455" s="332"/>
    </row>
    <row r="456" spans="1:7" ht="20" customHeight="1" x14ac:dyDescent="0.15">
      <c r="A456" s="326">
        <v>45257</v>
      </c>
      <c r="B456" s="327">
        <f>IF(OR(WEEKDAY($A456)=7,WEEKDAY($A456)=1),"",IF(B455="",IF(B454="",B453,B454),B455)+IF(A$2=TRUE,IF(C455="",IF(C454="",C453,C454),C455)*2,IF(C455="",IF(C454="",C453,C454),C455)))-G152</f>
        <v>91.392534318895912</v>
      </c>
      <c r="C456" s="328">
        <f t="shared" si="39"/>
        <v>3.6011139213517986E-2</v>
      </c>
      <c r="D456" s="329">
        <f t="shared" si="44"/>
        <v>4.6482463381987756E-2</v>
      </c>
      <c r="E456" s="329">
        <f t="shared" si="45"/>
        <v>1.047132416846977E-2</v>
      </c>
      <c r="F456" s="330">
        <f t="shared" si="43"/>
        <v>3.9402714326603898E-4</v>
      </c>
      <c r="G456" s="332"/>
    </row>
    <row r="457" spans="1:7" ht="20" customHeight="1" x14ac:dyDescent="0.15">
      <c r="A457" s="326">
        <v>45258</v>
      </c>
      <c r="B457" s="327">
        <f t="shared" ref="B457:B476" si="46">IF(OR(WEEKDAY($A457)=7,WEEKDAY($A457)=1),"",IF(B456="",IF(B455="",B454,B455),B456)+IF(A$2=TRUE,IF(C456="",IF(C455="",C454,C455),C456)*2,IF(C456="",IF(C455="",C454,C455),C456)))</f>
        <v>91.464556597322954</v>
      </c>
      <c r="C457" s="328">
        <f t="shared" si="39"/>
        <v>3.6039517946138105E-2</v>
      </c>
      <c r="D457" s="329">
        <f t="shared" si="44"/>
        <v>4.6519094086504502E-2</v>
      </c>
      <c r="E457" s="329">
        <f t="shared" si="45"/>
        <v>1.0479576140366396E-2</v>
      </c>
      <c r="F457" s="330">
        <f t="shared" si="43"/>
        <v>3.9402714326603903E-4</v>
      </c>
      <c r="G457" s="332"/>
    </row>
    <row r="458" spans="1:7" ht="20" customHeight="1" x14ac:dyDescent="0.15">
      <c r="A458" s="326">
        <v>45259</v>
      </c>
      <c r="B458" s="327">
        <f t="shared" si="46"/>
        <v>91.536635633215226</v>
      </c>
      <c r="C458" s="328">
        <f t="shared" si="39"/>
        <v>3.6067919042740107E-2</v>
      </c>
      <c r="D458" s="329">
        <f t="shared" si="44"/>
        <v>4.6555753658004954E-2</v>
      </c>
      <c r="E458" s="329">
        <f t="shared" si="45"/>
        <v>1.0487834615264847E-2</v>
      </c>
      <c r="F458" s="330">
        <f t="shared" si="43"/>
        <v>3.9402714326603898E-4</v>
      </c>
      <c r="G458" s="332"/>
    </row>
    <row r="459" spans="1:7" ht="20" customHeight="1" x14ac:dyDescent="0.15">
      <c r="A459" s="326">
        <v>45260</v>
      </c>
      <c r="B459" s="327">
        <f t="shared" si="46"/>
        <v>91.608771471300713</v>
      </c>
      <c r="C459" s="328">
        <f t="shared" ref="C459:C522" si="47">IF(B459="","",B459*F$6)</f>
        <v>3.6096342520948031E-2</v>
      </c>
      <c r="D459" s="329">
        <f t="shared" si="44"/>
        <v>4.6592442119237881E-2</v>
      </c>
      <c r="E459" s="329">
        <f t="shared" si="45"/>
        <v>1.049609959828985E-2</v>
      </c>
      <c r="F459" s="330">
        <f t="shared" si="43"/>
        <v>3.9402714326603898E-4</v>
      </c>
      <c r="G459" s="332"/>
    </row>
    <row r="460" spans="1:7" ht="20" customHeight="1" x14ac:dyDescent="0.15">
      <c r="A460" s="326">
        <v>45261</v>
      </c>
      <c r="B460" s="327">
        <f t="shared" si="46"/>
        <v>91.680964156342611</v>
      </c>
      <c r="C460" s="328">
        <f t="shared" si="47"/>
        <v>3.6124788398399797E-2</v>
      </c>
      <c r="D460" s="329">
        <f t="shared" si="44"/>
        <v>4.6629159492969953E-2</v>
      </c>
      <c r="E460" s="329">
        <f t="shared" si="45"/>
        <v>1.0504371094570156E-2</v>
      </c>
      <c r="F460" s="330">
        <f t="shared" si="43"/>
        <v>3.9402714326603903E-4</v>
      </c>
      <c r="G460" s="332"/>
    </row>
    <row r="461" spans="1:7" ht="20" customHeight="1" x14ac:dyDescent="0.15">
      <c r="A461" s="326">
        <v>45262</v>
      </c>
      <c r="B461" s="331" t="str">
        <f t="shared" si="46"/>
        <v/>
      </c>
      <c r="C461" s="316" t="str">
        <f t="shared" si="47"/>
        <v/>
      </c>
      <c r="D461" s="316" t="str">
        <f t="shared" si="44"/>
        <v/>
      </c>
      <c r="E461" s="316" t="str">
        <f t="shared" si="45"/>
        <v/>
      </c>
      <c r="F461" s="316" t="str">
        <f t="shared" si="43"/>
        <v/>
      </c>
      <c r="G461" s="332"/>
    </row>
    <row r="462" spans="1:7" ht="20" customHeight="1" x14ac:dyDescent="0.15">
      <c r="A462" s="326">
        <v>45263</v>
      </c>
      <c r="B462" s="331" t="str">
        <f t="shared" si="46"/>
        <v/>
      </c>
      <c r="C462" s="316" t="str">
        <f t="shared" si="47"/>
        <v/>
      </c>
      <c r="D462" s="316" t="str">
        <f t="shared" si="44"/>
        <v/>
      </c>
      <c r="E462" s="316" t="str">
        <f t="shared" si="45"/>
        <v/>
      </c>
      <c r="F462" s="316" t="str">
        <f t="shared" si="43"/>
        <v/>
      </c>
      <c r="G462" s="332"/>
    </row>
    <row r="463" spans="1:7" ht="20" customHeight="1" x14ac:dyDescent="0.15">
      <c r="A463" s="326">
        <v>45264</v>
      </c>
      <c r="B463" s="327">
        <f t="shared" si="46"/>
        <v>91.753213733139404</v>
      </c>
      <c r="C463" s="328">
        <f t="shared" si="47"/>
        <v>3.6153256692747215E-2</v>
      </c>
      <c r="D463" s="329">
        <f t="shared" si="44"/>
        <v>4.666590580198577E-2</v>
      </c>
      <c r="E463" s="329">
        <f t="shared" si="45"/>
        <v>1.0512649109238555E-2</v>
      </c>
      <c r="F463" s="330">
        <f t="shared" si="43"/>
        <v>3.9402714326603898E-4</v>
      </c>
      <c r="G463" s="332"/>
    </row>
    <row r="464" spans="1:7" ht="20" customHeight="1" x14ac:dyDescent="0.15">
      <c r="A464" s="326">
        <v>45265</v>
      </c>
      <c r="B464" s="327">
        <f t="shared" si="46"/>
        <v>91.825520246524903</v>
      </c>
      <c r="C464" s="328">
        <f t="shared" si="47"/>
        <v>3.618174742165603E-2</v>
      </c>
      <c r="D464" s="329">
        <f t="shared" si="44"/>
        <v>4.6702681069087926E-2</v>
      </c>
      <c r="E464" s="329">
        <f t="shared" si="45"/>
        <v>1.0520933647431896E-2</v>
      </c>
      <c r="F464" s="330">
        <f t="shared" si="43"/>
        <v>3.9402714326603898E-4</v>
      </c>
      <c r="G464" s="332"/>
    </row>
    <row r="465" spans="1:7" ht="20" customHeight="1" x14ac:dyDescent="0.15">
      <c r="A465" s="326">
        <v>45266</v>
      </c>
      <c r="B465" s="327">
        <f t="shared" si="46"/>
        <v>91.897883741368219</v>
      </c>
      <c r="C465" s="328">
        <f t="shared" si="47"/>
        <v>3.621026060280589E-2</v>
      </c>
      <c r="D465" s="329">
        <f t="shared" si="44"/>
        <v>4.6739485317096964E-2</v>
      </c>
      <c r="E465" s="329">
        <f t="shared" si="45"/>
        <v>1.0529224714291074E-2</v>
      </c>
      <c r="F465" s="330">
        <f t="shared" si="43"/>
        <v>3.9402714326603898E-4</v>
      </c>
      <c r="G465" s="332"/>
    </row>
    <row r="466" spans="1:7" ht="20" customHeight="1" x14ac:dyDescent="0.15">
      <c r="A466" s="326">
        <v>45267</v>
      </c>
      <c r="B466" s="327">
        <f t="shared" si="46"/>
        <v>91.970304262573833</v>
      </c>
      <c r="C466" s="328">
        <f t="shared" si="47"/>
        <v>3.6238796253890378E-2</v>
      </c>
      <c r="D466" s="329">
        <f t="shared" si="44"/>
        <v>4.6776318568851408E-2</v>
      </c>
      <c r="E466" s="329">
        <f t="shared" si="45"/>
        <v>1.053752231496103E-2</v>
      </c>
      <c r="F466" s="330">
        <f t="shared" si="43"/>
        <v>3.9402714326603898E-4</v>
      </c>
      <c r="G466" s="332"/>
    </row>
    <row r="467" spans="1:7" ht="20" customHeight="1" x14ac:dyDescent="0.15">
      <c r="A467" s="326">
        <v>45268</v>
      </c>
      <c r="B467" s="327">
        <f t="shared" si="46"/>
        <v>92.042781855081614</v>
      </c>
      <c r="C467" s="328">
        <f t="shared" si="47"/>
        <v>3.6267354392617017E-2</v>
      </c>
      <c r="D467" s="329">
        <f t="shared" si="44"/>
        <v>4.6813180847207772E-2</v>
      </c>
      <c r="E467" s="329">
        <f t="shared" si="45"/>
        <v>1.0545826454590755E-2</v>
      </c>
      <c r="F467" s="330">
        <f t="shared" si="43"/>
        <v>3.9402714326603898E-4</v>
      </c>
      <c r="G467" s="332"/>
    </row>
    <row r="468" spans="1:7" ht="20" customHeight="1" x14ac:dyDescent="0.15">
      <c r="A468" s="326">
        <v>45269</v>
      </c>
      <c r="B468" s="331" t="str">
        <f t="shared" si="46"/>
        <v/>
      </c>
      <c r="C468" s="316" t="str">
        <f t="shared" si="47"/>
        <v/>
      </c>
      <c r="D468" s="316" t="str">
        <f t="shared" si="44"/>
        <v/>
      </c>
      <c r="E468" s="316" t="str">
        <f t="shared" si="45"/>
        <v/>
      </c>
      <c r="F468" s="316" t="str">
        <f t="shared" si="43"/>
        <v/>
      </c>
      <c r="G468" s="332"/>
    </row>
    <row r="469" spans="1:7" ht="20" customHeight="1" x14ac:dyDescent="0.15">
      <c r="A469" s="326">
        <v>45270</v>
      </c>
      <c r="B469" s="331" t="str">
        <f t="shared" si="46"/>
        <v/>
      </c>
      <c r="C469" s="316" t="str">
        <f t="shared" si="47"/>
        <v/>
      </c>
      <c r="D469" s="316" t="str">
        <f t="shared" si="44"/>
        <v/>
      </c>
      <c r="E469" s="316" t="str">
        <f t="shared" si="45"/>
        <v/>
      </c>
      <c r="F469" s="316" t="str">
        <f t="shared" si="43"/>
        <v/>
      </c>
      <c r="G469" s="332"/>
    </row>
    <row r="470" spans="1:7" ht="20" customHeight="1" x14ac:dyDescent="0.15">
      <c r="A470" s="326">
        <v>45271</v>
      </c>
      <c r="B470" s="327">
        <f t="shared" si="46"/>
        <v>92.115316563866841</v>
      </c>
      <c r="C470" s="328">
        <f t="shared" si="47"/>
        <v>3.6295935036707291E-2</v>
      </c>
      <c r="D470" s="329">
        <f t="shared" si="44"/>
        <v>4.685007217504062E-2</v>
      </c>
      <c r="E470" s="329">
        <f t="shared" si="45"/>
        <v>1.0554137138333329E-2</v>
      </c>
      <c r="F470" s="330">
        <f t="shared" si="43"/>
        <v>3.9402714326603898E-4</v>
      </c>
      <c r="G470" s="332"/>
    </row>
    <row r="471" spans="1:7" ht="20" customHeight="1" x14ac:dyDescent="0.15">
      <c r="A471" s="326">
        <v>45272</v>
      </c>
      <c r="B471" s="327">
        <f t="shared" si="46"/>
        <v>92.187908433940251</v>
      </c>
      <c r="C471" s="328">
        <f t="shared" si="47"/>
        <v>3.632453820389666E-2</v>
      </c>
      <c r="D471" s="329">
        <f t="shared" si="44"/>
        <v>4.6886992575242495E-2</v>
      </c>
      <c r="E471" s="329">
        <f t="shared" si="45"/>
        <v>1.0562454371345835E-2</v>
      </c>
      <c r="F471" s="330">
        <f t="shared" si="43"/>
        <v>3.9402714326603898E-4</v>
      </c>
      <c r="G471" s="332"/>
    </row>
    <row r="472" spans="1:7" ht="20" customHeight="1" x14ac:dyDescent="0.15">
      <c r="A472" s="326">
        <v>45273</v>
      </c>
      <c r="B472" s="327">
        <f t="shared" si="46"/>
        <v>92.26055751034805</v>
      </c>
      <c r="C472" s="328">
        <f t="shared" si="47"/>
        <v>3.6353163911934543E-2</v>
      </c>
      <c r="D472" s="329">
        <f t="shared" si="44"/>
        <v>4.6923942070724013E-2</v>
      </c>
      <c r="E472" s="329">
        <f t="shared" si="45"/>
        <v>1.0570778158789471E-2</v>
      </c>
      <c r="F472" s="330">
        <f t="shared" si="43"/>
        <v>3.9402714326603903E-4</v>
      </c>
      <c r="G472" s="332"/>
    </row>
    <row r="473" spans="1:7" ht="20" customHeight="1" x14ac:dyDescent="0.15">
      <c r="A473" s="326">
        <v>45274</v>
      </c>
      <c r="B473" s="327">
        <f t="shared" si="46"/>
        <v>92.333263838171916</v>
      </c>
      <c r="C473" s="328">
        <f t="shared" si="47"/>
        <v>3.6381812178584341E-2</v>
      </c>
      <c r="D473" s="329">
        <f t="shared" si="44"/>
        <v>4.6960920684413827E-2</v>
      </c>
      <c r="E473" s="329">
        <f t="shared" si="45"/>
        <v>1.0579108505829486E-2</v>
      </c>
      <c r="F473" s="330">
        <f t="shared" si="43"/>
        <v>3.9402714326603898E-4</v>
      </c>
      <c r="G473" s="332"/>
    </row>
    <row r="474" spans="1:7" ht="20" customHeight="1" x14ac:dyDescent="0.15">
      <c r="A474" s="326">
        <v>45275</v>
      </c>
      <c r="B474" s="327">
        <f t="shared" si="46"/>
        <v>92.406027462529082</v>
      </c>
      <c r="C474" s="328">
        <f t="shared" si="47"/>
        <v>3.6410483021623481E-2</v>
      </c>
      <c r="D474" s="329">
        <f t="shared" si="44"/>
        <v>4.6997928439258672E-2</v>
      </c>
      <c r="E474" s="329">
        <f t="shared" si="45"/>
        <v>1.0587445417635191E-2</v>
      </c>
      <c r="F474" s="330">
        <f t="shared" si="43"/>
        <v>3.9402714326603898E-4</v>
      </c>
      <c r="G474" s="332"/>
    </row>
    <row r="475" spans="1:7" ht="20" customHeight="1" x14ac:dyDescent="0.15">
      <c r="A475" s="326">
        <v>45276</v>
      </c>
      <c r="B475" s="331" t="str">
        <f t="shared" si="46"/>
        <v/>
      </c>
      <c r="C475" s="316" t="str">
        <f t="shared" si="47"/>
        <v/>
      </c>
      <c r="D475" s="316" t="str">
        <f t="shared" si="44"/>
        <v/>
      </c>
      <c r="E475" s="316" t="str">
        <f t="shared" si="45"/>
        <v/>
      </c>
      <c r="F475" s="316" t="str">
        <f t="shared" si="43"/>
        <v/>
      </c>
      <c r="G475" s="332"/>
    </row>
    <row r="476" spans="1:7" ht="20" customHeight="1" x14ac:dyDescent="0.15">
      <c r="A476" s="326">
        <v>45277</v>
      </c>
      <c r="B476" s="331" t="str">
        <f t="shared" si="46"/>
        <v/>
      </c>
      <c r="C476" s="316" t="str">
        <f t="shared" si="47"/>
        <v/>
      </c>
      <c r="D476" s="316" t="str">
        <f t="shared" si="44"/>
        <v/>
      </c>
      <c r="E476" s="316" t="str">
        <f t="shared" si="45"/>
        <v/>
      </c>
      <c r="F476" s="316" t="str">
        <f t="shared" si="43"/>
        <v/>
      </c>
      <c r="G476" s="332"/>
    </row>
    <row r="477" spans="1:7" ht="20" customHeight="1" x14ac:dyDescent="0.15">
      <c r="A477" s="326">
        <v>45278</v>
      </c>
      <c r="B477" s="327">
        <f>215.14-125</f>
        <v>90.139999999999986</v>
      </c>
      <c r="C477" s="328">
        <f t="shared" si="47"/>
        <v>3.5517606694000746E-2</v>
      </c>
      <c r="D477" s="329">
        <f t="shared" si="44"/>
        <v>4.5845421406440677E-2</v>
      </c>
      <c r="E477" s="329">
        <f t="shared" si="45"/>
        <v>1.0327814712439931E-2</v>
      </c>
      <c r="F477" s="330">
        <f t="shared" si="43"/>
        <v>3.9402714326603898E-4</v>
      </c>
      <c r="G477" s="332"/>
    </row>
    <row r="478" spans="1:7" ht="20" customHeight="1" x14ac:dyDescent="0.15">
      <c r="A478" s="326">
        <v>45279</v>
      </c>
      <c r="B478" s="327">
        <f t="shared" ref="B478:B485" si="48">IF(OR(WEEKDAY($A478)=7,WEEKDAY($A478)=1),"",IF(B477="",IF(B476="",B475,B476),B477)+IF(A$2=TRUE,IF(C477="",IF(C476="",C475,C476),C477)*2,IF(C477="",IF(C476="",C475,C476),C477)))</f>
        <v>90.211035213387987</v>
      </c>
      <c r="C478" s="328">
        <f t="shared" si="47"/>
        <v>3.5545596496203313E-2</v>
      </c>
      <c r="D478" s="329">
        <f t="shared" si="44"/>
        <v>4.5881550087297891E-2</v>
      </c>
      <c r="E478" s="329">
        <f t="shared" si="45"/>
        <v>1.0335953591094578E-2</v>
      </c>
      <c r="F478" s="330">
        <f t="shared" si="43"/>
        <v>3.9402714326603898E-4</v>
      </c>
      <c r="G478" s="332"/>
    </row>
    <row r="479" spans="1:7" ht="20" customHeight="1" x14ac:dyDescent="0.15">
      <c r="A479" s="326">
        <v>45280</v>
      </c>
      <c r="B479" s="327">
        <f t="shared" si="48"/>
        <v>90.282126406380399</v>
      </c>
      <c r="C479" s="328">
        <f t="shared" si="47"/>
        <v>3.5573608355889491E-2</v>
      </c>
      <c r="D479" s="329">
        <f t="shared" si="44"/>
        <v>4.5917707239516922E-2</v>
      </c>
      <c r="E479" s="329">
        <f t="shared" si="45"/>
        <v>1.0344098883627431E-2</v>
      </c>
      <c r="F479" s="330">
        <f t="shared" si="43"/>
        <v>3.9402714326603898E-4</v>
      </c>
      <c r="G479" s="332"/>
    </row>
    <row r="480" spans="1:7" ht="20" customHeight="1" x14ac:dyDescent="0.15">
      <c r="A480" s="326">
        <v>45281</v>
      </c>
      <c r="B480" s="327">
        <f t="shared" si="48"/>
        <v>90.353273623092178</v>
      </c>
      <c r="C480" s="328">
        <f t="shared" si="47"/>
        <v>3.5601642290441764E-2</v>
      </c>
      <c r="D480" s="329">
        <f t="shared" si="44"/>
        <v>4.595389288553476E-2</v>
      </c>
      <c r="E480" s="329">
        <f t="shared" si="45"/>
        <v>1.0352250595092996E-2</v>
      </c>
      <c r="F480" s="330">
        <f t="shared" si="43"/>
        <v>3.9402714326603898E-4</v>
      </c>
      <c r="G480" s="332"/>
    </row>
    <row r="481" spans="1:7" ht="20" customHeight="1" x14ac:dyDescent="0.15">
      <c r="A481" s="326">
        <v>45282</v>
      </c>
      <c r="B481" s="327">
        <f t="shared" si="48"/>
        <v>90.424476907673068</v>
      </c>
      <c r="C481" s="328">
        <f t="shared" si="47"/>
        <v>3.5629698317256327E-2</v>
      </c>
      <c r="D481" s="329">
        <f t="shared" si="44"/>
        <v>4.5990107047806032E-2</v>
      </c>
      <c r="E481" s="329">
        <f t="shared" si="45"/>
        <v>1.0360408730549706E-2</v>
      </c>
      <c r="F481" s="330">
        <f t="shared" si="43"/>
        <v>3.9402714326603893E-4</v>
      </c>
      <c r="G481" s="332"/>
    </row>
    <row r="482" spans="1:7" ht="20" customHeight="1" x14ac:dyDescent="0.15">
      <c r="A482" s="326">
        <v>45283</v>
      </c>
      <c r="B482" s="331" t="str">
        <f t="shared" si="48"/>
        <v/>
      </c>
      <c r="C482" s="316" t="str">
        <f t="shared" si="47"/>
        <v/>
      </c>
      <c r="D482" s="316" t="str">
        <f t="shared" si="44"/>
        <v/>
      </c>
      <c r="E482" s="316" t="str">
        <f t="shared" si="45"/>
        <v/>
      </c>
      <c r="F482" s="316" t="str">
        <f t="shared" si="43"/>
        <v/>
      </c>
      <c r="G482" s="332"/>
    </row>
    <row r="483" spans="1:7" ht="20" customHeight="1" x14ac:dyDescent="0.15">
      <c r="A483" s="326">
        <v>45284</v>
      </c>
      <c r="B483" s="331" t="str">
        <f t="shared" si="48"/>
        <v/>
      </c>
      <c r="C483" s="316" t="str">
        <f t="shared" si="47"/>
        <v/>
      </c>
      <c r="D483" s="316" t="str">
        <f t="shared" si="44"/>
        <v/>
      </c>
      <c r="E483" s="316" t="str">
        <f t="shared" si="45"/>
        <v/>
      </c>
      <c r="F483" s="316" t="str">
        <f t="shared" si="43"/>
        <v/>
      </c>
      <c r="G483" s="332"/>
    </row>
    <row r="484" spans="1:7" ht="20" customHeight="1" x14ac:dyDescent="0.15">
      <c r="A484" s="326">
        <v>45285</v>
      </c>
      <c r="B484" s="327">
        <f t="shared" si="48"/>
        <v>90.495736304307584</v>
      </c>
      <c r="C484" s="328">
        <f t="shared" si="47"/>
        <v>3.5657776453743087E-2</v>
      </c>
      <c r="D484" s="329">
        <f t="shared" si="44"/>
        <v>4.6026349748803125E-2</v>
      </c>
      <c r="E484" s="329">
        <f t="shared" si="45"/>
        <v>1.0368573295060038E-2</v>
      </c>
      <c r="F484" s="330">
        <f t="shared" si="43"/>
        <v>3.9402714326603893E-4</v>
      </c>
      <c r="G484" s="332"/>
    </row>
    <row r="485" spans="1:7" ht="20" customHeight="1" x14ac:dyDescent="0.15">
      <c r="A485" s="326">
        <v>45286</v>
      </c>
      <c r="B485" s="327">
        <f t="shared" si="48"/>
        <v>90.567051857215077</v>
      </c>
      <c r="C485" s="328">
        <f t="shared" si="47"/>
        <v>3.5685876717325669E-2</v>
      </c>
      <c r="D485" s="329">
        <f t="shared" si="44"/>
        <v>4.606262101101611E-2</v>
      </c>
      <c r="E485" s="329">
        <f t="shared" si="45"/>
        <v>1.037674429369044E-2</v>
      </c>
      <c r="F485" s="330">
        <f t="shared" si="43"/>
        <v>3.9402714326603903E-4</v>
      </c>
      <c r="G485" s="332"/>
    </row>
    <row r="486" spans="1:7" ht="20" customHeight="1" x14ac:dyDescent="0.15">
      <c r="A486" s="326">
        <v>45287</v>
      </c>
      <c r="B486" s="327">
        <f>IF(OR(WEEKDAY($A486)=7,WEEKDAY($A486)=1),"",IF(B485="",IF(B484="",B483,B484),B485)+IF(A$2=TRUE,IF(C485="",IF(C484="",C483,C484),C485)*2,IF(C485="",IF(C484="",C483,C484),C485)))-G152</f>
        <v>-30.581576389350275</v>
      </c>
      <c r="C486" s="328">
        <f t="shared" si="47"/>
        <v>-1.2049971181267835E-2</v>
      </c>
      <c r="D486" s="329">
        <f t="shared" si="44"/>
        <v>-1.5553863510572667E-2</v>
      </c>
      <c r="E486" s="329">
        <f t="shared" si="45"/>
        <v>-3.5038923293048314E-3</v>
      </c>
      <c r="F486" s="330">
        <f t="shared" si="43"/>
        <v>3.9402714326603898E-4</v>
      </c>
      <c r="G486" s="332"/>
    </row>
    <row r="487" spans="1:7" ht="20" customHeight="1" x14ac:dyDescent="0.15">
      <c r="A487" s="326">
        <v>45288</v>
      </c>
      <c r="B487" s="327">
        <f t="shared" ref="B487:B518" si="49">IF(OR(WEEKDAY($A487)=7,WEEKDAY($A487)=1),"",IF(B486="",IF(B485="",B484,B485),B486)+IF(A$2=TRUE,IF(C486="",IF(C485="",C484,C485),C486)*2,IF(C486="",IF(C485="",C484,C485),C486)))</f>
        <v>-30.605676331712811</v>
      </c>
      <c r="C487" s="328">
        <f t="shared" si="47"/>
        <v>-1.2059467212709823E-2</v>
      </c>
      <c r="D487" s="329">
        <f t="shared" si="44"/>
        <v>-1.556612079938431E-2</v>
      </c>
      <c r="E487" s="329">
        <f t="shared" si="45"/>
        <v>-3.506653586674487E-3</v>
      </c>
      <c r="F487" s="330">
        <f t="shared" si="43"/>
        <v>3.9402714326603898E-4</v>
      </c>
      <c r="G487" s="332"/>
    </row>
    <row r="488" spans="1:7" ht="20" customHeight="1" x14ac:dyDescent="0.15">
      <c r="A488" s="326">
        <v>45289</v>
      </c>
      <c r="B488" s="327">
        <f t="shared" si="49"/>
        <v>-30.629795266138231</v>
      </c>
      <c r="C488" s="328">
        <f t="shared" si="47"/>
        <v>-1.2068970727540091E-2</v>
      </c>
      <c r="D488" s="329">
        <f t="shared" si="44"/>
        <v>-1.5578387747604939E-2</v>
      </c>
      <c r="E488" s="329">
        <f t="shared" si="45"/>
        <v>-3.5094170200648481E-3</v>
      </c>
      <c r="F488" s="330">
        <f t="shared" si="43"/>
        <v>3.9402714326603898E-4</v>
      </c>
      <c r="G488" s="332"/>
    </row>
    <row r="489" spans="1:7" ht="20" customHeight="1" x14ac:dyDescent="0.15">
      <c r="A489" s="326">
        <v>45290</v>
      </c>
      <c r="B489" s="331" t="str">
        <f t="shared" si="49"/>
        <v/>
      </c>
      <c r="C489" s="316" t="str">
        <f t="shared" si="47"/>
        <v/>
      </c>
      <c r="D489" s="316" t="str">
        <f t="shared" si="44"/>
        <v/>
      </c>
      <c r="E489" s="316" t="str">
        <f t="shared" si="45"/>
        <v/>
      </c>
      <c r="F489" s="316" t="str">
        <f t="shared" si="43"/>
        <v/>
      </c>
      <c r="G489" s="332"/>
    </row>
    <row r="490" spans="1:7" ht="20" customHeight="1" x14ac:dyDescent="0.15">
      <c r="A490" s="326">
        <v>45291</v>
      </c>
      <c r="B490" s="331" t="str">
        <f t="shared" si="49"/>
        <v/>
      </c>
      <c r="C490" s="316" t="str">
        <f t="shared" si="47"/>
        <v/>
      </c>
      <c r="D490" s="316" t="str">
        <f t="shared" si="44"/>
        <v/>
      </c>
      <c r="E490" s="316" t="str">
        <f t="shared" si="45"/>
        <v/>
      </c>
      <c r="F490" s="316" t="str">
        <f t="shared" si="43"/>
        <v/>
      </c>
      <c r="G490" s="332"/>
    </row>
    <row r="491" spans="1:7" ht="20" customHeight="1" x14ac:dyDescent="0.15">
      <c r="A491" s="326">
        <v>45292</v>
      </c>
      <c r="B491" s="327">
        <f t="shared" si="49"/>
        <v>-30.653933207593312</v>
      </c>
      <c r="C491" s="328">
        <f t="shared" si="47"/>
        <v>-1.207848173165596E-2</v>
      </c>
      <c r="D491" s="329">
        <f t="shared" si="44"/>
        <v>-1.5590664362846699E-2</v>
      </c>
      <c r="E491" s="329">
        <f t="shared" si="45"/>
        <v>-3.5121826311907394E-3</v>
      </c>
      <c r="F491" s="330">
        <f t="shared" si="43"/>
        <v>3.9402714326603898E-4</v>
      </c>
      <c r="G491" s="332"/>
    </row>
    <row r="492" spans="1:7" ht="20" customHeight="1" x14ac:dyDescent="0.15">
      <c r="A492" s="326">
        <v>45293</v>
      </c>
      <c r="B492" s="327">
        <f t="shared" si="49"/>
        <v>-30.678090171056624</v>
      </c>
      <c r="C492" s="328">
        <f t="shared" si="47"/>
        <v>-1.208800023095939E-2</v>
      </c>
      <c r="D492" s="329">
        <f t="shared" si="44"/>
        <v>-1.5602950652727723E-2</v>
      </c>
      <c r="E492" s="329">
        <f t="shared" si="45"/>
        <v>-3.5149504217683331E-3</v>
      </c>
      <c r="F492" s="330">
        <f t="shared" si="43"/>
        <v>3.9402714326603898E-4</v>
      </c>
      <c r="G492" s="332"/>
    </row>
    <row r="493" spans="1:7" ht="20" customHeight="1" x14ac:dyDescent="0.15">
      <c r="A493" s="326">
        <v>45294</v>
      </c>
      <c r="B493" s="327">
        <f t="shared" si="49"/>
        <v>-30.702266171518541</v>
      </c>
      <c r="C493" s="328">
        <f t="shared" si="47"/>
        <v>-1.2097526231356999E-2</v>
      </c>
      <c r="D493" s="329">
        <f t="shared" si="44"/>
        <v>-1.5615246624872153E-2</v>
      </c>
      <c r="E493" s="329">
        <f t="shared" si="45"/>
        <v>-3.5177203935151547E-3</v>
      </c>
      <c r="F493" s="330">
        <f t="shared" si="43"/>
        <v>3.9402714326603898E-4</v>
      </c>
      <c r="G493" s="332"/>
    </row>
    <row r="494" spans="1:7" ht="20" customHeight="1" x14ac:dyDescent="0.15">
      <c r="A494" s="326">
        <v>45295</v>
      </c>
      <c r="B494" s="327">
        <f t="shared" si="49"/>
        <v>-30.726461223981257</v>
      </c>
      <c r="C494" s="328">
        <f t="shared" si="47"/>
        <v>-1.2107059738760055E-2</v>
      </c>
      <c r="D494" s="329">
        <f t="shared" si="44"/>
        <v>-1.5627552286910141E-2</v>
      </c>
      <c r="E494" s="329">
        <f t="shared" si="45"/>
        <v>-3.5204925481500862E-3</v>
      </c>
      <c r="F494" s="330">
        <f t="shared" si="43"/>
        <v>3.9402714326603898E-4</v>
      </c>
      <c r="G494" s="332"/>
    </row>
    <row r="495" spans="1:7" ht="20" customHeight="1" x14ac:dyDescent="0.15">
      <c r="A495" s="326">
        <v>45296</v>
      </c>
      <c r="B495" s="327">
        <f t="shared" si="49"/>
        <v>-30.750675343458777</v>
      </c>
      <c r="C495" s="328">
        <f t="shared" si="47"/>
        <v>-1.2116600759084484E-2</v>
      </c>
      <c r="D495" s="329">
        <f t="shared" si="44"/>
        <v>-1.5639867646477845E-2</v>
      </c>
      <c r="E495" s="329">
        <f t="shared" si="45"/>
        <v>-3.5232668873933608E-3</v>
      </c>
      <c r="F495" s="330">
        <f t="shared" si="43"/>
        <v>3.9402714326603898E-4</v>
      </c>
      <c r="G495" s="332"/>
    </row>
    <row r="496" spans="1:7" ht="20" customHeight="1" x14ac:dyDescent="0.15">
      <c r="A496" s="326">
        <v>45297</v>
      </c>
      <c r="B496" s="331" t="str">
        <f t="shared" si="49"/>
        <v/>
      </c>
      <c r="C496" s="316" t="str">
        <f t="shared" si="47"/>
        <v/>
      </c>
      <c r="D496" s="316" t="str">
        <f t="shared" si="44"/>
        <v/>
      </c>
      <c r="E496" s="316" t="str">
        <f t="shared" si="45"/>
        <v/>
      </c>
      <c r="F496" s="316" t="str">
        <f t="shared" si="43"/>
        <v/>
      </c>
      <c r="G496" s="332"/>
    </row>
    <row r="497" spans="1:7" ht="20" customHeight="1" x14ac:dyDescent="0.15">
      <c r="A497" s="326">
        <v>45298</v>
      </c>
      <c r="B497" s="331" t="str">
        <f t="shared" si="49"/>
        <v/>
      </c>
      <c r="C497" s="316" t="str">
        <f t="shared" si="47"/>
        <v/>
      </c>
      <c r="D497" s="316" t="str">
        <f t="shared" si="44"/>
        <v/>
      </c>
      <c r="E497" s="316" t="str">
        <f t="shared" si="45"/>
        <v/>
      </c>
      <c r="F497" s="316" t="str">
        <f t="shared" si="43"/>
        <v/>
      </c>
      <c r="G497" s="332"/>
    </row>
    <row r="498" spans="1:7" ht="20" customHeight="1" x14ac:dyDescent="0.15">
      <c r="A498" s="326">
        <v>45299</v>
      </c>
      <c r="B498" s="327">
        <f t="shared" si="49"/>
        <v>-30.774908544976945</v>
      </c>
      <c r="C498" s="328">
        <f t="shared" si="47"/>
        <v>-1.2126149298250878E-2</v>
      </c>
      <c r="D498" s="329">
        <f t="shared" si="44"/>
        <v>-1.5652192711217445E-2</v>
      </c>
      <c r="E498" s="329">
        <f t="shared" si="45"/>
        <v>-3.5260434129665667E-3</v>
      </c>
      <c r="F498" s="330">
        <f t="shared" si="43"/>
        <v>3.9402714326603898E-4</v>
      </c>
      <c r="G498" s="332"/>
    </row>
    <row r="499" spans="1:7" ht="20" customHeight="1" x14ac:dyDescent="0.15">
      <c r="A499" s="326">
        <v>45300</v>
      </c>
      <c r="B499" s="327">
        <f t="shared" si="49"/>
        <v>-30.799160843573446</v>
      </c>
      <c r="C499" s="328">
        <f t="shared" si="47"/>
        <v>-1.2135705362184493E-2</v>
      </c>
      <c r="D499" s="329">
        <f t="shared" si="44"/>
        <v>-1.5664527488777148E-2</v>
      </c>
      <c r="E499" s="329">
        <f t="shared" si="45"/>
        <v>-3.5288221265926557E-3</v>
      </c>
      <c r="F499" s="330">
        <f t="shared" si="43"/>
        <v>3.9402714326603898E-4</v>
      </c>
      <c r="G499" s="332"/>
    </row>
    <row r="500" spans="1:7" ht="20" customHeight="1" x14ac:dyDescent="0.15">
      <c r="A500" s="326">
        <v>45301</v>
      </c>
      <c r="B500" s="327">
        <f t="shared" si="49"/>
        <v>-30.823432254297817</v>
      </c>
      <c r="C500" s="328">
        <f t="shared" si="47"/>
        <v>-1.2145268956815253E-2</v>
      </c>
      <c r="D500" s="329">
        <f t="shared" si="44"/>
        <v>-1.5676871986811176E-2</v>
      </c>
      <c r="E500" s="329">
        <f t="shared" si="45"/>
        <v>-3.5316030299959236E-3</v>
      </c>
      <c r="F500" s="330">
        <f t="shared" si="43"/>
        <v>3.9402714326603898E-4</v>
      </c>
      <c r="G500" s="332"/>
    </row>
    <row r="501" spans="1:7" ht="20" customHeight="1" x14ac:dyDescent="0.15">
      <c r="A501" s="326">
        <v>45302</v>
      </c>
      <c r="B501" s="327">
        <f t="shared" si="49"/>
        <v>-30.847722792211446</v>
      </c>
      <c r="C501" s="328">
        <f t="shared" si="47"/>
        <v>-1.2154840088077755E-2</v>
      </c>
      <c r="D501" s="329">
        <f t="shared" si="44"/>
        <v>-1.5689226212979798E-2</v>
      </c>
      <c r="E501" s="329">
        <f t="shared" si="45"/>
        <v>-3.5343861249020423E-3</v>
      </c>
      <c r="F501" s="330">
        <f t="shared" si="43"/>
        <v>3.9402714326603898E-4</v>
      </c>
      <c r="G501" s="332"/>
    </row>
    <row r="502" spans="1:7" ht="20" customHeight="1" x14ac:dyDescent="0.15">
      <c r="A502" s="326">
        <v>45303</v>
      </c>
      <c r="B502" s="327">
        <f t="shared" si="49"/>
        <v>-30.872032472387602</v>
      </c>
      <c r="C502" s="328">
        <f t="shared" si="47"/>
        <v>-1.2164418761911277E-2</v>
      </c>
      <c r="D502" s="329">
        <f t="shared" si="44"/>
        <v>-1.5701590174949306E-2</v>
      </c>
      <c r="E502" s="329">
        <f t="shared" si="45"/>
        <v>-3.5371714130380295E-3</v>
      </c>
      <c r="F502" s="330">
        <f t="shared" si="43"/>
        <v>3.9402714326603898E-4</v>
      </c>
      <c r="G502" s="332"/>
    </row>
    <row r="503" spans="1:7" ht="20" customHeight="1" x14ac:dyDescent="0.15">
      <c r="A503" s="326">
        <v>45304</v>
      </c>
      <c r="B503" s="331" t="str">
        <f t="shared" si="49"/>
        <v/>
      </c>
      <c r="C503" s="316" t="str">
        <f t="shared" si="47"/>
        <v/>
      </c>
      <c r="D503" s="316" t="str">
        <f t="shared" si="44"/>
        <v/>
      </c>
      <c r="E503" s="316" t="str">
        <f t="shared" si="45"/>
        <v/>
      </c>
      <c r="F503" s="316" t="str">
        <f t="shared" si="43"/>
        <v/>
      </c>
      <c r="G503" s="332"/>
    </row>
    <row r="504" spans="1:7" ht="20" customHeight="1" x14ac:dyDescent="0.15">
      <c r="A504" s="326">
        <v>45305</v>
      </c>
      <c r="B504" s="331" t="str">
        <f t="shared" si="49"/>
        <v/>
      </c>
      <c r="C504" s="316" t="str">
        <f t="shared" si="47"/>
        <v/>
      </c>
      <c r="D504" s="316" t="str">
        <f t="shared" si="44"/>
        <v/>
      </c>
      <c r="E504" s="316" t="str">
        <f t="shared" si="45"/>
        <v/>
      </c>
      <c r="F504" s="316" t="str">
        <f t="shared" si="43"/>
        <v/>
      </c>
      <c r="G504" s="332"/>
    </row>
    <row r="505" spans="1:7" ht="20" customHeight="1" x14ac:dyDescent="0.15">
      <c r="A505" s="326">
        <v>45306</v>
      </c>
      <c r="B505" s="327">
        <f t="shared" si="49"/>
        <v>-30.896361309911423</v>
      </c>
      <c r="C505" s="328">
        <f t="shared" si="47"/>
        <v>-1.2174004984259771E-2</v>
      </c>
      <c r="D505" s="329">
        <f t="shared" si="44"/>
        <v>-1.5713963880392045E-2</v>
      </c>
      <c r="E505" s="329">
        <f t="shared" si="45"/>
        <v>-3.5399588961322736E-3</v>
      </c>
      <c r="F505" s="330">
        <f t="shared" si="43"/>
        <v>3.9402714326603898E-4</v>
      </c>
      <c r="G505" s="332"/>
    </row>
    <row r="506" spans="1:7" ht="20" customHeight="1" x14ac:dyDescent="0.15">
      <c r="A506" s="326">
        <v>45307</v>
      </c>
      <c r="B506" s="327">
        <f t="shared" si="49"/>
        <v>-30.920709319879943</v>
      </c>
      <c r="C506" s="328">
        <f t="shared" si="47"/>
        <v>-1.2183598761071881E-2</v>
      </c>
      <c r="D506" s="329">
        <f t="shared" si="44"/>
        <v>-1.5726347336986399E-2</v>
      </c>
      <c r="E506" s="329">
        <f t="shared" si="45"/>
        <v>-3.5427485759145175E-3</v>
      </c>
      <c r="F506" s="330">
        <f t="shared" si="43"/>
        <v>3.9402714326603898E-4</v>
      </c>
      <c r="G506" s="332"/>
    </row>
    <row r="507" spans="1:7" ht="20" customHeight="1" x14ac:dyDescent="0.15">
      <c r="A507" s="326">
        <v>45308</v>
      </c>
      <c r="B507" s="327">
        <f t="shared" si="49"/>
        <v>-30.945076517402086</v>
      </c>
      <c r="C507" s="328">
        <f t="shared" si="47"/>
        <v>-1.2193200098300929E-2</v>
      </c>
      <c r="D507" s="329">
        <f t="shared" si="44"/>
        <v>-1.5738740552416801E-2</v>
      </c>
      <c r="E507" s="329">
        <f t="shared" si="45"/>
        <v>-3.5455404541158714E-3</v>
      </c>
      <c r="F507" s="330">
        <f t="shared" si="43"/>
        <v>3.9402714326603898E-4</v>
      </c>
      <c r="G507" s="332"/>
    </row>
    <row r="508" spans="1:7" ht="20" customHeight="1" x14ac:dyDescent="0.15">
      <c r="A508" s="326">
        <v>45309</v>
      </c>
      <c r="B508" s="327">
        <f t="shared" si="49"/>
        <v>-30.969462917598687</v>
      </c>
      <c r="C508" s="328">
        <f t="shared" si="47"/>
        <v>-1.220280900190494E-2</v>
      </c>
      <c r="D508" s="329">
        <f t="shared" si="44"/>
        <v>-1.5751143534373749E-2</v>
      </c>
      <c r="E508" s="329">
        <f t="shared" si="45"/>
        <v>-3.5483345324688088E-3</v>
      </c>
      <c r="F508" s="330">
        <f t="shared" si="43"/>
        <v>3.9402714326603898E-4</v>
      </c>
      <c r="G508" s="332"/>
    </row>
    <row r="509" spans="1:7" ht="20" customHeight="1" x14ac:dyDescent="0.15">
      <c r="A509" s="326">
        <v>45310</v>
      </c>
      <c r="B509" s="327">
        <f t="shared" si="49"/>
        <v>-30.993868535602498</v>
      </c>
      <c r="C509" s="328">
        <f t="shared" si="47"/>
        <v>-1.2212425477846624E-2</v>
      </c>
      <c r="D509" s="329">
        <f t="shared" si="44"/>
        <v>-1.5763556290553798E-2</v>
      </c>
      <c r="E509" s="329">
        <f t="shared" si="45"/>
        <v>-3.5511308127071737E-3</v>
      </c>
      <c r="F509" s="330">
        <f t="shared" si="43"/>
        <v>3.9402714326603898E-4</v>
      </c>
      <c r="G509" s="332"/>
    </row>
    <row r="510" spans="1:7" ht="20" customHeight="1" x14ac:dyDescent="0.15">
      <c r="A510" s="326">
        <v>45311</v>
      </c>
      <c r="B510" s="331" t="str">
        <f t="shared" si="49"/>
        <v/>
      </c>
      <c r="C510" s="316" t="str">
        <f t="shared" si="47"/>
        <v/>
      </c>
      <c r="D510" s="316" t="str">
        <f t="shared" si="44"/>
        <v/>
      </c>
      <c r="E510" s="316" t="str">
        <f t="shared" si="45"/>
        <v/>
      </c>
      <c r="F510" s="316" t="str">
        <f t="shared" si="43"/>
        <v/>
      </c>
      <c r="G510" s="332"/>
    </row>
    <row r="511" spans="1:7" ht="20" customHeight="1" x14ac:dyDescent="0.15">
      <c r="A511" s="326">
        <v>45312</v>
      </c>
      <c r="B511" s="331" t="str">
        <f t="shared" si="49"/>
        <v/>
      </c>
      <c r="C511" s="316" t="str">
        <f t="shared" si="47"/>
        <v/>
      </c>
      <c r="D511" s="316" t="str">
        <f t="shared" si="44"/>
        <v/>
      </c>
      <c r="E511" s="316" t="str">
        <f t="shared" si="45"/>
        <v/>
      </c>
      <c r="F511" s="316" t="str">
        <f t="shared" si="43"/>
        <v/>
      </c>
      <c r="G511" s="332"/>
    </row>
    <row r="512" spans="1:7" ht="20" customHeight="1" x14ac:dyDescent="0.15">
      <c r="A512" s="326">
        <v>45313</v>
      </c>
      <c r="B512" s="327">
        <f t="shared" si="49"/>
        <v>-31.018293386558192</v>
      </c>
      <c r="C512" s="328">
        <f t="shared" si="47"/>
        <v>-1.2222049532093394E-2</v>
      </c>
      <c r="D512" s="329">
        <f t="shared" si="44"/>
        <v>-1.5775978828659557E-2</v>
      </c>
      <c r="E512" s="329">
        <f t="shared" si="45"/>
        <v>-3.5539292965661631E-3</v>
      </c>
      <c r="F512" s="330">
        <f t="shared" si="43"/>
        <v>3.9402714326603898E-4</v>
      </c>
      <c r="G512" s="332"/>
    </row>
    <row r="513" spans="1:7" ht="20" customHeight="1" x14ac:dyDescent="0.15">
      <c r="A513" s="326">
        <v>45314</v>
      </c>
      <c r="B513" s="327">
        <f t="shared" si="49"/>
        <v>-31.042737485622379</v>
      </c>
      <c r="C513" s="328">
        <f t="shared" si="47"/>
        <v>-1.2231681170617367E-2</v>
      </c>
      <c r="D513" s="329">
        <f t="shared" si="44"/>
        <v>-1.5788411156399722E-2</v>
      </c>
      <c r="E513" s="329">
        <f t="shared" si="45"/>
        <v>-3.5567299857823548E-3</v>
      </c>
      <c r="F513" s="330">
        <f t="shared" si="43"/>
        <v>3.9402714326603898E-4</v>
      </c>
      <c r="G513" s="332"/>
    </row>
    <row r="514" spans="1:7" ht="20" customHeight="1" x14ac:dyDescent="0.15">
      <c r="A514" s="326">
        <v>45315</v>
      </c>
      <c r="B514" s="327">
        <f t="shared" si="49"/>
        <v>-31.067200847963612</v>
      </c>
      <c r="C514" s="328">
        <f t="shared" si="47"/>
        <v>-1.2241320399395366E-2</v>
      </c>
      <c r="D514" s="329">
        <f t="shared" si="44"/>
        <v>-1.5800853281489051E-2</v>
      </c>
      <c r="E514" s="329">
        <f t="shared" si="45"/>
        <v>-3.5595328820936852E-3</v>
      </c>
      <c r="F514" s="330">
        <f t="shared" si="43"/>
        <v>3.9402714326603898E-4</v>
      </c>
      <c r="G514" s="332"/>
    </row>
    <row r="515" spans="1:7" ht="20" customHeight="1" x14ac:dyDescent="0.15">
      <c r="A515" s="326">
        <v>45316</v>
      </c>
      <c r="B515" s="327">
        <f t="shared" si="49"/>
        <v>-31.091683488762403</v>
      </c>
      <c r="C515" s="328">
        <f t="shared" si="47"/>
        <v>-1.2250967224408922E-2</v>
      </c>
      <c r="D515" s="329">
        <f t="shared" si="44"/>
        <v>-1.5813305211648396E-2</v>
      </c>
      <c r="E515" s="329">
        <f t="shared" si="45"/>
        <v>-3.5623379872394747E-3</v>
      </c>
      <c r="F515" s="330">
        <f t="shared" si="43"/>
        <v>3.9402714326603898E-4</v>
      </c>
      <c r="G515" s="332"/>
    </row>
    <row r="516" spans="1:7" ht="20" customHeight="1" x14ac:dyDescent="0.15">
      <c r="A516" s="326">
        <v>45317</v>
      </c>
      <c r="B516" s="327">
        <f t="shared" si="49"/>
        <v>-31.11618542321122</v>
      </c>
      <c r="C516" s="328">
        <f t="shared" si="47"/>
        <v>-1.2260621651644281E-2</v>
      </c>
      <c r="D516" s="329">
        <f t="shared" si="44"/>
        <v>-1.5825766954604675E-2</v>
      </c>
      <c r="E516" s="329">
        <f t="shared" si="45"/>
        <v>-3.5651453029603934E-3</v>
      </c>
      <c r="F516" s="330">
        <f t="shared" ref="F516:F579" si="50">IF(B516="","",C516/B516)</f>
        <v>3.9402714326603898E-4</v>
      </c>
      <c r="G516" s="332"/>
    </row>
    <row r="517" spans="1:7" ht="20" customHeight="1" x14ac:dyDescent="0.15">
      <c r="A517" s="326">
        <v>45318</v>
      </c>
      <c r="B517" s="331" t="str">
        <f t="shared" si="49"/>
        <v/>
      </c>
      <c r="C517" s="316" t="str">
        <f t="shared" si="47"/>
        <v/>
      </c>
      <c r="D517" s="316" t="str">
        <f t="shared" si="44"/>
        <v/>
      </c>
      <c r="E517" s="316" t="str">
        <f t="shared" si="45"/>
        <v/>
      </c>
      <c r="F517" s="316" t="str">
        <f t="shared" si="50"/>
        <v/>
      </c>
      <c r="G517" s="332"/>
    </row>
    <row r="518" spans="1:7" ht="20" customHeight="1" x14ac:dyDescent="0.15">
      <c r="A518" s="326">
        <v>45319</v>
      </c>
      <c r="B518" s="331" t="str">
        <f t="shared" si="49"/>
        <v/>
      </c>
      <c r="C518" s="316" t="str">
        <f t="shared" si="47"/>
        <v/>
      </c>
      <c r="D518" s="316" t="str">
        <f t="shared" si="44"/>
        <v/>
      </c>
      <c r="E518" s="316" t="str">
        <f t="shared" si="45"/>
        <v/>
      </c>
      <c r="F518" s="316" t="str">
        <f t="shared" si="50"/>
        <v/>
      </c>
      <c r="G518" s="332"/>
    </row>
    <row r="519" spans="1:7" ht="20" customHeight="1" x14ac:dyDescent="0.15">
      <c r="A519" s="326">
        <v>45320</v>
      </c>
      <c r="B519" s="327">
        <f t="shared" ref="B519:B550" si="51">IF(OR(WEEKDAY($A519)=7,WEEKDAY($A519)=1),"",IF(B518="",IF(B517="",B516,B517),B518)+IF(A$2=TRUE,IF(C518="",IF(C517="",C516,C517),C518)*2,IF(C518="",IF(C517="",C516,C517),C518)))</f>
        <v>-31.140706666514507</v>
      </c>
      <c r="C519" s="328">
        <f t="shared" si="47"/>
        <v>-1.2270283687092407E-2</v>
      </c>
      <c r="D519" s="329">
        <f t="shared" ref="D519:D582" si="52">IF(C519="","",(D$3*$C519)/$C$3)</f>
        <v>-1.5838238518090908E-2</v>
      </c>
      <c r="E519" s="329">
        <f t="shared" ref="E519:E582" si="53">IF(C519="","",D519-$C519)</f>
        <v>-3.5679548309985008E-3</v>
      </c>
      <c r="F519" s="330">
        <f t="shared" si="50"/>
        <v>3.9402714326603898E-4</v>
      </c>
      <c r="G519" s="332"/>
    </row>
    <row r="520" spans="1:7" ht="20" customHeight="1" x14ac:dyDescent="0.15">
      <c r="A520" s="326">
        <v>45321</v>
      </c>
      <c r="B520" s="327">
        <f t="shared" si="51"/>
        <v>-31.165247233888692</v>
      </c>
      <c r="C520" s="328">
        <f t="shared" si="47"/>
        <v>-1.2279953336748984E-2</v>
      </c>
      <c r="D520" s="329">
        <f t="shared" si="52"/>
        <v>-1.5850719909846205E-2</v>
      </c>
      <c r="E520" s="329">
        <f t="shared" si="53"/>
        <v>-3.5707665730972202E-3</v>
      </c>
      <c r="F520" s="330">
        <f t="shared" si="50"/>
        <v>3.9402714326603898E-4</v>
      </c>
      <c r="G520" s="332"/>
    </row>
    <row r="521" spans="1:7" ht="20" customHeight="1" x14ac:dyDescent="0.15">
      <c r="A521" s="326">
        <v>45322</v>
      </c>
      <c r="B521" s="327">
        <f t="shared" si="51"/>
        <v>-31.189807140562191</v>
      </c>
      <c r="C521" s="328">
        <f t="shared" si="47"/>
        <v>-1.2289630606614425E-2</v>
      </c>
      <c r="D521" s="329">
        <f t="shared" si="52"/>
        <v>-1.5863211137615782E-2</v>
      </c>
      <c r="E521" s="329">
        <f t="shared" si="53"/>
        <v>-3.5735805310013573E-3</v>
      </c>
      <c r="F521" s="330">
        <f t="shared" si="50"/>
        <v>3.9402714326603898E-4</v>
      </c>
      <c r="G521" s="332"/>
    </row>
    <row r="522" spans="1:7" ht="20" customHeight="1" x14ac:dyDescent="0.15">
      <c r="A522" s="326">
        <v>45323</v>
      </c>
      <c r="B522" s="327">
        <f t="shared" si="51"/>
        <v>-31.214386401775421</v>
      </c>
      <c r="C522" s="328">
        <f t="shared" si="47"/>
        <v>-1.2299315502693862E-2</v>
      </c>
      <c r="D522" s="329">
        <f t="shared" si="52"/>
        <v>-1.5875712209150943E-2</v>
      </c>
      <c r="E522" s="329">
        <f t="shared" si="53"/>
        <v>-3.5763967064570811E-3</v>
      </c>
      <c r="F522" s="330">
        <f t="shared" si="50"/>
        <v>3.9402714326603898E-4</v>
      </c>
      <c r="G522" s="332"/>
    </row>
    <row r="523" spans="1:7" ht="20" customHeight="1" x14ac:dyDescent="0.15">
      <c r="A523" s="326">
        <v>45324</v>
      </c>
      <c r="B523" s="327">
        <f t="shared" si="51"/>
        <v>-31.238985032780811</v>
      </c>
      <c r="C523" s="328">
        <f t="shared" ref="C523:C586" si="54">IF(B523="","",B523*F$6)</f>
        <v>-1.2309008030997172E-2</v>
      </c>
      <c r="D523" s="329">
        <f t="shared" si="52"/>
        <v>-1.5888223132209115E-2</v>
      </c>
      <c r="E523" s="329">
        <f t="shared" si="53"/>
        <v>-3.5792151012119435E-3</v>
      </c>
      <c r="F523" s="330">
        <f t="shared" si="50"/>
        <v>3.9402714326603898E-4</v>
      </c>
      <c r="G523" s="332"/>
    </row>
    <row r="524" spans="1:7" ht="20" customHeight="1" x14ac:dyDescent="0.15">
      <c r="A524" s="326">
        <v>45325</v>
      </c>
      <c r="B524" s="331" t="str">
        <f t="shared" si="51"/>
        <v/>
      </c>
      <c r="C524" s="316" t="str">
        <f t="shared" si="54"/>
        <v/>
      </c>
      <c r="D524" s="316" t="str">
        <f t="shared" si="52"/>
        <v/>
      </c>
      <c r="E524" s="316" t="str">
        <f t="shared" si="53"/>
        <v/>
      </c>
      <c r="F524" s="316" t="str">
        <f t="shared" si="50"/>
        <v/>
      </c>
      <c r="G524" s="332"/>
    </row>
    <row r="525" spans="1:7" ht="20" customHeight="1" x14ac:dyDescent="0.15">
      <c r="A525" s="326">
        <v>45326</v>
      </c>
      <c r="B525" s="331" t="str">
        <f t="shared" si="51"/>
        <v/>
      </c>
      <c r="C525" s="316" t="str">
        <f t="shared" si="54"/>
        <v/>
      </c>
      <c r="D525" s="316" t="str">
        <f t="shared" si="52"/>
        <v/>
      </c>
      <c r="E525" s="316" t="str">
        <f t="shared" si="53"/>
        <v/>
      </c>
      <c r="F525" s="316" t="str">
        <f t="shared" si="50"/>
        <v/>
      </c>
      <c r="G525" s="332"/>
    </row>
    <row r="526" spans="1:7" ht="20" customHeight="1" x14ac:dyDescent="0.15">
      <c r="A526" s="326">
        <v>45327</v>
      </c>
      <c r="B526" s="327">
        <f t="shared" si="51"/>
        <v>-31.263603048842803</v>
      </c>
      <c r="C526" s="328">
        <f t="shared" si="54"/>
        <v>-1.2318708197538957E-2</v>
      </c>
      <c r="D526" s="329">
        <f t="shared" si="52"/>
        <v>-1.590074391455383E-2</v>
      </c>
      <c r="E526" s="329">
        <f t="shared" si="53"/>
        <v>-3.5820357170148736E-3</v>
      </c>
      <c r="F526" s="330">
        <f t="shared" si="50"/>
        <v>3.9402714326603898E-4</v>
      </c>
      <c r="G526" s="332"/>
    </row>
    <row r="527" spans="1:7" ht="20" customHeight="1" x14ac:dyDescent="0.15">
      <c r="A527" s="326">
        <v>45328</v>
      </c>
      <c r="B527" s="327">
        <f t="shared" si="51"/>
        <v>-31.28824046523788</v>
      </c>
      <c r="C527" s="328">
        <f t="shared" si="54"/>
        <v>-1.2328416008338564E-2</v>
      </c>
      <c r="D527" s="329">
        <f t="shared" si="52"/>
        <v>-1.5913274563954742E-2</v>
      </c>
      <c r="E527" s="329">
        <f t="shared" si="53"/>
        <v>-3.5848585556161779E-3</v>
      </c>
      <c r="F527" s="330">
        <f t="shared" si="50"/>
        <v>3.9402714326603898E-4</v>
      </c>
      <c r="G527" s="332"/>
    </row>
    <row r="528" spans="1:7" ht="20" customHeight="1" x14ac:dyDescent="0.15">
      <c r="A528" s="326">
        <v>45329</v>
      </c>
      <c r="B528" s="327">
        <f t="shared" si="51"/>
        <v>-31.312897297254558</v>
      </c>
      <c r="C528" s="328">
        <f t="shared" si="54"/>
        <v>-1.2338131469420087E-2</v>
      </c>
      <c r="D528" s="329">
        <f t="shared" si="52"/>
        <v>-1.5925815088187627E-2</v>
      </c>
      <c r="E528" s="329">
        <f t="shared" si="53"/>
        <v>-3.5876836187675402E-3</v>
      </c>
      <c r="F528" s="330">
        <f t="shared" si="50"/>
        <v>3.9402714326603898E-4</v>
      </c>
      <c r="G528" s="332"/>
    </row>
    <row r="529" spans="1:7" ht="20" customHeight="1" x14ac:dyDescent="0.15">
      <c r="A529" s="326">
        <v>45330</v>
      </c>
      <c r="B529" s="327">
        <f t="shared" si="51"/>
        <v>-31.337573560193398</v>
      </c>
      <c r="C529" s="328">
        <f t="shared" si="54"/>
        <v>-1.2347854586812359E-2</v>
      </c>
      <c r="D529" s="329">
        <f t="shared" si="52"/>
        <v>-1.5938365495034391E-2</v>
      </c>
      <c r="E529" s="329">
        <f t="shared" si="53"/>
        <v>-3.5905109082220322E-3</v>
      </c>
      <c r="F529" s="330">
        <f t="shared" si="50"/>
        <v>3.9402714326603898E-4</v>
      </c>
      <c r="G529" s="332"/>
    </row>
    <row r="530" spans="1:7" ht="20" customHeight="1" x14ac:dyDescent="0.15">
      <c r="A530" s="326">
        <v>45331</v>
      </c>
      <c r="B530" s="327">
        <f t="shared" si="51"/>
        <v>-31.362269269367022</v>
      </c>
      <c r="C530" s="328">
        <f t="shared" si="54"/>
        <v>-1.2357585366548971E-2</v>
      </c>
      <c r="D530" s="329">
        <f t="shared" si="52"/>
        <v>-1.5950925792283067E-2</v>
      </c>
      <c r="E530" s="329">
        <f t="shared" si="53"/>
        <v>-3.593340425734096E-3</v>
      </c>
      <c r="F530" s="330">
        <f t="shared" si="50"/>
        <v>3.9402714326603898E-4</v>
      </c>
      <c r="G530" s="332"/>
    </row>
    <row r="531" spans="1:7" ht="20" customHeight="1" x14ac:dyDescent="0.15">
      <c r="A531" s="326">
        <v>45332</v>
      </c>
      <c r="B531" s="331" t="str">
        <f t="shared" si="51"/>
        <v/>
      </c>
      <c r="C531" s="316" t="str">
        <f t="shared" si="54"/>
        <v/>
      </c>
      <c r="D531" s="316" t="str">
        <f t="shared" si="52"/>
        <v/>
      </c>
      <c r="E531" s="316" t="str">
        <f t="shared" si="53"/>
        <v/>
      </c>
      <c r="F531" s="316" t="str">
        <f t="shared" si="50"/>
        <v/>
      </c>
      <c r="G531" s="332"/>
    </row>
    <row r="532" spans="1:7" ht="20" customHeight="1" x14ac:dyDescent="0.15">
      <c r="A532" s="326">
        <v>45333</v>
      </c>
      <c r="B532" s="331" t="str">
        <f t="shared" si="51"/>
        <v/>
      </c>
      <c r="C532" s="316" t="str">
        <f t="shared" si="54"/>
        <v/>
      </c>
      <c r="D532" s="316" t="str">
        <f t="shared" si="52"/>
        <v/>
      </c>
      <c r="E532" s="316" t="str">
        <f t="shared" si="53"/>
        <v/>
      </c>
      <c r="F532" s="316" t="str">
        <f t="shared" si="50"/>
        <v/>
      </c>
      <c r="G532" s="332"/>
    </row>
    <row r="533" spans="1:7" ht="20" customHeight="1" x14ac:dyDescent="0.15">
      <c r="A533" s="326">
        <v>45334</v>
      </c>
      <c r="B533" s="327">
        <f t="shared" si="51"/>
        <v>-31.386984440100122</v>
      </c>
      <c r="C533" s="328">
        <f t="shared" si="54"/>
        <v>-1.2367323814668266E-2</v>
      </c>
      <c r="D533" s="329">
        <f t="shared" si="52"/>
        <v>-1.5963495987727831E-2</v>
      </c>
      <c r="E533" s="329">
        <f t="shared" si="53"/>
        <v>-3.5961721730595649E-3</v>
      </c>
      <c r="F533" s="330">
        <f t="shared" si="50"/>
        <v>3.9402714326603898E-4</v>
      </c>
      <c r="G533" s="332"/>
    </row>
    <row r="534" spans="1:7" ht="20" customHeight="1" x14ac:dyDescent="0.15">
      <c r="A534" s="326">
        <v>45335</v>
      </c>
      <c r="B534" s="327">
        <f t="shared" si="51"/>
        <v>-31.411719087729459</v>
      </c>
      <c r="C534" s="328">
        <f t="shared" si="54"/>
        <v>-1.2377069937213346E-2</v>
      </c>
      <c r="D534" s="329">
        <f t="shared" si="52"/>
        <v>-1.5976076089168997E-2</v>
      </c>
      <c r="E534" s="329">
        <f t="shared" si="53"/>
        <v>-3.5990061519556513E-3</v>
      </c>
      <c r="F534" s="330">
        <f t="shared" si="50"/>
        <v>3.9402714326603898E-4</v>
      </c>
      <c r="G534" s="332"/>
    </row>
    <row r="535" spans="1:7" ht="20" customHeight="1" x14ac:dyDescent="0.15">
      <c r="A535" s="326">
        <v>45336</v>
      </c>
      <c r="B535" s="327">
        <f t="shared" si="51"/>
        <v>-31.436473227603887</v>
      </c>
      <c r="C535" s="328">
        <f t="shared" si="54"/>
        <v>-1.2386823740232075E-2</v>
      </c>
      <c r="D535" s="329">
        <f t="shared" si="52"/>
        <v>-1.5988666104413032E-2</v>
      </c>
      <c r="E535" s="329">
        <f t="shared" si="53"/>
        <v>-3.6018423641809572E-3</v>
      </c>
      <c r="F535" s="330">
        <f t="shared" si="50"/>
        <v>3.9402714326603898E-4</v>
      </c>
      <c r="G535" s="332"/>
    </row>
    <row r="536" spans="1:7" ht="20" customHeight="1" x14ac:dyDescent="0.15">
      <c r="A536" s="326">
        <v>45337</v>
      </c>
      <c r="B536" s="327">
        <f t="shared" si="51"/>
        <v>-31.461246875084353</v>
      </c>
      <c r="C536" s="328">
        <f t="shared" si="54"/>
        <v>-1.2396585229777083E-2</v>
      </c>
      <c r="D536" s="329">
        <f t="shared" si="52"/>
        <v>-1.6001266041272545E-2</v>
      </c>
      <c r="E536" s="329">
        <f t="shared" si="53"/>
        <v>-3.6046808114954618E-3</v>
      </c>
      <c r="F536" s="330">
        <f t="shared" si="50"/>
        <v>3.9402714326603898E-4</v>
      </c>
      <c r="G536" s="332"/>
    </row>
    <row r="537" spans="1:7" ht="20" customHeight="1" x14ac:dyDescent="0.15">
      <c r="A537" s="326">
        <v>45338</v>
      </c>
      <c r="B537" s="327">
        <f t="shared" si="51"/>
        <v>-31.486040045543906</v>
      </c>
      <c r="C537" s="328">
        <f t="shared" si="54"/>
        <v>-1.240635441190577E-2</v>
      </c>
      <c r="D537" s="329">
        <f t="shared" si="52"/>
        <v>-1.6013875907566311E-2</v>
      </c>
      <c r="E537" s="329">
        <f t="shared" si="53"/>
        <v>-3.6075214956605411E-3</v>
      </c>
      <c r="F537" s="330">
        <f t="shared" si="50"/>
        <v>3.9402714326603898E-4</v>
      </c>
      <c r="G537" s="332"/>
    </row>
    <row r="538" spans="1:7" ht="20" customHeight="1" x14ac:dyDescent="0.15">
      <c r="A538" s="326">
        <v>45339</v>
      </c>
      <c r="B538" s="331" t="str">
        <f t="shared" si="51"/>
        <v/>
      </c>
      <c r="C538" s="316" t="str">
        <f t="shared" si="54"/>
        <v/>
      </c>
      <c r="D538" s="316" t="str">
        <f t="shared" si="52"/>
        <v/>
      </c>
      <c r="E538" s="316" t="str">
        <f t="shared" si="53"/>
        <v/>
      </c>
      <c r="F538" s="316" t="str">
        <f t="shared" si="50"/>
        <v/>
      </c>
      <c r="G538" s="332"/>
    </row>
    <row r="539" spans="1:7" ht="20" customHeight="1" x14ac:dyDescent="0.15">
      <c r="A539" s="326">
        <v>45340</v>
      </c>
      <c r="B539" s="331" t="str">
        <f t="shared" si="51"/>
        <v/>
      </c>
      <c r="C539" s="316" t="str">
        <f t="shared" si="54"/>
        <v/>
      </c>
      <c r="D539" s="316" t="str">
        <f t="shared" si="52"/>
        <v/>
      </c>
      <c r="E539" s="316" t="str">
        <f t="shared" si="53"/>
        <v/>
      </c>
      <c r="F539" s="316" t="str">
        <f t="shared" si="50"/>
        <v/>
      </c>
      <c r="G539" s="332"/>
    </row>
    <row r="540" spans="1:7" ht="20" customHeight="1" x14ac:dyDescent="0.15">
      <c r="A540" s="326">
        <v>45341</v>
      </c>
      <c r="B540" s="327">
        <f t="shared" si="51"/>
        <v>-31.510852754367718</v>
      </c>
      <c r="C540" s="328">
        <f t="shared" si="54"/>
        <v>-1.2416131292680307E-2</v>
      </c>
      <c r="D540" s="329">
        <f t="shared" si="52"/>
        <v>-1.6026495711119262E-2</v>
      </c>
      <c r="E540" s="329">
        <f t="shared" si="53"/>
        <v>-3.6103644184389549E-3</v>
      </c>
      <c r="F540" s="330">
        <f t="shared" si="50"/>
        <v>3.9402714326603898E-4</v>
      </c>
      <c r="G540" s="332"/>
    </row>
    <row r="541" spans="1:7" ht="20" customHeight="1" x14ac:dyDescent="0.15">
      <c r="A541" s="326">
        <v>45342</v>
      </c>
      <c r="B541" s="327">
        <f t="shared" si="51"/>
        <v>-31.535685016953078</v>
      </c>
      <c r="C541" s="328">
        <f t="shared" si="54"/>
        <v>-1.2425915878167649E-2</v>
      </c>
      <c r="D541" s="329">
        <f t="shared" si="52"/>
        <v>-1.6039125459762497E-2</v>
      </c>
      <c r="E541" s="329">
        <f t="shared" si="53"/>
        <v>-3.6132095815948478E-3</v>
      </c>
      <c r="F541" s="330">
        <f t="shared" si="50"/>
        <v>3.9402714326603898E-4</v>
      </c>
      <c r="G541" s="332"/>
    </row>
    <row r="542" spans="1:7" ht="20" customHeight="1" x14ac:dyDescent="0.15">
      <c r="A542" s="326">
        <v>45343</v>
      </c>
      <c r="B542" s="327">
        <f t="shared" si="51"/>
        <v>-31.560536848709415</v>
      </c>
      <c r="C542" s="328">
        <f t="shared" si="54"/>
        <v>-1.2435708174439527E-2</v>
      </c>
      <c r="D542" s="329">
        <f t="shared" si="52"/>
        <v>-1.605176516133329E-2</v>
      </c>
      <c r="E542" s="329">
        <f t="shared" si="53"/>
        <v>-3.6160569868937623E-3</v>
      </c>
      <c r="F542" s="330">
        <f t="shared" si="50"/>
        <v>3.9402714326603898E-4</v>
      </c>
      <c r="G542" s="332"/>
    </row>
    <row r="543" spans="1:7" ht="20" customHeight="1" x14ac:dyDescent="0.15">
      <c r="A543" s="326">
        <v>45344</v>
      </c>
      <c r="B543" s="327">
        <f t="shared" si="51"/>
        <v>-31.585408265058295</v>
      </c>
      <c r="C543" s="328">
        <f t="shared" si="54"/>
        <v>-1.2445508187572457E-2</v>
      </c>
      <c r="D543" s="329">
        <f t="shared" si="52"/>
        <v>-1.6064414823675086E-2</v>
      </c>
      <c r="E543" s="329">
        <f t="shared" si="53"/>
        <v>-3.6189066361026288E-3</v>
      </c>
      <c r="F543" s="330">
        <f t="shared" si="50"/>
        <v>3.9402714326603898E-4</v>
      </c>
      <c r="G543" s="332"/>
    </row>
    <row r="544" spans="1:7" ht="20" customHeight="1" x14ac:dyDescent="0.15">
      <c r="A544" s="326">
        <v>45345</v>
      </c>
      <c r="B544" s="327">
        <f t="shared" si="51"/>
        <v>-31.610299281433438</v>
      </c>
      <c r="C544" s="328">
        <f t="shared" si="54"/>
        <v>-1.2455315923647741E-2</v>
      </c>
      <c r="D544" s="329">
        <f t="shared" si="52"/>
        <v>-1.6077074454637508E-2</v>
      </c>
      <c r="E544" s="329">
        <f t="shared" si="53"/>
        <v>-3.621758530989767E-3</v>
      </c>
      <c r="F544" s="330">
        <f t="shared" si="50"/>
        <v>3.9402714326603898E-4</v>
      </c>
      <c r="G544" s="332"/>
    </row>
    <row r="545" spans="1:7" ht="20" customHeight="1" x14ac:dyDescent="0.15">
      <c r="A545" s="326">
        <v>45346</v>
      </c>
      <c r="B545" s="331" t="str">
        <f t="shared" si="51"/>
        <v/>
      </c>
      <c r="C545" s="316" t="str">
        <f t="shared" si="54"/>
        <v/>
      </c>
      <c r="D545" s="316" t="str">
        <f t="shared" si="52"/>
        <v/>
      </c>
      <c r="E545" s="316" t="str">
        <f t="shared" si="53"/>
        <v/>
      </c>
      <c r="F545" s="316" t="str">
        <f t="shared" si="50"/>
        <v/>
      </c>
      <c r="G545" s="332"/>
    </row>
    <row r="546" spans="1:7" ht="20" customHeight="1" x14ac:dyDescent="0.15">
      <c r="A546" s="326">
        <v>45347</v>
      </c>
      <c r="B546" s="331" t="str">
        <f t="shared" si="51"/>
        <v/>
      </c>
      <c r="C546" s="316" t="str">
        <f t="shared" si="54"/>
        <v/>
      </c>
      <c r="D546" s="316" t="str">
        <f t="shared" si="52"/>
        <v/>
      </c>
      <c r="E546" s="316" t="str">
        <f t="shared" si="53"/>
        <v/>
      </c>
      <c r="F546" s="316" t="str">
        <f t="shared" si="50"/>
        <v/>
      </c>
      <c r="G546" s="332"/>
    </row>
    <row r="547" spans="1:7" ht="20" customHeight="1" x14ac:dyDescent="0.15">
      <c r="A547" s="326">
        <v>45348</v>
      </c>
      <c r="B547" s="327">
        <f t="shared" si="51"/>
        <v>-31.635209913280733</v>
      </c>
      <c r="C547" s="328">
        <f t="shared" si="54"/>
        <v>-1.2465131388751483E-2</v>
      </c>
      <c r="D547" s="329">
        <f t="shared" si="52"/>
        <v>-1.6089744062076382E-2</v>
      </c>
      <c r="E547" s="329">
        <f t="shared" si="53"/>
        <v>-3.6246126733248986E-3</v>
      </c>
      <c r="F547" s="330">
        <f t="shared" si="50"/>
        <v>3.9402714326603898E-4</v>
      </c>
      <c r="G547" s="332"/>
    </row>
    <row r="548" spans="1:7" ht="20" customHeight="1" x14ac:dyDescent="0.15">
      <c r="A548" s="326">
        <v>45349</v>
      </c>
      <c r="B548" s="327">
        <f t="shared" si="51"/>
        <v>-31.660140176058235</v>
      </c>
      <c r="C548" s="328">
        <f t="shared" si="54"/>
        <v>-1.2474954588974574E-2</v>
      </c>
      <c r="D548" s="329">
        <f t="shared" si="52"/>
        <v>-1.6102423653853705E-2</v>
      </c>
      <c r="E548" s="329">
        <f t="shared" si="53"/>
        <v>-3.6274690648791311E-3</v>
      </c>
      <c r="F548" s="330">
        <f t="shared" si="50"/>
        <v>3.9402714326603898E-4</v>
      </c>
      <c r="G548" s="332"/>
    </row>
    <row r="549" spans="1:7" ht="20" customHeight="1" x14ac:dyDescent="0.15">
      <c r="A549" s="326">
        <v>45350</v>
      </c>
      <c r="B549" s="327">
        <f t="shared" si="51"/>
        <v>-31.685090085236183</v>
      </c>
      <c r="C549" s="328">
        <f t="shared" si="54"/>
        <v>-1.2484785530412709E-2</v>
      </c>
      <c r="D549" s="329">
        <f t="shared" si="52"/>
        <v>-1.611511323783768E-2</v>
      </c>
      <c r="E549" s="329">
        <f t="shared" si="53"/>
        <v>-3.6303277074249719E-3</v>
      </c>
      <c r="F549" s="330">
        <f t="shared" si="50"/>
        <v>3.9402714326603898E-4</v>
      </c>
      <c r="G549" s="332"/>
    </row>
    <row r="550" spans="1:7" ht="20" customHeight="1" x14ac:dyDescent="0.15">
      <c r="A550" s="326">
        <v>45351</v>
      </c>
      <c r="B550" s="327">
        <f t="shared" si="51"/>
        <v>-31.710059656297009</v>
      </c>
      <c r="C550" s="328">
        <f t="shared" si="54"/>
        <v>-1.2494624219166384E-2</v>
      </c>
      <c r="D550" s="329">
        <f t="shared" si="52"/>
        <v>-1.6127812821902707E-2</v>
      </c>
      <c r="E550" s="329">
        <f t="shared" si="53"/>
        <v>-3.6331886027363234E-3</v>
      </c>
      <c r="F550" s="330">
        <f t="shared" si="50"/>
        <v>3.9402714326603898E-4</v>
      </c>
      <c r="G550" s="332"/>
    </row>
    <row r="551" spans="1:7" ht="20" customHeight="1" x14ac:dyDescent="0.15">
      <c r="A551" s="326">
        <v>45352</v>
      </c>
      <c r="B551" s="327">
        <f t="shared" ref="B551:B582" si="55">IF(OR(WEEKDAY($A551)=7,WEEKDAY($A551)=1),"",IF(B550="",IF(B549="",B548,B549),B550)+IF(A$2=TRUE,IF(C550="",IF(C549="",C548,C549),C550)*2,IF(C550="",IF(C549="",C548,C549),C550)))</f>
        <v>-31.735048904735343</v>
      </c>
      <c r="C551" s="328">
        <f t="shared" si="54"/>
        <v>-1.2504470661340906E-2</v>
      </c>
      <c r="D551" s="329">
        <f t="shared" si="52"/>
        <v>-1.6140522413929395E-2</v>
      </c>
      <c r="E551" s="329">
        <f t="shared" si="53"/>
        <v>-3.6360517525884893E-3</v>
      </c>
      <c r="F551" s="330">
        <f t="shared" si="50"/>
        <v>3.9402714326603898E-4</v>
      </c>
      <c r="G551" s="332"/>
    </row>
    <row r="552" spans="1:7" ht="20" customHeight="1" x14ac:dyDescent="0.15">
      <c r="A552" s="326">
        <v>45353</v>
      </c>
      <c r="B552" s="331" t="str">
        <f t="shared" si="55"/>
        <v/>
      </c>
      <c r="C552" s="316" t="str">
        <f t="shared" si="54"/>
        <v/>
      </c>
      <c r="D552" s="316" t="str">
        <f t="shared" si="52"/>
        <v/>
      </c>
      <c r="E552" s="316" t="str">
        <f t="shared" si="53"/>
        <v/>
      </c>
      <c r="F552" s="316" t="str">
        <f t="shared" si="50"/>
        <v/>
      </c>
      <c r="G552" s="332"/>
    </row>
    <row r="553" spans="1:7" ht="20" customHeight="1" x14ac:dyDescent="0.15">
      <c r="A553" s="326">
        <v>45354</v>
      </c>
      <c r="B553" s="331" t="str">
        <f t="shared" si="55"/>
        <v/>
      </c>
      <c r="C553" s="316" t="str">
        <f t="shared" si="54"/>
        <v/>
      </c>
      <c r="D553" s="316" t="str">
        <f t="shared" si="52"/>
        <v/>
      </c>
      <c r="E553" s="316" t="str">
        <f t="shared" si="53"/>
        <v/>
      </c>
      <c r="F553" s="316" t="str">
        <f t="shared" si="50"/>
        <v/>
      </c>
      <c r="G553" s="332"/>
    </row>
    <row r="554" spans="1:7" ht="20" customHeight="1" x14ac:dyDescent="0.15">
      <c r="A554" s="326">
        <v>45355</v>
      </c>
      <c r="B554" s="327">
        <f t="shared" si="55"/>
        <v>-31.760057846058025</v>
      </c>
      <c r="C554" s="328">
        <f t="shared" si="54"/>
        <v>-1.2514324863046392E-2</v>
      </c>
      <c r="D554" s="329">
        <f t="shared" si="52"/>
        <v>-1.615324202180456E-2</v>
      </c>
      <c r="E554" s="329">
        <f t="shared" si="53"/>
        <v>-3.6389171587581683E-3</v>
      </c>
      <c r="F554" s="330">
        <f t="shared" si="50"/>
        <v>3.9402714326603898E-4</v>
      </c>
      <c r="G554" s="332"/>
    </row>
    <row r="555" spans="1:7" ht="20" customHeight="1" x14ac:dyDescent="0.15">
      <c r="A555" s="326">
        <v>45356</v>
      </c>
      <c r="B555" s="327">
        <f t="shared" si="55"/>
        <v>-31.785086495784117</v>
      </c>
      <c r="C555" s="328">
        <f t="shared" si="54"/>
        <v>-1.2524186830397769E-2</v>
      </c>
      <c r="D555" s="329">
        <f t="shared" si="52"/>
        <v>-1.6165971653421235E-2</v>
      </c>
      <c r="E555" s="329">
        <f t="shared" si="53"/>
        <v>-3.6417848230234657E-3</v>
      </c>
      <c r="F555" s="330">
        <f t="shared" si="50"/>
        <v>3.9402714326603898E-4</v>
      </c>
      <c r="G555" s="332"/>
    </row>
    <row r="556" spans="1:7" ht="20" customHeight="1" x14ac:dyDescent="0.15">
      <c r="A556" s="326">
        <v>45357</v>
      </c>
      <c r="B556" s="327">
        <f t="shared" si="55"/>
        <v>-31.810134869444912</v>
      </c>
      <c r="C556" s="328">
        <f t="shared" si="54"/>
        <v>-1.2534056569514793E-2</v>
      </c>
      <c r="D556" s="329">
        <f t="shared" si="52"/>
        <v>-1.6178711316678668E-2</v>
      </c>
      <c r="E556" s="329">
        <f t="shared" si="53"/>
        <v>-3.6446547471638748E-3</v>
      </c>
      <c r="F556" s="330">
        <f t="shared" si="50"/>
        <v>3.9402714326603898E-4</v>
      </c>
      <c r="G556" s="332"/>
    </row>
    <row r="557" spans="1:7" ht="20" customHeight="1" x14ac:dyDescent="0.15">
      <c r="A557" s="326">
        <v>45358</v>
      </c>
      <c r="B557" s="327">
        <f t="shared" si="55"/>
        <v>-31.83520298258394</v>
      </c>
      <c r="C557" s="328">
        <f t="shared" si="54"/>
        <v>-1.2543934086522034E-2</v>
      </c>
      <c r="D557" s="329">
        <f t="shared" si="52"/>
        <v>-1.619146101948234E-2</v>
      </c>
      <c r="E557" s="329">
        <f t="shared" si="53"/>
        <v>-3.6475269329603061E-3</v>
      </c>
      <c r="F557" s="330">
        <f t="shared" si="50"/>
        <v>3.9402714326603898E-4</v>
      </c>
      <c r="G557" s="332"/>
    </row>
    <row r="558" spans="1:7" ht="20" customHeight="1" x14ac:dyDescent="0.15">
      <c r="A558" s="326">
        <v>45359</v>
      </c>
      <c r="B558" s="327">
        <f t="shared" si="55"/>
        <v>-31.860290850756986</v>
      </c>
      <c r="C558" s="328">
        <f t="shared" si="54"/>
        <v>-1.2553819387548893E-2</v>
      </c>
      <c r="D558" s="329">
        <f t="shared" si="52"/>
        <v>-1.6204220769743961E-2</v>
      </c>
      <c r="E558" s="329">
        <f t="shared" si="53"/>
        <v>-3.6504013821950683E-3</v>
      </c>
      <c r="F558" s="330">
        <f t="shared" si="50"/>
        <v>3.9402714326603898E-4</v>
      </c>
      <c r="G558" s="332"/>
    </row>
    <row r="559" spans="1:7" ht="20" customHeight="1" x14ac:dyDescent="0.15">
      <c r="A559" s="326">
        <v>45360</v>
      </c>
      <c r="B559" s="331" t="str">
        <f t="shared" si="55"/>
        <v/>
      </c>
      <c r="C559" s="316" t="str">
        <f t="shared" si="54"/>
        <v/>
      </c>
      <c r="D559" s="316" t="str">
        <f t="shared" si="52"/>
        <v/>
      </c>
      <c r="E559" s="316" t="str">
        <f t="shared" si="53"/>
        <v/>
      </c>
      <c r="F559" s="316" t="str">
        <f t="shared" si="50"/>
        <v/>
      </c>
      <c r="G559" s="332"/>
    </row>
    <row r="560" spans="1:7" ht="20" customHeight="1" x14ac:dyDescent="0.15">
      <c r="A560" s="326">
        <v>45361</v>
      </c>
      <c r="B560" s="331" t="str">
        <f t="shared" si="55"/>
        <v/>
      </c>
      <c r="C560" s="316" t="str">
        <f t="shared" si="54"/>
        <v/>
      </c>
      <c r="D560" s="316" t="str">
        <f t="shared" si="52"/>
        <v/>
      </c>
      <c r="E560" s="316" t="str">
        <f t="shared" si="53"/>
        <v/>
      </c>
      <c r="F560" s="316" t="str">
        <f t="shared" si="50"/>
        <v/>
      </c>
      <c r="G560" s="332"/>
    </row>
    <row r="561" spans="1:7" ht="20" customHeight="1" x14ac:dyDescent="0.15">
      <c r="A561" s="326">
        <v>45362</v>
      </c>
      <c r="B561" s="327">
        <f t="shared" si="55"/>
        <v>-31.885398489532083</v>
      </c>
      <c r="C561" s="328">
        <f t="shared" si="54"/>
        <v>-1.2563712478729601E-2</v>
      </c>
      <c r="D561" s="329">
        <f t="shared" si="52"/>
        <v>-1.6216990575381469E-2</v>
      </c>
      <c r="E561" s="329">
        <f t="shared" si="53"/>
        <v>-3.6532780966518682E-3</v>
      </c>
      <c r="F561" s="330">
        <f t="shared" si="50"/>
        <v>3.9402714326603898E-4</v>
      </c>
      <c r="G561" s="332"/>
    </row>
    <row r="562" spans="1:7" ht="20" customHeight="1" x14ac:dyDescent="0.15">
      <c r="A562" s="326">
        <v>45363</v>
      </c>
      <c r="B562" s="327">
        <f t="shared" si="55"/>
        <v>-31.910525914489543</v>
      </c>
      <c r="C562" s="328">
        <f t="shared" si="54"/>
        <v>-1.2573613366203221E-2</v>
      </c>
      <c r="D562" s="329">
        <f t="shared" si="52"/>
        <v>-1.6229770444319051E-2</v>
      </c>
      <c r="E562" s="329">
        <f t="shared" si="53"/>
        <v>-3.6561570781158299E-3</v>
      </c>
      <c r="F562" s="330">
        <f t="shared" si="50"/>
        <v>3.9402714326603898E-4</v>
      </c>
      <c r="G562" s="332"/>
    </row>
    <row r="563" spans="1:7" ht="20" customHeight="1" x14ac:dyDescent="0.15">
      <c r="A563" s="326">
        <v>45364</v>
      </c>
      <c r="B563" s="327">
        <f t="shared" si="55"/>
        <v>-31.935673141221951</v>
      </c>
      <c r="C563" s="328">
        <f t="shared" si="54"/>
        <v>-1.2583522056113655E-2</v>
      </c>
      <c r="D563" s="329">
        <f t="shared" si="52"/>
        <v>-1.6242560384487129E-2</v>
      </c>
      <c r="E563" s="329">
        <f t="shared" si="53"/>
        <v>-3.6590383283734741E-3</v>
      </c>
      <c r="F563" s="330">
        <f t="shared" si="50"/>
        <v>3.9402714326603898E-4</v>
      </c>
      <c r="G563" s="332"/>
    </row>
    <row r="564" spans="1:7" ht="20" customHeight="1" x14ac:dyDescent="0.15">
      <c r="A564" s="326">
        <v>45365</v>
      </c>
      <c r="B564" s="327">
        <f t="shared" si="55"/>
        <v>-31.960840185334177</v>
      </c>
      <c r="C564" s="328">
        <f t="shared" si="54"/>
        <v>-1.2593438554609647E-2</v>
      </c>
      <c r="D564" s="329">
        <f t="shared" si="52"/>
        <v>-1.6255360403822378E-2</v>
      </c>
      <c r="E564" s="329">
        <f t="shared" si="53"/>
        <v>-3.6619218492127317E-3</v>
      </c>
      <c r="F564" s="330">
        <f t="shared" si="50"/>
        <v>3.9402714326603898E-4</v>
      </c>
      <c r="G564" s="332"/>
    </row>
    <row r="565" spans="1:7" ht="20" customHeight="1" x14ac:dyDescent="0.15">
      <c r="A565" s="326">
        <v>45366</v>
      </c>
      <c r="B565" s="327">
        <f t="shared" si="55"/>
        <v>-31.986027062443398</v>
      </c>
      <c r="C565" s="328">
        <f t="shared" si="54"/>
        <v>-1.2603362867844786E-2</v>
      </c>
      <c r="D565" s="329">
        <f t="shared" si="52"/>
        <v>-1.6268170510267736E-2</v>
      </c>
      <c r="E565" s="329">
        <f t="shared" si="53"/>
        <v>-3.6648076424229507E-3</v>
      </c>
      <c r="F565" s="330">
        <f t="shared" si="50"/>
        <v>3.9402714326603898E-4</v>
      </c>
      <c r="G565" s="332"/>
    </row>
    <row r="566" spans="1:7" ht="20" customHeight="1" x14ac:dyDescent="0.15">
      <c r="A566" s="326">
        <v>45367</v>
      </c>
      <c r="B566" s="331" t="str">
        <f t="shared" si="55"/>
        <v/>
      </c>
      <c r="C566" s="316" t="str">
        <f t="shared" si="54"/>
        <v/>
      </c>
      <c r="D566" s="316" t="str">
        <f t="shared" si="52"/>
        <v/>
      </c>
      <c r="E566" s="316" t="str">
        <f t="shared" si="53"/>
        <v/>
      </c>
      <c r="F566" s="316" t="str">
        <f t="shared" si="50"/>
        <v/>
      </c>
      <c r="G566" s="332"/>
    </row>
    <row r="567" spans="1:7" ht="20" customHeight="1" x14ac:dyDescent="0.15">
      <c r="A567" s="326">
        <v>45368</v>
      </c>
      <c r="B567" s="331" t="str">
        <f t="shared" si="55"/>
        <v/>
      </c>
      <c r="C567" s="316" t="str">
        <f t="shared" si="54"/>
        <v/>
      </c>
      <c r="D567" s="316" t="str">
        <f t="shared" si="52"/>
        <v/>
      </c>
      <c r="E567" s="316" t="str">
        <f t="shared" si="53"/>
        <v/>
      </c>
      <c r="F567" s="316" t="str">
        <f t="shared" si="50"/>
        <v/>
      </c>
      <c r="G567" s="332"/>
    </row>
    <row r="568" spans="1:7" ht="20" customHeight="1" x14ac:dyDescent="0.15">
      <c r="A568" s="326">
        <v>45369</v>
      </c>
      <c r="B568" s="327">
        <f t="shared" si="55"/>
        <v>-32.011233788179091</v>
      </c>
      <c r="C568" s="328">
        <f t="shared" si="54"/>
        <v>-1.261329500197751E-2</v>
      </c>
      <c r="D568" s="329">
        <f t="shared" si="52"/>
        <v>-1.6280990711772386E-2</v>
      </c>
      <c r="E568" s="329">
        <f t="shared" si="53"/>
        <v>-3.667695709794876E-3</v>
      </c>
      <c r="F568" s="330">
        <f t="shared" si="50"/>
        <v>3.9402714326603898E-4</v>
      </c>
      <c r="G568" s="332"/>
    </row>
    <row r="569" spans="1:7" ht="20" customHeight="1" x14ac:dyDescent="0.15">
      <c r="A569" s="326">
        <v>45370</v>
      </c>
      <c r="B569" s="327">
        <f t="shared" si="55"/>
        <v>-32.036460378183044</v>
      </c>
      <c r="C569" s="328">
        <f t="shared" si="54"/>
        <v>-1.2623234963171111E-2</v>
      </c>
      <c r="D569" s="329">
        <f t="shared" si="52"/>
        <v>-1.6293821016291787E-2</v>
      </c>
      <c r="E569" s="329">
        <f t="shared" si="53"/>
        <v>-3.6705860531206762E-3</v>
      </c>
      <c r="F569" s="330">
        <f t="shared" si="50"/>
        <v>3.9402714326603898E-4</v>
      </c>
      <c r="G569" s="332"/>
    </row>
    <row r="570" spans="1:7" ht="20" customHeight="1" x14ac:dyDescent="0.15">
      <c r="A570" s="326">
        <v>45371</v>
      </c>
      <c r="B570" s="327">
        <f t="shared" si="55"/>
        <v>-32.061706848109388</v>
      </c>
      <c r="C570" s="328">
        <f t="shared" si="54"/>
        <v>-1.2633182757593741E-2</v>
      </c>
      <c r="D570" s="329">
        <f t="shared" si="52"/>
        <v>-1.6306661431787665E-2</v>
      </c>
      <c r="E570" s="329">
        <f t="shared" si="53"/>
        <v>-3.6734786741939238E-3</v>
      </c>
      <c r="F570" s="330">
        <f t="shared" si="50"/>
        <v>3.9402714326603898E-4</v>
      </c>
      <c r="G570" s="332"/>
    </row>
    <row r="571" spans="1:7" ht="20" customHeight="1" x14ac:dyDescent="0.15">
      <c r="A571" s="326">
        <v>45372</v>
      </c>
      <c r="B571" s="327">
        <f t="shared" si="55"/>
        <v>-32.086973213624574</v>
      </c>
      <c r="C571" s="328">
        <f t="shared" si="54"/>
        <v>-1.2643138391418405E-2</v>
      </c>
      <c r="D571" s="329">
        <f t="shared" si="52"/>
        <v>-1.6319511966228013E-2</v>
      </c>
      <c r="E571" s="329">
        <f t="shared" si="53"/>
        <v>-3.676373574809608E-3</v>
      </c>
      <c r="F571" s="330">
        <f t="shared" si="50"/>
        <v>3.9402714326603898E-4</v>
      </c>
      <c r="G571" s="332"/>
    </row>
    <row r="572" spans="1:7" ht="20" customHeight="1" x14ac:dyDescent="0.15">
      <c r="A572" s="326">
        <v>45373</v>
      </c>
      <c r="B572" s="327">
        <f t="shared" si="55"/>
        <v>-32.112259490407411</v>
      </c>
      <c r="C572" s="328">
        <f t="shared" si="54"/>
        <v>-1.2653101870822981E-2</v>
      </c>
      <c r="D572" s="329">
        <f t="shared" si="52"/>
        <v>-1.6332372627587109E-2</v>
      </c>
      <c r="E572" s="329">
        <f t="shared" si="53"/>
        <v>-3.6792707567641272E-3</v>
      </c>
      <c r="F572" s="330">
        <f t="shared" si="50"/>
        <v>3.9402714326603898E-4</v>
      </c>
      <c r="G572" s="332"/>
    </row>
    <row r="573" spans="1:7" ht="20" customHeight="1" x14ac:dyDescent="0.15">
      <c r="A573" s="326">
        <v>45374</v>
      </c>
      <c r="B573" s="331" t="str">
        <f t="shared" si="55"/>
        <v/>
      </c>
      <c r="C573" s="316" t="str">
        <f t="shared" si="54"/>
        <v/>
      </c>
      <c r="D573" s="316" t="str">
        <f t="shared" si="52"/>
        <v/>
      </c>
      <c r="E573" s="316" t="str">
        <f t="shared" si="53"/>
        <v/>
      </c>
      <c r="F573" s="316" t="str">
        <f t="shared" si="50"/>
        <v/>
      </c>
      <c r="G573" s="332"/>
    </row>
    <row r="574" spans="1:7" ht="20" customHeight="1" x14ac:dyDescent="0.15">
      <c r="A574" s="326">
        <v>45375</v>
      </c>
      <c r="B574" s="331" t="str">
        <f t="shared" si="55"/>
        <v/>
      </c>
      <c r="C574" s="316" t="str">
        <f t="shared" si="54"/>
        <v/>
      </c>
      <c r="D574" s="316" t="str">
        <f t="shared" si="52"/>
        <v/>
      </c>
      <c r="E574" s="316" t="str">
        <f t="shared" si="53"/>
        <v/>
      </c>
      <c r="F574" s="316" t="str">
        <f t="shared" si="50"/>
        <v/>
      </c>
      <c r="G574" s="332"/>
    </row>
    <row r="575" spans="1:7" ht="20" customHeight="1" x14ac:dyDescent="0.15">
      <c r="A575" s="326">
        <v>45376</v>
      </c>
      <c r="B575" s="327">
        <f t="shared" si="55"/>
        <v>-32.137565694149053</v>
      </c>
      <c r="C575" s="328">
        <f t="shared" si="54"/>
        <v>-1.2663073201990208E-2</v>
      </c>
      <c r="D575" s="329">
        <f t="shared" si="52"/>
        <v>-1.6345243423845513E-2</v>
      </c>
      <c r="E575" s="329">
        <f t="shared" si="53"/>
        <v>-3.6821702218553052E-3</v>
      </c>
      <c r="F575" s="330">
        <f t="shared" si="50"/>
        <v>3.9402714326603898E-4</v>
      </c>
      <c r="G575" s="332"/>
    </row>
    <row r="576" spans="1:7" ht="20" customHeight="1" x14ac:dyDescent="0.15">
      <c r="A576" s="326">
        <v>45377</v>
      </c>
      <c r="B576" s="327">
        <f t="shared" si="55"/>
        <v>-32.162891840553037</v>
      </c>
      <c r="C576" s="328">
        <f t="shared" si="54"/>
        <v>-1.2673052391107708E-2</v>
      </c>
      <c r="D576" s="329">
        <f t="shared" si="52"/>
        <v>-1.6358124362990091E-2</v>
      </c>
      <c r="E576" s="329">
        <f t="shared" si="53"/>
        <v>-3.6850719718823834E-3</v>
      </c>
      <c r="F576" s="330">
        <f t="shared" si="50"/>
        <v>3.9402714326603898E-4</v>
      </c>
      <c r="G576" s="332"/>
    </row>
    <row r="577" spans="1:7" ht="20" customHeight="1" x14ac:dyDescent="0.15">
      <c r="A577" s="326">
        <v>45378</v>
      </c>
      <c r="B577" s="327">
        <f t="shared" si="55"/>
        <v>-32.188237945335253</v>
      </c>
      <c r="C577" s="328">
        <f t="shared" si="54"/>
        <v>-1.2683039444367966E-2</v>
      </c>
      <c r="D577" s="329">
        <f t="shared" si="52"/>
        <v>-1.6371015453013969E-2</v>
      </c>
      <c r="E577" s="329">
        <f t="shared" si="53"/>
        <v>-3.6879760086460031E-3</v>
      </c>
      <c r="F577" s="330">
        <f t="shared" si="50"/>
        <v>3.9402714326603898E-4</v>
      </c>
      <c r="G577" s="332"/>
    </row>
    <row r="578" spans="1:7" ht="20" customHeight="1" x14ac:dyDescent="0.15">
      <c r="A578" s="326">
        <v>45379</v>
      </c>
      <c r="B578" s="327">
        <f t="shared" si="55"/>
        <v>-32.21360402422399</v>
      </c>
      <c r="C578" s="328">
        <f t="shared" si="54"/>
        <v>-1.2693034367968356E-2</v>
      </c>
      <c r="D578" s="329">
        <f t="shared" si="52"/>
        <v>-1.63839167019166E-2</v>
      </c>
      <c r="E578" s="329">
        <f t="shared" si="53"/>
        <v>-3.6908823339482436E-3</v>
      </c>
      <c r="F578" s="330">
        <f t="shared" si="50"/>
        <v>3.9402714326603898E-4</v>
      </c>
      <c r="G578" s="332"/>
    </row>
    <row r="579" spans="1:7" ht="20" customHeight="1" x14ac:dyDescent="0.15">
      <c r="A579" s="326">
        <v>45380</v>
      </c>
      <c r="B579" s="327">
        <f t="shared" si="55"/>
        <v>-32.238990092959924</v>
      </c>
      <c r="C579" s="328">
        <f t="shared" si="54"/>
        <v>-1.2703037168111131E-2</v>
      </c>
      <c r="D579" s="329">
        <f t="shared" si="52"/>
        <v>-1.6396828117703727E-2</v>
      </c>
      <c r="E579" s="329">
        <f t="shared" si="53"/>
        <v>-3.6937909495925961E-3</v>
      </c>
      <c r="F579" s="330">
        <f t="shared" si="50"/>
        <v>3.9402714326603898E-4</v>
      </c>
      <c r="G579" s="332"/>
    </row>
    <row r="580" spans="1:7" ht="20" customHeight="1" x14ac:dyDescent="0.15">
      <c r="A580" s="326">
        <v>45381</v>
      </c>
      <c r="B580" s="331" t="str">
        <f t="shared" si="55"/>
        <v/>
      </c>
      <c r="C580" s="316" t="str">
        <f t="shared" si="54"/>
        <v/>
      </c>
      <c r="D580" s="316" t="str">
        <f t="shared" si="52"/>
        <v/>
      </c>
      <c r="E580" s="316" t="str">
        <f t="shared" si="53"/>
        <v/>
      </c>
      <c r="F580" s="316" t="str">
        <f t="shared" ref="F580:F614" si="56">IF(B580="","",C580/B580)</f>
        <v/>
      </c>
      <c r="G580" s="332"/>
    </row>
    <row r="581" spans="1:7" ht="20" customHeight="1" x14ac:dyDescent="0.15">
      <c r="A581" s="326">
        <v>45382</v>
      </c>
      <c r="B581" s="331" t="str">
        <f t="shared" si="55"/>
        <v/>
      </c>
      <c r="C581" s="316" t="str">
        <f t="shared" si="54"/>
        <v/>
      </c>
      <c r="D581" s="316" t="str">
        <f t="shared" si="52"/>
        <v/>
      </c>
      <c r="E581" s="316" t="str">
        <f t="shared" si="53"/>
        <v/>
      </c>
      <c r="F581" s="316" t="str">
        <f t="shared" si="56"/>
        <v/>
      </c>
      <c r="G581" s="332"/>
    </row>
    <row r="582" spans="1:7" ht="20" customHeight="1" x14ac:dyDescent="0.15">
      <c r="A582" s="326">
        <v>45383</v>
      </c>
      <c r="B582" s="327">
        <f t="shared" si="55"/>
        <v>-32.264396167296148</v>
      </c>
      <c r="C582" s="328">
        <f t="shared" si="54"/>
        <v>-1.2713047851003438E-2</v>
      </c>
      <c r="D582" s="329">
        <f t="shared" si="52"/>
        <v>-1.6409749708387416E-2</v>
      </c>
      <c r="E582" s="329">
        <f t="shared" si="53"/>
        <v>-3.6967018573839782E-3</v>
      </c>
      <c r="F582" s="330">
        <f t="shared" si="56"/>
        <v>3.9402714326603898E-4</v>
      </c>
      <c r="G582" s="332"/>
    </row>
    <row r="583" spans="1:7" ht="20" customHeight="1" x14ac:dyDescent="0.15">
      <c r="A583" s="326">
        <v>45384</v>
      </c>
      <c r="B583" s="327">
        <f t="shared" ref="B583:B614" si="57">IF(OR(WEEKDAY($A583)=7,WEEKDAY($A583)=1),"",IF(B582="",IF(B581="",B580,B581),B582)+IF(A$2=TRUE,IF(C582="",IF(C581="",C580,C581),C582)*2,IF(C582="",IF(C581="",C580,C581),C582)))</f>
        <v>-32.289822262998157</v>
      </c>
      <c r="C583" s="328">
        <f t="shared" si="54"/>
        <v>-1.272306642285731E-2</v>
      </c>
      <c r="D583" s="329">
        <f t="shared" ref="D583:D646" si="58">IF(C583="","",(D$3*$C583)/$C$3)</f>
        <v>-1.6422681481986032E-2</v>
      </c>
      <c r="E583" s="329">
        <f t="shared" ref="E583:E646" si="59">IF(C583="","",D583-$C583)</f>
        <v>-3.6996150591287226E-3</v>
      </c>
      <c r="F583" s="330">
        <f t="shared" si="56"/>
        <v>3.9402714326603898E-4</v>
      </c>
      <c r="G583" s="332"/>
    </row>
    <row r="584" spans="1:7" ht="20" customHeight="1" x14ac:dyDescent="0.15">
      <c r="A584" s="326">
        <v>45385</v>
      </c>
      <c r="B584" s="327">
        <f t="shared" si="57"/>
        <v>-32.315268395843873</v>
      </c>
      <c r="C584" s="328">
        <f t="shared" si="54"/>
        <v>-1.2733092889889676E-2</v>
      </c>
      <c r="D584" s="329">
        <f t="shared" si="58"/>
        <v>-1.6435623446524258E-2</v>
      </c>
      <c r="E584" s="329">
        <f t="shared" si="59"/>
        <v>-3.7025305566345829E-3</v>
      </c>
      <c r="F584" s="330">
        <f t="shared" si="56"/>
        <v>3.9402714326603898E-4</v>
      </c>
      <c r="G584" s="332"/>
    </row>
    <row r="585" spans="1:7" ht="20" customHeight="1" x14ac:dyDescent="0.15">
      <c r="A585" s="326">
        <v>45386</v>
      </c>
      <c r="B585" s="327">
        <f t="shared" si="57"/>
        <v>-32.34073458162365</v>
      </c>
      <c r="C585" s="328">
        <f t="shared" si="54"/>
        <v>-1.2743127258322363E-2</v>
      </c>
      <c r="D585" s="329">
        <f t="shared" si="58"/>
        <v>-1.6448575610033121E-2</v>
      </c>
      <c r="E585" s="329">
        <f t="shared" si="59"/>
        <v>-3.7054483517107578E-3</v>
      </c>
      <c r="F585" s="330">
        <f t="shared" si="56"/>
        <v>3.9402714326603898E-4</v>
      </c>
      <c r="G585" s="332"/>
    </row>
    <row r="586" spans="1:7" ht="20" customHeight="1" x14ac:dyDescent="0.15">
      <c r="A586" s="326">
        <v>45387</v>
      </c>
      <c r="B586" s="327">
        <f t="shared" si="57"/>
        <v>-32.366220836140293</v>
      </c>
      <c r="C586" s="328">
        <f t="shared" si="54"/>
        <v>-1.2753169534382108E-2</v>
      </c>
      <c r="D586" s="329">
        <f t="shared" si="58"/>
        <v>-1.6461537980549952E-2</v>
      </c>
      <c r="E586" s="329">
        <f t="shared" si="59"/>
        <v>-3.7083684461678441E-3</v>
      </c>
      <c r="F586" s="330">
        <f t="shared" si="56"/>
        <v>3.9402714326603898E-4</v>
      </c>
      <c r="G586" s="332"/>
    </row>
    <row r="587" spans="1:7" ht="20" customHeight="1" x14ac:dyDescent="0.15">
      <c r="A587" s="326">
        <v>45388</v>
      </c>
      <c r="B587" s="331" t="str">
        <f t="shared" si="57"/>
        <v/>
      </c>
      <c r="C587" s="316" t="str">
        <f t="shared" ref="C587:C650" si="60">IF(B587="","",B587*F$6)</f>
        <v/>
      </c>
      <c r="D587" s="316" t="str">
        <f t="shared" si="58"/>
        <v/>
      </c>
      <c r="E587" s="316" t="str">
        <f t="shared" si="59"/>
        <v/>
      </c>
      <c r="F587" s="316" t="str">
        <f t="shared" si="56"/>
        <v/>
      </c>
      <c r="G587" s="332"/>
    </row>
    <row r="588" spans="1:7" ht="20" customHeight="1" x14ac:dyDescent="0.15">
      <c r="A588" s="326">
        <v>45389</v>
      </c>
      <c r="B588" s="331" t="str">
        <f t="shared" si="57"/>
        <v/>
      </c>
      <c r="C588" s="316" t="str">
        <f t="shared" si="60"/>
        <v/>
      </c>
      <c r="D588" s="316" t="str">
        <f t="shared" si="58"/>
        <v/>
      </c>
      <c r="E588" s="316" t="str">
        <f t="shared" si="59"/>
        <v/>
      </c>
      <c r="F588" s="316" t="str">
        <f t="shared" si="56"/>
        <v/>
      </c>
      <c r="G588" s="332"/>
    </row>
    <row r="589" spans="1:7" ht="20" customHeight="1" x14ac:dyDescent="0.15">
      <c r="A589" s="326">
        <v>45390</v>
      </c>
      <c r="B589" s="327">
        <f t="shared" si="57"/>
        <v>-32.391727175209056</v>
      </c>
      <c r="C589" s="328">
        <f t="shared" si="60"/>
        <v>-1.2763219724300546E-2</v>
      </c>
      <c r="D589" s="329">
        <f t="shared" si="58"/>
        <v>-1.6474510566118431E-2</v>
      </c>
      <c r="E589" s="329">
        <f t="shared" si="59"/>
        <v>-3.7112908418178853E-3</v>
      </c>
      <c r="F589" s="330">
        <f t="shared" si="56"/>
        <v>3.9402714326603898E-4</v>
      </c>
      <c r="G589" s="332"/>
    </row>
    <row r="590" spans="1:7" ht="20" customHeight="1" x14ac:dyDescent="0.15">
      <c r="A590" s="326">
        <v>45391</v>
      </c>
      <c r="B590" s="327">
        <f t="shared" si="57"/>
        <v>-32.417253614657653</v>
      </c>
      <c r="C590" s="328">
        <f t="shared" si="60"/>
        <v>-1.2773277834314232E-2</v>
      </c>
      <c r="D590" s="329">
        <f t="shared" si="58"/>
        <v>-1.6487493374788581E-2</v>
      </c>
      <c r="E590" s="329">
        <f t="shared" si="59"/>
        <v>-3.7142155404743492E-3</v>
      </c>
      <c r="F590" s="330">
        <f t="shared" si="56"/>
        <v>3.9402714326603898E-4</v>
      </c>
      <c r="G590" s="332"/>
    </row>
    <row r="591" spans="1:7" ht="20" customHeight="1" x14ac:dyDescent="0.15">
      <c r="A591" s="326">
        <v>45392</v>
      </c>
      <c r="B591" s="327">
        <f t="shared" si="57"/>
        <v>-32.442800170326279</v>
      </c>
      <c r="C591" s="328">
        <f t="shared" si="60"/>
        <v>-1.2783343870664626E-2</v>
      </c>
      <c r="D591" s="329">
        <f t="shared" si="58"/>
        <v>-1.6500486414616749E-2</v>
      </c>
      <c r="E591" s="329">
        <f t="shared" si="59"/>
        <v>-3.7171425439521226E-3</v>
      </c>
      <c r="F591" s="330">
        <f t="shared" si="56"/>
        <v>3.9402714326603898E-4</v>
      </c>
      <c r="G591" s="332"/>
    </row>
    <row r="592" spans="1:7" ht="20" customHeight="1" x14ac:dyDescent="0.15">
      <c r="A592" s="326">
        <v>45393</v>
      </c>
      <c r="B592" s="327">
        <f t="shared" si="57"/>
        <v>-32.468366858067611</v>
      </c>
      <c r="C592" s="328">
        <f t="shared" si="60"/>
        <v>-1.2793417839598118E-2</v>
      </c>
      <c r="D592" s="329">
        <f t="shared" si="58"/>
        <v>-1.6513489693665655E-2</v>
      </c>
      <c r="E592" s="329">
        <f t="shared" si="59"/>
        <v>-3.7200718540675373E-3</v>
      </c>
      <c r="F592" s="330">
        <f t="shared" si="56"/>
        <v>3.9402714326603898E-4</v>
      </c>
      <c r="G592" s="332"/>
    </row>
    <row r="593" spans="1:7" ht="20" customHeight="1" x14ac:dyDescent="0.15">
      <c r="A593" s="326">
        <v>45394</v>
      </c>
      <c r="B593" s="327">
        <f t="shared" si="57"/>
        <v>-32.493953693746811</v>
      </c>
      <c r="C593" s="328">
        <f t="shared" si="60"/>
        <v>-1.2803499747366011E-2</v>
      </c>
      <c r="D593" s="329">
        <f t="shared" si="58"/>
        <v>-1.6526503220004353E-2</v>
      </c>
      <c r="E593" s="329">
        <f t="shared" si="59"/>
        <v>-3.7230034726383424E-3</v>
      </c>
      <c r="F593" s="330">
        <f t="shared" si="56"/>
        <v>3.9402714326603898E-4</v>
      </c>
      <c r="G593" s="332"/>
    </row>
    <row r="594" spans="1:7" ht="20" customHeight="1" x14ac:dyDescent="0.15">
      <c r="A594" s="326">
        <v>45395</v>
      </c>
      <c r="B594" s="331" t="str">
        <f t="shared" si="57"/>
        <v/>
      </c>
      <c r="C594" s="316" t="str">
        <f t="shared" si="60"/>
        <v/>
      </c>
      <c r="D594" s="316" t="str">
        <f t="shared" si="58"/>
        <v/>
      </c>
      <c r="E594" s="316" t="str">
        <f t="shared" si="59"/>
        <v/>
      </c>
      <c r="F594" s="316" t="str">
        <f t="shared" si="56"/>
        <v/>
      </c>
      <c r="G594" s="332"/>
    </row>
    <row r="595" spans="1:7" ht="20" customHeight="1" x14ac:dyDescent="0.15">
      <c r="A595" s="326">
        <v>45396</v>
      </c>
      <c r="B595" s="331" t="str">
        <f t="shared" si="57"/>
        <v/>
      </c>
      <c r="C595" s="316" t="str">
        <f t="shared" si="60"/>
        <v/>
      </c>
      <c r="D595" s="316" t="str">
        <f t="shared" si="58"/>
        <v/>
      </c>
      <c r="E595" s="316" t="str">
        <f t="shared" si="59"/>
        <v/>
      </c>
      <c r="F595" s="316" t="str">
        <f t="shared" si="56"/>
        <v/>
      </c>
      <c r="G595" s="332"/>
    </row>
    <row r="596" spans="1:7" ht="20" customHeight="1" x14ac:dyDescent="0.15">
      <c r="A596" s="326">
        <v>45397</v>
      </c>
      <c r="B596" s="327">
        <f t="shared" si="57"/>
        <v>-32.519560693241544</v>
      </c>
      <c r="C596" s="328">
        <f t="shared" si="60"/>
        <v>-1.2813589600224535E-2</v>
      </c>
      <c r="D596" s="329">
        <f t="shared" si="58"/>
        <v>-1.6539527001708264E-2</v>
      </c>
      <c r="E596" s="329">
        <f t="shared" si="59"/>
        <v>-3.7259374014837286E-3</v>
      </c>
      <c r="F596" s="330">
        <f t="shared" si="56"/>
        <v>3.9402714326603898E-4</v>
      </c>
      <c r="G596" s="332"/>
    </row>
    <row r="597" spans="1:7" ht="20" customHeight="1" x14ac:dyDescent="0.15">
      <c r="A597" s="326">
        <v>45398</v>
      </c>
      <c r="B597" s="327">
        <f t="shared" si="57"/>
        <v>-32.545187872441993</v>
      </c>
      <c r="C597" s="328">
        <f t="shared" si="60"/>
        <v>-1.2823687404434856E-2</v>
      </c>
      <c r="D597" s="329">
        <f t="shared" si="58"/>
        <v>-1.6552561046859173E-2</v>
      </c>
      <c r="E597" s="329">
        <f t="shared" si="59"/>
        <v>-3.7288736424243175E-3</v>
      </c>
      <c r="F597" s="330">
        <f t="shared" si="56"/>
        <v>3.9402714326603898E-4</v>
      </c>
      <c r="G597" s="332"/>
    </row>
    <row r="598" spans="1:7" ht="20" customHeight="1" x14ac:dyDescent="0.15">
      <c r="A598" s="326">
        <v>45399</v>
      </c>
      <c r="B598" s="327">
        <f t="shared" si="57"/>
        <v>-32.570835247250862</v>
      </c>
      <c r="C598" s="328">
        <f t="shared" si="60"/>
        <v>-1.2833793166263067E-2</v>
      </c>
      <c r="D598" s="329">
        <f t="shared" si="58"/>
        <v>-1.6565605363545233E-2</v>
      </c>
      <c r="E598" s="329">
        <f t="shared" si="59"/>
        <v>-3.7318121972821656E-3</v>
      </c>
      <c r="F598" s="330">
        <f t="shared" si="56"/>
        <v>3.9402714326603898E-4</v>
      </c>
      <c r="G598" s="332"/>
    </row>
    <row r="599" spans="1:7" ht="20" customHeight="1" x14ac:dyDescent="0.15">
      <c r="A599" s="326">
        <v>45400</v>
      </c>
      <c r="B599" s="327">
        <f t="shared" si="57"/>
        <v>-32.596502833583386</v>
      </c>
      <c r="C599" s="328">
        <f t="shared" si="60"/>
        <v>-1.2843906891980207E-2</v>
      </c>
      <c r="D599" s="329">
        <f t="shared" si="58"/>
        <v>-1.6578659959860974E-2</v>
      </c>
      <c r="E599" s="329">
        <f t="shared" si="59"/>
        <v>-3.7347530678807674E-3</v>
      </c>
      <c r="F599" s="330">
        <f t="shared" si="56"/>
        <v>3.9402714326603898E-4</v>
      </c>
      <c r="G599" s="332"/>
    </row>
    <row r="600" spans="1:7" ht="20" customHeight="1" x14ac:dyDescent="0.15">
      <c r="A600" s="326">
        <v>45401</v>
      </c>
      <c r="B600" s="327">
        <f t="shared" si="57"/>
        <v>-32.622190647367347</v>
      </c>
      <c r="C600" s="328">
        <f t="shared" si="60"/>
        <v>-1.285402858786225E-2</v>
      </c>
      <c r="D600" s="329">
        <f t="shared" si="58"/>
        <v>-1.65917248439073E-2</v>
      </c>
      <c r="E600" s="329">
        <f t="shared" si="59"/>
        <v>-3.7376962560450502E-3</v>
      </c>
      <c r="F600" s="330">
        <f t="shared" si="56"/>
        <v>3.9402714326603898E-4</v>
      </c>
      <c r="G600" s="332"/>
    </row>
    <row r="601" spans="1:7" ht="20" customHeight="1" x14ac:dyDescent="0.15">
      <c r="A601" s="326">
        <v>45402</v>
      </c>
      <c r="B601" s="331" t="str">
        <f t="shared" si="57"/>
        <v/>
      </c>
      <c r="C601" s="316" t="str">
        <f t="shared" si="60"/>
        <v/>
      </c>
      <c r="D601" s="316" t="str">
        <f t="shared" si="58"/>
        <v/>
      </c>
      <c r="E601" s="316" t="str">
        <f t="shared" si="59"/>
        <v/>
      </c>
      <c r="F601" s="316" t="str">
        <f t="shared" si="56"/>
        <v/>
      </c>
      <c r="G601" s="332"/>
    </row>
    <row r="602" spans="1:7" ht="20" customHeight="1" x14ac:dyDescent="0.15">
      <c r="A602" s="326">
        <v>45403</v>
      </c>
      <c r="B602" s="331" t="str">
        <f t="shared" si="57"/>
        <v/>
      </c>
      <c r="C602" s="316" t="str">
        <f t="shared" si="60"/>
        <v/>
      </c>
      <c r="D602" s="316" t="str">
        <f t="shared" si="58"/>
        <v/>
      </c>
      <c r="E602" s="316" t="str">
        <f t="shared" si="59"/>
        <v/>
      </c>
      <c r="F602" s="316" t="str">
        <f t="shared" si="56"/>
        <v/>
      </c>
      <c r="G602" s="332"/>
    </row>
    <row r="603" spans="1:7" ht="20" customHeight="1" x14ac:dyDescent="0.15">
      <c r="A603" s="326">
        <v>45404</v>
      </c>
      <c r="B603" s="327">
        <f t="shared" si="57"/>
        <v>-32.647898704543074</v>
      </c>
      <c r="C603" s="328">
        <f t="shared" si="60"/>
        <v>-1.2864158260190122E-2</v>
      </c>
      <c r="D603" s="329">
        <f t="shared" si="58"/>
        <v>-1.6604800023791506E-2</v>
      </c>
      <c r="E603" s="329">
        <f t="shared" si="59"/>
        <v>-3.7406417636013847E-3</v>
      </c>
      <c r="F603" s="330">
        <f t="shared" si="56"/>
        <v>3.9402714326603898E-4</v>
      </c>
      <c r="G603" s="332"/>
    </row>
    <row r="604" spans="1:7" ht="20" customHeight="1" x14ac:dyDescent="0.15">
      <c r="A604" s="326">
        <v>45405</v>
      </c>
      <c r="B604" s="327">
        <f t="shared" si="57"/>
        <v>-32.673627021063453</v>
      </c>
      <c r="C604" s="328">
        <f t="shared" si="60"/>
        <v>-1.2874295915249691E-2</v>
      </c>
      <c r="D604" s="329">
        <f t="shared" si="58"/>
        <v>-1.6617885507627262E-2</v>
      </c>
      <c r="E604" s="329">
        <f t="shared" si="59"/>
        <v>-3.7435895923775709E-3</v>
      </c>
      <c r="F604" s="330">
        <f t="shared" si="56"/>
        <v>3.9402714326603898E-4</v>
      </c>
      <c r="G604" s="332"/>
    </row>
    <row r="605" spans="1:7" ht="20" customHeight="1" x14ac:dyDescent="0.15">
      <c r="A605" s="326">
        <v>45406</v>
      </c>
      <c r="B605" s="327">
        <f t="shared" si="57"/>
        <v>-32.699375612893952</v>
      </c>
      <c r="C605" s="328">
        <f t="shared" si="60"/>
        <v>-1.2884441559331786E-2</v>
      </c>
      <c r="D605" s="329">
        <f t="shared" si="58"/>
        <v>-1.6630981303534645E-2</v>
      </c>
      <c r="E605" s="329">
        <f t="shared" si="59"/>
        <v>-3.7465397442028592E-3</v>
      </c>
      <c r="F605" s="330">
        <f t="shared" si="56"/>
        <v>3.9402714326603898E-4</v>
      </c>
      <c r="G605" s="332"/>
    </row>
    <row r="606" spans="1:7" ht="20" customHeight="1" x14ac:dyDescent="0.15">
      <c r="A606" s="326">
        <v>45407</v>
      </c>
      <c r="B606" s="327">
        <f t="shared" si="57"/>
        <v>-32.725144496012618</v>
      </c>
      <c r="C606" s="328">
        <f t="shared" si="60"/>
        <v>-1.289459519873219E-2</v>
      </c>
      <c r="D606" s="329">
        <f t="shared" si="58"/>
        <v>-1.664408741964013E-2</v>
      </c>
      <c r="E606" s="329">
        <f t="shared" si="59"/>
        <v>-3.7494922209079396E-3</v>
      </c>
      <c r="F606" s="330">
        <f t="shared" si="56"/>
        <v>3.9402714326603898E-4</v>
      </c>
      <c r="G606" s="332"/>
    </row>
    <row r="607" spans="1:7" ht="20" customHeight="1" x14ac:dyDescent="0.15">
      <c r="A607" s="326">
        <v>45408</v>
      </c>
      <c r="B607" s="327">
        <f t="shared" si="57"/>
        <v>-32.750933686410079</v>
      </c>
      <c r="C607" s="328">
        <f t="shared" si="60"/>
        <v>-1.2904756839751647E-2</v>
      </c>
      <c r="D607" s="329">
        <f t="shared" si="58"/>
        <v>-1.6657203864076594E-2</v>
      </c>
      <c r="E607" s="329">
        <f t="shared" si="59"/>
        <v>-3.7524470243249473E-3</v>
      </c>
      <c r="F607" s="330">
        <f t="shared" si="56"/>
        <v>3.9402714326603898E-4</v>
      </c>
      <c r="G607" s="332"/>
    </row>
    <row r="608" spans="1:7" ht="20" customHeight="1" x14ac:dyDescent="0.15">
      <c r="A608" s="326">
        <v>45409</v>
      </c>
      <c r="B608" s="331" t="str">
        <f t="shared" si="57"/>
        <v/>
      </c>
      <c r="C608" s="316" t="str">
        <f t="shared" si="60"/>
        <v/>
      </c>
      <c r="D608" s="316" t="str">
        <f t="shared" si="58"/>
        <v/>
      </c>
      <c r="E608" s="316" t="str">
        <f t="shared" si="59"/>
        <v/>
      </c>
      <c r="F608" s="316" t="str">
        <f t="shared" si="56"/>
        <v/>
      </c>
      <c r="G608" s="332"/>
    </row>
    <row r="609" spans="1:7" ht="20" customHeight="1" x14ac:dyDescent="0.15">
      <c r="A609" s="326">
        <v>45410</v>
      </c>
      <c r="B609" s="331" t="str">
        <f t="shared" si="57"/>
        <v/>
      </c>
      <c r="C609" s="316" t="str">
        <f t="shared" si="60"/>
        <v/>
      </c>
      <c r="D609" s="316" t="str">
        <f t="shared" si="58"/>
        <v/>
      </c>
      <c r="E609" s="316" t="str">
        <f t="shared" si="59"/>
        <v/>
      </c>
      <c r="F609" s="316" t="str">
        <f t="shared" si="56"/>
        <v/>
      </c>
      <c r="G609" s="332"/>
    </row>
    <row r="610" spans="1:7" ht="20" customHeight="1" x14ac:dyDescent="0.15">
      <c r="A610" s="326">
        <v>45411</v>
      </c>
      <c r="B610" s="327">
        <f t="shared" si="57"/>
        <v>-32.776743200089584</v>
      </c>
      <c r="C610" s="328">
        <f t="shared" si="60"/>
        <v>-1.2914926488695867E-2</v>
      </c>
      <c r="D610" s="329">
        <f t="shared" si="58"/>
        <v>-1.6670330644983314E-2</v>
      </c>
      <c r="E610" s="329">
        <f t="shared" si="59"/>
        <v>-3.7554041562874469E-3</v>
      </c>
      <c r="F610" s="330">
        <f t="shared" si="56"/>
        <v>3.9402714326603898E-4</v>
      </c>
      <c r="G610" s="332"/>
    </row>
    <row r="611" spans="1:7" ht="20" customHeight="1" x14ac:dyDescent="0.15">
      <c r="A611" s="326">
        <v>45412</v>
      </c>
      <c r="B611" s="327">
        <f t="shared" si="57"/>
        <v>-32.802573053066979</v>
      </c>
      <c r="C611" s="328">
        <f t="shared" si="60"/>
        <v>-1.2925104151875533E-2</v>
      </c>
      <c r="D611" s="329">
        <f t="shared" si="58"/>
        <v>-1.6683467770506007E-2</v>
      </c>
      <c r="E611" s="329">
        <f t="shared" si="59"/>
        <v>-3.7583636186304739E-3</v>
      </c>
      <c r="F611" s="330">
        <f t="shared" si="56"/>
        <v>3.9402714326603898E-4</v>
      </c>
      <c r="G611" s="332"/>
    </row>
    <row r="612" spans="1:7" ht="20" customHeight="1" x14ac:dyDescent="0.15">
      <c r="A612" s="326">
        <v>45413</v>
      </c>
      <c r="B612" s="327">
        <f t="shared" si="57"/>
        <v>-32.82842326137073</v>
      </c>
      <c r="C612" s="328">
        <f t="shared" si="60"/>
        <v>-1.2935289835606292E-2</v>
      </c>
      <c r="D612" s="329">
        <f t="shared" si="58"/>
        <v>-1.6696615248796773E-2</v>
      </c>
      <c r="E612" s="329">
        <f t="shared" si="59"/>
        <v>-3.7613254131904812E-3</v>
      </c>
      <c r="F612" s="330">
        <f t="shared" si="56"/>
        <v>3.9402714326603898E-4</v>
      </c>
      <c r="G612" s="332"/>
    </row>
    <row r="613" spans="1:7" ht="20" customHeight="1" x14ac:dyDescent="0.15">
      <c r="A613" s="326">
        <v>45414</v>
      </c>
      <c r="B613" s="327">
        <f t="shared" si="57"/>
        <v>-32.854293841041944</v>
      </c>
      <c r="C613" s="328">
        <f t="shared" si="60"/>
        <v>-1.2945483546208777E-2</v>
      </c>
      <c r="D613" s="329">
        <f t="shared" si="58"/>
        <v>-1.6709773088014166E-2</v>
      </c>
      <c r="E613" s="329">
        <f t="shared" si="59"/>
        <v>-3.7642895418053893E-3</v>
      </c>
      <c r="F613" s="330">
        <f t="shared" si="56"/>
        <v>3.9402714326603898E-4</v>
      </c>
      <c r="G613" s="332"/>
    </row>
    <row r="614" spans="1:7" ht="20" customHeight="1" x14ac:dyDescent="0.15">
      <c r="A614" s="326">
        <v>45415</v>
      </c>
      <c r="B614" s="327">
        <f t="shared" si="57"/>
        <v>-32.880184808134359</v>
      </c>
      <c r="C614" s="328">
        <f t="shared" si="60"/>
        <v>-1.2955685290008595E-2</v>
      </c>
      <c r="D614" s="329">
        <f t="shared" si="58"/>
        <v>-1.6722941296323152E-2</v>
      </c>
      <c r="E614" s="329">
        <f t="shared" si="59"/>
        <v>-3.7672560063145566E-3</v>
      </c>
      <c r="F614" s="330">
        <f t="shared" si="56"/>
        <v>3.9402714326603898E-4</v>
      </c>
      <c r="G614" s="332"/>
    </row>
  </sheetData>
  <mergeCells count="1">
    <mergeCell ref="A1:G1"/>
  </mergeCells>
  <conditionalFormatting sqref="A2:A614">
    <cfRule type="timePeriod" dxfId="7" priority="1" stopIfTrue="1" timePeriod="today">
      <formula>FLOOR(A2,1)=TODAY()</formula>
    </cfRule>
  </conditionalFormatting>
  <pageMargins left="1" right="1" top="1" bottom="1" header="0.25" footer="0.25"/>
  <pageSetup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M48"/>
  <sheetViews>
    <sheetView showGridLines="0" workbookViewId="0">
      <pane xSplit="1" ySplit="2" topLeftCell="B3" activePane="bottomRight" state="frozen"/>
      <selection pane="topRight"/>
      <selection pane="bottomLeft"/>
      <selection pane="bottomRight" activeCell="B3" sqref="B3"/>
    </sheetView>
  </sheetViews>
  <sheetFormatPr baseColWidth="10" defaultColWidth="16.33203125" defaultRowHeight="20" customHeight="1" x14ac:dyDescent="0.15"/>
  <cols>
    <col min="1" max="9" width="16.33203125" style="310" customWidth="1"/>
    <col min="10" max="10" width="17.1640625" style="310" customWidth="1"/>
    <col min="11" max="14" width="16.33203125" style="310" customWidth="1"/>
    <col min="15" max="16384" width="16.33203125" style="310"/>
  </cols>
  <sheetData>
    <row r="1" spans="1:13" ht="27.75" customHeight="1" x14ac:dyDescent="0.15">
      <c r="A1" s="529" t="s">
        <v>345</v>
      </c>
      <c r="B1" s="529"/>
      <c r="C1" s="529"/>
      <c r="D1" s="529"/>
      <c r="E1" s="529"/>
      <c r="F1" s="529"/>
      <c r="G1" s="529"/>
      <c r="H1" s="529"/>
      <c r="I1" s="529"/>
      <c r="J1" s="529"/>
      <c r="K1" s="529"/>
      <c r="L1" s="529"/>
      <c r="M1" s="529"/>
    </row>
    <row r="2" spans="1:13" ht="20.25" customHeight="1" x14ac:dyDescent="0.15">
      <c r="A2" s="333"/>
      <c r="B2" s="311" t="s">
        <v>346</v>
      </c>
      <c r="C2" s="311" t="s">
        <v>347</v>
      </c>
      <c r="D2" s="333"/>
      <c r="E2" s="334">
        <v>10</v>
      </c>
      <c r="F2" s="333"/>
      <c r="G2" s="333"/>
      <c r="H2" s="333"/>
      <c r="I2" s="333"/>
      <c r="J2" s="333"/>
      <c r="K2" s="334"/>
      <c r="L2" s="333"/>
      <c r="M2" s="333"/>
    </row>
    <row r="3" spans="1:13" ht="20.25" customHeight="1" x14ac:dyDescent="0.15">
      <c r="A3" s="335">
        <v>44936</v>
      </c>
      <c r="B3" s="336">
        <v>44963.708333333336</v>
      </c>
      <c r="C3" s="337">
        <v>44963.75</v>
      </c>
      <c r="D3" s="338">
        <f t="shared" ref="D3:D23" si="0">C3-B3</f>
        <v>4.1666666664241347E-2</v>
      </c>
      <c r="E3" s="324">
        <f t="shared" ref="E3:E35" si="1">E$2*D3*24</f>
        <v>9.9999999994179234</v>
      </c>
      <c r="F3" s="324">
        <f t="shared" ref="F3:F23" si="2">IF(MONTH($A3)=MONTH($A2),F2+E3,E3)</f>
        <v>9.9999999994179234</v>
      </c>
      <c r="G3" s="324"/>
      <c r="H3" s="324"/>
      <c r="I3" s="324"/>
      <c r="J3" s="339">
        <v>10000000</v>
      </c>
      <c r="K3" s="339">
        <v>1000000</v>
      </c>
      <c r="L3" s="339"/>
      <c r="M3" s="324"/>
    </row>
    <row r="4" spans="1:13" ht="20" customHeight="1" x14ac:dyDescent="0.15">
      <c r="A4" s="326">
        <v>44938</v>
      </c>
      <c r="B4" s="340">
        <v>44963.625</v>
      </c>
      <c r="C4" s="341">
        <v>44963.708333333336</v>
      </c>
      <c r="D4" s="342">
        <f t="shared" si="0"/>
        <v>8.3333333335758653E-2</v>
      </c>
      <c r="E4" s="329">
        <f t="shared" si="1"/>
        <v>20.000000000582077</v>
      </c>
      <c r="F4" s="329">
        <f t="shared" si="2"/>
        <v>30</v>
      </c>
      <c r="G4" s="320"/>
      <c r="H4" s="320"/>
      <c r="I4" s="320"/>
      <c r="J4" s="343">
        <f>(K4*J3)/K3</f>
        <v>1500000000</v>
      </c>
      <c r="K4" s="318">
        <v>150000000</v>
      </c>
      <c r="L4" s="318"/>
      <c r="M4" s="320"/>
    </row>
    <row r="5" spans="1:13" ht="20" customHeight="1" x14ac:dyDescent="0.15">
      <c r="A5" s="326">
        <v>44943</v>
      </c>
      <c r="B5" s="340">
        <v>44963.583333333336</v>
      </c>
      <c r="C5" s="341">
        <v>44963.763888888891</v>
      </c>
      <c r="D5" s="344">
        <f t="shared" si="0"/>
        <v>0.18055555555474712</v>
      </c>
      <c r="E5" s="329">
        <f t="shared" si="1"/>
        <v>43.333333333139308</v>
      </c>
      <c r="F5" s="329">
        <f t="shared" si="2"/>
        <v>73.333333333139308</v>
      </c>
      <c r="G5" s="320"/>
      <c r="H5" s="320"/>
      <c r="I5" s="320"/>
      <c r="J5" s="318"/>
      <c r="K5" s="318"/>
      <c r="L5" s="318"/>
      <c r="M5" s="320"/>
    </row>
    <row r="6" spans="1:13" ht="20" customHeight="1" x14ac:dyDescent="0.15">
      <c r="A6" s="326">
        <v>44945</v>
      </c>
      <c r="B6" s="340">
        <v>44963.666666666664</v>
      </c>
      <c r="C6" s="341">
        <v>44963.760416666664</v>
      </c>
      <c r="D6" s="344">
        <f t="shared" si="0"/>
        <v>9.375E-2</v>
      </c>
      <c r="E6" s="329">
        <f t="shared" si="1"/>
        <v>22.5</v>
      </c>
      <c r="F6" s="329">
        <f t="shared" si="2"/>
        <v>95.833333333139308</v>
      </c>
      <c r="G6" s="320"/>
      <c r="H6" s="320"/>
      <c r="I6" s="320"/>
      <c r="J6" s="318"/>
      <c r="K6" s="318"/>
      <c r="L6" s="318"/>
      <c r="M6" s="320"/>
    </row>
    <row r="7" spans="1:13" ht="20" customHeight="1" x14ac:dyDescent="0.15">
      <c r="A7" s="326">
        <v>44947</v>
      </c>
      <c r="B7" s="340">
        <v>44963.666666666664</v>
      </c>
      <c r="C7" s="341">
        <v>44963.774305555555</v>
      </c>
      <c r="D7" s="344">
        <f t="shared" si="0"/>
        <v>0.10763888889050577</v>
      </c>
      <c r="E7" s="329">
        <f t="shared" si="1"/>
        <v>25.833333333721384</v>
      </c>
      <c r="F7" s="329">
        <f t="shared" si="2"/>
        <v>121.66666666686069</v>
      </c>
      <c r="G7" s="320"/>
      <c r="H7" s="320"/>
      <c r="I7" s="320"/>
      <c r="J7" s="318"/>
      <c r="K7" s="318"/>
      <c r="L7" s="318"/>
      <c r="M7" s="320"/>
    </row>
    <row r="8" spans="1:13" ht="20" customHeight="1" x14ac:dyDescent="0.15">
      <c r="A8" s="326">
        <v>44951</v>
      </c>
      <c r="B8" s="340">
        <v>44963.666666666664</v>
      </c>
      <c r="C8" s="341">
        <v>44963.760416666664</v>
      </c>
      <c r="D8" s="344">
        <f t="shared" si="0"/>
        <v>9.375E-2</v>
      </c>
      <c r="E8" s="329">
        <f t="shared" si="1"/>
        <v>22.5</v>
      </c>
      <c r="F8" s="329">
        <f t="shared" si="2"/>
        <v>144.16666666686069</v>
      </c>
      <c r="G8" s="320"/>
      <c r="H8" s="320"/>
      <c r="I8" s="320"/>
      <c r="J8" s="318"/>
      <c r="K8" s="318"/>
      <c r="L8" s="318"/>
      <c r="M8" s="320"/>
    </row>
    <row r="9" spans="1:13" ht="20" customHeight="1" x14ac:dyDescent="0.15">
      <c r="A9" s="326">
        <v>44953</v>
      </c>
      <c r="B9" s="340">
        <v>44963.666666666664</v>
      </c>
      <c r="C9" s="341">
        <v>44963.746527777781</v>
      </c>
      <c r="D9" s="344">
        <f t="shared" si="0"/>
        <v>7.9861111116770189E-2</v>
      </c>
      <c r="E9" s="329">
        <f t="shared" si="1"/>
        <v>19.166666668024845</v>
      </c>
      <c r="F9" s="329">
        <f t="shared" si="2"/>
        <v>163.33333333488554</v>
      </c>
      <c r="G9" s="320"/>
      <c r="H9" s="320"/>
      <c r="I9" s="320"/>
      <c r="J9" s="318"/>
      <c r="K9" s="318"/>
      <c r="L9" s="318"/>
      <c r="M9" s="320"/>
    </row>
    <row r="10" spans="1:13" ht="20" customHeight="1" x14ac:dyDescent="0.15">
      <c r="A10" s="326">
        <v>44957</v>
      </c>
      <c r="B10" s="340">
        <v>44963.666666666664</v>
      </c>
      <c r="C10" s="341">
        <v>44963.802083333336</v>
      </c>
      <c r="D10" s="344">
        <f t="shared" si="0"/>
        <v>0.13541666667151731</v>
      </c>
      <c r="E10" s="329">
        <f t="shared" si="1"/>
        <v>32.500000001164153</v>
      </c>
      <c r="F10" s="345">
        <f t="shared" si="2"/>
        <v>195.83333333604969</v>
      </c>
      <c r="G10" s="320"/>
      <c r="H10" s="320"/>
      <c r="I10" s="320"/>
      <c r="J10" s="318"/>
      <c r="K10" s="318"/>
      <c r="L10" s="318"/>
      <c r="M10" s="320"/>
    </row>
    <row r="11" spans="1:13" ht="20" customHeight="1" x14ac:dyDescent="0.15">
      <c r="A11" s="326">
        <v>44961</v>
      </c>
      <c r="B11" s="340">
        <v>44963.708333333336</v>
      </c>
      <c r="C11" s="341">
        <v>44963.75</v>
      </c>
      <c r="D11" s="342">
        <f t="shared" si="0"/>
        <v>4.1666666664241347E-2</v>
      </c>
      <c r="E11" s="329">
        <f t="shared" si="1"/>
        <v>9.9999999994179234</v>
      </c>
      <c r="F11" s="329">
        <f t="shared" si="2"/>
        <v>9.9999999994179234</v>
      </c>
      <c r="G11" s="320"/>
      <c r="H11" s="346">
        <f>POWER(2,1000)</f>
        <v>1.0715086071862673E+301</v>
      </c>
      <c r="I11" s="316" t="s">
        <v>335</v>
      </c>
      <c r="J11" s="316" t="s">
        <v>348</v>
      </c>
      <c r="K11" s="346">
        <f>POWER(10,82)</f>
        <v>9.9999999999999996E+81</v>
      </c>
      <c r="L11" s="318"/>
      <c r="M11" s="320"/>
    </row>
    <row r="12" spans="1:13" ht="20" customHeight="1" x14ac:dyDescent="0.15">
      <c r="A12" s="326">
        <v>44963</v>
      </c>
      <c r="B12" s="340">
        <v>44963.722222222219</v>
      </c>
      <c r="C12" s="341">
        <v>44963.770833333336</v>
      </c>
      <c r="D12" s="344">
        <f t="shared" si="0"/>
        <v>4.8611111116770189E-2</v>
      </c>
      <c r="E12" s="329">
        <f t="shared" si="1"/>
        <v>11.666666668024845</v>
      </c>
      <c r="F12" s="329">
        <f t="shared" si="2"/>
        <v>21.666666667442769</v>
      </c>
      <c r="G12" s="320"/>
      <c r="H12" s="346">
        <f>POWER(500,100)</f>
        <v>7.8886090522101185E+269</v>
      </c>
      <c r="I12" s="316" t="s">
        <v>349</v>
      </c>
      <c r="J12" s="316" t="s">
        <v>350</v>
      </c>
      <c r="K12" s="346">
        <f>POWER(10,164)</f>
        <v>1E+164</v>
      </c>
      <c r="L12" s="318"/>
      <c r="M12" s="320"/>
    </row>
    <row r="13" spans="1:13" ht="20" customHeight="1" x14ac:dyDescent="0.15">
      <c r="A13" s="326">
        <v>44964</v>
      </c>
      <c r="B13" s="340">
        <v>44965.6875</v>
      </c>
      <c r="C13" s="341">
        <v>44965.805555555555</v>
      </c>
      <c r="D13" s="344">
        <f t="shared" si="0"/>
        <v>0.11805555555474712</v>
      </c>
      <c r="E13" s="329">
        <f t="shared" si="1"/>
        <v>28.333333333139308</v>
      </c>
      <c r="F13" s="329">
        <f t="shared" si="2"/>
        <v>50.000000000582077</v>
      </c>
      <c r="G13" s="320"/>
      <c r="H13" s="320"/>
      <c r="I13" s="320"/>
      <c r="J13" s="316" t="s">
        <v>351</v>
      </c>
      <c r="K13" s="346">
        <f>POWER(10,82*3)</f>
        <v>1.0000000000000001E+246</v>
      </c>
      <c r="L13" s="318"/>
      <c r="M13" s="320"/>
    </row>
    <row r="14" spans="1:13" ht="20" customHeight="1" x14ac:dyDescent="0.15">
      <c r="A14" s="326">
        <v>44970</v>
      </c>
      <c r="B14" s="340">
        <v>44970.708333333336</v>
      </c>
      <c r="C14" s="341">
        <v>44970.770833333336</v>
      </c>
      <c r="D14" s="344">
        <f t="shared" si="0"/>
        <v>6.25E-2</v>
      </c>
      <c r="E14" s="329">
        <f t="shared" si="1"/>
        <v>15</v>
      </c>
      <c r="F14" s="329">
        <f t="shared" si="2"/>
        <v>65.000000000582077</v>
      </c>
      <c r="G14" s="320"/>
      <c r="H14" s="320"/>
      <c r="I14" s="320"/>
      <c r="J14" s="318"/>
      <c r="K14" s="318"/>
      <c r="L14" s="318"/>
      <c r="M14" s="320"/>
    </row>
    <row r="15" spans="1:13" ht="20" customHeight="1" x14ac:dyDescent="0.15">
      <c r="A15" s="326">
        <v>44972</v>
      </c>
      <c r="B15" s="340">
        <v>44972.708333333336</v>
      </c>
      <c r="C15" s="341">
        <v>44972.770833333336</v>
      </c>
      <c r="D15" s="344">
        <f t="shared" si="0"/>
        <v>6.25E-2</v>
      </c>
      <c r="E15" s="329">
        <f t="shared" si="1"/>
        <v>15</v>
      </c>
      <c r="F15" s="329">
        <f t="shared" si="2"/>
        <v>80.000000000582077</v>
      </c>
      <c r="G15" s="320"/>
      <c r="H15" s="320"/>
      <c r="I15" s="320"/>
      <c r="J15" s="318"/>
      <c r="K15" s="318"/>
      <c r="L15" s="318"/>
      <c r="M15" s="320"/>
    </row>
    <row r="16" spans="1:13" ht="20" customHeight="1" x14ac:dyDescent="0.15">
      <c r="A16" s="326">
        <v>44979</v>
      </c>
      <c r="B16" s="340">
        <v>44972.708333333336</v>
      </c>
      <c r="C16" s="341">
        <v>44972.770833333336</v>
      </c>
      <c r="D16" s="344">
        <f t="shared" si="0"/>
        <v>6.25E-2</v>
      </c>
      <c r="E16" s="329">
        <f t="shared" si="1"/>
        <v>15</v>
      </c>
      <c r="F16" s="329">
        <f t="shared" si="2"/>
        <v>95.000000000582077</v>
      </c>
      <c r="G16" s="320"/>
      <c r="H16" s="320"/>
      <c r="I16" s="320"/>
      <c r="J16" s="318"/>
      <c r="K16" s="318"/>
      <c r="L16" s="318"/>
      <c r="M16" s="320"/>
    </row>
    <row r="17" spans="1:13" ht="20" customHeight="1" x14ac:dyDescent="0.15">
      <c r="A17" s="326">
        <v>44980</v>
      </c>
      <c r="B17" s="340">
        <v>44972.708333333336</v>
      </c>
      <c r="C17" s="341">
        <v>44972.770833333336</v>
      </c>
      <c r="D17" s="344">
        <f t="shared" si="0"/>
        <v>6.25E-2</v>
      </c>
      <c r="E17" s="329">
        <f t="shared" si="1"/>
        <v>15</v>
      </c>
      <c r="F17" s="329">
        <f t="shared" si="2"/>
        <v>110.00000000058208</v>
      </c>
      <c r="G17" s="320"/>
      <c r="H17" s="320"/>
      <c r="I17" s="316" t="s">
        <v>352</v>
      </c>
      <c r="J17" s="316" t="s">
        <v>353</v>
      </c>
      <c r="K17" s="316" t="s">
        <v>354</v>
      </c>
      <c r="L17" s="316" t="s">
        <v>355</v>
      </c>
      <c r="M17" s="316" t="s">
        <v>356</v>
      </c>
    </row>
    <row r="18" spans="1:13" ht="20" customHeight="1" x14ac:dyDescent="0.15">
      <c r="A18" s="326">
        <v>44981</v>
      </c>
      <c r="B18" s="340">
        <v>44972.708333333336</v>
      </c>
      <c r="C18" s="341">
        <v>44972.770833333336</v>
      </c>
      <c r="D18" s="344">
        <f t="shared" si="0"/>
        <v>6.25E-2</v>
      </c>
      <c r="E18" s="329">
        <f t="shared" si="1"/>
        <v>15</v>
      </c>
      <c r="F18" s="329">
        <f t="shared" si="2"/>
        <v>125.00000000058208</v>
      </c>
      <c r="G18" s="320"/>
      <c r="H18" s="320"/>
      <c r="I18" s="318">
        <f>(K18*L18*M18)/J18</f>
        <v>0.99901880621422723</v>
      </c>
      <c r="J18" s="318">
        <v>24.46</v>
      </c>
      <c r="K18" s="319">
        <v>1</v>
      </c>
      <c r="L18" s="318">
        <v>8.2000000000000003E-2</v>
      </c>
      <c r="M18" s="318">
        <v>298</v>
      </c>
    </row>
    <row r="19" spans="1:13" ht="20" customHeight="1" x14ac:dyDescent="0.15">
      <c r="A19" s="326">
        <v>44985</v>
      </c>
      <c r="B19" s="340">
        <v>44972.708333333336</v>
      </c>
      <c r="C19" s="341">
        <v>44972.770833333336</v>
      </c>
      <c r="D19" s="344">
        <f t="shared" si="0"/>
        <v>6.25E-2</v>
      </c>
      <c r="E19" s="329">
        <f t="shared" si="1"/>
        <v>15</v>
      </c>
      <c r="F19" s="345">
        <f t="shared" si="2"/>
        <v>140.00000000058208</v>
      </c>
      <c r="G19" s="320"/>
      <c r="H19" s="320"/>
      <c r="I19" s="320"/>
      <c r="J19" s="328"/>
      <c r="K19" s="328"/>
      <c r="L19" s="320"/>
      <c r="M19" s="320"/>
    </row>
    <row r="20" spans="1:13" ht="20" customHeight="1" x14ac:dyDescent="0.15">
      <c r="A20" s="326">
        <v>44986</v>
      </c>
      <c r="B20" s="340">
        <v>44987.666666666664</v>
      </c>
      <c r="C20" s="341">
        <v>44987.770833333336</v>
      </c>
      <c r="D20" s="344">
        <f t="shared" si="0"/>
        <v>0.10416666667151731</v>
      </c>
      <c r="E20" s="329">
        <f t="shared" si="1"/>
        <v>25.000000001164153</v>
      </c>
      <c r="F20" s="329">
        <f t="shared" si="2"/>
        <v>25.000000001164153</v>
      </c>
      <c r="G20" s="320"/>
      <c r="H20" s="320"/>
      <c r="I20" s="318"/>
      <c r="J20" s="318"/>
      <c r="K20" s="328"/>
      <c r="L20" s="320"/>
      <c r="M20" s="320"/>
    </row>
    <row r="21" spans="1:13" ht="20" customHeight="1" x14ac:dyDescent="0.15">
      <c r="A21" s="326">
        <v>44987</v>
      </c>
      <c r="B21" s="340">
        <v>44992.708333333336</v>
      </c>
      <c r="C21" s="341">
        <v>44992.770833333336</v>
      </c>
      <c r="D21" s="344">
        <f t="shared" si="0"/>
        <v>6.25E-2</v>
      </c>
      <c r="E21" s="329">
        <f t="shared" si="1"/>
        <v>15</v>
      </c>
      <c r="F21" s="329">
        <f t="shared" si="2"/>
        <v>40.000000001164153</v>
      </c>
      <c r="G21" s="320"/>
      <c r="H21" s="320"/>
      <c r="I21" s="318"/>
      <c r="J21" s="318"/>
      <c r="K21" s="328"/>
      <c r="L21" s="320"/>
      <c r="M21" s="320"/>
    </row>
    <row r="22" spans="1:13" ht="20" customHeight="1" x14ac:dyDescent="0.15">
      <c r="A22" s="326">
        <v>44988</v>
      </c>
      <c r="B22" s="340">
        <v>44992.708333333336</v>
      </c>
      <c r="C22" s="341">
        <v>44992.770833333336</v>
      </c>
      <c r="D22" s="344">
        <f t="shared" si="0"/>
        <v>6.25E-2</v>
      </c>
      <c r="E22" s="329">
        <f t="shared" si="1"/>
        <v>15</v>
      </c>
      <c r="F22" s="329">
        <f t="shared" si="2"/>
        <v>55.000000001164153</v>
      </c>
      <c r="G22" s="320"/>
      <c r="H22" s="320"/>
      <c r="I22" s="320"/>
      <c r="J22" s="328"/>
      <c r="K22" s="328"/>
      <c r="L22" s="320"/>
      <c r="M22" s="320"/>
    </row>
    <row r="23" spans="1:13" ht="20" customHeight="1" x14ac:dyDescent="0.15">
      <c r="A23" s="326">
        <v>44991</v>
      </c>
      <c r="B23" s="340">
        <v>44992.708333333336</v>
      </c>
      <c r="C23" s="341">
        <v>44992.770833333336</v>
      </c>
      <c r="D23" s="344">
        <f t="shared" si="0"/>
        <v>6.25E-2</v>
      </c>
      <c r="E23" s="329">
        <f t="shared" si="1"/>
        <v>15</v>
      </c>
      <c r="F23" s="329">
        <f t="shared" si="2"/>
        <v>70.000000001164153</v>
      </c>
      <c r="G23" s="320"/>
      <c r="H23" s="347"/>
      <c r="I23" s="347"/>
      <c r="J23" s="347"/>
      <c r="K23" s="328"/>
      <c r="L23" s="320"/>
      <c r="M23" s="320"/>
    </row>
    <row r="24" spans="1:13" ht="20" customHeight="1" x14ac:dyDescent="0.15">
      <c r="A24" s="326">
        <v>44992</v>
      </c>
      <c r="B24" s="340">
        <v>44992.666666666664</v>
      </c>
      <c r="C24" s="341">
        <v>44992.770833333336</v>
      </c>
      <c r="D24" s="344">
        <f>C23-B23</f>
        <v>6.25E-2</v>
      </c>
      <c r="E24" s="329">
        <f t="shared" si="1"/>
        <v>15</v>
      </c>
      <c r="F24" s="329">
        <f>IF(MONTH($A23)=MONTH($A23),F23+E24,E24)</f>
        <v>85.000000001164153</v>
      </c>
      <c r="G24" s="320"/>
      <c r="H24" s="316" t="s">
        <v>357</v>
      </c>
      <c r="I24" s="318">
        <f>SIN(RADIANS(90))</f>
        <v>1</v>
      </c>
      <c r="J24" s="318">
        <f>(6000*I25)/I26</f>
        <v>52.361206744552732</v>
      </c>
      <c r="K24" s="328"/>
      <c r="L24" s="320"/>
      <c r="M24" s="320"/>
    </row>
    <row r="25" spans="1:13" ht="20" customHeight="1" x14ac:dyDescent="0.15">
      <c r="A25" s="326">
        <v>44993</v>
      </c>
      <c r="B25" s="340">
        <v>44992.708333333336</v>
      </c>
      <c r="C25" s="341">
        <v>44992.770833333336</v>
      </c>
      <c r="D25" s="344">
        <f>C24-B24</f>
        <v>0.10416666667151731</v>
      </c>
      <c r="E25" s="329">
        <f t="shared" si="1"/>
        <v>25.000000001164153</v>
      </c>
      <c r="F25" s="329">
        <f>IF(MONTH($A24)=MONTH($A23),F24+E25,E25)</f>
        <v>110.00000000232831</v>
      </c>
      <c r="G25" s="320"/>
      <c r="H25" s="316" t="s">
        <v>358</v>
      </c>
      <c r="I25" s="318">
        <f>SIN(RADIANS(0.5))</f>
        <v>8.7265354983739347E-3</v>
      </c>
      <c r="J25" s="318">
        <f>(2000*I25)/SIN(PI()-RADIANS(150)-RADIANS(0.5))</f>
        <v>35.443208674013626</v>
      </c>
      <c r="K25" s="328"/>
      <c r="L25" s="320"/>
      <c r="M25" s="320"/>
    </row>
    <row r="26" spans="1:13" ht="20" customHeight="1" x14ac:dyDescent="0.15">
      <c r="A26" s="326">
        <v>44995</v>
      </c>
      <c r="B26" s="340">
        <v>44992.708333333336</v>
      </c>
      <c r="C26" s="341">
        <v>44992.770833333336</v>
      </c>
      <c r="D26" s="344">
        <f t="shared" ref="D26:D47" si="3">C26-B26</f>
        <v>6.25E-2</v>
      </c>
      <c r="E26" s="329">
        <f t="shared" si="1"/>
        <v>15</v>
      </c>
      <c r="F26" s="329">
        <f>IF(MONTH($A26)=MONTH($A24),F25+E26,E26)</f>
        <v>125.00000000232831</v>
      </c>
      <c r="G26" s="320"/>
      <c r="H26" s="316" t="s">
        <v>359</v>
      </c>
      <c r="I26" s="318">
        <f>SIN(RADIANS(89.5))</f>
        <v>0.99996192306417131</v>
      </c>
      <c r="J26" s="328"/>
      <c r="K26" s="328"/>
      <c r="L26" s="320"/>
      <c r="M26" s="320"/>
    </row>
    <row r="27" spans="1:13" ht="20" customHeight="1" x14ac:dyDescent="0.15">
      <c r="A27" s="326">
        <v>44998</v>
      </c>
      <c r="B27" s="340">
        <v>44999.666666666664</v>
      </c>
      <c r="C27" s="341">
        <v>44999.770833333336</v>
      </c>
      <c r="D27" s="344">
        <f t="shared" si="3"/>
        <v>0.10416666667151731</v>
      </c>
      <c r="E27" s="329">
        <f t="shared" si="1"/>
        <v>25.000000001164153</v>
      </c>
      <c r="F27" s="329">
        <f t="shared" ref="F27:F47" si="4">IF(MONTH($A27)=MONTH($A26),F26+E27,E27)</f>
        <v>150.00000000349246</v>
      </c>
      <c r="G27" s="320"/>
      <c r="H27" s="320"/>
      <c r="I27" s="320"/>
      <c r="J27" s="328"/>
      <c r="K27" s="328"/>
      <c r="L27" s="320"/>
      <c r="M27" s="320"/>
    </row>
    <row r="28" spans="1:13" ht="20" customHeight="1" x14ac:dyDescent="0.15">
      <c r="A28" s="326">
        <v>44999</v>
      </c>
      <c r="B28" s="340">
        <v>45000.708333333336</v>
      </c>
      <c r="C28" s="341">
        <v>45000.8125</v>
      </c>
      <c r="D28" s="344">
        <f t="shared" si="3"/>
        <v>0.10416666666424135</v>
      </c>
      <c r="E28" s="329">
        <f t="shared" si="1"/>
        <v>24.999999999417923</v>
      </c>
      <c r="F28" s="329">
        <f t="shared" si="4"/>
        <v>175.00000000291038</v>
      </c>
      <c r="G28" s="320"/>
      <c r="H28" s="320"/>
      <c r="I28" s="320"/>
      <c r="J28" s="328"/>
      <c r="K28" s="328"/>
      <c r="L28" s="320"/>
      <c r="M28" s="320"/>
    </row>
    <row r="29" spans="1:13" ht="20" customHeight="1" x14ac:dyDescent="0.15">
      <c r="A29" s="326">
        <v>45000</v>
      </c>
      <c r="B29" s="340">
        <v>45001.666666666664</v>
      </c>
      <c r="C29" s="341">
        <v>45001.770833333336</v>
      </c>
      <c r="D29" s="344">
        <f t="shared" si="3"/>
        <v>0.10416666667151731</v>
      </c>
      <c r="E29" s="329">
        <f t="shared" si="1"/>
        <v>25.000000001164153</v>
      </c>
      <c r="F29" s="329">
        <f t="shared" si="4"/>
        <v>200.00000000407454</v>
      </c>
      <c r="G29" s="320"/>
      <c r="H29" s="320"/>
      <c r="I29" s="318">
        <f>SIN(RADIANS(30))</f>
        <v>0.49999999999999994</v>
      </c>
      <c r="J29" s="328"/>
      <c r="K29" s="328"/>
      <c r="L29" s="320"/>
      <c r="M29" s="320"/>
    </row>
    <row r="30" spans="1:13" ht="20" customHeight="1" x14ac:dyDescent="0.15">
      <c r="A30" s="326">
        <v>45001</v>
      </c>
      <c r="B30" s="340">
        <v>45014.708333333336</v>
      </c>
      <c r="C30" s="341">
        <v>45014.770833333336</v>
      </c>
      <c r="D30" s="344">
        <f t="shared" si="3"/>
        <v>6.25E-2</v>
      </c>
      <c r="E30" s="329">
        <f t="shared" si="1"/>
        <v>15</v>
      </c>
      <c r="F30" s="329">
        <f t="shared" si="4"/>
        <v>215.00000000407454</v>
      </c>
      <c r="G30" s="320"/>
      <c r="H30" s="320"/>
      <c r="I30" s="320"/>
      <c r="J30" s="328"/>
      <c r="K30" s="328"/>
      <c r="L30" s="320"/>
      <c r="M30" s="320"/>
    </row>
    <row r="31" spans="1:13" ht="20" customHeight="1" x14ac:dyDescent="0.15">
      <c r="A31" s="326">
        <v>45002</v>
      </c>
      <c r="B31" s="340">
        <v>45014.708333333336</v>
      </c>
      <c r="C31" s="341">
        <v>45014.770833333336</v>
      </c>
      <c r="D31" s="344">
        <f t="shared" si="3"/>
        <v>6.25E-2</v>
      </c>
      <c r="E31" s="329">
        <f t="shared" si="1"/>
        <v>15</v>
      </c>
      <c r="F31" s="329">
        <f t="shared" si="4"/>
        <v>230.00000000407454</v>
      </c>
      <c r="G31" s="320"/>
      <c r="H31" s="320"/>
      <c r="I31" s="320"/>
      <c r="J31" s="328"/>
      <c r="K31" s="328"/>
      <c r="L31" s="320"/>
      <c r="M31" s="320"/>
    </row>
    <row r="32" spans="1:13" ht="20" customHeight="1" x14ac:dyDescent="0.15">
      <c r="A32" s="326">
        <v>45006</v>
      </c>
      <c r="B32" s="340">
        <v>45014.666666666664</v>
      </c>
      <c r="C32" s="341">
        <v>45014.729166666664</v>
      </c>
      <c r="D32" s="344">
        <f t="shared" si="3"/>
        <v>6.25E-2</v>
      </c>
      <c r="E32" s="329">
        <f t="shared" si="1"/>
        <v>15</v>
      </c>
      <c r="F32" s="329">
        <f t="shared" si="4"/>
        <v>245.00000000407454</v>
      </c>
      <c r="G32" s="320"/>
      <c r="H32" s="320"/>
      <c r="I32" s="320"/>
      <c r="J32" s="328"/>
      <c r="K32" s="328"/>
      <c r="L32" s="320"/>
      <c r="M32" s="320"/>
    </row>
    <row r="33" spans="1:13" ht="20" customHeight="1" x14ac:dyDescent="0.15">
      <c r="A33" s="326">
        <v>45007</v>
      </c>
      <c r="B33" s="340">
        <v>45014.708333333336</v>
      </c>
      <c r="C33" s="341">
        <v>45014.770833333336</v>
      </c>
      <c r="D33" s="344">
        <f t="shared" si="3"/>
        <v>6.25E-2</v>
      </c>
      <c r="E33" s="329">
        <f t="shared" si="1"/>
        <v>15</v>
      </c>
      <c r="F33" s="329">
        <f t="shared" si="4"/>
        <v>260.00000000407454</v>
      </c>
      <c r="G33" s="320"/>
      <c r="H33" s="328">
        <f>J34*L34</f>
        <v>305.25</v>
      </c>
      <c r="I33" s="320"/>
      <c r="J33" s="328"/>
      <c r="K33" s="328"/>
      <c r="L33" s="320"/>
      <c r="M33" s="320"/>
    </row>
    <row r="34" spans="1:13" ht="20" customHeight="1" x14ac:dyDescent="0.15">
      <c r="A34" s="326">
        <v>45008</v>
      </c>
      <c r="B34" s="340">
        <v>45014.666666666664</v>
      </c>
      <c r="C34" s="341">
        <v>45014.770833333336</v>
      </c>
      <c r="D34" s="344">
        <f t="shared" si="3"/>
        <v>0.10416666667151731</v>
      </c>
      <c r="E34" s="329">
        <f t="shared" si="1"/>
        <v>25.000000001164153</v>
      </c>
      <c r="F34" s="329">
        <f t="shared" si="4"/>
        <v>285.00000000523869</v>
      </c>
      <c r="G34" s="320"/>
      <c r="H34" s="318">
        <v>305.25</v>
      </c>
      <c r="I34" s="318">
        <v>68.180000000000007</v>
      </c>
      <c r="J34" s="328">
        <f>H34-I34</f>
        <v>237.07</v>
      </c>
      <c r="K34" s="348">
        <f>I34/H34</f>
        <v>0.22335790335790337</v>
      </c>
      <c r="L34" s="349">
        <f>H34/J34</f>
        <v>1.2875943814063358</v>
      </c>
      <c r="M34" s="320"/>
    </row>
    <row r="35" spans="1:13" ht="20" customHeight="1" x14ac:dyDescent="0.15">
      <c r="A35" s="326">
        <v>45009</v>
      </c>
      <c r="B35" s="340">
        <v>45014.708333333336</v>
      </c>
      <c r="C35" s="341">
        <v>45014.770833333336</v>
      </c>
      <c r="D35" s="344">
        <f t="shared" si="3"/>
        <v>6.25E-2</v>
      </c>
      <c r="E35" s="329">
        <f t="shared" si="1"/>
        <v>15</v>
      </c>
      <c r="F35" s="329">
        <f t="shared" si="4"/>
        <v>300.00000000523869</v>
      </c>
      <c r="G35" s="320"/>
      <c r="H35" s="328">
        <f>J35*L34</f>
        <v>12.54116927489771</v>
      </c>
      <c r="I35" s="350">
        <f>H35*K34</f>
        <v>2.8011692748977097</v>
      </c>
      <c r="J35" s="328">
        <v>9.74</v>
      </c>
      <c r="K35" s="328"/>
      <c r="L35" s="320"/>
      <c r="M35" s="320"/>
    </row>
    <row r="36" spans="1:13" ht="20" customHeight="1" x14ac:dyDescent="0.15">
      <c r="A36" s="326">
        <v>45012</v>
      </c>
      <c r="B36" s="340">
        <v>45014.666666666664</v>
      </c>
      <c r="C36" s="341">
        <v>45016.833333333336</v>
      </c>
      <c r="D36" s="320">
        <f t="shared" si="3"/>
        <v>2.1666666666715173</v>
      </c>
      <c r="E36" s="329">
        <f>E$2*D36</f>
        <v>21.666666666715173</v>
      </c>
      <c r="F36" s="329">
        <f t="shared" si="4"/>
        <v>321.66666667195386</v>
      </c>
      <c r="G36" s="320"/>
      <c r="H36" s="320"/>
      <c r="I36" s="320"/>
      <c r="J36" s="328"/>
      <c r="K36" s="328"/>
      <c r="L36" s="320"/>
      <c r="M36" s="320"/>
    </row>
    <row r="37" spans="1:13" ht="20" customHeight="1" x14ac:dyDescent="0.15">
      <c r="A37" s="326">
        <v>45013</v>
      </c>
      <c r="B37" s="340">
        <v>45014.708333333336</v>
      </c>
      <c r="C37" s="341">
        <v>45014.770833333336</v>
      </c>
      <c r="D37" s="344">
        <f t="shared" si="3"/>
        <v>6.25E-2</v>
      </c>
      <c r="E37" s="329">
        <f>E$2*D37*24</f>
        <v>15</v>
      </c>
      <c r="F37" s="329">
        <f t="shared" si="4"/>
        <v>336.66666667195386</v>
      </c>
      <c r="G37" s="320"/>
      <c r="H37" s="320"/>
      <c r="I37" s="320"/>
      <c r="J37" s="343">
        <f>POWER(10,12)</f>
        <v>1000000000000</v>
      </c>
      <c r="K37" s="328"/>
      <c r="L37" s="320"/>
      <c r="M37" s="320"/>
    </row>
    <row r="38" spans="1:13" ht="20" customHeight="1" x14ac:dyDescent="0.15">
      <c r="A38" s="326">
        <v>45014</v>
      </c>
      <c r="B38" s="340">
        <v>45016.666666666664</v>
      </c>
      <c r="C38" s="341">
        <v>45014.770833333336</v>
      </c>
      <c r="D38" s="320">
        <f t="shared" si="3"/>
        <v>-1.8958333333284827</v>
      </c>
      <c r="E38" s="329">
        <f t="shared" ref="E38:E47" si="5">E$2*D38</f>
        <v>-18.958333333284827</v>
      </c>
      <c r="F38" s="329">
        <f t="shared" si="4"/>
        <v>317.70833333866904</v>
      </c>
      <c r="G38" s="320"/>
      <c r="H38" s="320"/>
      <c r="I38" s="320"/>
      <c r="J38" s="328"/>
      <c r="K38" s="328"/>
      <c r="L38" s="320"/>
      <c r="M38" s="320"/>
    </row>
    <row r="39" spans="1:13" ht="20" customHeight="1" x14ac:dyDescent="0.15">
      <c r="A39" s="326">
        <v>45015</v>
      </c>
      <c r="B39" s="340">
        <v>45016.708333333336</v>
      </c>
      <c r="C39" s="341">
        <v>45014.770833333336</v>
      </c>
      <c r="D39" s="320">
        <f t="shared" si="3"/>
        <v>-1.9375</v>
      </c>
      <c r="E39" s="329">
        <f t="shared" si="5"/>
        <v>-19.375</v>
      </c>
      <c r="F39" s="329">
        <f t="shared" si="4"/>
        <v>298.33333333866904</v>
      </c>
      <c r="G39" s="320"/>
      <c r="H39" s="320"/>
      <c r="I39" s="320"/>
      <c r="J39" s="328"/>
      <c r="K39" s="328"/>
      <c r="L39" s="320"/>
      <c r="M39" s="320"/>
    </row>
    <row r="40" spans="1:13" ht="20" customHeight="1" x14ac:dyDescent="0.15">
      <c r="A40" s="351"/>
      <c r="B40" s="352"/>
      <c r="C40" s="320"/>
      <c r="D40" s="329">
        <f t="shared" si="3"/>
        <v>0</v>
      </c>
      <c r="E40" s="329">
        <f t="shared" si="5"/>
        <v>0</v>
      </c>
      <c r="F40" s="329">
        <f t="shared" si="4"/>
        <v>0</v>
      </c>
      <c r="G40" s="320"/>
      <c r="H40" s="320"/>
      <c r="I40" s="320"/>
      <c r="J40" s="328"/>
      <c r="K40" s="328"/>
      <c r="L40" s="320"/>
      <c r="M40" s="320"/>
    </row>
    <row r="41" spans="1:13" ht="20" customHeight="1" x14ac:dyDescent="0.15">
      <c r="A41" s="351"/>
      <c r="B41" s="352"/>
      <c r="C41" s="320"/>
      <c r="D41" s="329">
        <f t="shared" si="3"/>
        <v>0</v>
      </c>
      <c r="E41" s="329">
        <f t="shared" si="5"/>
        <v>0</v>
      </c>
      <c r="F41" s="329">
        <f t="shared" si="4"/>
        <v>0</v>
      </c>
      <c r="G41" s="320"/>
      <c r="H41" s="320"/>
      <c r="I41" s="320"/>
      <c r="J41" s="328"/>
      <c r="K41" s="328"/>
      <c r="L41" s="320"/>
      <c r="M41" s="320"/>
    </row>
    <row r="42" spans="1:13" ht="20" customHeight="1" x14ac:dyDescent="0.15">
      <c r="A42" s="351"/>
      <c r="B42" s="352"/>
      <c r="C42" s="320"/>
      <c r="D42" s="329">
        <f t="shared" si="3"/>
        <v>0</v>
      </c>
      <c r="E42" s="329">
        <f t="shared" si="5"/>
        <v>0</v>
      </c>
      <c r="F42" s="329">
        <f t="shared" si="4"/>
        <v>0</v>
      </c>
      <c r="G42" s="320"/>
      <c r="H42" s="320"/>
      <c r="I42" s="320"/>
      <c r="J42" s="328"/>
      <c r="K42" s="328"/>
      <c r="L42" s="320"/>
      <c r="M42" s="320"/>
    </row>
    <row r="43" spans="1:13" ht="20" customHeight="1" x14ac:dyDescent="0.15">
      <c r="A43" s="351"/>
      <c r="B43" s="352"/>
      <c r="C43" s="320"/>
      <c r="D43" s="329">
        <f t="shared" si="3"/>
        <v>0</v>
      </c>
      <c r="E43" s="329">
        <f t="shared" si="5"/>
        <v>0</v>
      </c>
      <c r="F43" s="329">
        <f t="shared" si="4"/>
        <v>0</v>
      </c>
      <c r="G43" s="320"/>
      <c r="H43" s="320"/>
      <c r="I43" s="320"/>
      <c r="J43" s="328"/>
      <c r="K43" s="328"/>
      <c r="L43" s="320"/>
      <c r="M43" s="320"/>
    </row>
    <row r="44" spans="1:13" ht="20" customHeight="1" x14ac:dyDescent="0.15">
      <c r="A44" s="351"/>
      <c r="B44" s="352"/>
      <c r="C44" s="320"/>
      <c r="D44" s="329">
        <f t="shared" si="3"/>
        <v>0</v>
      </c>
      <c r="E44" s="329">
        <f t="shared" si="5"/>
        <v>0</v>
      </c>
      <c r="F44" s="329">
        <f t="shared" si="4"/>
        <v>0</v>
      </c>
      <c r="G44" s="320"/>
      <c r="H44" s="320"/>
      <c r="I44" s="320"/>
      <c r="J44" s="328"/>
      <c r="K44" s="328"/>
      <c r="L44" s="320"/>
      <c r="M44" s="320"/>
    </row>
    <row r="45" spans="1:13" ht="20" customHeight="1" x14ac:dyDescent="0.15">
      <c r="A45" s="351"/>
      <c r="B45" s="352"/>
      <c r="C45" s="320"/>
      <c r="D45" s="329">
        <f t="shared" si="3"/>
        <v>0</v>
      </c>
      <c r="E45" s="329">
        <f t="shared" si="5"/>
        <v>0</v>
      </c>
      <c r="F45" s="329">
        <f t="shared" si="4"/>
        <v>0</v>
      </c>
      <c r="G45" s="320"/>
      <c r="H45" s="320"/>
      <c r="I45" s="320"/>
      <c r="J45" s="328"/>
      <c r="K45" s="328"/>
      <c r="L45" s="320"/>
      <c r="M45" s="320"/>
    </row>
    <row r="46" spans="1:13" ht="20" customHeight="1" x14ac:dyDescent="0.15">
      <c r="A46" s="351"/>
      <c r="B46" s="352"/>
      <c r="C46" s="320"/>
      <c r="D46" s="329">
        <f t="shared" si="3"/>
        <v>0</v>
      </c>
      <c r="E46" s="329">
        <f t="shared" si="5"/>
        <v>0</v>
      </c>
      <c r="F46" s="329">
        <f t="shared" si="4"/>
        <v>0</v>
      </c>
      <c r="G46" s="320"/>
      <c r="H46" s="320"/>
      <c r="I46" s="320"/>
      <c r="J46" s="328"/>
      <c r="K46" s="328"/>
      <c r="L46" s="320"/>
      <c r="M46" s="320"/>
    </row>
    <row r="47" spans="1:13" ht="20.25" customHeight="1" x14ac:dyDescent="0.15">
      <c r="A47" s="353"/>
      <c r="B47" s="354"/>
      <c r="C47" s="355"/>
      <c r="D47" s="356">
        <f t="shared" si="3"/>
        <v>0</v>
      </c>
      <c r="E47" s="356">
        <f t="shared" si="5"/>
        <v>0</v>
      </c>
      <c r="F47" s="356">
        <f t="shared" si="4"/>
        <v>0</v>
      </c>
      <c r="G47" s="355"/>
      <c r="H47" s="355"/>
      <c r="I47" s="355"/>
      <c r="J47" s="357"/>
      <c r="K47" s="357"/>
      <c r="L47" s="355"/>
      <c r="M47" s="355"/>
    </row>
    <row r="48" spans="1:13" ht="20.25" customHeight="1" x14ac:dyDescent="0.15">
      <c r="A48" s="358"/>
      <c r="B48" s="358">
        <f>SUM(B3:B47)</f>
        <v>1664533.4513888892</v>
      </c>
      <c r="C48" s="359"/>
      <c r="D48" s="359">
        <f>D16*24-SUM(B3:C7)</f>
        <v>-449635.50694444455</v>
      </c>
      <c r="E48" s="359">
        <f>SUM(E11:E47)</f>
        <v>438.33333333925111</v>
      </c>
      <c r="F48" s="358"/>
      <c r="G48" s="358"/>
      <c r="H48" s="358"/>
      <c r="I48" s="358"/>
      <c r="J48" s="360"/>
      <c r="K48" s="360"/>
      <c r="L48" s="358"/>
      <c r="M48" s="358"/>
    </row>
  </sheetData>
  <mergeCells count="1">
    <mergeCell ref="A1:M1"/>
  </mergeCells>
  <pageMargins left="1" right="1" top="1" bottom="1" header="0.25" footer="0.25"/>
  <pageSetup orientation="portrait"/>
  <headerFoot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Y26"/>
  <sheetViews>
    <sheetView showGridLines="0" workbookViewId="0">
      <pane xSplit="1" ySplit="2" topLeftCell="B3" activePane="bottomRight" state="frozen"/>
      <selection pane="topRight"/>
      <selection pane="bottomLeft"/>
      <selection pane="bottomRight" activeCell="B3" sqref="B3"/>
    </sheetView>
  </sheetViews>
  <sheetFormatPr baseColWidth="10" defaultColWidth="16.33203125" defaultRowHeight="20" customHeight="1" x14ac:dyDescent="0.15"/>
  <cols>
    <col min="1" max="1" width="5" style="310" customWidth="1"/>
    <col min="2" max="25" width="3.5" style="310" customWidth="1"/>
    <col min="26" max="26" width="16.33203125" style="310" customWidth="1"/>
    <col min="27" max="16384" width="16.33203125" style="310"/>
  </cols>
  <sheetData>
    <row r="1" spans="1:25" ht="27.75" customHeight="1" x14ac:dyDescent="0.15">
      <c r="A1" s="529" t="s">
        <v>339</v>
      </c>
      <c r="B1" s="529"/>
      <c r="C1" s="529"/>
      <c r="D1" s="529"/>
      <c r="E1" s="529"/>
      <c r="F1" s="529"/>
      <c r="G1" s="529"/>
      <c r="H1" s="529"/>
      <c r="I1" s="529"/>
      <c r="J1" s="529"/>
      <c r="K1" s="529"/>
      <c r="L1" s="529"/>
      <c r="M1" s="529"/>
      <c r="N1" s="529"/>
      <c r="O1" s="529"/>
      <c r="P1" s="529"/>
      <c r="Q1" s="529"/>
      <c r="R1" s="529"/>
      <c r="S1" s="529"/>
      <c r="T1" s="529"/>
      <c r="U1" s="529"/>
      <c r="V1" s="529"/>
      <c r="W1" s="529"/>
      <c r="X1" s="529"/>
      <c r="Y1" s="529"/>
    </row>
    <row r="2" spans="1:25" ht="21.75" customHeight="1" x14ac:dyDescent="0.15">
      <c r="A2" s="361"/>
      <c r="B2" s="362" t="s">
        <v>360</v>
      </c>
      <c r="C2" s="363" t="s">
        <v>361</v>
      </c>
      <c r="D2" s="364" t="s">
        <v>362</v>
      </c>
      <c r="E2" s="362" t="s">
        <v>360</v>
      </c>
      <c r="F2" s="363" t="s">
        <v>361</v>
      </c>
      <c r="G2" s="364" t="s">
        <v>363</v>
      </c>
      <c r="H2" s="362" t="s">
        <v>360</v>
      </c>
      <c r="I2" s="363" t="s">
        <v>364</v>
      </c>
      <c r="J2" s="364" t="s">
        <v>362</v>
      </c>
      <c r="K2" s="362" t="s">
        <v>365</v>
      </c>
      <c r="L2" s="363" t="s">
        <v>361</v>
      </c>
      <c r="M2" s="364" t="s">
        <v>362</v>
      </c>
      <c r="N2" s="362" t="s">
        <v>360</v>
      </c>
      <c r="O2" s="363" t="s">
        <v>364</v>
      </c>
      <c r="P2" s="364" t="s">
        <v>363</v>
      </c>
      <c r="Q2" s="362" t="s">
        <v>365</v>
      </c>
      <c r="R2" s="363" t="s">
        <v>361</v>
      </c>
      <c r="S2" s="364" t="s">
        <v>363</v>
      </c>
      <c r="T2" s="362" t="s">
        <v>365</v>
      </c>
      <c r="U2" s="363" t="s">
        <v>364</v>
      </c>
      <c r="V2" s="364" t="s">
        <v>362</v>
      </c>
      <c r="W2" s="362" t="s">
        <v>365</v>
      </c>
      <c r="X2" s="363" t="s">
        <v>364</v>
      </c>
      <c r="Y2" s="364" t="s">
        <v>363</v>
      </c>
    </row>
    <row r="3" spans="1:25" ht="20.75" customHeight="1" x14ac:dyDescent="0.15">
      <c r="A3" s="365" t="s">
        <v>360</v>
      </c>
      <c r="B3" s="539" t="str">
        <f>IF(AND(B$2="A",$A3="A"),"AA",IF(OR(B$2="A",$A3="A"),"Aa","aa"))&amp;IF(AND(C$2="B",$A4="B"),"BB",IF(OR(C$2="B",$A4="B"),"Bb","bb"))&amp;IF(AND(D$2="C",$A5="C"),"CC",IF(OR(D$2="C",$A5="C"),"Cc","cc"))</f>
        <v>AABBCC</v>
      </c>
      <c r="C3" s="531"/>
      <c r="D3" s="532"/>
      <c r="E3" s="539" t="str">
        <f>IF(AND(E$2="A",$A3="A"),"AA",IF(OR(E$2="A",$A3="A"),"Aa","aa"))&amp;IF(AND(F$2="B",$A4="B"),"BB",IF(OR(F$2="B",$A4="B"),"Bb","bb"))&amp;IF(AND(G$2="C",$A5="C"),"CC",IF(OR(G$2="C",$A5="C"),"Cc","cc"))</f>
        <v>AABBCc</v>
      </c>
      <c r="F3" s="531"/>
      <c r="G3" s="532"/>
      <c r="H3" s="539" t="str">
        <f>IF(AND(H$2="A",$A3="A"),"AA",IF(OR(H$2="A",$A3="A"),"Aa","aa"))&amp;IF(AND(I$2="B",$A4="B"),"BB",IF(OR(I$2="B",$A4="B"),"Bb","bb"))&amp;IF(AND(J$2="C",$A5="C"),"CC",IF(OR(J$2="C",$A5="C"),"Cc","cc"))</f>
        <v>AABbCC</v>
      </c>
      <c r="I3" s="531"/>
      <c r="J3" s="532"/>
      <c r="K3" s="539" t="str">
        <f>IF(AND(K$2="A",$A3="A"),"AA",IF(OR(K$2="A",$A3="A"),"Aa","aa"))&amp;IF(AND(L$2="B",$A4="B"),"BB",IF(OR(L$2="B",$A4="B"),"Bb","bb"))&amp;IF(AND(M$2="C",$A5="C"),"CC",IF(OR(M$2="C",$A5="C"),"Cc","cc"))</f>
        <v>AaBBCC</v>
      </c>
      <c r="L3" s="531"/>
      <c r="M3" s="532"/>
      <c r="N3" s="539" t="str">
        <f>IF(AND(N$2="A",$A3="A"),"AA",IF(OR(N$2="A",$A3="A"),"Aa","aa"))&amp;IF(AND(O$2="B",$A4="B"),"BB",IF(OR(O$2="B",$A4="B"),"Bb","bb"))&amp;IF(AND(P$2="C",$A5="C"),"CC",IF(OR(P$2="C",$A5="C"),"Cc","cc"))</f>
        <v>AABbCc</v>
      </c>
      <c r="O3" s="531"/>
      <c r="P3" s="532"/>
      <c r="Q3" s="539" t="str">
        <f>IF(AND(Q$2="A",$A3="A"),"AA",IF(OR(Q$2="A",$A3="A"),"Aa","aa"))&amp;IF(AND(R$2="B",$A4="B"),"BB",IF(OR(R$2="B",$A4="B"),"Bb","bb"))&amp;IF(AND(S$2="C",$A5="C"),"CC",IF(OR(S$2="C",$A5="C"),"Cc","cc"))</f>
        <v>AaBBCc</v>
      </c>
      <c r="R3" s="531"/>
      <c r="S3" s="532"/>
      <c r="T3" s="539" t="str">
        <f>IF(AND(T$2="A",$A3="A"),"AA",IF(OR(T$2="A",$A3="A"),"Aa","aa"))&amp;IF(AND(U$2="B",$A4="B"),"BB",IF(OR(U$2="B",$A4="B"),"Bb","bb"))&amp;IF(AND(V$2="C",$A5="C"),"CC",IF(OR(V$2="C",$A5="C"),"Cc","cc"))</f>
        <v>AaBbCC</v>
      </c>
      <c r="U3" s="531"/>
      <c r="V3" s="532"/>
      <c r="W3" s="530" t="str">
        <f>IF(AND(W$2="A",$A3="A"),"AA",IF(OR(W$2="A",$A3="A"),"Aa","aa"))&amp;IF(AND(X$2="B",$A4="B"),"BB",IF(OR(X$2="B",$A4="B"),"Bb","bb"))&amp;IF(AND(Y$2="C",$A5="C"),"CC",IF(OR(Y$2="C",$A5="C"),"Cc","cc"))</f>
        <v>AaBbCc</v>
      </c>
      <c r="X3" s="531"/>
      <c r="Y3" s="532"/>
    </row>
    <row r="4" spans="1:25" ht="20" customHeight="1" x14ac:dyDescent="0.15">
      <c r="A4" s="366" t="s">
        <v>361</v>
      </c>
      <c r="B4" s="533"/>
      <c r="C4" s="534"/>
      <c r="D4" s="535"/>
      <c r="E4" s="533"/>
      <c r="F4" s="534"/>
      <c r="G4" s="535"/>
      <c r="H4" s="533"/>
      <c r="I4" s="534"/>
      <c r="J4" s="535"/>
      <c r="K4" s="533"/>
      <c r="L4" s="534"/>
      <c r="M4" s="535"/>
      <c r="N4" s="533"/>
      <c r="O4" s="534"/>
      <c r="P4" s="535"/>
      <c r="Q4" s="533"/>
      <c r="R4" s="534"/>
      <c r="S4" s="535"/>
      <c r="T4" s="533"/>
      <c r="U4" s="534"/>
      <c r="V4" s="535"/>
      <c r="W4" s="533"/>
      <c r="X4" s="534"/>
      <c r="Y4" s="535"/>
    </row>
    <row r="5" spans="1:25" ht="20.75" customHeight="1" x14ac:dyDescent="0.15">
      <c r="A5" s="367" t="s">
        <v>362</v>
      </c>
      <c r="B5" s="536"/>
      <c r="C5" s="537"/>
      <c r="D5" s="538"/>
      <c r="E5" s="536"/>
      <c r="F5" s="537"/>
      <c r="G5" s="538"/>
      <c r="H5" s="536"/>
      <c r="I5" s="537"/>
      <c r="J5" s="538"/>
      <c r="K5" s="536"/>
      <c r="L5" s="537"/>
      <c r="M5" s="538"/>
      <c r="N5" s="536"/>
      <c r="O5" s="537"/>
      <c r="P5" s="538"/>
      <c r="Q5" s="536"/>
      <c r="R5" s="537"/>
      <c r="S5" s="538"/>
      <c r="T5" s="536"/>
      <c r="U5" s="537"/>
      <c r="V5" s="538"/>
      <c r="W5" s="536"/>
      <c r="X5" s="537"/>
      <c r="Y5" s="538"/>
    </row>
    <row r="6" spans="1:25" ht="20.75" customHeight="1" x14ac:dyDescent="0.15">
      <c r="A6" s="365" t="s">
        <v>360</v>
      </c>
      <c r="B6" s="539" t="str">
        <f>IF(AND(B$2="A",$A6="A"),"AA",IF(OR(B$2="A",$A6="A"),"Aa","aa"))&amp;IF(AND(C$2="B",$A7="B"),"BB",IF(OR(C$2="B",$A7="B"),"Bb","bb"))&amp;IF(AND(D$2="C",$A8="C"),"CC",IF(OR(D$2="C",$A8="C"),"Cc","cc"))</f>
        <v>AABBCc</v>
      </c>
      <c r="C6" s="531"/>
      <c r="D6" s="532"/>
      <c r="E6" s="539" t="str">
        <f>IF(AND(E$2="A",$A6="A"),"AA",IF(OR(E$2="A",$A6="A"),"Aa","aa"))&amp;IF(AND(F$2="B",$A7="B"),"BB",IF(OR(F$2="B",$A7="B"),"Bb","bb"))&amp;IF(AND(G$2="C",$A8="C"),"CC",IF(OR(G$2="C",$A8="C"),"Cc","cc"))</f>
        <v>AABBcc</v>
      </c>
      <c r="F6" s="531"/>
      <c r="G6" s="532"/>
      <c r="H6" s="539" t="str">
        <f>IF(AND(H$2="A",$A6="A"),"AA",IF(OR(H$2="A",$A6="A"),"Aa","aa"))&amp;IF(AND(I$2="B",$A7="B"),"BB",IF(OR(I$2="B",$A7="B"),"Bb","bb"))&amp;IF(AND(J$2="C",$A8="C"),"CC",IF(OR(J$2="C",$A8="C"),"Cc","cc"))</f>
        <v>AABbCc</v>
      </c>
      <c r="I6" s="531"/>
      <c r="J6" s="532"/>
      <c r="K6" s="539" t="str">
        <f>IF(AND(K$2="A",$A6="A"),"AA",IF(OR(K$2="A",$A6="A"),"Aa","aa"))&amp;IF(AND(L$2="B",$A7="B"),"BB",IF(OR(L$2="B",$A7="B"),"Bb","bb"))&amp;IF(AND(M$2="C",$A8="C"),"CC",IF(OR(M$2="C",$A8="C"),"Cc","cc"))</f>
        <v>AaBBCc</v>
      </c>
      <c r="L6" s="531"/>
      <c r="M6" s="532"/>
      <c r="N6" s="530" t="str">
        <f>IF(AND(N$2="A",$A6="A"),"AA",IF(OR(N$2="A",$A6="A"),"Aa","aa"))&amp;IF(AND(O$2="B",$A7="B"),"BB",IF(OR(O$2="B",$A7="B"),"Bb","bb"))&amp;IF(AND(P$2="C",$A8="C"),"CC",IF(OR(P$2="C",$A8="C"),"Cc","cc"))</f>
        <v>AABbcc</v>
      </c>
      <c r="O6" s="531"/>
      <c r="P6" s="532"/>
      <c r="Q6" s="530" t="str">
        <f>IF(AND(Q$2="A",$A6="A"),"AA",IF(OR(Q$2="A",$A6="A"),"Aa","aa"))&amp;IF(AND(R$2="B",$A7="B"),"BB",IF(OR(R$2="B",$A7="B"),"Bb","bb"))&amp;IF(AND(S$2="C",$A8="C"),"CC",IF(OR(S$2="C",$A8="C"),"Cc","cc"))</f>
        <v>AaBBcc</v>
      </c>
      <c r="R6" s="531"/>
      <c r="S6" s="532"/>
      <c r="T6" s="530" t="str">
        <f>IF(AND(T$2="A",$A6="A"),"AA",IF(OR(T$2="A",$A6="A"),"Aa","aa"))&amp;IF(AND(U$2="B",$A7="B"),"BB",IF(OR(U$2="B",$A7="B"),"Bb","bb"))&amp;IF(AND(V$2="C",$A8="C"),"CC",IF(OR(V$2="C",$A8="C"),"Cc","cc"))</f>
        <v>AaBbCc</v>
      </c>
      <c r="U6" s="531"/>
      <c r="V6" s="532"/>
      <c r="W6" s="530" t="str">
        <f>IF(AND(W$2="A",$A6="A"),"AA",IF(OR(W$2="A",$A6="A"),"Aa","aa"))&amp;IF(AND(X$2="B",$A7="B"),"BB",IF(OR(X$2="B",$A7="B"),"Bb","bb"))&amp;IF(AND(Y$2="C",$A8="C"),"CC",IF(OR(Y$2="C",$A8="C"),"Cc","cc"))</f>
        <v>AaBbcc</v>
      </c>
      <c r="X6" s="531"/>
      <c r="Y6" s="532"/>
    </row>
    <row r="7" spans="1:25" ht="20" customHeight="1" x14ac:dyDescent="0.15">
      <c r="A7" s="366" t="s">
        <v>361</v>
      </c>
      <c r="B7" s="533"/>
      <c r="C7" s="534"/>
      <c r="D7" s="535"/>
      <c r="E7" s="533"/>
      <c r="F7" s="534"/>
      <c r="G7" s="535"/>
      <c r="H7" s="533"/>
      <c r="I7" s="534"/>
      <c r="J7" s="535"/>
      <c r="K7" s="533"/>
      <c r="L7" s="534"/>
      <c r="M7" s="535"/>
      <c r="N7" s="533"/>
      <c r="O7" s="534"/>
      <c r="P7" s="535"/>
      <c r="Q7" s="533"/>
      <c r="R7" s="534"/>
      <c r="S7" s="535"/>
      <c r="T7" s="533"/>
      <c r="U7" s="534"/>
      <c r="V7" s="535"/>
      <c r="W7" s="533"/>
      <c r="X7" s="534"/>
      <c r="Y7" s="535"/>
    </row>
    <row r="8" spans="1:25" ht="20.75" customHeight="1" x14ac:dyDescent="0.15">
      <c r="A8" s="367" t="s">
        <v>363</v>
      </c>
      <c r="B8" s="536"/>
      <c r="C8" s="537"/>
      <c r="D8" s="538"/>
      <c r="E8" s="536"/>
      <c r="F8" s="537"/>
      <c r="G8" s="538"/>
      <c r="H8" s="536"/>
      <c r="I8" s="537"/>
      <c r="J8" s="538"/>
      <c r="K8" s="536"/>
      <c r="L8" s="537"/>
      <c r="M8" s="538"/>
      <c r="N8" s="536"/>
      <c r="O8" s="537"/>
      <c r="P8" s="538"/>
      <c r="Q8" s="536"/>
      <c r="R8" s="537"/>
      <c r="S8" s="538"/>
      <c r="T8" s="536"/>
      <c r="U8" s="537"/>
      <c r="V8" s="538"/>
      <c r="W8" s="536"/>
      <c r="X8" s="537"/>
      <c r="Y8" s="538"/>
    </row>
    <row r="9" spans="1:25" ht="20.75" customHeight="1" x14ac:dyDescent="0.15">
      <c r="A9" s="365" t="s">
        <v>360</v>
      </c>
      <c r="B9" s="539" t="str">
        <f>IF(AND(B$2="A",$A9="A"),"AA",IF(OR(B$2="A",$A9="A"),"Aa","aa"))&amp;IF(AND(C$2="B",$A10="B"),"BB",IF(OR(C$2="B",$A10="B"),"Bb","bb"))&amp;IF(AND(D$2="C",$A11="C"),"CC",IF(OR(D$2="C",$A11="C"),"Cc","cc"))</f>
        <v>AABbCC</v>
      </c>
      <c r="C9" s="531"/>
      <c r="D9" s="532"/>
      <c r="E9" s="539" t="str">
        <f>IF(AND(E$2="A",$A9="A"),"AA",IF(OR(E$2="A",$A9="A"),"Aa","aa"))&amp;IF(AND(F$2="B",$A10="B"),"BB",IF(OR(F$2="B",$A10="B"),"Bb","bb"))&amp;IF(AND(G$2="C",$A11="C"),"CC",IF(OR(G$2="C",$A11="C"),"Cc","cc"))</f>
        <v>AABbCc</v>
      </c>
      <c r="F9" s="531"/>
      <c r="G9" s="532"/>
      <c r="H9" s="539" t="str">
        <f>IF(AND(H$2="A",$A9="A"),"AA",IF(OR(H$2="A",$A9="A"),"Aa","aa"))&amp;IF(AND(I$2="B",$A10="B"),"BB",IF(OR(I$2="B",$A10="B"),"Bb","bb"))&amp;IF(AND(J$2="C",$A11="C"),"CC",IF(OR(J$2="C",$A11="C"),"Cc","cc"))</f>
        <v>AAbbCC</v>
      </c>
      <c r="I9" s="531"/>
      <c r="J9" s="532"/>
      <c r="K9" s="539" t="str">
        <f>IF(AND(K$2="A",$A9="A"),"AA",IF(OR(K$2="A",$A9="A"),"Aa","aa"))&amp;IF(AND(L$2="B",$A10="B"),"BB",IF(OR(L$2="B",$A10="B"),"Bb","bb"))&amp;IF(AND(M$2="C",$A11="C"),"CC",IF(OR(M$2="C",$A11="C"),"Cc","cc"))</f>
        <v>AaBbCC</v>
      </c>
      <c r="L9" s="531"/>
      <c r="M9" s="532"/>
      <c r="N9" s="530" t="str">
        <f>IF(AND(N$2="A",$A9="A"),"AA",IF(OR(N$2="A",$A9="A"),"Aa","aa"))&amp;IF(AND(O$2="B",$A10="B"),"BB",IF(OR(O$2="B",$A10="B"),"Bb","bb"))&amp;IF(AND(P$2="C",$A11="C"),"CC",IF(OR(P$2="C",$A11="C"),"Cc","cc"))</f>
        <v>AAbbCc</v>
      </c>
      <c r="O9" s="531"/>
      <c r="P9" s="532"/>
      <c r="Q9" s="530" t="str">
        <f>IF(AND(Q$2="A",$A9="A"),"AA",IF(OR(Q$2="A",$A9="A"),"Aa","aa"))&amp;IF(AND(R$2="B",$A10="B"),"BB",IF(OR(R$2="B",$A10="B"),"Bb","bb"))&amp;IF(AND(S$2="C",$A11="C"),"CC",IF(OR(S$2="C",$A11="C"),"Cc","cc"))</f>
        <v>AaBbCc</v>
      </c>
      <c r="R9" s="531"/>
      <c r="S9" s="532"/>
      <c r="T9" s="530" t="str">
        <f>IF(AND(T$2="A",$A9="A"),"AA",IF(OR(T$2="A",$A9="A"),"Aa","aa"))&amp;IF(AND(U$2="B",$A10="B"),"BB",IF(OR(U$2="B",$A10="B"),"Bb","bb"))&amp;IF(AND(V$2="C",$A11="C"),"CC",IF(OR(V$2="C",$A11="C"),"Cc","cc"))</f>
        <v>AabbCC</v>
      </c>
      <c r="U9" s="531"/>
      <c r="V9" s="532"/>
      <c r="W9" s="530" t="str">
        <f>IF(AND(W$2="A",$A9="A"),"AA",IF(OR(W$2="A",$A9="A"),"Aa","aa"))&amp;IF(AND(X$2="B",$A10="B"),"BB",IF(OR(X$2="B",$A10="B"),"Bb","bb"))&amp;IF(AND(Y$2="C",$A11="C"),"CC",IF(OR(Y$2="C",$A11="C"),"Cc","cc"))</f>
        <v>AabbCc</v>
      </c>
      <c r="X9" s="531"/>
      <c r="Y9" s="532"/>
    </row>
    <row r="10" spans="1:25" ht="20" customHeight="1" x14ac:dyDescent="0.15">
      <c r="A10" s="366" t="s">
        <v>364</v>
      </c>
      <c r="B10" s="533"/>
      <c r="C10" s="534"/>
      <c r="D10" s="535"/>
      <c r="E10" s="533"/>
      <c r="F10" s="534"/>
      <c r="G10" s="535"/>
      <c r="H10" s="533"/>
      <c r="I10" s="534"/>
      <c r="J10" s="535"/>
      <c r="K10" s="533"/>
      <c r="L10" s="534"/>
      <c r="M10" s="535"/>
      <c r="N10" s="533"/>
      <c r="O10" s="534"/>
      <c r="P10" s="535"/>
      <c r="Q10" s="533"/>
      <c r="R10" s="534"/>
      <c r="S10" s="535"/>
      <c r="T10" s="533"/>
      <c r="U10" s="534"/>
      <c r="V10" s="535"/>
      <c r="W10" s="533"/>
      <c r="X10" s="534"/>
      <c r="Y10" s="535"/>
    </row>
    <row r="11" spans="1:25" ht="20.75" customHeight="1" x14ac:dyDescent="0.15">
      <c r="A11" s="367" t="s">
        <v>362</v>
      </c>
      <c r="B11" s="536"/>
      <c r="C11" s="537"/>
      <c r="D11" s="538"/>
      <c r="E11" s="536"/>
      <c r="F11" s="537"/>
      <c r="G11" s="538"/>
      <c r="H11" s="536"/>
      <c r="I11" s="537"/>
      <c r="J11" s="538"/>
      <c r="K11" s="536"/>
      <c r="L11" s="537"/>
      <c r="M11" s="538"/>
      <c r="N11" s="536"/>
      <c r="O11" s="537"/>
      <c r="P11" s="538"/>
      <c r="Q11" s="536"/>
      <c r="R11" s="537"/>
      <c r="S11" s="538"/>
      <c r="T11" s="536"/>
      <c r="U11" s="537"/>
      <c r="V11" s="538"/>
      <c r="W11" s="536"/>
      <c r="X11" s="537"/>
      <c r="Y11" s="538"/>
    </row>
    <row r="12" spans="1:25" ht="20.75" customHeight="1" x14ac:dyDescent="0.15">
      <c r="A12" s="365" t="s">
        <v>365</v>
      </c>
      <c r="B12" s="539" t="str">
        <f>IF(AND(B$2="A",$A12="A"),"AA",IF(OR(B$2="A",$A12="A"),"Aa","aa"))&amp;IF(AND(C$2="B",$A13="B"),"BB",IF(OR(C$2="B",$A13="B"),"Bb","bb"))&amp;IF(AND(D$2="C",$A14="C"),"CC",IF(OR(D$2="C",$A14="C"),"Cc","cc"))</f>
        <v>AaBBCC</v>
      </c>
      <c r="C12" s="531"/>
      <c r="D12" s="532"/>
      <c r="E12" s="539" t="str">
        <f>IF(AND(E$2="A",$A12="A"),"AA",IF(OR(E$2="A",$A12="A"),"Aa","aa"))&amp;IF(AND(F$2="B",$A13="B"),"BB",IF(OR(F$2="B",$A13="B"),"Bb","bb"))&amp;IF(AND(G$2="C",$A14="C"),"CC",IF(OR(G$2="C",$A14="C"),"Cc","cc"))</f>
        <v>AaBBCc</v>
      </c>
      <c r="F12" s="531"/>
      <c r="G12" s="532"/>
      <c r="H12" s="539" t="str">
        <f>IF(AND(H$2="A",$A12="A"),"AA",IF(OR(H$2="A",$A12="A"),"Aa","aa"))&amp;IF(AND(I$2="B",$A13="B"),"BB",IF(OR(I$2="B",$A13="B"),"Bb","bb"))&amp;IF(AND(J$2="C",$A14="C"),"CC",IF(OR(J$2="C",$A14="C"),"Cc","cc"))</f>
        <v>AaBbCC</v>
      </c>
      <c r="I12" s="531"/>
      <c r="J12" s="532"/>
      <c r="K12" s="539" t="str">
        <f>IF(AND(K$2="A",$A12="A"),"AA",IF(OR(K$2="A",$A12="A"),"Aa","aa"))&amp;IF(AND(L$2="B",$A13="B"),"BB",IF(OR(L$2="B",$A13="B"),"Bb","bb"))&amp;IF(AND(M$2="C",$A14="C"),"CC",IF(OR(M$2="C",$A14="C"),"Cc","cc"))</f>
        <v>aaBBCC</v>
      </c>
      <c r="L12" s="531"/>
      <c r="M12" s="532"/>
      <c r="N12" s="530" t="str">
        <f>IF(AND(N$2="A",$A12="A"),"AA",IF(OR(N$2="A",$A12="A"),"Aa","aa"))&amp;IF(AND(O$2="B",$A13="B"),"BB",IF(OR(O$2="B",$A13="B"),"Bb","bb"))&amp;IF(AND(P$2="C",$A14="C"),"CC",IF(OR(P$2="C",$A14="C"),"Cc","cc"))</f>
        <v>AaBbCc</v>
      </c>
      <c r="O12" s="531"/>
      <c r="P12" s="532"/>
      <c r="Q12" s="530" t="str">
        <f>IF(AND(Q$2="A",$A12="A"),"AA",IF(OR(Q$2="A",$A12="A"),"Aa","aa"))&amp;IF(AND(R$2="B",$A13="B"),"BB",IF(OR(R$2="B",$A13="B"),"Bb","bb"))&amp;IF(AND(S$2="C",$A14="C"),"CC",IF(OR(S$2="C",$A14="C"),"Cc","cc"))</f>
        <v>aaBBCc</v>
      </c>
      <c r="R12" s="531"/>
      <c r="S12" s="532"/>
      <c r="T12" s="530" t="str">
        <f>IF(AND(T$2="A",$A12="A"),"AA",IF(OR(T$2="A",$A12="A"),"Aa","aa"))&amp;IF(AND(U$2="B",$A13="B"),"BB",IF(OR(U$2="B",$A13="B"),"Bb","bb"))&amp;IF(AND(V$2="C",$A14="C"),"CC",IF(OR(V$2="C",$A14="C"),"Cc","cc"))</f>
        <v>aaBbCC</v>
      </c>
      <c r="U12" s="531"/>
      <c r="V12" s="532"/>
      <c r="W12" s="530" t="str">
        <f>IF(AND(W$2="A",$A12="A"),"AA",IF(OR(W$2="A",$A12="A"),"Aa","aa"))&amp;IF(AND(X$2="B",$A13="B"),"BB",IF(OR(X$2="B",$A13="B"),"Bb","bb"))&amp;IF(AND(Y$2="C",$A14="C"),"CC",IF(OR(Y$2="C",$A14="C"),"Cc","cc"))</f>
        <v>aaBbCc</v>
      </c>
      <c r="X12" s="531"/>
      <c r="Y12" s="532"/>
    </row>
    <row r="13" spans="1:25" ht="20" customHeight="1" x14ac:dyDescent="0.15">
      <c r="A13" s="366" t="s">
        <v>361</v>
      </c>
      <c r="B13" s="533"/>
      <c r="C13" s="534"/>
      <c r="D13" s="535"/>
      <c r="E13" s="533"/>
      <c r="F13" s="534"/>
      <c r="G13" s="535"/>
      <c r="H13" s="533"/>
      <c r="I13" s="534"/>
      <c r="J13" s="535"/>
      <c r="K13" s="533"/>
      <c r="L13" s="534"/>
      <c r="M13" s="535"/>
      <c r="N13" s="533"/>
      <c r="O13" s="534"/>
      <c r="P13" s="535"/>
      <c r="Q13" s="533"/>
      <c r="R13" s="534"/>
      <c r="S13" s="535"/>
      <c r="T13" s="533"/>
      <c r="U13" s="534"/>
      <c r="V13" s="535"/>
      <c r="W13" s="533"/>
      <c r="X13" s="534"/>
      <c r="Y13" s="535"/>
    </row>
    <row r="14" spans="1:25" ht="20.75" customHeight="1" x14ac:dyDescent="0.15">
      <c r="A14" s="367" t="s">
        <v>362</v>
      </c>
      <c r="B14" s="536"/>
      <c r="C14" s="537"/>
      <c r="D14" s="538"/>
      <c r="E14" s="536"/>
      <c r="F14" s="537"/>
      <c r="G14" s="538"/>
      <c r="H14" s="536"/>
      <c r="I14" s="537"/>
      <c r="J14" s="538"/>
      <c r="K14" s="536"/>
      <c r="L14" s="537"/>
      <c r="M14" s="538"/>
      <c r="N14" s="536"/>
      <c r="O14" s="537"/>
      <c r="P14" s="538"/>
      <c r="Q14" s="536"/>
      <c r="R14" s="537"/>
      <c r="S14" s="538"/>
      <c r="T14" s="536"/>
      <c r="U14" s="537"/>
      <c r="V14" s="538"/>
      <c r="W14" s="536"/>
      <c r="X14" s="537"/>
      <c r="Y14" s="538"/>
    </row>
    <row r="15" spans="1:25" ht="20.75" customHeight="1" x14ac:dyDescent="0.15">
      <c r="A15" s="365" t="s">
        <v>360</v>
      </c>
      <c r="B15" s="539" t="str">
        <f>IF(AND(B$2="A",$A15="A"),"AA",IF(OR(B$2="A",$A15="A"),"Aa","aa"))&amp;IF(AND(C$2="B",$A16="B"),"BB",IF(OR(C$2="B",$A16="B"),"Bb","bb"))&amp;IF(AND(D$2="C",$A17="C"),"CC",IF(OR(D$2="C",$A17="C"),"Cc","cc"))</f>
        <v>AABbCc</v>
      </c>
      <c r="C15" s="531"/>
      <c r="D15" s="532"/>
      <c r="E15" s="530" t="str">
        <f>IF(AND(E$2="A",$A15="A"),"AA",IF(OR(E$2="A",$A15="A"),"Aa","aa"))&amp;IF(AND(F$2="B",$A16="B"),"BB",IF(OR(F$2="B",$A16="B"),"Bb","bb"))&amp;IF(AND(G$2="C",$A17="C"),"CC",IF(OR(G$2="C",$A17="C"),"Cc","cc"))</f>
        <v>AABbcc</v>
      </c>
      <c r="F15" s="531"/>
      <c r="G15" s="532"/>
      <c r="H15" s="530" t="str">
        <f>IF(AND(H$2="A",$A15="A"),"AA",IF(OR(H$2="A",$A15="A"),"Aa","aa"))&amp;IF(AND(I$2="B",$A16="B"),"BB",IF(OR(I$2="B",$A16="B"),"Bb","bb"))&amp;IF(AND(J$2="C",$A17="C"),"CC",IF(OR(J$2="C",$A17="C"),"Cc","cc"))</f>
        <v>AAbbCc</v>
      </c>
      <c r="I15" s="531"/>
      <c r="J15" s="532"/>
      <c r="K15" s="530" t="str">
        <f>IF(AND(K$2="A",$A15="A"),"AA",IF(OR(K$2="A",$A15="A"),"Aa","aa"))&amp;IF(AND(L$2="B",$A16="B"),"BB",IF(OR(L$2="B",$A16="B"),"Bb","bb"))&amp;IF(AND(M$2="C",$A17="C"),"CC",IF(OR(M$2="C",$A17="C"),"Cc","cc"))</f>
        <v>AaBbCc</v>
      </c>
      <c r="L15" s="531"/>
      <c r="M15" s="532"/>
      <c r="N15" s="530" t="str">
        <f>IF(AND(N$2="A",$A15="A"),"AA",IF(OR(N$2="A",$A15="A"),"Aa","aa"))&amp;IF(AND(O$2="B",$A16="B"),"BB",IF(OR(O$2="B",$A16="B"),"Bb","bb"))&amp;IF(AND(P$2="C",$A17="C"),"CC",IF(OR(P$2="C",$A17="C"),"Cc","cc"))</f>
        <v>AAbbcc</v>
      </c>
      <c r="O15" s="531"/>
      <c r="P15" s="532"/>
      <c r="Q15" s="530" t="str">
        <f>IF(AND(Q$2="A",$A15="A"),"AA",IF(OR(Q$2="A",$A15="A"),"Aa","aa"))&amp;IF(AND(R$2="B",$A16="B"),"BB",IF(OR(R$2="B",$A16="B"),"Bb","bb"))&amp;IF(AND(S$2="C",$A17="C"),"CC",IF(OR(S$2="C",$A17="C"),"Cc","cc"))</f>
        <v>AaBbcc</v>
      </c>
      <c r="R15" s="531"/>
      <c r="S15" s="532"/>
      <c r="T15" s="530" t="str">
        <f>IF(AND(T$2="A",$A15="A"),"AA",IF(OR(T$2="A",$A15="A"),"Aa","aa"))&amp;IF(AND(U$2="B",$A16="B"),"BB",IF(OR(U$2="B",$A16="B"),"Bb","bb"))&amp;IF(AND(V$2="C",$A17="C"),"CC",IF(OR(V$2="C",$A17="C"),"Cc","cc"))</f>
        <v>AabbCc</v>
      </c>
      <c r="U15" s="531"/>
      <c r="V15" s="532"/>
      <c r="W15" s="530" t="str">
        <f>IF(AND(W$2="A",$A15="A"),"AA",IF(OR(W$2="A",$A15="A"),"Aa","aa"))&amp;IF(AND(X$2="B",$A16="B"),"BB",IF(OR(X$2="B",$A16="B"),"Bb","bb"))&amp;IF(AND(Y$2="C",$A17="C"),"CC",IF(OR(Y$2="C",$A17="C"),"Cc","cc"))</f>
        <v>Aabbcc</v>
      </c>
      <c r="X15" s="531"/>
      <c r="Y15" s="532"/>
    </row>
    <row r="16" spans="1:25" ht="20" customHeight="1" x14ac:dyDescent="0.15">
      <c r="A16" s="366" t="s">
        <v>364</v>
      </c>
      <c r="B16" s="533"/>
      <c r="C16" s="534"/>
      <c r="D16" s="535"/>
      <c r="E16" s="533"/>
      <c r="F16" s="534"/>
      <c r="G16" s="535"/>
      <c r="H16" s="533"/>
      <c r="I16" s="534"/>
      <c r="J16" s="535"/>
      <c r="K16" s="533"/>
      <c r="L16" s="534"/>
      <c r="M16" s="535"/>
      <c r="N16" s="533"/>
      <c r="O16" s="534"/>
      <c r="P16" s="535"/>
      <c r="Q16" s="533"/>
      <c r="R16" s="534"/>
      <c r="S16" s="535"/>
      <c r="T16" s="533"/>
      <c r="U16" s="534"/>
      <c r="V16" s="535"/>
      <c r="W16" s="533"/>
      <c r="X16" s="534"/>
      <c r="Y16" s="535"/>
    </row>
    <row r="17" spans="1:25" ht="20.75" customHeight="1" x14ac:dyDescent="0.15">
      <c r="A17" s="367" t="s">
        <v>363</v>
      </c>
      <c r="B17" s="536"/>
      <c r="C17" s="537"/>
      <c r="D17" s="538"/>
      <c r="E17" s="536"/>
      <c r="F17" s="537"/>
      <c r="G17" s="538"/>
      <c r="H17" s="536"/>
      <c r="I17" s="537"/>
      <c r="J17" s="538"/>
      <c r="K17" s="536"/>
      <c r="L17" s="537"/>
      <c r="M17" s="538"/>
      <c r="N17" s="536"/>
      <c r="O17" s="537"/>
      <c r="P17" s="538"/>
      <c r="Q17" s="536"/>
      <c r="R17" s="537"/>
      <c r="S17" s="538"/>
      <c r="T17" s="536"/>
      <c r="U17" s="537"/>
      <c r="V17" s="538"/>
      <c r="W17" s="536"/>
      <c r="X17" s="537"/>
      <c r="Y17" s="538"/>
    </row>
    <row r="18" spans="1:25" ht="20.75" customHeight="1" x14ac:dyDescent="0.15">
      <c r="A18" s="365" t="s">
        <v>365</v>
      </c>
      <c r="B18" s="539" t="str">
        <f>IF(AND(B$2="A",$A18="A"),"AA",IF(OR(B$2="A",$A18="A"),"Aa","aa"))&amp;IF(AND(C$2="B",$A19="B"),"BB",IF(OR(C$2="B",$A19="B"),"Bb","bb"))&amp;IF(AND(D$2="C",$A20="C"),"CC",IF(OR(D$2="C",$A20="C"),"Cc","cc"))</f>
        <v>AaBBCc</v>
      </c>
      <c r="C18" s="531"/>
      <c r="D18" s="532"/>
      <c r="E18" s="530" t="str">
        <f>IF(AND(E$2="A",$A18="A"),"AA",IF(OR(E$2="A",$A18="A"),"Aa","aa"))&amp;IF(AND(F$2="B",$A19="B"),"BB",IF(OR(F$2="B",$A19="B"),"Bb","bb"))&amp;IF(AND(G$2="C",$A20="C"),"CC",IF(OR(G$2="C",$A20="C"),"Cc","cc"))</f>
        <v>AaBBcc</v>
      </c>
      <c r="F18" s="531"/>
      <c r="G18" s="532"/>
      <c r="H18" s="530" t="str">
        <f>IF(AND(H$2="A",$A18="A"),"AA",IF(OR(H$2="A",$A18="A"),"Aa","aa"))&amp;IF(AND(I$2="B",$A19="B"),"BB",IF(OR(I$2="B",$A19="B"),"Bb","bb"))&amp;IF(AND(J$2="C",$A20="C"),"CC",IF(OR(J$2="C",$A20="C"),"Cc","cc"))</f>
        <v>AaBbCc</v>
      </c>
      <c r="I18" s="531"/>
      <c r="J18" s="532"/>
      <c r="K18" s="530" t="str">
        <f>IF(AND(K$2="A",$A18="A"),"AA",IF(OR(K$2="A",$A18="A"),"Aa","aa"))&amp;IF(AND(L$2="B",$A19="B"),"BB",IF(OR(L$2="B",$A19="B"),"Bb","bb"))&amp;IF(AND(M$2="C",$A20="C"),"CC",IF(OR(M$2="C",$A20="C"),"Cc","cc"))</f>
        <v>aaBBCc</v>
      </c>
      <c r="L18" s="531"/>
      <c r="M18" s="532"/>
      <c r="N18" s="530" t="str">
        <f>IF(AND(N$2="A",$A18="A"),"AA",IF(OR(N$2="A",$A18="A"),"Aa","aa"))&amp;IF(AND(O$2="B",$A19="B"),"BB",IF(OR(O$2="B",$A19="B"),"Bb","bb"))&amp;IF(AND(P$2="C",$A20="C"),"CC",IF(OR(P$2="C",$A20="C"),"Cc","cc"))</f>
        <v>AaBbcc</v>
      </c>
      <c r="O18" s="531"/>
      <c r="P18" s="532"/>
      <c r="Q18" s="530" t="str">
        <f>IF(AND(Q$2="A",$A18="A"),"AA",IF(OR(Q$2="A",$A18="A"),"Aa","aa"))&amp;IF(AND(R$2="B",$A19="B"),"BB",IF(OR(R$2="B",$A19="B"),"Bb","bb"))&amp;IF(AND(S$2="C",$A20="C"),"CC",IF(OR(S$2="C",$A20="C"),"Cc","cc"))</f>
        <v>aaBBcc</v>
      </c>
      <c r="R18" s="531"/>
      <c r="S18" s="532"/>
      <c r="T18" s="530" t="str">
        <f>IF(AND(T$2="A",$A18="A"),"AA",IF(OR(T$2="A",$A18="A"),"Aa","aa"))&amp;IF(AND(U$2="B",$A19="B"),"BB",IF(OR(U$2="B",$A19="B"),"Bb","bb"))&amp;IF(AND(V$2="C",$A20="C"),"CC",IF(OR(V$2="C",$A20="C"),"Cc","cc"))</f>
        <v>aaBbCc</v>
      </c>
      <c r="U18" s="531"/>
      <c r="V18" s="532"/>
      <c r="W18" s="530" t="str">
        <f>IF(AND(W$2="A",$A18="A"),"AA",IF(OR(W$2="A",$A18="A"),"Aa","aa"))&amp;IF(AND(X$2="B",$A19="B"),"BB",IF(OR(X$2="B",$A19="B"),"Bb","bb"))&amp;IF(AND(Y$2="C",$A20="C"),"CC",IF(OR(Y$2="C",$A20="C"),"Cc","cc"))</f>
        <v>aaBbcc</v>
      </c>
      <c r="X18" s="531"/>
      <c r="Y18" s="532"/>
    </row>
    <row r="19" spans="1:25" ht="20" customHeight="1" x14ac:dyDescent="0.15">
      <c r="A19" s="366" t="s">
        <v>361</v>
      </c>
      <c r="B19" s="533"/>
      <c r="C19" s="534"/>
      <c r="D19" s="535"/>
      <c r="E19" s="533"/>
      <c r="F19" s="534"/>
      <c r="G19" s="535"/>
      <c r="H19" s="533"/>
      <c r="I19" s="534"/>
      <c r="J19" s="535"/>
      <c r="K19" s="533"/>
      <c r="L19" s="534"/>
      <c r="M19" s="535"/>
      <c r="N19" s="533"/>
      <c r="O19" s="534"/>
      <c r="P19" s="535"/>
      <c r="Q19" s="533"/>
      <c r="R19" s="534"/>
      <c r="S19" s="535"/>
      <c r="T19" s="533"/>
      <c r="U19" s="534"/>
      <c r="V19" s="535"/>
      <c r="W19" s="533"/>
      <c r="X19" s="534"/>
      <c r="Y19" s="535"/>
    </row>
    <row r="20" spans="1:25" ht="20.75" customHeight="1" x14ac:dyDescent="0.15">
      <c r="A20" s="367" t="s">
        <v>363</v>
      </c>
      <c r="B20" s="536"/>
      <c r="C20" s="537"/>
      <c r="D20" s="538"/>
      <c r="E20" s="536"/>
      <c r="F20" s="537"/>
      <c r="G20" s="538"/>
      <c r="H20" s="536"/>
      <c r="I20" s="537"/>
      <c r="J20" s="538"/>
      <c r="K20" s="536"/>
      <c r="L20" s="537"/>
      <c r="M20" s="538"/>
      <c r="N20" s="536"/>
      <c r="O20" s="537"/>
      <c r="P20" s="538"/>
      <c r="Q20" s="536"/>
      <c r="R20" s="537"/>
      <c r="S20" s="538"/>
      <c r="T20" s="536"/>
      <c r="U20" s="537"/>
      <c r="V20" s="538"/>
      <c r="W20" s="536"/>
      <c r="X20" s="537"/>
      <c r="Y20" s="538"/>
    </row>
    <row r="21" spans="1:25" ht="20.75" customHeight="1" x14ac:dyDescent="0.15">
      <c r="A21" s="365" t="s">
        <v>365</v>
      </c>
      <c r="B21" s="539" t="str">
        <f>IF(AND(B$2="A",$A21="A"),"AA",IF(OR(B$2="A",$A21="A"),"Aa","aa"))&amp;IF(AND(C$2="B",$A22="B"),"BB",IF(OR(C$2="B",$A22="B"),"Bb","bb"))&amp;IF(AND(D$2="C",$A23="C"),"CC",IF(OR(D$2="C",$A23="C"),"Cc","cc"))</f>
        <v>AaBbCC</v>
      </c>
      <c r="C21" s="531"/>
      <c r="D21" s="532"/>
      <c r="E21" s="530" t="str">
        <f>IF(AND(E$2="A",$A21="A"),"AA",IF(OR(E$2="A",$A21="A"),"Aa","aa"))&amp;IF(AND(F$2="B",$A22="B"),"BB",IF(OR(F$2="B",$A22="B"),"Bb","bb"))&amp;IF(AND(G$2="C",$A23="C"),"CC",IF(OR(G$2="C",$A23="C"),"Cc","cc"))</f>
        <v>AaBbCc</v>
      </c>
      <c r="F21" s="531"/>
      <c r="G21" s="532"/>
      <c r="H21" s="530" t="str">
        <f>IF(AND(H$2="A",$A21="A"),"AA",IF(OR(H$2="A",$A21="A"),"Aa","aa"))&amp;IF(AND(I$2="B",$A22="B"),"BB",IF(OR(I$2="B",$A22="B"),"Bb","bb"))&amp;IF(AND(J$2="C",$A23="C"),"CC",IF(OR(J$2="C",$A23="C"),"Cc","cc"))</f>
        <v>AabbCC</v>
      </c>
      <c r="I21" s="531"/>
      <c r="J21" s="532"/>
      <c r="K21" s="530" t="str">
        <f>IF(AND(K$2="A",$A21="A"),"AA",IF(OR(K$2="A",$A21="A"),"Aa","aa"))&amp;IF(AND(L$2="B",$A22="B"),"BB",IF(OR(L$2="B",$A22="B"),"Bb","bb"))&amp;IF(AND(M$2="C",$A23="C"),"CC",IF(OR(M$2="C",$A23="C"),"Cc","cc"))</f>
        <v>aaBbCC</v>
      </c>
      <c r="L21" s="531"/>
      <c r="M21" s="532"/>
      <c r="N21" s="530" t="str">
        <f>IF(AND(N$2="A",$A21="A"),"AA",IF(OR(N$2="A",$A21="A"),"Aa","aa"))&amp;IF(AND(O$2="B",$A22="B"),"BB",IF(OR(O$2="B",$A22="B"),"Bb","bb"))&amp;IF(AND(P$2="C",$A23="C"),"CC",IF(OR(P$2="C",$A23="C"),"Cc","cc"))</f>
        <v>AabbCc</v>
      </c>
      <c r="O21" s="531"/>
      <c r="P21" s="532"/>
      <c r="Q21" s="530" t="str">
        <f>IF(AND(Q$2="A",$A21="A"),"AA",IF(OR(Q$2="A",$A21="A"),"Aa","aa"))&amp;IF(AND(R$2="B",$A22="B"),"BB",IF(OR(R$2="B",$A22="B"),"Bb","bb"))&amp;IF(AND(S$2="C",$A23="C"),"CC",IF(OR(S$2="C",$A23="C"),"Cc","cc"))</f>
        <v>aaBbCc</v>
      </c>
      <c r="R21" s="531"/>
      <c r="S21" s="532"/>
      <c r="T21" s="530" t="str">
        <f>IF(AND(T$2="A",$A21="A"),"AA",IF(OR(T$2="A",$A21="A"),"Aa","aa"))&amp;IF(AND(U$2="B",$A22="B"),"BB",IF(OR(U$2="B",$A22="B"),"Bb","bb"))&amp;IF(AND(V$2="C",$A23="C"),"CC",IF(OR(V$2="C",$A23="C"),"Cc","cc"))</f>
        <v>aabbCC</v>
      </c>
      <c r="U21" s="531"/>
      <c r="V21" s="532"/>
      <c r="W21" s="530" t="str">
        <f>IF(AND(W$2="A",$A21="A"),"AA",IF(OR(W$2="A",$A21="A"),"Aa","aa"))&amp;IF(AND(X$2="B",$A22="B"),"BB",IF(OR(X$2="B",$A22="B"),"Bb","bb"))&amp;IF(AND(Y$2="C",$A23="C"),"CC",IF(OR(Y$2="C",$A23="C"),"Cc","cc"))</f>
        <v>aabbCc</v>
      </c>
      <c r="X21" s="531"/>
      <c r="Y21" s="532"/>
    </row>
    <row r="22" spans="1:25" ht="20" customHeight="1" x14ac:dyDescent="0.15">
      <c r="A22" s="366" t="s">
        <v>364</v>
      </c>
      <c r="B22" s="533"/>
      <c r="C22" s="534"/>
      <c r="D22" s="535"/>
      <c r="E22" s="533"/>
      <c r="F22" s="534"/>
      <c r="G22" s="535"/>
      <c r="H22" s="533"/>
      <c r="I22" s="534"/>
      <c r="J22" s="535"/>
      <c r="K22" s="533"/>
      <c r="L22" s="534"/>
      <c r="M22" s="535"/>
      <c r="N22" s="533"/>
      <c r="O22" s="534"/>
      <c r="P22" s="535"/>
      <c r="Q22" s="533"/>
      <c r="R22" s="534"/>
      <c r="S22" s="535"/>
      <c r="T22" s="533"/>
      <c r="U22" s="534"/>
      <c r="V22" s="535"/>
      <c r="W22" s="533"/>
      <c r="X22" s="534"/>
      <c r="Y22" s="535"/>
    </row>
    <row r="23" spans="1:25" ht="20.75" customHeight="1" x14ac:dyDescent="0.15">
      <c r="A23" s="367" t="s">
        <v>362</v>
      </c>
      <c r="B23" s="536"/>
      <c r="C23" s="537"/>
      <c r="D23" s="538"/>
      <c r="E23" s="536"/>
      <c r="F23" s="537"/>
      <c r="G23" s="538"/>
      <c r="H23" s="536"/>
      <c r="I23" s="537"/>
      <c r="J23" s="538"/>
      <c r="K23" s="536"/>
      <c r="L23" s="537"/>
      <c r="M23" s="538"/>
      <c r="N23" s="536"/>
      <c r="O23" s="537"/>
      <c r="P23" s="538"/>
      <c r="Q23" s="536"/>
      <c r="R23" s="537"/>
      <c r="S23" s="538"/>
      <c r="T23" s="536"/>
      <c r="U23" s="537"/>
      <c r="V23" s="538"/>
      <c r="W23" s="536"/>
      <c r="X23" s="537"/>
      <c r="Y23" s="538"/>
    </row>
    <row r="24" spans="1:25" ht="20.75" customHeight="1" x14ac:dyDescent="0.15">
      <c r="A24" s="365" t="s">
        <v>365</v>
      </c>
      <c r="B24" s="530" t="str">
        <f>IF(AND(B$2="A",$A24="A"),"AA",IF(OR(B$2="A",$A24="A"),"Aa","aa"))&amp;IF(AND(C$2="B",$A25="B"),"BB",IF(OR(C$2="B",$A25="B"),"Bb","bb"))&amp;IF(AND(D$2="C",$A26="C"),"CC",IF(OR(D$2="C",$A26="C"),"Cc","cc"))</f>
        <v>AaBbCc</v>
      </c>
      <c r="C24" s="531"/>
      <c r="D24" s="532"/>
      <c r="E24" s="530" t="str">
        <f>IF(AND(E$2="A",$A24="A"),"AA",IF(OR(E$2="A",$A24="A"),"Aa","aa"))&amp;IF(AND(F$2="B",$A25="B"),"BB",IF(OR(F$2="B",$A25="B"),"Bb","bb"))&amp;IF(AND(G$2="C",$A26="C"),"CC",IF(OR(G$2="C",$A26="C"),"Cc","cc"))</f>
        <v>AaBbcc</v>
      </c>
      <c r="F24" s="531"/>
      <c r="G24" s="532"/>
      <c r="H24" s="530" t="str">
        <f>IF(AND(H$2="A",$A24="A"),"AA",IF(OR(H$2="A",$A24="A"),"Aa","aa"))&amp;IF(AND(I$2="B",$A25="B"),"BB",IF(OR(I$2="B",$A25="B"),"Bb","bb"))&amp;IF(AND(J$2="C",$A26="C"),"CC",IF(OR(J$2="C",$A26="C"),"Cc","cc"))</f>
        <v>AabbCc</v>
      </c>
      <c r="I24" s="531"/>
      <c r="J24" s="532"/>
      <c r="K24" s="530" t="str">
        <f>IF(AND(K$2="A",$A24="A"),"AA",IF(OR(K$2="A",$A24="A"),"Aa","aa"))&amp;IF(AND(L$2="B",$A25="B"),"BB",IF(OR(L$2="B",$A25="B"),"Bb","bb"))&amp;IF(AND(M$2="C",$A26="C"),"CC",IF(OR(M$2="C",$A26="C"),"Cc","cc"))</f>
        <v>aaBbCc</v>
      </c>
      <c r="L24" s="531"/>
      <c r="M24" s="532"/>
      <c r="N24" s="530" t="str">
        <f>IF(AND(N$2="A",$A24="A"),"AA",IF(OR(N$2="A",$A24="A"),"Aa","aa"))&amp;IF(AND(O$2="B",$A25="B"),"BB",IF(OR(O$2="B",$A25="B"),"Bb","bb"))&amp;IF(AND(P$2="C",$A26="C"),"CC",IF(OR(P$2="C",$A26="C"),"Cc","cc"))</f>
        <v>Aabbcc</v>
      </c>
      <c r="O24" s="531"/>
      <c r="P24" s="532"/>
      <c r="Q24" s="530" t="str">
        <f>IF(AND(Q$2="A",$A24="A"),"AA",IF(OR(Q$2="A",$A24="A"),"Aa","aa"))&amp;IF(AND(R$2="B",$A25="B"),"BB",IF(OR(R$2="B",$A25="B"),"Bb","bb"))&amp;IF(AND(S$2="C",$A26="C"),"CC",IF(OR(S$2="C",$A26="C"),"Cc","cc"))</f>
        <v>aaBbcc</v>
      </c>
      <c r="R24" s="531"/>
      <c r="S24" s="532"/>
      <c r="T24" s="530" t="str">
        <f>IF(AND(T$2="A",$A24="A"),"AA",IF(OR(T$2="A",$A24="A"),"Aa","aa"))&amp;IF(AND(U$2="B",$A25="B"),"BB",IF(OR(U$2="B",$A25="B"),"Bb","bb"))&amp;IF(AND(V$2="C",$A26="C"),"CC",IF(OR(V$2="C",$A26="C"),"Cc","cc"))</f>
        <v>aabbCc</v>
      </c>
      <c r="U24" s="531"/>
      <c r="V24" s="532"/>
      <c r="W24" s="530" t="str">
        <f>IF(AND(W$2="A",$A24="A"),"AA",IF(OR(W$2="A",$A24="A"),"Aa","aa"))&amp;IF(AND(X$2="B",$A25="B"),"BB",IF(OR(X$2="B",$A25="B"),"Bb","bb"))&amp;IF(AND(Y$2="C",$A26="C"),"CC",IF(OR(Y$2="C",$A26="C"),"Cc","cc"))</f>
        <v>aabbcc</v>
      </c>
      <c r="X24" s="531"/>
      <c r="Y24" s="532"/>
    </row>
    <row r="25" spans="1:25" ht="20" customHeight="1" x14ac:dyDescent="0.15">
      <c r="A25" s="366" t="s">
        <v>364</v>
      </c>
      <c r="B25" s="533"/>
      <c r="C25" s="534"/>
      <c r="D25" s="535"/>
      <c r="E25" s="533"/>
      <c r="F25" s="534"/>
      <c r="G25" s="535"/>
      <c r="H25" s="533"/>
      <c r="I25" s="534"/>
      <c r="J25" s="535"/>
      <c r="K25" s="533"/>
      <c r="L25" s="534"/>
      <c r="M25" s="535"/>
      <c r="N25" s="533"/>
      <c r="O25" s="534"/>
      <c r="P25" s="535"/>
      <c r="Q25" s="533"/>
      <c r="R25" s="534"/>
      <c r="S25" s="535"/>
      <c r="T25" s="533"/>
      <c r="U25" s="534"/>
      <c r="V25" s="535"/>
      <c r="W25" s="533"/>
      <c r="X25" s="534"/>
      <c r="Y25" s="535"/>
    </row>
    <row r="26" spans="1:25" ht="20.75" customHeight="1" x14ac:dyDescent="0.15">
      <c r="A26" s="367" t="s">
        <v>363</v>
      </c>
      <c r="B26" s="536"/>
      <c r="C26" s="537"/>
      <c r="D26" s="538"/>
      <c r="E26" s="536"/>
      <c r="F26" s="537"/>
      <c r="G26" s="538"/>
      <c r="H26" s="536"/>
      <c r="I26" s="537"/>
      <c r="J26" s="538"/>
      <c r="K26" s="536"/>
      <c r="L26" s="537"/>
      <c r="M26" s="538"/>
      <c r="N26" s="536"/>
      <c r="O26" s="537"/>
      <c r="P26" s="538"/>
      <c r="Q26" s="536"/>
      <c r="R26" s="537"/>
      <c r="S26" s="538"/>
      <c r="T26" s="536"/>
      <c r="U26" s="537"/>
      <c r="V26" s="538"/>
      <c r="W26" s="536"/>
      <c r="X26" s="537"/>
      <c r="Y26" s="538"/>
    </row>
  </sheetData>
  <mergeCells count="65">
    <mergeCell ref="H3:J5"/>
    <mergeCell ref="E3:G5"/>
    <mergeCell ref="B3:D5"/>
    <mergeCell ref="W3:Y5"/>
    <mergeCell ref="T3:V5"/>
    <mergeCell ref="Q3:S5"/>
    <mergeCell ref="N3:P5"/>
    <mergeCell ref="K3:M5"/>
    <mergeCell ref="H9:J11"/>
    <mergeCell ref="E9:G11"/>
    <mergeCell ref="B9:D11"/>
    <mergeCell ref="W6:Y8"/>
    <mergeCell ref="T6:V8"/>
    <mergeCell ref="Q6:S8"/>
    <mergeCell ref="N6:P8"/>
    <mergeCell ref="K6:M8"/>
    <mergeCell ref="H6:J8"/>
    <mergeCell ref="E6:G8"/>
    <mergeCell ref="B6:D8"/>
    <mergeCell ref="W9:Y11"/>
    <mergeCell ref="T9:V11"/>
    <mergeCell ref="Q9:S11"/>
    <mergeCell ref="N9:P11"/>
    <mergeCell ref="K9:M11"/>
    <mergeCell ref="H15:J17"/>
    <mergeCell ref="E15:G17"/>
    <mergeCell ref="B15:D17"/>
    <mergeCell ref="W12:Y14"/>
    <mergeCell ref="T12:V14"/>
    <mergeCell ref="Q12:S14"/>
    <mergeCell ref="N12:P14"/>
    <mergeCell ref="K12:M14"/>
    <mergeCell ref="H12:J14"/>
    <mergeCell ref="E12:G14"/>
    <mergeCell ref="B12:D14"/>
    <mergeCell ref="W15:Y17"/>
    <mergeCell ref="T15:V17"/>
    <mergeCell ref="Q15:S17"/>
    <mergeCell ref="N15:P17"/>
    <mergeCell ref="K15:M17"/>
    <mergeCell ref="B21:D23"/>
    <mergeCell ref="W18:Y20"/>
    <mergeCell ref="T18:V20"/>
    <mergeCell ref="Q18:S20"/>
    <mergeCell ref="N18:P20"/>
    <mergeCell ref="K18:M20"/>
    <mergeCell ref="H18:J20"/>
    <mergeCell ref="E18:G20"/>
    <mergeCell ref="B18:D20"/>
    <mergeCell ref="A1:Y1"/>
    <mergeCell ref="W24:Y26"/>
    <mergeCell ref="T24:V26"/>
    <mergeCell ref="Q24:S26"/>
    <mergeCell ref="N24:P26"/>
    <mergeCell ref="K24:M26"/>
    <mergeCell ref="H24:J26"/>
    <mergeCell ref="E24:G26"/>
    <mergeCell ref="B24:D26"/>
    <mergeCell ref="W21:Y23"/>
    <mergeCell ref="T21:V23"/>
    <mergeCell ref="Q21:S23"/>
    <mergeCell ref="N21:P23"/>
    <mergeCell ref="K21:M23"/>
    <mergeCell ref="H21:J23"/>
    <mergeCell ref="E21:G23"/>
  </mergeCells>
  <pageMargins left="1" right="1" top="1" bottom="1" header="0.25" footer="0.25"/>
  <pageSetup orientation="portrait"/>
  <headerFooter>
    <oddFooter>&amp;C&amp;"Helvetica Neue,Regular"&amp;12&amp;K000000&amp;P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Y26"/>
  <sheetViews>
    <sheetView showGridLines="0" workbookViewId="0">
      <pane xSplit="1" ySplit="2" topLeftCell="B3" activePane="bottomRight" state="frozen"/>
      <selection pane="topRight"/>
      <selection pane="bottomLeft"/>
      <selection pane="bottomRight" activeCell="B3" sqref="B3"/>
    </sheetView>
  </sheetViews>
  <sheetFormatPr baseColWidth="10" defaultColWidth="16.33203125" defaultRowHeight="20" customHeight="1" x14ac:dyDescent="0.15"/>
  <cols>
    <col min="1" max="1" width="5" style="310" customWidth="1"/>
    <col min="2" max="25" width="3.5" style="310" customWidth="1"/>
    <col min="26" max="26" width="16.33203125" style="310" customWidth="1"/>
    <col min="27" max="16384" width="16.33203125" style="310"/>
  </cols>
  <sheetData>
    <row r="1" spans="1:25" ht="27.75" customHeight="1" x14ac:dyDescent="0.15">
      <c r="A1" s="529" t="s">
        <v>366</v>
      </c>
      <c r="B1" s="529"/>
      <c r="C1" s="529"/>
      <c r="D1" s="529"/>
      <c r="E1" s="529"/>
      <c r="F1" s="529"/>
      <c r="G1" s="529"/>
      <c r="H1" s="529"/>
      <c r="I1" s="529"/>
      <c r="J1" s="529"/>
      <c r="K1" s="529"/>
      <c r="L1" s="529"/>
      <c r="M1" s="529"/>
      <c r="N1" s="529"/>
      <c r="O1" s="529"/>
      <c r="P1" s="529"/>
      <c r="Q1" s="529"/>
      <c r="R1" s="529"/>
      <c r="S1" s="529"/>
      <c r="T1" s="529"/>
      <c r="U1" s="529"/>
      <c r="V1" s="529"/>
      <c r="W1" s="529"/>
      <c r="X1" s="529"/>
      <c r="Y1" s="529"/>
    </row>
    <row r="2" spans="1:25" ht="21.75" customHeight="1" x14ac:dyDescent="0.15">
      <c r="A2" s="361"/>
      <c r="B2" s="362" t="s">
        <v>360</v>
      </c>
      <c r="C2" s="363" t="s">
        <v>361</v>
      </c>
      <c r="D2" s="364" t="s">
        <v>362</v>
      </c>
      <c r="E2" s="362" t="s">
        <v>360</v>
      </c>
      <c r="F2" s="363" t="s">
        <v>361</v>
      </c>
      <c r="G2" s="364" t="s">
        <v>363</v>
      </c>
      <c r="H2" s="362" t="s">
        <v>360</v>
      </c>
      <c r="I2" s="363" t="s">
        <v>364</v>
      </c>
      <c r="J2" s="364" t="s">
        <v>362</v>
      </c>
      <c r="K2" s="362" t="s">
        <v>365</v>
      </c>
      <c r="L2" s="363" t="s">
        <v>361</v>
      </c>
      <c r="M2" s="364" t="s">
        <v>362</v>
      </c>
      <c r="N2" s="362" t="s">
        <v>360</v>
      </c>
      <c r="O2" s="363" t="s">
        <v>364</v>
      </c>
      <c r="P2" s="364" t="s">
        <v>363</v>
      </c>
      <c r="Q2" s="362" t="s">
        <v>365</v>
      </c>
      <c r="R2" s="363" t="s">
        <v>361</v>
      </c>
      <c r="S2" s="364" t="s">
        <v>363</v>
      </c>
      <c r="T2" s="362" t="s">
        <v>365</v>
      </c>
      <c r="U2" s="363" t="s">
        <v>364</v>
      </c>
      <c r="V2" s="364" t="s">
        <v>362</v>
      </c>
      <c r="W2" s="362" t="s">
        <v>365</v>
      </c>
      <c r="X2" s="363" t="s">
        <v>364</v>
      </c>
      <c r="Y2" s="364" t="s">
        <v>363</v>
      </c>
    </row>
    <row r="3" spans="1:25" ht="20.75" customHeight="1" x14ac:dyDescent="0.15">
      <c r="A3" s="365" t="s">
        <v>360</v>
      </c>
      <c r="B3" s="540">
        <f>IF(B$2="A",3,2)+IF($A3="A",3,2)+IF(C$2="B",2,1)+IF($A4="B",2,1)+IF(D$2="C",1,0)+IF($A5="C",1,0)-6</f>
        <v>6</v>
      </c>
      <c r="C3" s="531"/>
      <c r="D3" s="532"/>
      <c r="E3" s="540">
        <f>IF(E$2="A",3,2)+IF($A3="A",3,2)+IF(F$2="B",2,1)+IF($A4="B",2,1)+IF(G$2="C",1,0)+IF($A5="C",1,0)-6</f>
        <v>5</v>
      </c>
      <c r="F3" s="531"/>
      <c r="G3" s="532"/>
      <c r="H3" s="540">
        <f>IF(H$2="A",3,2)+IF($A3="A",3,2)+IF(I$2="B",2,1)+IF($A4="B",2,1)+IF(J$2="C",1,0)+IF($A5="C",1,0)-6</f>
        <v>5</v>
      </c>
      <c r="I3" s="531"/>
      <c r="J3" s="532"/>
      <c r="K3" s="540">
        <f>IF(K$2="A",3,2)+IF($A3="A",3,2)+IF(L$2="B",2,1)+IF($A4="B",2,1)+IF(M$2="C",1,0)+IF($A5="C",1,0)-6</f>
        <v>5</v>
      </c>
      <c r="L3" s="531"/>
      <c r="M3" s="532"/>
      <c r="N3" s="540">
        <f>IF(N$2="A",3,2)+IF($A3="A",3,2)+IF(O$2="B",2,1)+IF($A4="B",2,1)+IF(P$2="C",1,0)+IF($A5="C",1,0)-6</f>
        <v>4</v>
      </c>
      <c r="O3" s="531"/>
      <c r="P3" s="532"/>
      <c r="Q3" s="540">
        <f>IF(Q$2="A",3,2)+IF($A3="A",3,2)+IF(R$2="B",2,1)+IF($A4="B",2,1)+IF(S$2="C",1,0)+IF($A5="C",1,0)-6</f>
        <v>4</v>
      </c>
      <c r="R3" s="531"/>
      <c r="S3" s="532"/>
      <c r="T3" s="540">
        <f>IF(T$2="A",3,2)+IF($A3="A",3,2)+IF(U$2="B",2,1)+IF($A4="B",2,1)+IF(V$2="C",1,0)+IF($A5="C",1,0)-6</f>
        <v>4</v>
      </c>
      <c r="U3" s="531"/>
      <c r="V3" s="532"/>
      <c r="W3" s="540">
        <f>IF(W$2="A",3,2)+IF($A3="A",3,2)+IF(X$2="B",2,1)+IF($A4="B",2,1)+IF(Y$2="C",1,0)+IF($A5="C",1,0)-6</f>
        <v>3</v>
      </c>
      <c r="X3" s="531"/>
      <c r="Y3" s="532"/>
    </row>
    <row r="4" spans="1:25" ht="20" customHeight="1" x14ac:dyDescent="0.15">
      <c r="A4" s="366" t="s">
        <v>361</v>
      </c>
      <c r="B4" s="533"/>
      <c r="C4" s="534"/>
      <c r="D4" s="535"/>
      <c r="E4" s="533"/>
      <c r="F4" s="534"/>
      <c r="G4" s="535"/>
      <c r="H4" s="533"/>
      <c r="I4" s="534"/>
      <c r="J4" s="535"/>
      <c r="K4" s="533"/>
      <c r="L4" s="534"/>
      <c r="M4" s="535"/>
      <c r="N4" s="533"/>
      <c r="O4" s="534"/>
      <c r="P4" s="535"/>
      <c r="Q4" s="533"/>
      <c r="R4" s="534"/>
      <c r="S4" s="535"/>
      <c r="T4" s="533"/>
      <c r="U4" s="534"/>
      <c r="V4" s="535"/>
      <c r="W4" s="533"/>
      <c r="X4" s="534"/>
      <c r="Y4" s="535"/>
    </row>
    <row r="5" spans="1:25" ht="20.75" customHeight="1" x14ac:dyDescent="0.15">
      <c r="A5" s="367" t="s">
        <v>362</v>
      </c>
      <c r="B5" s="536"/>
      <c r="C5" s="537"/>
      <c r="D5" s="538"/>
      <c r="E5" s="536"/>
      <c r="F5" s="537"/>
      <c r="G5" s="538"/>
      <c r="H5" s="536"/>
      <c r="I5" s="537"/>
      <c r="J5" s="538"/>
      <c r="K5" s="536"/>
      <c r="L5" s="537"/>
      <c r="M5" s="538"/>
      <c r="N5" s="536"/>
      <c r="O5" s="537"/>
      <c r="P5" s="538"/>
      <c r="Q5" s="536"/>
      <c r="R5" s="537"/>
      <c r="S5" s="538"/>
      <c r="T5" s="536"/>
      <c r="U5" s="537"/>
      <c r="V5" s="538"/>
      <c r="W5" s="536"/>
      <c r="X5" s="537"/>
      <c r="Y5" s="538"/>
    </row>
    <row r="6" spans="1:25" ht="20.75" customHeight="1" x14ac:dyDescent="0.15">
      <c r="A6" s="365" t="s">
        <v>360</v>
      </c>
      <c r="B6" s="540">
        <f>IF(B$2="A",3,2)+IF($A6="A",3,2)+IF(C$2="B",2,1)+IF($A7="B",2,1)+IF(D$2="C",1,0)+IF($A8="C",1,0)-6</f>
        <v>5</v>
      </c>
      <c r="C6" s="531"/>
      <c r="D6" s="532"/>
      <c r="E6" s="540">
        <f>IF(E$2="A",3,2)+IF($A6="A",3,2)+IF(F$2="B",2,1)+IF($A7="B",2,1)+IF(G$2="C",1,0)+IF($A8="C",1,0)-6</f>
        <v>4</v>
      </c>
      <c r="F6" s="531"/>
      <c r="G6" s="532"/>
      <c r="H6" s="540">
        <f>IF(H$2="A",3,2)+IF($A6="A",3,2)+IF(I$2="B",2,1)+IF($A7="B",2,1)+IF(J$2="C",1,0)+IF($A8="C",1,0)-6</f>
        <v>4</v>
      </c>
      <c r="I6" s="531"/>
      <c r="J6" s="532"/>
      <c r="K6" s="540">
        <f>IF(K$2="A",3,2)+IF($A6="A",3,2)+IF(L$2="B",2,1)+IF($A7="B",2,1)+IF(M$2="C",1,0)+IF($A8="C",1,0)-6</f>
        <v>4</v>
      </c>
      <c r="L6" s="531"/>
      <c r="M6" s="532"/>
      <c r="N6" s="540">
        <f>IF(N$2="A",3,2)+IF($A6="A",3,2)+IF(O$2="B",2,1)+IF($A7="B",2,1)+IF(P$2="C",1,0)+IF($A8="C",1,0)-6</f>
        <v>3</v>
      </c>
      <c r="O6" s="531"/>
      <c r="P6" s="532"/>
      <c r="Q6" s="540">
        <f>IF(Q$2="A",3,2)+IF($A6="A",3,2)+IF(R$2="B",2,1)+IF($A7="B",2,1)+IF(S$2="C",1,0)+IF($A8="C",1,0)-6</f>
        <v>3</v>
      </c>
      <c r="R6" s="531"/>
      <c r="S6" s="532"/>
      <c r="T6" s="540">
        <f>IF(T$2="A",3,2)+IF($A6="A",3,2)+IF(U$2="B",2,1)+IF($A7="B",2,1)+IF(V$2="C",1,0)+IF($A8="C",1,0)-6</f>
        <v>3</v>
      </c>
      <c r="U6" s="531"/>
      <c r="V6" s="532"/>
      <c r="W6" s="540">
        <f>IF(W$2="A",3,2)+IF($A6="A",3,2)+IF(X$2="B",2,1)+IF($A7="B",2,1)+IF(Y$2="C",1,0)+IF($A8="C",1,0)-6</f>
        <v>2</v>
      </c>
      <c r="X6" s="531"/>
      <c r="Y6" s="532"/>
    </row>
    <row r="7" spans="1:25" ht="20" customHeight="1" x14ac:dyDescent="0.15">
      <c r="A7" s="366" t="s">
        <v>361</v>
      </c>
      <c r="B7" s="533"/>
      <c r="C7" s="534"/>
      <c r="D7" s="535"/>
      <c r="E7" s="533"/>
      <c r="F7" s="534"/>
      <c r="G7" s="535"/>
      <c r="H7" s="533"/>
      <c r="I7" s="534"/>
      <c r="J7" s="535"/>
      <c r="K7" s="533"/>
      <c r="L7" s="534"/>
      <c r="M7" s="535"/>
      <c r="N7" s="533"/>
      <c r="O7" s="534"/>
      <c r="P7" s="535"/>
      <c r="Q7" s="533"/>
      <c r="R7" s="534"/>
      <c r="S7" s="535"/>
      <c r="T7" s="533"/>
      <c r="U7" s="534"/>
      <c r="V7" s="535"/>
      <c r="W7" s="533"/>
      <c r="X7" s="534"/>
      <c r="Y7" s="535"/>
    </row>
    <row r="8" spans="1:25" ht="20.75" customHeight="1" x14ac:dyDescent="0.15">
      <c r="A8" s="367" t="s">
        <v>363</v>
      </c>
      <c r="B8" s="536"/>
      <c r="C8" s="537"/>
      <c r="D8" s="538"/>
      <c r="E8" s="536"/>
      <c r="F8" s="537"/>
      <c r="G8" s="538"/>
      <c r="H8" s="536"/>
      <c r="I8" s="537"/>
      <c r="J8" s="538"/>
      <c r="K8" s="536"/>
      <c r="L8" s="537"/>
      <c r="M8" s="538"/>
      <c r="N8" s="536"/>
      <c r="O8" s="537"/>
      <c r="P8" s="538"/>
      <c r="Q8" s="536"/>
      <c r="R8" s="537"/>
      <c r="S8" s="538"/>
      <c r="T8" s="536"/>
      <c r="U8" s="537"/>
      <c r="V8" s="538"/>
      <c r="W8" s="536"/>
      <c r="X8" s="537"/>
      <c r="Y8" s="538"/>
    </row>
    <row r="9" spans="1:25" ht="20.75" customHeight="1" x14ac:dyDescent="0.15">
      <c r="A9" s="365" t="s">
        <v>360</v>
      </c>
      <c r="B9" s="540">
        <f>IF(B$2="A",3,2)+IF($A9="A",3,2)+IF(C$2="B",2,1)+IF($A10="B",2,1)+IF(D$2="C",1,0)+IF($A11="C",1,0)-6</f>
        <v>5</v>
      </c>
      <c r="C9" s="531"/>
      <c r="D9" s="532"/>
      <c r="E9" s="540">
        <f>IF(E$2="A",3,2)+IF($A9="A",3,2)+IF(F$2="B",2,1)+IF($A10="B",2,1)+IF(G$2="C",1,0)+IF($A11="C",1,0)-6</f>
        <v>4</v>
      </c>
      <c r="F9" s="531"/>
      <c r="G9" s="532"/>
      <c r="H9" s="540">
        <f>IF(H$2="A",3,2)+IF($A9="A",3,2)+IF(I$2="B",2,1)+IF($A10="B",2,1)+IF(J$2="C",1,0)+IF($A11="C",1,0)-6</f>
        <v>4</v>
      </c>
      <c r="I9" s="531"/>
      <c r="J9" s="532"/>
      <c r="K9" s="540">
        <f>IF(K$2="A",3,2)+IF($A9="A",3,2)+IF(L$2="B",2,1)+IF($A10="B",2,1)+IF(M$2="C",1,0)+IF($A11="C",1,0)-6</f>
        <v>4</v>
      </c>
      <c r="L9" s="531"/>
      <c r="M9" s="532"/>
      <c r="N9" s="540">
        <f>IF(N$2="A",3,2)+IF($A9="A",3,2)+IF(O$2="B",2,1)+IF($A10="B",2,1)+IF(P$2="C",1,0)+IF($A11="C",1,0)-6</f>
        <v>3</v>
      </c>
      <c r="O9" s="531"/>
      <c r="P9" s="532"/>
      <c r="Q9" s="540">
        <f>IF(Q$2="A",3,2)+IF($A9="A",3,2)+IF(R$2="B",2,1)+IF($A10="B",2,1)+IF(S$2="C",1,0)+IF($A11="C",1,0)-6</f>
        <v>3</v>
      </c>
      <c r="R9" s="531"/>
      <c r="S9" s="532"/>
      <c r="T9" s="540">
        <f>IF(T$2="A",3,2)+IF($A9="A",3,2)+IF(U$2="B",2,1)+IF($A10="B",2,1)+IF(V$2="C",1,0)+IF($A11="C",1,0)-6</f>
        <v>3</v>
      </c>
      <c r="U9" s="531"/>
      <c r="V9" s="532"/>
      <c r="W9" s="540">
        <f>IF(W$2="A",3,2)+IF($A9="A",3,2)+IF(X$2="B",2,1)+IF($A10="B",2,1)+IF(Y$2="C",1,0)+IF($A11="C",1,0)-6</f>
        <v>2</v>
      </c>
      <c r="X9" s="531"/>
      <c r="Y9" s="532"/>
    </row>
    <row r="10" spans="1:25" ht="20" customHeight="1" x14ac:dyDescent="0.15">
      <c r="A10" s="366" t="s">
        <v>364</v>
      </c>
      <c r="B10" s="533"/>
      <c r="C10" s="534"/>
      <c r="D10" s="535"/>
      <c r="E10" s="533"/>
      <c r="F10" s="534"/>
      <c r="G10" s="535"/>
      <c r="H10" s="533"/>
      <c r="I10" s="534"/>
      <c r="J10" s="535"/>
      <c r="K10" s="533"/>
      <c r="L10" s="534"/>
      <c r="M10" s="535"/>
      <c r="N10" s="533"/>
      <c r="O10" s="534"/>
      <c r="P10" s="535"/>
      <c r="Q10" s="533"/>
      <c r="R10" s="534"/>
      <c r="S10" s="535"/>
      <c r="T10" s="533"/>
      <c r="U10" s="534"/>
      <c r="V10" s="535"/>
      <c r="W10" s="533"/>
      <c r="X10" s="534"/>
      <c r="Y10" s="535"/>
    </row>
    <row r="11" spans="1:25" ht="20.75" customHeight="1" x14ac:dyDescent="0.15">
      <c r="A11" s="367" t="s">
        <v>362</v>
      </c>
      <c r="B11" s="536"/>
      <c r="C11" s="537"/>
      <c r="D11" s="538"/>
      <c r="E11" s="536"/>
      <c r="F11" s="537"/>
      <c r="G11" s="538"/>
      <c r="H11" s="536"/>
      <c r="I11" s="537"/>
      <c r="J11" s="538"/>
      <c r="K11" s="536"/>
      <c r="L11" s="537"/>
      <c r="M11" s="538"/>
      <c r="N11" s="536"/>
      <c r="O11" s="537"/>
      <c r="P11" s="538"/>
      <c r="Q11" s="536"/>
      <c r="R11" s="537"/>
      <c r="S11" s="538"/>
      <c r="T11" s="536"/>
      <c r="U11" s="537"/>
      <c r="V11" s="538"/>
      <c r="W11" s="536"/>
      <c r="X11" s="537"/>
      <c r="Y11" s="538"/>
    </row>
    <row r="12" spans="1:25" ht="20.75" customHeight="1" x14ac:dyDescent="0.15">
      <c r="A12" s="365" t="s">
        <v>365</v>
      </c>
      <c r="B12" s="540">
        <f>IF(B$2="A",3,2)+IF($A12="A",3,2)+IF(C$2="B",2,1)+IF($A13="B",2,1)+IF(D$2="C",1,0)+IF($A14="C",1,0)-6</f>
        <v>5</v>
      </c>
      <c r="C12" s="531"/>
      <c r="D12" s="532"/>
      <c r="E12" s="540">
        <f>IF(E$2="A",3,2)+IF($A12="A",3,2)+IF(F$2="B",2,1)+IF($A13="B",2,1)+IF(G$2="C",1,0)+IF($A14="C",1,0)-6</f>
        <v>4</v>
      </c>
      <c r="F12" s="531"/>
      <c r="G12" s="532"/>
      <c r="H12" s="540">
        <f>IF(H$2="A",3,2)+IF($A12="A",3,2)+IF(I$2="B",2,1)+IF($A13="B",2,1)+IF(J$2="C",1,0)+IF($A14="C",1,0)-6</f>
        <v>4</v>
      </c>
      <c r="I12" s="531"/>
      <c r="J12" s="532"/>
      <c r="K12" s="540">
        <f>IF(K$2="A",3,2)+IF($A12="A",3,2)+IF(L$2="B",2,1)+IF($A13="B",2,1)+IF(M$2="C",1,0)+IF($A14="C",1,0)-6</f>
        <v>4</v>
      </c>
      <c r="L12" s="531"/>
      <c r="M12" s="532"/>
      <c r="N12" s="540">
        <f>IF(N$2="A",3,2)+IF($A12="A",3,2)+IF(O$2="B",2,1)+IF($A13="B",2,1)+IF(P$2="C",1,0)+IF($A14="C",1,0)-6</f>
        <v>3</v>
      </c>
      <c r="O12" s="531"/>
      <c r="P12" s="532"/>
      <c r="Q12" s="540">
        <f>IF(Q$2="A",3,2)+IF($A12="A",3,2)+IF(R$2="B",2,1)+IF($A13="B",2,1)+IF(S$2="C",1,0)+IF($A14="C",1,0)-6</f>
        <v>3</v>
      </c>
      <c r="R12" s="531"/>
      <c r="S12" s="532"/>
      <c r="T12" s="540">
        <f>IF(T$2="A",3,2)+IF($A12="A",3,2)+IF(U$2="B",2,1)+IF($A13="B",2,1)+IF(V$2="C",1,0)+IF($A14="C",1,0)-6</f>
        <v>3</v>
      </c>
      <c r="U12" s="531"/>
      <c r="V12" s="532"/>
      <c r="W12" s="540">
        <f>IF(W$2="A",3,2)+IF($A12="A",3,2)+IF(X$2="B",2,1)+IF($A13="B",2,1)+IF(Y$2="C",1,0)+IF($A14="C",1,0)-6</f>
        <v>2</v>
      </c>
      <c r="X12" s="531"/>
      <c r="Y12" s="532"/>
    </row>
    <row r="13" spans="1:25" ht="20" customHeight="1" x14ac:dyDescent="0.15">
      <c r="A13" s="366" t="s">
        <v>361</v>
      </c>
      <c r="B13" s="533"/>
      <c r="C13" s="534"/>
      <c r="D13" s="535"/>
      <c r="E13" s="533"/>
      <c r="F13" s="534"/>
      <c r="G13" s="535"/>
      <c r="H13" s="533"/>
      <c r="I13" s="534"/>
      <c r="J13" s="535"/>
      <c r="K13" s="533"/>
      <c r="L13" s="534"/>
      <c r="M13" s="535"/>
      <c r="N13" s="533"/>
      <c r="O13" s="534"/>
      <c r="P13" s="535"/>
      <c r="Q13" s="533"/>
      <c r="R13" s="534"/>
      <c r="S13" s="535"/>
      <c r="T13" s="533"/>
      <c r="U13" s="534"/>
      <c r="V13" s="535"/>
      <c r="W13" s="533"/>
      <c r="X13" s="534"/>
      <c r="Y13" s="535"/>
    </row>
    <row r="14" spans="1:25" ht="20.75" customHeight="1" x14ac:dyDescent="0.15">
      <c r="A14" s="367" t="s">
        <v>362</v>
      </c>
      <c r="B14" s="536"/>
      <c r="C14" s="537"/>
      <c r="D14" s="538"/>
      <c r="E14" s="536"/>
      <c r="F14" s="537"/>
      <c r="G14" s="538"/>
      <c r="H14" s="536"/>
      <c r="I14" s="537"/>
      <c r="J14" s="538"/>
      <c r="K14" s="536"/>
      <c r="L14" s="537"/>
      <c r="M14" s="538"/>
      <c r="N14" s="536"/>
      <c r="O14" s="537"/>
      <c r="P14" s="538"/>
      <c r="Q14" s="536"/>
      <c r="R14" s="537"/>
      <c r="S14" s="538"/>
      <c r="T14" s="536"/>
      <c r="U14" s="537"/>
      <c r="V14" s="538"/>
      <c r="W14" s="536"/>
      <c r="X14" s="537"/>
      <c r="Y14" s="538"/>
    </row>
    <row r="15" spans="1:25" ht="20.75" customHeight="1" x14ac:dyDescent="0.15">
      <c r="A15" s="365" t="s">
        <v>360</v>
      </c>
      <c r="B15" s="540">
        <f>IF(B$2="A",3,2)+IF($A15="A",3,2)+IF(C$2="B",2,1)+IF($A16="B",2,1)+IF(D$2="C",1,0)+IF($A17="C",1,0)-6</f>
        <v>4</v>
      </c>
      <c r="C15" s="531"/>
      <c r="D15" s="532"/>
      <c r="E15" s="540">
        <f>IF(E$2="A",3,2)+IF($A15="A",3,2)+IF(F$2="B",2,1)+IF($A16="B",2,1)+IF(G$2="C",1,0)+IF($A17="C",1,0)-6</f>
        <v>3</v>
      </c>
      <c r="F15" s="531"/>
      <c r="G15" s="532"/>
      <c r="H15" s="540">
        <f>IF(H$2="A",3,2)+IF($A15="A",3,2)+IF(I$2="B",2,1)+IF($A16="B",2,1)+IF(J$2="C",1,0)+IF($A17="C",1,0)-6</f>
        <v>3</v>
      </c>
      <c r="I15" s="531"/>
      <c r="J15" s="532"/>
      <c r="K15" s="540">
        <f>IF(K$2="A",3,2)+IF($A15="A",3,2)+IF(L$2="B",2,1)+IF($A16="B",2,1)+IF(M$2="C",1,0)+IF($A17="C",1,0)-6</f>
        <v>3</v>
      </c>
      <c r="L15" s="531"/>
      <c r="M15" s="532"/>
      <c r="N15" s="540">
        <f>IF(N$2="A",3,2)+IF($A15="A",3,2)+IF(O$2="B",2,1)+IF($A16="B",2,1)+IF(P$2="C",1,0)+IF($A17="C",1,0)-6</f>
        <v>2</v>
      </c>
      <c r="O15" s="531"/>
      <c r="P15" s="532"/>
      <c r="Q15" s="540">
        <f>IF(Q$2="A",3,2)+IF($A15="A",3,2)+IF(R$2="B",2,1)+IF($A16="B",2,1)+IF(S$2="C",1,0)+IF($A17="C",1,0)-6</f>
        <v>2</v>
      </c>
      <c r="R15" s="531"/>
      <c r="S15" s="532"/>
      <c r="T15" s="540">
        <f>IF(T$2="A",3,2)+IF($A15="A",3,2)+IF(U$2="B",2,1)+IF($A16="B",2,1)+IF(V$2="C",1,0)+IF($A17="C",1,0)-6</f>
        <v>2</v>
      </c>
      <c r="U15" s="531"/>
      <c r="V15" s="532"/>
      <c r="W15" s="540">
        <f>IF(W$2="A",3,2)+IF($A15="A",3,2)+IF(X$2="B",2,1)+IF($A16="B",2,1)+IF(Y$2="C",1,0)+IF($A17="C",1,0)-6</f>
        <v>1</v>
      </c>
      <c r="X15" s="531"/>
      <c r="Y15" s="532"/>
    </row>
    <row r="16" spans="1:25" ht="20" customHeight="1" x14ac:dyDescent="0.15">
      <c r="A16" s="366" t="s">
        <v>364</v>
      </c>
      <c r="B16" s="533"/>
      <c r="C16" s="534"/>
      <c r="D16" s="535"/>
      <c r="E16" s="533"/>
      <c r="F16" s="534"/>
      <c r="G16" s="535"/>
      <c r="H16" s="533"/>
      <c r="I16" s="534"/>
      <c r="J16" s="535"/>
      <c r="K16" s="533"/>
      <c r="L16" s="534"/>
      <c r="M16" s="535"/>
      <c r="N16" s="533"/>
      <c r="O16" s="534"/>
      <c r="P16" s="535"/>
      <c r="Q16" s="533"/>
      <c r="R16" s="534"/>
      <c r="S16" s="535"/>
      <c r="T16" s="533"/>
      <c r="U16" s="534"/>
      <c r="V16" s="535"/>
      <c r="W16" s="533"/>
      <c r="X16" s="534"/>
      <c r="Y16" s="535"/>
    </row>
    <row r="17" spans="1:25" ht="20.75" customHeight="1" x14ac:dyDescent="0.15">
      <c r="A17" s="367" t="s">
        <v>363</v>
      </c>
      <c r="B17" s="536"/>
      <c r="C17" s="537"/>
      <c r="D17" s="538"/>
      <c r="E17" s="536"/>
      <c r="F17" s="537"/>
      <c r="G17" s="538"/>
      <c r="H17" s="536"/>
      <c r="I17" s="537"/>
      <c r="J17" s="538"/>
      <c r="K17" s="536"/>
      <c r="L17" s="537"/>
      <c r="M17" s="538"/>
      <c r="N17" s="536"/>
      <c r="O17" s="537"/>
      <c r="P17" s="538"/>
      <c r="Q17" s="536"/>
      <c r="R17" s="537"/>
      <c r="S17" s="538"/>
      <c r="T17" s="536"/>
      <c r="U17" s="537"/>
      <c r="V17" s="538"/>
      <c r="W17" s="536"/>
      <c r="X17" s="537"/>
      <c r="Y17" s="538"/>
    </row>
    <row r="18" spans="1:25" ht="20.75" customHeight="1" x14ac:dyDescent="0.15">
      <c r="A18" s="365" t="s">
        <v>365</v>
      </c>
      <c r="B18" s="540">
        <f>IF(B$2="A",3,2)+IF($A18="A",3,2)+IF(C$2="B",2,1)+IF($A19="B",2,1)+IF(D$2="C",1,0)+IF($A20="C",1,0)-6</f>
        <v>4</v>
      </c>
      <c r="C18" s="531"/>
      <c r="D18" s="532"/>
      <c r="E18" s="540">
        <f>IF(E$2="A",3,2)+IF($A18="A",3,2)+IF(F$2="B",2,1)+IF($A19="B",2,1)+IF(G$2="C",1,0)+IF($A20="C",1,0)-6</f>
        <v>3</v>
      </c>
      <c r="F18" s="531"/>
      <c r="G18" s="532"/>
      <c r="H18" s="540">
        <f>IF(H$2="A",3,2)+IF($A18="A",3,2)+IF(I$2="B",2,1)+IF($A19="B",2,1)+IF(J$2="C",1,0)+IF($A20="C",1,0)-6</f>
        <v>3</v>
      </c>
      <c r="I18" s="531"/>
      <c r="J18" s="532"/>
      <c r="K18" s="540">
        <f>IF(K$2="A",3,2)+IF($A18="A",3,2)+IF(L$2="B",2,1)+IF($A19="B",2,1)+IF(M$2="C",1,0)+IF($A20="C",1,0)-6</f>
        <v>3</v>
      </c>
      <c r="L18" s="531"/>
      <c r="M18" s="532"/>
      <c r="N18" s="540">
        <f>IF(N$2="A",3,2)+IF($A18="A",3,2)+IF(O$2="B",2,1)+IF($A19="B",2,1)+IF(P$2="C",1,0)+IF($A20="C",1,0)-6</f>
        <v>2</v>
      </c>
      <c r="O18" s="531"/>
      <c r="P18" s="532"/>
      <c r="Q18" s="540">
        <f>IF(Q$2="A",3,2)+IF($A18="A",3,2)+IF(R$2="B",2,1)+IF($A19="B",2,1)+IF(S$2="C",1,0)+IF($A20="C",1,0)-6</f>
        <v>2</v>
      </c>
      <c r="R18" s="531"/>
      <c r="S18" s="532"/>
      <c r="T18" s="540">
        <f>IF(T$2="A",3,2)+IF($A18="A",3,2)+IF(U$2="B",2,1)+IF($A19="B",2,1)+IF(V$2="C",1,0)+IF($A20="C",1,0)-6</f>
        <v>2</v>
      </c>
      <c r="U18" s="531"/>
      <c r="V18" s="532"/>
      <c r="W18" s="540">
        <f>IF(W$2="A",3,2)+IF($A18="A",3,2)+IF(X$2="B",2,1)+IF($A19="B",2,1)+IF(Y$2="C",1,0)+IF($A20="C",1,0)-6</f>
        <v>1</v>
      </c>
      <c r="X18" s="531"/>
      <c r="Y18" s="532"/>
    </row>
    <row r="19" spans="1:25" ht="20" customHeight="1" x14ac:dyDescent="0.15">
      <c r="A19" s="366" t="s">
        <v>361</v>
      </c>
      <c r="B19" s="533"/>
      <c r="C19" s="534"/>
      <c r="D19" s="535"/>
      <c r="E19" s="533"/>
      <c r="F19" s="534"/>
      <c r="G19" s="535"/>
      <c r="H19" s="533"/>
      <c r="I19" s="534"/>
      <c r="J19" s="535"/>
      <c r="K19" s="533"/>
      <c r="L19" s="534"/>
      <c r="M19" s="535"/>
      <c r="N19" s="533"/>
      <c r="O19" s="534"/>
      <c r="P19" s="535"/>
      <c r="Q19" s="533"/>
      <c r="R19" s="534"/>
      <c r="S19" s="535"/>
      <c r="T19" s="533"/>
      <c r="U19" s="534"/>
      <c r="V19" s="535"/>
      <c r="W19" s="533"/>
      <c r="X19" s="534"/>
      <c r="Y19" s="535"/>
    </row>
    <row r="20" spans="1:25" ht="20.75" customHeight="1" x14ac:dyDescent="0.15">
      <c r="A20" s="367" t="s">
        <v>363</v>
      </c>
      <c r="B20" s="536"/>
      <c r="C20" s="537"/>
      <c r="D20" s="538"/>
      <c r="E20" s="536"/>
      <c r="F20" s="537"/>
      <c r="G20" s="538"/>
      <c r="H20" s="536"/>
      <c r="I20" s="537"/>
      <c r="J20" s="538"/>
      <c r="K20" s="536"/>
      <c r="L20" s="537"/>
      <c r="M20" s="538"/>
      <c r="N20" s="536"/>
      <c r="O20" s="537"/>
      <c r="P20" s="538"/>
      <c r="Q20" s="536"/>
      <c r="R20" s="537"/>
      <c r="S20" s="538"/>
      <c r="T20" s="536"/>
      <c r="U20" s="537"/>
      <c r="V20" s="538"/>
      <c r="W20" s="536"/>
      <c r="X20" s="537"/>
      <c r="Y20" s="538"/>
    </row>
    <row r="21" spans="1:25" ht="20.75" customHeight="1" x14ac:dyDescent="0.15">
      <c r="A21" s="365" t="s">
        <v>365</v>
      </c>
      <c r="B21" s="540">
        <f>IF(B$2="A",3,2)+IF($A21="A",3,2)+IF(C$2="B",2,1)+IF($A22="B",2,1)+IF(D$2="C",1,0)+IF($A23="C",1,0)-6</f>
        <v>4</v>
      </c>
      <c r="C21" s="531"/>
      <c r="D21" s="532"/>
      <c r="E21" s="540">
        <f>IF(E$2="A",3,2)+IF($A21="A",3,2)+IF(F$2="B",2,1)+IF($A22="B",2,1)+IF(G$2="C",1,0)+IF($A23="C",1,0)-6</f>
        <v>3</v>
      </c>
      <c r="F21" s="531"/>
      <c r="G21" s="532"/>
      <c r="H21" s="540">
        <f>IF(H$2="A",3,2)+IF($A21="A",3,2)+IF(I$2="B",2,1)+IF($A22="B",2,1)+IF(J$2="C",1,0)+IF($A23="C",1,0)-6</f>
        <v>3</v>
      </c>
      <c r="I21" s="531"/>
      <c r="J21" s="532"/>
      <c r="K21" s="540">
        <f>IF(K$2="A",3,2)+IF($A21="A",3,2)+IF(L$2="B",2,1)+IF($A22="B",2,1)+IF(M$2="C",1,0)+IF($A23="C",1,0)-6</f>
        <v>3</v>
      </c>
      <c r="L21" s="531"/>
      <c r="M21" s="532"/>
      <c r="N21" s="540">
        <f>IF(N$2="A",3,2)+IF($A21="A",3,2)+IF(O$2="B",2,1)+IF($A22="B",2,1)+IF(P$2="C",1,0)+IF($A23="C",1,0)-6</f>
        <v>2</v>
      </c>
      <c r="O21" s="531"/>
      <c r="P21" s="532"/>
      <c r="Q21" s="540">
        <f>IF(Q$2="A",3,2)+IF($A21="A",3,2)+IF(R$2="B",2,1)+IF($A22="B",2,1)+IF(S$2="C",1,0)+IF($A23="C",1,0)-6</f>
        <v>2</v>
      </c>
      <c r="R21" s="531"/>
      <c r="S21" s="532"/>
      <c r="T21" s="540">
        <f>IF(T$2="A",3,2)+IF($A21="A",3,2)+IF(U$2="B",2,1)+IF($A22="B",2,1)+IF(V$2="C",1,0)+IF($A23="C",1,0)-6</f>
        <v>2</v>
      </c>
      <c r="U21" s="531"/>
      <c r="V21" s="532"/>
      <c r="W21" s="540">
        <f>IF(W$2="A",3,2)+IF($A21="A",3,2)+IF(X$2="B",2,1)+IF($A22="B",2,1)+IF(Y$2="C",1,0)+IF($A23="C",1,0)-6</f>
        <v>1</v>
      </c>
      <c r="X21" s="531"/>
      <c r="Y21" s="532"/>
    </row>
    <row r="22" spans="1:25" ht="20" customHeight="1" x14ac:dyDescent="0.15">
      <c r="A22" s="366" t="s">
        <v>364</v>
      </c>
      <c r="B22" s="533"/>
      <c r="C22" s="534"/>
      <c r="D22" s="535"/>
      <c r="E22" s="533"/>
      <c r="F22" s="534"/>
      <c r="G22" s="535"/>
      <c r="H22" s="533"/>
      <c r="I22" s="534"/>
      <c r="J22" s="535"/>
      <c r="K22" s="533"/>
      <c r="L22" s="534"/>
      <c r="M22" s="535"/>
      <c r="N22" s="533"/>
      <c r="O22" s="534"/>
      <c r="P22" s="535"/>
      <c r="Q22" s="533"/>
      <c r="R22" s="534"/>
      <c r="S22" s="535"/>
      <c r="T22" s="533"/>
      <c r="U22" s="534"/>
      <c r="V22" s="535"/>
      <c r="W22" s="533"/>
      <c r="X22" s="534"/>
      <c r="Y22" s="535"/>
    </row>
    <row r="23" spans="1:25" ht="20.75" customHeight="1" x14ac:dyDescent="0.15">
      <c r="A23" s="367" t="s">
        <v>362</v>
      </c>
      <c r="B23" s="536"/>
      <c r="C23" s="537"/>
      <c r="D23" s="538"/>
      <c r="E23" s="536"/>
      <c r="F23" s="537"/>
      <c r="G23" s="538"/>
      <c r="H23" s="536"/>
      <c r="I23" s="537"/>
      <c r="J23" s="538"/>
      <c r="K23" s="536"/>
      <c r="L23" s="537"/>
      <c r="M23" s="538"/>
      <c r="N23" s="536"/>
      <c r="O23" s="537"/>
      <c r="P23" s="538"/>
      <c r="Q23" s="536"/>
      <c r="R23" s="537"/>
      <c r="S23" s="538"/>
      <c r="T23" s="536"/>
      <c r="U23" s="537"/>
      <c r="V23" s="538"/>
      <c r="W23" s="536"/>
      <c r="X23" s="537"/>
      <c r="Y23" s="538"/>
    </row>
    <row r="24" spans="1:25" ht="20.75" customHeight="1" x14ac:dyDescent="0.15">
      <c r="A24" s="365" t="s">
        <v>365</v>
      </c>
      <c r="B24" s="540">
        <f>IF(B$2="A",3,2)+IF($A24="A",3,2)+IF(C$2="B",2,1)+IF($A25="B",2,1)+IF(D$2="C",1,0)+IF($A26="C",1,0)-6</f>
        <v>3</v>
      </c>
      <c r="C24" s="531"/>
      <c r="D24" s="532"/>
      <c r="E24" s="540">
        <f>IF(E$2="A",3,2)+IF($A24="A",3,2)+IF(F$2="B",2,1)+IF($A25="B",2,1)+IF(G$2="C",1,0)+IF($A26="C",1,0)-6</f>
        <v>2</v>
      </c>
      <c r="F24" s="531"/>
      <c r="G24" s="532"/>
      <c r="H24" s="540">
        <f>IF(H$2="A",3,2)+IF($A24="A",3,2)+IF(I$2="B",2,1)+IF($A25="B",2,1)+IF(J$2="C",1,0)+IF($A26="C",1,0)-6</f>
        <v>2</v>
      </c>
      <c r="I24" s="531"/>
      <c r="J24" s="532"/>
      <c r="K24" s="540">
        <f>IF(K$2="A",3,2)+IF($A24="A",3,2)+IF(L$2="B",2,1)+IF($A25="B",2,1)+IF(M$2="C",1,0)+IF($A26="C",1,0)-6</f>
        <v>2</v>
      </c>
      <c r="L24" s="531"/>
      <c r="M24" s="532"/>
      <c r="N24" s="540">
        <f>IF(N$2="A",3,2)+IF($A24="A",3,2)+IF(O$2="B",2,1)+IF($A25="B",2,1)+IF(P$2="C",1,0)+IF($A26="C",1,0)-6</f>
        <v>1</v>
      </c>
      <c r="O24" s="531"/>
      <c r="P24" s="532"/>
      <c r="Q24" s="540">
        <f>IF(Q$2="A",3,2)+IF($A24="A",3,2)+IF(R$2="B",2,1)+IF($A25="B",2,1)+IF(S$2="C",1,0)+IF($A26="C",1,0)-6</f>
        <v>1</v>
      </c>
      <c r="R24" s="531"/>
      <c r="S24" s="532"/>
      <c r="T24" s="540">
        <f>IF(T$2="A",3,2)+IF($A24="A",3,2)+IF(U$2="B",2,1)+IF($A25="B",2,1)+IF(V$2="C",1,0)+IF($A26="C",1,0)-6</f>
        <v>1</v>
      </c>
      <c r="U24" s="531"/>
      <c r="V24" s="532"/>
      <c r="W24" s="540">
        <f>IF(W$2="A",3,2)+IF($A24="A",3,2)+IF(X$2="B",2,1)+IF($A25="B",2,1)+IF(Y$2="C",1,0)+IF($A26="C",1,0)-6</f>
        <v>0</v>
      </c>
      <c r="X24" s="531"/>
      <c r="Y24" s="532"/>
    </row>
    <row r="25" spans="1:25" ht="20" customHeight="1" x14ac:dyDescent="0.15">
      <c r="A25" s="366" t="s">
        <v>364</v>
      </c>
      <c r="B25" s="533"/>
      <c r="C25" s="534"/>
      <c r="D25" s="535"/>
      <c r="E25" s="533"/>
      <c r="F25" s="534"/>
      <c r="G25" s="535"/>
      <c r="H25" s="533"/>
      <c r="I25" s="534"/>
      <c r="J25" s="535"/>
      <c r="K25" s="533"/>
      <c r="L25" s="534"/>
      <c r="M25" s="535"/>
      <c r="N25" s="533"/>
      <c r="O25" s="534"/>
      <c r="P25" s="535"/>
      <c r="Q25" s="533"/>
      <c r="R25" s="534"/>
      <c r="S25" s="535"/>
      <c r="T25" s="533"/>
      <c r="U25" s="534"/>
      <c r="V25" s="535"/>
      <c r="W25" s="533"/>
      <c r="X25" s="534"/>
      <c r="Y25" s="535"/>
    </row>
    <row r="26" spans="1:25" ht="20.75" customHeight="1" x14ac:dyDescent="0.15">
      <c r="A26" s="367" t="s">
        <v>363</v>
      </c>
      <c r="B26" s="536"/>
      <c r="C26" s="537"/>
      <c r="D26" s="538"/>
      <c r="E26" s="536"/>
      <c r="F26" s="537"/>
      <c r="G26" s="538"/>
      <c r="H26" s="536"/>
      <c r="I26" s="537"/>
      <c r="J26" s="538"/>
      <c r="K26" s="536"/>
      <c r="L26" s="537"/>
      <c r="M26" s="538"/>
      <c r="N26" s="536"/>
      <c r="O26" s="537"/>
      <c r="P26" s="538"/>
      <c r="Q26" s="536"/>
      <c r="R26" s="537"/>
      <c r="S26" s="538"/>
      <c r="T26" s="536"/>
      <c r="U26" s="537"/>
      <c r="V26" s="538"/>
      <c r="W26" s="536"/>
      <c r="X26" s="537"/>
      <c r="Y26" s="538"/>
    </row>
  </sheetData>
  <mergeCells count="65">
    <mergeCell ref="H3:J5"/>
    <mergeCell ref="E3:G5"/>
    <mergeCell ref="B3:D5"/>
    <mergeCell ref="W3:Y5"/>
    <mergeCell ref="T3:V5"/>
    <mergeCell ref="Q3:S5"/>
    <mergeCell ref="N3:P5"/>
    <mergeCell ref="K3:M5"/>
    <mergeCell ref="H9:J11"/>
    <mergeCell ref="E9:G11"/>
    <mergeCell ref="B9:D11"/>
    <mergeCell ref="W6:Y8"/>
    <mergeCell ref="T6:V8"/>
    <mergeCell ref="Q6:S8"/>
    <mergeCell ref="N6:P8"/>
    <mergeCell ref="K6:M8"/>
    <mergeCell ref="H6:J8"/>
    <mergeCell ref="E6:G8"/>
    <mergeCell ref="B6:D8"/>
    <mergeCell ref="W9:Y11"/>
    <mergeCell ref="T9:V11"/>
    <mergeCell ref="Q9:S11"/>
    <mergeCell ref="N9:P11"/>
    <mergeCell ref="K9:M11"/>
    <mergeCell ref="H15:J17"/>
    <mergeCell ref="E15:G17"/>
    <mergeCell ref="B15:D17"/>
    <mergeCell ref="W12:Y14"/>
    <mergeCell ref="T12:V14"/>
    <mergeCell ref="Q12:S14"/>
    <mergeCell ref="N12:P14"/>
    <mergeCell ref="K12:M14"/>
    <mergeCell ref="H12:J14"/>
    <mergeCell ref="E12:G14"/>
    <mergeCell ref="B12:D14"/>
    <mergeCell ref="W15:Y17"/>
    <mergeCell ref="T15:V17"/>
    <mergeCell ref="Q15:S17"/>
    <mergeCell ref="N15:P17"/>
    <mergeCell ref="K15:M17"/>
    <mergeCell ref="B21:D23"/>
    <mergeCell ref="W18:Y20"/>
    <mergeCell ref="T18:V20"/>
    <mergeCell ref="Q18:S20"/>
    <mergeCell ref="N18:P20"/>
    <mergeCell ref="K18:M20"/>
    <mergeCell ref="H18:J20"/>
    <mergeCell ref="E18:G20"/>
    <mergeCell ref="B18:D20"/>
    <mergeCell ref="A1:Y1"/>
    <mergeCell ref="W24:Y26"/>
    <mergeCell ref="T24:V26"/>
    <mergeCell ref="Q24:S26"/>
    <mergeCell ref="N24:P26"/>
    <mergeCell ref="K24:M26"/>
    <mergeCell ref="H24:J26"/>
    <mergeCell ref="E24:G26"/>
    <mergeCell ref="B24:D26"/>
    <mergeCell ref="W21:Y23"/>
    <mergeCell ref="T21:V23"/>
    <mergeCell ref="Q21:S23"/>
    <mergeCell ref="N21:P23"/>
    <mergeCell ref="K21:M23"/>
    <mergeCell ref="H21:J23"/>
    <mergeCell ref="E21:G23"/>
  </mergeCells>
  <conditionalFormatting sqref="A2:Y2 A3:B3 E3 H3 K3 N3 Q3 T3 W3 A4:A6 B6 E6 H6 K6 N6 Q6 T6 W6 A7:A9 B9 E9 H9 K9 N9 Q9 T9 W9 A10:A12 B12 E12 H12 K12 N12 Q12 T12 W12 A13:A15 B15 E15 H15 K15 N15 Q15 T15 W15 A16:A18 B18 E18 H18 K18 N18 Q18 T18 W18 A19:A21 B21 E21 H21 K21 N21 Q21 T21 W21 A22:A24 B24 E24 H24 K24 N24 Q24 T24 W24 A25:A26">
    <cfRule type="cellIs" dxfId="6" priority="1" stopIfTrue="1" operator="equal">
      <formula>6</formula>
    </cfRule>
    <cfRule type="cellIs" dxfId="5" priority="2" stopIfTrue="1" operator="equal">
      <formula>5</formula>
    </cfRule>
    <cfRule type="cellIs" dxfId="4" priority="3" stopIfTrue="1" operator="equal">
      <formula>4</formula>
    </cfRule>
    <cfRule type="cellIs" dxfId="3" priority="4" stopIfTrue="1" operator="equal">
      <formula>2</formula>
    </cfRule>
    <cfRule type="cellIs" dxfId="2" priority="5" stopIfTrue="1" operator="equal">
      <formula>1</formula>
    </cfRule>
    <cfRule type="cellIs" dxfId="1" priority="6" stopIfTrue="1" operator="equal">
      <formula>3</formula>
    </cfRule>
    <cfRule type="cellIs" dxfId="0" priority="7" stopIfTrue="1" operator="equal">
      <formula>0</formula>
    </cfRule>
  </conditionalFormatting>
  <pageMargins left="1" right="1" top="1" bottom="1" header="0.25" footer="0.25"/>
  <pageSetup orientation="portrait"/>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E86"/>
  <sheetViews>
    <sheetView showGridLines="0" workbookViewId="0">
      <pane xSplit="1" ySplit="2" topLeftCell="B3" activePane="bottomRight" state="frozen"/>
      <selection pane="topRight"/>
      <selection pane="bottomLeft"/>
      <selection pane="bottomRight" activeCell="B3" sqref="B3"/>
    </sheetView>
  </sheetViews>
  <sheetFormatPr baseColWidth="10" defaultColWidth="16.33203125" defaultRowHeight="20" customHeight="1" x14ac:dyDescent="0.15"/>
  <cols>
    <col min="1" max="6" width="16.33203125" style="310" customWidth="1"/>
    <col min="7" max="16384" width="16.33203125" style="310"/>
  </cols>
  <sheetData>
    <row r="1" spans="1:5" ht="27.75" customHeight="1" x14ac:dyDescent="0.15">
      <c r="A1" s="529" t="s">
        <v>367</v>
      </c>
      <c r="B1" s="529"/>
      <c r="C1" s="529"/>
      <c r="D1" s="529"/>
      <c r="E1" s="529"/>
    </row>
    <row r="2" spans="1:5" ht="20.25" customHeight="1" x14ac:dyDescent="0.15">
      <c r="A2" s="333"/>
      <c r="B2" s="333"/>
      <c r="C2" s="333"/>
      <c r="D2" s="333"/>
      <c r="E2" s="333"/>
    </row>
    <row r="3" spans="1:5" ht="20.25" customHeight="1" x14ac:dyDescent="0.15">
      <c r="A3" s="368">
        <v>1</v>
      </c>
      <c r="B3" s="369">
        <f>LARGE('Davi - Tabela 1-1'!$B$3:$Y$26,$A3)</f>
        <v>6</v>
      </c>
      <c r="C3" s="312">
        <v>120</v>
      </c>
      <c r="D3" s="325"/>
      <c r="E3" s="325"/>
    </row>
    <row r="4" spans="1:5" ht="20" customHeight="1" x14ac:dyDescent="0.15">
      <c r="A4" s="370">
        <v>2</v>
      </c>
      <c r="B4" s="371">
        <f>LARGE('Davi - Tabela 1-1'!$B$3:$Y$26,$A4)</f>
        <v>5</v>
      </c>
      <c r="C4" s="318">
        <v>110</v>
      </c>
      <c r="D4" s="320"/>
      <c r="E4" s="320"/>
    </row>
    <row r="5" spans="1:5" ht="20" customHeight="1" x14ac:dyDescent="0.15">
      <c r="A5" s="370">
        <v>3</v>
      </c>
      <c r="B5" s="371">
        <f>LARGE('Davi - Tabela 1-1'!$B$3:$Y$26,$A5)</f>
        <v>5</v>
      </c>
      <c r="C5" s="318">
        <v>101</v>
      </c>
      <c r="D5" s="320"/>
      <c r="E5" s="320"/>
    </row>
    <row r="6" spans="1:5" ht="20" customHeight="1" x14ac:dyDescent="0.15">
      <c r="A6" s="370">
        <v>4</v>
      </c>
      <c r="B6" s="371">
        <f>LARGE('Davi - Tabela 1-1'!$B$3:$Y$26,$A6)</f>
        <v>5</v>
      </c>
      <c r="C6" s="318">
        <v>100</v>
      </c>
      <c r="D6" s="320"/>
      <c r="E6" s="320"/>
    </row>
    <row r="7" spans="1:5" ht="20" customHeight="1" x14ac:dyDescent="0.15">
      <c r="A7" s="370">
        <v>5</v>
      </c>
      <c r="B7" s="371">
        <f>LARGE('Davi - Tabela 1-1'!$B$3:$Y$26,$A7)</f>
        <v>5</v>
      </c>
      <c r="C7" s="318">
        <v>92</v>
      </c>
      <c r="D7" s="320"/>
      <c r="E7" s="320"/>
    </row>
    <row r="8" spans="1:5" ht="20" customHeight="1" x14ac:dyDescent="0.15">
      <c r="A8" s="370">
        <v>6</v>
      </c>
      <c r="B8" s="371">
        <f>LARGE('Davi - Tabela 1-1'!$B$3:$Y$26,$A8)</f>
        <v>5</v>
      </c>
      <c r="C8" s="318">
        <v>91</v>
      </c>
      <c r="D8" s="320"/>
      <c r="E8" s="320"/>
    </row>
    <row r="9" spans="1:5" ht="20" customHeight="1" x14ac:dyDescent="0.15">
      <c r="A9" s="370">
        <v>7</v>
      </c>
      <c r="B9" s="371">
        <f>LARGE('Davi - Tabela 1-1'!$B$3:$Y$26,$A9)</f>
        <v>5</v>
      </c>
      <c r="C9" s="318">
        <v>82</v>
      </c>
      <c r="D9" s="320"/>
      <c r="E9" s="320"/>
    </row>
    <row r="10" spans="1:5" ht="20" customHeight="1" x14ac:dyDescent="0.15">
      <c r="A10" s="370">
        <v>8</v>
      </c>
      <c r="B10" s="371">
        <f>LARGE('Davi - Tabela 1-1'!$B$3:$Y$26,$A10)</f>
        <v>4</v>
      </c>
      <c r="C10" s="318">
        <v>81</v>
      </c>
      <c r="D10" s="320"/>
      <c r="E10" s="320"/>
    </row>
    <row r="11" spans="1:5" ht="20" customHeight="1" x14ac:dyDescent="0.15">
      <c r="A11" s="370">
        <v>9</v>
      </c>
      <c r="B11" s="371">
        <f>LARGE('Davi - Tabela 1-1'!$B$3:$Y$26,$A11)</f>
        <v>4</v>
      </c>
      <c r="C11" s="318">
        <v>73</v>
      </c>
      <c r="D11" s="320"/>
      <c r="E11" s="320"/>
    </row>
    <row r="12" spans="1:5" ht="20" customHeight="1" x14ac:dyDescent="0.15">
      <c r="A12" s="370">
        <v>10</v>
      </c>
      <c r="B12" s="371">
        <f>LARGE('Davi - Tabela 1-1'!$B$3:$Y$26,$A12)</f>
        <v>4</v>
      </c>
      <c r="C12" s="318">
        <v>72</v>
      </c>
      <c r="D12" s="320"/>
      <c r="E12" s="320"/>
    </row>
    <row r="13" spans="1:5" ht="20" customHeight="1" x14ac:dyDescent="0.15">
      <c r="A13" s="370">
        <v>11</v>
      </c>
      <c r="B13" s="371">
        <f>LARGE('Davi - Tabela 1-1'!$B$3:$Y$26,$A13)</f>
        <v>4</v>
      </c>
      <c r="C13" s="318">
        <v>64</v>
      </c>
      <c r="D13" s="320"/>
      <c r="E13" s="320"/>
    </row>
    <row r="14" spans="1:5" ht="20" customHeight="1" x14ac:dyDescent="0.15">
      <c r="A14" s="370">
        <v>12</v>
      </c>
      <c r="B14" s="371">
        <f>LARGE('Davi - Tabela 1-1'!$B$3:$Y$26,$A14)</f>
        <v>4</v>
      </c>
      <c r="C14" s="318">
        <v>63</v>
      </c>
      <c r="D14" s="320"/>
      <c r="E14" s="320"/>
    </row>
    <row r="15" spans="1:5" ht="20" customHeight="1" x14ac:dyDescent="0.15">
      <c r="A15" s="370">
        <v>13</v>
      </c>
      <c r="B15" s="371">
        <f>LARGE('Davi - Tabela 1-1'!$B$3:$Y$26,$A15)</f>
        <v>4</v>
      </c>
      <c r="C15" s="318">
        <v>62</v>
      </c>
      <c r="D15" s="320"/>
      <c r="E15" s="320"/>
    </row>
    <row r="16" spans="1:5" ht="20" customHeight="1" x14ac:dyDescent="0.15">
      <c r="A16" s="370">
        <v>14</v>
      </c>
      <c r="B16" s="371">
        <f>LARGE('Davi - Tabela 1-1'!$B$3:$Y$26,$A16)</f>
        <v>4</v>
      </c>
      <c r="C16" s="318">
        <v>54</v>
      </c>
      <c r="D16" s="320"/>
      <c r="E16" s="320"/>
    </row>
    <row r="17" spans="1:5" ht="20" customHeight="1" x14ac:dyDescent="0.15">
      <c r="A17" s="370">
        <v>15</v>
      </c>
      <c r="B17" s="371">
        <f>LARGE('Davi - Tabela 1-1'!$B$3:$Y$26,$A17)</f>
        <v>4</v>
      </c>
      <c r="C17" s="318">
        <v>53</v>
      </c>
      <c r="D17" s="320"/>
      <c r="E17" s="320"/>
    </row>
    <row r="18" spans="1:5" ht="20" customHeight="1" x14ac:dyDescent="0.15">
      <c r="A18" s="370">
        <v>16</v>
      </c>
      <c r="B18" s="371">
        <f>LARGE('Davi - Tabela 1-1'!$B$3:$Y$26,$A18)</f>
        <v>4</v>
      </c>
      <c r="C18" s="318">
        <v>45</v>
      </c>
      <c r="D18" s="320"/>
      <c r="E18" s="320"/>
    </row>
    <row r="19" spans="1:5" ht="20" customHeight="1" x14ac:dyDescent="0.15">
      <c r="A19" s="370">
        <v>17</v>
      </c>
      <c r="B19" s="371">
        <f>LARGE('Davi - Tabela 1-1'!$B$3:$Y$26,$A19)</f>
        <v>4</v>
      </c>
      <c r="C19" s="318">
        <v>44</v>
      </c>
      <c r="D19" s="320"/>
      <c r="E19" s="320"/>
    </row>
    <row r="20" spans="1:5" ht="20" customHeight="1" x14ac:dyDescent="0.15">
      <c r="A20" s="370">
        <v>18</v>
      </c>
      <c r="B20" s="371">
        <f>LARGE('Davi - Tabela 1-1'!$B$3:$Y$26,$A20)</f>
        <v>4</v>
      </c>
      <c r="C20" s="318">
        <v>35</v>
      </c>
      <c r="D20" s="320"/>
      <c r="E20" s="320"/>
    </row>
    <row r="21" spans="1:5" ht="20" customHeight="1" x14ac:dyDescent="0.15">
      <c r="A21" s="370">
        <v>19</v>
      </c>
      <c r="B21" s="371">
        <f>LARGE('Davi - Tabela 1-1'!$B$3:$Y$26,$A21)</f>
        <v>4</v>
      </c>
      <c r="C21" s="318">
        <v>34</v>
      </c>
      <c r="D21" s="320"/>
      <c r="E21" s="320"/>
    </row>
    <row r="22" spans="1:5" ht="20" customHeight="1" x14ac:dyDescent="0.15">
      <c r="A22" s="370">
        <v>20</v>
      </c>
      <c r="B22" s="371">
        <f>LARGE('Davi - Tabela 1-1'!$B$3:$Y$26,$A22)</f>
        <v>4</v>
      </c>
      <c r="C22" s="318">
        <v>26</v>
      </c>
      <c r="D22" s="320"/>
      <c r="E22" s="320"/>
    </row>
    <row r="23" spans="1:5" ht="20" customHeight="1" x14ac:dyDescent="0.15">
      <c r="A23" s="370">
        <v>21</v>
      </c>
      <c r="B23" s="371">
        <f>LARGE('Davi - Tabela 1-1'!$B$3:$Y$26,$A23)</f>
        <v>4</v>
      </c>
      <c r="C23" s="318">
        <v>25</v>
      </c>
      <c r="D23" s="320"/>
      <c r="E23" s="320"/>
    </row>
    <row r="24" spans="1:5" ht="20" customHeight="1" x14ac:dyDescent="0.15">
      <c r="A24" s="370">
        <v>22</v>
      </c>
      <c r="B24" s="371">
        <f>LARGE('Davi - Tabela 1-1'!$B$3:$Y$26,$A24)</f>
        <v>4</v>
      </c>
      <c r="C24" s="318">
        <v>16</v>
      </c>
      <c r="D24" s="320"/>
      <c r="E24" s="320"/>
    </row>
    <row r="25" spans="1:5" ht="20" customHeight="1" x14ac:dyDescent="0.15">
      <c r="A25" s="370">
        <v>23</v>
      </c>
      <c r="B25" s="371">
        <f>LARGE('Davi - Tabela 1-1'!$B$3:$Y$26,$A25)</f>
        <v>3</v>
      </c>
      <c r="C25" s="318">
        <v>6</v>
      </c>
      <c r="D25" s="320"/>
      <c r="E25" s="320"/>
    </row>
    <row r="26" spans="1:5" ht="20" customHeight="1" x14ac:dyDescent="0.15">
      <c r="A26" s="370">
        <v>24</v>
      </c>
      <c r="B26" s="371">
        <f>LARGE('Davi - Tabela 1-1'!$B$3:$Y$26,$A26)</f>
        <v>3</v>
      </c>
      <c r="C26" s="320"/>
      <c r="D26" s="320"/>
      <c r="E26" s="320"/>
    </row>
    <row r="27" spans="1:5" ht="20" customHeight="1" x14ac:dyDescent="0.15">
      <c r="A27" s="370">
        <v>25</v>
      </c>
      <c r="B27" s="371">
        <f>LARGE('Davi - Tabela 1-1'!$B$3:$Y$26,$A27)</f>
        <v>3</v>
      </c>
      <c r="C27" s="320"/>
      <c r="D27" s="320"/>
      <c r="E27" s="320"/>
    </row>
    <row r="28" spans="1:5" ht="20" customHeight="1" x14ac:dyDescent="0.15">
      <c r="A28" s="370">
        <v>26</v>
      </c>
      <c r="B28" s="371">
        <f>LARGE('Davi - Tabela 1-1'!$B$3:$Y$26,$A28)</f>
        <v>3</v>
      </c>
      <c r="C28" s="320"/>
      <c r="D28" s="320"/>
      <c r="E28" s="320"/>
    </row>
    <row r="29" spans="1:5" ht="20" customHeight="1" x14ac:dyDescent="0.15">
      <c r="A29" s="370">
        <v>27</v>
      </c>
      <c r="B29" s="371">
        <f>LARGE('Davi - Tabela 1-1'!$B$3:$Y$26,$A29)</f>
        <v>3</v>
      </c>
      <c r="C29" s="320"/>
      <c r="D29" s="320"/>
      <c r="E29" s="320"/>
    </row>
    <row r="30" spans="1:5" ht="20" customHeight="1" x14ac:dyDescent="0.15">
      <c r="A30" s="370">
        <v>28</v>
      </c>
      <c r="B30" s="371">
        <f>LARGE('Davi - Tabela 1-1'!$B$3:$Y$26,$A30)</f>
        <v>3</v>
      </c>
      <c r="C30" s="320"/>
      <c r="D30" s="320"/>
      <c r="E30" s="320"/>
    </row>
    <row r="31" spans="1:5" ht="20" customHeight="1" x14ac:dyDescent="0.15">
      <c r="A31" s="370">
        <v>29</v>
      </c>
      <c r="B31" s="371">
        <f>LARGE('Davi - Tabela 1-1'!$B$3:$Y$26,$A31)</f>
        <v>3</v>
      </c>
      <c r="C31" s="320"/>
      <c r="D31" s="320"/>
      <c r="E31" s="320"/>
    </row>
    <row r="32" spans="1:5" ht="20" customHeight="1" x14ac:dyDescent="0.15">
      <c r="A32" s="370">
        <v>30</v>
      </c>
      <c r="B32" s="371">
        <f>LARGE('Davi - Tabela 1-1'!$B$3:$Y$26,$A32)</f>
        <v>3</v>
      </c>
      <c r="C32" s="320"/>
      <c r="D32" s="320"/>
      <c r="E32" s="320"/>
    </row>
    <row r="33" spans="1:5" ht="20" customHeight="1" x14ac:dyDescent="0.15">
      <c r="A33" s="370">
        <v>31</v>
      </c>
      <c r="B33" s="371">
        <f>LARGE('Davi - Tabela 1-1'!$B$3:$Y$26,$A33)</f>
        <v>3</v>
      </c>
      <c r="C33" s="320"/>
      <c r="D33" s="320"/>
      <c r="E33" s="320"/>
    </row>
    <row r="34" spans="1:5" ht="20" customHeight="1" x14ac:dyDescent="0.15">
      <c r="A34" s="370">
        <v>32</v>
      </c>
      <c r="B34" s="371">
        <f>LARGE('Davi - Tabela 1-1'!$B$3:$Y$26,$A34)</f>
        <v>3</v>
      </c>
      <c r="C34" s="320"/>
      <c r="D34" s="320"/>
      <c r="E34" s="320"/>
    </row>
    <row r="35" spans="1:5" ht="20" customHeight="1" x14ac:dyDescent="0.15">
      <c r="A35" s="370">
        <v>33</v>
      </c>
      <c r="B35" s="371">
        <f>LARGE('Davi - Tabela 1-1'!$B$3:$Y$26,$A35)</f>
        <v>3</v>
      </c>
      <c r="C35" s="320"/>
      <c r="D35" s="320"/>
      <c r="E35" s="320"/>
    </row>
    <row r="36" spans="1:5" ht="20" customHeight="1" x14ac:dyDescent="0.15">
      <c r="A36" s="370">
        <v>34</v>
      </c>
      <c r="B36" s="371">
        <f>LARGE('Davi - Tabela 1-1'!$B$3:$Y$26,$A36)</f>
        <v>3</v>
      </c>
      <c r="C36" s="320"/>
      <c r="D36" s="320"/>
      <c r="E36" s="320"/>
    </row>
    <row r="37" spans="1:5" ht="20" customHeight="1" x14ac:dyDescent="0.15">
      <c r="A37" s="370">
        <v>35</v>
      </c>
      <c r="B37" s="371">
        <f>LARGE('Davi - Tabela 1-1'!$B$3:$Y$26,$A37)</f>
        <v>3</v>
      </c>
      <c r="C37" s="320"/>
      <c r="D37" s="320"/>
      <c r="E37" s="320"/>
    </row>
    <row r="38" spans="1:5" ht="20" customHeight="1" x14ac:dyDescent="0.15">
      <c r="A38" s="370">
        <v>36</v>
      </c>
      <c r="B38" s="371">
        <f>LARGE('Davi - Tabela 1-1'!$B$3:$Y$26,$A38)</f>
        <v>3</v>
      </c>
      <c r="C38" s="320"/>
      <c r="D38" s="320"/>
      <c r="E38" s="320"/>
    </row>
    <row r="39" spans="1:5" ht="20" customHeight="1" x14ac:dyDescent="0.15">
      <c r="A39" s="370">
        <v>37</v>
      </c>
      <c r="B39" s="371">
        <f>LARGE('Davi - Tabela 1-1'!$B$3:$Y$26,$A39)</f>
        <v>3</v>
      </c>
      <c r="C39" s="320"/>
      <c r="D39" s="320"/>
      <c r="E39" s="320"/>
    </row>
    <row r="40" spans="1:5" ht="20" customHeight="1" x14ac:dyDescent="0.15">
      <c r="A40" s="370">
        <v>38</v>
      </c>
      <c r="B40" s="371">
        <f>LARGE('Davi - Tabela 1-1'!$B$3:$Y$26,$A40)</f>
        <v>3</v>
      </c>
      <c r="C40" s="320"/>
      <c r="D40" s="320"/>
      <c r="E40" s="320"/>
    </row>
    <row r="41" spans="1:5" ht="20" customHeight="1" x14ac:dyDescent="0.15">
      <c r="A41" s="370">
        <v>39</v>
      </c>
      <c r="B41" s="371">
        <f>LARGE('Davi - Tabela 1-1'!$B$3:$Y$26,$A41)</f>
        <v>3</v>
      </c>
      <c r="C41" s="320"/>
      <c r="D41" s="320"/>
      <c r="E41" s="320"/>
    </row>
    <row r="42" spans="1:5" ht="20" customHeight="1" x14ac:dyDescent="0.15">
      <c r="A42" s="370">
        <v>40</v>
      </c>
      <c r="B42" s="371">
        <f>LARGE('Davi - Tabela 1-1'!$B$3:$Y$26,$A42)</f>
        <v>3</v>
      </c>
      <c r="C42" s="320"/>
      <c r="D42" s="320"/>
      <c r="E42" s="320"/>
    </row>
    <row r="43" spans="1:5" ht="20" customHeight="1" x14ac:dyDescent="0.15">
      <c r="A43" s="370">
        <v>41</v>
      </c>
      <c r="B43" s="371">
        <f>LARGE('Davi - Tabela 1-1'!$B$3:$Y$26,$A43)</f>
        <v>3</v>
      </c>
      <c r="C43" s="320"/>
      <c r="D43" s="320"/>
      <c r="E43" s="320"/>
    </row>
    <row r="44" spans="1:5" ht="20" customHeight="1" x14ac:dyDescent="0.15">
      <c r="A44" s="370">
        <v>42</v>
      </c>
      <c r="B44" s="371">
        <f>LARGE('Davi - Tabela 1-1'!$B$3:$Y$26,$A44)</f>
        <v>3</v>
      </c>
      <c r="C44" s="320"/>
      <c r="D44" s="320"/>
      <c r="E44" s="320"/>
    </row>
    <row r="45" spans="1:5" ht="20" customHeight="1" x14ac:dyDescent="0.15">
      <c r="A45" s="370">
        <v>43</v>
      </c>
      <c r="B45" s="371">
        <f>LARGE('Davi - Tabela 1-1'!$B$3:$Y$26,$A45)</f>
        <v>2</v>
      </c>
      <c r="C45" s="320"/>
      <c r="D45" s="320"/>
      <c r="E45" s="320"/>
    </row>
    <row r="46" spans="1:5" ht="20" customHeight="1" x14ac:dyDescent="0.15">
      <c r="A46" s="370">
        <v>44</v>
      </c>
      <c r="B46" s="371">
        <f>LARGE('Davi - Tabela 1-1'!$B$3:$Y$26,$A46)</f>
        <v>2</v>
      </c>
      <c r="C46" s="320"/>
      <c r="D46" s="320"/>
      <c r="E46" s="320"/>
    </row>
    <row r="47" spans="1:5" ht="20" customHeight="1" x14ac:dyDescent="0.15">
      <c r="A47" s="370">
        <v>45</v>
      </c>
      <c r="B47" s="371">
        <f>LARGE('Davi - Tabela 1-1'!$B$3:$Y$26,$A47)</f>
        <v>2</v>
      </c>
      <c r="C47" s="320"/>
      <c r="D47" s="320"/>
      <c r="E47" s="320"/>
    </row>
    <row r="48" spans="1:5" ht="20" customHeight="1" x14ac:dyDescent="0.15">
      <c r="A48" s="370">
        <v>46</v>
      </c>
      <c r="B48" s="371">
        <f>LARGE('Davi - Tabela 1-1'!$B$3:$Y$26,$A48)</f>
        <v>2</v>
      </c>
      <c r="C48" s="320"/>
      <c r="D48" s="320"/>
      <c r="E48" s="320"/>
    </row>
    <row r="49" spans="1:5" ht="20" customHeight="1" x14ac:dyDescent="0.15">
      <c r="A49" s="370">
        <v>47</v>
      </c>
      <c r="B49" s="371">
        <f>LARGE('Davi - Tabela 1-1'!$B$3:$Y$26,$A49)</f>
        <v>2</v>
      </c>
      <c r="C49" s="320"/>
      <c r="D49" s="320"/>
      <c r="E49" s="320"/>
    </row>
    <row r="50" spans="1:5" ht="20" customHeight="1" x14ac:dyDescent="0.15">
      <c r="A50" s="370">
        <v>48</v>
      </c>
      <c r="B50" s="371">
        <f>LARGE('Davi - Tabela 1-1'!$B$3:$Y$26,$A50)</f>
        <v>2</v>
      </c>
      <c r="C50" s="320"/>
      <c r="D50" s="320"/>
      <c r="E50" s="320"/>
    </row>
    <row r="51" spans="1:5" ht="20" customHeight="1" x14ac:dyDescent="0.15">
      <c r="A51" s="370">
        <v>49</v>
      </c>
      <c r="B51" s="371">
        <f>LARGE('Davi - Tabela 1-1'!$B$3:$Y$26,$A51)</f>
        <v>2</v>
      </c>
      <c r="C51" s="320"/>
      <c r="D51" s="320"/>
      <c r="E51" s="320"/>
    </row>
    <row r="52" spans="1:5" ht="20" customHeight="1" x14ac:dyDescent="0.15">
      <c r="A52" s="370">
        <v>50</v>
      </c>
      <c r="B52" s="371">
        <f>LARGE('Davi - Tabela 1-1'!$B$3:$Y$26,$A52)</f>
        <v>2</v>
      </c>
      <c r="C52" s="320"/>
      <c r="D52" s="320"/>
      <c r="E52" s="320"/>
    </row>
    <row r="53" spans="1:5" ht="20" customHeight="1" x14ac:dyDescent="0.15">
      <c r="A53" s="370">
        <v>51</v>
      </c>
      <c r="B53" s="371">
        <f>LARGE('Davi - Tabela 1-1'!$B$3:$Y$26,$A53)</f>
        <v>2</v>
      </c>
      <c r="C53" s="320"/>
      <c r="D53" s="320"/>
      <c r="E53" s="320"/>
    </row>
    <row r="54" spans="1:5" ht="20" customHeight="1" x14ac:dyDescent="0.15">
      <c r="A54" s="370">
        <v>52</v>
      </c>
      <c r="B54" s="371">
        <f>LARGE('Davi - Tabela 1-1'!$B$3:$Y$26,$A54)</f>
        <v>2</v>
      </c>
      <c r="C54" s="320"/>
      <c r="D54" s="320"/>
      <c r="E54" s="320"/>
    </row>
    <row r="55" spans="1:5" ht="20" customHeight="1" x14ac:dyDescent="0.15">
      <c r="A55" s="370">
        <v>53</v>
      </c>
      <c r="B55" s="371">
        <f>LARGE('Davi - Tabela 1-1'!$B$3:$Y$26,$A55)</f>
        <v>2</v>
      </c>
      <c r="C55" s="320"/>
      <c r="D55" s="320"/>
      <c r="E55" s="320"/>
    </row>
    <row r="56" spans="1:5" ht="20" customHeight="1" x14ac:dyDescent="0.15">
      <c r="A56" s="370">
        <v>54</v>
      </c>
      <c r="B56" s="371">
        <f>LARGE('Davi - Tabela 1-1'!$B$3:$Y$26,$A56)</f>
        <v>2</v>
      </c>
      <c r="C56" s="320"/>
      <c r="D56" s="320"/>
      <c r="E56" s="320"/>
    </row>
    <row r="57" spans="1:5" ht="20" customHeight="1" x14ac:dyDescent="0.15">
      <c r="A57" s="370">
        <v>55</v>
      </c>
      <c r="B57" s="371">
        <f>LARGE('Davi - Tabela 1-1'!$B$3:$Y$26,$A57)</f>
        <v>2</v>
      </c>
      <c r="C57" s="320"/>
      <c r="D57" s="320"/>
      <c r="E57" s="320"/>
    </row>
    <row r="58" spans="1:5" ht="20" customHeight="1" x14ac:dyDescent="0.15">
      <c r="A58" s="370">
        <v>56</v>
      </c>
      <c r="B58" s="371">
        <f>LARGE('Davi - Tabela 1-1'!$B$3:$Y$26,$A58)</f>
        <v>2</v>
      </c>
      <c r="C58" s="320"/>
      <c r="D58" s="320"/>
      <c r="E58" s="320"/>
    </row>
    <row r="59" spans="1:5" ht="20" customHeight="1" x14ac:dyDescent="0.15">
      <c r="A59" s="370">
        <v>57</v>
      </c>
      <c r="B59" s="371">
        <f>LARGE('Davi - Tabela 1-1'!$B$3:$Y$26,$A59)</f>
        <v>2</v>
      </c>
      <c r="C59" s="320"/>
      <c r="D59" s="320"/>
      <c r="E59" s="320"/>
    </row>
    <row r="60" spans="1:5" ht="20" customHeight="1" x14ac:dyDescent="0.15">
      <c r="A60" s="370">
        <v>58</v>
      </c>
      <c r="B60" s="371">
        <f>LARGE('Davi - Tabela 1-1'!$B$3:$Y$26,$A60)</f>
        <v>1</v>
      </c>
      <c r="C60" s="320"/>
      <c r="D60" s="320"/>
      <c r="E60" s="320"/>
    </row>
    <row r="61" spans="1:5" ht="20" customHeight="1" x14ac:dyDescent="0.15">
      <c r="A61" s="370">
        <v>59</v>
      </c>
      <c r="B61" s="371">
        <f>LARGE('Davi - Tabela 1-1'!$B$3:$Y$26,$A61)</f>
        <v>1</v>
      </c>
      <c r="C61" s="320"/>
      <c r="D61" s="320"/>
      <c r="E61" s="320"/>
    </row>
    <row r="62" spans="1:5" ht="20" customHeight="1" x14ac:dyDescent="0.15">
      <c r="A62" s="370">
        <v>60</v>
      </c>
      <c r="B62" s="371">
        <f>LARGE('Davi - Tabela 1-1'!$B$3:$Y$26,$A62)</f>
        <v>1</v>
      </c>
      <c r="C62" s="320"/>
      <c r="D62" s="320"/>
      <c r="E62" s="320"/>
    </row>
    <row r="63" spans="1:5" ht="20" customHeight="1" x14ac:dyDescent="0.15">
      <c r="A63" s="370">
        <v>61</v>
      </c>
      <c r="B63" s="371">
        <f>LARGE('Davi - Tabela 1-1'!$B$3:$Y$26,$A63)</f>
        <v>1</v>
      </c>
      <c r="C63" s="320"/>
      <c r="D63" s="320"/>
      <c r="E63" s="320"/>
    </row>
    <row r="64" spans="1:5" ht="20" customHeight="1" x14ac:dyDescent="0.15">
      <c r="A64" s="370">
        <v>62</v>
      </c>
      <c r="B64" s="371">
        <f>LARGE('Davi - Tabela 1-1'!$B$3:$Y$26,$A64)</f>
        <v>1</v>
      </c>
      <c r="C64" s="320"/>
      <c r="D64" s="320"/>
      <c r="E64" s="320"/>
    </row>
    <row r="65" spans="1:5" ht="20" customHeight="1" x14ac:dyDescent="0.15">
      <c r="A65" s="370">
        <v>63</v>
      </c>
      <c r="B65" s="371">
        <f>LARGE('Davi - Tabela 1-1'!$B$3:$Y$26,$A65)</f>
        <v>1</v>
      </c>
      <c r="C65" s="320"/>
      <c r="D65" s="320"/>
      <c r="E65" s="320"/>
    </row>
    <row r="66" spans="1:5" ht="20" customHeight="1" x14ac:dyDescent="0.15">
      <c r="A66" s="370">
        <v>64</v>
      </c>
      <c r="B66" s="371">
        <f>LARGE('Davi - Tabela 1-1'!$B$3:$Y$26,$A66)</f>
        <v>0</v>
      </c>
      <c r="C66" s="320"/>
      <c r="D66" s="320"/>
      <c r="E66" s="320"/>
    </row>
    <row r="67" spans="1:5" ht="20" customHeight="1" x14ac:dyDescent="0.15">
      <c r="A67" s="351"/>
      <c r="B67" s="352" t="e">
        <f>LARGE('Davi - Tabela 1-1'!$B$3:$Y$26,$A67)</f>
        <v>#NUM!</v>
      </c>
      <c r="C67" s="320"/>
      <c r="D67" s="320"/>
      <c r="E67" s="320"/>
    </row>
    <row r="68" spans="1:5" ht="20" customHeight="1" x14ac:dyDescent="0.15">
      <c r="A68" s="351"/>
      <c r="B68" s="352" t="e">
        <f>LARGE('Davi - Tabela 1-1'!$B$3:$Y$26,$A68)</f>
        <v>#NUM!</v>
      </c>
      <c r="C68" s="320"/>
      <c r="D68" s="320"/>
      <c r="E68" s="320"/>
    </row>
    <row r="69" spans="1:5" ht="20" customHeight="1" x14ac:dyDescent="0.15">
      <c r="A69" s="351"/>
      <c r="B69" s="352" t="e">
        <f>LARGE('Davi - Tabela 1-1'!$B$3:$Y$26,$A69)</f>
        <v>#NUM!</v>
      </c>
      <c r="C69" s="320"/>
      <c r="D69" s="320"/>
      <c r="E69" s="320"/>
    </row>
    <row r="70" spans="1:5" ht="20" customHeight="1" x14ac:dyDescent="0.15">
      <c r="A70" s="351"/>
      <c r="B70" s="352" t="e">
        <f>LARGE('Davi - Tabela 1-1'!$B$3:$Y$26,$A70)</f>
        <v>#NUM!</v>
      </c>
      <c r="C70" s="320"/>
      <c r="D70" s="320"/>
      <c r="E70" s="320"/>
    </row>
    <row r="71" spans="1:5" ht="20" customHeight="1" x14ac:dyDescent="0.15">
      <c r="A71" s="351"/>
      <c r="B71" s="352" t="e">
        <f>LARGE('Davi - Tabela 1-1'!$B$3:$Y$26,$A71)</f>
        <v>#NUM!</v>
      </c>
      <c r="C71" s="320"/>
      <c r="D71" s="320"/>
      <c r="E71" s="320"/>
    </row>
    <row r="72" spans="1:5" ht="20" customHeight="1" x14ac:dyDescent="0.15">
      <c r="A72" s="351"/>
      <c r="B72" s="352" t="e">
        <f>LARGE('Davi - Tabela 1-1'!$B$3:$Y$26,$A72)</f>
        <v>#NUM!</v>
      </c>
      <c r="C72" s="320"/>
      <c r="D72" s="320"/>
      <c r="E72" s="320"/>
    </row>
    <row r="73" spans="1:5" ht="20" customHeight="1" x14ac:dyDescent="0.15">
      <c r="A73" s="351"/>
      <c r="B73" s="352" t="e">
        <f>LARGE('Davi - Tabela 1-1'!$B$3:$Y$26,$A73)</f>
        <v>#NUM!</v>
      </c>
      <c r="C73" s="320"/>
      <c r="D73" s="320"/>
      <c r="E73" s="320"/>
    </row>
    <row r="74" spans="1:5" ht="20" customHeight="1" x14ac:dyDescent="0.15">
      <c r="A74" s="351"/>
      <c r="B74" s="352" t="e">
        <f>LARGE('Davi - Tabela 1-1'!$B$3:$Y$26,$A74)</f>
        <v>#NUM!</v>
      </c>
      <c r="C74" s="320"/>
      <c r="D74" s="320"/>
      <c r="E74" s="320"/>
    </row>
    <row r="75" spans="1:5" ht="20" customHeight="1" x14ac:dyDescent="0.15">
      <c r="A75" s="351"/>
      <c r="B75" s="352" t="e">
        <f>LARGE('Davi - Tabela 1-1'!$B$3:$Y$26,$A75)</f>
        <v>#NUM!</v>
      </c>
      <c r="C75" s="320"/>
      <c r="D75" s="320"/>
      <c r="E75" s="320"/>
    </row>
    <row r="76" spans="1:5" ht="20" customHeight="1" x14ac:dyDescent="0.15">
      <c r="A76" s="351"/>
      <c r="B76" s="352" t="e">
        <f>LARGE('Davi - Tabela 1-1'!$B$3:$Y$26,$A76)</f>
        <v>#NUM!</v>
      </c>
      <c r="C76" s="320"/>
      <c r="D76" s="320"/>
      <c r="E76" s="320"/>
    </row>
    <row r="77" spans="1:5" ht="20" customHeight="1" x14ac:dyDescent="0.15">
      <c r="A77" s="351"/>
      <c r="B77" s="352" t="e">
        <f>LARGE('Davi - Tabela 1-1'!$B$3:$Y$26,$A77)</f>
        <v>#NUM!</v>
      </c>
      <c r="C77" s="320"/>
      <c r="D77" s="320"/>
      <c r="E77" s="320"/>
    </row>
    <row r="78" spans="1:5" ht="20" customHeight="1" x14ac:dyDescent="0.15">
      <c r="A78" s="351"/>
      <c r="B78" s="352" t="e">
        <f>LARGE('Davi - Tabela 1-1'!$B$3:$Y$26,$A78)</f>
        <v>#NUM!</v>
      </c>
      <c r="C78" s="320"/>
      <c r="D78" s="320"/>
      <c r="E78" s="320"/>
    </row>
    <row r="79" spans="1:5" ht="20" customHeight="1" x14ac:dyDescent="0.15">
      <c r="A79" s="351"/>
      <c r="B79" s="352" t="e">
        <f>LARGE('Davi - Tabela 1-1'!$B$3:$Y$26,$A79)</f>
        <v>#NUM!</v>
      </c>
      <c r="C79" s="320"/>
      <c r="D79" s="320"/>
      <c r="E79" s="320"/>
    </row>
    <row r="80" spans="1:5" ht="20" customHeight="1" x14ac:dyDescent="0.15">
      <c r="A80" s="351"/>
      <c r="B80" s="352" t="e">
        <f>LARGE('Davi - Tabela 1-1'!$B$3:$Y$26,$A80)</f>
        <v>#NUM!</v>
      </c>
      <c r="C80" s="320"/>
      <c r="D80" s="320"/>
      <c r="E80" s="320"/>
    </row>
    <row r="81" spans="1:5" ht="20" customHeight="1" x14ac:dyDescent="0.15">
      <c r="A81" s="351"/>
      <c r="B81" s="352" t="e">
        <f>LARGE('Davi - Tabela 1-1'!$B$3:$Y$26,$A81)</f>
        <v>#NUM!</v>
      </c>
      <c r="C81" s="320"/>
      <c r="D81" s="320"/>
      <c r="E81" s="320"/>
    </row>
    <row r="82" spans="1:5" ht="20" customHeight="1" x14ac:dyDescent="0.15">
      <c r="A82" s="351"/>
      <c r="B82" s="352" t="e">
        <f>LARGE('Davi - Tabela 1-1'!$B$3:$Y$26,$A82)</f>
        <v>#NUM!</v>
      </c>
      <c r="C82" s="320"/>
      <c r="D82" s="320"/>
      <c r="E82" s="320"/>
    </row>
    <row r="83" spans="1:5" ht="20" customHeight="1" x14ac:dyDescent="0.15">
      <c r="A83" s="351"/>
      <c r="B83" s="352" t="e">
        <f>LARGE('Davi - Tabela 1-1'!$B$3:$Y$26,$A83)</f>
        <v>#NUM!</v>
      </c>
      <c r="C83" s="320"/>
      <c r="D83" s="320"/>
      <c r="E83" s="320"/>
    </row>
    <row r="84" spans="1:5" ht="20" customHeight="1" x14ac:dyDescent="0.15">
      <c r="A84" s="351"/>
      <c r="B84" s="352" t="e">
        <f>LARGE('Davi - Tabela 1-1'!$B$3:$Y$26,$A84)</f>
        <v>#NUM!</v>
      </c>
      <c r="C84" s="320"/>
      <c r="D84" s="320"/>
      <c r="E84" s="320"/>
    </row>
    <row r="85" spans="1:5" ht="20" customHeight="1" x14ac:dyDescent="0.15">
      <c r="A85" s="351"/>
      <c r="B85" s="352" t="e">
        <f>LARGE('Davi - Tabela 1-1'!$B$3:$Y$26,$A85)</f>
        <v>#NUM!</v>
      </c>
      <c r="C85" s="320"/>
      <c r="D85" s="320"/>
      <c r="E85" s="320"/>
    </row>
    <row r="86" spans="1:5" ht="20" customHeight="1" x14ac:dyDescent="0.15">
      <c r="A86" s="351"/>
      <c r="B86" s="352" t="e">
        <f>LARGE('Davi - Tabela 1-1'!$B$3:$Y$26,$A86)</f>
        <v>#NUM!</v>
      </c>
      <c r="C86" s="320"/>
      <c r="D86" s="320"/>
      <c r="E86" s="320"/>
    </row>
  </sheetData>
  <mergeCells count="1">
    <mergeCell ref="A1:E1"/>
  </mergeCell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11</vt:i4>
      </vt:variant>
    </vt:vector>
  </HeadingPairs>
  <TitlesOfParts>
    <vt:vector size="11" baseType="lpstr">
      <vt:lpstr>Fevereiro 2023 - Outubro 2022</vt:lpstr>
      <vt:lpstr>Fevereiro 2023 - Valor Real</vt:lpstr>
      <vt:lpstr>Folha 1 - Calculadora de Probab</vt:lpstr>
      <vt:lpstr>Folha 1 - Calculadora de Proba1</vt:lpstr>
      <vt:lpstr>Folha 1 - Calculadora de Proba2</vt:lpstr>
      <vt:lpstr>Folha 1 - Tabela 1</vt:lpstr>
      <vt:lpstr>Projeção Rend. Fixa</vt:lpstr>
      <vt:lpstr>Davi - Investimento de Milhas</vt:lpstr>
      <vt:lpstr>Davi - Tabela 1</vt:lpstr>
      <vt:lpstr>Davi - Tabela 1-1</vt:lpstr>
      <vt:lpstr>Davi - Tabela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Sergio E B Lutzer</cp:lastModifiedBy>
  <dcterms:modified xsi:type="dcterms:W3CDTF">2023-06-08T08:24:51Z</dcterms:modified>
</cp:coreProperties>
</file>